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ml.chartshapes+xml"/>
  <Override PartName="/xl/charts/chart10.xml" ContentType="application/vnd.openxmlformats-officedocument.drawingml.chart+xml"/>
  <Override PartName="/xl/drawings/drawing16.xml" ContentType="application/vnd.openxmlformats-officedocument.drawingml.chartshapes+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trlProps/ctrlProp1.xml" ContentType="application/vnd.ms-excel.controlproperties+xml"/>
  <Override PartName="/xl/charts/chart13.xml" ContentType="application/vnd.openxmlformats-officedocument.drawingml.chart+xml"/>
  <Override PartName="/xl/drawings/drawing20.xml" ContentType="application/vnd.openxmlformats-officedocument.drawingml.chartshapes+xml"/>
  <Override PartName="/xl/charts/chart14.xml" ContentType="application/vnd.openxmlformats-officedocument.drawingml.chart+xml"/>
  <Override PartName="/xl/drawings/drawing21.xml" ContentType="application/vnd.openxmlformats-officedocument.drawingml.chartshapes+xml"/>
  <Override PartName="/xl/charts/chart15.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drawings/drawing2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A:\Publications\Fetal and Infant Deaths\Fetal and Infant 2016\FINAL\"/>
    </mc:Choice>
  </mc:AlternateContent>
  <xr:revisionPtr revIDLastSave="0" documentId="13_ncr:1_{C272C141-140F-4CFC-BE0B-74B58EF54CA0}" xr6:coauthVersionLast="41" xr6:coauthVersionMax="41" xr10:uidLastSave="{00000000-0000-0000-0000-000000000000}"/>
  <bookViews>
    <workbookView xWindow="-120" yWindow="-120" windowWidth="29040" windowHeight="15840" tabRatio="895" xr2:uid="{00000000-000D-0000-FFFF-FFFF00000000}"/>
  </bookViews>
  <sheets>
    <sheet name="Info" sheetId="2" r:id="rId1"/>
    <sheet name="Contents" sheetId="7" r:id="rId2"/>
    <sheet name="Keyfindings" sheetId="61" r:id="rId3"/>
    <sheet name="Overview" sheetId="9" r:id="rId4"/>
    <sheet name="DeathsTrend" sheetId="58" r:id="rId5"/>
    <sheet name="BirthsTrend" sheetId="22" r:id="rId6"/>
    <sheet name="Ethnic" sheetId="27" r:id="rId7"/>
    <sheet name="MatAge" sheetId="26" r:id="rId8"/>
    <sheet name="DepQuin" sheetId="29" r:id="rId9"/>
    <sheet name="Gestation" sheetId="30" r:id="rId10"/>
    <sheet name="Birthweight" sheetId="31" r:id="rId11"/>
    <sheet name="AgeAtDth" sheetId="32" r:id="rId12"/>
    <sheet name="CoDTrend" sheetId="59" r:id="rId13"/>
    <sheet name="CoDEth" sheetId="60" r:id="rId14"/>
    <sheet name="SidsSudiTrend" sheetId="39" r:id="rId15"/>
    <sheet name="SidsSudiEth" sheetId="45" r:id="rId16"/>
    <sheet name="GraphsNZ" sheetId="56" r:id="rId17"/>
    <sheet name="GraphsDHB" sheetId="55" r:id="rId18"/>
    <sheet name="DHB" sheetId="35" r:id="rId19"/>
    <sheet name="About" sheetId="6" r:id="rId20"/>
    <sheet name="Glossary" sheetId="49" r:id="rId21"/>
    <sheet name="Ref" sheetId="46" state="hidden" r:id="rId22"/>
    <sheet name="DHBData" sheetId="36" state="hidden" r:id="rId23"/>
    <sheet name="Data" sheetId="57" state="hidden" r:id="rId24"/>
  </sheets>
  <externalReferences>
    <externalReference r:id="rId25"/>
  </externalReferences>
  <definedNames>
    <definedName name="_xlnm._FilterDatabase" localSheetId="23" hidden="1">Data!$AJ$2:$AP$863</definedName>
    <definedName name="Demo.labels">Ref!$K$24:$R$26</definedName>
    <definedName name="Demo.variables">Ref!$G$11:$I$15</definedName>
    <definedName name="DHBData">DHBData!$A$1:$Z$103</definedName>
    <definedName name="_xlnm.Print_Area" localSheetId="19">About!$A$3:$M$153</definedName>
    <definedName name="_xlnm.Print_Area" localSheetId="11">AgeAtDth!$A$3:$P$48</definedName>
    <definedName name="_xlnm.Print_Area" localSheetId="5">BirthsTrend!$A$3:$K$68</definedName>
    <definedName name="_xlnm.Print_Area" localSheetId="10">Birthweight!$A$3:$V$78</definedName>
    <definedName name="_xlnm.Print_Area" localSheetId="13">CoDEth!$A$3:$K$108</definedName>
    <definedName name="_xlnm.Print_Area" localSheetId="12">CoDTrend!$A$3:$P$40</definedName>
    <definedName name="_xlnm.Print_Area" localSheetId="1">Contents!$A$1:$E$44</definedName>
    <definedName name="_xlnm.Print_Area" localSheetId="4">DeathsTrend!$A$3:$K$134</definedName>
    <definedName name="_xlnm.Print_Area" localSheetId="8">DepQuin!$A$3:$S$80</definedName>
    <definedName name="_xlnm.Print_Area" localSheetId="18">DHB!$A$5:$T$59</definedName>
    <definedName name="_xlnm.Print_Area" localSheetId="6">Ethnic!$A$3:$P$82</definedName>
    <definedName name="_xlnm.Print_Area" localSheetId="9">Gestation!$A$3:$S$80</definedName>
    <definedName name="_xlnm.Print_Area" localSheetId="20">Glossary!$A$3:$B$42</definedName>
    <definedName name="_xlnm.Print_Area" localSheetId="17">GraphsDHB!$A$3:$S$115</definedName>
    <definedName name="_xlnm.Print_Area" localSheetId="16">GraphsNZ!$A$3:$S$198</definedName>
    <definedName name="_xlnm.Print_Area" localSheetId="0">Info!$A$1:$T$42</definedName>
    <definedName name="_xlnm.Print_Area" localSheetId="2">Keyfindings!$A$3:$A$44</definedName>
    <definedName name="_xlnm.Print_Area" localSheetId="7">MatAge!$A$3:$V$78</definedName>
    <definedName name="_xlnm.Print_Area" localSheetId="3">Overview!$A$3:$V$28</definedName>
    <definedName name="_xlnm.Print_Area" localSheetId="15">SidsSudiEth!$A$3:$K$128</definedName>
    <definedName name="_xlnm.Print_Area" localSheetId="14">SidsSudiTrend!$A$3:$N$72</definedName>
    <definedName name="_xlnm.Print_Titles" localSheetId="19">About!$3:$3</definedName>
    <definedName name="_xlnm.Print_Titles" localSheetId="5">BirthsTrend!$5:$6</definedName>
    <definedName name="_xlnm.Print_Titles" localSheetId="10">Birthweight!$3:$3</definedName>
    <definedName name="_xlnm.Print_Titles" localSheetId="13">CoDEth!$3:$7</definedName>
    <definedName name="_xlnm.Print_Titles" localSheetId="12">CoDTrend!$3:$3</definedName>
    <definedName name="_xlnm.Print_Titles" localSheetId="1">Contents!$1:$3</definedName>
    <definedName name="_xlnm.Print_Titles" localSheetId="4">DeathsTrend!$3:$5</definedName>
    <definedName name="_xlnm.Print_Titles" localSheetId="8">DepQuin!$3:$3</definedName>
    <definedName name="_xlnm.Print_Titles" localSheetId="6">Ethnic!$3:$3</definedName>
    <definedName name="_xlnm.Print_Titles" localSheetId="9">Gestation!$3:$3</definedName>
    <definedName name="_xlnm.Print_Titles" localSheetId="20">Glossary!$3:$5</definedName>
    <definedName name="_xlnm.Print_Titles" localSheetId="17">GraphsDHB!$3:$3</definedName>
    <definedName name="_xlnm.Print_Titles" localSheetId="16">GraphsNZ!$3:$3</definedName>
    <definedName name="_xlnm.Print_Titles" localSheetId="2">Keyfindings!$3:$3</definedName>
    <definedName name="_xlnm.Print_Titles" localSheetId="7">MatAge!$3:$3</definedName>
    <definedName name="_xlnm.Print_Titles" localSheetId="15">SidsSudiEth!$3:$3</definedName>
    <definedName name="_xlnm.Print_Titles" localSheetId="14">SidsSudiTrend!$3:$3</definedName>
    <definedName name="SelectDHB" localSheetId="13">Ref!$B$2:$B$21</definedName>
    <definedName name="SelectDHB" localSheetId="12">Ref!$B$2:$B$21</definedName>
    <definedName name="SelectDHB">Ref!$B$2:$B$21</definedName>
    <definedName name="Table1Data">[1]DHBData!$A$1:$Z$103</definedName>
    <definedName name="vw.agedeath">Data!$BR$3:$BW$1048576</definedName>
    <definedName name="vw.births">Data!$R$2:$W$1048576</definedName>
    <definedName name="vw.births.demo">Data!$AJ$2:$AP$1048576</definedName>
    <definedName name="vw.births.dhb">Data!$BB$3:$BH$1048576</definedName>
    <definedName name="vw.cod.trend">Data!$CN$2:$CT$1048576</definedName>
    <definedName name="vw.deaths">Data!$I$2:$P$1048576</definedName>
    <definedName name="vw.deaths.demo">Data!$Y$2:$AH$1048576</definedName>
    <definedName name="vw.deaths.dhb">Data!$AR$3:$AZ$1048576</definedName>
    <definedName name="vw.deaths.trend">Data!$BJ$2:$BP$1048576</definedName>
    <definedName name="vw.overview">Data!$A$2:$G$1048576</definedName>
    <definedName name="vw.sidssudi.eth">Data!$CF$3:$CL$1048576</definedName>
    <definedName name="vw.sidsudi">Data!$BY$3:$CD$1048576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2" i="60" l="1"/>
  <c r="F63" i="60"/>
  <c r="F64" i="60"/>
  <c r="F65" i="60"/>
  <c r="F66" i="60"/>
  <c r="F67" i="60"/>
  <c r="F68" i="60"/>
  <c r="F69" i="60"/>
  <c r="F70" i="60"/>
  <c r="F72" i="60"/>
  <c r="F74" i="60"/>
  <c r="F78" i="60"/>
  <c r="F79" i="60"/>
  <c r="F80" i="60"/>
  <c r="F81" i="60"/>
  <c r="F82" i="60"/>
  <c r="F83" i="60"/>
  <c r="F84" i="60"/>
  <c r="F85" i="60"/>
  <c r="F86" i="60"/>
  <c r="F87" i="60"/>
  <c r="F88" i="60"/>
  <c r="F89" i="60"/>
  <c r="F90" i="60"/>
  <c r="F91" i="60"/>
  <c r="F92" i="60"/>
  <c r="F93" i="60"/>
  <c r="F94" i="60"/>
  <c r="F95" i="60"/>
  <c r="F96" i="60"/>
  <c r="F61" i="60"/>
  <c r="F36" i="60"/>
  <c r="F37" i="60"/>
  <c r="F39" i="60"/>
  <c r="F41" i="60"/>
  <c r="F42" i="60"/>
  <c r="F43" i="60"/>
  <c r="F47" i="60"/>
  <c r="F48" i="60"/>
  <c r="F49" i="60"/>
  <c r="F50" i="60"/>
  <c r="F51" i="60"/>
  <c r="F35" i="60"/>
  <c r="K60" i="60" l="1"/>
  <c r="C100" i="60" l="1"/>
  <c r="D100" i="60"/>
  <c r="E100" i="60"/>
  <c r="F100" i="60"/>
  <c r="G100" i="60"/>
  <c r="H100" i="60"/>
  <c r="I100" i="60"/>
  <c r="J100" i="60"/>
  <c r="K100" i="60"/>
  <c r="B100" i="60"/>
  <c r="C14" i="60"/>
  <c r="D14" i="60"/>
  <c r="E14" i="60"/>
  <c r="F14" i="60"/>
  <c r="G14" i="60"/>
  <c r="H14" i="60"/>
  <c r="I14" i="60"/>
  <c r="J14" i="60"/>
  <c r="K14" i="60"/>
  <c r="B14" i="60"/>
  <c r="C11" i="60"/>
  <c r="D11" i="60"/>
  <c r="E11" i="60"/>
  <c r="G11" i="60"/>
  <c r="H11" i="60"/>
  <c r="I11" i="60"/>
  <c r="J11" i="60"/>
  <c r="K11" i="60"/>
  <c r="C8" i="60"/>
  <c r="D8" i="60"/>
  <c r="E8" i="60"/>
  <c r="F8" i="60"/>
  <c r="G8" i="60"/>
  <c r="H8" i="60"/>
  <c r="I8" i="60"/>
  <c r="J8" i="60"/>
  <c r="K8" i="60"/>
  <c r="C32" i="60"/>
  <c r="D32" i="60"/>
  <c r="E32" i="60"/>
  <c r="F32" i="60"/>
  <c r="G32" i="60"/>
  <c r="H32" i="60"/>
  <c r="I32" i="60"/>
  <c r="J32" i="60"/>
  <c r="K32" i="60"/>
  <c r="K34" i="60"/>
  <c r="G34" i="60"/>
  <c r="H34" i="60"/>
  <c r="I34" i="60"/>
  <c r="J34" i="60"/>
  <c r="D34" i="60"/>
  <c r="E34" i="60"/>
  <c r="F34" i="60"/>
  <c r="C34" i="60"/>
  <c r="E60" i="60"/>
  <c r="B60" i="60"/>
  <c r="C60" i="60"/>
  <c r="D60" i="60"/>
  <c r="F60" i="60"/>
  <c r="G60" i="60"/>
  <c r="H60" i="60"/>
  <c r="I60" i="60"/>
  <c r="J60" i="60"/>
  <c r="AJ862" i="57" l="1"/>
  <c r="AJ863" i="57"/>
  <c r="CF759" i="57" l="1"/>
  <c r="CF760" i="57"/>
  <c r="CF761" i="57"/>
  <c r="CF762" i="57"/>
  <c r="CF763" i="57"/>
  <c r="CF764" i="57"/>
  <c r="BY1757" i="57" l="1"/>
  <c r="BY1758" i="57"/>
  <c r="BY1759" i="57"/>
  <c r="BY1760" i="57"/>
  <c r="BY1761" i="57"/>
  <c r="BY1762" i="57"/>
  <c r="BY1763" i="57"/>
  <c r="BY1764" i="57"/>
  <c r="BY1765" i="57"/>
  <c r="BY1766" i="57"/>
  <c r="BY1767" i="57"/>
  <c r="BY1768" i="57"/>
  <c r="BY1769" i="57"/>
  <c r="BY1770" i="57"/>
  <c r="BY1771" i="57"/>
  <c r="BY1772" i="57"/>
  <c r="BY1773" i="57"/>
  <c r="BY1774" i="57"/>
  <c r="BY1775" i="57"/>
  <c r="BY1776" i="57"/>
  <c r="BY1777" i="57"/>
  <c r="BY1778" i="57"/>
  <c r="BY1779" i="57"/>
  <c r="BY1780" i="57"/>
  <c r="BY1781" i="57"/>
  <c r="BY1782" i="57"/>
  <c r="BY1783" i="57"/>
  <c r="BY1784" i="57"/>
  <c r="BY1785" i="57"/>
  <c r="BY1786" i="57"/>
  <c r="BY1787" i="57"/>
  <c r="BY1788" i="57"/>
  <c r="BY1789" i="57"/>
  <c r="BY1790" i="57"/>
  <c r="BY1791" i="57"/>
  <c r="BY1792" i="57"/>
  <c r="BY1793" i="57"/>
  <c r="BY1794" i="57"/>
  <c r="BY1795" i="57"/>
  <c r="BY1796" i="57"/>
  <c r="BY1797" i="57"/>
  <c r="BY1798" i="57"/>
  <c r="BY1799" i="57"/>
  <c r="BY1800" i="57"/>
  <c r="BY1801" i="57"/>
  <c r="BY1802" i="57"/>
  <c r="BY1803" i="57"/>
  <c r="BY1804" i="57"/>
  <c r="BY1805" i="57"/>
  <c r="BY1806" i="57"/>
  <c r="BY1807" i="57"/>
  <c r="BY1808" i="57"/>
  <c r="BY1809" i="57"/>
  <c r="BY1810" i="57"/>
  <c r="BY1811" i="57"/>
  <c r="BY1812" i="57"/>
  <c r="BY1813" i="57"/>
  <c r="BY1814" i="57"/>
  <c r="BY1815" i="57"/>
  <c r="BY1816" i="57"/>
  <c r="BY1817" i="57"/>
  <c r="BY1818" i="57"/>
  <c r="BY1819" i="57"/>
  <c r="BY1820" i="57"/>
  <c r="BY1821" i="57"/>
  <c r="BY1822" i="57"/>
  <c r="BY1823" i="57"/>
  <c r="BY1824" i="57"/>
  <c r="BY1825" i="57"/>
  <c r="BY1826" i="57"/>
  <c r="BY1827" i="57"/>
  <c r="BY1828" i="57"/>
  <c r="BY1829" i="57"/>
  <c r="BY1830" i="57"/>
  <c r="BY1831" i="57"/>
  <c r="BY1832" i="57"/>
  <c r="BY1833" i="57"/>
  <c r="BY1834" i="57"/>
  <c r="BY1835" i="57"/>
  <c r="BY1836" i="57"/>
  <c r="BY1837" i="57"/>
  <c r="BY1838" i="57"/>
  <c r="BY1839" i="57"/>
  <c r="BY1840" i="57"/>
  <c r="BY1841" i="57"/>
  <c r="BY1842" i="57"/>
  <c r="BY1843" i="57"/>
  <c r="BY1844" i="57"/>
  <c r="BY1845" i="57"/>
  <c r="BY1846" i="57"/>
  <c r="BY1847" i="57"/>
  <c r="BY1848" i="57"/>
  <c r="BY1849" i="57"/>
  <c r="BY1850" i="57"/>
  <c r="BY1851" i="57"/>
  <c r="BY1852" i="57"/>
  <c r="BY1853" i="57"/>
  <c r="BY1854" i="57"/>
  <c r="BY1855" i="57"/>
  <c r="BY1856" i="57"/>
  <c r="BY1857" i="57"/>
  <c r="BY1858" i="57"/>
  <c r="BY1859" i="57"/>
  <c r="BY1860" i="57"/>
  <c r="BY1861" i="57"/>
  <c r="BY1862" i="57"/>
  <c r="BY1863" i="57"/>
  <c r="BY1864" i="57"/>
  <c r="BY1865" i="57"/>
  <c r="BY1866" i="57"/>
  <c r="BY1867" i="57"/>
  <c r="BY1868" i="57"/>
  <c r="BY1869" i="57"/>
  <c r="BY1870" i="57"/>
  <c r="R1065" i="57"/>
  <c r="R1066" i="57"/>
  <c r="R1067" i="57"/>
  <c r="R1068" i="57"/>
  <c r="R1069" i="57"/>
  <c r="R1070" i="57"/>
  <c r="R1071" i="57"/>
  <c r="R1072" i="57"/>
  <c r="R1073" i="57"/>
  <c r="R1074" i="57"/>
  <c r="R1075" i="57"/>
  <c r="R1076" i="57"/>
  <c r="R1077" i="57"/>
  <c r="R1078" i="57"/>
  <c r="R1079" i="57"/>
  <c r="R1080" i="57"/>
  <c r="R1081" i="57"/>
  <c r="R1082" i="57"/>
  <c r="R1083" i="57"/>
  <c r="R1084" i="57"/>
  <c r="R1085" i="57"/>
  <c r="R1086" i="57"/>
  <c r="R1087" i="57"/>
  <c r="R1088" i="57"/>
  <c r="R1089" i="57"/>
  <c r="R1090" i="57"/>
  <c r="R1091" i="57"/>
  <c r="R1092" i="57"/>
  <c r="R1093" i="57"/>
  <c r="R1094" i="57"/>
  <c r="R1095" i="57"/>
  <c r="R1096" i="57"/>
  <c r="R1097" i="57"/>
  <c r="R1098" i="57"/>
  <c r="R1099" i="57"/>
  <c r="R1100" i="57"/>
  <c r="R1101" i="57"/>
  <c r="R1102" i="57"/>
  <c r="R1103" i="57"/>
  <c r="R1104" i="57"/>
  <c r="R1105" i="57"/>
  <c r="R1106" i="57"/>
  <c r="R1107" i="57"/>
  <c r="R1108" i="57"/>
  <c r="R1109" i="57"/>
  <c r="R1110" i="57"/>
  <c r="R1111" i="57"/>
  <c r="R1112" i="57"/>
  <c r="R1113" i="57"/>
  <c r="R1114" i="57"/>
  <c r="R1115" i="57"/>
  <c r="R1116" i="57"/>
  <c r="R1117" i="57"/>
  <c r="I5503" i="57"/>
  <c r="I5504" i="57"/>
  <c r="I5505" i="57"/>
  <c r="I5506" i="57"/>
  <c r="I5507" i="57"/>
  <c r="I5508" i="57"/>
  <c r="I5509" i="57"/>
  <c r="I5510" i="57"/>
  <c r="I5511" i="57"/>
  <c r="I5512" i="57"/>
  <c r="I5513" i="57"/>
  <c r="I5514" i="57"/>
  <c r="I5515" i="57"/>
  <c r="I5516" i="57"/>
  <c r="I5517" i="57"/>
  <c r="I5518" i="57"/>
  <c r="I5519" i="57"/>
  <c r="I5520" i="57"/>
  <c r="I5521" i="57"/>
  <c r="I5522" i="57"/>
  <c r="I5523" i="57"/>
  <c r="I5524" i="57"/>
  <c r="I5525" i="57"/>
  <c r="I5526" i="57"/>
  <c r="I5527" i="57"/>
  <c r="I5528" i="57"/>
  <c r="I5529" i="57"/>
  <c r="I5530" i="57"/>
  <c r="I5531" i="57"/>
  <c r="I5532" i="57"/>
  <c r="I5533" i="57"/>
  <c r="I5534" i="57"/>
  <c r="I5535" i="57"/>
  <c r="I5536" i="57"/>
  <c r="I5537" i="57"/>
  <c r="I5538" i="57"/>
  <c r="I5539" i="57"/>
  <c r="I5540" i="57"/>
  <c r="I5541" i="57"/>
  <c r="I5542" i="57"/>
  <c r="I5543" i="57"/>
  <c r="I5544" i="57"/>
  <c r="I5545" i="57"/>
  <c r="I5546" i="57"/>
  <c r="I5547" i="57"/>
  <c r="I5548" i="57"/>
  <c r="I5549" i="57"/>
  <c r="I5550" i="57"/>
  <c r="I5551" i="57"/>
  <c r="I5552" i="57"/>
  <c r="I5553" i="57"/>
  <c r="I5554" i="57"/>
  <c r="I5555" i="57"/>
  <c r="I5556" i="57"/>
  <c r="I5557" i="57"/>
  <c r="I5558" i="57"/>
  <c r="I5559" i="57"/>
  <c r="I5560" i="57"/>
  <c r="I5561" i="57"/>
  <c r="I5562" i="57"/>
  <c r="I5563" i="57"/>
  <c r="I5564" i="57"/>
  <c r="I5565" i="57"/>
  <c r="I5566" i="57"/>
  <c r="I5567" i="57"/>
  <c r="I5568" i="57"/>
  <c r="I5569" i="57"/>
  <c r="I5570" i="57"/>
  <c r="I5571" i="57"/>
  <c r="I5572" i="57"/>
  <c r="I5573" i="57"/>
  <c r="I5574" i="57"/>
  <c r="I5575" i="57"/>
  <c r="I5576" i="57"/>
  <c r="I5577" i="57"/>
  <c r="I5578" i="57"/>
  <c r="I5579" i="57"/>
  <c r="I5580" i="57"/>
  <c r="I5581" i="57"/>
  <c r="I5582" i="57"/>
  <c r="I5583" i="57"/>
  <c r="I5584" i="57"/>
  <c r="I5585" i="57"/>
  <c r="I5586" i="57"/>
  <c r="I5587" i="57"/>
  <c r="I5588" i="57"/>
  <c r="I5589" i="57"/>
  <c r="I5590" i="57"/>
  <c r="I5591" i="57"/>
  <c r="I5592" i="57"/>
  <c r="I5593" i="57"/>
  <c r="I5594" i="57"/>
  <c r="I5595" i="57"/>
  <c r="I5596" i="57"/>
  <c r="I5597" i="57"/>
  <c r="I5598" i="57"/>
  <c r="I5599" i="57"/>
  <c r="I5600" i="57"/>
  <c r="I5601" i="57"/>
  <c r="I5602" i="57"/>
  <c r="I5603" i="57"/>
  <c r="I5604" i="57"/>
  <c r="I5605" i="57"/>
  <c r="I5606" i="57"/>
  <c r="I5607" i="57"/>
  <c r="I5608" i="57"/>
  <c r="I5609" i="57"/>
  <c r="I5610" i="57"/>
  <c r="I5611" i="57"/>
  <c r="I5612" i="57"/>
  <c r="I5613" i="57"/>
  <c r="I5614" i="57"/>
  <c r="I5615" i="57"/>
  <c r="I5616" i="57"/>
  <c r="I5617" i="57"/>
  <c r="I5618" i="57"/>
  <c r="I5619" i="57"/>
  <c r="I5620" i="57"/>
  <c r="I5621" i="57"/>
  <c r="I5622" i="57"/>
  <c r="I5623" i="57"/>
  <c r="I5624" i="57"/>
  <c r="I5625" i="57"/>
  <c r="I5626" i="57"/>
  <c r="I5627" i="57"/>
  <c r="I5628" i="57"/>
  <c r="I5629" i="57"/>
  <c r="I5630" i="57"/>
  <c r="I5631" i="57"/>
  <c r="I5632" i="57"/>
  <c r="I5633" i="57"/>
  <c r="I5634" i="57"/>
  <c r="I5635" i="57"/>
  <c r="I5636" i="57"/>
  <c r="I5637" i="57"/>
  <c r="I5638" i="57"/>
  <c r="I5639" i="57"/>
  <c r="I5640" i="57"/>
  <c r="I5641" i="57"/>
  <c r="I5642" i="57"/>
  <c r="I5643" i="57"/>
  <c r="I5644" i="57"/>
  <c r="I5645" i="57"/>
  <c r="I5646" i="57"/>
  <c r="I5647" i="57"/>
  <c r="I5648" i="57"/>
  <c r="I5649" i="57"/>
  <c r="I5650" i="57"/>
  <c r="I5651" i="57"/>
  <c r="I5652" i="57"/>
  <c r="I5653" i="57"/>
  <c r="I5654" i="57"/>
  <c r="I5655" i="57"/>
  <c r="I5656" i="57"/>
  <c r="I5657" i="57"/>
  <c r="I5658" i="57"/>
  <c r="I5659" i="57"/>
  <c r="I5660" i="57"/>
  <c r="I5661" i="57"/>
  <c r="I5662" i="57"/>
  <c r="I5663" i="57"/>
  <c r="I5664" i="57"/>
  <c r="I5665" i="57"/>
  <c r="I5666" i="57"/>
  <c r="I5667" i="57"/>
  <c r="I5668" i="57"/>
  <c r="I5669" i="57"/>
  <c r="I5670" i="57"/>
  <c r="I5671" i="57"/>
  <c r="I5672" i="57"/>
  <c r="I5673" i="57"/>
  <c r="I5674" i="57"/>
  <c r="I5675" i="57"/>
  <c r="I5676" i="57"/>
  <c r="I5677" i="57"/>
  <c r="I5678" i="57"/>
  <c r="I5679" i="57"/>
  <c r="I5680" i="57"/>
  <c r="I5681" i="57"/>
  <c r="I5682" i="57"/>
  <c r="I5683" i="57"/>
  <c r="I5684" i="57"/>
  <c r="I5685" i="57"/>
  <c r="I5686" i="57"/>
  <c r="I5687" i="57"/>
  <c r="I5688" i="57"/>
  <c r="I5689" i="57"/>
  <c r="I5690" i="57"/>
  <c r="I5691" i="57"/>
  <c r="I5692" i="57"/>
  <c r="I5693" i="57"/>
  <c r="I5694" i="57"/>
  <c r="I5695" i="57"/>
  <c r="I5696" i="57"/>
  <c r="I5697" i="57"/>
  <c r="I5698" i="57"/>
  <c r="I5699" i="57"/>
  <c r="I5700" i="57"/>
  <c r="I5701" i="57"/>
  <c r="I5702" i="57"/>
  <c r="I5703" i="57"/>
  <c r="I5704" i="57"/>
  <c r="I5705" i="57"/>
  <c r="I5706" i="57"/>
  <c r="I5707" i="57"/>
  <c r="I5708" i="57"/>
  <c r="I5709" i="57"/>
  <c r="I5710" i="57"/>
  <c r="I5711" i="57"/>
  <c r="I5712" i="57"/>
  <c r="I5713" i="57"/>
  <c r="I5714" i="57"/>
  <c r="I5715" i="57"/>
  <c r="I5716" i="57"/>
  <c r="I5717" i="57"/>
  <c r="I5718" i="57"/>
  <c r="I5719" i="57"/>
  <c r="I5720" i="57"/>
  <c r="I5721" i="57"/>
  <c r="I5722" i="57"/>
  <c r="I5723" i="57"/>
  <c r="I5724" i="57"/>
  <c r="I5725" i="57"/>
  <c r="I5726" i="57"/>
  <c r="I5727" i="57"/>
  <c r="I5728" i="57"/>
  <c r="I5729" i="57"/>
  <c r="I5730" i="57"/>
  <c r="I5731" i="57"/>
  <c r="I5732" i="57"/>
  <c r="I5733" i="57"/>
  <c r="I5734" i="57"/>
  <c r="I5735" i="57"/>
  <c r="I5736" i="57"/>
  <c r="I5737" i="57"/>
  <c r="I5738" i="57"/>
  <c r="I5739" i="57"/>
  <c r="I5740" i="57"/>
  <c r="I5741" i="57"/>
  <c r="I5742" i="57"/>
  <c r="I5743" i="57"/>
  <c r="I5744" i="57"/>
  <c r="I5745" i="57"/>
  <c r="I5746" i="57"/>
  <c r="I5747" i="57"/>
  <c r="I5748" i="57"/>
  <c r="I5749" i="57"/>
  <c r="I5750" i="57"/>
  <c r="I5751" i="57"/>
  <c r="I5752" i="57"/>
  <c r="I5753" i="57"/>
  <c r="I5754" i="57"/>
  <c r="I5755" i="57"/>
  <c r="I5756" i="57"/>
  <c r="I5757" i="57"/>
  <c r="I5758" i="57"/>
  <c r="I5759" i="57"/>
  <c r="I5760" i="57"/>
  <c r="I5761" i="57"/>
  <c r="I5762" i="57"/>
  <c r="I5763" i="57"/>
  <c r="I5764" i="57"/>
  <c r="I5765" i="57"/>
  <c r="I5766" i="57"/>
  <c r="I5767" i="57"/>
  <c r="I5768" i="57"/>
  <c r="I5769" i="57"/>
  <c r="I5770" i="57"/>
  <c r="I5771" i="57"/>
  <c r="I5772" i="57"/>
  <c r="I5773" i="57"/>
  <c r="I5774" i="57"/>
  <c r="I5775" i="57"/>
  <c r="I5776" i="57"/>
  <c r="I5777" i="57"/>
  <c r="A143" i="57"/>
  <c r="A144" i="57"/>
  <c r="A145" i="57"/>
  <c r="A146" i="57"/>
  <c r="A147" i="57"/>
  <c r="A148" i="57"/>
  <c r="A149" i="57"/>
  <c r="G28" i="60" l="1"/>
  <c r="K28" i="60"/>
  <c r="E23" i="7" l="1"/>
  <c r="AA184" i="56" l="1"/>
  <c r="AA183" i="56"/>
  <c r="AA182" i="56"/>
  <c r="AA181" i="56"/>
  <c r="AA180" i="56"/>
  <c r="AA163" i="56"/>
  <c r="AA162" i="56"/>
  <c r="AA161" i="56"/>
  <c r="AA160" i="56"/>
  <c r="AA159" i="56"/>
  <c r="AA158" i="56"/>
  <c r="AA157" i="56"/>
  <c r="AA137" i="56"/>
  <c r="AA136" i="56"/>
  <c r="AA135" i="56"/>
  <c r="AA134" i="56"/>
  <c r="I4" i="57" l="1"/>
  <c r="I5" i="57"/>
  <c r="I6" i="57"/>
  <c r="I7" i="57"/>
  <c r="I8" i="57"/>
  <c r="I9" i="57"/>
  <c r="I10" i="57"/>
  <c r="I11" i="57"/>
  <c r="I12" i="57"/>
  <c r="I13" i="57"/>
  <c r="I14" i="57"/>
  <c r="I15" i="57"/>
  <c r="I16" i="57"/>
  <c r="I17" i="57"/>
  <c r="I18" i="57"/>
  <c r="I19" i="57"/>
  <c r="I20" i="57"/>
  <c r="I21" i="57"/>
  <c r="I22" i="57"/>
  <c r="I23" i="57"/>
  <c r="I24" i="57"/>
  <c r="I25" i="57"/>
  <c r="I26" i="57"/>
  <c r="I27" i="57"/>
  <c r="I28" i="57"/>
  <c r="I29" i="57"/>
  <c r="I30" i="57"/>
  <c r="I31" i="57"/>
  <c r="I32" i="57"/>
  <c r="I33" i="57"/>
  <c r="I34" i="57"/>
  <c r="I35" i="57"/>
  <c r="I36" i="57"/>
  <c r="I37" i="57"/>
  <c r="I38" i="57"/>
  <c r="I39" i="57"/>
  <c r="I40" i="57"/>
  <c r="I41" i="57"/>
  <c r="I42" i="57"/>
  <c r="I43" i="57"/>
  <c r="I44" i="57"/>
  <c r="I45" i="57"/>
  <c r="I46" i="57"/>
  <c r="I47" i="57"/>
  <c r="I48" i="57"/>
  <c r="I49" i="57"/>
  <c r="I50" i="57"/>
  <c r="I51" i="57"/>
  <c r="I52" i="57"/>
  <c r="I53" i="57"/>
  <c r="I54" i="57"/>
  <c r="I55" i="57"/>
  <c r="I56" i="57"/>
  <c r="I57" i="57"/>
  <c r="I58" i="57"/>
  <c r="I59" i="57"/>
  <c r="I60" i="57"/>
  <c r="I61" i="57"/>
  <c r="I62" i="57"/>
  <c r="I63" i="57"/>
  <c r="I64" i="57"/>
  <c r="I65" i="57"/>
  <c r="I66" i="57"/>
  <c r="I67" i="57"/>
  <c r="I68" i="57"/>
  <c r="I69" i="57"/>
  <c r="I70" i="57"/>
  <c r="I71" i="57"/>
  <c r="I72" i="57"/>
  <c r="I73" i="57"/>
  <c r="I74" i="57"/>
  <c r="I75" i="57"/>
  <c r="I76" i="57"/>
  <c r="I77" i="57"/>
  <c r="I78" i="57"/>
  <c r="I79" i="57"/>
  <c r="I80" i="57"/>
  <c r="I81" i="57"/>
  <c r="I82" i="57"/>
  <c r="I83" i="57"/>
  <c r="I84" i="57"/>
  <c r="I85" i="57"/>
  <c r="I86" i="57"/>
  <c r="I87" i="57"/>
  <c r="I88" i="57"/>
  <c r="I89" i="57"/>
  <c r="I90" i="57"/>
  <c r="I91" i="57"/>
  <c r="I92" i="57"/>
  <c r="I93" i="57"/>
  <c r="I94" i="57"/>
  <c r="I95" i="57"/>
  <c r="I96" i="57"/>
  <c r="I97" i="57"/>
  <c r="I98" i="57"/>
  <c r="I99" i="57"/>
  <c r="I100" i="57"/>
  <c r="I101" i="57"/>
  <c r="I102" i="57"/>
  <c r="I103" i="57"/>
  <c r="I104" i="57"/>
  <c r="I105" i="57"/>
  <c r="I106" i="57"/>
  <c r="I107" i="57"/>
  <c r="I108" i="57"/>
  <c r="I109" i="57"/>
  <c r="I110" i="57"/>
  <c r="I111" i="57"/>
  <c r="I112" i="57"/>
  <c r="I113" i="57"/>
  <c r="I114" i="57"/>
  <c r="I115" i="57"/>
  <c r="I116" i="57"/>
  <c r="I117" i="57"/>
  <c r="I118" i="57"/>
  <c r="I119" i="57"/>
  <c r="I120" i="57"/>
  <c r="I121" i="57"/>
  <c r="I122" i="57"/>
  <c r="I123" i="57"/>
  <c r="I124" i="57"/>
  <c r="I125" i="57"/>
  <c r="I126" i="57"/>
  <c r="I127" i="57"/>
  <c r="I128" i="57"/>
  <c r="I129" i="57"/>
  <c r="I130" i="57"/>
  <c r="I131" i="57"/>
  <c r="I132" i="57"/>
  <c r="I133" i="57"/>
  <c r="I134" i="57"/>
  <c r="I135" i="57"/>
  <c r="I136" i="57"/>
  <c r="I137" i="57"/>
  <c r="I138" i="57"/>
  <c r="I139" i="57"/>
  <c r="I140" i="57"/>
  <c r="I141" i="57"/>
  <c r="I142" i="57"/>
  <c r="I143" i="57"/>
  <c r="I144" i="57"/>
  <c r="I145" i="57"/>
  <c r="I146" i="57"/>
  <c r="I147" i="57"/>
  <c r="I148" i="57"/>
  <c r="I149" i="57"/>
  <c r="I150" i="57"/>
  <c r="I151" i="57"/>
  <c r="I152" i="57"/>
  <c r="I153" i="57"/>
  <c r="I154" i="57"/>
  <c r="I155" i="57"/>
  <c r="I156" i="57"/>
  <c r="I157" i="57"/>
  <c r="I158" i="57"/>
  <c r="I159" i="57"/>
  <c r="I160" i="57"/>
  <c r="I161" i="57"/>
  <c r="I162" i="57"/>
  <c r="I163" i="57"/>
  <c r="I164" i="57"/>
  <c r="I165" i="57"/>
  <c r="I166" i="57"/>
  <c r="I167" i="57"/>
  <c r="I168" i="57"/>
  <c r="I169" i="57"/>
  <c r="I170" i="57"/>
  <c r="I171" i="57"/>
  <c r="I172" i="57"/>
  <c r="I173" i="57"/>
  <c r="I174" i="57"/>
  <c r="I175" i="57"/>
  <c r="I176" i="57"/>
  <c r="I177" i="57"/>
  <c r="I178" i="57"/>
  <c r="I179" i="57"/>
  <c r="I180" i="57"/>
  <c r="I181" i="57"/>
  <c r="I182" i="57"/>
  <c r="I183" i="57"/>
  <c r="I184" i="57"/>
  <c r="I185" i="57"/>
  <c r="I186" i="57"/>
  <c r="I187" i="57"/>
  <c r="I188" i="57"/>
  <c r="I189" i="57"/>
  <c r="I190" i="57"/>
  <c r="I191" i="57"/>
  <c r="I192" i="57"/>
  <c r="I193" i="57"/>
  <c r="I194" i="57"/>
  <c r="I195" i="57"/>
  <c r="I196" i="57"/>
  <c r="I197" i="57"/>
  <c r="I198" i="57"/>
  <c r="I199" i="57"/>
  <c r="I200" i="57"/>
  <c r="I201" i="57"/>
  <c r="I202" i="57"/>
  <c r="I203" i="57"/>
  <c r="I204" i="57"/>
  <c r="I205" i="57"/>
  <c r="I206" i="57"/>
  <c r="I207" i="57"/>
  <c r="I208" i="57"/>
  <c r="I209" i="57"/>
  <c r="I210" i="57"/>
  <c r="I211" i="57"/>
  <c r="I212" i="57"/>
  <c r="I213" i="57"/>
  <c r="I214" i="57"/>
  <c r="I215" i="57"/>
  <c r="I216" i="57"/>
  <c r="I217" i="57"/>
  <c r="I218" i="57"/>
  <c r="I219" i="57"/>
  <c r="I220" i="57"/>
  <c r="I221" i="57"/>
  <c r="I222" i="57"/>
  <c r="I223" i="57"/>
  <c r="I224" i="57"/>
  <c r="I225" i="57"/>
  <c r="I226" i="57"/>
  <c r="I227" i="57"/>
  <c r="I228" i="57"/>
  <c r="I229" i="57"/>
  <c r="I230" i="57"/>
  <c r="I231" i="57"/>
  <c r="I232" i="57"/>
  <c r="I233" i="57"/>
  <c r="I234" i="57"/>
  <c r="I235" i="57"/>
  <c r="I236" i="57"/>
  <c r="I237" i="57"/>
  <c r="I238" i="57"/>
  <c r="I239" i="57"/>
  <c r="I240" i="57"/>
  <c r="I241" i="57"/>
  <c r="I242" i="57"/>
  <c r="I243" i="57"/>
  <c r="I244" i="57"/>
  <c r="I245" i="57"/>
  <c r="I246" i="57"/>
  <c r="I247" i="57"/>
  <c r="I248" i="57"/>
  <c r="I249" i="57"/>
  <c r="I250" i="57"/>
  <c r="I251" i="57"/>
  <c r="I252" i="57"/>
  <c r="I253" i="57"/>
  <c r="I254" i="57"/>
  <c r="I255" i="57"/>
  <c r="I256" i="57"/>
  <c r="I257" i="57"/>
  <c r="I258" i="57"/>
  <c r="I259" i="57"/>
  <c r="I260" i="57"/>
  <c r="I261" i="57"/>
  <c r="I262" i="57"/>
  <c r="I263" i="57"/>
  <c r="I264" i="57"/>
  <c r="I265" i="57"/>
  <c r="I266" i="57"/>
  <c r="I267" i="57"/>
  <c r="I268" i="57"/>
  <c r="I269" i="57"/>
  <c r="I270" i="57"/>
  <c r="I271" i="57"/>
  <c r="I272" i="57"/>
  <c r="I273" i="57"/>
  <c r="I274" i="57"/>
  <c r="I275" i="57"/>
  <c r="I276" i="57"/>
  <c r="I277" i="57"/>
  <c r="I278" i="57"/>
  <c r="I279" i="57"/>
  <c r="I280" i="57"/>
  <c r="I281" i="57"/>
  <c r="I282" i="57"/>
  <c r="I283" i="57"/>
  <c r="I284" i="57"/>
  <c r="I285" i="57"/>
  <c r="I286" i="57"/>
  <c r="I287" i="57"/>
  <c r="I288" i="57"/>
  <c r="I289" i="57"/>
  <c r="I290" i="57"/>
  <c r="I291" i="57"/>
  <c r="I292" i="57"/>
  <c r="I293" i="57"/>
  <c r="I294" i="57"/>
  <c r="I295" i="57"/>
  <c r="I296" i="57"/>
  <c r="I297" i="57"/>
  <c r="I298" i="57"/>
  <c r="I299" i="57"/>
  <c r="I300" i="57"/>
  <c r="I301" i="57"/>
  <c r="I302" i="57"/>
  <c r="I303" i="57"/>
  <c r="I304" i="57"/>
  <c r="I305" i="57"/>
  <c r="I306" i="57"/>
  <c r="I307" i="57"/>
  <c r="I308" i="57"/>
  <c r="I309" i="57"/>
  <c r="I310" i="57"/>
  <c r="I311" i="57"/>
  <c r="I312" i="57"/>
  <c r="I313" i="57"/>
  <c r="I314" i="57"/>
  <c r="I315" i="57"/>
  <c r="I316" i="57"/>
  <c r="I317" i="57"/>
  <c r="I318" i="57"/>
  <c r="I319" i="57"/>
  <c r="I320" i="57"/>
  <c r="I321" i="57"/>
  <c r="I322" i="57"/>
  <c r="I323" i="57"/>
  <c r="I324" i="57"/>
  <c r="I325" i="57"/>
  <c r="I326" i="57"/>
  <c r="I327" i="57"/>
  <c r="I328" i="57"/>
  <c r="I329" i="57"/>
  <c r="I330" i="57"/>
  <c r="I331" i="57"/>
  <c r="I332" i="57"/>
  <c r="I333" i="57"/>
  <c r="I334" i="57"/>
  <c r="I335" i="57"/>
  <c r="I336" i="57"/>
  <c r="I337" i="57"/>
  <c r="I338" i="57"/>
  <c r="I339" i="57"/>
  <c r="I340" i="57"/>
  <c r="I341" i="57"/>
  <c r="I342" i="57"/>
  <c r="I343" i="57"/>
  <c r="I344" i="57"/>
  <c r="I345" i="57"/>
  <c r="I346" i="57"/>
  <c r="I347" i="57"/>
  <c r="I348" i="57"/>
  <c r="I349" i="57"/>
  <c r="I350" i="57"/>
  <c r="I351" i="57"/>
  <c r="I352" i="57"/>
  <c r="I353" i="57"/>
  <c r="I354" i="57"/>
  <c r="I355" i="57"/>
  <c r="I356" i="57"/>
  <c r="I357" i="57"/>
  <c r="I358" i="57"/>
  <c r="I359" i="57"/>
  <c r="I360" i="57"/>
  <c r="I361" i="57"/>
  <c r="I362" i="57"/>
  <c r="I363" i="57"/>
  <c r="I364" i="57"/>
  <c r="I365" i="57"/>
  <c r="I366" i="57"/>
  <c r="I367" i="57"/>
  <c r="I368" i="57"/>
  <c r="I369" i="57"/>
  <c r="I370" i="57"/>
  <c r="I371" i="57"/>
  <c r="I372" i="57"/>
  <c r="I373" i="57"/>
  <c r="I374" i="57"/>
  <c r="I375" i="57"/>
  <c r="I376" i="57"/>
  <c r="I377" i="57"/>
  <c r="I378" i="57"/>
  <c r="I379" i="57"/>
  <c r="I380" i="57"/>
  <c r="I381" i="57"/>
  <c r="I382" i="57"/>
  <c r="I383" i="57"/>
  <c r="I384" i="57"/>
  <c r="I385" i="57"/>
  <c r="I386" i="57"/>
  <c r="I387" i="57"/>
  <c r="I388" i="57"/>
  <c r="I389" i="57"/>
  <c r="I390" i="57"/>
  <c r="I391" i="57"/>
  <c r="I392" i="57"/>
  <c r="I393" i="57"/>
  <c r="I394" i="57"/>
  <c r="I395" i="57"/>
  <c r="I396" i="57"/>
  <c r="I397" i="57"/>
  <c r="I398" i="57"/>
  <c r="I399" i="57"/>
  <c r="I400" i="57"/>
  <c r="I401" i="57"/>
  <c r="I402" i="57"/>
  <c r="I403" i="57"/>
  <c r="I404" i="57"/>
  <c r="I405" i="57"/>
  <c r="I406" i="57"/>
  <c r="I407" i="57"/>
  <c r="I408" i="57"/>
  <c r="I409" i="57"/>
  <c r="I410" i="57"/>
  <c r="I411" i="57"/>
  <c r="I412" i="57"/>
  <c r="I413" i="57"/>
  <c r="I414" i="57"/>
  <c r="I415" i="57"/>
  <c r="I416" i="57"/>
  <c r="I417" i="57"/>
  <c r="I418" i="57"/>
  <c r="I419" i="57"/>
  <c r="I420" i="57"/>
  <c r="I421" i="57"/>
  <c r="I422" i="57"/>
  <c r="I423" i="57"/>
  <c r="I424" i="57"/>
  <c r="I425" i="57"/>
  <c r="I426" i="57"/>
  <c r="I427" i="57"/>
  <c r="I428" i="57"/>
  <c r="I429" i="57"/>
  <c r="I430" i="57"/>
  <c r="I431" i="57"/>
  <c r="I432" i="57"/>
  <c r="I433" i="57"/>
  <c r="I434" i="57"/>
  <c r="I435" i="57"/>
  <c r="I436" i="57"/>
  <c r="I437" i="57"/>
  <c r="I438" i="57"/>
  <c r="I439" i="57"/>
  <c r="I440" i="57"/>
  <c r="I441" i="57"/>
  <c r="I442" i="57"/>
  <c r="I443" i="57"/>
  <c r="I444" i="57"/>
  <c r="I445" i="57"/>
  <c r="I446" i="57"/>
  <c r="I447" i="57"/>
  <c r="I448" i="57"/>
  <c r="I449" i="57"/>
  <c r="I450" i="57"/>
  <c r="I451" i="57"/>
  <c r="I452" i="57"/>
  <c r="I453" i="57"/>
  <c r="I454" i="57"/>
  <c r="I455" i="57"/>
  <c r="I456" i="57"/>
  <c r="I457" i="57"/>
  <c r="I458" i="57"/>
  <c r="I459" i="57"/>
  <c r="I460" i="57"/>
  <c r="I461" i="57"/>
  <c r="I462" i="57"/>
  <c r="I463" i="57"/>
  <c r="I464" i="57"/>
  <c r="I465" i="57"/>
  <c r="I466" i="57"/>
  <c r="I467" i="57"/>
  <c r="I468" i="57"/>
  <c r="I469" i="57"/>
  <c r="I470" i="57"/>
  <c r="I471" i="57"/>
  <c r="I472" i="57"/>
  <c r="I473" i="57"/>
  <c r="I474" i="57"/>
  <c r="I475" i="57"/>
  <c r="I476" i="57"/>
  <c r="I477" i="57"/>
  <c r="I478" i="57"/>
  <c r="I479" i="57"/>
  <c r="I480" i="57"/>
  <c r="I481" i="57"/>
  <c r="I482" i="57"/>
  <c r="I483" i="57"/>
  <c r="I484" i="57"/>
  <c r="I485" i="57"/>
  <c r="I486" i="57"/>
  <c r="I487" i="57"/>
  <c r="I488" i="57"/>
  <c r="I489" i="57"/>
  <c r="I490" i="57"/>
  <c r="I491" i="57"/>
  <c r="I492" i="57"/>
  <c r="I493" i="57"/>
  <c r="I494" i="57"/>
  <c r="I495" i="57"/>
  <c r="I496" i="57"/>
  <c r="I497" i="57"/>
  <c r="I498" i="57"/>
  <c r="I499" i="57"/>
  <c r="I500" i="57"/>
  <c r="I501" i="57"/>
  <c r="I502" i="57"/>
  <c r="I503" i="57"/>
  <c r="I504" i="57"/>
  <c r="I505" i="57"/>
  <c r="I506" i="57"/>
  <c r="I507" i="57"/>
  <c r="I508" i="57"/>
  <c r="I509" i="57"/>
  <c r="I510" i="57"/>
  <c r="I511" i="57"/>
  <c r="I512" i="57"/>
  <c r="I513" i="57"/>
  <c r="I514" i="57"/>
  <c r="I515" i="57"/>
  <c r="I516" i="57"/>
  <c r="I517" i="57"/>
  <c r="I518" i="57"/>
  <c r="I519" i="57"/>
  <c r="I520" i="57"/>
  <c r="I521" i="57"/>
  <c r="I522" i="57"/>
  <c r="I523" i="57"/>
  <c r="I524" i="57"/>
  <c r="I525" i="57"/>
  <c r="I526" i="57"/>
  <c r="I527" i="57"/>
  <c r="I528" i="57"/>
  <c r="I529" i="57"/>
  <c r="I530" i="57"/>
  <c r="I531" i="57"/>
  <c r="I532" i="57"/>
  <c r="I533" i="57"/>
  <c r="I534" i="57"/>
  <c r="I535" i="57"/>
  <c r="I536" i="57"/>
  <c r="I537" i="57"/>
  <c r="I538" i="57"/>
  <c r="I539" i="57"/>
  <c r="I540" i="57"/>
  <c r="I541" i="57"/>
  <c r="I542" i="57"/>
  <c r="I543" i="57"/>
  <c r="I544" i="57"/>
  <c r="I545" i="57"/>
  <c r="I546" i="57"/>
  <c r="I547" i="57"/>
  <c r="I548" i="57"/>
  <c r="I549" i="57"/>
  <c r="I550" i="57"/>
  <c r="I551" i="57"/>
  <c r="I552" i="57"/>
  <c r="I553" i="57"/>
  <c r="I554" i="57"/>
  <c r="I555" i="57"/>
  <c r="I556" i="57"/>
  <c r="I557" i="57"/>
  <c r="I558" i="57"/>
  <c r="I559" i="57"/>
  <c r="I560" i="57"/>
  <c r="I561" i="57"/>
  <c r="I562" i="57"/>
  <c r="I563" i="57"/>
  <c r="I564" i="57"/>
  <c r="I565" i="57"/>
  <c r="I566" i="57"/>
  <c r="I567" i="57"/>
  <c r="I568" i="57"/>
  <c r="I569" i="57"/>
  <c r="I570" i="57"/>
  <c r="I571" i="57"/>
  <c r="I572" i="57"/>
  <c r="I573" i="57"/>
  <c r="I574" i="57"/>
  <c r="I575" i="57"/>
  <c r="I576" i="57"/>
  <c r="I577" i="57"/>
  <c r="I578" i="57"/>
  <c r="I579" i="57"/>
  <c r="I580" i="57"/>
  <c r="I581" i="57"/>
  <c r="I582" i="57"/>
  <c r="I583" i="57"/>
  <c r="I584" i="57"/>
  <c r="I585" i="57"/>
  <c r="I586" i="57"/>
  <c r="I587" i="57"/>
  <c r="I588" i="57"/>
  <c r="I589" i="57"/>
  <c r="I590" i="57"/>
  <c r="I591" i="57"/>
  <c r="I592" i="57"/>
  <c r="I593" i="57"/>
  <c r="I594" i="57"/>
  <c r="I595" i="57"/>
  <c r="I596" i="57"/>
  <c r="I597" i="57"/>
  <c r="I598" i="57"/>
  <c r="I599" i="57"/>
  <c r="I600" i="57"/>
  <c r="I601" i="57"/>
  <c r="I602" i="57"/>
  <c r="I603" i="57"/>
  <c r="I604" i="57"/>
  <c r="I605" i="57"/>
  <c r="I606" i="57"/>
  <c r="I607" i="57"/>
  <c r="I608" i="57"/>
  <c r="I609" i="57"/>
  <c r="I610" i="57"/>
  <c r="I611" i="57"/>
  <c r="I612" i="57"/>
  <c r="I613" i="57"/>
  <c r="I614" i="57"/>
  <c r="I615" i="57"/>
  <c r="I616" i="57"/>
  <c r="I617" i="57"/>
  <c r="I618" i="57"/>
  <c r="I619" i="57"/>
  <c r="I620" i="57"/>
  <c r="I621" i="57"/>
  <c r="I622" i="57"/>
  <c r="I623" i="57"/>
  <c r="I624" i="57"/>
  <c r="I625" i="57"/>
  <c r="I626" i="57"/>
  <c r="I627" i="57"/>
  <c r="I628" i="57"/>
  <c r="I629" i="57"/>
  <c r="I630" i="57"/>
  <c r="I631" i="57"/>
  <c r="I632" i="57"/>
  <c r="I633" i="57"/>
  <c r="I634" i="57"/>
  <c r="I635" i="57"/>
  <c r="I636" i="57"/>
  <c r="I637" i="57"/>
  <c r="I638" i="57"/>
  <c r="I639" i="57"/>
  <c r="I640" i="57"/>
  <c r="I641" i="57"/>
  <c r="I642" i="57"/>
  <c r="I643" i="57"/>
  <c r="I644" i="57"/>
  <c r="I645" i="57"/>
  <c r="I646" i="57"/>
  <c r="I647" i="57"/>
  <c r="I648" i="57"/>
  <c r="I649" i="57"/>
  <c r="I650" i="57"/>
  <c r="I651" i="57"/>
  <c r="I652" i="57"/>
  <c r="I653" i="57"/>
  <c r="I654" i="57"/>
  <c r="I655" i="57"/>
  <c r="I656" i="57"/>
  <c r="I657" i="57"/>
  <c r="I658" i="57"/>
  <c r="I659" i="57"/>
  <c r="I660" i="57"/>
  <c r="I661" i="57"/>
  <c r="I662" i="57"/>
  <c r="I663" i="57"/>
  <c r="I664" i="57"/>
  <c r="I665" i="57"/>
  <c r="I666" i="57"/>
  <c r="I667" i="57"/>
  <c r="I668" i="57"/>
  <c r="I669" i="57"/>
  <c r="I670" i="57"/>
  <c r="I671" i="57"/>
  <c r="I672" i="57"/>
  <c r="I673" i="57"/>
  <c r="I674" i="57"/>
  <c r="I675" i="57"/>
  <c r="I676" i="57"/>
  <c r="I677" i="57"/>
  <c r="I678" i="57"/>
  <c r="I679" i="57"/>
  <c r="I680" i="57"/>
  <c r="I681" i="57"/>
  <c r="I682" i="57"/>
  <c r="I683" i="57"/>
  <c r="I684" i="57"/>
  <c r="I685" i="57"/>
  <c r="I686" i="57"/>
  <c r="I687" i="57"/>
  <c r="I688" i="57"/>
  <c r="I689" i="57"/>
  <c r="I690" i="57"/>
  <c r="I691" i="57"/>
  <c r="I692" i="57"/>
  <c r="I693" i="57"/>
  <c r="I694" i="57"/>
  <c r="I695" i="57"/>
  <c r="I696" i="57"/>
  <c r="I697" i="57"/>
  <c r="I698" i="57"/>
  <c r="I699" i="57"/>
  <c r="I700" i="57"/>
  <c r="I701" i="57"/>
  <c r="I702" i="57"/>
  <c r="I703" i="57"/>
  <c r="I704" i="57"/>
  <c r="I705" i="57"/>
  <c r="I706" i="57"/>
  <c r="I707" i="57"/>
  <c r="I708" i="57"/>
  <c r="I709" i="57"/>
  <c r="I710" i="57"/>
  <c r="I711" i="57"/>
  <c r="I712" i="57"/>
  <c r="I713" i="57"/>
  <c r="I714" i="57"/>
  <c r="I715" i="57"/>
  <c r="I716" i="57"/>
  <c r="I717" i="57"/>
  <c r="I718" i="57"/>
  <c r="I719" i="57"/>
  <c r="I720" i="57"/>
  <c r="I721" i="57"/>
  <c r="I722" i="57"/>
  <c r="I723" i="57"/>
  <c r="I724" i="57"/>
  <c r="I725" i="57"/>
  <c r="I726" i="57"/>
  <c r="I727" i="57"/>
  <c r="I728" i="57"/>
  <c r="I729" i="57"/>
  <c r="I730" i="57"/>
  <c r="I731" i="57"/>
  <c r="I732" i="57"/>
  <c r="I733" i="57"/>
  <c r="I734" i="57"/>
  <c r="I735" i="57"/>
  <c r="I736" i="57"/>
  <c r="I737" i="57"/>
  <c r="I738" i="57"/>
  <c r="I739" i="57"/>
  <c r="I740" i="57"/>
  <c r="I741" i="57"/>
  <c r="I742" i="57"/>
  <c r="I743" i="57"/>
  <c r="I744" i="57"/>
  <c r="I745" i="57"/>
  <c r="I746" i="57"/>
  <c r="I747" i="57"/>
  <c r="I748" i="57"/>
  <c r="I749" i="57"/>
  <c r="I750" i="57"/>
  <c r="I751" i="57"/>
  <c r="I752" i="57"/>
  <c r="I753" i="57"/>
  <c r="I754" i="57"/>
  <c r="I755" i="57"/>
  <c r="I756" i="57"/>
  <c r="I757" i="57"/>
  <c r="I758" i="57"/>
  <c r="I759" i="57"/>
  <c r="I760" i="57"/>
  <c r="I761" i="57"/>
  <c r="I762" i="57"/>
  <c r="I763" i="57"/>
  <c r="I764" i="57"/>
  <c r="I765" i="57"/>
  <c r="I766" i="57"/>
  <c r="I767" i="57"/>
  <c r="I768" i="57"/>
  <c r="I769" i="57"/>
  <c r="I770" i="57"/>
  <c r="I771" i="57"/>
  <c r="I772" i="57"/>
  <c r="I773" i="57"/>
  <c r="I774" i="57"/>
  <c r="I775" i="57"/>
  <c r="I776" i="57"/>
  <c r="I777" i="57"/>
  <c r="I778" i="57"/>
  <c r="I779" i="57"/>
  <c r="I780" i="57"/>
  <c r="I781" i="57"/>
  <c r="I782" i="57"/>
  <c r="I783" i="57"/>
  <c r="I784" i="57"/>
  <c r="I785" i="57"/>
  <c r="I786" i="57"/>
  <c r="I787" i="57"/>
  <c r="I788" i="57"/>
  <c r="I789" i="57"/>
  <c r="I790" i="57"/>
  <c r="I791" i="57"/>
  <c r="I792" i="57"/>
  <c r="I793" i="57"/>
  <c r="I794" i="57"/>
  <c r="I795" i="57"/>
  <c r="I796" i="57"/>
  <c r="I797" i="57"/>
  <c r="I798" i="57"/>
  <c r="I799" i="57"/>
  <c r="I800" i="57"/>
  <c r="I801" i="57"/>
  <c r="I802" i="57"/>
  <c r="I803" i="57"/>
  <c r="I804" i="57"/>
  <c r="I805" i="57"/>
  <c r="I806" i="57"/>
  <c r="I807" i="57"/>
  <c r="I808" i="57"/>
  <c r="I809" i="57"/>
  <c r="I810" i="57"/>
  <c r="I811" i="57"/>
  <c r="I812" i="57"/>
  <c r="I813" i="57"/>
  <c r="I814" i="57"/>
  <c r="I815" i="57"/>
  <c r="I816" i="57"/>
  <c r="I817" i="57"/>
  <c r="I818" i="57"/>
  <c r="I819" i="57"/>
  <c r="I820" i="57"/>
  <c r="I821" i="57"/>
  <c r="I822" i="57"/>
  <c r="I823" i="57"/>
  <c r="I824" i="57"/>
  <c r="I825" i="57"/>
  <c r="I826" i="57"/>
  <c r="I827" i="57"/>
  <c r="I828" i="57"/>
  <c r="I829" i="57"/>
  <c r="I830" i="57"/>
  <c r="I831" i="57"/>
  <c r="I832" i="57"/>
  <c r="I833" i="57"/>
  <c r="I834" i="57"/>
  <c r="I835" i="57"/>
  <c r="I836" i="57"/>
  <c r="I837" i="57"/>
  <c r="I838" i="57"/>
  <c r="I839" i="57"/>
  <c r="I840" i="57"/>
  <c r="I841" i="57"/>
  <c r="I842" i="57"/>
  <c r="I843" i="57"/>
  <c r="I844" i="57"/>
  <c r="I845" i="57"/>
  <c r="I846" i="57"/>
  <c r="I847" i="57"/>
  <c r="I848" i="57"/>
  <c r="I849" i="57"/>
  <c r="I850" i="57"/>
  <c r="I851" i="57"/>
  <c r="I852" i="57"/>
  <c r="I853" i="57"/>
  <c r="I854" i="57"/>
  <c r="I855" i="57"/>
  <c r="I856" i="57"/>
  <c r="I857" i="57"/>
  <c r="I858" i="57"/>
  <c r="I859" i="57"/>
  <c r="I860" i="57"/>
  <c r="I861" i="57"/>
  <c r="I862" i="57"/>
  <c r="I863" i="57"/>
  <c r="I864" i="57"/>
  <c r="I865" i="57"/>
  <c r="I866" i="57"/>
  <c r="I867" i="57"/>
  <c r="I868" i="57"/>
  <c r="I869" i="57"/>
  <c r="I870" i="57"/>
  <c r="I871" i="57"/>
  <c r="I872" i="57"/>
  <c r="I873" i="57"/>
  <c r="I874" i="57"/>
  <c r="I875" i="57"/>
  <c r="I876" i="57"/>
  <c r="I877" i="57"/>
  <c r="I878" i="57"/>
  <c r="I879" i="57"/>
  <c r="I880" i="57"/>
  <c r="I881" i="57"/>
  <c r="I882" i="57"/>
  <c r="I883" i="57"/>
  <c r="I884" i="57"/>
  <c r="I885" i="57"/>
  <c r="I886" i="57"/>
  <c r="I887" i="57"/>
  <c r="I888" i="57"/>
  <c r="I889" i="57"/>
  <c r="I890" i="57"/>
  <c r="I891" i="57"/>
  <c r="I892" i="57"/>
  <c r="I893" i="57"/>
  <c r="I894" i="57"/>
  <c r="I895" i="57"/>
  <c r="I896" i="57"/>
  <c r="I897" i="57"/>
  <c r="I898" i="57"/>
  <c r="I899" i="57"/>
  <c r="I900" i="57"/>
  <c r="I901" i="57"/>
  <c r="I902" i="57"/>
  <c r="I903" i="57"/>
  <c r="I904" i="57"/>
  <c r="I905" i="57"/>
  <c r="I906" i="57"/>
  <c r="I907" i="57"/>
  <c r="I908" i="57"/>
  <c r="I909" i="57"/>
  <c r="I910" i="57"/>
  <c r="I911" i="57"/>
  <c r="I912" i="57"/>
  <c r="I913" i="57"/>
  <c r="I914" i="57"/>
  <c r="I915" i="57"/>
  <c r="I916" i="57"/>
  <c r="I917" i="57"/>
  <c r="I918" i="57"/>
  <c r="I919" i="57"/>
  <c r="I920" i="57"/>
  <c r="I921" i="57"/>
  <c r="I922" i="57"/>
  <c r="I923" i="57"/>
  <c r="I924" i="57"/>
  <c r="I925" i="57"/>
  <c r="I926" i="57"/>
  <c r="I927" i="57"/>
  <c r="I928" i="57"/>
  <c r="I929" i="57"/>
  <c r="I930" i="57"/>
  <c r="I931" i="57"/>
  <c r="I932" i="57"/>
  <c r="I933" i="57"/>
  <c r="I934" i="57"/>
  <c r="I935" i="57"/>
  <c r="I936" i="57"/>
  <c r="I937" i="57"/>
  <c r="I938" i="57"/>
  <c r="I939" i="57"/>
  <c r="I940" i="57"/>
  <c r="I941" i="57"/>
  <c r="I942" i="57"/>
  <c r="I943" i="57"/>
  <c r="I944" i="57"/>
  <c r="I945" i="57"/>
  <c r="I946" i="57"/>
  <c r="I947" i="57"/>
  <c r="I948" i="57"/>
  <c r="I949" i="57"/>
  <c r="I950" i="57"/>
  <c r="I951" i="57"/>
  <c r="I952" i="57"/>
  <c r="I953" i="57"/>
  <c r="I954" i="57"/>
  <c r="I955" i="57"/>
  <c r="I956" i="57"/>
  <c r="I957" i="57"/>
  <c r="I958" i="57"/>
  <c r="I959" i="57"/>
  <c r="I960" i="57"/>
  <c r="I961" i="57"/>
  <c r="I962" i="57"/>
  <c r="I963" i="57"/>
  <c r="I964" i="57"/>
  <c r="I965" i="57"/>
  <c r="I966" i="57"/>
  <c r="I967" i="57"/>
  <c r="I968" i="57"/>
  <c r="I969" i="57"/>
  <c r="I970" i="57"/>
  <c r="I971" i="57"/>
  <c r="I972" i="57"/>
  <c r="I973" i="57"/>
  <c r="I974" i="57"/>
  <c r="I975" i="57"/>
  <c r="I976" i="57"/>
  <c r="I977" i="57"/>
  <c r="I978" i="57"/>
  <c r="I979" i="57"/>
  <c r="I980" i="57"/>
  <c r="I981" i="57"/>
  <c r="I982" i="57"/>
  <c r="I983" i="57"/>
  <c r="I984" i="57"/>
  <c r="I985" i="57"/>
  <c r="I986" i="57"/>
  <c r="I987" i="57"/>
  <c r="I988" i="57"/>
  <c r="I989" i="57"/>
  <c r="I990" i="57"/>
  <c r="I991" i="57"/>
  <c r="I992" i="57"/>
  <c r="I993" i="57"/>
  <c r="I994" i="57"/>
  <c r="I995" i="57"/>
  <c r="I996" i="57"/>
  <c r="I997" i="57"/>
  <c r="I998" i="57"/>
  <c r="I999" i="57"/>
  <c r="I1000" i="57"/>
  <c r="I1001" i="57"/>
  <c r="I1002" i="57"/>
  <c r="I1003" i="57"/>
  <c r="I1004" i="57"/>
  <c r="I1005" i="57"/>
  <c r="I1006" i="57"/>
  <c r="I1007" i="57"/>
  <c r="I1008" i="57"/>
  <c r="I1009" i="57"/>
  <c r="I1010" i="57"/>
  <c r="I1011" i="57"/>
  <c r="I1012" i="57"/>
  <c r="I1013" i="57"/>
  <c r="I1014" i="57"/>
  <c r="I1015" i="57"/>
  <c r="I1016" i="57"/>
  <c r="I1017" i="57"/>
  <c r="I1018" i="57"/>
  <c r="I1019" i="57"/>
  <c r="I1020" i="57"/>
  <c r="I1021" i="57"/>
  <c r="I1022" i="57"/>
  <c r="I1023" i="57"/>
  <c r="I1024" i="57"/>
  <c r="I1025" i="57"/>
  <c r="I1026" i="57"/>
  <c r="I1027" i="57"/>
  <c r="I1028" i="57"/>
  <c r="I1029" i="57"/>
  <c r="I1030" i="57"/>
  <c r="I1031" i="57"/>
  <c r="I1032" i="57"/>
  <c r="I1033" i="57"/>
  <c r="I1034" i="57"/>
  <c r="I1035" i="57"/>
  <c r="I1036" i="57"/>
  <c r="I1037" i="57"/>
  <c r="I1038" i="57"/>
  <c r="I1039" i="57"/>
  <c r="I1040" i="57"/>
  <c r="I1041" i="57"/>
  <c r="I1042" i="57"/>
  <c r="I1043" i="57"/>
  <c r="I1044" i="57"/>
  <c r="I1045" i="57"/>
  <c r="I1046" i="57"/>
  <c r="I1047" i="57"/>
  <c r="I1048" i="57"/>
  <c r="I1049" i="57"/>
  <c r="I1050" i="57"/>
  <c r="I1051" i="57"/>
  <c r="I1052" i="57"/>
  <c r="I1053" i="57"/>
  <c r="I1054" i="57"/>
  <c r="I1055" i="57"/>
  <c r="I1056" i="57"/>
  <c r="I1057" i="57"/>
  <c r="I1058" i="57"/>
  <c r="I1059" i="57"/>
  <c r="I1060" i="57"/>
  <c r="I1061" i="57"/>
  <c r="I1062" i="57"/>
  <c r="I1063" i="57"/>
  <c r="I1064" i="57"/>
  <c r="I1065" i="57"/>
  <c r="I1066" i="57"/>
  <c r="I1067" i="57"/>
  <c r="I1068" i="57"/>
  <c r="I1069" i="57"/>
  <c r="I1070" i="57"/>
  <c r="I1071" i="57"/>
  <c r="I1072" i="57"/>
  <c r="I1073" i="57"/>
  <c r="I1074" i="57"/>
  <c r="I1075" i="57"/>
  <c r="I1076" i="57"/>
  <c r="I1077" i="57"/>
  <c r="I1078" i="57"/>
  <c r="I1079" i="57"/>
  <c r="I1080" i="57"/>
  <c r="I1081" i="57"/>
  <c r="I1082" i="57"/>
  <c r="I1083" i="57"/>
  <c r="I1084" i="57"/>
  <c r="I1085" i="57"/>
  <c r="I1086" i="57"/>
  <c r="I1087" i="57"/>
  <c r="I1088" i="57"/>
  <c r="I1089" i="57"/>
  <c r="I1090" i="57"/>
  <c r="I1091" i="57"/>
  <c r="I1092" i="57"/>
  <c r="I1093" i="57"/>
  <c r="I1094" i="57"/>
  <c r="I1095" i="57"/>
  <c r="I1096" i="57"/>
  <c r="I1097" i="57"/>
  <c r="I1098" i="57"/>
  <c r="I1099" i="57"/>
  <c r="I1100" i="57"/>
  <c r="I1101" i="57"/>
  <c r="I1102" i="57"/>
  <c r="I1103" i="57"/>
  <c r="I1104" i="57"/>
  <c r="I1105" i="57"/>
  <c r="I1106" i="57"/>
  <c r="I1107" i="57"/>
  <c r="I1108" i="57"/>
  <c r="I1109" i="57"/>
  <c r="I1110" i="57"/>
  <c r="I1111" i="57"/>
  <c r="I1112" i="57"/>
  <c r="I1113" i="57"/>
  <c r="I1114" i="57"/>
  <c r="I1115" i="57"/>
  <c r="I1116" i="57"/>
  <c r="I1117" i="57"/>
  <c r="I1118" i="57"/>
  <c r="I1119" i="57"/>
  <c r="I1120" i="57"/>
  <c r="I1121" i="57"/>
  <c r="I1122" i="57"/>
  <c r="I1123" i="57"/>
  <c r="I1124" i="57"/>
  <c r="I1125" i="57"/>
  <c r="I1126" i="57"/>
  <c r="I1127" i="57"/>
  <c r="I1128" i="57"/>
  <c r="I1129" i="57"/>
  <c r="I1130" i="57"/>
  <c r="I1131" i="57"/>
  <c r="I1132" i="57"/>
  <c r="I1133" i="57"/>
  <c r="I1134" i="57"/>
  <c r="I1135" i="57"/>
  <c r="I1136" i="57"/>
  <c r="I1137" i="57"/>
  <c r="I1138" i="57"/>
  <c r="I1139" i="57"/>
  <c r="I1140" i="57"/>
  <c r="I1141" i="57"/>
  <c r="I1142" i="57"/>
  <c r="I1143" i="57"/>
  <c r="I1144" i="57"/>
  <c r="I1145" i="57"/>
  <c r="I1146" i="57"/>
  <c r="I1147" i="57"/>
  <c r="I1148" i="57"/>
  <c r="I1149" i="57"/>
  <c r="I1150" i="57"/>
  <c r="I1151" i="57"/>
  <c r="I1152" i="57"/>
  <c r="I1153" i="57"/>
  <c r="I1154" i="57"/>
  <c r="I1155" i="57"/>
  <c r="I1156" i="57"/>
  <c r="I1157" i="57"/>
  <c r="I1158" i="57"/>
  <c r="I1159" i="57"/>
  <c r="I1160" i="57"/>
  <c r="I1161" i="57"/>
  <c r="I1162" i="57"/>
  <c r="I1163" i="57"/>
  <c r="I1164" i="57"/>
  <c r="I1165" i="57"/>
  <c r="I1166" i="57"/>
  <c r="I1167" i="57"/>
  <c r="I1168" i="57"/>
  <c r="I1169" i="57"/>
  <c r="I1170" i="57"/>
  <c r="I1171" i="57"/>
  <c r="I1172" i="57"/>
  <c r="I1173" i="57"/>
  <c r="I1174" i="57"/>
  <c r="I1175" i="57"/>
  <c r="I1176" i="57"/>
  <c r="I1177" i="57"/>
  <c r="I1178" i="57"/>
  <c r="I1179" i="57"/>
  <c r="I1180" i="57"/>
  <c r="I1181" i="57"/>
  <c r="I1182" i="57"/>
  <c r="I1183" i="57"/>
  <c r="I1184" i="57"/>
  <c r="I1185" i="57"/>
  <c r="I1186" i="57"/>
  <c r="I1187" i="57"/>
  <c r="I1188" i="57"/>
  <c r="I1189" i="57"/>
  <c r="I1190" i="57"/>
  <c r="I1191" i="57"/>
  <c r="I1192" i="57"/>
  <c r="I1193" i="57"/>
  <c r="I1194" i="57"/>
  <c r="I1195" i="57"/>
  <c r="I1196" i="57"/>
  <c r="I1197" i="57"/>
  <c r="I1198" i="57"/>
  <c r="I1199" i="57"/>
  <c r="I1200" i="57"/>
  <c r="I1201" i="57"/>
  <c r="I1202" i="57"/>
  <c r="I1203" i="57"/>
  <c r="I1204" i="57"/>
  <c r="I1205" i="57"/>
  <c r="I1206" i="57"/>
  <c r="I1207" i="57"/>
  <c r="I1208" i="57"/>
  <c r="I1209" i="57"/>
  <c r="I1210" i="57"/>
  <c r="I1211" i="57"/>
  <c r="I1212" i="57"/>
  <c r="I1213" i="57"/>
  <c r="I1214" i="57"/>
  <c r="I1215" i="57"/>
  <c r="I1216" i="57"/>
  <c r="I1217" i="57"/>
  <c r="I1218" i="57"/>
  <c r="I1219" i="57"/>
  <c r="I1220" i="57"/>
  <c r="I1221" i="57"/>
  <c r="I1222" i="57"/>
  <c r="I1223" i="57"/>
  <c r="I1224" i="57"/>
  <c r="I1225" i="57"/>
  <c r="I1226" i="57"/>
  <c r="I1227" i="57"/>
  <c r="I1228" i="57"/>
  <c r="I1229" i="57"/>
  <c r="I1230" i="57"/>
  <c r="I1231" i="57"/>
  <c r="I1232" i="57"/>
  <c r="I1233" i="57"/>
  <c r="I1234" i="57"/>
  <c r="I1235" i="57"/>
  <c r="I1236" i="57"/>
  <c r="I1237" i="57"/>
  <c r="I1238" i="57"/>
  <c r="I1239" i="57"/>
  <c r="I1240" i="57"/>
  <c r="I1241" i="57"/>
  <c r="I1242" i="57"/>
  <c r="I1243" i="57"/>
  <c r="I1244" i="57"/>
  <c r="I1245" i="57"/>
  <c r="I1246" i="57"/>
  <c r="I1247" i="57"/>
  <c r="I1248" i="57"/>
  <c r="I1249" i="57"/>
  <c r="I1250" i="57"/>
  <c r="I1251" i="57"/>
  <c r="I1252" i="57"/>
  <c r="I1253" i="57"/>
  <c r="I1254" i="57"/>
  <c r="I1255" i="57"/>
  <c r="I1256" i="57"/>
  <c r="I1257" i="57"/>
  <c r="I1258" i="57"/>
  <c r="I1259" i="57"/>
  <c r="I1260" i="57"/>
  <c r="I1261" i="57"/>
  <c r="I1262" i="57"/>
  <c r="I1263" i="57"/>
  <c r="I1264" i="57"/>
  <c r="I1265" i="57"/>
  <c r="I1266" i="57"/>
  <c r="I1267" i="57"/>
  <c r="I1268" i="57"/>
  <c r="I1269" i="57"/>
  <c r="I1270" i="57"/>
  <c r="I1271" i="57"/>
  <c r="I1272" i="57"/>
  <c r="I1273" i="57"/>
  <c r="I1274" i="57"/>
  <c r="I1275" i="57"/>
  <c r="I1276" i="57"/>
  <c r="I1277" i="57"/>
  <c r="I1278" i="57"/>
  <c r="I1279" i="57"/>
  <c r="I1280" i="57"/>
  <c r="I1281" i="57"/>
  <c r="I1282" i="57"/>
  <c r="I1283" i="57"/>
  <c r="I1284" i="57"/>
  <c r="I1285" i="57"/>
  <c r="I1286" i="57"/>
  <c r="I1287" i="57"/>
  <c r="I1288" i="57"/>
  <c r="I1289" i="57"/>
  <c r="I1290" i="57"/>
  <c r="I1291" i="57"/>
  <c r="I1292" i="57"/>
  <c r="I1293" i="57"/>
  <c r="I1294" i="57"/>
  <c r="I1295" i="57"/>
  <c r="I1296" i="57"/>
  <c r="I1297" i="57"/>
  <c r="I1298" i="57"/>
  <c r="I1299" i="57"/>
  <c r="I1300" i="57"/>
  <c r="I1301" i="57"/>
  <c r="I1302" i="57"/>
  <c r="I1303" i="57"/>
  <c r="I1304" i="57"/>
  <c r="I1305" i="57"/>
  <c r="I1306" i="57"/>
  <c r="I1307" i="57"/>
  <c r="I1308" i="57"/>
  <c r="I1309" i="57"/>
  <c r="I1310" i="57"/>
  <c r="I1311" i="57"/>
  <c r="I1312" i="57"/>
  <c r="I1313" i="57"/>
  <c r="I1314" i="57"/>
  <c r="I1315" i="57"/>
  <c r="I1316" i="57"/>
  <c r="I1317" i="57"/>
  <c r="I1318" i="57"/>
  <c r="I1319" i="57"/>
  <c r="I1320" i="57"/>
  <c r="I1321" i="57"/>
  <c r="I1322" i="57"/>
  <c r="I1323" i="57"/>
  <c r="I1324" i="57"/>
  <c r="I1325" i="57"/>
  <c r="I1326" i="57"/>
  <c r="I1327" i="57"/>
  <c r="I1328" i="57"/>
  <c r="I1329" i="57"/>
  <c r="I1330" i="57"/>
  <c r="I1331" i="57"/>
  <c r="I1332" i="57"/>
  <c r="I1333" i="57"/>
  <c r="I1334" i="57"/>
  <c r="I1335" i="57"/>
  <c r="I1336" i="57"/>
  <c r="I1337" i="57"/>
  <c r="I1338" i="57"/>
  <c r="I1339" i="57"/>
  <c r="I1340" i="57"/>
  <c r="I1341" i="57"/>
  <c r="I1342" i="57"/>
  <c r="I1343" i="57"/>
  <c r="I1344" i="57"/>
  <c r="I1345" i="57"/>
  <c r="I1346" i="57"/>
  <c r="I1347" i="57"/>
  <c r="I1348" i="57"/>
  <c r="I1349" i="57"/>
  <c r="I1350" i="57"/>
  <c r="I1351" i="57"/>
  <c r="I1352" i="57"/>
  <c r="I1353" i="57"/>
  <c r="I1354" i="57"/>
  <c r="I1355" i="57"/>
  <c r="I1356" i="57"/>
  <c r="I1357" i="57"/>
  <c r="I1358" i="57"/>
  <c r="I1359" i="57"/>
  <c r="I1360" i="57"/>
  <c r="I1361" i="57"/>
  <c r="I1362" i="57"/>
  <c r="I1363" i="57"/>
  <c r="I1364" i="57"/>
  <c r="I1365" i="57"/>
  <c r="I1366" i="57"/>
  <c r="I1367" i="57"/>
  <c r="I1368" i="57"/>
  <c r="I1369" i="57"/>
  <c r="I1370" i="57"/>
  <c r="I1371" i="57"/>
  <c r="I1372" i="57"/>
  <c r="I1373" i="57"/>
  <c r="I1374" i="57"/>
  <c r="I1375" i="57"/>
  <c r="I1376" i="57"/>
  <c r="I1377" i="57"/>
  <c r="I1378" i="57"/>
  <c r="I1379" i="57"/>
  <c r="I1380" i="57"/>
  <c r="I1381" i="57"/>
  <c r="I1382" i="57"/>
  <c r="I1383" i="57"/>
  <c r="I1384" i="57"/>
  <c r="I1385" i="57"/>
  <c r="I1386" i="57"/>
  <c r="I1387" i="57"/>
  <c r="I1388" i="57"/>
  <c r="I1389" i="57"/>
  <c r="I1390" i="57"/>
  <c r="I1391" i="57"/>
  <c r="I1392" i="57"/>
  <c r="I1393" i="57"/>
  <c r="I1394" i="57"/>
  <c r="I1395" i="57"/>
  <c r="I1396" i="57"/>
  <c r="I1397" i="57"/>
  <c r="I1398" i="57"/>
  <c r="I1399" i="57"/>
  <c r="I1400" i="57"/>
  <c r="I1401" i="57"/>
  <c r="I1402" i="57"/>
  <c r="I1403" i="57"/>
  <c r="I1404" i="57"/>
  <c r="I1405" i="57"/>
  <c r="I1406" i="57"/>
  <c r="I1407" i="57"/>
  <c r="I1408" i="57"/>
  <c r="I1409" i="57"/>
  <c r="I1410" i="57"/>
  <c r="I1411" i="57"/>
  <c r="I1412" i="57"/>
  <c r="I1413" i="57"/>
  <c r="I1414" i="57"/>
  <c r="I1415" i="57"/>
  <c r="I1416" i="57"/>
  <c r="I1417" i="57"/>
  <c r="I1418" i="57"/>
  <c r="I1419" i="57"/>
  <c r="I1420" i="57"/>
  <c r="I1421" i="57"/>
  <c r="I1422" i="57"/>
  <c r="I1423" i="57"/>
  <c r="I1424" i="57"/>
  <c r="I1425" i="57"/>
  <c r="I1426" i="57"/>
  <c r="I1427" i="57"/>
  <c r="I1428" i="57"/>
  <c r="I1429" i="57"/>
  <c r="I1430" i="57"/>
  <c r="I1431" i="57"/>
  <c r="I1432" i="57"/>
  <c r="I1433" i="57"/>
  <c r="I1434" i="57"/>
  <c r="I1435" i="57"/>
  <c r="I1436" i="57"/>
  <c r="I1437" i="57"/>
  <c r="I1438" i="57"/>
  <c r="I1439" i="57"/>
  <c r="I1440" i="57"/>
  <c r="I1441" i="57"/>
  <c r="I1442" i="57"/>
  <c r="I1443" i="57"/>
  <c r="I1444" i="57"/>
  <c r="I1445" i="57"/>
  <c r="I1446" i="57"/>
  <c r="I1447" i="57"/>
  <c r="I1448" i="57"/>
  <c r="I1449" i="57"/>
  <c r="I1450" i="57"/>
  <c r="I1451" i="57"/>
  <c r="I1452" i="57"/>
  <c r="I1453" i="57"/>
  <c r="I1454" i="57"/>
  <c r="I1455" i="57"/>
  <c r="I1456" i="57"/>
  <c r="I1457" i="57"/>
  <c r="I1458" i="57"/>
  <c r="I1459" i="57"/>
  <c r="I1460" i="57"/>
  <c r="I1461" i="57"/>
  <c r="I1462" i="57"/>
  <c r="I1463" i="57"/>
  <c r="I1464" i="57"/>
  <c r="I1465" i="57"/>
  <c r="I1466" i="57"/>
  <c r="I1467" i="57"/>
  <c r="I1468" i="57"/>
  <c r="I1469" i="57"/>
  <c r="I1470" i="57"/>
  <c r="I1471" i="57"/>
  <c r="I1472" i="57"/>
  <c r="I1473" i="57"/>
  <c r="I1474" i="57"/>
  <c r="I1475" i="57"/>
  <c r="I1476" i="57"/>
  <c r="I1477" i="57"/>
  <c r="I1478" i="57"/>
  <c r="I1479" i="57"/>
  <c r="I1480" i="57"/>
  <c r="I1481" i="57"/>
  <c r="I1482" i="57"/>
  <c r="I1483" i="57"/>
  <c r="I1484" i="57"/>
  <c r="I1485" i="57"/>
  <c r="I1486" i="57"/>
  <c r="I1487" i="57"/>
  <c r="I1488" i="57"/>
  <c r="I1489" i="57"/>
  <c r="I1490" i="57"/>
  <c r="I1491" i="57"/>
  <c r="I1492" i="57"/>
  <c r="I1493" i="57"/>
  <c r="I1494" i="57"/>
  <c r="I1495" i="57"/>
  <c r="I1496" i="57"/>
  <c r="I1497" i="57"/>
  <c r="I1498" i="57"/>
  <c r="I1499" i="57"/>
  <c r="I1500" i="57"/>
  <c r="I1501" i="57"/>
  <c r="I1502" i="57"/>
  <c r="I1503" i="57"/>
  <c r="I1504" i="57"/>
  <c r="I1505" i="57"/>
  <c r="I1506" i="57"/>
  <c r="I1507" i="57"/>
  <c r="I1508" i="57"/>
  <c r="I1509" i="57"/>
  <c r="I1510" i="57"/>
  <c r="I1511" i="57"/>
  <c r="I1512" i="57"/>
  <c r="I1513" i="57"/>
  <c r="I1514" i="57"/>
  <c r="I1515" i="57"/>
  <c r="I1516" i="57"/>
  <c r="I1517" i="57"/>
  <c r="I1518" i="57"/>
  <c r="I1519" i="57"/>
  <c r="I1520" i="57"/>
  <c r="I1521" i="57"/>
  <c r="I1522" i="57"/>
  <c r="I1523" i="57"/>
  <c r="I1524" i="57"/>
  <c r="I1525" i="57"/>
  <c r="I1526" i="57"/>
  <c r="I1527" i="57"/>
  <c r="I1528" i="57"/>
  <c r="I1529" i="57"/>
  <c r="I1530" i="57"/>
  <c r="I1531" i="57"/>
  <c r="I1532" i="57"/>
  <c r="I1533" i="57"/>
  <c r="I1534" i="57"/>
  <c r="I1535" i="57"/>
  <c r="I1536" i="57"/>
  <c r="I1537" i="57"/>
  <c r="I1538" i="57"/>
  <c r="I1539" i="57"/>
  <c r="I1540" i="57"/>
  <c r="I1541" i="57"/>
  <c r="I1542" i="57"/>
  <c r="I1543" i="57"/>
  <c r="I1544" i="57"/>
  <c r="I1545" i="57"/>
  <c r="I1546" i="57"/>
  <c r="I1547" i="57"/>
  <c r="I1548" i="57"/>
  <c r="I1549" i="57"/>
  <c r="I1550" i="57"/>
  <c r="I1551" i="57"/>
  <c r="I1552" i="57"/>
  <c r="I1553" i="57"/>
  <c r="I1554" i="57"/>
  <c r="I1555" i="57"/>
  <c r="I1556" i="57"/>
  <c r="I1557" i="57"/>
  <c r="I1558" i="57"/>
  <c r="I1559" i="57"/>
  <c r="I1560" i="57"/>
  <c r="I1561" i="57"/>
  <c r="I1562" i="57"/>
  <c r="I1563" i="57"/>
  <c r="I1564" i="57"/>
  <c r="I1565" i="57"/>
  <c r="I1566" i="57"/>
  <c r="I1567" i="57"/>
  <c r="I1568" i="57"/>
  <c r="I1569" i="57"/>
  <c r="I1570" i="57"/>
  <c r="I1571" i="57"/>
  <c r="I1572" i="57"/>
  <c r="I1573" i="57"/>
  <c r="I1574" i="57"/>
  <c r="I1575" i="57"/>
  <c r="I1576" i="57"/>
  <c r="I1577" i="57"/>
  <c r="I1578" i="57"/>
  <c r="I1579" i="57"/>
  <c r="I1580" i="57"/>
  <c r="I1581" i="57"/>
  <c r="I1582" i="57"/>
  <c r="I1583" i="57"/>
  <c r="I1584" i="57"/>
  <c r="I1585" i="57"/>
  <c r="I1586" i="57"/>
  <c r="I1587" i="57"/>
  <c r="I1588" i="57"/>
  <c r="I1589" i="57"/>
  <c r="I1590" i="57"/>
  <c r="I1591" i="57"/>
  <c r="I1592" i="57"/>
  <c r="I1593" i="57"/>
  <c r="I1594" i="57"/>
  <c r="I1595" i="57"/>
  <c r="I1596" i="57"/>
  <c r="I1597" i="57"/>
  <c r="I1598" i="57"/>
  <c r="I1599" i="57"/>
  <c r="I1600" i="57"/>
  <c r="I1601" i="57"/>
  <c r="I1602" i="57"/>
  <c r="I1603" i="57"/>
  <c r="I1604" i="57"/>
  <c r="I1605" i="57"/>
  <c r="I1606" i="57"/>
  <c r="I1607" i="57"/>
  <c r="I1608" i="57"/>
  <c r="I1609" i="57"/>
  <c r="I1610" i="57"/>
  <c r="I1611" i="57"/>
  <c r="I1612" i="57"/>
  <c r="I1613" i="57"/>
  <c r="I1614" i="57"/>
  <c r="I1615" i="57"/>
  <c r="I1616" i="57"/>
  <c r="I1617" i="57"/>
  <c r="I1618" i="57"/>
  <c r="I1619" i="57"/>
  <c r="I1620" i="57"/>
  <c r="I1621" i="57"/>
  <c r="I1622" i="57"/>
  <c r="I1623" i="57"/>
  <c r="I1624" i="57"/>
  <c r="I1625" i="57"/>
  <c r="I1626" i="57"/>
  <c r="I1627" i="57"/>
  <c r="I1628" i="57"/>
  <c r="I1629" i="57"/>
  <c r="I1630" i="57"/>
  <c r="I1631" i="57"/>
  <c r="I1632" i="57"/>
  <c r="I1633" i="57"/>
  <c r="I1634" i="57"/>
  <c r="I1635" i="57"/>
  <c r="I1636" i="57"/>
  <c r="I1637" i="57"/>
  <c r="I1638" i="57"/>
  <c r="I1639" i="57"/>
  <c r="I1640" i="57"/>
  <c r="I1641" i="57"/>
  <c r="I1642" i="57"/>
  <c r="I1643" i="57"/>
  <c r="I1644" i="57"/>
  <c r="I1645" i="57"/>
  <c r="I1646" i="57"/>
  <c r="I1647" i="57"/>
  <c r="I1648" i="57"/>
  <c r="I1649" i="57"/>
  <c r="I1650" i="57"/>
  <c r="I1651" i="57"/>
  <c r="I1652" i="57"/>
  <c r="I1653" i="57"/>
  <c r="I1654" i="57"/>
  <c r="I1655" i="57"/>
  <c r="I1656" i="57"/>
  <c r="I1657" i="57"/>
  <c r="I1658" i="57"/>
  <c r="I1659" i="57"/>
  <c r="I1660" i="57"/>
  <c r="I1661" i="57"/>
  <c r="I1662" i="57"/>
  <c r="I1663" i="57"/>
  <c r="I1664" i="57"/>
  <c r="I1665" i="57"/>
  <c r="I1666" i="57"/>
  <c r="I1667" i="57"/>
  <c r="I1668" i="57"/>
  <c r="I1669" i="57"/>
  <c r="I1670" i="57"/>
  <c r="I1671" i="57"/>
  <c r="I1672" i="57"/>
  <c r="I1673" i="57"/>
  <c r="I1674" i="57"/>
  <c r="I1675" i="57"/>
  <c r="I1676" i="57"/>
  <c r="I1677" i="57"/>
  <c r="I1678" i="57"/>
  <c r="I1679" i="57"/>
  <c r="I1680" i="57"/>
  <c r="I1681" i="57"/>
  <c r="I1682" i="57"/>
  <c r="I1683" i="57"/>
  <c r="I1684" i="57"/>
  <c r="I1685" i="57"/>
  <c r="I1686" i="57"/>
  <c r="I1687" i="57"/>
  <c r="I1688" i="57"/>
  <c r="I1689" i="57"/>
  <c r="I1690" i="57"/>
  <c r="I1691" i="57"/>
  <c r="I1692" i="57"/>
  <c r="I1693" i="57"/>
  <c r="I1694" i="57"/>
  <c r="I1695" i="57"/>
  <c r="I1696" i="57"/>
  <c r="I1697" i="57"/>
  <c r="I1698" i="57"/>
  <c r="I1699" i="57"/>
  <c r="I1700" i="57"/>
  <c r="I1701" i="57"/>
  <c r="I1702" i="57"/>
  <c r="I1703" i="57"/>
  <c r="I1704" i="57"/>
  <c r="I1705" i="57"/>
  <c r="I1706" i="57"/>
  <c r="I1707" i="57"/>
  <c r="I1708" i="57"/>
  <c r="I1709" i="57"/>
  <c r="I1710" i="57"/>
  <c r="I1711" i="57"/>
  <c r="I1712" i="57"/>
  <c r="I1713" i="57"/>
  <c r="I1714" i="57"/>
  <c r="I1715" i="57"/>
  <c r="I1716" i="57"/>
  <c r="I1717" i="57"/>
  <c r="I1718" i="57"/>
  <c r="I1719" i="57"/>
  <c r="I1720" i="57"/>
  <c r="I1721" i="57"/>
  <c r="I1722" i="57"/>
  <c r="I1723" i="57"/>
  <c r="I1724" i="57"/>
  <c r="I1725" i="57"/>
  <c r="I1726" i="57"/>
  <c r="I1727" i="57"/>
  <c r="I1728" i="57"/>
  <c r="I1729" i="57"/>
  <c r="I1730" i="57"/>
  <c r="I1731" i="57"/>
  <c r="I1732" i="57"/>
  <c r="I1733" i="57"/>
  <c r="I1734" i="57"/>
  <c r="I1735" i="57"/>
  <c r="I1736" i="57"/>
  <c r="I1737" i="57"/>
  <c r="I1738" i="57"/>
  <c r="I1739" i="57"/>
  <c r="I1740" i="57"/>
  <c r="I1741" i="57"/>
  <c r="I1742" i="57"/>
  <c r="I1743" i="57"/>
  <c r="I1744" i="57"/>
  <c r="I1745" i="57"/>
  <c r="I1746" i="57"/>
  <c r="I1747" i="57"/>
  <c r="I1748" i="57"/>
  <c r="I1749" i="57"/>
  <c r="I1750" i="57"/>
  <c r="I1751" i="57"/>
  <c r="I1752" i="57"/>
  <c r="I1753" i="57"/>
  <c r="I1754" i="57"/>
  <c r="I1755" i="57"/>
  <c r="I1756" i="57"/>
  <c r="I1757" i="57"/>
  <c r="I1758" i="57"/>
  <c r="I1759" i="57"/>
  <c r="I1760" i="57"/>
  <c r="I1761" i="57"/>
  <c r="I1762" i="57"/>
  <c r="I1763" i="57"/>
  <c r="I1764" i="57"/>
  <c r="I1765" i="57"/>
  <c r="I1766" i="57"/>
  <c r="I1767" i="57"/>
  <c r="I1768" i="57"/>
  <c r="I1769" i="57"/>
  <c r="I1770" i="57"/>
  <c r="I1771" i="57"/>
  <c r="I1772" i="57"/>
  <c r="I1773" i="57"/>
  <c r="I1774" i="57"/>
  <c r="I1775" i="57"/>
  <c r="I1776" i="57"/>
  <c r="I1777" i="57"/>
  <c r="I1778" i="57"/>
  <c r="I1779" i="57"/>
  <c r="I1780" i="57"/>
  <c r="I1781" i="57"/>
  <c r="I1782" i="57"/>
  <c r="I1783" i="57"/>
  <c r="I1784" i="57"/>
  <c r="I1785" i="57"/>
  <c r="I1786" i="57"/>
  <c r="I1787" i="57"/>
  <c r="I1788" i="57"/>
  <c r="I1789" i="57"/>
  <c r="I1790" i="57"/>
  <c r="I1791" i="57"/>
  <c r="I1792" i="57"/>
  <c r="I1793" i="57"/>
  <c r="I1794" i="57"/>
  <c r="I1795" i="57"/>
  <c r="I1796" i="57"/>
  <c r="I1797" i="57"/>
  <c r="I1798" i="57"/>
  <c r="I1799" i="57"/>
  <c r="I1800" i="57"/>
  <c r="I1801" i="57"/>
  <c r="I1802" i="57"/>
  <c r="I1803" i="57"/>
  <c r="I1804" i="57"/>
  <c r="I1805" i="57"/>
  <c r="I1806" i="57"/>
  <c r="I1807" i="57"/>
  <c r="I1808" i="57"/>
  <c r="I1809" i="57"/>
  <c r="I1810" i="57"/>
  <c r="I1811" i="57"/>
  <c r="I1812" i="57"/>
  <c r="I1813" i="57"/>
  <c r="I1814" i="57"/>
  <c r="I1815" i="57"/>
  <c r="I1816" i="57"/>
  <c r="I1817" i="57"/>
  <c r="I1818" i="57"/>
  <c r="I1819" i="57"/>
  <c r="I1820" i="57"/>
  <c r="I1821" i="57"/>
  <c r="I1822" i="57"/>
  <c r="I1823" i="57"/>
  <c r="I1824" i="57"/>
  <c r="I1825" i="57"/>
  <c r="I1826" i="57"/>
  <c r="I1827" i="57"/>
  <c r="I1828" i="57"/>
  <c r="I1829" i="57"/>
  <c r="I1830" i="57"/>
  <c r="I1831" i="57"/>
  <c r="I1832" i="57"/>
  <c r="I1833" i="57"/>
  <c r="I1834" i="57"/>
  <c r="I1835" i="57"/>
  <c r="I1836" i="57"/>
  <c r="I1837" i="57"/>
  <c r="I1838" i="57"/>
  <c r="I1839" i="57"/>
  <c r="I1840" i="57"/>
  <c r="I1841" i="57"/>
  <c r="I1842" i="57"/>
  <c r="I1843" i="57"/>
  <c r="I1844" i="57"/>
  <c r="I1845" i="57"/>
  <c r="I1846" i="57"/>
  <c r="I1847" i="57"/>
  <c r="I1848" i="57"/>
  <c r="I1849" i="57"/>
  <c r="I1850" i="57"/>
  <c r="I1851" i="57"/>
  <c r="I1852" i="57"/>
  <c r="I1853" i="57"/>
  <c r="I1854" i="57"/>
  <c r="I1855" i="57"/>
  <c r="I1856" i="57"/>
  <c r="I1857" i="57"/>
  <c r="I1858" i="57"/>
  <c r="I1859" i="57"/>
  <c r="I1860" i="57"/>
  <c r="I1861" i="57"/>
  <c r="I1862" i="57"/>
  <c r="I1863" i="57"/>
  <c r="I1864" i="57"/>
  <c r="I1865" i="57"/>
  <c r="I1866" i="57"/>
  <c r="I1867" i="57"/>
  <c r="I1868" i="57"/>
  <c r="I1869" i="57"/>
  <c r="I1870" i="57"/>
  <c r="I1871" i="57"/>
  <c r="I1872" i="57"/>
  <c r="I1873" i="57"/>
  <c r="I1874" i="57"/>
  <c r="I1875" i="57"/>
  <c r="I1876" i="57"/>
  <c r="I1877" i="57"/>
  <c r="I1878" i="57"/>
  <c r="I1879" i="57"/>
  <c r="I1880" i="57"/>
  <c r="I1881" i="57"/>
  <c r="I1882" i="57"/>
  <c r="I1883" i="57"/>
  <c r="I1884" i="57"/>
  <c r="I1885" i="57"/>
  <c r="I1886" i="57"/>
  <c r="I1887" i="57"/>
  <c r="I1888" i="57"/>
  <c r="I1889" i="57"/>
  <c r="I1890" i="57"/>
  <c r="I1891" i="57"/>
  <c r="I1892" i="57"/>
  <c r="I1893" i="57"/>
  <c r="I1894" i="57"/>
  <c r="I1895" i="57"/>
  <c r="I1896" i="57"/>
  <c r="I1897" i="57"/>
  <c r="I1898" i="57"/>
  <c r="I1899" i="57"/>
  <c r="I1900" i="57"/>
  <c r="I1901" i="57"/>
  <c r="I1902" i="57"/>
  <c r="I1903" i="57"/>
  <c r="I1904" i="57"/>
  <c r="I1905" i="57"/>
  <c r="I1906" i="57"/>
  <c r="I1907" i="57"/>
  <c r="I1908" i="57"/>
  <c r="I1909" i="57"/>
  <c r="I1910" i="57"/>
  <c r="I1911" i="57"/>
  <c r="I1912" i="57"/>
  <c r="I1913" i="57"/>
  <c r="I1914" i="57"/>
  <c r="I1915" i="57"/>
  <c r="I1916" i="57"/>
  <c r="I1917" i="57"/>
  <c r="I1918" i="57"/>
  <c r="I1919" i="57"/>
  <c r="I1920" i="57"/>
  <c r="I1921" i="57"/>
  <c r="I1922" i="57"/>
  <c r="I1923" i="57"/>
  <c r="I1924" i="57"/>
  <c r="I1925" i="57"/>
  <c r="I1926" i="57"/>
  <c r="I1927" i="57"/>
  <c r="I1928" i="57"/>
  <c r="I1929" i="57"/>
  <c r="I1930" i="57"/>
  <c r="I1931" i="57"/>
  <c r="I1932" i="57"/>
  <c r="I1933" i="57"/>
  <c r="I1934" i="57"/>
  <c r="I1935" i="57"/>
  <c r="I1936" i="57"/>
  <c r="I1937" i="57"/>
  <c r="I1938" i="57"/>
  <c r="I1939" i="57"/>
  <c r="I1940" i="57"/>
  <c r="I1941" i="57"/>
  <c r="I1942" i="57"/>
  <c r="I1943" i="57"/>
  <c r="I1944" i="57"/>
  <c r="I1945" i="57"/>
  <c r="I1946" i="57"/>
  <c r="I1947" i="57"/>
  <c r="I1948" i="57"/>
  <c r="I1949" i="57"/>
  <c r="I1950" i="57"/>
  <c r="I1951" i="57"/>
  <c r="I1952" i="57"/>
  <c r="I1953" i="57"/>
  <c r="I1954" i="57"/>
  <c r="I1955" i="57"/>
  <c r="I1956" i="57"/>
  <c r="I1957" i="57"/>
  <c r="I1958" i="57"/>
  <c r="I1959" i="57"/>
  <c r="I1960" i="57"/>
  <c r="I1961" i="57"/>
  <c r="I1962" i="57"/>
  <c r="I1963" i="57"/>
  <c r="I1964" i="57"/>
  <c r="I1965" i="57"/>
  <c r="I1966" i="57"/>
  <c r="I1967" i="57"/>
  <c r="I1968" i="57"/>
  <c r="I1969" i="57"/>
  <c r="I1970" i="57"/>
  <c r="I1971" i="57"/>
  <c r="I1972" i="57"/>
  <c r="I1973" i="57"/>
  <c r="I1974" i="57"/>
  <c r="I1975" i="57"/>
  <c r="I1976" i="57"/>
  <c r="I1977" i="57"/>
  <c r="I1978" i="57"/>
  <c r="I1979" i="57"/>
  <c r="I1980" i="57"/>
  <c r="I1981" i="57"/>
  <c r="I1982" i="57"/>
  <c r="I1983" i="57"/>
  <c r="I1984" i="57"/>
  <c r="I1985" i="57"/>
  <c r="I1986" i="57"/>
  <c r="I1987" i="57"/>
  <c r="I1988" i="57"/>
  <c r="I1989" i="57"/>
  <c r="I1990" i="57"/>
  <c r="I1991" i="57"/>
  <c r="I1992" i="57"/>
  <c r="I1993" i="57"/>
  <c r="I1994" i="57"/>
  <c r="I1995" i="57"/>
  <c r="I1996" i="57"/>
  <c r="I1997" i="57"/>
  <c r="I1998" i="57"/>
  <c r="I1999" i="57"/>
  <c r="I2000" i="57"/>
  <c r="I2001" i="57"/>
  <c r="I2002" i="57"/>
  <c r="I2003" i="57"/>
  <c r="I2004" i="57"/>
  <c r="I2005" i="57"/>
  <c r="I2006" i="57"/>
  <c r="I2007" i="57"/>
  <c r="I2008" i="57"/>
  <c r="I2009" i="57"/>
  <c r="I2010" i="57"/>
  <c r="I2011" i="57"/>
  <c r="I2012" i="57"/>
  <c r="I2013" i="57"/>
  <c r="I2014" i="57"/>
  <c r="I2015" i="57"/>
  <c r="I2016" i="57"/>
  <c r="I2017" i="57"/>
  <c r="I2018" i="57"/>
  <c r="I2019" i="57"/>
  <c r="I2020" i="57"/>
  <c r="I2021" i="57"/>
  <c r="I2022" i="57"/>
  <c r="I2023" i="57"/>
  <c r="I2024" i="57"/>
  <c r="I2025" i="57"/>
  <c r="I2026" i="57"/>
  <c r="I2027" i="57"/>
  <c r="I2028" i="57"/>
  <c r="I2029" i="57"/>
  <c r="I2030" i="57"/>
  <c r="I2031" i="57"/>
  <c r="I2032" i="57"/>
  <c r="I2033" i="57"/>
  <c r="I2034" i="57"/>
  <c r="I2035" i="57"/>
  <c r="I2036" i="57"/>
  <c r="I2037" i="57"/>
  <c r="I2038" i="57"/>
  <c r="I2039" i="57"/>
  <c r="I2040" i="57"/>
  <c r="I2041" i="57"/>
  <c r="I2042" i="57"/>
  <c r="I2043" i="57"/>
  <c r="I2044" i="57"/>
  <c r="I2045" i="57"/>
  <c r="I2046" i="57"/>
  <c r="I2047" i="57"/>
  <c r="I2048" i="57"/>
  <c r="I2049" i="57"/>
  <c r="I2050" i="57"/>
  <c r="I2051" i="57"/>
  <c r="I2052" i="57"/>
  <c r="I2053" i="57"/>
  <c r="I2054" i="57"/>
  <c r="I2055" i="57"/>
  <c r="I2056" i="57"/>
  <c r="I2057" i="57"/>
  <c r="I2058" i="57"/>
  <c r="I2059" i="57"/>
  <c r="I2060" i="57"/>
  <c r="I2061" i="57"/>
  <c r="I2062" i="57"/>
  <c r="I2063" i="57"/>
  <c r="I2064" i="57"/>
  <c r="I2065" i="57"/>
  <c r="I2066" i="57"/>
  <c r="I2067" i="57"/>
  <c r="I2068" i="57"/>
  <c r="I2069" i="57"/>
  <c r="I2070" i="57"/>
  <c r="I2071" i="57"/>
  <c r="I2072" i="57"/>
  <c r="I2073" i="57"/>
  <c r="I2074" i="57"/>
  <c r="I2075" i="57"/>
  <c r="I2076" i="57"/>
  <c r="I2077" i="57"/>
  <c r="I2078" i="57"/>
  <c r="I2079" i="57"/>
  <c r="I2080" i="57"/>
  <c r="I2081" i="57"/>
  <c r="I2082" i="57"/>
  <c r="I2083" i="57"/>
  <c r="I2084" i="57"/>
  <c r="I2085" i="57"/>
  <c r="I2086" i="57"/>
  <c r="I2087" i="57"/>
  <c r="I2088" i="57"/>
  <c r="I2089" i="57"/>
  <c r="I2090" i="57"/>
  <c r="I2091" i="57"/>
  <c r="I2092" i="57"/>
  <c r="I2093" i="57"/>
  <c r="I2094" i="57"/>
  <c r="I2095" i="57"/>
  <c r="I2096" i="57"/>
  <c r="I2097" i="57"/>
  <c r="I2098" i="57"/>
  <c r="I2099" i="57"/>
  <c r="I2100" i="57"/>
  <c r="I2101" i="57"/>
  <c r="I2102" i="57"/>
  <c r="I2103" i="57"/>
  <c r="I2104" i="57"/>
  <c r="I2105" i="57"/>
  <c r="I2106" i="57"/>
  <c r="I2107" i="57"/>
  <c r="I2108" i="57"/>
  <c r="I2109" i="57"/>
  <c r="I2110" i="57"/>
  <c r="I2111" i="57"/>
  <c r="I2112" i="57"/>
  <c r="I2113" i="57"/>
  <c r="I2114" i="57"/>
  <c r="I2115" i="57"/>
  <c r="I2116" i="57"/>
  <c r="I2117" i="57"/>
  <c r="I2118" i="57"/>
  <c r="I2119" i="57"/>
  <c r="I2120" i="57"/>
  <c r="I2121" i="57"/>
  <c r="I2122" i="57"/>
  <c r="I2123" i="57"/>
  <c r="I2124" i="57"/>
  <c r="I2125" i="57"/>
  <c r="I2126" i="57"/>
  <c r="I2127" i="57"/>
  <c r="I2128" i="57"/>
  <c r="I2129" i="57"/>
  <c r="I2130" i="57"/>
  <c r="I2131" i="57"/>
  <c r="I2132" i="57"/>
  <c r="I2133" i="57"/>
  <c r="I2134" i="57"/>
  <c r="I2135" i="57"/>
  <c r="I2136" i="57"/>
  <c r="I2137" i="57"/>
  <c r="I2138" i="57"/>
  <c r="I2139" i="57"/>
  <c r="I2140" i="57"/>
  <c r="I2141" i="57"/>
  <c r="I2142" i="57"/>
  <c r="I2143" i="57"/>
  <c r="I2144" i="57"/>
  <c r="I2145" i="57"/>
  <c r="I2146" i="57"/>
  <c r="I2147" i="57"/>
  <c r="I2148" i="57"/>
  <c r="I2149" i="57"/>
  <c r="I2150" i="57"/>
  <c r="I2151" i="57"/>
  <c r="I2152" i="57"/>
  <c r="I2153" i="57"/>
  <c r="I2154" i="57"/>
  <c r="I2155" i="57"/>
  <c r="I2156" i="57"/>
  <c r="I2157" i="57"/>
  <c r="I2158" i="57"/>
  <c r="I2159" i="57"/>
  <c r="I2160" i="57"/>
  <c r="I2161" i="57"/>
  <c r="I2162" i="57"/>
  <c r="I2163" i="57"/>
  <c r="I2164" i="57"/>
  <c r="I2165" i="57"/>
  <c r="I2166" i="57"/>
  <c r="I2167" i="57"/>
  <c r="I2168" i="57"/>
  <c r="I2169" i="57"/>
  <c r="I2170" i="57"/>
  <c r="I2171" i="57"/>
  <c r="I2172" i="57"/>
  <c r="I2173" i="57"/>
  <c r="I2174" i="57"/>
  <c r="I2175" i="57"/>
  <c r="I2176" i="57"/>
  <c r="I2177" i="57"/>
  <c r="I2178" i="57"/>
  <c r="I2179" i="57"/>
  <c r="I2180" i="57"/>
  <c r="I2181" i="57"/>
  <c r="I2182" i="57"/>
  <c r="I2183" i="57"/>
  <c r="I2184" i="57"/>
  <c r="I2185" i="57"/>
  <c r="I2186" i="57"/>
  <c r="I2187" i="57"/>
  <c r="I2188" i="57"/>
  <c r="I2189" i="57"/>
  <c r="I2190" i="57"/>
  <c r="I2191" i="57"/>
  <c r="I2192" i="57"/>
  <c r="I2193" i="57"/>
  <c r="I2194" i="57"/>
  <c r="I2195" i="57"/>
  <c r="I2196" i="57"/>
  <c r="I2197" i="57"/>
  <c r="I2198" i="57"/>
  <c r="I2199" i="57"/>
  <c r="I2200" i="57"/>
  <c r="I2201" i="57"/>
  <c r="I2202" i="57"/>
  <c r="I2203" i="57"/>
  <c r="I2204" i="57"/>
  <c r="I2205" i="57"/>
  <c r="I2206" i="57"/>
  <c r="I2207" i="57"/>
  <c r="I2208" i="57"/>
  <c r="I2209" i="57"/>
  <c r="I2210" i="57"/>
  <c r="I2211" i="57"/>
  <c r="I2212" i="57"/>
  <c r="I2213" i="57"/>
  <c r="I2214" i="57"/>
  <c r="I2215" i="57"/>
  <c r="I2216" i="57"/>
  <c r="I2217" i="57"/>
  <c r="I2218" i="57"/>
  <c r="I2219" i="57"/>
  <c r="I2220" i="57"/>
  <c r="I2221" i="57"/>
  <c r="I2222" i="57"/>
  <c r="I2223" i="57"/>
  <c r="I2224" i="57"/>
  <c r="I2225" i="57"/>
  <c r="I2226" i="57"/>
  <c r="I2227" i="57"/>
  <c r="I2228" i="57"/>
  <c r="I2229" i="57"/>
  <c r="I2230" i="57"/>
  <c r="I2231" i="57"/>
  <c r="I2232" i="57"/>
  <c r="I2233" i="57"/>
  <c r="I2234" i="57"/>
  <c r="I2235" i="57"/>
  <c r="I2236" i="57"/>
  <c r="I2237" i="57"/>
  <c r="I2238" i="57"/>
  <c r="I2239" i="57"/>
  <c r="I2240" i="57"/>
  <c r="I2241" i="57"/>
  <c r="I2242" i="57"/>
  <c r="I2243" i="57"/>
  <c r="I2244" i="57"/>
  <c r="I2245" i="57"/>
  <c r="I2246" i="57"/>
  <c r="I2247" i="57"/>
  <c r="I2248" i="57"/>
  <c r="I2249" i="57"/>
  <c r="I2250" i="57"/>
  <c r="I2251" i="57"/>
  <c r="I2252" i="57"/>
  <c r="I2253" i="57"/>
  <c r="I2254" i="57"/>
  <c r="I2255" i="57"/>
  <c r="I2256" i="57"/>
  <c r="I2257" i="57"/>
  <c r="I2258" i="57"/>
  <c r="I2259" i="57"/>
  <c r="I2260" i="57"/>
  <c r="I2261" i="57"/>
  <c r="I2262" i="57"/>
  <c r="I2263" i="57"/>
  <c r="I2264" i="57"/>
  <c r="I2265" i="57"/>
  <c r="I2266" i="57"/>
  <c r="I2267" i="57"/>
  <c r="I2268" i="57"/>
  <c r="I2269" i="57"/>
  <c r="I2270" i="57"/>
  <c r="I2271" i="57"/>
  <c r="I2272" i="57"/>
  <c r="I2273" i="57"/>
  <c r="I2274" i="57"/>
  <c r="I2275" i="57"/>
  <c r="I2276" i="57"/>
  <c r="I2277" i="57"/>
  <c r="I2278" i="57"/>
  <c r="I2279" i="57"/>
  <c r="I2280" i="57"/>
  <c r="I2281" i="57"/>
  <c r="I2282" i="57"/>
  <c r="I2283" i="57"/>
  <c r="I2284" i="57"/>
  <c r="I2285" i="57"/>
  <c r="I2286" i="57"/>
  <c r="I2287" i="57"/>
  <c r="I2288" i="57"/>
  <c r="I2289" i="57"/>
  <c r="I2290" i="57"/>
  <c r="I2291" i="57"/>
  <c r="I2292" i="57"/>
  <c r="I2293" i="57"/>
  <c r="I2294" i="57"/>
  <c r="I2295" i="57"/>
  <c r="I2296" i="57"/>
  <c r="I2297" i="57"/>
  <c r="I2298" i="57"/>
  <c r="I2299" i="57"/>
  <c r="I2300" i="57"/>
  <c r="I2301" i="57"/>
  <c r="I2302" i="57"/>
  <c r="I2303" i="57"/>
  <c r="I2304" i="57"/>
  <c r="I2305" i="57"/>
  <c r="I2306" i="57"/>
  <c r="I2307" i="57"/>
  <c r="I2308" i="57"/>
  <c r="I2309" i="57"/>
  <c r="I2310" i="57"/>
  <c r="I2311" i="57"/>
  <c r="I2312" i="57"/>
  <c r="I2313" i="57"/>
  <c r="I2314" i="57"/>
  <c r="I2315" i="57"/>
  <c r="I2316" i="57"/>
  <c r="I2317" i="57"/>
  <c r="I2318" i="57"/>
  <c r="I2319" i="57"/>
  <c r="I2320" i="57"/>
  <c r="I2321" i="57"/>
  <c r="I2322" i="57"/>
  <c r="I2323" i="57"/>
  <c r="I2324" i="57"/>
  <c r="I2325" i="57"/>
  <c r="I2326" i="57"/>
  <c r="I2327" i="57"/>
  <c r="I2328" i="57"/>
  <c r="I2329" i="57"/>
  <c r="I2330" i="57"/>
  <c r="I2331" i="57"/>
  <c r="I2332" i="57"/>
  <c r="I2333" i="57"/>
  <c r="I2334" i="57"/>
  <c r="I2335" i="57"/>
  <c r="I2336" i="57"/>
  <c r="I2337" i="57"/>
  <c r="I2338" i="57"/>
  <c r="I2339" i="57"/>
  <c r="I2340" i="57"/>
  <c r="I2341" i="57"/>
  <c r="I2342" i="57"/>
  <c r="I2343" i="57"/>
  <c r="I2344" i="57"/>
  <c r="I2345" i="57"/>
  <c r="I2346" i="57"/>
  <c r="I2347" i="57"/>
  <c r="I2348" i="57"/>
  <c r="I2349" i="57"/>
  <c r="I2350" i="57"/>
  <c r="I2351" i="57"/>
  <c r="I2352" i="57"/>
  <c r="I2353" i="57"/>
  <c r="I2354" i="57"/>
  <c r="I2355" i="57"/>
  <c r="I2356" i="57"/>
  <c r="I2357" i="57"/>
  <c r="I2358" i="57"/>
  <c r="I2359" i="57"/>
  <c r="I2360" i="57"/>
  <c r="I2361" i="57"/>
  <c r="I2362" i="57"/>
  <c r="I2363" i="57"/>
  <c r="I2364" i="57"/>
  <c r="I2365" i="57"/>
  <c r="I2366" i="57"/>
  <c r="I2367" i="57"/>
  <c r="I2368" i="57"/>
  <c r="I2369" i="57"/>
  <c r="I2370" i="57"/>
  <c r="I2371" i="57"/>
  <c r="I2372" i="57"/>
  <c r="I2373" i="57"/>
  <c r="I2374" i="57"/>
  <c r="I2375" i="57"/>
  <c r="I2376" i="57"/>
  <c r="I2377" i="57"/>
  <c r="I2378" i="57"/>
  <c r="I2379" i="57"/>
  <c r="I2380" i="57"/>
  <c r="I2381" i="57"/>
  <c r="I2382" i="57"/>
  <c r="I2383" i="57"/>
  <c r="I2384" i="57"/>
  <c r="I2385" i="57"/>
  <c r="I2386" i="57"/>
  <c r="I2387" i="57"/>
  <c r="I2388" i="57"/>
  <c r="I2389" i="57"/>
  <c r="I2390" i="57"/>
  <c r="I2391" i="57"/>
  <c r="I2392" i="57"/>
  <c r="I2393" i="57"/>
  <c r="I2394" i="57"/>
  <c r="I2395" i="57"/>
  <c r="I2396" i="57"/>
  <c r="I2397" i="57"/>
  <c r="I2398" i="57"/>
  <c r="I2399" i="57"/>
  <c r="I2400" i="57"/>
  <c r="I2401" i="57"/>
  <c r="I2402" i="57"/>
  <c r="I2403" i="57"/>
  <c r="I2404" i="57"/>
  <c r="I2405" i="57"/>
  <c r="I2406" i="57"/>
  <c r="I2407" i="57"/>
  <c r="I2408" i="57"/>
  <c r="I2409" i="57"/>
  <c r="I2410" i="57"/>
  <c r="I2411" i="57"/>
  <c r="I2412" i="57"/>
  <c r="I2413" i="57"/>
  <c r="I2414" i="57"/>
  <c r="I2415" i="57"/>
  <c r="I2416" i="57"/>
  <c r="I2417" i="57"/>
  <c r="I2418" i="57"/>
  <c r="I2419" i="57"/>
  <c r="I2420" i="57"/>
  <c r="I2421" i="57"/>
  <c r="I2422" i="57"/>
  <c r="I2423" i="57"/>
  <c r="I2424" i="57"/>
  <c r="I2425" i="57"/>
  <c r="I2426" i="57"/>
  <c r="I2427" i="57"/>
  <c r="I2428" i="57"/>
  <c r="I2429" i="57"/>
  <c r="I2430" i="57"/>
  <c r="I2431" i="57"/>
  <c r="I2432" i="57"/>
  <c r="I2433" i="57"/>
  <c r="I2434" i="57"/>
  <c r="I2435" i="57"/>
  <c r="I2436" i="57"/>
  <c r="I2437" i="57"/>
  <c r="I2438" i="57"/>
  <c r="I2439" i="57"/>
  <c r="I2440" i="57"/>
  <c r="I2441" i="57"/>
  <c r="I2442" i="57"/>
  <c r="I2443" i="57"/>
  <c r="I2444" i="57"/>
  <c r="I2445" i="57"/>
  <c r="I2446" i="57"/>
  <c r="I2447" i="57"/>
  <c r="I2448" i="57"/>
  <c r="I2449" i="57"/>
  <c r="I2450" i="57"/>
  <c r="I2451" i="57"/>
  <c r="I2452" i="57"/>
  <c r="I2453" i="57"/>
  <c r="I2454" i="57"/>
  <c r="I2455" i="57"/>
  <c r="I2456" i="57"/>
  <c r="I2457" i="57"/>
  <c r="I2458" i="57"/>
  <c r="I2459" i="57"/>
  <c r="I2460" i="57"/>
  <c r="I2461" i="57"/>
  <c r="I2462" i="57"/>
  <c r="I2463" i="57"/>
  <c r="I2464" i="57"/>
  <c r="I2465" i="57"/>
  <c r="I2466" i="57"/>
  <c r="I2467" i="57"/>
  <c r="I2468" i="57"/>
  <c r="I2469" i="57"/>
  <c r="I2470" i="57"/>
  <c r="I2471" i="57"/>
  <c r="I2472" i="57"/>
  <c r="I2473" i="57"/>
  <c r="I2474" i="57"/>
  <c r="I2475" i="57"/>
  <c r="I2476" i="57"/>
  <c r="I2477" i="57"/>
  <c r="I2478" i="57"/>
  <c r="I2479" i="57"/>
  <c r="I2480" i="57"/>
  <c r="I2481" i="57"/>
  <c r="I2482" i="57"/>
  <c r="I2483" i="57"/>
  <c r="I2484" i="57"/>
  <c r="I2485" i="57"/>
  <c r="I2486" i="57"/>
  <c r="I2487" i="57"/>
  <c r="I2488" i="57"/>
  <c r="I2489" i="57"/>
  <c r="I2490" i="57"/>
  <c r="I2491" i="57"/>
  <c r="I2492" i="57"/>
  <c r="I2493" i="57"/>
  <c r="I2494" i="57"/>
  <c r="I2495" i="57"/>
  <c r="I2496" i="57"/>
  <c r="I2497" i="57"/>
  <c r="I2498" i="57"/>
  <c r="I2499" i="57"/>
  <c r="I2500" i="57"/>
  <c r="I2501" i="57"/>
  <c r="I2502" i="57"/>
  <c r="I2503" i="57"/>
  <c r="I2504" i="57"/>
  <c r="I2505" i="57"/>
  <c r="I2506" i="57"/>
  <c r="I2507" i="57"/>
  <c r="I2508" i="57"/>
  <c r="I2509" i="57"/>
  <c r="I2510" i="57"/>
  <c r="I2511" i="57"/>
  <c r="I2512" i="57"/>
  <c r="I2513" i="57"/>
  <c r="I2514" i="57"/>
  <c r="I2515" i="57"/>
  <c r="I2516" i="57"/>
  <c r="I2517" i="57"/>
  <c r="I2518" i="57"/>
  <c r="I2519" i="57"/>
  <c r="I2520" i="57"/>
  <c r="I2521" i="57"/>
  <c r="I2522" i="57"/>
  <c r="I2523" i="57"/>
  <c r="I2524" i="57"/>
  <c r="I2525" i="57"/>
  <c r="I2526" i="57"/>
  <c r="I2527" i="57"/>
  <c r="I2528" i="57"/>
  <c r="I2529" i="57"/>
  <c r="I2530" i="57"/>
  <c r="I2531" i="57"/>
  <c r="I2532" i="57"/>
  <c r="I2533" i="57"/>
  <c r="I2534" i="57"/>
  <c r="I2535" i="57"/>
  <c r="I2536" i="57"/>
  <c r="I2537" i="57"/>
  <c r="I2538" i="57"/>
  <c r="I2539" i="57"/>
  <c r="I2540" i="57"/>
  <c r="I2541" i="57"/>
  <c r="I2542" i="57"/>
  <c r="I2543" i="57"/>
  <c r="I2544" i="57"/>
  <c r="I2545" i="57"/>
  <c r="I2546" i="57"/>
  <c r="I2547" i="57"/>
  <c r="I2548" i="57"/>
  <c r="I2549" i="57"/>
  <c r="I2550" i="57"/>
  <c r="I2551" i="57"/>
  <c r="I2552" i="57"/>
  <c r="I2553" i="57"/>
  <c r="I2554" i="57"/>
  <c r="I2555" i="57"/>
  <c r="I2556" i="57"/>
  <c r="I2557" i="57"/>
  <c r="I2558" i="57"/>
  <c r="I2559" i="57"/>
  <c r="I2560" i="57"/>
  <c r="I2561" i="57"/>
  <c r="I2562" i="57"/>
  <c r="I2563" i="57"/>
  <c r="I2564" i="57"/>
  <c r="I2565" i="57"/>
  <c r="I2566" i="57"/>
  <c r="I2567" i="57"/>
  <c r="I2568" i="57"/>
  <c r="I2569" i="57"/>
  <c r="I2570" i="57"/>
  <c r="I2571" i="57"/>
  <c r="I2572" i="57"/>
  <c r="I2573" i="57"/>
  <c r="I2574" i="57"/>
  <c r="I2575" i="57"/>
  <c r="I2576" i="57"/>
  <c r="I2577" i="57"/>
  <c r="I2578" i="57"/>
  <c r="I2579" i="57"/>
  <c r="I2580" i="57"/>
  <c r="I2581" i="57"/>
  <c r="I2582" i="57"/>
  <c r="I2583" i="57"/>
  <c r="I2584" i="57"/>
  <c r="I2585" i="57"/>
  <c r="I2586" i="57"/>
  <c r="I2587" i="57"/>
  <c r="I2588" i="57"/>
  <c r="I2589" i="57"/>
  <c r="I2590" i="57"/>
  <c r="I2591" i="57"/>
  <c r="I2592" i="57"/>
  <c r="I2593" i="57"/>
  <c r="I2594" i="57"/>
  <c r="I2595" i="57"/>
  <c r="I2596" i="57"/>
  <c r="I2597" i="57"/>
  <c r="I2598" i="57"/>
  <c r="I2599" i="57"/>
  <c r="I2600" i="57"/>
  <c r="I2601" i="57"/>
  <c r="I2602" i="57"/>
  <c r="I2603" i="57"/>
  <c r="I2604" i="57"/>
  <c r="I2605" i="57"/>
  <c r="I2606" i="57"/>
  <c r="I2607" i="57"/>
  <c r="I2608" i="57"/>
  <c r="I2609" i="57"/>
  <c r="I2610" i="57"/>
  <c r="I2611" i="57"/>
  <c r="I2612" i="57"/>
  <c r="I2613" i="57"/>
  <c r="I2614" i="57"/>
  <c r="I2615" i="57"/>
  <c r="I2616" i="57"/>
  <c r="I2617" i="57"/>
  <c r="I2618" i="57"/>
  <c r="I2619" i="57"/>
  <c r="I2620" i="57"/>
  <c r="I2621" i="57"/>
  <c r="I2622" i="57"/>
  <c r="I2623" i="57"/>
  <c r="I2624" i="57"/>
  <c r="I2625" i="57"/>
  <c r="I2626" i="57"/>
  <c r="I2627" i="57"/>
  <c r="I2628" i="57"/>
  <c r="I2629" i="57"/>
  <c r="I2630" i="57"/>
  <c r="I2631" i="57"/>
  <c r="I2632" i="57"/>
  <c r="I2633" i="57"/>
  <c r="I2634" i="57"/>
  <c r="I2635" i="57"/>
  <c r="I2636" i="57"/>
  <c r="I2637" i="57"/>
  <c r="I2638" i="57"/>
  <c r="I2639" i="57"/>
  <c r="I2640" i="57"/>
  <c r="I2641" i="57"/>
  <c r="I2642" i="57"/>
  <c r="I2643" i="57"/>
  <c r="I2644" i="57"/>
  <c r="I2645" i="57"/>
  <c r="I2646" i="57"/>
  <c r="I2647" i="57"/>
  <c r="I2648" i="57"/>
  <c r="I2649" i="57"/>
  <c r="I2650" i="57"/>
  <c r="I2651" i="57"/>
  <c r="I2652" i="57"/>
  <c r="I2653" i="57"/>
  <c r="I2654" i="57"/>
  <c r="I2655" i="57"/>
  <c r="I2656" i="57"/>
  <c r="I2657" i="57"/>
  <c r="I2658" i="57"/>
  <c r="I2659" i="57"/>
  <c r="I2660" i="57"/>
  <c r="I2661" i="57"/>
  <c r="I2662" i="57"/>
  <c r="I2663" i="57"/>
  <c r="I2664" i="57"/>
  <c r="I2665" i="57"/>
  <c r="I2666" i="57"/>
  <c r="I2667" i="57"/>
  <c r="I2668" i="57"/>
  <c r="I2669" i="57"/>
  <c r="I2670" i="57"/>
  <c r="I2671" i="57"/>
  <c r="I2672" i="57"/>
  <c r="I2673" i="57"/>
  <c r="I2674" i="57"/>
  <c r="I2675" i="57"/>
  <c r="I2676" i="57"/>
  <c r="I2677" i="57"/>
  <c r="I2678" i="57"/>
  <c r="I2679" i="57"/>
  <c r="I2680" i="57"/>
  <c r="I2681" i="57"/>
  <c r="I2682" i="57"/>
  <c r="I2683" i="57"/>
  <c r="I2684" i="57"/>
  <c r="I2685" i="57"/>
  <c r="I2686" i="57"/>
  <c r="I2687" i="57"/>
  <c r="I2688" i="57"/>
  <c r="I2689" i="57"/>
  <c r="I2690" i="57"/>
  <c r="I2691" i="57"/>
  <c r="I2692" i="57"/>
  <c r="I2693" i="57"/>
  <c r="I2694" i="57"/>
  <c r="I2695" i="57"/>
  <c r="I2696" i="57"/>
  <c r="I2697" i="57"/>
  <c r="I2698" i="57"/>
  <c r="I2699" i="57"/>
  <c r="I2700" i="57"/>
  <c r="I2701" i="57"/>
  <c r="I2702" i="57"/>
  <c r="I2703" i="57"/>
  <c r="I2704" i="57"/>
  <c r="I2705" i="57"/>
  <c r="I2706" i="57"/>
  <c r="I2707" i="57"/>
  <c r="I2708" i="57"/>
  <c r="I2709" i="57"/>
  <c r="I2710" i="57"/>
  <c r="I2711" i="57"/>
  <c r="I2712" i="57"/>
  <c r="I2713" i="57"/>
  <c r="I2714" i="57"/>
  <c r="I2715" i="57"/>
  <c r="I2716" i="57"/>
  <c r="I2717" i="57"/>
  <c r="I2718" i="57"/>
  <c r="I2719" i="57"/>
  <c r="I2720" i="57"/>
  <c r="I2721" i="57"/>
  <c r="I2722" i="57"/>
  <c r="I2723" i="57"/>
  <c r="I2724" i="57"/>
  <c r="I2725" i="57"/>
  <c r="I2726" i="57"/>
  <c r="I2727" i="57"/>
  <c r="I2728" i="57"/>
  <c r="I2729" i="57"/>
  <c r="I2730" i="57"/>
  <c r="I2731" i="57"/>
  <c r="I2732" i="57"/>
  <c r="I2733" i="57"/>
  <c r="I2734" i="57"/>
  <c r="I2735" i="57"/>
  <c r="I2736" i="57"/>
  <c r="I2737" i="57"/>
  <c r="I2738" i="57"/>
  <c r="I2739" i="57"/>
  <c r="I2740" i="57"/>
  <c r="I2741" i="57"/>
  <c r="I2742" i="57"/>
  <c r="I2743" i="57"/>
  <c r="I2744" i="57"/>
  <c r="I2745" i="57"/>
  <c r="I2746" i="57"/>
  <c r="I2747" i="57"/>
  <c r="I2748" i="57"/>
  <c r="I2749" i="57"/>
  <c r="I2750" i="57"/>
  <c r="I2751" i="57"/>
  <c r="I2752" i="57"/>
  <c r="I2753" i="57"/>
  <c r="I2754" i="57"/>
  <c r="I2755" i="57"/>
  <c r="I2756" i="57"/>
  <c r="I2757" i="57"/>
  <c r="I2758" i="57"/>
  <c r="I2759" i="57"/>
  <c r="I2760" i="57"/>
  <c r="I2761" i="57"/>
  <c r="I2762" i="57"/>
  <c r="I2763" i="57"/>
  <c r="I2764" i="57"/>
  <c r="I2765" i="57"/>
  <c r="I2766" i="57"/>
  <c r="I2767" i="57"/>
  <c r="I2768" i="57"/>
  <c r="I2769" i="57"/>
  <c r="I2770" i="57"/>
  <c r="I2771" i="57"/>
  <c r="I2772" i="57"/>
  <c r="I2773" i="57"/>
  <c r="I2774" i="57"/>
  <c r="I2775" i="57"/>
  <c r="I2776" i="57"/>
  <c r="I2777" i="57"/>
  <c r="I2778" i="57"/>
  <c r="I2779" i="57"/>
  <c r="I2780" i="57"/>
  <c r="I2781" i="57"/>
  <c r="I2782" i="57"/>
  <c r="I2783" i="57"/>
  <c r="I2784" i="57"/>
  <c r="I2785" i="57"/>
  <c r="I2786" i="57"/>
  <c r="I2787" i="57"/>
  <c r="I2788" i="57"/>
  <c r="I2789" i="57"/>
  <c r="I2790" i="57"/>
  <c r="I2791" i="57"/>
  <c r="I2792" i="57"/>
  <c r="I2793" i="57"/>
  <c r="I2794" i="57"/>
  <c r="I2795" i="57"/>
  <c r="I2796" i="57"/>
  <c r="I2797" i="57"/>
  <c r="I2798" i="57"/>
  <c r="I2799" i="57"/>
  <c r="I2800" i="57"/>
  <c r="I2801" i="57"/>
  <c r="I2802" i="57"/>
  <c r="I2803" i="57"/>
  <c r="I2804" i="57"/>
  <c r="I2805" i="57"/>
  <c r="I2806" i="57"/>
  <c r="I2807" i="57"/>
  <c r="I2808" i="57"/>
  <c r="I2809" i="57"/>
  <c r="I2810" i="57"/>
  <c r="I2811" i="57"/>
  <c r="I2812" i="57"/>
  <c r="I2813" i="57"/>
  <c r="I2814" i="57"/>
  <c r="I2815" i="57"/>
  <c r="I2816" i="57"/>
  <c r="I2817" i="57"/>
  <c r="I2818" i="57"/>
  <c r="I2819" i="57"/>
  <c r="I2820" i="57"/>
  <c r="I2821" i="57"/>
  <c r="I2822" i="57"/>
  <c r="I2823" i="57"/>
  <c r="I2824" i="57"/>
  <c r="I2825" i="57"/>
  <c r="I2826" i="57"/>
  <c r="I2827" i="57"/>
  <c r="I2828" i="57"/>
  <c r="I2829" i="57"/>
  <c r="I2830" i="57"/>
  <c r="I2831" i="57"/>
  <c r="I2832" i="57"/>
  <c r="I2833" i="57"/>
  <c r="I2834" i="57"/>
  <c r="I2835" i="57"/>
  <c r="I2836" i="57"/>
  <c r="I2837" i="57"/>
  <c r="I2838" i="57"/>
  <c r="I2839" i="57"/>
  <c r="I2840" i="57"/>
  <c r="I2841" i="57"/>
  <c r="I2842" i="57"/>
  <c r="I2843" i="57"/>
  <c r="I2844" i="57"/>
  <c r="I2845" i="57"/>
  <c r="I2846" i="57"/>
  <c r="I2847" i="57"/>
  <c r="I2848" i="57"/>
  <c r="I2849" i="57"/>
  <c r="I2850" i="57"/>
  <c r="I2851" i="57"/>
  <c r="I2852" i="57"/>
  <c r="I2853" i="57"/>
  <c r="I2854" i="57"/>
  <c r="I2855" i="57"/>
  <c r="I2856" i="57"/>
  <c r="I2857" i="57"/>
  <c r="I2858" i="57"/>
  <c r="I2859" i="57"/>
  <c r="I2860" i="57"/>
  <c r="I2861" i="57"/>
  <c r="I2862" i="57"/>
  <c r="I2863" i="57"/>
  <c r="I2864" i="57"/>
  <c r="I2865" i="57"/>
  <c r="I2866" i="57"/>
  <c r="I2867" i="57"/>
  <c r="I2868" i="57"/>
  <c r="I2869" i="57"/>
  <c r="I2870" i="57"/>
  <c r="I2871" i="57"/>
  <c r="I2872" i="57"/>
  <c r="I2873" i="57"/>
  <c r="I2874" i="57"/>
  <c r="I2875" i="57"/>
  <c r="I2876" i="57"/>
  <c r="I2877" i="57"/>
  <c r="I2878" i="57"/>
  <c r="I2879" i="57"/>
  <c r="I2880" i="57"/>
  <c r="I2881" i="57"/>
  <c r="I2882" i="57"/>
  <c r="I2883" i="57"/>
  <c r="I2884" i="57"/>
  <c r="I2885" i="57"/>
  <c r="I2886" i="57"/>
  <c r="I2887" i="57"/>
  <c r="I2888" i="57"/>
  <c r="I2889" i="57"/>
  <c r="I2890" i="57"/>
  <c r="I2891" i="57"/>
  <c r="I2892" i="57"/>
  <c r="I2893" i="57"/>
  <c r="I2894" i="57"/>
  <c r="I2895" i="57"/>
  <c r="I2896" i="57"/>
  <c r="I2897" i="57"/>
  <c r="I2898" i="57"/>
  <c r="I2899" i="57"/>
  <c r="I2900" i="57"/>
  <c r="I2901" i="57"/>
  <c r="I2902" i="57"/>
  <c r="I2903" i="57"/>
  <c r="I2904" i="57"/>
  <c r="I2905" i="57"/>
  <c r="I2906" i="57"/>
  <c r="I2907" i="57"/>
  <c r="I2908" i="57"/>
  <c r="I2909" i="57"/>
  <c r="I2910" i="57"/>
  <c r="I2911" i="57"/>
  <c r="I2912" i="57"/>
  <c r="I2913" i="57"/>
  <c r="I2914" i="57"/>
  <c r="I2915" i="57"/>
  <c r="I2916" i="57"/>
  <c r="I2917" i="57"/>
  <c r="I2918" i="57"/>
  <c r="I2919" i="57"/>
  <c r="I2920" i="57"/>
  <c r="I2921" i="57"/>
  <c r="I2922" i="57"/>
  <c r="I2923" i="57"/>
  <c r="I2924" i="57"/>
  <c r="I2925" i="57"/>
  <c r="I2926" i="57"/>
  <c r="I2927" i="57"/>
  <c r="I2928" i="57"/>
  <c r="I2929" i="57"/>
  <c r="I2930" i="57"/>
  <c r="I2931" i="57"/>
  <c r="I2932" i="57"/>
  <c r="I2933" i="57"/>
  <c r="I2934" i="57"/>
  <c r="I2935" i="57"/>
  <c r="I2936" i="57"/>
  <c r="I2937" i="57"/>
  <c r="I2938" i="57"/>
  <c r="I2939" i="57"/>
  <c r="I2940" i="57"/>
  <c r="I2941" i="57"/>
  <c r="I2942" i="57"/>
  <c r="I2943" i="57"/>
  <c r="I2944" i="57"/>
  <c r="I2945" i="57"/>
  <c r="I2946" i="57"/>
  <c r="I2947" i="57"/>
  <c r="I2948" i="57"/>
  <c r="I2949" i="57"/>
  <c r="I2950" i="57"/>
  <c r="I2951" i="57"/>
  <c r="I2952" i="57"/>
  <c r="I2953" i="57"/>
  <c r="I2954" i="57"/>
  <c r="I2955" i="57"/>
  <c r="I2956" i="57"/>
  <c r="I2957" i="57"/>
  <c r="I2958" i="57"/>
  <c r="I2959" i="57"/>
  <c r="I2960" i="57"/>
  <c r="I2961" i="57"/>
  <c r="I2962" i="57"/>
  <c r="I2963" i="57"/>
  <c r="I2964" i="57"/>
  <c r="I2965" i="57"/>
  <c r="I2966" i="57"/>
  <c r="I2967" i="57"/>
  <c r="I2968" i="57"/>
  <c r="I2969" i="57"/>
  <c r="I2970" i="57"/>
  <c r="I2971" i="57"/>
  <c r="I2972" i="57"/>
  <c r="I2973" i="57"/>
  <c r="I2974" i="57"/>
  <c r="I2975" i="57"/>
  <c r="I2976" i="57"/>
  <c r="I2977" i="57"/>
  <c r="I2978" i="57"/>
  <c r="I2979" i="57"/>
  <c r="I2980" i="57"/>
  <c r="I2981" i="57"/>
  <c r="I2982" i="57"/>
  <c r="I2983" i="57"/>
  <c r="I2984" i="57"/>
  <c r="I2985" i="57"/>
  <c r="I2986" i="57"/>
  <c r="I2987" i="57"/>
  <c r="I2988" i="57"/>
  <c r="I2989" i="57"/>
  <c r="I2990" i="57"/>
  <c r="I2991" i="57"/>
  <c r="I2992" i="57"/>
  <c r="I2993" i="57"/>
  <c r="I2994" i="57"/>
  <c r="I2995" i="57"/>
  <c r="I2996" i="57"/>
  <c r="I2997" i="57"/>
  <c r="I2998" i="57"/>
  <c r="I2999" i="57"/>
  <c r="I3000" i="57"/>
  <c r="I3001" i="57"/>
  <c r="I3002" i="57"/>
  <c r="I3003" i="57"/>
  <c r="I3004" i="57"/>
  <c r="I3005" i="57"/>
  <c r="I3006" i="57"/>
  <c r="I3007" i="57"/>
  <c r="I3008" i="57"/>
  <c r="I3009" i="57"/>
  <c r="I3010" i="57"/>
  <c r="I3011" i="57"/>
  <c r="I3012" i="57"/>
  <c r="I3013" i="57"/>
  <c r="I3014" i="57"/>
  <c r="I3015" i="57"/>
  <c r="I3016" i="57"/>
  <c r="I3017" i="57"/>
  <c r="I3018" i="57"/>
  <c r="I3019" i="57"/>
  <c r="I3020" i="57"/>
  <c r="I3021" i="57"/>
  <c r="I3022" i="57"/>
  <c r="I3023" i="57"/>
  <c r="I3024" i="57"/>
  <c r="I3025" i="57"/>
  <c r="I3026" i="57"/>
  <c r="I3027" i="57"/>
  <c r="I3028" i="57"/>
  <c r="I3029" i="57"/>
  <c r="I3030" i="57"/>
  <c r="I3031" i="57"/>
  <c r="I3032" i="57"/>
  <c r="I3033" i="57"/>
  <c r="I3034" i="57"/>
  <c r="I3035" i="57"/>
  <c r="I3036" i="57"/>
  <c r="I3037" i="57"/>
  <c r="I3038" i="57"/>
  <c r="I3039" i="57"/>
  <c r="I3040" i="57"/>
  <c r="I3041" i="57"/>
  <c r="I3042" i="57"/>
  <c r="I3043" i="57"/>
  <c r="I3044" i="57"/>
  <c r="I3045" i="57"/>
  <c r="I3046" i="57"/>
  <c r="I3047" i="57"/>
  <c r="I3048" i="57"/>
  <c r="I3049" i="57"/>
  <c r="I3050" i="57"/>
  <c r="I3051" i="57"/>
  <c r="I3052" i="57"/>
  <c r="I3053" i="57"/>
  <c r="I3054" i="57"/>
  <c r="I3055" i="57"/>
  <c r="I3056" i="57"/>
  <c r="I3057" i="57"/>
  <c r="I3058" i="57"/>
  <c r="I3059" i="57"/>
  <c r="I3060" i="57"/>
  <c r="I3061" i="57"/>
  <c r="I3062" i="57"/>
  <c r="I3063" i="57"/>
  <c r="I3064" i="57"/>
  <c r="I3065" i="57"/>
  <c r="I3066" i="57"/>
  <c r="I3067" i="57"/>
  <c r="I3068" i="57"/>
  <c r="I3069" i="57"/>
  <c r="I3070" i="57"/>
  <c r="I3071" i="57"/>
  <c r="I3072" i="57"/>
  <c r="I3073" i="57"/>
  <c r="I3074" i="57"/>
  <c r="I3075" i="57"/>
  <c r="I3076" i="57"/>
  <c r="I3077" i="57"/>
  <c r="I3078" i="57"/>
  <c r="I3079" i="57"/>
  <c r="I3080" i="57"/>
  <c r="I3081" i="57"/>
  <c r="I3082" i="57"/>
  <c r="I3083" i="57"/>
  <c r="I3084" i="57"/>
  <c r="I3085" i="57"/>
  <c r="I3086" i="57"/>
  <c r="I3087" i="57"/>
  <c r="I3088" i="57"/>
  <c r="I3089" i="57"/>
  <c r="I3090" i="57"/>
  <c r="I3091" i="57"/>
  <c r="I3092" i="57"/>
  <c r="I3093" i="57"/>
  <c r="I3094" i="57"/>
  <c r="I3095" i="57"/>
  <c r="I3096" i="57"/>
  <c r="I3097" i="57"/>
  <c r="I3098" i="57"/>
  <c r="I3099" i="57"/>
  <c r="I3100" i="57"/>
  <c r="I3101" i="57"/>
  <c r="I3102" i="57"/>
  <c r="I3103" i="57"/>
  <c r="I3104" i="57"/>
  <c r="I3105" i="57"/>
  <c r="I3106" i="57"/>
  <c r="I3107" i="57"/>
  <c r="I3108" i="57"/>
  <c r="I3109" i="57"/>
  <c r="I3110" i="57"/>
  <c r="I3111" i="57"/>
  <c r="I3112" i="57"/>
  <c r="I3113" i="57"/>
  <c r="I3114" i="57"/>
  <c r="I3115" i="57"/>
  <c r="I3116" i="57"/>
  <c r="I3117" i="57"/>
  <c r="I3118" i="57"/>
  <c r="I3119" i="57"/>
  <c r="I3120" i="57"/>
  <c r="I3121" i="57"/>
  <c r="I3122" i="57"/>
  <c r="I3123" i="57"/>
  <c r="I3124" i="57"/>
  <c r="I3125" i="57"/>
  <c r="I3126" i="57"/>
  <c r="I3127" i="57"/>
  <c r="I3128" i="57"/>
  <c r="I3129" i="57"/>
  <c r="I3130" i="57"/>
  <c r="I3131" i="57"/>
  <c r="I3132" i="57"/>
  <c r="I3133" i="57"/>
  <c r="I3134" i="57"/>
  <c r="I3135" i="57"/>
  <c r="I3136" i="57"/>
  <c r="I3137" i="57"/>
  <c r="I3138" i="57"/>
  <c r="I3139" i="57"/>
  <c r="I3140" i="57"/>
  <c r="I3141" i="57"/>
  <c r="I3142" i="57"/>
  <c r="I3143" i="57"/>
  <c r="I3144" i="57"/>
  <c r="I3145" i="57"/>
  <c r="I3146" i="57"/>
  <c r="I3147" i="57"/>
  <c r="I3148" i="57"/>
  <c r="I3149" i="57"/>
  <c r="I3150" i="57"/>
  <c r="I3151" i="57"/>
  <c r="I3152" i="57"/>
  <c r="I3153" i="57"/>
  <c r="I3154" i="57"/>
  <c r="I3155" i="57"/>
  <c r="I3156" i="57"/>
  <c r="I3157" i="57"/>
  <c r="I3158" i="57"/>
  <c r="I3159" i="57"/>
  <c r="I3160" i="57"/>
  <c r="I3161" i="57"/>
  <c r="I3162" i="57"/>
  <c r="I3163" i="57"/>
  <c r="I3164" i="57"/>
  <c r="I3165" i="57"/>
  <c r="I3166" i="57"/>
  <c r="I3167" i="57"/>
  <c r="I3168" i="57"/>
  <c r="I3169" i="57"/>
  <c r="I3170" i="57"/>
  <c r="I3171" i="57"/>
  <c r="I3172" i="57"/>
  <c r="I3173" i="57"/>
  <c r="I3174" i="57"/>
  <c r="I3175" i="57"/>
  <c r="I3176" i="57"/>
  <c r="I3177" i="57"/>
  <c r="I3178" i="57"/>
  <c r="I3179" i="57"/>
  <c r="I3180" i="57"/>
  <c r="I3181" i="57"/>
  <c r="I3182" i="57"/>
  <c r="I3183" i="57"/>
  <c r="I3184" i="57"/>
  <c r="I3185" i="57"/>
  <c r="I3186" i="57"/>
  <c r="I3187" i="57"/>
  <c r="I3188" i="57"/>
  <c r="I3189" i="57"/>
  <c r="I3190" i="57"/>
  <c r="I3191" i="57"/>
  <c r="I3192" i="57"/>
  <c r="I3193" i="57"/>
  <c r="I3194" i="57"/>
  <c r="I3195" i="57"/>
  <c r="I3196" i="57"/>
  <c r="I3197" i="57"/>
  <c r="I3198" i="57"/>
  <c r="I3199" i="57"/>
  <c r="I3200" i="57"/>
  <c r="I3201" i="57"/>
  <c r="I3202" i="57"/>
  <c r="I3203" i="57"/>
  <c r="I3204" i="57"/>
  <c r="I3205" i="57"/>
  <c r="I3206" i="57"/>
  <c r="I3207" i="57"/>
  <c r="I3208" i="57"/>
  <c r="I3209" i="57"/>
  <c r="I3210" i="57"/>
  <c r="I3211" i="57"/>
  <c r="I3212" i="57"/>
  <c r="I3213" i="57"/>
  <c r="I3214" i="57"/>
  <c r="I3215" i="57"/>
  <c r="I3216" i="57"/>
  <c r="I3217" i="57"/>
  <c r="I3218" i="57"/>
  <c r="I3219" i="57"/>
  <c r="I3220" i="57"/>
  <c r="I3221" i="57"/>
  <c r="I3222" i="57"/>
  <c r="I3223" i="57"/>
  <c r="I3224" i="57"/>
  <c r="I3225" i="57"/>
  <c r="I3226" i="57"/>
  <c r="I3227" i="57"/>
  <c r="I3228" i="57"/>
  <c r="I3229" i="57"/>
  <c r="I3230" i="57"/>
  <c r="I3231" i="57"/>
  <c r="I3232" i="57"/>
  <c r="I3233" i="57"/>
  <c r="I3234" i="57"/>
  <c r="I3235" i="57"/>
  <c r="I3236" i="57"/>
  <c r="I3237" i="57"/>
  <c r="I3238" i="57"/>
  <c r="I3239" i="57"/>
  <c r="I3240" i="57"/>
  <c r="I3241" i="57"/>
  <c r="I3242" i="57"/>
  <c r="I3243" i="57"/>
  <c r="I3244" i="57"/>
  <c r="I3245" i="57"/>
  <c r="I3246" i="57"/>
  <c r="I3247" i="57"/>
  <c r="I3248" i="57"/>
  <c r="I3249" i="57"/>
  <c r="I3250" i="57"/>
  <c r="I3251" i="57"/>
  <c r="I3252" i="57"/>
  <c r="I3253" i="57"/>
  <c r="I3254" i="57"/>
  <c r="I3255" i="57"/>
  <c r="I3256" i="57"/>
  <c r="I3257" i="57"/>
  <c r="I3258" i="57"/>
  <c r="I3259" i="57"/>
  <c r="I3260" i="57"/>
  <c r="I3261" i="57"/>
  <c r="I3262" i="57"/>
  <c r="I3263" i="57"/>
  <c r="I3264" i="57"/>
  <c r="I3265" i="57"/>
  <c r="I3266" i="57"/>
  <c r="I3267" i="57"/>
  <c r="I3268" i="57"/>
  <c r="I3269" i="57"/>
  <c r="I3270" i="57"/>
  <c r="I3271" i="57"/>
  <c r="I3272" i="57"/>
  <c r="I3273" i="57"/>
  <c r="I3274" i="57"/>
  <c r="I3275" i="57"/>
  <c r="I3276" i="57"/>
  <c r="I3277" i="57"/>
  <c r="I3278" i="57"/>
  <c r="I3279" i="57"/>
  <c r="I3280" i="57"/>
  <c r="I3281" i="57"/>
  <c r="I3282" i="57"/>
  <c r="I3283" i="57"/>
  <c r="I3284" i="57"/>
  <c r="I3285" i="57"/>
  <c r="I3286" i="57"/>
  <c r="I3287" i="57"/>
  <c r="I3288" i="57"/>
  <c r="I3289" i="57"/>
  <c r="I3290" i="57"/>
  <c r="I3291" i="57"/>
  <c r="I3292" i="57"/>
  <c r="I3293" i="57"/>
  <c r="I3294" i="57"/>
  <c r="I3295" i="57"/>
  <c r="I3296" i="57"/>
  <c r="I3297" i="57"/>
  <c r="I3298" i="57"/>
  <c r="I3299" i="57"/>
  <c r="I3300" i="57"/>
  <c r="I3301" i="57"/>
  <c r="I3302" i="57"/>
  <c r="I3303" i="57"/>
  <c r="I3304" i="57"/>
  <c r="I3305" i="57"/>
  <c r="I3306" i="57"/>
  <c r="I3307" i="57"/>
  <c r="I3308" i="57"/>
  <c r="I3309" i="57"/>
  <c r="I3310" i="57"/>
  <c r="I3311" i="57"/>
  <c r="I3312" i="57"/>
  <c r="I3313" i="57"/>
  <c r="I3314" i="57"/>
  <c r="I3315" i="57"/>
  <c r="I3316" i="57"/>
  <c r="I3317" i="57"/>
  <c r="I3318" i="57"/>
  <c r="I3319" i="57"/>
  <c r="I3320" i="57"/>
  <c r="I3321" i="57"/>
  <c r="I3322" i="57"/>
  <c r="I3323" i="57"/>
  <c r="I3324" i="57"/>
  <c r="I3325" i="57"/>
  <c r="I3326" i="57"/>
  <c r="I3327" i="57"/>
  <c r="I3328" i="57"/>
  <c r="I3329" i="57"/>
  <c r="I3330" i="57"/>
  <c r="I3331" i="57"/>
  <c r="I3332" i="57"/>
  <c r="I3333" i="57"/>
  <c r="I3334" i="57"/>
  <c r="I3335" i="57"/>
  <c r="I3336" i="57"/>
  <c r="I3337" i="57"/>
  <c r="I3338" i="57"/>
  <c r="I3339" i="57"/>
  <c r="I3340" i="57"/>
  <c r="I3341" i="57"/>
  <c r="I3342" i="57"/>
  <c r="I3343" i="57"/>
  <c r="I3344" i="57"/>
  <c r="I3345" i="57"/>
  <c r="I3346" i="57"/>
  <c r="I3347" i="57"/>
  <c r="I3348" i="57"/>
  <c r="I3349" i="57"/>
  <c r="I3350" i="57"/>
  <c r="I3351" i="57"/>
  <c r="I3352" i="57"/>
  <c r="I3353" i="57"/>
  <c r="I3354" i="57"/>
  <c r="I3355" i="57"/>
  <c r="I3356" i="57"/>
  <c r="I3357" i="57"/>
  <c r="I3358" i="57"/>
  <c r="I3359" i="57"/>
  <c r="I3360" i="57"/>
  <c r="I3361" i="57"/>
  <c r="I3362" i="57"/>
  <c r="I3363" i="57"/>
  <c r="I3364" i="57"/>
  <c r="I3365" i="57"/>
  <c r="I3366" i="57"/>
  <c r="I3367" i="57"/>
  <c r="I3368" i="57"/>
  <c r="I3369" i="57"/>
  <c r="I3370" i="57"/>
  <c r="I3371" i="57"/>
  <c r="I3372" i="57"/>
  <c r="I3373" i="57"/>
  <c r="I3374" i="57"/>
  <c r="I3375" i="57"/>
  <c r="I3376" i="57"/>
  <c r="I3377" i="57"/>
  <c r="I3378" i="57"/>
  <c r="I3379" i="57"/>
  <c r="I3380" i="57"/>
  <c r="I3381" i="57"/>
  <c r="I3382" i="57"/>
  <c r="I3383" i="57"/>
  <c r="I3384" i="57"/>
  <c r="I3385" i="57"/>
  <c r="I3386" i="57"/>
  <c r="I3387" i="57"/>
  <c r="I3388" i="57"/>
  <c r="I3389" i="57"/>
  <c r="I3390" i="57"/>
  <c r="I3391" i="57"/>
  <c r="I3392" i="57"/>
  <c r="I3393" i="57"/>
  <c r="I3394" i="57"/>
  <c r="I3395" i="57"/>
  <c r="I3396" i="57"/>
  <c r="I3397" i="57"/>
  <c r="I3398" i="57"/>
  <c r="I3399" i="57"/>
  <c r="I3400" i="57"/>
  <c r="I3401" i="57"/>
  <c r="I3402" i="57"/>
  <c r="I3403" i="57"/>
  <c r="I3404" i="57"/>
  <c r="I3405" i="57"/>
  <c r="I3406" i="57"/>
  <c r="I3407" i="57"/>
  <c r="I3408" i="57"/>
  <c r="I3409" i="57"/>
  <c r="I3410" i="57"/>
  <c r="I3411" i="57"/>
  <c r="I3412" i="57"/>
  <c r="I3413" i="57"/>
  <c r="I3414" i="57"/>
  <c r="I3415" i="57"/>
  <c r="I3416" i="57"/>
  <c r="I3417" i="57"/>
  <c r="I3418" i="57"/>
  <c r="I3419" i="57"/>
  <c r="I3420" i="57"/>
  <c r="I3421" i="57"/>
  <c r="I3422" i="57"/>
  <c r="I3423" i="57"/>
  <c r="I3424" i="57"/>
  <c r="I3425" i="57"/>
  <c r="I3426" i="57"/>
  <c r="I3427" i="57"/>
  <c r="I3428" i="57"/>
  <c r="I3429" i="57"/>
  <c r="I3430" i="57"/>
  <c r="I3431" i="57"/>
  <c r="I3432" i="57"/>
  <c r="I3433" i="57"/>
  <c r="I3434" i="57"/>
  <c r="I3435" i="57"/>
  <c r="I3436" i="57"/>
  <c r="I3437" i="57"/>
  <c r="I3438" i="57"/>
  <c r="I3439" i="57"/>
  <c r="I3440" i="57"/>
  <c r="I3441" i="57"/>
  <c r="I3442" i="57"/>
  <c r="I3443" i="57"/>
  <c r="I3444" i="57"/>
  <c r="I3445" i="57"/>
  <c r="I3446" i="57"/>
  <c r="I3447" i="57"/>
  <c r="I3448" i="57"/>
  <c r="I3449" i="57"/>
  <c r="I3450" i="57"/>
  <c r="I3451" i="57"/>
  <c r="I3452" i="57"/>
  <c r="I3453" i="57"/>
  <c r="I3454" i="57"/>
  <c r="I3455" i="57"/>
  <c r="I3456" i="57"/>
  <c r="I3457" i="57"/>
  <c r="I3458" i="57"/>
  <c r="I3459" i="57"/>
  <c r="I3460" i="57"/>
  <c r="I3461" i="57"/>
  <c r="I3462" i="57"/>
  <c r="I3463" i="57"/>
  <c r="I3464" i="57"/>
  <c r="I3465" i="57"/>
  <c r="I3466" i="57"/>
  <c r="I3467" i="57"/>
  <c r="I3468" i="57"/>
  <c r="I3469" i="57"/>
  <c r="I3470" i="57"/>
  <c r="I3471" i="57"/>
  <c r="I3472" i="57"/>
  <c r="I3473" i="57"/>
  <c r="I3474" i="57"/>
  <c r="I3475" i="57"/>
  <c r="I3476" i="57"/>
  <c r="I3477" i="57"/>
  <c r="I3478" i="57"/>
  <c r="I3479" i="57"/>
  <c r="I3480" i="57"/>
  <c r="I3481" i="57"/>
  <c r="I3482" i="57"/>
  <c r="I3483" i="57"/>
  <c r="I3484" i="57"/>
  <c r="I3485" i="57"/>
  <c r="I3486" i="57"/>
  <c r="I3487" i="57"/>
  <c r="I3488" i="57"/>
  <c r="I3489" i="57"/>
  <c r="I3490" i="57"/>
  <c r="I3491" i="57"/>
  <c r="I3492" i="57"/>
  <c r="I3493" i="57"/>
  <c r="I3494" i="57"/>
  <c r="I3495" i="57"/>
  <c r="I3496" i="57"/>
  <c r="I3497" i="57"/>
  <c r="I3498" i="57"/>
  <c r="I3499" i="57"/>
  <c r="I3500" i="57"/>
  <c r="I3501" i="57"/>
  <c r="I3502" i="57"/>
  <c r="I3503" i="57"/>
  <c r="I3504" i="57"/>
  <c r="I3505" i="57"/>
  <c r="I3506" i="57"/>
  <c r="I3507" i="57"/>
  <c r="I3508" i="57"/>
  <c r="I3509" i="57"/>
  <c r="I3510" i="57"/>
  <c r="I3511" i="57"/>
  <c r="I3512" i="57"/>
  <c r="I3513" i="57"/>
  <c r="I3514" i="57"/>
  <c r="I3515" i="57"/>
  <c r="I3516" i="57"/>
  <c r="I3517" i="57"/>
  <c r="I3518" i="57"/>
  <c r="I3519" i="57"/>
  <c r="I3520" i="57"/>
  <c r="I3521" i="57"/>
  <c r="I3522" i="57"/>
  <c r="I3523" i="57"/>
  <c r="I3524" i="57"/>
  <c r="I3525" i="57"/>
  <c r="I3526" i="57"/>
  <c r="I3527" i="57"/>
  <c r="I3528" i="57"/>
  <c r="I3529" i="57"/>
  <c r="I3530" i="57"/>
  <c r="I3531" i="57"/>
  <c r="I3532" i="57"/>
  <c r="I3533" i="57"/>
  <c r="I3534" i="57"/>
  <c r="I3535" i="57"/>
  <c r="I3536" i="57"/>
  <c r="I3537" i="57"/>
  <c r="I3538" i="57"/>
  <c r="I3539" i="57"/>
  <c r="I3540" i="57"/>
  <c r="I3541" i="57"/>
  <c r="I3542" i="57"/>
  <c r="I3543" i="57"/>
  <c r="I3544" i="57"/>
  <c r="I3545" i="57"/>
  <c r="I3546" i="57"/>
  <c r="I3547" i="57"/>
  <c r="I3548" i="57"/>
  <c r="I3549" i="57"/>
  <c r="I3550" i="57"/>
  <c r="I3551" i="57"/>
  <c r="I3552" i="57"/>
  <c r="I3553" i="57"/>
  <c r="I3554" i="57"/>
  <c r="I3555" i="57"/>
  <c r="I3556" i="57"/>
  <c r="I3557" i="57"/>
  <c r="I3558" i="57"/>
  <c r="I3559" i="57"/>
  <c r="I3560" i="57"/>
  <c r="I3561" i="57"/>
  <c r="I3562" i="57"/>
  <c r="I3563" i="57"/>
  <c r="I3564" i="57"/>
  <c r="I3565" i="57"/>
  <c r="I3566" i="57"/>
  <c r="I3567" i="57"/>
  <c r="I3568" i="57"/>
  <c r="I3569" i="57"/>
  <c r="I3570" i="57"/>
  <c r="I3571" i="57"/>
  <c r="I3572" i="57"/>
  <c r="I3573" i="57"/>
  <c r="I3574" i="57"/>
  <c r="I3575" i="57"/>
  <c r="I3576" i="57"/>
  <c r="I3577" i="57"/>
  <c r="I3578" i="57"/>
  <c r="I3579" i="57"/>
  <c r="I3580" i="57"/>
  <c r="I3581" i="57"/>
  <c r="I3582" i="57"/>
  <c r="I3583" i="57"/>
  <c r="I3584" i="57"/>
  <c r="I3585" i="57"/>
  <c r="I3586" i="57"/>
  <c r="I3587" i="57"/>
  <c r="I3588" i="57"/>
  <c r="I3589" i="57"/>
  <c r="I3590" i="57"/>
  <c r="I3591" i="57"/>
  <c r="I3592" i="57"/>
  <c r="I3593" i="57"/>
  <c r="I3594" i="57"/>
  <c r="I3595" i="57"/>
  <c r="I3596" i="57"/>
  <c r="I3597" i="57"/>
  <c r="I3598" i="57"/>
  <c r="I3599" i="57"/>
  <c r="I3600" i="57"/>
  <c r="I3601" i="57"/>
  <c r="I3602" i="57"/>
  <c r="I3603" i="57"/>
  <c r="I3604" i="57"/>
  <c r="I3605" i="57"/>
  <c r="I3606" i="57"/>
  <c r="I3607" i="57"/>
  <c r="I3608" i="57"/>
  <c r="I3609" i="57"/>
  <c r="I3610" i="57"/>
  <c r="I3611" i="57"/>
  <c r="I3612" i="57"/>
  <c r="I3613" i="57"/>
  <c r="I3614" i="57"/>
  <c r="I3615" i="57"/>
  <c r="I3616" i="57"/>
  <c r="I3617" i="57"/>
  <c r="I3618" i="57"/>
  <c r="I3619" i="57"/>
  <c r="I3620" i="57"/>
  <c r="I3621" i="57"/>
  <c r="I3622" i="57"/>
  <c r="I3623" i="57"/>
  <c r="I3624" i="57"/>
  <c r="I3625" i="57"/>
  <c r="I3626" i="57"/>
  <c r="I3627" i="57"/>
  <c r="I3628" i="57"/>
  <c r="I3629" i="57"/>
  <c r="I3630" i="57"/>
  <c r="I3631" i="57"/>
  <c r="I3632" i="57"/>
  <c r="I3633" i="57"/>
  <c r="I3634" i="57"/>
  <c r="I3635" i="57"/>
  <c r="I3636" i="57"/>
  <c r="I3637" i="57"/>
  <c r="I3638" i="57"/>
  <c r="I3639" i="57"/>
  <c r="I3640" i="57"/>
  <c r="I3641" i="57"/>
  <c r="I3642" i="57"/>
  <c r="I3643" i="57"/>
  <c r="I3644" i="57"/>
  <c r="I3645" i="57"/>
  <c r="I3646" i="57"/>
  <c r="I3647" i="57"/>
  <c r="I3648" i="57"/>
  <c r="I3649" i="57"/>
  <c r="I3650" i="57"/>
  <c r="I3651" i="57"/>
  <c r="I3652" i="57"/>
  <c r="I3653" i="57"/>
  <c r="I3654" i="57"/>
  <c r="I3655" i="57"/>
  <c r="I3656" i="57"/>
  <c r="I3657" i="57"/>
  <c r="I3658" i="57"/>
  <c r="I3659" i="57"/>
  <c r="I3660" i="57"/>
  <c r="I3661" i="57"/>
  <c r="I3662" i="57"/>
  <c r="I3663" i="57"/>
  <c r="I3664" i="57"/>
  <c r="I3665" i="57"/>
  <c r="I3666" i="57"/>
  <c r="I3667" i="57"/>
  <c r="I3668" i="57"/>
  <c r="I3669" i="57"/>
  <c r="I3670" i="57"/>
  <c r="I3671" i="57"/>
  <c r="I3672" i="57"/>
  <c r="I3673" i="57"/>
  <c r="I3674" i="57"/>
  <c r="I3675" i="57"/>
  <c r="I3676" i="57"/>
  <c r="I3677" i="57"/>
  <c r="I3678" i="57"/>
  <c r="I3679" i="57"/>
  <c r="I3680" i="57"/>
  <c r="I3681" i="57"/>
  <c r="I3682" i="57"/>
  <c r="I3683" i="57"/>
  <c r="I3684" i="57"/>
  <c r="I3685" i="57"/>
  <c r="I3686" i="57"/>
  <c r="I3687" i="57"/>
  <c r="I3688" i="57"/>
  <c r="I3689" i="57"/>
  <c r="I3690" i="57"/>
  <c r="I3691" i="57"/>
  <c r="I3692" i="57"/>
  <c r="I3693" i="57"/>
  <c r="I3694" i="57"/>
  <c r="I3695" i="57"/>
  <c r="I3696" i="57"/>
  <c r="I3697" i="57"/>
  <c r="I3698" i="57"/>
  <c r="I3699" i="57"/>
  <c r="I3700" i="57"/>
  <c r="I3701" i="57"/>
  <c r="I3702" i="57"/>
  <c r="I3703" i="57"/>
  <c r="I3704" i="57"/>
  <c r="I3705" i="57"/>
  <c r="I3706" i="57"/>
  <c r="I3707" i="57"/>
  <c r="I3708" i="57"/>
  <c r="I3709" i="57"/>
  <c r="I3710" i="57"/>
  <c r="I3711" i="57"/>
  <c r="I3712" i="57"/>
  <c r="I3713" i="57"/>
  <c r="I3714" i="57"/>
  <c r="I3715" i="57"/>
  <c r="I3716" i="57"/>
  <c r="I3717" i="57"/>
  <c r="I3718" i="57"/>
  <c r="I3719" i="57"/>
  <c r="I3720" i="57"/>
  <c r="I3721" i="57"/>
  <c r="I3722" i="57"/>
  <c r="I3723" i="57"/>
  <c r="I3724" i="57"/>
  <c r="I3725" i="57"/>
  <c r="I3726" i="57"/>
  <c r="I3727" i="57"/>
  <c r="I3728" i="57"/>
  <c r="I3729" i="57"/>
  <c r="I3730" i="57"/>
  <c r="I3731" i="57"/>
  <c r="I3732" i="57"/>
  <c r="I3733" i="57"/>
  <c r="I3734" i="57"/>
  <c r="I3735" i="57"/>
  <c r="I3736" i="57"/>
  <c r="I3737" i="57"/>
  <c r="I3738" i="57"/>
  <c r="I3739" i="57"/>
  <c r="I3740" i="57"/>
  <c r="I3741" i="57"/>
  <c r="I3742" i="57"/>
  <c r="I3743" i="57"/>
  <c r="I3744" i="57"/>
  <c r="I3745" i="57"/>
  <c r="I3746" i="57"/>
  <c r="I3747" i="57"/>
  <c r="I3748" i="57"/>
  <c r="I3749" i="57"/>
  <c r="I3750" i="57"/>
  <c r="I3751" i="57"/>
  <c r="I3752" i="57"/>
  <c r="I3753" i="57"/>
  <c r="I3754" i="57"/>
  <c r="I3755" i="57"/>
  <c r="I3756" i="57"/>
  <c r="I3757" i="57"/>
  <c r="I3758" i="57"/>
  <c r="I3759" i="57"/>
  <c r="I3760" i="57"/>
  <c r="I3761" i="57"/>
  <c r="I3762" i="57"/>
  <c r="I3763" i="57"/>
  <c r="I3764" i="57"/>
  <c r="I3765" i="57"/>
  <c r="I3766" i="57"/>
  <c r="I3767" i="57"/>
  <c r="I3768" i="57"/>
  <c r="I3769" i="57"/>
  <c r="I3770" i="57"/>
  <c r="I3771" i="57"/>
  <c r="I3772" i="57"/>
  <c r="I3773" i="57"/>
  <c r="I3774" i="57"/>
  <c r="I3775" i="57"/>
  <c r="I3776" i="57"/>
  <c r="I3777" i="57"/>
  <c r="I3778" i="57"/>
  <c r="I3779" i="57"/>
  <c r="I3780" i="57"/>
  <c r="I3781" i="57"/>
  <c r="I3782" i="57"/>
  <c r="I3783" i="57"/>
  <c r="I3784" i="57"/>
  <c r="I3785" i="57"/>
  <c r="I3786" i="57"/>
  <c r="I3787" i="57"/>
  <c r="I3788" i="57"/>
  <c r="I3789" i="57"/>
  <c r="I3790" i="57"/>
  <c r="I3791" i="57"/>
  <c r="I3792" i="57"/>
  <c r="I3793" i="57"/>
  <c r="I3794" i="57"/>
  <c r="I3795" i="57"/>
  <c r="I3796" i="57"/>
  <c r="I3797" i="57"/>
  <c r="I3798" i="57"/>
  <c r="I3799" i="57"/>
  <c r="I3800" i="57"/>
  <c r="I3801" i="57"/>
  <c r="I3802" i="57"/>
  <c r="I3803" i="57"/>
  <c r="I3804" i="57"/>
  <c r="I3805" i="57"/>
  <c r="I3806" i="57"/>
  <c r="I3807" i="57"/>
  <c r="I3808" i="57"/>
  <c r="I3809" i="57"/>
  <c r="I3810" i="57"/>
  <c r="I3811" i="57"/>
  <c r="I3812" i="57"/>
  <c r="I3813" i="57"/>
  <c r="I3814" i="57"/>
  <c r="I3815" i="57"/>
  <c r="I3816" i="57"/>
  <c r="I3817" i="57"/>
  <c r="I3818" i="57"/>
  <c r="I3819" i="57"/>
  <c r="I3820" i="57"/>
  <c r="I3821" i="57"/>
  <c r="I3822" i="57"/>
  <c r="I3823" i="57"/>
  <c r="I3824" i="57"/>
  <c r="I3825" i="57"/>
  <c r="I3826" i="57"/>
  <c r="I3827" i="57"/>
  <c r="I3828" i="57"/>
  <c r="I3829" i="57"/>
  <c r="I3830" i="57"/>
  <c r="I3831" i="57"/>
  <c r="I3832" i="57"/>
  <c r="I3833" i="57"/>
  <c r="I3834" i="57"/>
  <c r="I3835" i="57"/>
  <c r="I3836" i="57"/>
  <c r="I3837" i="57"/>
  <c r="I3838" i="57"/>
  <c r="I3839" i="57"/>
  <c r="I3840" i="57"/>
  <c r="I3841" i="57"/>
  <c r="I3842" i="57"/>
  <c r="I3843" i="57"/>
  <c r="I3844" i="57"/>
  <c r="I3845" i="57"/>
  <c r="I3846" i="57"/>
  <c r="I3847" i="57"/>
  <c r="I3848" i="57"/>
  <c r="I3849" i="57"/>
  <c r="I3850" i="57"/>
  <c r="I3851" i="57"/>
  <c r="I3852" i="57"/>
  <c r="I3853" i="57"/>
  <c r="I3854" i="57"/>
  <c r="I3855" i="57"/>
  <c r="I3856" i="57"/>
  <c r="I3857" i="57"/>
  <c r="I3858" i="57"/>
  <c r="I3859" i="57"/>
  <c r="I3860" i="57"/>
  <c r="I3861" i="57"/>
  <c r="I3862" i="57"/>
  <c r="I3863" i="57"/>
  <c r="I3864" i="57"/>
  <c r="I3865" i="57"/>
  <c r="I3866" i="57"/>
  <c r="I3867" i="57"/>
  <c r="I3868" i="57"/>
  <c r="I3869" i="57"/>
  <c r="I3870" i="57"/>
  <c r="I3871" i="57"/>
  <c r="I3872" i="57"/>
  <c r="I3873" i="57"/>
  <c r="I3874" i="57"/>
  <c r="I3875" i="57"/>
  <c r="I3876" i="57"/>
  <c r="I3877" i="57"/>
  <c r="I3878" i="57"/>
  <c r="I3879" i="57"/>
  <c r="I3880" i="57"/>
  <c r="I3881" i="57"/>
  <c r="I3882" i="57"/>
  <c r="I3883" i="57"/>
  <c r="I3884" i="57"/>
  <c r="I3885" i="57"/>
  <c r="I3886" i="57"/>
  <c r="I3887" i="57"/>
  <c r="I3888" i="57"/>
  <c r="I3889" i="57"/>
  <c r="I3890" i="57"/>
  <c r="I3891" i="57"/>
  <c r="I3892" i="57"/>
  <c r="I3893" i="57"/>
  <c r="I3894" i="57"/>
  <c r="I3895" i="57"/>
  <c r="I3896" i="57"/>
  <c r="I3897" i="57"/>
  <c r="I3898" i="57"/>
  <c r="I3899" i="57"/>
  <c r="I3900" i="57"/>
  <c r="I3901" i="57"/>
  <c r="I3902" i="57"/>
  <c r="I3903" i="57"/>
  <c r="I3904" i="57"/>
  <c r="I3905" i="57"/>
  <c r="I3906" i="57"/>
  <c r="I3907" i="57"/>
  <c r="I3908" i="57"/>
  <c r="I3909" i="57"/>
  <c r="I3910" i="57"/>
  <c r="I3911" i="57"/>
  <c r="I3912" i="57"/>
  <c r="I3913" i="57"/>
  <c r="I3914" i="57"/>
  <c r="I3915" i="57"/>
  <c r="I3916" i="57"/>
  <c r="I3917" i="57"/>
  <c r="I3918" i="57"/>
  <c r="I3919" i="57"/>
  <c r="I3920" i="57"/>
  <c r="I3921" i="57"/>
  <c r="I3922" i="57"/>
  <c r="I3923" i="57"/>
  <c r="I3924" i="57"/>
  <c r="I3925" i="57"/>
  <c r="I3926" i="57"/>
  <c r="I3927" i="57"/>
  <c r="I3928" i="57"/>
  <c r="I3929" i="57"/>
  <c r="I3930" i="57"/>
  <c r="I3931" i="57"/>
  <c r="I3932" i="57"/>
  <c r="I3933" i="57"/>
  <c r="I3934" i="57"/>
  <c r="I3935" i="57"/>
  <c r="I3936" i="57"/>
  <c r="I3937" i="57"/>
  <c r="I3938" i="57"/>
  <c r="I3939" i="57"/>
  <c r="I3940" i="57"/>
  <c r="I3941" i="57"/>
  <c r="I3942" i="57"/>
  <c r="I3943" i="57"/>
  <c r="I3944" i="57"/>
  <c r="I3945" i="57"/>
  <c r="I3946" i="57"/>
  <c r="I3947" i="57"/>
  <c r="I3948" i="57"/>
  <c r="I3949" i="57"/>
  <c r="I3950" i="57"/>
  <c r="I3951" i="57"/>
  <c r="I3952" i="57"/>
  <c r="I3953" i="57"/>
  <c r="I3954" i="57"/>
  <c r="I3955" i="57"/>
  <c r="I3956" i="57"/>
  <c r="I3957" i="57"/>
  <c r="I3958" i="57"/>
  <c r="I3959" i="57"/>
  <c r="I3960" i="57"/>
  <c r="I3961" i="57"/>
  <c r="I3962" i="57"/>
  <c r="I3963" i="57"/>
  <c r="I3964" i="57"/>
  <c r="I3965" i="57"/>
  <c r="I3966" i="57"/>
  <c r="I3967" i="57"/>
  <c r="I3968" i="57"/>
  <c r="I3969" i="57"/>
  <c r="I3970" i="57"/>
  <c r="I3971" i="57"/>
  <c r="I3972" i="57"/>
  <c r="I3973" i="57"/>
  <c r="I3974" i="57"/>
  <c r="I3975" i="57"/>
  <c r="I3976" i="57"/>
  <c r="I3977" i="57"/>
  <c r="I3978" i="57"/>
  <c r="I3979" i="57"/>
  <c r="I3980" i="57"/>
  <c r="I3981" i="57"/>
  <c r="I3982" i="57"/>
  <c r="I3983" i="57"/>
  <c r="I3984" i="57"/>
  <c r="I3985" i="57"/>
  <c r="I3986" i="57"/>
  <c r="I3987" i="57"/>
  <c r="I3988" i="57"/>
  <c r="I3989" i="57"/>
  <c r="I3990" i="57"/>
  <c r="I3991" i="57"/>
  <c r="I3992" i="57"/>
  <c r="I3993" i="57"/>
  <c r="I3994" i="57"/>
  <c r="I3995" i="57"/>
  <c r="I3996" i="57"/>
  <c r="I3997" i="57"/>
  <c r="I3998" i="57"/>
  <c r="I3999" i="57"/>
  <c r="I4000" i="57"/>
  <c r="I4001" i="57"/>
  <c r="I4002" i="57"/>
  <c r="I4003" i="57"/>
  <c r="I4004" i="57"/>
  <c r="I4005" i="57"/>
  <c r="I4006" i="57"/>
  <c r="I4007" i="57"/>
  <c r="I4008" i="57"/>
  <c r="I4009" i="57"/>
  <c r="I4010" i="57"/>
  <c r="I4011" i="57"/>
  <c r="I4012" i="57"/>
  <c r="I4013" i="57"/>
  <c r="I4014" i="57"/>
  <c r="I4015" i="57"/>
  <c r="I4016" i="57"/>
  <c r="I4017" i="57"/>
  <c r="I4018" i="57"/>
  <c r="I4019" i="57"/>
  <c r="I4020" i="57"/>
  <c r="I4021" i="57"/>
  <c r="I4022" i="57"/>
  <c r="I4023" i="57"/>
  <c r="I4024" i="57"/>
  <c r="I4025" i="57"/>
  <c r="I4026" i="57"/>
  <c r="I4027" i="57"/>
  <c r="I4028" i="57"/>
  <c r="I4029" i="57"/>
  <c r="I4030" i="57"/>
  <c r="I4031" i="57"/>
  <c r="I4032" i="57"/>
  <c r="I4033" i="57"/>
  <c r="I4034" i="57"/>
  <c r="I4035" i="57"/>
  <c r="I4036" i="57"/>
  <c r="I4037" i="57"/>
  <c r="I4038" i="57"/>
  <c r="I4039" i="57"/>
  <c r="I4040" i="57"/>
  <c r="I4041" i="57"/>
  <c r="I4042" i="57"/>
  <c r="I4043" i="57"/>
  <c r="I4044" i="57"/>
  <c r="I4045" i="57"/>
  <c r="I4046" i="57"/>
  <c r="I4047" i="57"/>
  <c r="I4048" i="57"/>
  <c r="I4049" i="57"/>
  <c r="I4050" i="57"/>
  <c r="I4051" i="57"/>
  <c r="I4052" i="57"/>
  <c r="I4053" i="57"/>
  <c r="I4054" i="57"/>
  <c r="I4055" i="57"/>
  <c r="I4056" i="57"/>
  <c r="I4057" i="57"/>
  <c r="I4058" i="57"/>
  <c r="I4059" i="57"/>
  <c r="I4060" i="57"/>
  <c r="I4061" i="57"/>
  <c r="I4062" i="57"/>
  <c r="I4063" i="57"/>
  <c r="I4064" i="57"/>
  <c r="I4065" i="57"/>
  <c r="I4066" i="57"/>
  <c r="I4067" i="57"/>
  <c r="I4068" i="57"/>
  <c r="I4069" i="57"/>
  <c r="I4070" i="57"/>
  <c r="I4071" i="57"/>
  <c r="I4072" i="57"/>
  <c r="I4073" i="57"/>
  <c r="I4074" i="57"/>
  <c r="I4075" i="57"/>
  <c r="I4076" i="57"/>
  <c r="I4077" i="57"/>
  <c r="I4078" i="57"/>
  <c r="I4079" i="57"/>
  <c r="I4080" i="57"/>
  <c r="I4081" i="57"/>
  <c r="I4082" i="57"/>
  <c r="I4083" i="57"/>
  <c r="I4084" i="57"/>
  <c r="I4085" i="57"/>
  <c r="I4086" i="57"/>
  <c r="I4087" i="57"/>
  <c r="I4088" i="57"/>
  <c r="I4089" i="57"/>
  <c r="I4090" i="57"/>
  <c r="I4091" i="57"/>
  <c r="I4092" i="57"/>
  <c r="I4093" i="57"/>
  <c r="I4094" i="57"/>
  <c r="I4095" i="57"/>
  <c r="I4096" i="57"/>
  <c r="I4097" i="57"/>
  <c r="I4098" i="57"/>
  <c r="I4099" i="57"/>
  <c r="I4100" i="57"/>
  <c r="I4101" i="57"/>
  <c r="I4102" i="57"/>
  <c r="I4103" i="57"/>
  <c r="I4104" i="57"/>
  <c r="I4105" i="57"/>
  <c r="I4106" i="57"/>
  <c r="I4107" i="57"/>
  <c r="I4108" i="57"/>
  <c r="I4109" i="57"/>
  <c r="I4110" i="57"/>
  <c r="I4111" i="57"/>
  <c r="I4112" i="57"/>
  <c r="I4113" i="57"/>
  <c r="I4114" i="57"/>
  <c r="I4115" i="57"/>
  <c r="I4116" i="57"/>
  <c r="I4117" i="57"/>
  <c r="I4118" i="57"/>
  <c r="I4119" i="57"/>
  <c r="I4120" i="57"/>
  <c r="I4121" i="57"/>
  <c r="I4122" i="57"/>
  <c r="I4123" i="57"/>
  <c r="I4124" i="57"/>
  <c r="I4125" i="57"/>
  <c r="I4126" i="57"/>
  <c r="I4127" i="57"/>
  <c r="I4128" i="57"/>
  <c r="I4129" i="57"/>
  <c r="I4130" i="57"/>
  <c r="I4131" i="57"/>
  <c r="I4132" i="57"/>
  <c r="I4133" i="57"/>
  <c r="I4134" i="57"/>
  <c r="I4135" i="57"/>
  <c r="I4136" i="57"/>
  <c r="I4137" i="57"/>
  <c r="I4138" i="57"/>
  <c r="I4139" i="57"/>
  <c r="I4140" i="57"/>
  <c r="I4141" i="57"/>
  <c r="I4142" i="57"/>
  <c r="I4143" i="57"/>
  <c r="I4144" i="57"/>
  <c r="I4145" i="57"/>
  <c r="I4146" i="57"/>
  <c r="I4147" i="57"/>
  <c r="I4148" i="57"/>
  <c r="I4149" i="57"/>
  <c r="I4150" i="57"/>
  <c r="I4151" i="57"/>
  <c r="I4152" i="57"/>
  <c r="I4153" i="57"/>
  <c r="I4154" i="57"/>
  <c r="I4155" i="57"/>
  <c r="I4156" i="57"/>
  <c r="I4157" i="57"/>
  <c r="I4158" i="57"/>
  <c r="I4159" i="57"/>
  <c r="I4160" i="57"/>
  <c r="I4161" i="57"/>
  <c r="I4162" i="57"/>
  <c r="I4163" i="57"/>
  <c r="I4164" i="57"/>
  <c r="I4165" i="57"/>
  <c r="I4166" i="57"/>
  <c r="I4167" i="57"/>
  <c r="I4168" i="57"/>
  <c r="I4169" i="57"/>
  <c r="I4170" i="57"/>
  <c r="I4171" i="57"/>
  <c r="I4172" i="57"/>
  <c r="I4173" i="57"/>
  <c r="I4174" i="57"/>
  <c r="I4175" i="57"/>
  <c r="I4176" i="57"/>
  <c r="I4177" i="57"/>
  <c r="I4178" i="57"/>
  <c r="I4179" i="57"/>
  <c r="I4180" i="57"/>
  <c r="I4181" i="57"/>
  <c r="I4182" i="57"/>
  <c r="I4183" i="57"/>
  <c r="I4184" i="57"/>
  <c r="I4185" i="57"/>
  <c r="I4186" i="57"/>
  <c r="I4187" i="57"/>
  <c r="I4188" i="57"/>
  <c r="I4189" i="57"/>
  <c r="I4190" i="57"/>
  <c r="I4191" i="57"/>
  <c r="I4192" i="57"/>
  <c r="I4193" i="57"/>
  <c r="I4194" i="57"/>
  <c r="I4195" i="57"/>
  <c r="I4196" i="57"/>
  <c r="I4197" i="57"/>
  <c r="I4198" i="57"/>
  <c r="I4199" i="57"/>
  <c r="I4200" i="57"/>
  <c r="I4201" i="57"/>
  <c r="I4202" i="57"/>
  <c r="I4203" i="57"/>
  <c r="I4204" i="57"/>
  <c r="I4205" i="57"/>
  <c r="I4206" i="57"/>
  <c r="I4207" i="57"/>
  <c r="I4208" i="57"/>
  <c r="I4209" i="57"/>
  <c r="I4210" i="57"/>
  <c r="I4211" i="57"/>
  <c r="I4212" i="57"/>
  <c r="I4213" i="57"/>
  <c r="I4214" i="57"/>
  <c r="I4215" i="57"/>
  <c r="I4216" i="57"/>
  <c r="I4217" i="57"/>
  <c r="I4218" i="57"/>
  <c r="I4219" i="57"/>
  <c r="I4220" i="57"/>
  <c r="I4221" i="57"/>
  <c r="I4222" i="57"/>
  <c r="I4223" i="57"/>
  <c r="I4224" i="57"/>
  <c r="I4225" i="57"/>
  <c r="I4226" i="57"/>
  <c r="I4227" i="57"/>
  <c r="I4228" i="57"/>
  <c r="I4229" i="57"/>
  <c r="I4230" i="57"/>
  <c r="I4231" i="57"/>
  <c r="I4232" i="57"/>
  <c r="I4233" i="57"/>
  <c r="I4234" i="57"/>
  <c r="I4235" i="57"/>
  <c r="I4236" i="57"/>
  <c r="I4237" i="57"/>
  <c r="I4238" i="57"/>
  <c r="I4239" i="57"/>
  <c r="I4240" i="57"/>
  <c r="I4241" i="57"/>
  <c r="I4242" i="57"/>
  <c r="I4243" i="57"/>
  <c r="I4244" i="57"/>
  <c r="I4245" i="57"/>
  <c r="I4246" i="57"/>
  <c r="I4247" i="57"/>
  <c r="I4248" i="57"/>
  <c r="I4249" i="57"/>
  <c r="I4250" i="57"/>
  <c r="I4251" i="57"/>
  <c r="I4252" i="57"/>
  <c r="I4253" i="57"/>
  <c r="I4254" i="57"/>
  <c r="I4255" i="57"/>
  <c r="I4256" i="57"/>
  <c r="I4257" i="57"/>
  <c r="I4258" i="57"/>
  <c r="I4259" i="57"/>
  <c r="I4260" i="57"/>
  <c r="I4261" i="57"/>
  <c r="I4262" i="57"/>
  <c r="I4263" i="57"/>
  <c r="I4264" i="57"/>
  <c r="I4265" i="57"/>
  <c r="I4266" i="57"/>
  <c r="I4267" i="57"/>
  <c r="I4268" i="57"/>
  <c r="I4269" i="57"/>
  <c r="I4270" i="57"/>
  <c r="I4271" i="57"/>
  <c r="I4272" i="57"/>
  <c r="I4273" i="57"/>
  <c r="I4274" i="57"/>
  <c r="I4275" i="57"/>
  <c r="I4276" i="57"/>
  <c r="I4277" i="57"/>
  <c r="I4278" i="57"/>
  <c r="I4279" i="57"/>
  <c r="I4280" i="57"/>
  <c r="I4281" i="57"/>
  <c r="I4282" i="57"/>
  <c r="I4283" i="57"/>
  <c r="I4284" i="57"/>
  <c r="I4285" i="57"/>
  <c r="I4286" i="57"/>
  <c r="I4287" i="57"/>
  <c r="I4288" i="57"/>
  <c r="I4289" i="57"/>
  <c r="I4290" i="57"/>
  <c r="I4291" i="57"/>
  <c r="I4292" i="57"/>
  <c r="I4293" i="57"/>
  <c r="I4294" i="57"/>
  <c r="I4295" i="57"/>
  <c r="I4296" i="57"/>
  <c r="I4297" i="57"/>
  <c r="I4298" i="57"/>
  <c r="I4299" i="57"/>
  <c r="I4300" i="57"/>
  <c r="I4301" i="57"/>
  <c r="I4302" i="57"/>
  <c r="I4303" i="57"/>
  <c r="I4304" i="57"/>
  <c r="I4305" i="57"/>
  <c r="I4306" i="57"/>
  <c r="I4307" i="57"/>
  <c r="I4308" i="57"/>
  <c r="I4309" i="57"/>
  <c r="I4310" i="57"/>
  <c r="I4311" i="57"/>
  <c r="I4312" i="57"/>
  <c r="I4313" i="57"/>
  <c r="I4314" i="57"/>
  <c r="I4315" i="57"/>
  <c r="I4316" i="57"/>
  <c r="I4317" i="57"/>
  <c r="I4318" i="57"/>
  <c r="I4319" i="57"/>
  <c r="I4320" i="57"/>
  <c r="I4321" i="57"/>
  <c r="I4322" i="57"/>
  <c r="I4323" i="57"/>
  <c r="I4324" i="57"/>
  <c r="I4325" i="57"/>
  <c r="I4326" i="57"/>
  <c r="I4327" i="57"/>
  <c r="I4328" i="57"/>
  <c r="I4329" i="57"/>
  <c r="I4330" i="57"/>
  <c r="I4331" i="57"/>
  <c r="I4332" i="57"/>
  <c r="I4333" i="57"/>
  <c r="I4334" i="57"/>
  <c r="I4335" i="57"/>
  <c r="I4336" i="57"/>
  <c r="I4337" i="57"/>
  <c r="I4338" i="57"/>
  <c r="I4339" i="57"/>
  <c r="I4340" i="57"/>
  <c r="I4341" i="57"/>
  <c r="I4342" i="57"/>
  <c r="I4343" i="57"/>
  <c r="I4344" i="57"/>
  <c r="I4345" i="57"/>
  <c r="I4346" i="57"/>
  <c r="I4347" i="57"/>
  <c r="I4348" i="57"/>
  <c r="I4349" i="57"/>
  <c r="I4350" i="57"/>
  <c r="I4351" i="57"/>
  <c r="I4352" i="57"/>
  <c r="I4353" i="57"/>
  <c r="I4354" i="57"/>
  <c r="I4355" i="57"/>
  <c r="I4356" i="57"/>
  <c r="I4357" i="57"/>
  <c r="I4358" i="57"/>
  <c r="I4359" i="57"/>
  <c r="I4360" i="57"/>
  <c r="I4361" i="57"/>
  <c r="I4362" i="57"/>
  <c r="I4363" i="57"/>
  <c r="I4364" i="57"/>
  <c r="I4365" i="57"/>
  <c r="I4366" i="57"/>
  <c r="I4367" i="57"/>
  <c r="I4368" i="57"/>
  <c r="I4369" i="57"/>
  <c r="I4370" i="57"/>
  <c r="I4371" i="57"/>
  <c r="I4372" i="57"/>
  <c r="I4373" i="57"/>
  <c r="I4374" i="57"/>
  <c r="I4375" i="57"/>
  <c r="I4376" i="57"/>
  <c r="I4377" i="57"/>
  <c r="I4378" i="57"/>
  <c r="I4379" i="57"/>
  <c r="I4380" i="57"/>
  <c r="I4381" i="57"/>
  <c r="I4382" i="57"/>
  <c r="I4383" i="57"/>
  <c r="I4384" i="57"/>
  <c r="I4385" i="57"/>
  <c r="I4386" i="57"/>
  <c r="I4387" i="57"/>
  <c r="I4388" i="57"/>
  <c r="I4389" i="57"/>
  <c r="I4390" i="57"/>
  <c r="I4391" i="57"/>
  <c r="I4392" i="57"/>
  <c r="I4393" i="57"/>
  <c r="I4394" i="57"/>
  <c r="I4395" i="57"/>
  <c r="I4396" i="57"/>
  <c r="I4397" i="57"/>
  <c r="I4398" i="57"/>
  <c r="I4399" i="57"/>
  <c r="I4400" i="57"/>
  <c r="I4401" i="57"/>
  <c r="I4402" i="57"/>
  <c r="I4403" i="57"/>
  <c r="I4404" i="57"/>
  <c r="I4405" i="57"/>
  <c r="I4406" i="57"/>
  <c r="I4407" i="57"/>
  <c r="I4408" i="57"/>
  <c r="I4409" i="57"/>
  <c r="I4410" i="57"/>
  <c r="I4411" i="57"/>
  <c r="I4412" i="57"/>
  <c r="I4413" i="57"/>
  <c r="I4414" i="57"/>
  <c r="I4415" i="57"/>
  <c r="I4416" i="57"/>
  <c r="I4417" i="57"/>
  <c r="I4418" i="57"/>
  <c r="I4419" i="57"/>
  <c r="I4420" i="57"/>
  <c r="I4421" i="57"/>
  <c r="I4422" i="57"/>
  <c r="I4423" i="57"/>
  <c r="I4424" i="57"/>
  <c r="I4425" i="57"/>
  <c r="I4426" i="57"/>
  <c r="I4427" i="57"/>
  <c r="I4428" i="57"/>
  <c r="I4429" i="57"/>
  <c r="I4430" i="57"/>
  <c r="I4431" i="57"/>
  <c r="I4432" i="57"/>
  <c r="I4433" i="57"/>
  <c r="I4434" i="57"/>
  <c r="I4435" i="57"/>
  <c r="I4436" i="57"/>
  <c r="I4437" i="57"/>
  <c r="I4438" i="57"/>
  <c r="I4439" i="57"/>
  <c r="I4440" i="57"/>
  <c r="I4441" i="57"/>
  <c r="I4442" i="57"/>
  <c r="I4443" i="57"/>
  <c r="I4444" i="57"/>
  <c r="I4445" i="57"/>
  <c r="I4446" i="57"/>
  <c r="I4447" i="57"/>
  <c r="I4448" i="57"/>
  <c r="I4449" i="57"/>
  <c r="I4450" i="57"/>
  <c r="I4451" i="57"/>
  <c r="I4452" i="57"/>
  <c r="I4453" i="57"/>
  <c r="I4454" i="57"/>
  <c r="I4455" i="57"/>
  <c r="I4456" i="57"/>
  <c r="I4457" i="57"/>
  <c r="I4458" i="57"/>
  <c r="I4459" i="57"/>
  <c r="I4460" i="57"/>
  <c r="I4461" i="57"/>
  <c r="I4462" i="57"/>
  <c r="I4463" i="57"/>
  <c r="I4464" i="57"/>
  <c r="I4465" i="57"/>
  <c r="I4466" i="57"/>
  <c r="I4467" i="57"/>
  <c r="I4468" i="57"/>
  <c r="I4469" i="57"/>
  <c r="I4470" i="57"/>
  <c r="I4471" i="57"/>
  <c r="I4472" i="57"/>
  <c r="I4473" i="57"/>
  <c r="I4474" i="57"/>
  <c r="I4475" i="57"/>
  <c r="I4476" i="57"/>
  <c r="I4477" i="57"/>
  <c r="I4478" i="57"/>
  <c r="I4479" i="57"/>
  <c r="I4480" i="57"/>
  <c r="I4481" i="57"/>
  <c r="I4482" i="57"/>
  <c r="I4483" i="57"/>
  <c r="I4484" i="57"/>
  <c r="I4485" i="57"/>
  <c r="I4486" i="57"/>
  <c r="I4487" i="57"/>
  <c r="I4488" i="57"/>
  <c r="I4489" i="57"/>
  <c r="I4490" i="57"/>
  <c r="I4491" i="57"/>
  <c r="I4492" i="57"/>
  <c r="I4493" i="57"/>
  <c r="I4494" i="57"/>
  <c r="I4495" i="57"/>
  <c r="I4496" i="57"/>
  <c r="I4497" i="57"/>
  <c r="I4498" i="57"/>
  <c r="I4499" i="57"/>
  <c r="I4500" i="57"/>
  <c r="I4501" i="57"/>
  <c r="I4502" i="57"/>
  <c r="I4503" i="57"/>
  <c r="I4504" i="57"/>
  <c r="I4505" i="57"/>
  <c r="I4506" i="57"/>
  <c r="I4507" i="57"/>
  <c r="I4508" i="57"/>
  <c r="I4509" i="57"/>
  <c r="I4510" i="57"/>
  <c r="I4511" i="57"/>
  <c r="I4512" i="57"/>
  <c r="I4513" i="57"/>
  <c r="I4514" i="57"/>
  <c r="I4515" i="57"/>
  <c r="I4516" i="57"/>
  <c r="I4517" i="57"/>
  <c r="I4518" i="57"/>
  <c r="I4519" i="57"/>
  <c r="I4520" i="57"/>
  <c r="I4521" i="57"/>
  <c r="I4522" i="57"/>
  <c r="I4523" i="57"/>
  <c r="I4524" i="57"/>
  <c r="I4525" i="57"/>
  <c r="I4526" i="57"/>
  <c r="I4527" i="57"/>
  <c r="I4528" i="57"/>
  <c r="I4529" i="57"/>
  <c r="I4530" i="57"/>
  <c r="I4531" i="57"/>
  <c r="I4532" i="57"/>
  <c r="I4533" i="57"/>
  <c r="I4534" i="57"/>
  <c r="I4535" i="57"/>
  <c r="I4536" i="57"/>
  <c r="I4537" i="57"/>
  <c r="I4538" i="57"/>
  <c r="I4539" i="57"/>
  <c r="I4540" i="57"/>
  <c r="I4541" i="57"/>
  <c r="I4542" i="57"/>
  <c r="I4543" i="57"/>
  <c r="I4544" i="57"/>
  <c r="I4545" i="57"/>
  <c r="I4546" i="57"/>
  <c r="I4547" i="57"/>
  <c r="I4548" i="57"/>
  <c r="I4549" i="57"/>
  <c r="I4550" i="57"/>
  <c r="I4551" i="57"/>
  <c r="I4552" i="57"/>
  <c r="I4553" i="57"/>
  <c r="I4554" i="57"/>
  <c r="I4555" i="57"/>
  <c r="I4556" i="57"/>
  <c r="I4557" i="57"/>
  <c r="I4558" i="57"/>
  <c r="I4559" i="57"/>
  <c r="I4560" i="57"/>
  <c r="I4561" i="57"/>
  <c r="I4562" i="57"/>
  <c r="I4563" i="57"/>
  <c r="I4564" i="57"/>
  <c r="I4565" i="57"/>
  <c r="I4566" i="57"/>
  <c r="I4567" i="57"/>
  <c r="I4568" i="57"/>
  <c r="I4569" i="57"/>
  <c r="I4570" i="57"/>
  <c r="I4571" i="57"/>
  <c r="I4572" i="57"/>
  <c r="I4573" i="57"/>
  <c r="I4574" i="57"/>
  <c r="I4575" i="57"/>
  <c r="I4576" i="57"/>
  <c r="I4577" i="57"/>
  <c r="I4578" i="57"/>
  <c r="I4579" i="57"/>
  <c r="I4580" i="57"/>
  <c r="I4581" i="57"/>
  <c r="I4582" i="57"/>
  <c r="I4583" i="57"/>
  <c r="I4584" i="57"/>
  <c r="I4585" i="57"/>
  <c r="I4586" i="57"/>
  <c r="I4587" i="57"/>
  <c r="I4588" i="57"/>
  <c r="I4589" i="57"/>
  <c r="I4590" i="57"/>
  <c r="I4591" i="57"/>
  <c r="I4592" i="57"/>
  <c r="I4593" i="57"/>
  <c r="I4594" i="57"/>
  <c r="I4595" i="57"/>
  <c r="I4596" i="57"/>
  <c r="I4597" i="57"/>
  <c r="I4598" i="57"/>
  <c r="I4599" i="57"/>
  <c r="I4600" i="57"/>
  <c r="I4601" i="57"/>
  <c r="I4602" i="57"/>
  <c r="I4603" i="57"/>
  <c r="I4604" i="57"/>
  <c r="I4605" i="57"/>
  <c r="I4606" i="57"/>
  <c r="I4607" i="57"/>
  <c r="I4608" i="57"/>
  <c r="I4609" i="57"/>
  <c r="I4610" i="57"/>
  <c r="I4611" i="57"/>
  <c r="I4612" i="57"/>
  <c r="I4613" i="57"/>
  <c r="I4614" i="57"/>
  <c r="I4615" i="57"/>
  <c r="I4616" i="57"/>
  <c r="I4617" i="57"/>
  <c r="I4618" i="57"/>
  <c r="I4619" i="57"/>
  <c r="I4620" i="57"/>
  <c r="I4621" i="57"/>
  <c r="I4622" i="57"/>
  <c r="I4623" i="57"/>
  <c r="I4624" i="57"/>
  <c r="I4625" i="57"/>
  <c r="I4626" i="57"/>
  <c r="I4627" i="57"/>
  <c r="I4628" i="57"/>
  <c r="I4629" i="57"/>
  <c r="I4630" i="57"/>
  <c r="I4631" i="57"/>
  <c r="I4632" i="57"/>
  <c r="I4633" i="57"/>
  <c r="I4634" i="57"/>
  <c r="I4635" i="57"/>
  <c r="I4636" i="57"/>
  <c r="I4637" i="57"/>
  <c r="I4638" i="57"/>
  <c r="I4639" i="57"/>
  <c r="I4640" i="57"/>
  <c r="I4641" i="57"/>
  <c r="I4642" i="57"/>
  <c r="I4643" i="57"/>
  <c r="I4644" i="57"/>
  <c r="I4645" i="57"/>
  <c r="I4646" i="57"/>
  <c r="I4647" i="57"/>
  <c r="I4648" i="57"/>
  <c r="I4649" i="57"/>
  <c r="I4650" i="57"/>
  <c r="I4651" i="57"/>
  <c r="I4652" i="57"/>
  <c r="I4653" i="57"/>
  <c r="I4654" i="57"/>
  <c r="I4655" i="57"/>
  <c r="I4656" i="57"/>
  <c r="I4657" i="57"/>
  <c r="I4658" i="57"/>
  <c r="I4659" i="57"/>
  <c r="I4660" i="57"/>
  <c r="I4661" i="57"/>
  <c r="I4662" i="57"/>
  <c r="I4663" i="57"/>
  <c r="I4664" i="57"/>
  <c r="I4665" i="57"/>
  <c r="I4666" i="57"/>
  <c r="I4667" i="57"/>
  <c r="I4668" i="57"/>
  <c r="I4669" i="57"/>
  <c r="I4670" i="57"/>
  <c r="I4671" i="57"/>
  <c r="I4672" i="57"/>
  <c r="I4673" i="57"/>
  <c r="I4674" i="57"/>
  <c r="I4675" i="57"/>
  <c r="I4676" i="57"/>
  <c r="I4677" i="57"/>
  <c r="I4678" i="57"/>
  <c r="I4679" i="57"/>
  <c r="I4680" i="57"/>
  <c r="I4681" i="57"/>
  <c r="I4682" i="57"/>
  <c r="I4683" i="57"/>
  <c r="I4684" i="57"/>
  <c r="I4685" i="57"/>
  <c r="I4686" i="57"/>
  <c r="I4687" i="57"/>
  <c r="I4688" i="57"/>
  <c r="I4689" i="57"/>
  <c r="I4690" i="57"/>
  <c r="I4691" i="57"/>
  <c r="I4692" i="57"/>
  <c r="I4693" i="57"/>
  <c r="I4694" i="57"/>
  <c r="I4695" i="57"/>
  <c r="I4696" i="57"/>
  <c r="I4697" i="57"/>
  <c r="I4698" i="57"/>
  <c r="I4699" i="57"/>
  <c r="I4700" i="57"/>
  <c r="I4701" i="57"/>
  <c r="I4702" i="57"/>
  <c r="I4703" i="57"/>
  <c r="I4704" i="57"/>
  <c r="I4705" i="57"/>
  <c r="I4706" i="57"/>
  <c r="I4707" i="57"/>
  <c r="I4708" i="57"/>
  <c r="I4709" i="57"/>
  <c r="I4710" i="57"/>
  <c r="I4711" i="57"/>
  <c r="I4712" i="57"/>
  <c r="I4713" i="57"/>
  <c r="I4714" i="57"/>
  <c r="I4715" i="57"/>
  <c r="I4716" i="57"/>
  <c r="I4717" i="57"/>
  <c r="I4718" i="57"/>
  <c r="I4719" i="57"/>
  <c r="I4720" i="57"/>
  <c r="I4721" i="57"/>
  <c r="I4722" i="57"/>
  <c r="I4723" i="57"/>
  <c r="I4724" i="57"/>
  <c r="I4725" i="57"/>
  <c r="I4726" i="57"/>
  <c r="I4727" i="57"/>
  <c r="I4728" i="57"/>
  <c r="I4729" i="57"/>
  <c r="I4730" i="57"/>
  <c r="I4731" i="57"/>
  <c r="I4732" i="57"/>
  <c r="I4733" i="57"/>
  <c r="I4734" i="57"/>
  <c r="I4735" i="57"/>
  <c r="I4736" i="57"/>
  <c r="I4737" i="57"/>
  <c r="I4738" i="57"/>
  <c r="I4739" i="57"/>
  <c r="I4740" i="57"/>
  <c r="I4741" i="57"/>
  <c r="I4742" i="57"/>
  <c r="I4743" i="57"/>
  <c r="I4744" i="57"/>
  <c r="I4745" i="57"/>
  <c r="I4746" i="57"/>
  <c r="I4747" i="57"/>
  <c r="I4748" i="57"/>
  <c r="I4749" i="57"/>
  <c r="I4750" i="57"/>
  <c r="I4751" i="57"/>
  <c r="I4752" i="57"/>
  <c r="I4753" i="57"/>
  <c r="I4754" i="57"/>
  <c r="I4755" i="57"/>
  <c r="I4756" i="57"/>
  <c r="I4757" i="57"/>
  <c r="I4758" i="57"/>
  <c r="I4759" i="57"/>
  <c r="I4760" i="57"/>
  <c r="I4761" i="57"/>
  <c r="I4762" i="57"/>
  <c r="I4763" i="57"/>
  <c r="I4764" i="57"/>
  <c r="I4765" i="57"/>
  <c r="I4766" i="57"/>
  <c r="I4767" i="57"/>
  <c r="I4768" i="57"/>
  <c r="I4769" i="57"/>
  <c r="I4770" i="57"/>
  <c r="I4771" i="57"/>
  <c r="I4772" i="57"/>
  <c r="I4773" i="57"/>
  <c r="I4774" i="57"/>
  <c r="I4775" i="57"/>
  <c r="I4776" i="57"/>
  <c r="I4777" i="57"/>
  <c r="I4778" i="57"/>
  <c r="I4779" i="57"/>
  <c r="I4780" i="57"/>
  <c r="I4781" i="57"/>
  <c r="I4782" i="57"/>
  <c r="I4783" i="57"/>
  <c r="I4784" i="57"/>
  <c r="I4785" i="57"/>
  <c r="I4786" i="57"/>
  <c r="I4787" i="57"/>
  <c r="I4788" i="57"/>
  <c r="I4789" i="57"/>
  <c r="I4790" i="57"/>
  <c r="I4791" i="57"/>
  <c r="I4792" i="57"/>
  <c r="I4793" i="57"/>
  <c r="I4794" i="57"/>
  <c r="I4795" i="57"/>
  <c r="I4796" i="57"/>
  <c r="I4797" i="57"/>
  <c r="I4798" i="57"/>
  <c r="I4799" i="57"/>
  <c r="I4800" i="57"/>
  <c r="I4801" i="57"/>
  <c r="I4802" i="57"/>
  <c r="I4803" i="57"/>
  <c r="I4804" i="57"/>
  <c r="I4805" i="57"/>
  <c r="I4806" i="57"/>
  <c r="I4807" i="57"/>
  <c r="I4808" i="57"/>
  <c r="I4809" i="57"/>
  <c r="I4810" i="57"/>
  <c r="I4811" i="57"/>
  <c r="I4812" i="57"/>
  <c r="I4813" i="57"/>
  <c r="I4814" i="57"/>
  <c r="I4815" i="57"/>
  <c r="I4816" i="57"/>
  <c r="I4817" i="57"/>
  <c r="I4818" i="57"/>
  <c r="I4819" i="57"/>
  <c r="I4820" i="57"/>
  <c r="I4821" i="57"/>
  <c r="I4822" i="57"/>
  <c r="I4823" i="57"/>
  <c r="I4824" i="57"/>
  <c r="I4825" i="57"/>
  <c r="I4826" i="57"/>
  <c r="I4827" i="57"/>
  <c r="I4828" i="57"/>
  <c r="I4829" i="57"/>
  <c r="I4830" i="57"/>
  <c r="I4831" i="57"/>
  <c r="I4832" i="57"/>
  <c r="I4833" i="57"/>
  <c r="I4834" i="57"/>
  <c r="I4835" i="57"/>
  <c r="I4836" i="57"/>
  <c r="I4837" i="57"/>
  <c r="I4838" i="57"/>
  <c r="I4839" i="57"/>
  <c r="I4840" i="57"/>
  <c r="I4841" i="57"/>
  <c r="I4842" i="57"/>
  <c r="I4843" i="57"/>
  <c r="I4844" i="57"/>
  <c r="I4845" i="57"/>
  <c r="I4846" i="57"/>
  <c r="I4847" i="57"/>
  <c r="I4848" i="57"/>
  <c r="I4849" i="57"/>
  <c r="I4850" i="57"/>
  <c r="I4851" i="57"/>
  <c r="I4852" i="57"/>
  <c r="I4853" i="57"/>
  <c r="I4854" i="57"/>
  <c r="I4855" i="57"/>
  <c r="I4856" i="57"/>
  <c r="I4857" i="57"/>
  <c r="I4858" i="57"/>
  <c r="I4859" i="57"/>
  <c r="I4860" i="57"/>
  <c r="I4861" i="57"/>
  <c r="I4862" i="57"/>
  <c r="I4863" i="57"/>
  <c r="I4864" i="57"/>
  <c r="I4865" i="57"/>
  <c r="I4866" i="57"/>
  <c r="I4867" i="57"/>
  <c r="I4868" i="57"/>
  <c r="I4869" i="57"/>
  <c r="I4870" i="57"/>
  <c r="I4871" i="57"/>
  <c r="I4872" i="57"/>
  <c r="I4873" i="57"/>
  <c r="I4874" i="57"/>
  <c r="I4875" i="57"/>
  <c r="I4876" i="57"/>
  <c r="I4877" i="57"/>
  <c r="I4878" i="57"/>
  <c r="I4879" i="57"/>
  <c r="I4880" i="57"/>
  <c r="I4881" i="57"/>
  <c r="I4882" i="57"/>
  <c r="I4883" i="57"/>
  <c r="I4884" i="57"/>
  <c r="I4885" i="57"/>
  <c r="I4886" i="57"/>
  <c r="I4887" i="57"/>
  <c r="I4888" i="57"/>
  <c r="I4889" i="57"/>
  <c r="I4890" i="57"/>
  <c r="I4891" i="57"/>
  <c r="I4892" i="57"/>
  <c r="I4893" i="57"/>
  <c r="I4894" i="57"/>
  <c r="I4895" i="57"/>
  <c r="I4896" i="57"/>
  <c r="I4897" i="57"/>
  <c r="I4898" i="57"/>
  <c r="I4899" i="57"/>
  <c r="I4900" i="57"/>
  <c r="I4901" i="57"/>
  <c r="I4902" i="57"/>
  <c r="I4903" i="57"/>
  <c r="I4904" i="57"/>
  <c r="I4905" i="57"/>
  <c r="I4906" i="57"/>
  <c r="I4907" i="57"/>
  <c r="I4908" i="57"/>
  <c r="I4909" i="57"/>
  <c r="I4910" i="57"/>
  <c r="I4911" i="57"/>
  <c r="I4912" i="57"/>
  <c r="I4913" i="57"/>
  <c r="I4914" i="57"/>
  <c r="I4915" i="57"/>
  <c r="I4916" i="57"/>
  <c r="I4917" i="57"/>
  <c r="I4918" i="57"/>
  <c r="I4919" i="57"/>
  <c r="I4920" i="57"/>
  <c r="I4921" i="57"/>
  <c r="I4922" i="57"/>
  <c r="I4923" i="57"/>
  <c r="I4924" i="57"/>
  <c r="I4925" i="57"/>
  <c r="I4926" i="57"/>
  <c r="I4927" i="57"/>
  <c r="I4928" i="57"/>
  <c r="I4929" i="57"/>
  <c r="I4930" i="57"/>
  <c r="I4931" i="57"/>
  <c r="I4932" i="57"/>
  <c r="I4933" i="57"/>
  <c r="I4934" i="57"/>
  <c r="I4935" i="57"/>
  <c r="I4936" i="57"/>
  <c r="I4937" i="57"/>
  <c r="I4938" i="57"/>
  <c r="I4939" i="57"/>
  <c r="I4940" i="57"/>
  <c r="I4941" i="57"/>
  <c r="I4942" i="57"/>
  <c r="I4943" i="57"/>
  <c r="I4944" i="57"/>
  <c r="I4945" i="57"/>
  <c r="I4946" i="57"/>
  <c r="I4947" i="57"/>
  <c r="I4948" i="57"/>
  <c r="I4949" i="57"/>
  <c r="I4950" i="57"/>
  <c r="I4951" i="57"/>
  <c r="I4952" i="57"/>
  <c r="I4953" i="57"/>
  <c r="I4954" i="57"/>
  <c r="I4955" i="57"/>
  <c r="I4956" i="57"/>
  <c r="I4957" i="57"/>
  <c r="I4958" i="57"/>
  <c r="I4959" i="57"/>
  <c r="I4960" i="57"/>
  <c r="I4961" i="57"/>
  <c r="I4962" i="57"/>
  <c r="I4963" i="57"/>
  <c r="I4964" i="57"/>
  <c r="I4965" i="57"/>
  <c r="I4966" i="57"/>
  <c r="I4967" i="57"/>
  <c r="I4968" i="57"/>
  <c r="I4969" i="57"/>
  <c r="I4970" i="57"/>
  <c r="I4971" i="57"/>
  <c r="I4972" i="57"/>
  <c r="I4973" i="57"/>
  <c r="I4974" i="57"/>
  <c r="I4975" i="57"/>
  <c r="I4976" i="57"/>
  <c r="I4977" i="57"/>
  <c r="I4978" i="57"/>
  <c r="I4979" i="57"/>
  <c r="I4980" i="57"/>
  <c r="I4981" i="57"/>
  <c r="I4982" i="57"/>
  <c r="I4983" i="57"/>
  <c r="I4984" i="57"/>
  <c r="I4985" i="57"/>
  <c r="I4986" i="57"/>
  <c r="I4987" i="57"/>
  <c r="I4988" i="57"/>
  <c r="I4989" i="57"/>
  <c r="I4990" i="57"/>
  <c r="I4991" i="57"/>
  <c r="I4992" i="57"/>
  <c r="I4993" i="57"/>
  <c r="I4994" i="57"/>
  <c r="I4995" i="57"/>
  <c r="I4996" i="57"/>
  <c r="I4997" i="57"/>
  <c r="I4998" i="57"/>
  <c r="I4999" i="57"/>
  <c r="I5000" i="57"/>
  <c r="I5001" i="57"/>
  <c r="I5002" i="57"/>
  <c r="I5003" i="57"/>
  <c r="I5004" i="57"/>
  <c r="I5005" i="57"/>
  <c r="I5006" i="57"/>
  <c r="I5007" i="57"/>
  <c r="I5008" i="57"/>
  <c r="I5009" i="57"/>
  <c r="I5010" i="57"/>
  <c r="I5011" i="57"/>
  <c r="I5012" i="57"/>
  <c r="I5013" i="57"/>
  <c r="I5014" i="57"/>
  <c r="I5015" i="57"/>
  <c r="I5016" i="57"/>
  <c r="I5017" i="57"/>
  <c r="I5018" i="57"/>
  <c r="I5019" i="57"/>
  <c r="I5020" i="57"/>
  <c r="I5021" i="57"/>
  <c r="I5022" i="57"/>
  <c r="I5023" i="57"/>
  <c r="I5024" i="57"/>
  <c r="I5025" i="57"/>
  <c r="I5026" i="57"/>
  <c r="I5027" i="57"/>
  <c r="I5028" i="57"/>
  <c r="I5029" i="57"/>
  <c r="I5030" i="57"/>
  <c r="I5031" i="57"/>
  <c r="I5032" i="57"/>
  <c r="I5033" i="57"/>
  <c r="I5034" i="57"/>
  <c r="I5035" i="57"/>
  <c r="I5036" i="57"/>
  <c r="I5037" i="57"/>
  <c r="I5038" i="57"/>
  <c r="I5039" i="57"/>
  <c r="I5040" i="57"/>
  <c r="I5041" i="57"/>
  <c r="I5042" i="57"/>
  <c r="I5043" i="57"/>
  <c r="I5044" i="57"/>
  <c r="I5045" i="57"/>
  <c r="I5046" i="57"/>
  <c r="I5047" i="57"/>
  <c r="I5048" i="57"/>
  <c r="I5049" i="57"/>
  <c r="I5050" i="57"/>
  <c r="I5051" i="57"/>
  <c r="I5052" i="57"/>
  <c r="I5053" i="57"/>
  <c r="I5054" i="57"/>
  <c r="I5055" i="57"/>
  <c r="I5056" i="57"/>
  <c r="I5057" i="57"/>
  <c r="I5058" i="57"/>
  <c r="I5059" i="57"/>
  <c r="I5060" i="57"/>
  <c r="I5061" i="57"/>
  <c r="I5062" i="57"/>
  <c r="I5063" i="57"/>
  <c r="I5064" i="57"/>
  <c r="I5065" i="57"/>
  <c r="I5066" i="57"/>
  <c r="I5067" i="57"/>
  <c r="I5068" i="57"/>
  <c r="I5069" i="57"/>
  <c r="I5070" i="57"/>
  <c r="I5071" i="57"/>
  <c r="I5072" i="57"/>
  <c r="I5073" i="57"/>
  <c r="I5074" i="57"/>
  <c r="I5075" i="57"/>
  <c r="I5076" i="57"/>
  <c r="I5077" i="57"/>
  <c r="I5078" i="57"/>
  <c r="I5079" i="57"/>
  <c r="I5080" i="57"/>
  <c r="I5081" i="57"/>
  <c r="I5082" i="57"/>
  <c r="I5083" i="57"/>
  <c r="I5084" i="57"/>
  <c r="I5085" i="57"/>
  <c r="I5086" i="57"/>
  <c r="I5087" i="57"/>
  <c r="I5088" i="57"/>
  <c r="I5089" i="57"/>
  <c r="I5090" i="57"/>
  <c r="I5091" i="57"/>
  <c r="I5092" i="57"/>
  <c r="I5093" i="57"/>
  <c r="I5094" i="57"/>
  <c r="I5095" i="57"/>
  <c r="I5096" i="57"/>
  <c r="I5097" i="57"/>
  <c r="I5098" i="57"/>
  <c r="I5099" i="57"/>
  <c r="I5100" i="57"/>
  <c r="I5101" i="57"/>
  <c r="I5102" i="57"/>
  <c r="I5103" i="57"/>
  <c r="I5104" i="57"/>
  <c r="I5105" i="57"/>
  <c r="I5106" i="57"/>
  <c r="I5107" i="57"/>
  <c r="I5108" i="57"/>
  <c r="I5109" i="57"/>
  <c r="I5110" i="57"/>
  <c r="I5111" i="57"/>
  <c r="I5112" i="57"/>
  <c r="I5113" i="57"/>
  <c r="I5114" i="57"/>
  <c r="I5115" i="57"/>
  <c r="I5116" i="57"/>
  <c r="I5117" i="57"/>
  <c r="I5118" i="57"/>
  <c r="I5119" i="57"/>
  <c r="I5120" i="57"/>
  <c r="I5121" i="57"/>
  <c r="I5122" i="57"/>
  <c r="I5123" i="57"/>
  <c r="I5124" i="57"/>
  <c r="I5125" i="57"/>
  <c r="I5126" i="57"/>
  <c r="I5127" i="57"/>
  <c r="I5128" i="57"/>
  <c r="I5129" i="57"/>
  <c r="I5130" i="57"/>
  <c r="I5131" i="57"/>
  <c r="I5132" i="57"/>
  <c r="I5133" i="57"/>
  <c r="I5134" i="57"/>
  <c r="I5135" i="57"/>
  <c r="I5136" i="57"/>
  <c r="I5137" i="57"/>
  <c r="I5138" i="57"/>
  <c r="I5139" i="57"/>
  <c r="I5140" i="57"/>
  <c r="I5141" i="57"/>
  <c r="I5142" i="57"/>
  <c r="I5143" i="57"/>
  <c r="I5144" i="57"/>
  <c r="I5145" i="57"/>
  <c r="I5146" i="57"/>
  <c r="I5147" i="57"/>
  <c r="I5148" i="57"/>
  <c r="I5149" i="57"/>
  <c r="I5150" i="57"/>
  <c r="I5151" i="57"/>
  <c r="I5152" i="57"/>
  <c r="I5153" i="57"/>
  <c r="I5154" i="57"/>
  <c r="I5155" i="57"/>
  <c r="I5156" i="57"/>
  <c r="I5157" i="57"/>
  <c r="I5158" i="57"/>
  <c r="I5159" i="57"/>
  <c r="I5160" i="57"/>
  <c r="I5161" i="57"/>
  <c r="I5162" i="57"/>
  <c r="I5163" i="57"/>
  <c r="I5164" i="57"/>
  <c r="I5165" i="57"/>
  <c r="I5166" i="57"/>
  <c r="I5167" i="57"/>
  <c r="I5168" i="57"/>
  <c r="I5169" i="57"/>
  <c r="I5170" i="57"/>
  <c r="I5171" i="57"/>
  <c r="I5172" i="57"/>
  <c r="I5173" i="57"/>
  <c r="I5174" i="57"/>
  <c r="I5175" i="57"/>
  <c r="I5176" i="57"/>
  <c r="I5177" i="57"/>
  <c r="I5178" i="57"/>
  <c r="I5179" i="57"/>
  <c r="I5180" i="57"/>
  <c r="I5181" i="57"/>
  <c r="I5182" i="57"/>
  <c r="I5183" i="57"/>
  <c r="I5184" i="57"/>
  <c r="I5185" i="57"/>
  <c r="I5186" i="57"/>
  <c r="I5187" i="57"/>
  <c r="I5188" i="57"/>
  <c r="I5189" i="57"/>
  <c r="I5190" i="57"/>
  <c r="I5191" i="57"/>
  <c r="I5192" i="57"/>
  <c r="I5193" i="57"/>
  <c r="I5194" i="57"/>
  <c r="I5195" i="57"/>
  <c r="I5196" i="57"/>
  <c r="I5197" i="57"/>
  <c r="I5198" i="57"/>
  <c r="I5199" i="57"/>
  <c r="I5200" i="57"/>
  <c r="I5201" i="57"/>
  <c r="I5202" i="57"/>
  <c r="I5203" i="57"/>
  <c r="I5204" i="57"/>
  <c r="I5205" i="57"/>
  <c r="I5206" i="57"/>
  <c r="I5207" i="57"/>
  <c r="I5208" i="57"/>
  <c r="I5209" i="57"/>
  <c r="I5210" i="57"/>
  <c r="I5211" i="57"/>
  <c r="I5212" i="57"/>
  <c r="I5213" i="57"/>
  <c r="I5214" i="57"/>
  <c r="I5215" i="57"/>
  <c r="I5216" i="57"/>
  <c r="I5217" i="57"/>
  <c r="I5218" i="57"/>
  <c r="I5219" i="57"/>
  <c r="I5220" i="57"/>
  <c r="I5221" i="57"/>
  <c r="I5222" i="57"/>
  <c r="I5223" i="57"/>
  <c r="I5224" i="57"/>
  <c r="I5225" i="57"/>
  <c r="I5226" i="57"/>
  <c r="I5227" i="57"/>
  <c r="I5228" i="57"/>
  <c r="I5229" i="57"/>
  <c r="I5230" i="57"/>
  <c r="I5231" i="57"/>
  <c r="I5232" i="57"/>
  <c r="I5233" i="57"/>
  <c r="I5234" i="57"/>
  <c r="I5235" i="57"/>
  <c r="I5236" i="57"/>
  <c r="I5237" i="57"/>
  <c r="I5238" i="57"/>
  <c r="I5239" i="57"/>
  <c r="I5240" i="57"/>
  <c r="I5241" i="57"/>
  <c r="I5242" i="57"/>
  <c r="I5243" i="57"/>
  <c r="I5244" i="57"/>
  <c r="I5245" i="57"/>
  <c r="I5246" i="57"/>
  <c r="I5247" i="57"/>
  <c r="I5248" i="57"/>
  <c r="I5249" i="57"/>
  <c r="I5250" i="57"/>
  <c r="I5251" i="57"/>
  <c r="I5252" i="57"/>
  <c r="I5253" i="57"/>
  <c r="I5254" i="57"/>
  <c r="I5255" i="57"/>
  <c r="I5256" i="57"/>
  <c r="I5257" i="57"/>
  <c r="I5258" i="57"/>
  <c r="I5259" i="57"/>
  <c r="I5260" i="57"/>
  <c r="I5261" i="57"/>
  <c r="I5262" i="57"/>
  <c r="I5263" i="57"/>
  <c r="I5264" i="57"/>
  <c r="I5265" i="57"/>
  <c r="I5266" i="57"/>
  <c r="I5267" i="57"/>
  <c r="I5268" i="57"/>
  <c r="I5269" i="57"/>
  <c r="I5270" i="57"/>
  <c r="I5271" i="57"/>
  <c r="I5272" i="57"/>
  <c r="I5273" i="57"/>
  <c r="I5274" i="57"/>
  <c r="I5275" i="57"/>
  <c r="I5276" i="57"/>
  <c r="I5277" i="57"/>
  <c r="I5278" i="57"/>
  <c r="I5279" i="57"/>
  <c r="I5280" i="57"/>
  <c r="I5281" i="57"/>
  <c r="I5282" i="57"/>
  <c r="I5283" i="57"/>
  <c r="I5284" i="57"/>
  <c r="I5285" i="57"/>
  <c r="I5286" i="57"/>
  <c r="I5287" i="57"/>
  <c r="I5288" i="57"/>
  <c r="I5289" i="57"/>
  <c r="I5290" i="57"/>
  <c r="I5291" i="57"/>
  <c r="I5292" i="57"/>
  <c r="I5293" i="57"/>
  <c r="I5294" i="57"/>
  <c r="I5295" i="57"/>
  <c r="I5296" i="57"/>
  <c r="I5297" i="57"/>
  <c r="I5298" i="57"/>
  <c r="I5299" i="57"/>
  <c r="I5300" i="57"/>
  <c r="I5301" i="57"/>
  <c r="I5302" i="57"/>
  <c r="I5303" i="57"/>
  <c r="I5304" i="57"/>
  <c r="I5305" i="57"/>
  <c r="I5306" i="57"/>
  <c r="I5307" i="57"/>
  <c r="I5308" i="57"/>
  <c r="I5309" i="57"/>
  <c r="I5310" i="57"/>
  <c r="I5311" i="57"/>
  <c r="I5312" i="57"/>
  <c r="I5313" i="57"/>
  <c r="I5314" i="57"/>
  <c r="I5315" i="57"/>
  <c r="I5316" i="57"/>
  <c r="I5317" i="57"/>
  <c r="I5318" i="57"/>
  <c r="I5319" i="57"/>
  <c r="I5320" i="57"/>
  <c r="I5321" i="57"/>
  <c r="I5322" i="57"/>
  <c r="I5323" i="57"/>
  <c r="I5324" i="57"/>
  <c r="I5325" i="57"/>
  <c r="I5326" i="57"/>
  <c r="I5327" i="57"/>
  <c r="I5328" i="57"/>
  <c r="I5329" i="57"/>
  <c r="I5330" i="57"/>
  <c r="I5331" i="57"/>
  <c r="I5332" i="57"/>
  <c r="I5333" i="57"/>
  <c r="I5334" i="57"/>
  <c r="I5335" i="57"/>
  <c r="I5336" i="57"/>
  <c r="I5337" i="57"/>
  <c r="I5338" i="57"/>
  <c r="I5339" i="57"/>
  <c r="I5340" i="57"/>
  <c r="I5341" i="57"/>
  <c r="I5342" i="57"/>
  <c r="I5343" i="57"/>
  <c r="I5344" i="57"/>
  <c r="I5345" i="57"/>
  <c r="I5346" i="57"/>
  <c r="I5347" i="57"/>
  <c r="I5348" i="57"/>
  <c r="I5349" i="57"/>
  <c r="I5350" i="57"/>
  <c r="I5351" i="57"/>
  <c r="I5352" i="57"/>
  <c r="I5353" i="57"/>
  <c r="I5354" i="57"/>
  <c r="I5355" i="57"/>
  <c r="I5356" i="57"/>
  <c r="I5357" i="57"/>
  <c r="I5358" i="57"/>
  <c r="I5359" i="57"/>
  <c r="I5360" i="57"/>
  <c r="I5361" i="57"/>
  <c r="I5362" i="57"/>
  <c r="I5363" i="57"/>
  <c r="I5364" i="57"/>
  <c r="I5365" i="57"/>
  <c r="I5366" i="57"/>
  <c r="I5367" i="57"/>
  <c r="I5368" i="57"/>
  <c r="I5369" i="57"/>
  <c r="I5370" i="57"/>
  <c r="I5371" i="57"/>
  <c r="I5372" i="57"/>
  <c r="I5373" i="57"/>
  <c r="I5374" i="57"/>
  <c r="I5375" i="57"/>
  <c r="I5376" i="57"/>
  <c r="I5377" i="57"/>
  <c r="I5378" i="57"/>
  <c r="I5379" i="57"/>
  <c r="I5380" i="57"/>
  <c r="I5381" i="57"/>
  <c r="I5382" i="57"/>
  <c r="I5383" i="57"/>
  <c r="I5384" i="57"/>
  <c r="I5385" i="57"/>
  <c r="I5386" i="57"/>
  <c r="I5387" i="57"/>
  <c r="I5388" i="57"/>
  <c r="I5389" i="57"/>
  <c r="I5390" i="57"/>
  <c r="I5391" i="57"/>
  <c r="I5392" i="57"/>
  <c r="I5393" i="57"/>
  <c r="I5394" i="57"/>
  <c r="I5395" i="57"/>
  <c r="I5396" i="57"/>
  <c r="I5397" i="57"/>
  <c r="I5398" i="57"/>
  <c r="I5399" i="57"/>
  <c r="I5400" i="57"/>
  <c r="I5401" i="57"/>
  <c r="I5402" i="57"/>
  <c r="I5403" i="57"/>
  <c r="I5404" i="57"/>
  <c r="I5405" i="57"/>
  <c r="I5406" i="57"/>
  <c r="I5407" i="57"/>
  <c r="I5408" i="57"/>
  <c r="I5409" i="57"/>
  <c r="I5410" i="57"/>
  <c r="I5411" i="57"/>
  <c r="I5412" i="57"/>
  <c r="I5413" i="57"/>
  <c r="I5414" i="57"/>
  <c r="I5415" i="57"/>
  <c r="I5416" i="57"/>
  <c r="I5417" i="57"/>
  <c r="I5418" i="57"/>
  <c r="I5419" i="57"/>
  <c r="I5420" i="57"/>
  <c r="I5421" i="57"/>
  <c r="I5422" i="57"/>
  <c r="I5423" i="57"/>
  <c r="I5424" i="57"/>
  <c r="I5425" i="57"/>
  <c r="I5426" i="57"/>
  <c r="I5427" i="57"/>
  <c r="I5428" i="57"/>
  <c r="I5429" i="57"/>
  <c r="I5430" i="57"/>
  <c r="I5431" i="57"/>
  <c r="I5432" i="57"/>
  <c r="I5433" i="57"/>
  <c r="I5434" i="57"/>
  <c r="I5435" i="57"/>
  <c r="I5436" i="57"/>
  <c r="I5437" i="57"/>
  <c r="I5438" i="57"/>
  <c r="I5439" i="57"/>
  <c r="I5440" i="57"/>
  <c r="I5441" i="57"/>
  <c r="I5442" i="57"/>
  <c r="I5443" i="57"/>
  <c r="I5444" i="57"/>
  <c r="I5445" i="57"/>
  <c r="I5446" i="57"/>
  <c r="I5447" i="57"/>
  <c r="I5448" i="57"/>
  <c r="I5449" i="57"/>
  <c r="I5450" i="57"/>
  <c r="I5451" i="57"/>
  <c r="I5452" i="57"/>
  <c r="I5453" i="57"/>
  <c r="I5454" i="57"/>
  <c r="I5455" i="57"/>
  <c r="I5456" i="57"/>
  <c r="I5457" i="57"/>
  <c r="I5458" i="57"/>
  <c r="I5459" i="57"/>
  <c r="I5460" i="57"/>
  <c r="I5461" i="57"/>
  <c r="I5462" i="57"/>
  <c r="I5463" i="57"/>
  <c r="I5464" i="57"/>
  <c r="I5465" i="57"/>
  <c r="I5466" i="57"/>
  <c r="I5467" i="57"/>
  <c r="I5468" i="57"/>
  <c r="I5469" i="57"/>
  <c r="I5470" i="57"/>
  <c r="I5471" i="57"/>
  <c r="I5472" i="57"/>
  <c r="I5473" i="57"/>
  <c r="I5474" i="57"/>
  <c r="I5475" i="57"/>
  <c r="I5476" i="57"/>
  <c r="I5477" i="57"/>
  <c r="I5478" i="57"/>
  <c r="I5479" i="57"/>
  <c r="I5480" i="57"/>
  <c r="I5481" i="57"/>
  <c r="I5482" i="57"/>
  <c r="I5483" i="57"/>
  <c r="I5484" i="57"/>
  <c r="I5485" i="57"/>
  <c r="I5486" i="57"/>
  <c r="I5487" i="57"/>
  <c r="I5488" i="57"/>
  <c r="I5489" i="57"/>
  <c r="I5490" i="57"/>
  <c r="I5491" i="57"/>
  <c r="I5492" i="57"/>
  <c r="I5493" i="57"/>
  <c r="I5494" i="57"/>
  <c r="I5495" i="57"/>
  <c r="I5496" i="57"/>
  <c r="I5497" i="57"/>
  <c r="I5498" i="57"/>
  <c r="I5499" i="57"/>
  <c r="I5500" i="57"/>
  <c r="I5501" i="57"/>
  <c r="I5502" i="57"/>
  <c r="I3" i="57"/>
  <c r="AU12" i="56" l="1"/>
  <c r="R29" i="56" s="1"/>
  <c r="AU9" i="56"/>
  <c r="O29" i="56" s="1"/>
  <c r="AU8" i="56"/>
  <c r="N29" i="56" s="1"/>
  <c r="AU11" i="56"/>
  <c r="Q29" i="56" s="1"/>
  <c r="AD11" i="56"/>
  <c r="Q12" i="56" s="1"/>
  <c r="AB11" i="56"/>
  <c r="Q10" i="56" s="1"/>
  <c r="AG11" i="56"/>
  <c r="Q15" i="56" s="1"/>
  <c r="AK11" i="56"/>
  <c r="Q19" i="56" s="1"/>
  <c r="AO11" i="56"/>
  <c r="Q23" i="56" s="1"/>
  <c r="AS11" i="56"/>
  <c r="Q27" i="56" s="1"/>
  <c r="AD12" i="56"/>
  <c r="R12" i="56" s="1"/>
  <c r="AH12" i="56"/>
  <c r="R16" i="56" s="1"/>
  <c r="AL12" i="56"/>
  <c r="R20" i="56" s="1"/>
  <c r="AP12" i="56"/>
  <c r="R24" i="56" s="1"/>
  <c r="AT12" i="56"/>
  <c r="R28" i="56" s="1"/>
  <c r="AC9" i="56"/>
  <c r="O11" i="56" s="1"/>
  <c r="AG9" i="56"/>
  <c r="O15" i="56" s="1"/>
  <c r="AK9" i="56"/>
  <c r="O19" i="56" s="1"/>
  <c r="AO9" i="56"/>
  <c r="O23" i="56" s="1"/>
  <c r="AS9" i="56"/>
  <c r="O27" i="56" s="1"/>
  <c r="AC8" i="56"/>
  <c r="N11" i="56" s="1"/>
  <c r="AG8" i="56"/>
  <c r="N15" i="56" s="1"/>
  <c r="AK8" i="56"/>
  <c r="N19" i="56" s="1"/>
  <c r="AO8" i="56"/>
  <c r="N23" i="56" s="1"/>
  <c r="AS8" i="56"/>
  <c r="N27" i="56" s="1"/>
  <c r="AJ11" i="56"/>
  <c r="Q18" i="56" s="1"/>
  <c r="AG12" i="56"/>
  <c r="R15" i="56" s="1"/>
  <c r="AS12" i="56"/>
  <c r="R27" i="56" s="1"/>
  <c r="AJ9" i="56"/>
  <c r="O18" i="56" s="1"/>
  <c r="AB8" i="56"/>
  <c r="N10" i="56" s="1"/>
  <c r="AN8" i="56"/>
  <c r="N22" i="56" s="1"/>
  <c r="AC11" i="56"/>
  <c r="Q11" i="56" s="1"/>
  <c r="AH11" i="56"/>
  <c r="Q16" i="56" s="1"/>
  <c r="AL11" i="56"/>
  <c r="Q20" i="56" s="1"/>
  <c r="AP11" i="56"/>
  <c r="Q24" i="56" s="1"/>
  <c r="AT11" i="56"/>
  <c r="Q28" i="56" s="1"/>
  <c r="AE12" i="56"/>
  <c r="R13" i="56" s="1"/>
  <c r="AI12" i="56"/>
  <c r="R17" i="56" s="1"/>
  <c r="AM12" i="56"/>
  <c r="R21" i="56" s="1"/>
  <c r="AQ12" i="56"/>
  <c r="R25" i="56" s="1"/>
  <c r="AA12" i="56"/>
  <c r="R9" i="56" s="1"/>
  <c r="AD9" i="56"/>
  <c r="O12" i="56" s="1"/>
  <c r="AH9" i="56"/>
  <c r="O16" i="56" s="1"/>
  <c r="AL9" i="56"/>
  <c r="O20" i="56" s="1"/>
  <c r="AP9" i="56"/>
  <c r="O24" i="56" s="1"/>
  <c r="AT9" i="56"/>
  <c r="O28" i="56" s="1"/>
  <c r="AD8" i="56"/>
  <c r="N12" i="56" s="1"/>
  <c r="AH8" i="56"/>
  <c r="N16" i="56" s="1"/>
  <c r="AL8" i="56"/>
  <c r="N20" i="56" s="1"/>
  <c r="AP8" i="56"/>
  <c r="N24" i="56" s="1"/>
  <c r="AT8" i="56"/>
  <c r="N28" i="56" s="1"/>
  <c r="AF11" i="56"/>
  <c r="Q14" i="56" s="1"/>
  <c r="AR11" i="56"/>
  <c r="Q26" i="56" s="1"/>
  <c r="AK12" i="56"/>
  <c r="R19" i="56" s="1"/>
  <c r="AB9" i="56"/>
  <c r="O10" i="56" s="1"/>
  <c r="AN9" i="56"/>
  <c r="O22" i="56" s="1"/>
  <c r="AF8" i="56"/>
  <c r="N14" i="56" s="1"/>
  <c r="AR8" i="56"/>
  <c r="N26" i="56" s="1"/>
  <c r="AE11" i="56"/>
  <c r="Q13" i="56" s="1"/>
  <c r="AI11" i="56"/>
  <c r="Q17" i="56" s="1"/>
  <c r="AM11" i="56"/>
  <c r="Q21" i="56" s="1"/>
  <c r="AQ11" i="56"/>
  <c r="Q25" i="56" s="1"/>
  <c r="AB12" i="56"/>
  <c r="R10" i="56" s="1"/>
  <c r="AF12" i="56"/>
  <c r="R14" i="56" s="1"/>
  <c r="AJ12" i="56"/>
  <c r="R18" i="56" s="1"/>
  <c r="AN12" i="56"/>
  <c r="R22" i="56" s="1"/>
  <c r="AR12" i="56"/>
  <c r="R26" i="56" s="1"/>
  <c r="AA11" i="56"/>
  <c r="Q9" i="56" s="1"/>
  <c r="AE9" i="56"/>
  <c r="O13" i="56" s="1"/>
  <c r="AI9" i="56"/>
  <c r="O17" i="56" s="1"/>
  <c r="AM9" i="56"/>
  <c r="O21" i="56" s="1"/>
  <c r="AQ9" i="56"/>
  <c r="O25" i="56" s="1"/>
  <c r="AA9" i="56"/>
  <c r="O9" i="56" s="1"/>
  <c r="AE8" i="56"/>
  <c r="N13" i="56" s="1"/>
  <c r="AI8" i="56"/>
  <c r="N17" i="56" s="1"/>
  <c r="AM8" i="56"/>
  <c r="N21" i="56" s="1"/>
  <c r="AQ8" i="56"/>
  <c r="N25" i="56" s="1"/>
  <c r="AA8" i="56"/>
  <c r="N9" i="56" s="1"/>
  <c r="AN11" i="56"/>
  <c r="Q22" i="56" s="1"/>
  <c r="AC12" i="56"/>
  <c r="R11" i="56" s="1"/>
  <c r="AO12" i="56"/>
  <c r="R23" i="56" s="1"/>
  <c r="AF9" i="56"/>
  <c r="O14" i="56" s="1"/>
  <c r="AR9" i="56"/>
  <c r="O26" i="56" s="1"/>
  <c r="AJ8" i="56"/>
  <c r="N18" i="56" s="1"/>
  <c r="B32" i="60"/>
  <c r="CN4" i="57"/>
  <c r="CN5" i="57"/>
  <c r="CN6" i="57"/>
  <c r="CN7" i="57"/>
  <c r="CN8" i="57"/>
  <c r="CN9" i="57"/>
  <c r="CN10" i="57"/>
  <c r="CN11" i="57"/>
  <c r="CN12" i="57"/>
  <c r="CN13" i="57"/>
  <c r="CN14" i="57"/>
  <c r="CN15" i="57"/>
  <c r="CN16" i="57"/>
  <c r="CN17" i="57"/>
  <c r="CN18" i="57"/>
  <c r="CN19" i="57"/>
  <c r="CN20" i="57"/>
  <c r="CN21" i="57"/>
  <c r="CN22" i="57"/>
  <c r="CN23" i="57"/>
  <c r="CN24" i="57"/>
  <c r="CN25" i="57"/>
  <c r="CN26" i="57"/>
  <c r="CN27" i="57"/>
  <c r="CN28" i="57"/>
  <c r="CN29" i="57"/>
  <c r="CN30" i="57"/>
  <c r="CN31" i="57"/>
  <c r="CN32" i="57"/>
  <c r="CN33" i="57"/>
  <c r="CN34" i="57"/>
  <c r="CN35" i="57"/>
  <c r="CN36" i="57"/>
  <c r="CN37" i="57"/>
  <c r="CN38" i="57"/>
  <c r="CN39" i="57"/>
  <c r="CN40" i="57"/>
  <c r="CN41" i="57"/>
  <c r="CN42" i="57"/>
  <c r="CN43" i="57"/>
  <c r="CN44" i="57"/>
  <c r="CN45" i="57"/>
  <c r="CN46" i="57"/>
  <c r="CN47" i="57"/>
  <c r="CN48" i="57"/>
  <c r="CN49" i="57"/>
  <c r="CN50" i="57"/>
  <c r="CN51" i="57"/>
  <c r="CN52" i="57"/>
  <c r="CN53" i="57"/>
  <c r="CN54" i="57"/>
  <c r="CN55" i="57"/>
  <c r="CN56" i="57"/>
  <c r="CN57" i="57"/>
  <c r="CN58" i="57"/>
  <c r="CN59" i="57"/>
  <c r="CN60" i="57"/>
  <c r="CN61" i="57"/>
  <c r="CN62" i="57"/>
  <c r="CN63" i="57"/>
  <c r="CN64" i="57"/>
  <c r="CN65" i="57"/>
  <c r="CN66" i="57"/>
  <c r="CN67" i="57"/>
  <c r="CN68" i="57"/>
  <c r="CN69" i="57"/>
  <c r="CN70" i="57"/>
  <c r="CN71" i="57"/>
  <c r="CN72" i="57"/>
  <c r="CN73" i="57"/>
  <c r="CN74" i="57"/>
  <c r="CN75" i="57"/>
  <c r="CN76" i="57"/>
  <c r="CN77" i="57"/>
  <c r="CN78" i="57"/>
  <c r="CN79" i="57"/>
  <c r="CN80" i="57"/>
  <c r="CN81" i="57"/>
  <c r="CN82" i="57"/>
  <c r="CN83" i="57"/>
  <c r="CN84" i="57"/>
  <c r="CN85" i="57"/>
  <c r="CN86" i="57"/>
  <c r="CN87" i="57"/>
  <c r="CN88" i="57"/>
  <c r="CN89" i="57"/>
  <c r="CN90" i="57"/>
  <c r="CN91" i="57"/>
  <c r="CN92" i="57"/>
  <c r="CN93" i="57"/>
  <c r="CN94" i="57"/>
  <c r="CN95" i="57"/>
  <c r="CN96" i="57"/>
  <c r="CN97" i="57"/>
  <c r="CN98" i="57"/>
  <c r="CN99" i="57"/>
  <c r="CN100" i="57"/>
  <c r="CN101" i="57"/>
  <c r="CN102" i="57"/>
  <c r="CN103" i="57"/>
  <c r="CN104" i="57"/>
  <c r="CN105" i="57"/>
  <c r="CN106" i="57"/>
  <c r="CN107" i="57"/>
  <c r="CN108" i="57"/>
  <c r="CN109" i="57"/>
  <c r="CN110" i="57"/>
  <c r="CN111" i="57"/>
  <c r="CN112" i="57"/>
  <c r="CN113" i="57"/>
  <c r="CN114" i="57"/>
  <c r="CN115" i="57"/>
  <c r="CN116" i="57"/>
  <c r="CN117" i="57"/>
  <c r="CN118" i="57"/>
  <c r="CN119" i="57"/>
  <c r="CN120" i="57"/>
  <c r="CN121" i="57"/>
  <c r="CN122" i="57"/>
  <c r="CN123" i="57"/>
  <c r="CN124" i="57"/>
  <c r="CN125" i="57"/>
  <c r="CN126" i="57"/>
  <c r="CN127" i="57"/>
  <c r="CN128" i="57"/>
  <c r="CN3" i="57"/>
  <c r="AC7" i="59"/>
  <c r="C7" i="59" s="1"/>
  <c r="C24" i="59" s="1"/>
  <c r="AD7" i="59"/>
  <c r="AI7" i="59" s="1"/>
  <c r="AE7" i="59"/>
  <c r="E7" i="59" s="1"/>
  <c r="E24" i="59" s="1"/>
  <c r="AF7" i="59"/>
  <c r="F7" i="59" s="1"/>
  <c r="F24" i="59" s="1"/>
  <c r="AB7" i="59"/>
  <c r="AG7" i="59" s="1"/>
  <c r="K97" i="60"/>
  <c r="J97" i="60"/>
  <c r="I97" i="60"/>
  <c r="H97" i="60"/>
  <c r="G97" i="60"/>
  <c r="F97" i="60"/>
  <c r="E97" i="60"/>
  <c r="D97" i="60"/>
  <c r="C97" i="60"/>
  <c r="B97" i="60"/>
  <c r="B34" i="60"/>
  <c r="J28" i="60"/>
  <c r="I28" i="60"/>
  <c r="H28" i="60"/>
  <c r="F28" i="60"/>
  <c r="E28" i="60"/>
  <c r="D28" i="60"/>
  <c r="C28" i="60"/>
  <c r="B28" i="60"/>
  <c r="K25" i="60"/>
  <c r="J25" i="60"/>
  <c r="I25" i="60"/>
  <c r="H25" i="60"/>
  <c r="G25" i="60"/>
  <c r="F25" i="60"/>
  <c r="E25" i="60"/>
  <c r="D25" i="60"/>
  <c r="C25" i="60"/>
  <c r="B25" i="60"/>
  <c r="K22" i="60"/>
  <c r="J22" i="60"/>
  <c r="I22" i="60"/>
  <c r="H22" i="60"/>
  <c r="G22" i="60"/>
  <c r="F22" i="60"/>
  <c r="E22" i="60"/>
  <c r="D22" i="60"/>
  <c r="C22" i="60"/>
  <c r="B22" i="60"/>
  <c r="K17" i="60"/>
  <c r="J17" i="60"/>
  <c r="I17" i="60"/>
  <c r="H17" i="60"/>
  <c r="G17" i="60"/>
  <c r="F17" i="60"/>
  <c r="E17" i="60"/>
  <c r="D17" i="60"/>
  <c r="C17" i="60"/>
  <c r="B17" i="60"/>
  <c r="B8" i="60"/>
  <c r="D7" i="59" l="1"/>
  <c r="D24" i="59" s="1"/>
  <c r="AB39" i="59"/>
  <c r="AB40" i="59" s="1"/>
  <c r="B25" i="59" s="1"/>
  <c r="AF39" i="59"/>
  <c r="AF40" i="59" s="1"/>
  <c r="F25" i="59" s="1"/>
  <c r="B7" i="59"/>
  <c r="B24" i="59" s="1"/>
  <c r="AD39" i="59"/>
  <c r="AE39" i="59"/>
  <c r="AE40" i="59" s="1"/>
  <c r="E25" i="59" s="1"/>
  <c r="AJ7" i="59"/>
  <c r="AJ8" i="59" s="1"/>
  <c r="J8" i="59" s="1"/>
  <c r="AK7" i="59"/>
  <c r="AK8" i="59" s="1"/>
  <c r="K8" i="59" s="1"/>
  <c r="I7" i="59"/>
  <c r="I24" i="59" s="1"/>
  <c r="AN7" i="59"/>
  <c r="AN12" i="59" s="1"/>
  <c r="AI39" i="59"/>
  <c r="AI47" i="59" s="1"/>
  <c r="AH7" i="59"/>
  <c r="AH11" i="59" s="1"/>
  <c r="H11" i="59" s="1"/>
  <c r="AC39" i="59"/>
  <c r="AL7" i="59"/>
  <c r="AG39" i="59"/>
  <c r="AG40" i="59" s="1"/>
  <c r="G25" i="59" s="1"/>
  <c r="G7" i="59"/>
  <c r="G24" i="59" s="1"/>
  <c r="K106" i="60"/>
  <c r="H106" i="60"/>
  <c r="J106" i="60"/>
  <c r="G106" i="60"/>
  <c r="I106" i="60"/>
  <c r="AI25" i="59"/>
  <c r="AF10" i="59"/>
  <c r="F10" i="59" s="1"/>
  <c r="AF21" i="59"/>
  <c r="AC28" i="59"/>
  <c r="C16" i="59" s="1"/>
  <c r="AF8" i="59"/>
  <c r="F8" i="59" s="1"/>
  <c r="AC15" i="59"/>
  <c r="AB8" i="59"/>
  <c r="B8" i="59" s="1"/>
  <c r="AD9" i="59"/>
  <c r="D9" i="59" s="1"/>
  <c r="AB16" i="59"/>
  <c r="B12" i="59" s="1"/>
  <c r="AI22" i="59"/>
  <c r="I13" i="59" s="1"/>
  <c r="AN10" i="59"/>
  <c r="N10" i="59" s="1"/>
  <c r="AF13" i="59"/>
  <c r="AI18" i="59"/>
  <c r="AF12" i="59"/>
  <c r="AB14" i="59"/>
  <c r="AD20" i="59"/>
  <c r="AE8" i="59"/>
  <c r="E8" i="59" s="1"/>
  <c r="AE9" i="59"/>
  <c r="E9" i="59" s="1"/>
  <c r="AG10" i="59"/>
  <c r="G10" i="59" s="1"/>
  <c r="AI11" i="59"/>
  <c r="I11" i="59" s="1"/>
  <c r="AC14" i="59"/>
  <c r="AD15" i="59"/>
  <c r="AC16" i="59"/>
  <c r="C12" i="59" s="1"/>
  <c r="AB19" i="59"/>
  <c r="AC24" i="59"/>
  <c r="AI54" i="59"/>
  <c r="AB10" i="59"/>
  <c r="B10" i="59" s="1"/>
  <c r="AD11" i="59"/>
  <c r="D11" i="59" s="1"/>
  <c r="AB12" i="59"/>
  <c r="AJ12" i="59"/>
  <c r="AB13" i="59"/>
  <c r="AJ13" i="59"/>
  <c r="AF14" i="59"/>
  <c r="AG16" i="59"/>
  <c r="G12" i="59" s="1"/>
  <c r="AE17" i="59"/>
  <c r="AL20" i="59"/>
  <c r="AF23" i="59"/>
  <c r="F14" i="59" s="1"/>
  <c r="AI24" i="59"/>
  <c r="AE47" i="59"/>
  <c r="AE61" i="59"/>
  <c r="E37" i="59" s="1"/>
  <c r="AI59" i="59"/>
  <c r="I36" i="59" s="1"/>
  <c r="AF52" i="59"/>
  <c r="AB52" i="59"/>
  <c r="AG51" i="59"/>
  <c r="AB51" i="59"/>
  <c r="AG50" i="59"/>
  <c r="G32" i="59" s="1"/>
  <c r="AB50" i="59"/>
  <c r="B32" i="59" s="1"/>
  <c r="AE49" i="59"/>
  <c r="E31" i="59" s="1"/>
  <c r="AG45" i="59"/>
  <c r="G29" i="59" s="1"/>
  <c r="AF44" i="59"/>
  <c r="AB44" i="59"/>
  <c r="AB43" i="59"/>
  <c r="B28" i="59" s="1"/>
  <c r="AG42" i="59"/>
  <c r="G27" i="59" s="1"/>
  <c r="AB42" i="59"/>
  <c r="B27" i="59" s="1"/>
  <c r="AE41" i="59"/>
  <c r="E26" i="59" s="1"/>
  <c r="AG60" i="59"/>
  <c r="AF56" i="59"/>
  <c r="F34" i="59" s="1"/>
  <c r="AB56" i="59"/>
  <c r="B34" i="59" s="1"/>
  <c r="AG55" i="59"/>
  <c r="G33" i="59" s="1"/>
  <c r="AB55" i="59"/>
  <c r="B33" i="59" s="1"/>
  <c r="AG54" i="59"/>
  <c r="AB54" i="59"/>
  <c r="AG53" i="59"/>
  <c r="AB53" i="59"/>
  <c r="AI52" i="59"/>
  <c r="AE52" i="59"/>
  <c r="AE51" i="59"/>
  <c r="AE50" i="59"/>
  <c r="E32" i="59" s="1"/>
  <c r="AG48" i="59"/>
  <c r="G30" i="59" s="1"/>
  <c r="AB45" i="59"/>
  <c r="B29" i="59" s="1"/>
  <c r="AI44" i="59"/>
  <c r="AE44" i="59"/>
  <c r="AE43" i="59"/>
  <c r="E28" i="59" s="1"/>
  <c r="AE42" i="59"/>
  <c r="E27" i="59" s="1"/>
  <c r="AF60" i="59"/>
  <c r="AB60" i="59"/>
  <c r="AB59" i="59"/>
  <c r="B36" i="59" s="1"/>
  <c r="AG58" i="59"/>
  <c r="AB58" i="59"/>
  <c r="AB57" i="59"/>
  <c r="B35" i="59" s="1"/>
  <c r="AI56" i="59"/>
  <c r="I34" i="59" s="1"/>
  <c r="AE56" i="59"/>
  <c r="E34" i="59" s="1"/>
  <c r="AE55" i="59"/>
  <c r="E33" i="59" s="1"/>
  <c r="AE54" i="59"/>
  <c r="AE53" i="59"/>
  <c r="AI51" i="59"/>
  <c r="AI50" i="59"/>
  <c r="I32" i="59" s="1"/>
  <c r="AG49" i="59"/>
  <c r="G31" i="59" s="1"/>
  <c r="AF48" i="59"/>
  <c r="F30" i="59" s="1"/>
  <c r="AB48" i="59"/>
  <c r="B30" i="59" s="1"/>
  <c r="AG47" i="59"/>
  <c r="AB47" i="59"/>
  <c r="AG46" i="59"/>
  <c r="AB46" i="59"/>
  <c r="AI45" i="59"/>
  <c r="I29" i="59" s="1"/>
  <c r="AE45" i="59"/>
  <c r="E29" i="59" s="1"/>
  <c r="AI43" i="59"/>
  <c r="I28" i="59" s="1"/>
  <c r="AI42" i="59"/>
  <c r="I27" i="59" s="1"/>
  <c r="AG41" i="59"/>
  <c r="G26" i="59" s="1"/>
  <c r="AI60" i="59"/>
  <c r="AE59" i="59"/>
  <c r="E36" i="59" s="1"/>
  <c r="AI55" i="59"/>
  <c r="I33" i="59" s="1"/>
  <c r="AF49" i="59"/>
  <c r="F31" i="59" s="1"/>
  <c r="AE48" i="59"/>
  <c r="E30" i="59" s="1"/>
  <c r="AB41" i="59"/>
  <c r="B26" i="59" s="1"/>
  <c r="AG28" i="59"/>
  <c r="G16" i="59" s="1"/>
  <c r="AB28" i="59"/>
  <c r="B16" i="59" s="1"/>
  <c r="AC27" i="59"/>
  <c r="AN26" i="59"/>
  <c r="N15" i="59" s="1"/>
  <c r="AI26" i="59"/>
  <c r="I15" i="59" s="1"/>
  <c r="AE26" i="59"/>
  <c r="E15" i="59" s="1"/>
  <c r="AN25" i="59"/>
  <c r="AC25" i="59"/>
  <c r="AN24" i="59"/>
  <c r="AD24" i="59"/>
  <c r="AN23" i="59"/>
  <c r="N14" i="59" s="1"/>
  <c r="AI23" i="59"/>
  <c r="I14" i="59" s="1"/>
  <c r="AE23" i="59"/>
  <c r="E14" i="59" s="1"/>
  <c r="AN22" i="59"/>
  <c r="N13" i="59" s="1"/>
  <c r="AD22" i="59"/>
  <c r="D13" i="59" s="1"/>
  <c r="AI21" i="59"/>
  <c r="AE21" i="59"/>
  <c r="AG20" i="59"/>
  <c r="AC20" i="59"/>
  <c r="AG19" i="59"/>
  <c r="AC19" i="59"/>
  <c r="AN18" i="59"/>
  <c r="AD18" i="59"/>
  <c r="AB61" i="59"/>
  <c r="B37" i="59" s="1"/>
  <c r="AE57" i="59"/>
  <c r="E35" i="59" s="1"/>
  <c r="AI53" i="59"/>
  <c r="AG52" i="59"/>
  <c r="AE46" i="59"/>
  <c r="AN28" i="59"/>
  <c r="N16" i="59" s="1"/>
  <c r="AI28" i="59"/>
  <c r="I16" i="59" s="1"/>
  <c r="AE28" i="59"/>
  <c r="E16" i="59" s="1"/>
  <c r="AJ27" i="59"/>
  <c r="AE27" i="59"/>
  <c r="AL26" i="59"/>
  <c r="L15" i="59" s="1"/>
  <c r="AG26" i="59"/>
  <c r="G15" i="59" s="1"/>
  <c r="AC26" i="59"/>
  <c r="C15" i="59" s="1"/>
  <c r="AJ25" i="59"/>
  <c r="AE25" i="59"/>
  <c r="AJ24" i="59"/>
  <c r="AF24" i="59"/>
  <c r="AB24" i="59"/>
  <c r="AL23" i="59"/>
  <c r="L14" i="59" s="1"/>
  <c r="AG23" i="59"/>
  <c r="G14" i="59" s="1"/>
  <c r="AC23" i="59"/>
  <c r="C14" i="59" s="1"/>
  <c r="AJ22" i="59"/>
  <c r="J13" i="59" s="1"/>
  <c r="AF22" i="59"/>
  <c r="F13" i="59" s="1"/>
  <c r="AB22" i="59"/>
  <c r="B13" i="59" s="1"/>
  <c r="AG21" i="59"/>
  <c r="AC21" i="59"/>
  <c r="AI20" i="59"/>
  <c r="AE20" i="59"/>
  <c r="AI19" i="59"/>
  <c r="AE19" i="59"/>
  <c r="AJ18" i="59"/>
  <c r="AF18" i="59"/>
  <c r="AB18" i="59"/>
  <c r="AL17" i="59"/>
  <c r="AD17" i="59"/>
  <c r="AN16" i="59"/>
  <c r="N12" i="59" s="1"/>
  <c r="AI16" i="59"/>
  <c r="I12" i="59" s="1"/>
  <c r="AE16" i="59"/>
  <c r="E12" i="59" s="1"/>
  <c r="AI15" i="59"/>
  <c r="AE15" i="59"/>
  <c r="AG61" i="59"/>
  <c r="G37" i="59" s="1"/>
  <c r="AB49" i="59"/>
  <c r="B31" i="59" s="1"/>
  <c r="AG44" i="59"/>
  <c r="AF28" i="59"/>
  <c r="F16" i="59" s="1"/>
  <c r="AL27" i="59"/>
  <c r="AB27" i="59"/>
  <c r="AG25" i="59"/>
  <c r="AG24" i="59"/>
  <c r="AD23" i="59"/>
  <c r="D14" i="59" s="1"/>
  <c r="AG22" i="59"/>
  <c r="G13" i="59" s="1"/>
  <c r="AN21" i="59"/>
  <c r="AD21" i="59"/>
  <c r="AJ20" i="59"/>
  <c r="AB20" i="59"/>
  <c r="AF19" i="59"/>
  <c r="AG18" i="59"/>
  <c r="AN17" i="59"/>
  <c r="AI17" i="59"/>
  <c r="AC17" i="59"/>
  <c r="AL16" i="59"/>
  <c r="L12" i="59" s="1"/>
  <c r="AF16" i="59"/>
  <c r="F12" i="59" s="1"/>
  <c r="AN15" i="59"/>
  <c r="AG15" i="59"/>
  <c r="AB15" i="59"/>
  <c r="AN14" i="59"/>
  <c r="AI14" i="59"/>
  <c r="AE14" i="59"/>
  <c r="AN13" i="59"/>
  <c r="AI13" i="59"/>
  <c r="AE13" i="59"/>
  <c r="AI12" i="59"/>
  <c r="AE12" i="59"/>
  <c r="AL11" i="59"/>
  <c r="L11" i="59" s="1"/>
  <c r="AG11" i="59"/>
  <c r="G11" i="59" s="1"/>
  <c r="AC11" i="59"/>
  <c r="C11" i="59" s="1"/>
  <c r="AI10" i="59"/>
  <c r="I10" i="59" s="1"/>
  <c r="AE10" i="59"/>
  <c r="E10" i="59" s="1"/>
  <c r="AL9" i="59"/>
  <c r="L9" i="59" s="1"/>
  <c r="AG9" i="59"/>
  <c r="G9" i="59" s="1"/>
  <c r="AC9" i="59"/>
  <c r="C9" i="59" s="1"/>
  <c r="AL8" i="59"/>
  <c r="L8" i="59" s="1"/>
  <c r="AD8" i="59"/>
  <c r="D8" i="59" s="1"/>
  <c r="AF9" i="59"/>
  <c r="F9" i="59" s="1"/>
  <c r="AJ28" i="59"/>
  <c r="J16" i="59" s="1"/>
  <c r="AE58" i="59"/>
  <c r="AI48" i="59"/>
  <c r="I30" i="59" s="1"/>
  <c r="AF41" i="59"/>
  <c r="F26" i="59" s="1"/>
  <c r="AD28" i="59"/>
  <c r="D16" i="59" s="1"/>
  <c r="AI27" i="59"/>
  <c r="AF26" i="59"/>
  <c r="F15" i="59" s="1"/>
  <c r="AD25" i="59"/>
  <c r="AE24" i="59"/>
  <c r="AJ23" i="59"/>
  <c r="J14" i="59" s="1"/>
  <c r="AB23" i="59"/>
  <c r="B14" i="59" s="1"/>
  <c r="AE22" i="59"/>
  <c r="E13" i="59" s="1"/>
  <c r="AJ21" i="59"/>
  <c r="AB21" i="59"/>
  <c r="AN19" i="59"/>
  <c r="AD19" i="59"/>
  <c r="AE18" i="59"/>
  <c r="AG17" i="59"/>
  <c r="AB17" i="59"/>
  <c r="AJ16" i="59"/>
  <c r="J12" i="59" s="1"/>
  <c r="AD16" i="59"/>
  <c r="D12" i="59" s="1"/>
  <c r="AF15" i="59"/>
  <c r="AD14" i="59"/>
  <c r="AD13" i="59"/>
  <c r="AL12" i="59"/>
  <c r="AD12" i="59"/>
  <c r="AJ11" i="59"/>
  <c r="J11" i="59" s="1"/>
  <c r="AF11" i="59"/>
  <c r="F11" i="59" s="1"/>
  <c r="AB11" i="59"/>
  <c r="B11" i="59" s="1"/>
  <c r="AL10" i="59"/>
  <c r="L10" i="59" s="1"/>
  <c r="AD10" i="59"/>
  <c r="D10" i="59" s="1"/>
  <c r="AJ9" i="59"/>
  <c r="J9" i="59" s="1"/>
  <c r="AB9" i="59"/>
  <c r="B9" i="59" s="1"/>
  <c r="AG8" i="59"/>
  <c r="G8" i="59" s="1"/>
  <c r="AC8" i="59"/>
  <c r="C8" i="59" s="1"/>
  <c r="AE60" i="59"/>
  <c r="AG27" i="59"/>
  <c r="AD26" i="59"/>
  <c r="D15" i="59" s="1"/>
  <c r="AB25" i="59"/>
  <c r="AN9" i="59"/>
  <c r="N9" i="59" s="1"/>
  <c r="AG12" i="59"/>
  <c r="AG13" i="59"/>
  <c r="AL14" i="59"/>
  <c r="AF20" i="59"/>
  <c r="AB26" i="59"/>
  <c r="B15" i="59" s="1"/>
  <c r="AI8" i="59"/>
  <c r="I8" i="59" s="1"/>
  <c r="AN8" i="59"/>
  <c r="N8" i="59" s="1"/>
  <c r="AI9" i="59"/>
  <c r="I9" i="59" s="1"/>
  <c r="AC10" i="59"/>
  <c r="C10" i="59" s="1"/>
  <c r="AE11" i="59"/>
  <c r="E11" i="59" s="1"/>
  <c r="AN11" i="59"/>
  <c r="N11" i="59" s="1"/>
  <c r="AC12" i="59"/>
  <c r="AC13" i="59"/>
  <c r="AG14" i="59"/>
  <c r="AJ15" i="59"/>
  <c r="AF17" i="59"/>
  <c r="AC18" i="59"/>
  <c r="AJ19" i="59"/>
  <c r="AN20" i="59"/>
  <c r="AC22" i="59"/>
  <c r="C13" i="59" s="1"/>
  <c r="AD27" i="59"/>
  <c r="AF27" i="59"/>
  <c r="AL25" i="59"/>
  <c r="AF61" i="59"/>
  <c r="F37" i="59" s="1"/>
  <c r="B106" i="60"/>
  <c r="D106" i="60"/>
  <c r="F106" i="60"/>
  <c r="C106" i="60"/>
  <c r="E106" i="60"/>
  <c r="AF43" i="59"/>
  <c r="F28" i="59" s="1"/>
  <c r="AF47" i="59"/>
  <c r="AF51" i="59"/>
  <c r="AF55" i="59"/>
  <c r="F33" i="59" s="1"/>
  <c r="AF59" i="59"/>
  <c r="F36" i="59" s="1"/>
  <c r="AF42" i="59"/>
  <c r="F27" i="59" s="1"/>
  <c r="AF46" i="59"/>
  <c r="AF50" i="59"/>
  <c r="F32" i="59" s="1"/>
  <c r="AF54" i="59"/>
  <c r="AF58" i="59"/>
  <c r="AF53" i="59"/>
  <c r="AF57" i="59"/>
  <c r="F35" i="59" s="1"/>
  <c r="AL13" i="59"/>
  <c r="AL18" i="59"/>
  <c r="AL19" i="59"/>
  <c r="AL22" i="59"/>
  <c r="L13" i="59" s="1"/>
  <c r="AL24" i="59"/>
  <c r="AL28" i="59"/>
  <c r="L16" i="59" s="1"/>
  <c r="AL15" i="59"/>
  <c r="AL21" i="59"/>
  <c r="AF25" i="59"/>
  <c r="AK22" i="59" l="1"/>
  <c r="K13" i="59" s="1"/>
  <c r="AG57" i="59"/>
  <c r="G35" i="59" s="1"/>
  <c r="AG59" i="59"/>
  <c r="G36" i="59" s="1"/>
  <c r="AF45" i="59"/>
  <c r="F29" i="59" s="1"/>
  <c r="AI41" i="59"/>
  <c r="I26" i="59" s="1"/>
  <c r="AG43" i="59"/>
  <c r="G28" i="59" s="1"/>
  <c r="AG56" i="59"/>
  <c r="G34" i="59" s="1"/>
  <c r="AJ26" i="59"/>
  <c r="J15" i="59" s="1"/>
  <c r="AJ10" i="59"/>
  <c r="J10" i="59" s="1"/>
  <c r="AK24" i="59"/>
  <c r="AK18" i="59"/>
  <c r="AK16" i="59"/>
  <c r="K12" i="59" s="1"/>
  <c r="AK27" i="59"/>
  <c r="AK11" i="59"/>
  <c r="K11" i="59" s="1"/>
  <c r="AK25" i="59"/>
  <c r="AK14" i="59"/>
  <c r="AH20" i="59"/>
  <c r="AH17" i="59"/>
  <c r="AK21" i="59"/>
  <c r="AK23" i="59"/>
  <c r="K14" i="59" s="1"/>
  <c r="AK19" i="59"/>
  <c r="AK12" i="59"/>
  <c r="AK10" i="59"/>
  <c r="K10" i="59" s="1"/>
  <c r="AH10" i="59"/>
  <c r="H10" i="59" s="1"/>
  <c r="AH13" i="59"/>
  <c r="AK20" i="59"/>
  <c r="AH22" i="59"/>
  <c r="H13" i="59" s="1"/>
  <c r="AH25" i="59"/>
  <c r="AH15" i="59"/>
  <c r="AH21" i="59"/>
  <c r="AK9" i="59"/>
  <c r="K9" i="59" s="1"/>
  <c r="AK26" i="59"/>
  <c r="K15" i="59" s="1"/>
  <c r="AK15" i="59"/>
  <c r="AH23" i="59"/>
  <c r="H14" i="59" s="1"/>
  <c r="AK13" i="59"/>
  <c r="AH14" i="59"/>
  <c r="AH19" i="59"/>
  <c r="AH9" i="59"/>
  <c r="H9" i="59" s="1"/>
  <c r="AN27" i="59"/>
  <c r="AJ17" i="59"/>
  <c r="AC54" i="59"/>
  <c r="AC40" i="59"/>
  <c r="C25" i="59" s="1"/>
  <c r="AD60" i="59"/>
  <c r="AD40" i="59"/>
  <c r="D25" i="59" s="1"/>
  <c r="AI57" i="59"/>
  <c r="I35" i="59" s="1"/>
  <c r="AI40" i="59"/>
  <c r="I25" i="59" s="1"/>
  <c r="AC43" i="59"/>
  <c r="C28" i="59" s="1"/>
  <c r="AC51" i="59"/>
  <c r="AC42" i="59"/>
  <c r="C27" i="59" s="1"/>
  <c r="AC61" i="59"/>
  <c r="C37" i="59" s="1"/>
  <c r="AD55" i="59"/>
  <c r="D33" i="59" s="1"/>
  <c r="AH18" i="59"/>
  <c r="AH24" i="59"/>
  <c r="AK28" i="59"/>
  <c r="K16" i="59" s="1"/>
  <c r="AD51" i="59"/>
  <c r="AC59" i="59"/>
  <c r="C36" i="59" s="1"/>
  <c r="AD47" i="59"/>
  <c r="AD58" i="59"/>
  <c r="AH16" i="59"/>
  <c r="H12" i="59" s="1"/>
  <c r="AH12" i="59"/>
  <c r="AH8" i="59"/>
  <c r="H8" i="59" s="1"/>
  <c r="AH26" i="59"/>
  <c r="H15" i="59" s="1"/>
  <c r="AH27" i="59"/>
  <c r="AC49" i="59"/>
  <c r="C31" i="59" s="1"/>
  <c r="AC55" i="59"/>
  <c r="C33" i="59" s="1"/>
  <c r="AH28" i="59"/>
  <c r="H16" i="59" s="1"/>
  <c r="AK17" i="59"/>
  <c r="AD53" i="59"/>
  <c r="AC50" i="59"/>
  <c r="C32" i="59" s="1"/>
  <c r="AC44" i="59"/>
  <c r="AC41" i="59"/>
  <c r="C26" i="59" s="1"/>
  <c r="AD43" i="59"/>
  <c r="D28" i="59" s="1"/>
  <c r="AC46" i="59"/>
  <c r="AD49" i="59"/>
  <c r="D31" i="59" s="1"/>
  <c r="AC60" i="59"/>
  <c r="AC45" i="59"/>
  <c r="C29" i="59" s="1"/>
  <c r="AC56" i="59"/>
  <c r="C34" i="59" s="1"/>
  <c r="AD59" i="59"/>
  <c r="D36" i="59" s="1"/>
  <c r="AC52" i="59"/>
  <c r="AD45" i="59"/>
  <c r="D29" i="59" s="1"/>
  <c r="AD50" i="59"/>
  <c r="D32" i="59" s="1"/>
  <c r="AD52" i="59"/>
  <c r="AD41" i="59"/>
  <c r="D26" i="59" s="1"/>
  <c r="AC47" i="59"/>
  <c r="AC57" i="59"/>
  <c r="C35" i="59" s="1"/>
  <c r="AD48" i="59"/>
  <c r="D30" i="59" s="1"/>
  <c r="AC53" i="59"/>
  <c r="AD56" i="59"/>
  <c r="D34" i="59" s="1"/>
  <c r="AD54" i="59"/>
  <c r="AD42" i="59"/>
  <c r="D27" i="59" s="1"/>
  <c r="AD44" i="59"/>
  <c r="AC48" i="59"/>
  <c r="C30" i="59" s="1"/>
  <c r="AC58" i="59"/>
  <c r="AD61" i="59"/>
  <c r="D37" i="59" s="1"/>
  <c r="AD46" i="59"/>
  <c r="AD57" i="59"/>
  <c r="D35" i="59" s="1"/>
  <c r="AK39" i="59"/>
  <c r="AK40" i="59" s="1"/>
  <c r="K25" i="59" s="1"/>
  <c r="K7" i="59"/>
  <c r="K24" i="59" s="1"/>
  <c r="AP7" i="59"/>
  <c r="AJ39" i="59"/>
  <c r="AJ40" i="59" s="1"/>
  <c r="J25" i="59" s="1"/>
  <c r="J7" i="59"/>
  <c r="J24" i="59" s="1"/>
  <c r="AO7" i="59"/>
  <c r="AJ14" i="59"/>
  <c r="AI46" i="59"/>
  <c r="AI49" i="59"/>
  <c r="I31" i="59" s="1"/>
  <c r="AI58" i="59"/>
  <c r="AN39" i="59"/>
  <c r="AN40" i="59" s="1"/>
  <c r="N25" i="59" s="1"/>
  <c r="N7" i="59"/>
  <c r="N24" i="59" s="1"/>
  <c r="AI61" i="59"/>
  <c r="I37" i="59" s="1"/>
  <c r="H7" i="59"/>
  <c r="H24" i="59" s="1"/>
  <c r="AH39" i="59"/>
  <c r="AH40" i="59" s="1"/>
  <c r="H25" i="59" s="1"/>
  <c r="AM7" i="59"/>
  <c r="L7" i="59"/>
  <c r="L24" i="59" s="1"/>
  <c r="AL39" i="59"/>
  <c r="AL40" i="59" s="1"/>
  <c r="L25" i="59" s="1"/>
  <c r="CF751" i="57"/>
  <c r="CF752" i="57"/>
  <c r="CF753" i="57"/>
  <c r="CF754" i="57"/>
  <c r="CF755" i="57"/>
  <c r="CF756" i="57"/>
  <c r="CF757" i="57"/>
  <c r="CF758" i="57"/>
  <c r="BY1596" i="57"/>
  <c r="BY1597" i="57"/>
  <c r="BY1598" i="57"/>
  <c r="BY1599" i="57"/>
  <c r="BY1600" i="57"/>
  <c r="BY1601" i="57"/>
  <c r="BY1602" i="57"/>
  <c r="BY1603" i="57"/>
  <c r="BY1604" i="57"/>
  <c r="BY1605" i="57"/>
  <c r="BY1606" i="57"/>
  <c r="BY1607" i="57"/>
  <c r="BY1608" i="57"/>
  <c r="BY1609" i="57"/>
  <c r="BY1610" i="57"/>
  <c r="BY1611" i="57"/>
  <c r="BY1612" i="57"/>
  <c r="BY1613" i="57"/>
  <c r="BY1614" i="57"/>
  <c r="BY1615" i="57"/>
  <c r="BY1616" i="57"/>
  <c r="BY1617" i="57"/>
  <c r="BY1618" i="57"/>
  <c r="BY1619" i="57"/>
  <c r="BY1620" i="57"/>
  <c r="BY1621" i="57"/>
  <c r="BY1622" i="57"/>
  <c r="BY1623" i="57"/>
  <c r="BY1624" i="57"/>
  <c r="BY1625" i="57"/>
  <c r="BY1626" i="57"/>
  <c r="BY1627" i="57"/>
  <c r="BY1628" i="57"/>
  <c r="BY1629" i="57"/>
  <c r="BY1630" i="57"/>
  <c r="BY1631" i="57"/>
  <c r="BY1632" i="57"/>
  <c r="BY1633" i="57"/>
  <c r="BY1634" i="57"/>
  <c r="BY1635" i="57"/>
  <c r="BY1636" i="57"/>
  <c r="BY1637" i="57"/>
  <c r="BY1638" i="57"/>
  <c r="BY1639" i="57"/>
  <c r="BY1640" i="57"/>
  <c r="BY1641" i="57"/>
  <c r="BY1642" i="57"/>
  <c r="BY1643" i="57"/>
  <c r="BY1644" i="57"/>
  <c r="BY1645" i="57"/>
  <c r="BY1646" i="57"/>
  <c r="BY1647" i="57"/>
  <c r="BY1648" i="57"/>
  <c r="BY1649" i="57"/>
  <c r="BY1650" i="57"/>
  <c r="BY1651" i="57"/>
  <c r="BY1652" i="57"/>
  <c r="BY1653" i="57"/>
  <c r="BY1654" i="57"/>
  <c r="BY1655" i="57"/>
  <c r="BY1656" i="57"/>
  <c r="BY1657" i="57"/>
  <c r="BY1658" i="57"/>
  <c r="BY1659" i="57"/>
  <c r="BY1660" i="57"/>
  <c r="BY1661" i="57"/>
  <c r="BY1662" i="57"/>
  <c r="BY1663" i="57"/>
  <c r="BY1664" i="57"/>
  <c r="BY1665" i="57"/>
  <c r="BY1666" i="57"/>
  <c r="BY1667" i="57"/>
  <c r="BY1668" i="57"/>
  <c r="BY1669" i="57"/>
  <c r="BY1670" i="57"/>
  <c r="BY1671" i="57"/>
  <c r="BY1672" i="57"/>
  <c r="BY1673" i="57"/>
  <c r="BY1674" i="57"/>
  <c r="BY1675" i="57"/>
  <c r="BY1676" i="57"/>
  <c r="BY1677" i="57"/>
  <c r="BY1678" i="57"/>
  <c r="BY1679" i="57"/>
  <c r="BY1680" i="57"/>
  <c r="BY1681" i="57"/>
  <c r="BY1682" i="57"/>
  <c r="BY1683" i="57"/>
  <c r="BY1684" i="57"/>
  <c r="BY1685" i="57"/>
  <c r="BY1686" i="57"/>
  <c r="BY1687" i="57"/>
  <c r="BY1688" i="57"/>
  <c r="BY1689" i="57"/>
  <c r="BY1690" i="57"/>
  <c r="BY1691" i="57"/>
  <c r="BY1692" i="57"/>
  <c r="BY1693" i="57"/>
  <c r="BY1694" i="57"/>
  <c r="BY1695" i="57"/>
  <c r="BY1696" i="57"/>
  <c r="BY1697" i="57"/>
  <c r="BY1698" i="57"/>
  <c r="BY1699" i="57"/>
  <c r="BY1700" i="57"/>
  <c r="BY1701" i="57"/>
  <c r="BY1702" i="57"/>
  <c r="BY1703" i="57"/>
  <c r="BY1704" i="57"/>
  <c r="BY1705" i="57"/>
  <c r="BY1706" i="57"/>
  <c r="BY1707" i="57"/>
  <c r="BY1708" i="57"/>
  <c r="BY1709" i="57"/>
  <c r="BY1710" i="57"/>
  <c r="BY1711" i="57"/>
  <c r="BY1712" i="57"/>
  <c r="BY1713" i="57"/>
  <c r="BY1714" i="57"/>
  <c r="BY1715" i="57"/>
  <c r="BY1716" i="57"/>
  <c r="BY1717" i="57"/>
  <c r="BY1718" i="57"/>
  <c r="BY1719" i="57"/>
  <c r="BY1720" i="57"/>
  <c r="BY1721" i="57"/>
  <c r="BY1722" i="57"/>
  <c r="BY1723" i="57"/>
  <c r="BY1724" i="57"/>
  <c r="BY1725" i="57"/>
  <c r="BY1726" i="57"/>
  <c r="BY1727" i="57"/>
  <c r="BY1728" i="57"/>
  <c r="BY1729" i="57"/>
  <c r="BY1730" i="57"/>
  <c r="BY1731" i="57"/>
  <c r="BY1732" i="57"/>
  <c r="BY1733" i="57"/>
  <c r="BY1734" i="57"/>
  <c r="BY1735" i="57"/>
  <c r="BY1736" i="57"/>
  <c r="BY1737" i="57"/>
  <c r="BY1738" i="57"/>
  <c r="BY1739" i="57"/>
  <c r="BY1740" i="57"/>
  <c r="BY1741" i="57"/>
  <c r="BY1742" i="57"/>
  <c r="BY1743" i="57"/>
  <c r="BY1744" i="57"/>
  <c r="BY1745" i="57"/>
  <c r="BY1746" i="57"/>
  <c r="BY1747" i="57"/>
  <c r="BY1748" i="57"/>
  <c r="BY1749" i="57"/>
  <c r="BY1750" i="57"/>
  <c r="BY1751" i="57"/>
  <c r="BY1752" i="57"/>
  <c r="BY1753" i="57"/>
  <c r="BY1754" i="57"/>
  <c r="BY1755" i="57"/>
  <c r="BY1756" i="57"/>
  <c r="BR157" i="57"/>
  <c r="BR158" i="57"/>
  <c r="BR159" i="57"/>
  <c r="AJ860" i="57"/>
  <c r="AJ861" i="57"/>
  <c r="A136" i="57"/>
  <c r="A137" i="57"/>
  <c r="A138" i="57"/>
  <c r="A139" i="57"/>
  <c r="A140" i="57"/>
  <c r="A141" i="57"/>
  <c r="A142" i="57"/>
  <c r="AK61" i="59" l="1"/>
  <c r="K37" i="59" s="1"/>
  <c r="AK56" i="59"/>
  <c r="K34" i="59" s="1"/>
  <c r="AK50" i="59"/>
  <c r="K32" i="59" s="1"/>
  <c r="AK43" i="59"/>
  <c r="K28" i="59" s="1"/>
  <c r="AK49" i="59"/>
  <c r="K31" i="59" s="1"/>
  <c r="AK44" i="59"/>
  <c r="AK58" i="59"/>
  <c r="AK51" i="59"/>
  <c r="AK48" i="59"/>
  <c r="K30" i="59" s="1"/>
  <c r="AK53" i="59"/>
  <c r="AK41" i="59"/>
  <c r="K26" i="59" s="1"/>
  <c r="AK52" i="59"/>
  <c r="AK45" i="59"/>
  <c r="K29" i="59" s="1"/>
  <c r="AK54" i="59"/>
  <c r="AK57" i="59"/>
  <c r="K35" i="59" s="1"/>
  <c r="AK59" i="59"/>
  <c r="K36" i="59" s="1"/>
  <c r="AK60" i="59"/>
  <c r="AK42" i="59"/>
  <c r="K27" i="59" s="1"/>
  <c r="AK55" i="59"/>
  <c r="K33" i="59" s="1"/>
  <c r="AK47" i="59"/>
  <c r="AK46" i="59"/>
  <c r="AJ44" i="59"/>
  <c r="AJ56" i="59"/>
  <c r="J34" i="59" s="1"/>
  <c r="AJ49" i="59"/>
  <c r="J31" i="59" s="1"/>
  <c r="AJ47" i="59"/>
  <c r="AJ55" i="59"/>
  <c r="J33" i="59" s="1"/>
  <c r="AJ42" i="59"/>
  <c r="J27" i="59" s="1"/>
  <c r="AJ50" i="59"/>
  <c r="J32" i="59" s="1"/>
  <c r="AJ58" i="59"/>
  <c r="AJ57" i="59"/>
  <c r="J35" i="59" s="1"/>
  <c r="AJ52" i="59"/>
  <c r="AJ45" i="59"/>
  <c r="J29" i="59" s="1"/>
  <c r="AJ61" i="59"/>
  <c r="J37" i="59" s="1"/>
  <c r="AJ43" i="59"/>
  <c r="J28" i="59" s="1"/>
  <c r="AJ51" i="59"/>
  <c r="AJ59" i="59"/>
  <c r="J36" i="59" s="1"/>
  <c r="AJ46" i="59"/>
  <c r="AJ54" i="59"/>
  <c r="AJ53" i="59"/>
  <c r="AJ60" i="59"/>
  <c r="AJ48" i="59"/>
  <c r="J30" i="59" s="1"/>
  <c r="AJ41" i="59"/>
  <c r="J26" i="59" s="1"/>
  <c r="P7" i="59"/>
  <c r="P24" i="59" s="1"/>
  <c r="AP39" i="59"/>
  <c r="AP40" i="59" s="1"/>
  <c r="P25" i="59" s="1"/>
  <c r="AP15" i="59"/>
  <c r="AP27" i="59"/>
  <c r="AP28" i="59"/>
  <c r="P16" i="59" s="1"/>
  <c r="AP18" i="59"/>
  <c r="AP17" i="59"/>
  <c r="AP9" i="59"/>
  <c r="P9" i="59" s="1"/>
  <c r="AP14" i="59"/>
  <c r="AP22" i="59"/>
  <c r="P13" i="59" s="1"/>
  <c r="AP16" i="59"/>
  <c r="P12" i="59" s="1"/>
  <c r="AP25" i="59"/>
  <c r="AP13" i="59"/>
  <c r="AP8" i="59"/>
  <c r="P8" i="59" s="1"/>
  <c r="AP19" i="59"/>
  <c r="AP21" i="59"/>
  <c r="AP10" i="59"/>
  <c r="P10" i="59" s="1"/>
  <c r="AP26" i="59"/>
  <c r="P15" i="59" s="1"/>
  <c r="AP24" i="59"/>
  <c r="AP12" i="59"/>
  <c r="AP23" i="59"/>
  <c r="P14" i="59" s="1"/>
  <c r="AP11" i="59"/>
  <c r="P11" i="59" s="1"/>
  <c r="AP20" i="59"/>
  <c r="O7" i="59"/>
  <c r="O24" i="59" s="1"/>
  <c r="AO39" i="59"/>
  <c r="AO40" i="59" s="1"/>
  <c r="O25" i="59" s="1"/>
  <c r="AO13" i="59"/>
  <c r="AO21" i="59"/>
  <c r="AO19" i="59"/>
  <c r="AO25" i="59"/>
  <c r="AO28" i="59"/>
  <c r="O16" i="59" s="1"/>
  <c r="AO12" i="59"/>
  <c r="AO18" i="59"/>
  <c r="AO26" i="59"/>
  <c r="O15" i="59" s="1"/>
  <c r="AO24" i="59"/>
  <c r="AO9" i="59"/>
  <c r="O9" i="59" s="1"/>
  <c r="AO10" i="59"/>
  <c r="O10" i="59" s="1"/>
  <c r="AO16" i="59"/>
  <c r="O12" i="59" s="1"/>
  <c r="AO8" i="59"/>
  <c r="O8" i="59" s="1"/>
  <c r="AO20" i="59"/>
  <c r="AO22" i="59"/>
  <c r="O13" i="59" s="1"/>
  <c r="AO27" i="59"/>
  <c r="AO15" i="59"/>
  <c r="AO14" i="59"/>
  <c r="AO23" i="59"/>
  <c r="O14" i="59" s="1"/>
  <c r="AO17" i="59"/>
  <c r="AO11" i="59"/>
  <c r="O11" i="59" s="1"/>
  <c r="AN49" i="59"/>
  <c r="N31" i="59" s="1"/>
  <c r="AN43" i="59"/>
  <c r="N28" i="59" s="1"/>
  <c r="AN59" i="59"/>
  <c r="N36" i="59" s="1"/>
  <c r="AN54" i="59"/>
  <c r="AN44" i="59"/>
  <c r="AN45" i="59"/>
  <c r="N29" i="59" s="1"/>
  <c r="AN47" i="59"/>
  <c r="AN42" i="59"/>
  <c r="N27" i="59" s="1"/>
  <c r="AN58" i="59"/>
  <c r="AN52" i="59"/>
  <c r="AN56" i="59"/>
  <c r="N34" i="59" s="1"/>
  <c r="AN60" i="59"/>
  <c r="AN61" i="59"/>
  <c r="N37" i="59" s="1"/>
  <c r="AN55" i="59"/>
  <c r="N33" i="59" s="1"/>
  <c r="AN50" i="59"/>
  <c r="N32" i="59" s="1"/>
  <c r="AN57" i="59"/>
  <c r="N35" i="59" s="1"/>
  <c r="AN41" i="59"/>
  <c r="N26" i="59" s="1"/>
  <c r="AN48" i="59"/>
  <c r="N30" i="59" s="1"/>
  <c r="AN51" i="59"/>
  <c r="AN46" i="59"/>
  <c r="AN53" i="59"/>
  <c r="M7" i="59"/>
  <c r="M24" i="59" s="1"/>
  <c r="AM39" i="59"/>
  <c r="AM40" i="59" s="1"/>
  <c r="M25" i="59" s="1"/>
  <c r="AM8" i="59"/>
  <c r="M8" i="59" s="1"/>
  <c r="AM27" i="59"/>
  <c r="AM23" i="59"/>
  <c r="M14" i="59" s="1"/>
  <c r="AM24" i="59"/>
  <c r="AM14" i="59"/>
  <c r="AM21" i="59"/>
  <c r="AM10" i="59"/>
  <c r="M10" i="59" s="1"/>
  <c r="AM25" i="59"/>
  <c r="AM11" i="59"/>
  <c r="M11" i="59" s="1"/>
  <c r="AM19" i="59"/>
  <c r="AM12" i="59"/>
  <c r="AM17" i="59"/>
  <c r="AM22" i="59"/>
  <c r="M13" i="59" s="1"/>
  <c r="AM13" i="59"/>
  <c r="AM16" i="59"/>
  <c r="M12" i="59" s="1"/>
  <c r="AM20" i="59"/>
  <c r="AM26" i="59"/>
  <c r="M15" i="59" s="1"/>
  <c r="AM28" i="59"/>
  <c r="M16" i="59" s="1"/>
  <c r="AM15" i="59"/>
  <c r="AM9" i="59"/>
  <c r="M9" i="59" s="1"/>
  <c r="AM18" i="59"/>
  <c r="AH53" i="59"/>
  <c r="AH59" i="59"/>
  <c r="H36" i="59" s="1"/>
  <c r="AH49" i="59"/>
  <c r="H31" i="59" s="1"/>
  <c r="AH61" i="59"/>
  <c r="H37" i="59" s="1"/>
  <c r="AH50" i="59"/>
  <c r="H32" i="59" s="1"/>
  <c r="AH51" i="59"/>
  <c r="AH45" i="59"/>
  <c r="H29" i="59" s="1"/>
  <c r="AH42" i="59"/>
  <c r="H27" i="59" s="1"/>
  <c r="AH54" i="59"/>
  <c r="AH52" i="59"/>
  <c r="AH44" i="59"/>
  <c r="AH43" i="59"/>
  <c r="H28" i="59" s="1"/>
  <c r="AH60" i="59"/>
  <c r="AH55" i="59"/>
  <c r="H33" i="59" s="1"/>
  <c r="AH48" i="59"/>
  <c r="H30" i="59" s="1"/>
  <c r="AH57" i="59"/>
  <c r="H35" i="59" s="1"/>
  <c r="AH46" i="59"/>
  <c r="AH41" i="59"/>
  <c r="H26" i="59" s="1"/>
  <c r="AH56" i="59"/>
  <c r="H34" i="59" s="1"/>
  <c r="AH58" i="59"/>
  <c r="AH47" i="59"/>
  <c r="AL60" i="59"/>
  <c r="AL50" i="59"/>
  <c r="L32" i="59" s="1"/>
  <c r="AL43" i="59"/>
  <c r="L28" i="59" s="1"/>
  <c r="AL54" i="59"/>
  <c r="AL49" i="59"/>
  <c r="L31" i="59" s="1"/>
  <c r="AL59" i="59"/>
  <c r="L36" i="59" s="1"/>
  <c r="AL51" i="59"/>
  <c r="AL55" i="59"/>
  <c r="L33" i="59" s="1"/>
  <c r="AL44" i="59"/>
  <c r="AL57" i="59"/>
  <c r="L35" i="59" s="1"/>
  <c r="AL52" i="59"/>
  <c r="AL46" i="59"/>
  <c r="AL61" i="59"/>
  <c r="L37" i="59" s="1"/>
  <c r="AL56" i="59"/>
  <c r="L34" i="59" s="1"/>
  <c r="AL48" i="59"/>
  <c r="L30" i="59" s="1"/>
  <c r="AL42" i="59"/>
  <c r="L27" i="59" s="1"/>
  <c r="AL53" i="59"/>
  <c r="AL41" i="59"/>
  <c r="L26" i="59" s="1"/>
  <c r="AL58" i="59"/>
  <c r="AL47" i="59"/>
  <c r="AL45" i="59"/>
  <c r="L29" i="59" s="1"/>
  <c r="R1012" i="57"/>
  <c r="R1013" i="57"/>
  <c r="R1014" i="57"/>
  <c r="R1015" i="57"/>
  <c r="R1016" i="57"/>
  <c r="R1017" i="57"/>
  <c r="R1018" i="57"/>
  <c r="R1019" i="57"/>
  <c r="R1020" i="57"/>
  <c r="R1021" i="57"/>
  <c r="R1022" i="57"/>
  <c r="R1023" i="57"/>
  <c r="R1024" i="57"/>
  <c r="R1025" i="57"/>
  <c r="R1026" i="57"/>
  <c r="R1027" i="57"/>
  <c r="R1028" i="57"/>
  <c r="R1029" i="57"/>
  <c r="R1030" i="57"/>
  <c r="R1031" i="57"/>
  <c r="R1032" i="57"/>
  <c r="R1033" i="57"/>
  <c r="R1034" i="57"/>
  <c r="R1035" i="57"/>
  <c r="R1036" i="57"/>
  <c r="R1037" i="57"/>
  <c r="R1038" i="57"/>
  <c r="R1039" i="57"/>
  <c r="R1040" i="57"/>
  <c r="R1041" i="57"/>
  <c r="R1042" i="57"/>
  <c r="R1043" i="57"/>
  <c r="R1044" i="57"/>
  <c r="R1045" i="57"/>
  <c r="R1046" i="57"/>
  <c r="R1047" i="57"/>
  <c r="R1048" i="57"/>
  <c r="R1049" i="57"/>
  <c r="R1050" i="57"/>
  <c r="R1051" i="57"/>
  <c r="R1052" i="57"/>
  <c r="R1053" i="57"/>
  <c r="R1054" i="57"/>
  <c r="R1055" i="57"/>
  <c r="R1056" i="57"/>
  <c r="R1057" i="57"/>
  <c r="R1058" i="57"/>
  <c r="R1059" i="57"/>
  <c r="R1060" i="57"/>
  <c r="R1061" i="57"/>
  <c r="R1062" i="57"/>
  <c r="R1063" i="57"/>
  <c r="R1064" i="57"/>
  <c r="AR1317" i="57"/>
  <c r="AR1318" i="57"/>
  <c r="AR1319" i="57"/>
  <c r="AR1320" i="57"/>
  <c r="AR1321" i="57"/>
  <c r="AR1322" i="57"/>
  <c r="AR1323" i="57"/>
  <c r="AR1324" i="57"/>
  <c r="AR1325" i="57"/>
  <c r="AR1326" i="57"/>
  <c r="AR1327" i="57"/>
  <c r="AR1328" i="57"/>
  <c r="AR1329" i="57"/>
  <c r="AR1330" i="57"/>
  <c r="AR1331" i="57"/>
  <c r="AR1332" i="57"/>
  <c r="AR1333" i="57"/>
  <c r="AR1334" i="57"/>
  <c r="AR1335" i="57"/>
  <c r="AR1336" i="57"/>
  <c r="AR1337" i="57"/>
  <c r="AR1338" i="57"/>
  <c r="AR1339" i="57"/>
  <c r="AR1340" i="57"/>
  <c r="AR1341" i="57"/>
  <c r="AR1342" i="57"/>
  <c r="AR1343" i="57"/>
  <c r="AR1344" i="57"/>
  <c r="AR1345" i="57"/>
  <c r="AR1346" i="57"/>
  <c r="AR1347" i="57"/>
  <c r="AR1348" i="57"/>
  <c r="AR1349" i="57"/>
  <c r="AO59" i="59" l="1"/>
  <c r="O36" i="59" s="1"/>
  <c r="AO47" i="59"/>
  <c r="AO61" i="59"/>
  <c r="O37" i="59" s="1"/>
  <c r="AO48" i="59"/>
  <c r="O30" i="59" s="1"/>
  <c r="AO50" i="59"/>
  <c r="O32" i="59" s="1"/>
  <c r="AO41" i="59"/>
  <c r="O26" i="59" s="1"/>
  <c r="AO52" i="59"/>
  <c r="AO55" i="59"/>
  <c r="O33" i="59" s="1"/>
  <c r="AO57" i="59"/>
  <c r="O35" i="59" s="1"/>
  <c r="AO45" i="59"/>
  <c r="O29" i="59" s="1"/>
  <c r="AO51" i="59"/>
  <c r="AO42" i="59"/>
  <c r="O27" i="59" s="1"/>
  <c r="AO53" i="59"/>
  <c r="AO44" i="59"/>
  <c r="AO60" i="59"/>
  <c r="AO43" i="59"/>
  <c r="O28" i="59" s="1"/>
  <c r="AO58" i="59"/>
  <c r="AO56" i="59"/>
  <c r="O34" i="59" s="1"/>
  <c r="AO46" i="59"/>
  <c r="AO49" i="59"/>
  <c r="O31" i="59" s="1"/>
  <c r="AO54" i="59"/>
  <c r="AP56" i="59"/>
  <c r="P34" i="59" s="1"/>
  <c r="AP51" i="59"/>
  <c r="AP53" i="59"/>
  <c r="AP44" i="59"/>
  <c r="AP58" i="59"/>
  <c r="AP47" i="59"/>
  <c r="AP41" i="59"/>
  <c r="P26" i="59" s="1"/>
  <c r="AP54" i="59"/>
  <c r="AP57" i="59"/>
  <c r="P35" i="59" s="1"/>
  <c r="AP60" i="59"/>
  <c r="AP48" i="59"/>
  <c r="P30" i="59" s="1"/>
  <c r="AP49" i="59"/>
  <c r="P31" i="59" s="1"/>
  <c r="AP42" i="59"/>
  <c r="P27" i="59" s="1"/>
  <c r="AP55" i="59"/>
  <c r="P33" i="59" s="1"/>
  <c r="AP61" i="59"/>
  <c r="P37" i="59" s="1"/>
  <c r="AP50" i="59"/>
  <c r="P32" i="59" s="1"/>
  <c r="AP43" i="59"/>
  <c r="P28" i="59" s="1"/>
  <c r="AP52" i="59"/>
  <c r="AP46" i="59"/>
  <c r="AP59" i="59"/>
  <c r="P36" i="59" s="1"/>
  <c r="AP45" i="59"/>
  <c r="P29" i="59" s="1"/>
  <c r="AM54" i="59"/>
  <c r="AM44" i="59"/>
  <c r="AM56" i="59"/>
  <c r="M34" i="59" s="1"/>
  <c r="AM48" i="59"/>
  <c r="M30" i="59" s="1"/>
  <c r="AM43" i="59"/>
  <c r="M28" i="59" s="1"/>
  <c r="AM55" i="59"/>
  <c r="M33" i="59" s="1"/>
  <c r="AM57" i="59"/>
  <c r="M35" i="59" s="1"/>
  <c r="AM46" i="59"/>
  <c r="AM45" i="59"/>
  <c r="M29" i="59" s="1"/>
  <c r="AM42" i="59"/>
  <c r="M27" i="59" s="1"/>
  <c r="AM60" i="59"/>
  <c r="AM50" i="59"/>
  <c r="M32" i="59" s="1"/>
  <c r="AM61" i="59"/>
  <c r="M37" i="59" s="1"/>
  <c r="AM51" i="59"/>
  <c r="AM49" i="59"/>
  <c r="M31" i="59" s="1"/>
  <c r="AM41" i="59"/>
  <c r="M26" i="59" s="1"/>
  <c r="AM58" i="59"/>
  <c r="AM52" i="59"/>
  <c r="AM47" i="59"/>
  <c r="AM53" i="59"/>
  <c r="AM59" i="59"/>
  <c r="M36" i="59" s="1"/>
  <c r="CF390" i="57"/>
  <c r="CF391" i="57"/>
  <c r="CF392" i="57"/>
  <c r="CF393" i="57"/>
  <c r="CF394" i="57"/>
  <c r="CF395" i="57"/>
  <c r="CF396" i="57"/>
  <c r="CF397" i="57"/>
  <c r="CF398" i="57"/>
  <c r="CF399" i="57"/>
  <c r="CF400" i="57"/>
  <c r="CF401" i="57"/>
  <c r="CF402" i="57"/>
  <c r="CF403" i="57"/>
  <c r="CF404" i="57"/>
  <c r="CF405" i="57"/>
  <c r="CF406" i="57"/>
  <c r="CF407" i="57"/>
  <c r="CF408" i="57"/>
  <c r="CF409" i="57"/>
  <c r="CF410" i="57"/>
  <c r="CF411" i="57"/>
  <c r="CF412" i="57"/>
  <c r="CF413" i="57"/>
  <c r="CF414" i="57"/>
  <c r="CF415" i="57"/>
  <c r="CF416" i="57"/>
  <c r="CF417" i="57"/>
  <c r="CF418" i="57"/>
  <c r="CF419" i="57"/>
  <c r="CF420" i="57"/>
  <c r="CF421" i="57"/>
  <c r="CF422" i="57"/>
  <c r="CF423" i="57"/>
  <c r="CF424" i="57"/>
  <c r="CF425" i="57"/>
  <c r="CF426" i="57"/>
  <c r="CF427" i="57"/>
  <c r="CF428" i="57"/>
  <c r="CF429" i="57"/>
  <c r="CF430" i="57"/>
  <c r="CF431" i="57"/>
  <c r="CF432" i="57"/>
  <c r="CF433" i="57"/>
  <c r="CF434" i="57"/>
  <c r="CF435" i="57"/>
  <c r="CF436" i="57"/>
  <c r="CF437" i="57"/>
  <c r="CF438" i="57"/>
  <c r="CF439" i="57"/>
  <c r="CF440" i="57"/>
  <c r="CF441" i="57"/>
  <c r="CF442" i="57"/>
  <c r="CF443" i="57"/>
  <c r="CF444" i="57"/>
  <c r="CF445" i="57"/>
  <c r="CF446" i="57"/>
  <c r="CF447" i="57"/>
  <c r="CF448" i="57"/>
  <c r="CF449" i="57"/>
  <c r="CF450" i="57"/>
  <c r="CF451" i="57"/>
  <c r="CF452" i="57"/>
  <c r="CF453" i="57"/>
  <c r="CF454" i="57"/>
  <c r="CF455" i="57"/>
  <c r="CF456" i="57"/>
  <c r="CF457" i="57"/>
  <c r="CF458" i="57"/>
  <c r="CF459" i="57"/>
  <c r="CF460" i="57"/>
  <c r="CF461" i="57"/>
  <c r="CF462" i="57"/>
  <c r="CF463" i="57"/>
  <c r="CF464" i="57"/>
  <c r="CF465" i="57"/>
  <c r="CF466" i="57"/>
  <c r="CF467" i="57"/>
  <c r="CF468" i="57"/>
  <c r="CF469" i="57"/>
  <c r="CF470" i="57"/>
  <c r="CF471" i="57"/>
  <c r="CF472" i="57"/>
  <c r="CF473" i="57"/>
  <c r="CF474" i="57"/>
  <c r="CF475" i="57"/>
  <c r="CF476" i="57"/>
  <c r="CF477" i="57"/>
  <c r="CF478" i="57"/>
  <c r="CF479" i="57"/>
  <c r="CF480" i="57"/>
  <c r="CF481" i="57"/>
  <c r="CF482" i="57"/>
  <c r="CF483" i="57"/>
  <c r="CF484" i="57"/>
  <c r="CF485" i="57"/>
  <c r="CF486" i="57"/>
  <c r="CF487" i="57"/>
  <c r="CF488" i="57"/>
  <c r="CF489" i="57"/>
  <c r="CF490" i="57"/>
  <c r="CF491" i="57"/>
  <c r="CF492" i="57"/>
  <c r="CF493" i="57"/>
  <c r="CF494" i="57"/>
  <c r="CF495" i="57"/>
  <c r="CF496" i="57"/>
  <c r="CF497" i="57"/>
  <c r="CF498" i="57"/>
  <c r="CF499" i="57"/>
  <c r="CF500" i="57"/>
  <c r="CF501" i="57"/>
  <c r="CF502" i="57"/>
  <c r="CF503" i="57"/>
  <c r="CF504" i="57"/>
  <c r="CF505" i="57"/>
  <c r="CF506" i="57"/>
  <c r="CF507" i="57"/>
  <c r="CF508" i="57"/>
  <c r="CF509" i="57"/>
  <c r="CF510" i="57"/>
  <c r="CF511" i="57"/>
  <c r="CF512" i="57"/>
  <c r="CF513" i="57"/>
  <c r="CF514" i="57"/>
  <c r="CF515" i="57"/>
  <c r="CF516" i="57"/>
  <c r="CF517" i="57"/>
  <c r="CF518" i="57"/>
  <c r="CF519" i="57"/>
  <c r="CF520" i="57"/>
  <c r="CF521" i="57"/>
  <c r="CF522" i="57"/>
  <c r="CF523" i="57"/>
  <c r="CF524" i="57"/>
  <c r="CF525" i="57"/>
  <c r="CF526" i="57"/>
  <c r="CF527" i="57"/>
  <c r="CF528" i="57"/>
  <c r="CF529" i="57"/>
  <c r="CF530" i="57"/>
  <c r="CF531" i="57"/>
  <c r="CF532" i="57"/>
  <c r="CF533" i="57"/>
  <c r="CF534" i="57"/>
  <c r="CF535" i="57"/>
  <c r="CF536" i="57"/>
  <c r="CF537" i="57"/>
  <c r="CF538" i="57"/>
  <c r="CF539" i="57"/>
  <c r="CF540" i="57"/>
  <c r="CF541" i="57"/>
  <c r="CF542" i="57"/>
  <c r="CF543" i="57"/>
  <c r="CF544" i="57"/>
  <c r="CF545" i="57"/>
  <c r="CF546" i="57"/>
  <c r="CF547" i="57"/>
  <c r="CF548" i="57"/>
  <c r="CF549" i="57"/>
  <c r="CF550" i="57"/>
  <c r="CF551" i="57"/>
  <c r="CF552" i="57"/>
  <c r="CF553" i="57"/>
  <c r="CF554" i="57"/>
  <c r="CF555" i="57"/>
  <c r="CF556" i="57"/>
  <c r="CF557" i="57"/>
  <c r="CF558" i="57"/>
  <c r="CF559" i="57"/>
  <c r="CF560" i="57"/>
  <c r="CF561" i="57"/>
  <c r="CF562" i="57"/>
  <c r="CF563" i="57"/>
  <c r="CF564" i="57"/>
  <c r="CF565" i="57"/>
  <c r="CF566" i="57"/>
  <c r="CF567" i="57"/>
  <c r="CF568" i="57"/>
  <c r="CF569" i="57"/>
  <c r="CF570" i="57"/>
  <c r="CF571" i="57"/>
  <c r="CF572" i="57"/>
  <c r="CF573" i="57"/>
  <c r="CF574" i="57"/>
  <c r="CF575" i="57"/>
  <c r="CF576" i="57"/>
  <c r="CF577" i="57"/>
  <c r="CF578" i="57"/>
  <c r="CF579" i="57"/>
  <c r="CF580" i="57"/>
  <c r="CF581" i="57"/>
  <c r="CF582" i="57"/>
  <c r="CF583" i="57"/>
  <c r="CF584" i="57"/>
  <c r="CF585" i="57"/>
  <c r="CF586" i="57"/>
  <c r="CF587" i="57"/>
  <c r="CF588" i="57"/>
  <c r="CF589" i="57"/>
  <c r="CF590" i="57"/>
  <c r="CF591" i="57"/>
  <c r="CF592" i="57"/>
  <c r="CF593" i="57"/>
  <c r="CF594" i="57"/>
  <c r="CF595" i="57"/>
  <c r="CF596" i="57"/>
  <c r="CF597" i="57"/>
  <c r="CF598" i="57"/>
  <c r="CF599" i="57"/>
  <c r="CF600" i="57"/>
  <c r="CF601" i="57"/>
  <c r="CF602" i="57"/>
  <c r="CF603" i="57"/>
  <c r="CF604" i="57"/>
  <c r="CF605" i="57"/>
  <c r="CF606" i="57"/>
  <c r="CF607" i="57"/>
  <c r="CF608" i="57"/>
  <c r="CF609" i="57"/>
  <c r="CF610" i="57"/>
  <c r="CF611" i="57"/>
  <c r="CF612" i="57"/>
  <c r="CF613" i="57"/>
  <c r="CF614" i="57"/>
  <c r="CF615" i="57"/>
  <c r="CF616" i="57"/>
  <c r="CF617" i="57"/>
  <c r="CF618" i="57"/>
  <c r="CF619" i="57"/>
  <c r="CF620" i="57"/>
  <c r="CF621" i="57"/>
  <c r="CF622" i="57"/>
  <c r="CF623" i="57"/>
  <c r="CF624" i="57"/>
  <c r="CF625" i="57"/>
  <c r="CF626" i="57"/>
  <c r="CF627" i="57"/>
  <c r="CF628" i="57"/>
  <c r="CF629" i="57"/>
  <c r="CF630" i="57"/>
  <c r="CF631" i="57"/>
  <c r="CF632" i="57"/>
  <c r="CF633" i="57"/>
  <c r="CF634" i="57"/>
  <c r="CF635" i="57"/>
  <c r="CF636" i="57"/>
  <c r="CF637" i="57"/>
  <c r="CF638" i="57"/>
  <c r="CF639" i="57"/>
  <c r="CF640" i="57"/>
  <c r="CF641" i="57"/>
  <c r="CF642" i="57"/>
  <c r="CF643" i="57"/>
  <c r="CF644" i="57"/>
  <c r="CF645" i="57"/>
  <c r="CF646" i="57"/>
  <c r="CF647" i="57"/>
  <c r="CF648" i="57"/>
  <c r="CF649" i="57"/>
  <c r="CF650" i="57"/>
  <c r="CF651" i="57"/>
  <c r="CF652" i="57"/>
  <c r="CF653" i="57"/>
  <c r="CF654" i="57"/>
  <c r="CF655" i="57"/>
  <c r="CF656" i="57"/>
  <c r="CF657" i="57"/>
  <c r="CF658" i="57"/>
  <c r="CF659" i="57"/>
  <c r="CF660" i="57"/>
  <c r="CF661" i="57"/>
  <c r="CF662" i="57"/>
  <c r="CF663" i="57"/>
  <c r="CF664" i="57"/>
  <c r="CF665" i="57"/>
  <c r="CF666" i="57"/>
  <c r="CF667" i="57"/>
  <c r="CF668" i="57"/>
  <c r="CF669" i="57"/>
  <c r="CF670" i="57"/>
  <c r="CF671" i="57"/>
  <c r="CF672" i="57"/>
  <c r="CF673" i="57"/>
  <c r="CF674" i="57"/>
  <c r="CF675" i="57"/>
  <c r="CF676" i="57"/>
  <c r="CF677" i="57"/>
  <c r="CF678" i="57"/>
  <c r="CF679" i="57"/>
  <c r="CF680" i="57"/>
  <c r="CF681" i="57"/>
  <c r="CF682" i="57"/>
  <c r="CF683" i="57"/>
  <c r="CF684" i="57"/>
  <c r="CF685" i="57"/>
  <c r="CF686" i="57"/>
  <c r="CF687" i="57"/>
  <c r="CF688" i="57"/>
  <c r="CF689" i="57"/>
  <c r="CF690" i="57"/>
  <c r="CF691" i="57"/>
  <c r="CF692" i="57"/>
  <c r="CF693" i="57"/>
  <c r="CF694" i="57"/>
  <c r="CF695" i="57"/>
  <c r="CF696" i="57"/>
  <c r="CF697" i="57"/>
  <c r="CF698" i="57"/>
  <c r="CF699" i="57"/>
  <c r="CF700" i="57"/>
  <c r="CF701" i="57"/>
  <c r="CF702" i="57"/>
  <c r="CF703" i="57"/>
  <c r="CF704" i="57"/>
  <c r="CF705" i="57"/>
  <c r="CF706" i="57"/>
  <c r="CF707" i="57"/>
  <c r="CF708" i="57"/>
  <c r="CF709" i="57"/>
  <c r="CF710" i="57"/>
  <c r="CF711" i="57"/>
  <c r="CF712" i="57"/>
  <c r="CF713" i="57"/>
  <c r="CF714" i="57"/>
  <c r="CF715" i="57"/>
  <c r="CF716" i="57"/>
  <c r="CF717" i="57"/>
  <c r="CF718" i="57"/>
  <c r="CF719" i="57"/>
  <c r="CF720" i="57"/>
  <c r="CF721" i="57"/>
  <c r="CF722" i="57"/>
  <c r="CF723" i="57"/>
  <c r="CF724" i="57"/>
  <c r="CF725" i="57"/>
  <c r="CF726" i="57"/>
  <c r="CF727" i="57"/>
  <c r="CF728" i="57"/>
  <c r="CF729" i="57"/>
  <c r="CF730" i="57"/>
  <c r="CF731" i="57"/>
  <c r="CF732" i="57"/>
  <c r="CF733" i="57"/>
  <c r="CF734" i="57"/>
  <c r="CF735" i="57"/>
  <c r="CF736" i="57"/>
  <c r="CF737" i="57"/>
  <c r="CF738" i="57"/>
  <c r="CF739" i="57"/>
  <c r="CF740" i="57"/>
  <c r="CF741" i="57"/>
  <c r="CF742" i="57"/>
  <c r="CF743" i="57"/>
  <c r="CF744" i="57"/>
  <c r="CF745" i="57"/>
  <c r="CF746" i="57"/>
  <c r="CF747" i="57"/>
  <c r="CF748" i="57"/>
  <c r="CF749" i="57"/>
  <c r="CF750" i="57"/>
  <c r="CF351" i="57" l="1"/>
  <c r="CF352" i="57"/>
  <c r="CF353" i="57"/>
  <c r="CF354" i="57"/>
  <c r="CF355" i="57"/>
  <c r="CF356" i="57"/>
  <c r="CF357" i="57"/>
  <c r="CF358" i="57"/>
  <c r="CF359" i="57"/>
  <c r="CF360" i="57"/>
  <c r="CF361" i="57"/>
  <c r="CF362" i="57"/>
  <c r="CF363" i="57"/>
  <c r="CF364" i="57"/>
  <c r="CF365" i="57"/>
  <c r="CF366" i="57"/>
  <c r="CF367" i="57"/>
  <c r="CF368" i="57"/>
  <c r="CF369" i="57"/>
  <c r="CF370" i="57"/>
  <c r="CF371" i="57"/>
  <c r="CF372" i="57"/>
  <c r="CF373" i="57"/>
  <c r="CF374" i="57"/>
  <c r="CF375" i="57"/>
  <c r="CF376" i="57"/>
  <c r="CF377" i="57"/>
  <c r="CF378" i="57"/>
  <c r="CF379" i="57"/>
  <c r="CF380" i="57"/>
  <c r="CF381" i="57"/>
  <c r="CF382" i="57"/>
  <c r="CF383" i="57"/>
  <c r="CF384" i="57"/>
  <c r="CF385" i="57"/>
  <c r="CF386" i="57"/>
  <c r="CF387" i="57"/>
  <c r="CF388" i="57"/>
  <c r="CF389" i="57"/>
  <c r="CF130" i="57"/>
  <c r="CF131" i="57"/>
  <c r="CF132" i="57"/>
  <c r="CF133" i="57"/>
  <c r="CF134" i="57"/>
  <c r="CF135" i="57"/>
  <c r="CF136" i="57"/>
  <c r="CF137" i="57"/>
  <c r="CF138" i="57"/>
  <c r="CF139" i="57"/>
  <c r="CF140" i="57"/>
  <c r="CF141" i="57"/>
  <c r="CF142" i="57"/>
  <c r="CF143" i="57"/>
  <c r="CF144" i="57"/>
  <c r="CF145" i="57"/>
  <c r="CF146" i="57"/>
  <c r="CF147" i="57"/>
  <c r="CF148" i="57"/>
  <c r="CF149" i="57"/>
  <c r="CF150" i="57"/>
  <c r="CF151" i="57"/>
  <c r="CF152" i="57"/>
  <c r="CF153" i="57"/>
  <c r="CF154" i="57"/>
  <c r="CF155" i="57"/>
  <c r="CF156" i="57"/>
  <c r="CF157" i="57"/>
  <c r="CF158" i="57"/>
  <c r="CF159" i="57"/>
  <c r="CF160" i="57"/>
  <c r="CF161" i="57"/>
  <c r="CF162" i="57"/>
  <c r="CF163" i="57"/>
  <c r="CF164" i="57"/>
  <c r="CF165" i="57"/>
  <c r="CF166" i="57"/>
  <c r="CF167" i="57"/>
  <c r="CF168" i="57"/>
  <c r="CF169" i="57"/>
  <c r="CF170" i="57"/>
  <c r="CF171" i="57"/>
  <c r="CF172" i="57"/>
  <c r="CF173" i="57"/>
  <c r="CF174" i="57"/>
  <c r="CF175" i="57"/>
  <c r="CF176" i="57"/>
  <c r="CF177" i="57"/>
  <c r="CF178" i="57"/>
  <c r="CF179" i="57"/>
  <c r="CF180" i="57"/>
  <c r="CF181" i="57"/>
  <c r="CF182" i="57"/>
  <c r="CF183" i="57"/>
  <c r="CF184" i="57"/>
  <c r="CF185" i="57"/>
  <c r="CF186" i="57"/>
  <c r="CF187" i="57"/>
  <c r="CF188" i="57"/>
  <c r="CF189" i="57"/>
  <c r="CF190" i="57"/>
  <c r="CF191" i="57"/>
  <c r="CF192" i="57"/>
  <c r="CF193" i="57"/>
  <c r="CF194" i="57"/>
  <c r="CF195" i="57"/>
  <c r="CF196" i="57"/>
  <c r="CF197" i="57"/>
  <c r="CF198" i="57"/>
  <c r="CF199" i="57"/>
  <c r="CF200" i="57"/>
  <c r="CF201" i="57"/>
  <c r="CF202" i="57"/>
  <c r="CF203" i="57"/>
  <c r="CF204" i="57"/>
  <c r="CF205" i="57"/>
  <c r="CF206" i="57"/>
  <c r="CF207" i="57"/>
  <c r="CF208" i="57"/>
  <c r="CF209" i="57"/>
  <c r="CF210" i="57"/>
  <c r="CF211" i="57"/>
  <c r="CF212" i="57"/>
  <c r="CF213" i="57"/>
  <c r="CF214" i="57"/>
  <c r="CF215" i="57"/>
  <c r="CF216" i="57"/>
  <c r="CF217" i="57"/>
  <c r="CF218" i="57"/>
  <c r="CF219" i="57"/>
  <c r="CF220" i="57"/>
  <c r="CF221" i="57"/>
  <c r="CF222" i="57"/>
  <c r="CF223" i="57"/>
  <c r="CF224" i="57"/>
  <c r="CF225" i="57"/>
  <c r="CF226" i="57"/>
  <c r="CF227" i="57"/>
  <c r="CF228" i="57"/>
  <c r="CF229" i="57"/>
  <c r="CF230" i="57"/>
  <c r="CF231" i="57"/>
  <c r="CF232" i="57"/>
  <c r="CF233" i="57"/>
  <c r="CF234" i="57"/>
  <c r="CF235" i="57"/>
  <c r="CF236" i="57"/>
  <c r="CF237" i="57"/>
  <c r="CF238" i="57"/>
  <c r="CF239" i="57"/>
  <c r="CF240" i="57"/>
  <c r="CF241" i="57"/>
  <c r="CF242" i="57"/>
  <c r="CF243" i="57"/>
  <c r="CF244" i="57"/>
  <c r="CF245" i="57"/>
  <c r="CF246" i="57"/>
  <c r="CF247" i="57"/>
  <c r="CF248" i="57"/>
  <c r="CF249" i="57"/>
  <c r="CF250" i="57"/>
  <c r="CF251" i="57"/>
  <c r="CF252" i="57"/>
  <c r="CF253" i="57"/>
  <c r="CF254" i="57"/>
  <c r="CF255" i="57"/>
  <c r="CF256" i="57"/>
  <c r="CF257" i="57"/>
  <c r="CF258" i="57"/>
  <c r="CF259" i="57"/>
  <c r="CF260" i="57"/>
  <c r="CF261" i="57"/>
  <c r="CF262" i="57"/>
  <c r="CF263" i="57"/>
  <c r="CF264" i="57"/>
  <c r="CF265" i="57"/>
  <c r="CF266" i="57"/>
  <c r="CF267" i="57"/>
  <c r="CF268" i="57"/>
  <c r="CF269" i="57"/>
  <c r="CF270" i="57"/>
  <c r="CF271" i="57"/>
  <c r="CF272" i="57"/>
  <c r="CF273" i="57"/>
  <c r="CF274" i="57"/>
  <c r="CF275" i="57"/>
  <c r="CF276" i="57"/>
  <c r="CF277" i="57"/>
  <c r="CF278" i="57"/>
  <c r="CF279" i="57"/>
  <c r="CF280" i="57"/>
  <c r="CF281" i="57"/>
  <c r="CF282" i="57"/>
  <c r="CF283" i="57"/>
  <c r="CF284" i="57"/>
  <c r="CF285" i="57"/>
  <c r="CF286" i="57"/>
  <c r="CF287" i="57"/>
  <c r="CF288" i="57"/>
  <c r="CF289" i="57"/>
  <c r="CF290" i="57"/>
  <c r="CF291" i="57"/>
  <c r="CF292" i="57"/>
  <c r="CF293" i="57"/>
  <c r="CF294" i="57"/>
  <c r="CF295" i="57"/>
  <c r="CF296" i="57"/>
  <c r="CF297" i="57"/>
  <c r="CF298" i="57"/>
  <c r="CF299" i="57"/>
  <c r="CF300" i="57"/>
  <c r="CF301" i="57"/>
  <c r="CF302" i="57"/>
  <c r="CF303" i="57"/>
  <c r="CF304" i="57"/>
  <c r="CF305" i="57"/>
  <c r="CF306" i="57"/>
  <c r="CF307" i="57"/>
  <c r="CF308" i="57"/>
  <c r="CF309" i="57"/>
  <c r="CF310" i="57"/>
  <c r="CF311" i="57"/>
  <c r="CF312" i="57"/>
  <c r="CF313" i="57"/>
  <c r="CF314" i="57"/>
  <c r="CF315" i="57"/>
  <c r="CF316" i="57"/>
  <c r="CF317" i="57"/>
  <c r="CF318" i="57"/>
  <c r="CF319" i="57"/>
  <c r="CF320" i="57"/>
  <c r="CF321" i="57"/>
  <c r="CF322" i="57"/>
  <c r="CF323" i="57"/>
  <c r="CF324" i="57"/>
  <c r="CF325" i="57"/>
  <c r="CF326" i="57"/>
  <c r="CF327" i="57"/>
  <c r="CF328" i="57"/>
  <c r="CF329" i="57"/>
  <c r="CF330" i="57"/>
  <c r="CF331" i="57"/>
  <c r="CF332" i="57"/>
  <c r="CF333" i="57"/>
  <c r="CF334" i="57"/>
  <c r="CF335" i="57"/>
  <c r="CF336" i="57"/>
  <c r="CF337" i="57"/>
  <c r="CF338" i="57"/>
  <c r="CF339" i="57"/>
  <c r="CF340" i="57"/>
  <c r="CF341" i="57"/>
  <c r="CF342" i="57"/>
  <c r="CF343" i="57"/>
  <c r="CF344" i="57"/>
  <c r="CF345" i="57"/>
  <c r="CF346" i="57"/>
  <c r="CF347" i="57"/>
  <c r="CF348" i="57"/>
  <c r="CF349" i="57"/>
  <c r="CF350" i="57"/>
  <c r="CF4" i="57"/>
  <c r="CF5" i="57"/>
  <c r="CF6" i="57"/>
  <c r="CF7" i="57"/>
  <c r="CF8" i="57"/>
  <c r="CF9" i="57"/>
  <c r="CF10" i="57"/>
  <c r="CF11" i="57"/>
  <c r="CF12" i="57"/>
  <c r="CF13" i="57"/>
  <c r="CF14" i="57"/>
  <c r="CF15" i="57"/>
  <c r="CF16" i="57"/>
  <c r="CF17" i="57"/>
  <c r="CF18" i="57"/>
  <c r="CF19" i="57"/>
  <c r="CF20" i="57"/>
  <c r="CF21" i="57"/>
  <c r="CF22" i="57"/>
  <c r="CF23" i="57"/>
  <c r="CF24" i="57"/>
  <c r="CF25" i="57"/>
  <c r="CF26" i="57"/>
  <c r="CF27" i="57"/>
  <c r="CF28" i="57"/>
  <c r="CF29" i="57"/>
  <c r="CF30" i="57"/>
  <c r="CF31" i="57"/>
  <c r="CF32" i="57"/>
  <c r="CF33" i="57"/>
  <c r="CF34" i="57"/>
  <c r="CF35" i="57"/>
  <c r="CF36" i="57"/>
  <c r="CF37" i="57"/>
  <c r="CF38" i="57"/>
  <c r="CF39" i="57"/>
  <c r="CF40" i="57"/>
  <c r="CF41" i="57"/>
  <c r="CF42" i="57"/>
  <c r="CF43" i="57"/>
  <c r="CF44" i="57"/>
  <c r="CF45" i="57"/>
  <c r="CF46" i="57"/>
  <c r="CF47" i="57"/>
  <c r="CF48" i="57"/>
  <c r="CF49" i="57"/>
  <c r="CF50" i="57"/>
  <c r="CF51" i="57"/>
  <c r="CF52" i="57"/>
  <c r="CF53" i="57"/>
  <c r="CF54" i="57"/>
  <c r="CF55" i="57"/>
  <c r="CF56" i="57"/>
  <c r="CF57" i="57"/>
  <c r="CF58" i="57"/>
  <c r="CF59" i="57"/>
  <c r="CF60" i="57"/>
  <c r="CF61" i="57"/>
  <c r="CF62" i="57"/>
  <c r="CF63" i="57"/>
  <c r="CF64" i="57"/>
  <c r="CF65" i="57"/>
  <c r="CF66" i="57"/>
  <c r="CF67" i="57"/>
  <c r="CF68" i="57"/>
  <c r="CF69" i="57"/>
  <c r="CF70" i="57"/>
  <c r="CF71" i="57"/>
  <c r="CF72" i="57"/>
  <c r="CF73" i="57"/>
  <c r="CF74" i="57"/>
  <c r="CF75" i="57"/>
  <c r="CF76" i="57"/>
  <c r="CF77" i="57"/>
  <c r="CF78" i="57"/>
  <c r="CF79" i="57"/>
  <c r="CF80" i="57"/>
  <c r="CF81" i="57"/>
  <c r="CF82" i="57"/>
  <c r="CF83" i="57"/>
  <c r="CF84" i="57"/>
  <c r="CF85" i="57"/>
  <c r="CF86" i="57"/>
  <c r="CF87" i="57"/>
  <c r="CF88" i="57"/>
  <c r="CF89" i="57"/>
  <c r="CF90" i="57"/>
  <c r="CF91" i="57"/>
  <c r="CF92" i="57"/>
  <c r="CF93" i="57"/>
  <c r="CF94" i="57"/>
  <c r="CF95" i="57"/>
  <c r="CF96" i="57"/>
  <c r="CF97" i="57"/>
  <c r="CF98" i="57"/>
  <c r="CF99" i="57"/>
  <c r="CF100" i="57"/>
  <c r="CF101" i="57"/>
  <c r="CF102" i="57"/>
  <c r="CF103" i="57"/>
  <c r="CF104" i="57"/>
  <c r="CF105" i="57"/>
  <c r="CF106" i="57"/>
  <c r="CF107" i="57"/>
  <c r="CF108" i="57"/>
  <c r="CF109" i="57"/>
  <c r="CF110" i="57"/>
  <c r="CF111" i="57"/>
  <c r="CF112" i="57"/>
  <c r="CF113" i="57"/>
  <c r="CF114" i="57"/>
  <c r="CF115" i="57"/>
  <c r="CF116" i="57"/>
  <c r="CF117" i="57"/>
  <c r="CF118" i="57"/>
  <c r="CF119" i="57"/>
  <c r="CF120" i="57"/>
  <c r="CF121" i="57"/>
  <c r="CF122" i="57"/>
  <c r="CF123" i="57"/>
  <c r="CF124" i="57"/>
  <c r="CF125" i="57"/>
  <c r="CF126" i="57"/>
  <c r="CF127" i="57"/>
  <c r="CF128" i="57"/>
  <c r="CF129" i="57"/>
  <c r="CF3" i="57" l="1"/>
  <c r="BY1588" i="57"/>
  <c r="BY1589" i="57"/>
  <c r="BY1590" i="57"/>
  <c r="BY1591" i="57"/>
  <c r="BY1592" i="57"/>
  <c r="BY1593" i="57"/>
  <c r="BY1594" i="57"/>
  <c r="BY1595" i="57"/>
  <c r="W5" i="45"/>
  <c r="BY1573" i="57"/>
  <c r="BY1574" i="57"/>
  <c r="BY1575" i="57"/>
  <c r="BY1576" i="57"/>
  <c r="BY1577" i="57"/>
  <c r="BY1578" i="57"/>
  <c r="BY1579" i="57"/>
  <c r="BY1580" i="57"/>
  <c r="BY1581" i="57"/>
  <c r="BY1582" i="57"/>
  <c r="BY1583" i="57"/>
  <c r="BY1584" i="57"/>
  <c r="BY1585" i="57"/>
  <c r="BY1586" i="57"/>
  <c r="BY1587" i="57"/>
  <c r="BY4" i="57"/>
  <c r="BY5" i="57"/>
  <c r="BY6" i="57"/>
  <c r="BY7" i="57"/>
  <c r="BY8" i="57"/>
  <c r="BY9" i="57"/>
  <c r="BY10" i="57"/>
  <c r="BY11" i="57"/>
  <c r="BY12" i="57"/>
  <c r="BY13" i="57"/>
  <c r="BY14" i="57"/>
  <c r="BY15" i="57"/>
  <c r="BY16" i="57"/>
  <c r="BY17" i="57"/>
  <c r="BY18" i="57"/>
  <c r="BY19" i="57"/>
  <c r="BY20" i="57"/>
  <c r="BY21" i="57"/>
  <c r="BY22" i="57"/>
  <c r="BY23" i="57"/>
  <c r="BY24" i="57"/>
  <c r="BY25" i="57"/>
  <c r="BY26" i="57"/>
  <c r="BY27" i="57"/>
  <c r="BY28" i="57"/>
  <c r="BY29" i="57"/>
  <c r="BY30" i="57"/>
  <c r="BY31" i="57"/>
  <c r="BY32" i="57"/>
  <c r="BY33" i="57"/>
  <c r="BY34" i="57"/>
  <c r="BY35" i="57"/>
  <c r="BY36" i="57"/>
  <c r="BY37" i="57"/>
  <c r="BY38" i="57"/>
  <c r="BY39" i="57"/>
  <c r="BY40" i="57"/>
  <c r="BY41" i="57"/>
  <c r="BY42" i="57"/>
  <c r="BY43" i="57"/>
  <c r="BY44" i="57"/>
  <c r="BY45" i="57"/>
  <c r="BY46" i="57"/>
  <c r="BY47" i="57"/>
  <c r="BY48" i="57"/>
  <c r="BY49" i="57"/>
  <c r="BY50" i="57"/>
  <c r="BY51" i="57"/>
  <c r="BY52" i="57"/>
  <c r="BY53" i="57"/>
  <c r="BY54" i="57"/>
  <c r="BY55" i="57"/>
  <c r="BY56" i="57"/>
  <c r="BY57" i="57"/>
  <c r="BY58" i="57"/>
  <c r="BY59" i="57"/>
  <c r="BY60" i="57"/>
  <c r="BY61" i="57"/>
  <c r="BY62" i="57"/>
  <c r="BY63" i="57"/>
  <c r="BY64" i="57"/>
  <c r="BY65" i="57"/>
  <c r="BY66" i="57"/>
  <c r="BY67" i="57"/>
  <c r="BY68" i="57"/>
  <c r="BY69" i="57"/>
  <c r="BY70" i="57"/>
  <c r="BY71" i="57"/>
  <c r="BY72" i="57"/>
  <c r="BY73" i="57"/>
  <c r="BY74" i="57"/>
  <c r="BY75" i="57"/>
  <c r="BY76" i="57"/>
  <c r="BY77" i="57"/>
  <c r="BY78" i="57"/>
  <c r="BY79" i="57"/>
  <c r="BY80" i="57"/>
  <c r="BY81" i="57"/>
  <c r="BY82" i="57"/>
  <c r="BY83" i="57"/>
  <c r="BY84" i="57"/>
  <c r="BY85" i="57"/>
  <c r="BY86" i="57"/>
  <c r="BY87" i="57"/>
  <c r="BY88" i="57"/>
  <c r="BY89" i="57"/>
  <c r="BY90" i="57"/>
  <c r="BY91" i="57"/>
  <c r="BY92" i="57"/>
  <c r="BY93" i="57"/>
  <c r="BY94" i="57"/>
  <c r="BY95" i="57"/>
  <c r="BY96" i="57"/>
  <c r="BY97" i="57"/>
  <c r="BY98" i="57"/>
  <c r="BY99" i="57"/>
  <c r="BY100" i="57"/>
  <c r="BY101" i="57"/>
  <c r="BY102" i="57"/>
  <c r="BY103" i="57"/>
  <c r="BY104" i="57"/>
  <c r="BY105" i="57"/>
  <c r="BY106" i="57"/>
  <c r="BY107" i="57"/>
  <c r="BY108" i="57"/>
  <c r="BY109" i="57"/>
  <c r="BY110" i="57"/>
  <c r="BY111" i="57"/>
  <c r="BY112" i="57"/>
  <c r="BY113" i="57"/>
  <c r="BY114" i="57"/>
  <c r="BY115" i="57"/>
  <c r="BY116" i="57"/>
  <c r="BY117" i="57"/>
  <c r="BY118" i="57"/>
  <c r="BY119" i="57"/>
  <c r="BY120" i="57"/>
  <c r="BY121" i="57"/>
  <c r="BY122" i="57"/>
  <c r="BY123" i="57"/>
  <c r="BY124" i="57"/>
  <c r="BY125" i="57"/>
  <c r="BY126" i="57"/>
  <c r="BY127" i="57"/>
  <c r="BY128" i="57"/>
  <c r="BY129" i="57"/>
  <c r="BY130" i="57"/>
  <c r="BY131" i="57"/>
  <c r="BY132" i="57"/>
  <c r="BY133" i="57"/>
  <c r="BY134" i="57"/>
  <c r="BY135" i="57"/>
  <c r="BY136" i="57"/>
  <c r="BY137" i="57"/>
  <c r="BY138" i="57"/>
  <c r="BY139" i="57"/>
  <c r="BY140" i="57"/>
  <c r="BY141" i="57"/>
  <c r="BY142" i="57"/>
  <c r="BY143" i="57"/>
  <c r="BY144" i="57"/>
  <c r="BY145" i="57"/>
  <c r="BY146" i="57"/>
  <c r="BY147" i="57"/>
  <c r="BY148" i="57"/>
  <c r="BY149" i="57"/>
  <c r="BY150" i="57"/>
  <c r="BY151" i="57"/>
  <c r="BY152" i="57"/>
  <c r="BY153" i="57"/>
  <c r="BY154" i="57"/>
  <c r="BY155" i="57"/>
  <c r="BY156" i="57"/>
  <c r="BY157" i="57"/>
  <c r="BY158" i="57"/>
  <c r="BY159" i="57"/>
  <c r="BY160" i="57"/>
  <c r="BY161" i="57"/>
  <c r="BY162" i="57"/>
  <c r="BY163" i="57"/>
  <c r="BY164" i="57"/>
  <c r="BY165" i="57"/>
  <c r="BY166" i="57"/>
  <c r="BY167" i="57"/>
  <c r="BY168" i="57"/>
  <c r="BY169" i="57"/>
  <c r="BY170" i="57"/>
  <c r="BY171" i="57"/>
  <c r="BY172" i="57"/>
  <c r="BY173" i="57"/>
  <c r="BY174" i="57"/>
  <c r="BY175" i="57"/>
  <c r="BY176" i="57"/>
  <c r="BY177" i="57"/>
  <c r="BY178" i="57"/>
  <c r="BY179" i="57"/>
  <c r="BY180" i="57"/>
  <c r="BY181" i="57"/>
  <c r="BY182" i="57"/>
  <c r="BY183" i="57"/>
  <c r="BY184" i="57"/>
  <c r="BY185" i="57"/>
  <c r="BY186" i="57"/>
  <c r="BY187" i="57"/>
  <c r="BY188" i="57"/>
  <c r="BY189" i="57"/>
  <c r="BY190" i="57"/>
  <c r="BY191" i="57"/>
  <c r="BY192" i="57"/>
  <c r="BY193" i="57"/>
  <c r="BY194" i="57"/>
  <c r="BY195" i="57"/>
  <c r="BY196" i="57"/>
  <c r="BY197" i="57"/>
  <c r="BY198" i="57"/>
  <c r="BY199" i="57"/>
  <c r="BY200" i="57"/>
  <c r="BY201" i="57"/>
  <c r="BY202" i="57"/>
  <c r="BY203" i="57"/>
  <c r="BY204" i="57"/>
  <c r="BY205" i="57"/>
  <c r="BY206" i="57"/>
  <c r="BY207" i="57"/>
  <c r="BY208" i="57"/>
  <c r="BY209" i="57"/>
  <c r="BY210" i="57"/>
  <c r="BY211" i="57"/>
  <c r="BY212" i="57"/>
  <c r="BY213" i="57"/>
  <c r="BY214" i="57"/>
  <c r="BY215" i="57"/>
  <c r="BY216" i="57"/>
  <c r="BY217" i="57"/>
  <c r="BY218" i="57"/>
  <c r="BY219" i="57"/>
  <c r="BY220" i="57"/>
  <c r="BY221" i="57"/>
  <c r="BY222" i="57"/>
  <c r="BY223" i="57"/>
  <c r="BY224" i="57"/>
  <c r="BY225" i="57"/>
  <c r="BY226" i="57"/>
  <c r="BY227" i="57"/>
  <c r="BY228" i="57"/>
  <c r="BY229" i="57"/>
  <c r="BY230" i="57"/>
  <c r="BY231" i="57"/>
  <c r="BY232" i="57"/>
  <c r="BY233" i="57"/>
  <c r="BY234" i="57"/>
  <c r="BY235" i="57"/>
  <c r="BY236" i="57"/>
  <c r="BY237" i="57"/>
  <c r="BY238" i="57"/>
  <c r="BY239" i="57"/>
  <c r="BY240" i="57"/>
  <c r="BY241" i="57"/>
  <c r="BY242" i="57"/>
  <c r="BY243" i="57"/>
  <c r="BY244" i="57"/>
  <c r="BY245" i="57"/>
  <c r="BY246" i="57"/>
  <c r="BY247" i="57"/>
  <c r="BY248" i="57"/>
  <c r="BY249" i="57"/>
  <c r="BY250" i="57"/>
  <c r="BY251" i="57"/>
  <c r="BY252" i="57"/>
  <c r="BY253" i="57"/>
  <c r="BY254" i="57"/>
  <c r="BY255" i="57"/>
  <c r="BY256" i="57"/>
  <c r="BY257" i="57"/>
  <c r="BY258" i="57"/>
  <c r="BY259" i="57"/>
  <c r="BY260" i="57"/>
  <c r="BY261" i="57"/>
  <c r="BY262" i="57"/>
  <c r="BY263" i="57"/>
  <c r="BY264" i="57"/>
  <c r="BY265" i="57"/>
  <c r="BY266" i="57"/>
  <c r="BY267" i="57"/>
  <c r="BY268" i="57"/>
  <c r="BY269" i="57"/>
  <c r="BY270" i="57"/>
  <c r="BY271" i="57"/>
  <c r="BY272" i="57"/>
  <c r="BY273" i="57"/>
  <c r="BY274" i="57"/>
  <c r="BY275" i="57"/>
  <c r="BY276" i="57"/>
  <c r="BY277" i="57"/>
  <c r="BY278" i="57"/>
  <c r="BY279" i="57"/>
  <c r="BY280" i="57"/>
  <c r="BY281" i="57"/>
  <c r="BY282" i="57"/>
  <c r="BY283" i="57"/>
  <c r="BY284" i="57"/>
  <c r="BY285" i="57"/>
  <c r="BY286" i="57"/>
  <c r="BY287" i="57"/>
  <c r="BY288" i="57"/>
  <c r="BY289" i="57"/>
  <c r="BY290" i="57"/>
  <c r="BY291" i="57"/>
  <c r="BY292" i="57"/>
  <c r="BY293" i="57"/>
  <c r="BY294" i="57"/>
  <c r="BY295" i="57"/>
  <c r="BY296" i="57"/>
  <c r="BY297" i="57"/>
  <c r="BY298" i="57"/>
  <c r="BY299" i="57"/>
  <c r="BY300" i="57"/>
  <c r="BY301" i="57"/>
  <c r="BY302" i="57"/>
  <c r="BY303" i="57"/>
  <c r="BY304" i="57"/>
  <c r="BY305" i="57"/>
  <c r="BY306" i="57"/>
  <c r="BY307" i="57"/>
  <c r="BY308" i="57"/>
  <c r="BY309" i="57"/>
  <c r="BY310" i="57"/>
  <c r="BY311" i="57"/>
  <c r="BY312" i="57"/>
  <c r="BY313" i="57"/>
  <c r="BY314" i="57"/>
  <c r="BY315" i="57"/>
  <c r="BY316" i="57"/>
  <c r="BY317" i="57"/>
  <c r="BY318" i="57"/>
  <c r="BY319" i="57"/>
  <c r="BY320" i="57"/>
  <c r="BY321" i="57"/>
  <c r="BY322" i="57"/>
  <c r="BY323" i="57"/>
  <c r="BY324" i="57"/>
  <c r="BY325" i="57"/>
  <c r="BY326" i="57"/>
  <c r="BY327" i="57"/>
  <c r="BY328" i="57"/>
  <c r="BY329" i="57"/>
  <c r="BY330" i="57"/>
  <c r="BY331" i="57"/>
  <c r="BY332" i="57"/>
  <c r="BY333" i="57"/>
  <c r="BY334" i="57"/>
  <c r="BY335" i="57"/>
  <c r="BY336" i="57"/>
  <c r="BY337" i="57"/>
  <c r="BY338" i="57"/>
  <c r="BY339" i="57"/>
  <c r="BY340" i="57"/>
  <c r="BY341" i="57"/>
  <c r="BY342" i="57"/>
  <c r="BY343" i="57"/>
  <c r="BY344" i="57"/>
  <c r="BY345" i="57"/>
  <c r="BY346" i="57"/>
  <c r="BY347" i="57"/>
  <c r="BY348" i="57"/>
  <c r="BY349" i="57"/>
  <c r="BY350" i="57"/>
  <c r="BY351" i="57"/>
  <c r="BY352" i="57"/>
  <c r="BY353" i="57"/>
  <c r="BY354" i="57"/>
  <c r="BY355" i="57"/>
  <c r="BY356" i="57"/>
  <c r="BY357" i="57"/>
  <c r="BY358" i="57"/>
  <c r="BY359" i="57"/>
  <c r="BY360" i="57"/>
  <c r="BY361" i="57"/>
  <c r="BY362" i="57"/>
  <c r="BY363" i="57"/>
  <c r="BY364" i="57"/>
  <c r="BY365" i="57"/>
  <c r="BY366" i="57"/>
  <c r="BY367" i="57"/>
  <c r="BY368" i="57"/>
  <c r="BY369" i="57"/>
  <c r="BY370" i="57"/>
  <c r="BY371" i="57"/>
  <c r="BY372" i="57"/>
  <c r="BY373" i="57"/>
  <c r="BY374" i="57"/>
  <c r="BY375" i="57"/>
  <c r="BY376" i="57"/>
  <c r="BY377" i="57"/>
  <c r="BY378" i="57"/>
  <c r="BY379" i="57"/>
  <c r="BY380" i="57"/>
  <c r="BY381" i="57"/>
  <c r="BY382" i="57"/>
  <c r="BY383" i="57"/>
  <c r="BY384" i="57"/>
  <c r="BY385" i="57"/>
  <c r="BY386" i="57"/>
  <c r="BY387" i="57"/>
  <c r="BY388" i="57"/>
  <c r="BY389" i="57"/>
  <c r="BY390" i="57"/>
  <c r="BY391" i="57"/>
  <c r="BY392" i="57"/>
  <c r="BY393" i="57"/>
  <c r="BY394" i="57"/>
  <c r="BY395" i="57"/>
  <c r="BY396" i="57"/>
  <c r="BY397" i="57"/>
  <c r="BY398" i="57"/>
  <c r="BY399" i="57"/>
  <c r="BY400" i="57"/>
  <c r="BY401" i="57"/>
  <c r="BY402" i="57"/>
  <c r="BY403" i="57"/>
  <c r="BY404" i="57"/>
  <c r="BY405" i="57"/>
  <c r="BY406" i="57"/>
  <c r="BY407" i="57"/>
  <c r="BY408" i="57"/>
  <c r="BY409" i="57"/>
  <c r="BY410" i="57"/>
  <c r="BY411" i="57"/>
  <c r="BY412" i="57"/>
  <c r="BY413" i="57"/>
  <c r="BY414" i="57"/>
  <c r="BY415" i="57"/>
  <c r="BY416" i="57"/>
  <c r="BY417" i="57"/>
  <c r="BY418" i="57"/>
  <c r="BY419" i="57"/>
  <c r="BY420" i="57"/>
  <c r="BY421" i="57"/>
  <c r="BY422" i="57"/>
  <c r="BY423" i="57"/>
  <c r="BY424" i="57"/>
  <c r="BY425" i="57"/>
  <c r="BY426" i="57"/>
  <c r="BY427" i="57"/>
  <c r="BY428" i="57"/>
  <c r="BY429" i="57"/>
  <c r="BY430" i="57"/>
  <c r="BY431" i="57"/>
  <c r="BY432" i="57"/>
  <c r="BY433" i="57"/>
  <c r="BY434" i="57"/>
  <c r="BY435" i="57"/>
  <c r="BY436" i="57"/>
  <c r="BY437" i="57"/>
  <c r="BY438" i="57"/>
  <c r="BY439" i="57"/>
  <c r="BY440" i="57"/>
  <c r="BY441" i="57"/>
  <c r="BY442" i="57"/>
  <c r="BY443" i="57"/>
  <c r="BY444" i="57"/>
  <c r="BY445" i="57"/>
  <c r="BY446" i="57"/>
  <c r="BY447" i="57"/>
  <c r="BY448" i="57"/>
  <c r="BY449" i="57"/>
  <c r="BY450" i="57"/>
  <c r="BY451" i="57"/>
  <c r="BY452" i="57"/>
  <c r="BY453" i="57"/>
  <c r="BY454" i="57"/>
  <c r="BY455" i="57"/>
  <c r="BY456" i="57"/>
  <c r="BY457" i="57"/>
  <c r="BY458" i="57"/>
  <c r="BY459" i="57"/>
  <c r="BY460" i="57"/>
  <c r="BY461" i="57"/>
  <c r="BY462" i="57"/>
  <c r="BY463" i="57"/>
  <c r="BY464" i="57"/>
  <c r="BY465" i="57"/>
  <c r="BY466" i="57"/>
  <c r="BY467" i="57"/>
  <c r="BY468" i="57"/>
  <c r="BY469" i="57"/>
  <c r="BY470" i="57"/>
  <c r="BY471" i="57"/>
  <c r="BY472" i="57"/>
  <c r="BY473" i="57"/>
  <c r="BY474" i="57"/>
  <c r="BY475" i="57"/>
  <c r="BY476" i="57"/>
  <c r="BY477" i="57"/>
  <c r="BY478" i="57"/>
  <c r="BY479" i="57"/>
  <c r="BY480" i="57"/>
  <c r="BY481" i="57"/>
  <c r="BY482" i="57"/>
  <c r="BY483" i="57"/>
  <c r="BY484" i="57"/>
  <c r="BY485" i="57"/>
  <c r="BY486" i="57"/>
  <c r="BY487" i="57"/>
  <c r="BY488" i="57"/>
  <c r="BY489" i="57"/>
  <c r="BY490" i="57"/>
  <c r="BY491" i="57"/>
  <c r="BY492" i="57"/>
  <c r="BY493" i="57"/>
  <c r="BY494" i="57"/>
  <c r="BY495" i="57"/>
  <c r="BY496" i="57"/>
  <c r="BY497" i="57"/>
  <c r="BY498" i="57"/>
  <c r="BY499" i="57"/>
  <c r="BY500" i="57"/>
  <c r="BY501" i="57"/>
  <c r="BY502" i="57"/>
  <c r="BY503" i="57"/>
  <c r="BY504" i="57"/>
  <c r="BY505" i="57"/>
  <c r="BY506" i="57"/>
  <c r="BY507" i="57"/>
  <c r="BY508" i="57"/>
  <c r="BY509" i="57"/>
  <c r="BY510" i="57"/>
  <c r="BY511" i="57"/>
  <c r="BY512" i="57"/>
  <c r="BY513" i="57"/>
  <c r="BY514" i="57"/>
  <c r="BY515" i="57"/>
  <c r="BY516" i="57"/>
  <c r="BY517" i="57"/>
  <c r="BY518" i="57"/>
  <c r="BY519" i="57"/>
  <c r="BY520" i="57"/>
  <c r="BY521" i="57"/>
  <c r="BY522" i="57"/>
  <c r="BY523" i="57"/>
  <c r="BY524" i="57"/>
  <c r="BY525" i="57"/>
  <c r="BY526" i="57"/>
  <c r="BY527" i="57"/>
  <c r="BY528" i="57"/>
  <c r="BY529" i="57"/>
  <c r="BY530" i="57"/>
  <c r="BY531" i="57"/>
  <c r="BY532" i="57"/>
  <c r="BY533" i="57"/>
  <c r="BY534" i="57"/>
  <c r="BY535" i="57"/>
  <c r="BY536" i="57"/>
  <c r="BY537" i="57"/>
  <c r="BY538" i="57"/>
  <c r="BY539" i="57"/>
  <c r="BY540" i="57"/>
  <c r="BY541" i="57"/>
  <c r="BY542" i="57"/>
  <c r="BY543" i="57"/>
  <c r="BY544" i="57"/>
  <c r="BY545" i="57"/>
  <c r="BY546" i="57"/>
  <c r="BY547" i="57"/>
  <c r="BY548" i="57"/>
  <c r="BY549" i="57"/>
  <c r="BY550" i="57"/>
  <c r="BY551" i="57"/>
  <c r="BY552" i="57"/>
  <c r="BY553" i="57"/>
  <c r="BY554" i="57"/>
  <c r="BY555" i="57"/>
  <c r="BY556" i="57"/>
  <c r="BY557" i="57"/>
  <c r="BY558" i="57"/>
  <c r="BY559" i="57"/>
  <c r="BY560" i="57"/>
  <c r="BY561" i="57"/>
  <c r="BY562" i="57"/>
  <c r="BY563" i="57"/>
  <c r="BY564" i="57"/>
  <c r="BY565" i="57"/>
  <c r="BY566" i="57"/>
  <c r="BY567" i="57"/>
  <c r="BY568" i="57"/>
  <c r="BY569" i="57"/>
  <c r="BY570" i="57"/>
  <c r="BY571" i="57"/>
  <c r="BY572" i="57"/>
  <c r="BY573" i="57"/>
  <c r="BY574" i="57"/>
  <c r="BY575" i="57"/>
  <c r="BY576" i="57"/>
  <c r="BY577" i="57"/>
  <c r="BY578" i="57"/>
  <c r="BY579" i="57"/>
  <c r="BY580" i="57"/>
  <c r="BY581" i="57"/>
  <c r="BY582" i="57"/>
  <c r="BY583" i="57"/>
  <c r="BY584" i="57"/>
  <c r="BY585" i="57"/>
  <c r="BY586" i="57"/>
  <c r="BY587" i="57"/>
  <c r="BY588" i="57"/>
  <c r="BY589" i="57"/>
  <c r="BY590" i="57"/>
  <c r="BY591" i="57"/>
  <c r="BY592" i="57"/>
  <c r="BY593" i="57"/>
  <c r="BY594" i="57"/>
  <c r="BY595" i="57"/>
  <c r="BY596" i="57"/>
  <c r="BY597" i="57"/>
  <c r="BY598" i="57"/>
  <c r="BY599" i="57"/>
  <c r="BY600" i="57"/>
  <c r="BY601" i="57"/>
  <c r="BY602" i="57"/>
  <c r="BY603" i="57"/>
  <c r="BY604" i="57"/>
  <c r="BY605" i="57"/>
  <c r="BY606" i="57"/>
  <c r="BY607" i="57"/>
  <c r="BY608" i="57"/>
  <c r="BY609" i="57"/>
  <c r="BY610" i="57"/>
  <c r="BY611" i="57"/>
  <c r="BY612" i="57"/>
  <c r="BY613" i="57"/>
  <c r="BY614" i="57"/>
  <c r="BY615" i="57"/>
  <c r="BY616" i="57"/>
  <c r="BY617" i="57"/>
  <c r="BY618" i="57"/>
  <c r="BY619" i="57"/>
  <c r="BY620" i="57"/>
  <c r="BY621" i="57"/>
  <c r="BY622" i="57"/>
  <c r="BY623" i="57"/>
  <c r="BY624" i="57"/>
  <c r="BY625" i="57"/>
  <c r="BY626" i="57"/>
  <c r="BY627" i="57"/>
  <c r="BY628" i="57"/>
  <c r="BY629" i="57"/>
  <c r="BY630" i="57"/>
  <c r="BY631" i="57"/>
  <c r="BY632" i="57"/>
  <c r="BY633" i="57"/>
  <c r="BY634" i="57"/>
  <c r="BY635" i="57"/>
  <c r="BY636" i="57"/>
  <c r="BY637" i="57"/>
  <c r="BY638" i="57"/>
  <c r="BY639" i="57"/>
  <c r="BY640" i="57"/>
  <c r="BY641" i="57"/>
  <c r="BY642" i="57"/>
  <c r="BY643" i="57"/>
  <c r="BY644" i="57"/>
  <c r="BY645" i="57"/>
  <c r="BY646" i="57"/>
  <c r="BY647" i="57"/>
  <c r="BY648" i="57"/>
  <c r="BY649" i="57"/>
  <c r="BY650" i="57"/>
  <c r="BY651" i="57"/>
  <c r="BY652" i="57"/>
  <c r="BY653" i="57"/>
  <c r="BY654" i="57"/>
  <c r="BY655" i="57"/>
  <c r="BY656" i="57"/>
  <c r="BY657" i="57"/>
  <c r="BY658" i="57"/>
  <c r="BY659" i="57"/>
  <c r="BY660" i="57"/>
  <c r="BY661" i="57"/>
  <c r="BY662" i="57"/>
  <c r="BY663" i="57"/>
  <c r="BY664" i="57"/>
  <c r="BY665" i="57"/>
  <c r="BY666" i="57"/>
  <c r="BY667" i="57"/>
  <c r="BY668" i="57"/>
  <c r="BY669" i="57"/>
  <c r="BY670" i="57"/>
  <c r="BY671" i="57"/>
  <c r="BY672" i="57"/>
  <c r="BY673" i="57"/>
  <c r="BY674" i="57"/>
  <c r="BY675" i="57"/>
  <c r="BY676" i="57"/>
  <c r="BY677" i="57"/>
  <c r="BY678" i="57"/>
  <c r="BY679" i="57"/>
  <c r="BY680" i="57"/>
  <c r="BY681" i="57"/>
  <c r="BY682" i="57"/>
  <c r="BY683" i="57"/>
  <c r="BY684" i="57"/>
  <c r="BY685" i="57"/>
  <c r="BY686" i="57"/>
  <c r="BY687" i="57"/>
  <c r="BY688" i="57"/>
  <c r="BY689" i="57"/>
  <c r="BY690" i="57"/>
  <c r="BY691" i="57"/>
  <c r="BY692" i="57"/>
  <c r="BY693" i="57"/>
  <c r="BY694" i="57"/>
  <c r="BY695" i="57"/>
  <c r="BY696" i="57"/>
  <c r="BY697" i="57"/>
  <c r="BY698" i="57"/>
  <c r="BY699" i="57"/>
  <c r="BY700" i="57"/>
  <c r="BY701" i="57"/>
  <c r="BY702" i="57"/>
  <c r="BY703" i="57"/>
  <c r="BY704" i="57"/>
  <c r="BY705" i="57"/>
  <c r="BY706" i="57"/>
  <c r="BY707" i="57"/>
  <c r="BY708" i="57"/>
  <c r="BY709" i="57"/>
  <c r="BY710" i="57"/>
  <c r="BY711" i="57"/>
  <c r="BY712" i="57"/>
  <c r="BY713" i="57"/>
  <c r="BY714" i="57"/>
  <c r="BY715" i="57"/>
  <c r="BY716" i="57"/>
  <c r="BY717" i="57"/>
  <c r="BY718" i="57"/>
  <c r="BY719" i="57"/>
  <c r="BY720" i="57"/>
  <c r="BY721" i="57"/>
  <c r="BY722" i="57"/>
  <c r="BY723" i="57"/>
  <c r="BY724" i="57"/>
  <c r="BY725" i="57"/>
  <c r="BY726" i="57"/>
  <c r="BY727" i="57"/>
  <c r="BY728" i="57"/>
  <c r="BY729" i="57"/>
  <c r="BY730" i="57"/>
  <c r="BY731" i="57"/>
  <c r="BY732" i="57"/>
  <c r="BY733" i="57"/>
  <c r="BY734" i="57"/>
  <c r="BY735" i="57"/>
  <c r="BY736" i="57"/>
  <c r="BY737" i="57"/>
  <c r="BY738" i="57"/>
  <c r="BY739" i="57"/>
  <c r="BY740" i="57"/>
  <c r="BY741" i="57"/>
  <c r="BY742" i="57"/>
  <c r="BY743" i="57"/>
  <c r="BY744" i="57"/>
  <c r="BY745" i="57"/>
  <c r="BY746" i="57"/>
  <c r="BY747" i="57"/>
  <c r="BY748" i="57"/>
  <c r="BY749" i="57"/>
  <c r="BY750" i="57"/>
  <c r="BY751" i="57"/>
  <c r="BY752" i="57"/>
  <c r="BY753" i="57"/>
  <c r="BY754" i="57"/>
  <c r="BY755" i="57"/>
  <c r="BY756" i="57"/>
  <c r="BY757" i="57"/>
  <c r="BY758" i="57"/>
  <c r="BY759" i="57"/>
  <c r="BY760" i="57"/>
  <c r="BY761" i="57"/>
  <c r="BY762" i="57"/>
  <c r="BY763" i="57"/>
  <c r="BY764" i="57"/>
  <c r="BY765" i="57"/>
  <c r="BY766" i="57"/>
  <c r="BY767" i="57"/>
  <c r="BY768" i="57"/>
  <c r="BY769" i="57"/>
  <c r="BY770" i="57"/>
  <c r="BY771" i="57"/>
  <c r="BY772" i="57"/>
  <c r="BY773" i="57"/>
  <c r="BY774" i="57"/>
  <c r="BY775" i="57"/>
  <c r="BY776" i="57"/>
  <c r="BY777" i="57"/>
  <c r="BY778" i="57"/>
  <c r="BY779" i="57"/>
  <c r="BY780" i="57"/>
  <c r="BY781" i="57"/>
  <c r="BY782" i="57"/>
  <c r="BY783" i="57"/>
  <c r="BY784" i="57"/>
  <c r="BY785" i="57"/>
  <c r="BY786" i="57"/>
  <c r="BY787" i="57"/>
  <c r="BY788" i="57"/>
  <c r="BY789" i="57"/>
  <c r="BY790" i="57"/>
  <c r="BY791" i="57"/>
  <c r="BY792" i="57"/>
  <c r="BY793" i="57"/>
  <c r="BY794" i="57"/>
  <c r="BY795" i="57"/>
  <c r="BY796" i="57"/>
  <c r="BY797" i="57"/>
  <c r="BY798" i="57"/>
  <c r="BY799" i="57"/>
  <c r="BY800" i="57"/>
  <c r="BY801" i="57"/>
  <c r="BY802" i="57"/>
  <c r="BY803" i="57"/>
  <c r="BY804" i="57"/>
  <c r="BY805" i="57"/>
  <c r="BY806" i="57"/>
  <c r="BY807" i="57"/>
  <c r="BY808" i="57"/>
  <c r="BY809" i="57"/>
  <c r="BY810" i="57"/>
  <c r="BY811" i="57"/>
  <c r="BY812" i="57"/>
  <c r="BY813" i="57"/>
  <c r="BY814" i="57"/>
  <c r="BY815" i="57"/>
  <c r="BY816" i="57"/>
  <c r="BY817" i="57"/>
  <c r="BY818" i="57"/>
  <c r="BY819" i="57"/>
  <c r="BY820" i="57"/>
  <c r="BY821" i="57"/>
  <c r="BY822" i="57"/>
  <c r="BY823" i="57"/>
  <c r="BY824" i="57"/>
  <c r="BY825" i="57"/>
  <c r="BY826" i="57"/>
  <c r="BY827" i="57"/>
  <c r="BY828" i="57"/>
  <c r="BY829" i="57"/>
  <c r="BY830" i="57"/>
  <c r="BY831" i="57"/>
  <c r="BY832" i="57"/>
  <c r="BY833" i="57"/>
  <c r="BY834" i="57"/>
  <c r="BY835" i="57"/>
  <c r="BY836" i="57"/>
  <c r="BY837" i="57"/>
  <c r="BY838" i="57"/>
  <c r="BY839" i="57"/>
  <c r="BY840" i="57"/>
  <c r="BY841" i="57"/>
  <c r="BY842" i="57"/>
  <c r="BY843" i="57"/>
  <c r="BY844" i="57"/>
  <c r="BY845" i="57"/>
  <c r="BY846" i="57"/>
  <c r="BY847" i="57"/>
  <c r="BY848" i="57"/>
  <c r="BY849" i="57"/>
  <c r="BY850" i="57"/>
  <c r="BY851" i="57"/>
  <c r="BY852" i="57"/>
  <c r="BY853" i="57"/>
  <c r="BY854" i="57"/>
  <c r="BY855" i="57"/>
  <c r="BY856" i="57"/>
  <c r="BY857" i="57"/>
  <c r="BY858" i="57"/>
  <c r="BY859" i="57"/>
  <c r="BY860" i="57"/>
  <c r="BY861" i="57"/>
  <c r="BY862" i="57"/>
  <c r="BY863" i="57"/>
  <c r="BY864" i="57"/>
  <c r="BY865" i="57"/>
  <c r="BY866" i="57"/>
  <c r="BY867" i="57"/>
  <c r="BY868" i="57"/>
  <c r="BY869" i="57"/>
  <c r="BY870" i="57"/>
  <c r="BY871" i="57"/>
  <c r="BY872" i="57"/>
  <c r="BY873" i="57"/>
  <c r="BY874" i="57"/>
  <c r="BY875" i="57"/>
  <c r="BY876" i="57"/>
  <c r="BY877" i="57"/>
  <c r="BY878" i="57"/>
  <c r="BY879" i="57"/>
  <c r="BY880" i="57"/>
  <c r="BY881" i="57"/>
  <c r="BY882" i="57"/>
  <c r="BY883" i="57"/>
  <c r="BY884" i="57"/>
  <c r="BY885" i="57"/>
  <c r="BY886" i="57"/>
  <c r="BY887" i="57"/>
  <c r="BY888" i="57"/>
  <c r="BY889" i="57"/>
  <c r="BY890" i="57"/>
  <c r="BY891" i="57"/>
  <c r="BY892" i="57"/>
  <c r="BY893" i="57"/>
  <c r="BY894" i="57"/>
  <c r="BY895" i="57"/>
  <c r="BY896" i="57"/>
  <c r="BY897" i="57"/>
  <c r="BY898" i="57"/>
  <c r="BY899" i="57"/>
  <c r="BY900" i="57"/>
  <c r="BY901" i="57"/>
  <c r="BY902" i="57"/>
  <c r="BY903" i="57"/>
  <c r="BY904" i="57"/>
  <c r="BY905" i="57"/>
  <c r="BY906" i="57"/>
  <c r="BY907" i="57"/>
  <c r="BY908" i="57"/>
  <c r="BY909" i="57"/>
  <c r="BY910" i="57"/>
  <c r="BY911" i="57"/>
  <c r="BY912" i="57"/>
  <c r="BY913" i="57"/>
  <c r="BY914" i="57"/>
  <c r="BY915" i="57"/>
  <c r="BY916" i="57"/>
  <c r="BY917" i="57"/>
  <c r="BY918" i="57"/>
  <c r="BY919" i="57"/>
  <c r="BY920" i="57"/>
  <c r="BY921" i="57"/>
  <c r="BY922" i="57"/>
  <c r="BY923" i="57"/>
  <c r="BY924" i="57"/>
  <c r="BY925" i="57"/>
  <c r="BY926" i="57"/>
  <c r="BY927" i="57"/>
  <c r="BY928" i="57"/>
  <c r="BY929" i="57"/>
  <c r="BY930" i="57"/>
  <c r="BY931" i="57"/>
  <c r="BY932" i="57"/>
  <c r="BY933" i="57"/>
  <c r="BY934" i="57"/>
  <c r="BY935" i="57"/>
  <c r="BY936" i="57"/>
  <c r="BY937" i="57"/>
  <c r="BY938" i="57"/>
  <c r="BY939" i="57"/>
  <c r="BY940" i="57"/>
  <c r="BY941" i="57"/>
  <c r="BY942" i="57"/>
  <c r="BY943" i="57"/>
  <c r="BY944" i="57"/>
  <c r="BY945" i="57"/>
  <c r="BY946" i="57"/>
  <c r="BY947" i="57"/>
  <c r="BY948" i="57"/>
  <c r="BY949" i="57"/>
  <c r="BY950" i="57"/>
  <c r="BY951" i="57"/>
  <c r="BY952" i="57"/>
  <c r="BY953" i="57"/>
  <c r="BY954" i="57"/>
  <c r="BY955" i="57"/>
  <c r="BY956" i="57"/>
  <c r="BY957" i="57"/>
  <c r="BY958" i="57"/>
  <c r="BY959" i="57"/>
  <c r="BY960" i="57"/>
  <c r="BY961" i="57"/>
  <c r="BY962" i="57"/>
  <c r="BY963" i="57"/>
  <c r="BY964" i="57"/>
  <c r="BY965" i="57"/>
  <c r="BY966" i="57"/>
  <c r="BY967" i="57"/>
  <c r="BY968" i="57"/>
  <c r="BY969" i="57"/>
  <c r="BY970" i="57"/>
  <c r="BY971" i="57"/>
  <c r="BY972" i="57"/>
  <c r="BY973" i="57"/>
  <c r="BY974" i="57"/>
  <c r="BY975" i="57"/>
  <c r="BY976" i="57"/>
  <c r="BY977" i="57"/>
  <c r="BY978" i="57"/>
  <c r="BY979" i="57"/>
  <c r="BY980" i="57"/>
  <c r="BY981" i="57"/>
  <c r="BY982" i="57"/>
  <c r="BY983" i="57"/>
  <c r="BY984" i="57"/>
  <c r="BY985" i="57"/>
  <c r="BY986" i="57"/>
  <c r="BY987" i="57"/>
  <c r="BY988" i="57"/>
  <c r="BY989" i="57"/>
  <c r="BY990" i="57"/>
  <c r="BY991" i="57"/>
  <c r="BY992" i="57"/>
  <c r="BY993" i="57"/>
  <c r="BY994" i="57"/>
  <c r="BY995" i="57"/>
  <c r="BY996" i="57"/>
  <c r="BY997" i="57"/>
  <c r="BY998" i="57"/>
  <c r="BY999" i="57"/>
  <c r="BY1000" i="57"/>
  <c r="BY1001" i="57"/>
  <c r="BY1002" i="57"/>
  <c r="BY1003" i="57"/>
  <c r="BY1004" i="57"/>
  <c r="BY1005" i="57"/>
  <c r="BY1006" i="57"/>
  <c r="BY1007" i="57"/>
  <c r="BY1008" i="57"/>
  <c r="BY1009" i="57"/>
  <c r="BY1010" i="57"/>
  <c r="BY1011" i="57"/>
  <c r="BY1012" i="57"/>
  <c r="BY1013" i="57"/>
  <c r="BY1014" i="57"/>
  <c r="BY1015" i="57"/>
  <c r="BY1016" i="57"/>
  <c r="BY1017" i="57"/>
  <c r="BY1018" i="57"/>
  <c r="BY1019" i="57"/>
  <c r="BY1020" i="57"/>
  <c r="BY1021" i="57"/>
  <c r="BY1022" i="57"/>
  <c r="BY1023" i="57"/>
  <c r="BY1024" i="57"/>
  <c r="BY1025" i="57"/>
  <c r="BY1026" i="57"/>
  <c r="BY1027" i="57"/>
  <c r="BY1028" i="57"/>
  <c r="BY1029" i="57"/>
  <c r="BY1030" i="57"/>
  <c r="BY1031" i="57"/>
  <c r="BY1032" i="57"/>
  <c r="BY1033" i="57"/>
  <c r="BY1034" i="57"/>
  <c r="BY1035" i="57"/>
  <c r="BY1036" i="57"/>
  <c r="BY1037" i="57"/>
  <c r="BY1038" i="57"/>
  <c r="BY1039" i="57"/>
  <c r="BY1040" i="57"/>
  <c r="BY1041" i="57"/>
  <c r="BY1042" i="57"/>
  <c r="BY1043" i="57"/>
  <c r="BY1044" i="57"/>
  <c r="BY1045" i="57"/>
  <c r="BY1046" i="57"/>
  <c r="BY1047" i="57"/>
  <c r="BY1048" i="57"/>
  <c r="BY1049" i="57"/>
  <c r="BY1050" i="57"/>
  <c r="BY1051" i="57"/>
  <c r="BY1052" i="57"/>
  <c r="BY1053" i="57"/>
  <c r="BY1054" i="57"/>
  <c r="BY1055" i="57"/>
  <c r="BY1056" i="57"/>
  <c r="BY1057" i="57"/>
  <c r="BY1058" i="57"/>
  <c r="BY1059" i="57"/>
  <c r="BY1060" i="57"/>
  <c r="BY1061" i="57"/>
  <c r="BY1062" i="57"/>
  <c r="BY1063" i="57"/>
  <c r="BY1064" i="57"/>
  <c r="BY1065" i="57"/>
  <c r="BY1066" i="57"/>
  <c r="BY1067" i="57"/>
  <c r="BY1068" i="57"/>
  <c r="BY1069" i="57"/>
  <c r="BY1070" i="57"/>
  <c r="BY1071" i="57"/>
  <c r="BY1072" i="57"/>
  <c r="BY1073" i="57"/>
  <c r="BY1074" i="57"/>
  <c r="BY1075" i="57"/>
  <c r="BY1076" i="57"/>
  <c r="BY1077" i="57"/>
  <c r="BY1078" i="57"/>
  <c r="BY1079" i="57"/>
  <c r="BY1080" i="57"/>
  <c r="BY1081" i="57"/>
  <c r="BY1082" i="57"/>
  <c r="BY1083" i="57"/>
  <c r="BY1084" i="57"/>
  <c r="BY1085" i="57"/>
  <c r="BY1086" i="57"/>
  <c r="BY1087" i="57"/>
  <c r="BY1088" i="57"/>
  <c r="BY1089" i="57"/>
  <c r="BY1090" i="57"/>
  <c r="BY1091" i="57"/>
  <c r="BY1092" i="57"/>
  <c r="BY1093" i="57"/>
  <c r="BY1094" i="57"/>
  <c r="BY1095" i="57"/>
  <c r="BY1096" i="57"/>
  <c r="BY1097" i="57"/>
  <c r="BY1098" i="57"/>
  <c r="BY1099" i="57"/>
  <c r="BY1100" i="57"/>
  <c r="BY1101" i="57"/>
  <c r="BY1102" i="57"/>
  <c r="BY1103" i="57"/>
  <c r="BY1104" i="57"/>
  <c r="BY1105" i="57"/>
  <c r="BY1106" i="57"/>
  <c r="BY1107" i="57"/>
  <c r="BY1108" i="57"/>
  <c r="BY1109" i="57"/>
  <c r="BY1110" i="57"/>
  <c r="BY1111" i="57"/>
  <c r="BY1112" i="57"/>
  <c r="BY1113" i="57"/>
  <c r="BY1114" i="57"/>
  <c r="BY1115" i="57"/>
  <c r="BY1116" i="57"/>
  <c r="BY1117" i="57"/>
  <c r="BY1118" i="57"/>
  <c r="BY1119" i="57"/>
  <c r="BY1120" i="57"/>
  <c r="BY1121" i="57"/>
  <c r="BY1122" i="57"/>
  <c r="BY1123" i="57"/>
  <c r="BY1124" i="57"/>
  <c r="BY1125" i="57"/>
  <c r="BY1126" i="57"/>
  <c r="BY1127" i="57"/>
  <c r="BY1128" i="57"/>
  <c r="BY1129" i="57"/>
  <c r="BY1130" i="57"/>
  <c r="BY1131" i="57"/>
  <c r="BY1132" i="57"/>
  <c r="BY1133" i="57"/>
  <c r="BY1134" i="57"/>
  <c r="BY1135" i="57"/>
  <c r="BY1136" i="57"/>
  <c r="BY1137" i="57"/>
  <c r="BY1138" i="57"/>
  <c r="BY1139" i="57"/>
  <c r="BY1140" i="57"/>
  <c r="BY1141" i="57"/>
  <c r="BY1142" i="57"/>
  <c r="BY1143" i="57"/>
  <c r="BY1144" i="57"/>
  <c r="BY1145" i="57"/>
  <c r="BY1146" i="57"/>
  <c r="BY1147" i="57"/>
  <c r="BY1148" i="57"/>
  <c r="BY1149" i="57"/>
  <c r="BY1150" i="57"/>
  <c r="BY1151" i="57"/>
  <c r="BY1152" i="57"/>
  <c r="BY1153" i="57"/>
  <c r="BY1154" i="57"/>
  <c r="BY1155" i="57"/>
  <c r="BY1156" i="57"/>
  <c r="BY1157" i="57"/>
  <c r="BY1158" i="57"/>
  <c r="BY1159" i="57"/>
  <c r="BY1160" i="57"/>
  <c r="BY1161" i="57"/>
  <c r="BY1162" i="57"/>
  <c r="BY1163" i="57"/>
  <c r="BY1164" i="57"/>
  <c r="BY1165" i="57"/>
  <c r="BY1166" i="57"/>
  <c r="BY1167" i="57"/>
  <c r="BY1168" i="57"/>
  <c r="BY1169" i="57"/>
  <c r="BY1170" i="57"/>
  <c r="BY1171" i="57"/>
  <c r="BY1172" i="57"/>
  <c r="BY1173" i="57"/>
  <c r="BY1174" i="57"/>
  <c r="BY1175" i="57"/>
  <c r="BY1176" i="57"/>
  <c r="BY1177" i="57"/>
  <c r="BY1178" i="57"/>
  <c r="BY1179" i="57"/>
  <c r="BY1180" i="57"/>
  <c r="BY1181" i="57"/>
  <c r="BY1182" i="57"/>
  <c r="BY1183" i="57"/>
  <c r="BY1184" i="57"/>
  <c r="BY1185" i="57"/>
  <c r="BY1186" i="57"/>
  <c r="BY1187" i="57"/>
  <c r="BY1188" i="57"/>
  <c r="BY1189" i="57"/>
  <c r="BY1190" i="57"/>
  <c r="BY1191" i="57"/>
  <c r="BY1192" i="57"/>
  <c r="BY1193" i="57"/>
  <c r="BY1194" i="57"/>
  <c r="BY1195" i="57"/>
  <c r="BY1196" i="57"/>
  <c r="BY1197" i="57"/>
  <c r="BY1198" i="57"/>
  <c r="BY1199" i="57"/>
  <c r="BY1200" i="57"/>
  <c r="BY1201" i="57"/>
  <c r="BY1202" i="57"/>
  <c r="BY1203" i="57"/>
  <c r="BY1204" i="57"/>
  <c r="BY1205" i="57"/>
  <c r="BY1206" i="57"/>
  <c r="BY1207" i="57"/>
  <c r="BY1208" i="57"/>
  <c r="BY1209" i="57"/>
  <c r="BY1210" i="57"/>
  <c r="BY1211" i="57"/>
  <c r="BY1212" i="57"/>
  <c r="BY1213" i="57"/>
  <c r="BY1214" i="57"/>
  <c r="BY1215" i="57"/>
  <c r="BY1216" i="57"/>
  <c r="BY1217" i="57"/>
  <c r="BY1218" i="57"/>
  <c r="BY1219" i="57"/>
  <c r="BY1220" i="57"/>
  <c r="BY1221" i="57"/>
  <c r="BY1222" i="57"/>
  <c r="BY1223" i="57"/>
  <c r="BY1224" i="57"/>
  <c r="BY1225" i="57"/>
  <c r="BY1226" i="57"/>
  <c r="BY1227" i="57"/>
  <c r="BY1228" i="57"/>
  <c r="BY1229" i="57"/>
  <c r="BY1230" i="57"/>
  <c r="BY1231" i="57"/>
  <c r="BY1232" i="57"/>
  <c r="BY1233" i="57"/>
  <c r="BY1234" i="57"/>
  <c r="BY1235" i="57"/>
  <c r="BY1236" i="57"/>
  <c r="BY1237" i="57"/>
  <c r="BY1238" i="57"/>
  <c r="BY1239" i="57"/>
  <c r="BY1240" i="57"/>
  <c r="BY1241" i="57"/>
  <c r="BY1242" i="57"/>
  <c r="BY1243" i="57"/>
  <c r="BY1244" i="57"/>
  <c r="BY1245" i="57"/>
  <c r="BY1246" i="57"/>
  <c r="BY1247" i="57"/>
  <c r="BY1248" i="57"/>
  <c r="BY1249" i="57"/>
  <c r="BY1250" i="57"/>
  <c r="BY1251" i="57"/>
  <c r="BY1252" i="57"/>
  <c r="BY1253" i="57"/>
  <c r="BY1254" i="57"/>
  <c r="BY1255" i="57"/>
  <c r="BY1256" i="57"/>
  <c r="BY1257" i="57"/>
  <c r="BY1258" i="57"/>
  <c r="BY1259" i="57"/>
  <c r="BY1260" i="57"/>
  <c r="BY1261" i="57"/>
  <c r="BY1262" i="57"/>
  <c r="BY1263" i="57"/>
  <c r="BY1264" i="57"/>
  <c r="BY1265" i="57"/>
  <c r="BY1266" i="57"/>
  <c r="BY1267" i="57"/>
  <c r="BY1268" i="57"/>
  <c r="BY1269" i="57"/>
  <c r="BY1270" i="57"/>
  <c r="BY1271" i="57"/>
  <c r="BY1272" i="57"/>
  <c r="BY1273" i="57"/>
  <c r="BY1274" i="57"/>
  <c r="BY1275" i="57"/>
  <c r="BY1276" i="57"/>
  <c r="BY1277" i="57"/>
  <c r="BY1278" i="57"/>
  <c r="BY1279" i="57"/>
  <c r="BY1280" i="57"/>
  <c r="BY1281" i="57"/>
  <c r="BY1282" i="57"/>
  <c r="BY1283" i="57"/>
  <c r="BY1284" i="57"/>
  <c r="BY1285" i="57"/>
  <c r="BY1286" i="57"/>
  <c r="BY1287" i="57"/>
  <c r="BY1288" i="57"/>
  <c r="BY1289" i="57"/>
  <c r="BY1290" i="57"/>
  <c r="BY1291" i="57"/>
  <c r="BY1292" i="57"/>
  <c r="BY1293" i="57"/>
  <c r="BY1294" i="57"/>
  <c r="BY1295" i="57"/>
  <c r="BY1296" i="57"/>
  <c r="BY1297" i="57"/>
  <c r="BY1298" i="57"/>
  <c r="BY1299" i="57"/>
  <c r="BY1300" i="57"/>
  <c r="BY1301" i="57"/>
  <c r="BY1302" i="57"/>
  <c r="BY1303" i="57"/>
  <c r="BY1304" i="57"/>
  <c r="BY1305" i="57"/>
  <c r="BY1306" i="57"/>
  <c r="BY1307" i="57"/>
  <c r="BY1308" i="57"/>
  <c r="BY1309" i="57"/>
  <c r="BY1310" i="57"/>
  <c r="BY1311" i="57"/>
  <c r="BY1312" i="57"/>
  <c r="BY1313" i="57"/>
  <c r="BY1314" i="57"/>
  <c r="BY1315" i="57"/>
  <c r="BY1316" i="57"/>
  <c r="BY1317" i="57"/>
  <c r="BY1318" i="57"/>
  <c r="BY1319" i="57"/>
  <c r="BY1320" i="57"/>
  <c r="BY1321" i="57"/>
  <c r="BY1322" i="57"/>
  <c r="BY1323" i="57"/>
  <c r="BY1324" i="57"/>
  <c r="BY1325" i="57"/>
  <c r="BY1326" i="57"/>
  <c r="BY1327" i="57"/>
  <c r="BY1328" i="57"/>
  <c r="BY1329" i="57"/>
  <c r="BY1330" i="57"/>
  <c r="BY1331" i="57"/>
  <c r="BY1332" i="57"/>
  <c r="BY1333" i="57"/>
  <c r="BY1334" i="57"/>
  <c r="BY1335" i="57"/>
  <c r="BY1336" i="57"/>
  <c r="BY1337" i="57"/>
  <c r="BY1338" i="57"/>
  <c r="BY1339" i="57"/>
  <c r="BY1340" i="57"/>
  <c r="BY1341" i="57"/>
  <c r="BY1342" i="57"/>
  <c r="BY1343" i="57"/>
  <c r="BY1344" i="57"/>
  <c r="BY1345" i="57"/>
  <c r="BY1346" i="57"/>
  <c r="BY1347" i="57"/>
  <c r="BY1348" i="57"/>
  <c r="BY1349" i="57"/>
  <c r="BY1350" i="57"/>
  <c r="BY1351" i="57"/>
  <c r="BY1352" i="57"/>
  <c r="BY1353" i="57"/>
  <c r="BY1354" i="57"/>
  <c r="BY1355" i="57"/>
  <c r="BY1356" i="57"/>
  <c r="BY1357" i="57"/>
  <c r="BY1358" i="57"/>
  <c r="BY1359" i="57"/>
  <c r="BY1360" i="57"/>
  <c r="BY1361" i="57"/>
  <c r="BY1362" i="57"/>
  <c r="BY1363" i="57"/>
  <c r="BY1364" i="57"/>
  <c r="BY1365" i="57"/>
  <c r="BY1366" i="57"/>
  <c r="BY1367" i="57"/>
  <c r="BY1368" i="57"/>
  <c r="BY1369" i="57"/>
  <c r="BY1370" i="57"/>
  <c r="BY1371" i="57"/>
  <c r="BY1372" i="57"/>
  <c r="BY1373" i="57"/>
  <c r="BY1374" i="57"/>
  <c r="BY1375" i="57"/>
  <c r="BY1376" i="57"/>
  <c r="BY1377" i="57"/>
  <c r="BY1378" i="57"/>
  <c r="BY1379" i="57"/>
  <c r="BY1380" i="57"/>
  <c r="BY1381" i="57"/>
  <c r="BY1382" i="57"/>
  <c r="BY1383" i="57"/>
  <c r="BY1384" i="57"/>
  <c r="BY1385" i="57"/>
  <c r="BY1386" i="57"/>
  <c r="BY1387" i="57"/>
  <c r="BY1388" i="57"/>
  <c r="BY1389" i="57"/>
  <c r="BY1390" i="57"/>
  <c r="BY1391" i="57"/>
  <c r="BY1392" i="57"/>
  <c r="BY1393" i="57"/>
  <c r="BY1394" i="57"/>
  <c r="BY1395" i="57"/>
  <c r="BY1396" i="57"/>
  <c r="BY1397" i="57"/>
  <c r="BY1398" i="57"/>
  <c r="BY1399" i="57"/>
  <c r="BY1400" i="57"/>
  <c r="BY1401" i="57"/>
  <c r="BY1402" i="57"/>
  <c r="BY1403" i="57"/>
  <c r="BY1404" i="57"/>
  <c r="BY1405" i="57"/>
  <c r="BY1406" i="57"/>
  <c r="BY1407" i="57"/>
  <c r="BY1408" i="57"/>
  <c r="BY1409" i="57"/>
  <c r="BY1410" i="57"/>
  <c r="BY1411" i="57"/>
  <c r="BY1412" i="57"/>
  <c r="BY1413" i="57"/>
  <c r="BY1414" i="57"/>
  <c r="BY1415" i="57"/>
  <c r="BY1416" i="57"/>
  <c r="BY1417" i="57"/>
  <c r="BY1418" i="57"/>
  <c r="BY1419" i="57"/>
  <c r="BY1420" i="57"/>
  <c r="BY1421" i="57"/>
  <c r="BY1422" i="57"/>
  <c r="BY1423" i="57"/>
  <c r="BY1424" i="57"/>
  <c r="BY1425" i="57"/>
  <c r="BY1426" i="57"/>
  <c r="BY1427" i="57"/>
  <c r="BY1428" i="57"/>
  <c r="BY1429" i="57"/>
  <c r="BY1430" i="57"/>
  <c r="BY1431" i="57"/>
  <c r="BY1432" i="57"/>
  <c r="BY1433" i="57"/>
  <c r="BY1434" i="57"/>
  <c r="BY1435" i="57"/>
  <c r="BY1436" i="57"/>
  <c r="BY1437" i="57"/>
  <c r="BY1438" i="57"/>
  <c r="BY1439" i="57"/>
  <c r="BY1440" i="57"/>
  <c r="BY1441" i="57"/>
  <c r="BY1442" i="57"/>
  <c r="BY1443" i="57"/>
  <c r="BY1444" i="57"/>
  <c r="BY1445" i="57"/>
  <c r="BY1446" i="57"/>
  <c r="BY1447" i="57"/>
  <c r="BY1448" i="57"/>
  <c r="BY1449" i="57"/>
  <c r="BY1450" i="57"/>
  <c r="BY1451" i="57"/>
  <c r="BY1452" i="57"/>
  <c r="BY1453" i="57"/>
  <c r="BY1454" i="57"/>
  <c r="BY1455" i="57"/>
  <c r="BY1456" i="57"/>
  <c r="BY1457" i="57"/>
  <c r="BY1458" i="57"/>
  <c r="BY1459" i="57"/>
  <c r="BY1460" i="57"/>
  <c r="BY1461" i="57"/>
  <c r="BY1462" i="57"/>
  <c r="BY1463" i="57"/>
  <c r="BY1464" i="57"/>
  <c r="BY1465" i="57"/>
  <c r="BY1466" i="57"/>
  <c r="BY1467" i="57"/>
  <c r="BY1468" i="57"/>
  <c r="BY1469" i="57"/>
  <c r="BY1470" i="57"/>
  <c r="BY1471" i="57"/>
  <c r="BY1472" i="57"/>
  <c r="BY1473" i="57"/>
  <c r="BY1474" i="57"/>
  <c r="BY1475" i="57"/>
  <c r="BY1476" i="57"/>
  <c r="BY1477" i="57"/>
  <c r="BY1478" i="57"/>
  <c r="BY1479" i="57"/>
  <c r="BY1480" i="57"/>
  <c r="BY1481" i="57"/>
  <c r="BY1482" i="57"/>
  <c r="BY1483" i="57"/>
  <c r="BY1484" i="57"/>
  <c r="BY1485" i="57"/>
  <c r="BY1486" i="57"/>
  <c r="BY1487" i="57"/>
  <c r="BY1488" i="57"/>
  <c r="BY1489" i="57"/>
  <c r="BY1490" i="57"/>
  <c r="BY1491" i="57"/>
  <c r="BY1492" i="57"/>
  <c r="BY1493" i="57"/>
  <c r="BY1494" i="57"/>
  <c r="BY1495" i="57"/>
  <c r="BY1496" i="57"/>
  <c r="BY1497" i="57"/>
  <c r="BY1498" i="57"/>
  <c r="BY1499" i="57"/>
  <c r="BY1500" i="57"/>
  <c r="BY1501" i="57"/>
  <c r="BY1502" i="57"/>
  <c r="BY1503" i="57"/>
  <c r="BY1504" i="57"/>
  <c r="BY1505" i="57"/>
  <c r="BY1506" i="57"/>
  <c r="BY1507" i="57"/>
  <c r="BY1508" i="57"/>
  <c r="BY1509" i="57"/>
  <c r="BY1510" i="57"/>
  <c r="BY1511" i="57"/>
  <c r="BY1512" i="57"/>
  <c r="BY1513" i="57"/>
  <c r="BY1514" i="57"/>
  <c r="BY1515" i="57"/>
  <c r="BY1516" i="57"/>
  <c r="BY1517" i="57"/>
  <c r="BY1518" i="57"/>
  <c r="BY1519" i="57"/>
  <c r="BY1520" i="57"/>
  <c r="BY1521" i="57"/>
  <c r="BY1522" i="57"/>
  <c r="BY1523" i="57"/>
  <c r="BY1524" i="57"/>
  <c r="BY1525" i="57"/>
  <c r="BY1526" i="57"/>
  <c r="BY1527" i="57"/>
  <c r="BY1528" i="57"/>
  <c r="BY1529" i="57"/>
  <c r="BY1530" i="57"/>
  <c r="BY1531" i="57"/>
  <c r="BY1532" i="57"/>
  <c r="BY1533" i="57"/>
  <c r="BY1534" i="57"/>
  <c r="BY1535" i="57"/>
  <c r="BY1536" i="57"/>
  <c r="BY1537" i="57"/>
  <c r="BY1538" i="57"/>
  <c r="BY1539" i="57"/>
  <c r="BY1540" i="57"/>
  <c r="BY1541" i="57"/>
  <c r="BY1542" i="57"/>
  <c r="BY1543" i="57"/>
  <c r="BY1544" i="57"/>
  <c r="BY1545" i="57"/>
  <c r="BY1546" i="57"/>
  <c r="BY1547" i="57"/>
  <c r="BY1548" i="57"/>
  <c r="BY1549" i="57"/>
  <c r="BY1550" i="57"/>
  <c r="BY1551" i="57"/>
  <c r="BY1552" i="57"/>
  <c r="BY1553" i="57"/>
  <c r="BY1554" i="57"/>
  <c r="BY1555" i="57"/>
  <c r="BY1556" i="57"/>
  <c r="BY1557" i="57"/>
  <c r="BY1558" i="57"/>
  <c r="BY1559" i="57"/>
  <c r="BY1560" i="57"/>
  <c r="BY1561" i="57"/>
  <c r="BY1562" i="57"/>
  <c r="BY1563" i="57"/>
  <c r="BY1564" i="57"/>
  <c r="BY1565" i="57"/>
  <c r="BY1566" i="57"/>
  <c r="BY1567" i="57"/>
  <c r="BY1568" i="57"/>
  <c r="BY1569" i="57"/>
  <c r="BY1570" i="57"/>
  <c r="BY1571" i="57"/>
  <c r="BY1572" i="57"/>
  <c r="W6" i="39"/>
  <c r="AD127" i="45" l="1"/>
  <c r="J127" i="45" s="1"/>
  <c r="AD126" i="45"/>
  <c r="J126" i="45" s="1"/>
  <c r="AD125" i="45"/>
  <c r="J125" i="45" s="1"/>
  <c r="AD124" i="45"/>
  <c r="J124" i="45" s="1"/>
  <c r="AD123" i="45"/>
  <c r="J123" i="45" s="1"/>
  <c r="AD122" i="45"/>
  <c r="J122" i="45" s="1"/>
  <c r="AD121" i="45"/>
  <c r="J121" i="45" s="1"/>
  <c r="AD120" i="45"/>
  <c r="J120" i="45" s="1"/>
  <c r="AD119" i="45"/>
  <c r="J119" i="45" s="1"/>
  <c r="AD118" i="45"/>
  <c r="J118" i="45" s="1"/>
  <c r="AD117" i="45"/>
  <c r="J117" i="45" s="1"/>
  <c r="AD116" i="45"/>
  <c r="J116" i="45" s="1"/>
  <c r="AD115" i="45"/>
  <c r="J115" i="45" s="1"/>
  <c r="AD114" i="45"/>
  <c r="J114" i="45" s="1"/>
  <c r="AD113" i="45"/>
  <c r="J113" i="45" s="1"/>
  <c r="AD112" i="45"/>
  <c r="J112" i="45" s="1"/>
  <c r="AD111" i="45"/>
  <c r="J111" i="45" s="1"/>
  <c r="AD110" i="45"/>
  <c r="J110" i="45" s="1"/>
  <c r="AD109" i="45"/>
  <c r="J109" i="45" s="1"/>
  <c r="AD108" i="45"/>
  <c r="J108" i="45" s="1"/>
  <c r="AD107" i="45"/>
  <c r="J107" i="45" s="1"/>
  <c r="AD105" i="45"/>
  <c r="J105" i="45" s="1"/>
  <c r="AD104" i="45"/>
  <c r="J104" i="45" s="1"/>
  <c r="AD103" i="45"/>
  <c r="J103" i="45" s="1"/>
  <c r="AD102" i="45"/>
  <c r="J102" i="45" s="1"/>
  <c r="AD101" i="45"/>
  <c r="J101" i="45" s="1"/>
  <c r="AD100" i="45"/>
  <c r="J100" i="45" s="1"/>
  <c r="AD99" i="45"/>
  <c r="J99" i="45" s="1"/>
  <c r="AD97" i="45"/>
  <c r="J97" i="45" s="1"/>
  <c r="AD96" i="45"/>
  <c r="J96" i="45" s="1"/>
  <c r="AD95" i="45"/>
  <c r="J95" i="45" s="1"/>
  <c r="AD94" i="45"/>
  <c r="J94" i="45" s="1"/>
  <c r="AD93" i="45"/>
  <c r="J93" i="45" s="1"/>
  <c r="AD92" i="45"/>
  <c r="J92" i="45" s="1"/>
  <c r="AD90" i="45"/>
  <c r="J90" i="45" s="1"/>
  <c r="AD89" i="45"/>
  <c r="J89" i="45" s="1"/>
  <c r="AD88" i="45"/>
  <c r="J88" i="45" s="1"/>
  <c r="AD87" i="45"/>
  <c r="J87" i="45" s="1"/>
  <c r="AD86" i="45"/>
  <c r="J86" i="45" s="1"/>
  <c r="AD85" i="45"/>
  <c r="J85" i="45" s="1"/>
  <c r="AD83" i="45"/>
  <c r="J83" i="45" s="1"/>
  <c r="AD82" i="45"/>
  <c r="J82" i="45" s="1"/>
  <c r="AD81" i="45"/>
  <c r="J81" i="45" s="1"/>
  <c r="AD80" i="45"/>
  <c r="J80" i="45" s="1"/>
  <c r="AD79" i="45"/>
  <c r="J79" i="45" s="1"/>
  <c r="AD78" i="45"/>
  <c r="J78" i="45" s="1"/>
  <c r="AD77" i="45"/>
  <c r="J77" i="45" s="1"/>
  <c r="AC127" i="45"/>
  <c r="I127" i="45" s="1"/>
  <c r="AC126" i="45"/>
  <c r="I126" i="45" s="1"/>
  <c r="AC125" i="45"/>
  <c r="I125" i="45" s="1"/>
  <c r="AC124" i="45"/>
  <c r="I124" i="45" s="1"/>
  <c r="AC123" i="45"/>
  <c r="I123" i="45" s="1"/>
  <c r="AC122" i="45"/>
  <c r="I122" i="45" s="1"/>
  <c r="AC121" i="45"/>
  <c r="I121" i="45" s="1"/>
  <c r="AC120" i="45"/>
  <c r="I120" i="45" s="1"/>
  <c r="AC119" i="45"/>
  <c r="I119" i="45" s="1"/>
  <c r="AC118" i="45"/>
  <c r="I118" i="45" s="1"/>
  <c r="AC117" i="45"/>
  <c r="I117" i="45" s="1"/>
  <c r="AC116" i="45"/>
  <c r="I116" i="45" s="1"/>
  <c r="AC115" i="45"/>
  <c r="I115" i="45" s="1"/>
  <c r="AC114" i="45"/>
  <c r="I114" i="45" s="1"/>
  <c r="AC113" i="45"/>
  <c r="I113" i="45" s="1"/>
  <c r="AC112" i="45"/>
  <c r="I112" i="45" s="1"/>
  <c r="AC111" i="45"/>
  <c r="I111" i="45" s="1"/>
  <c r="AC110" i="45"/>
  <c r="I110" i="45" s="1"/>
  <c r="AC109" i="45"/>
  <c r="I109" i="45" s="1"/>
  <c r="AC108" i="45"/>
  <c r="I108" i="45" s="1"/>
  <c r="AC107" i="45"/>
  <c r="I107" i="45" s="1"/>
  <c r="AC105" i="45"/>
  <c r="I105" i="45" s="1"/>
  <c r="AC104" i="45"/>
  <c r="I104" i="45" s="1"/>
  <c r="AC103" i="45"/>
  <c r="I103" i="45" s="1"/>
  <c r="AC102" i="45"/>
  <c r="I102" i="45" s="1"/>
  <c r="AC101" i="45"/>
  <c r="I101" i="45" s="1"/>
  <c r="AC100" i="45"/>
  <c r="I100" i="45" s="1"/>
  <c r="AC99" i="45"/>
  <c r="I99" i="45" s="1"/>
  <c r="AC97" i="45"/>
  <c r="I97" i="45" s="1"/>
  <c r="AC96" i="45"/>
  <c r="I96" i="45" s="1"/>
  <c r="AC95" i="45"/>
  <c r="I95" i="45" s="1"/>
  <c r="AC94" i="45"/>
  <c r="I94" i="45" s="1"/>
  <c r="AC93" i="45"/>
  <c r="I93" i="45" s="1"/>
  <c r="AC92" i="45"/>
  <c r="I92" i="45" s="1"/>
  <c r="AC90" i="45"/>
  <c r="I90" i="45" s="1"/>
  <c r="AC89" i="45"/>
  <c r="I89" i="45" s="1"/>
  <c r="AC88" i="45"/>
  <c r="I88" i="45" s="1"/>
  <c r="AC87" i="45"/>
  <c r="I87" i="45" s="1"/>
  <c r="AC86" i="45"/>
  <c r="I86" i="45" s="1"/>
  <c r="AC85" i="45"/>
  <c r="I85" i="45" s="1"/>
  <c r="AC83" i="45"/>
  <c r="I83" i="45" s="1"/>
  <c r="AC82" i="45"/>
  <c r="I82" i="45" s="1"/>
  <c r="AC81" i="45"/>
  <c r="I81" i="45" s="1"/>
  <c r="AC80" i="45"/>
  <c r="I80" i="45" s="1"/>
  <c r="AC79" i="45"/>
  <c r="I79" i="45" s="1"/>
  <c r="AC78" i="45"/>
  <c r="I78" i="45" s="1"/>
  <c r="AC77" i="45"/>
  <c r="I77" i="45" s="1"/>
  <c r="AC75" i="45"/>
  <c r="I75" i="45" s="1"/>
  <c r="AC74" i="45"/>
  <c r="I74" i="45" s="1"/>
  <c r="AC72" i="45"/>
  <c r="I72" i="45" s="1"/>
  <c r="AK136" i="56" s="1"/>
  <c r="AB127" i="45"/>
  <c r="H127" i="45" s="1"/>
  <c r="AB126" i="45"/>
  <c r="H126" i="45" s="1"/>
  <c r="AB125" i="45"/>
  <c r="H125" i="45" s="1"/>
  <c r="AB124" i="45"/>
  <c r="H124" i="45" s="1"/>
  <c r="AB123" i="45"/>
  <c r="H123" i="45" s="1"/>
  <c r="AB122" i="45"/>
  <c r="H122" i="45" s="1"/>
  <c r="AB121" i="45"/>
  <c r="H121" i="45" s="1"/>
  <c r="AB120" i="45"/>
  <c r="H120" i="45" s="1"/>
  <c r="AB119" i="45"/>
  <c r="H119" i="45" s="1"/>
  <c r="AB118" i="45"/>
  <c r="H118" i="45" s="1"/>
  <c r="AB117" i="45"/>
  <c r="H117" i="45" s="1"/>
  <c r="AB116" i="45"/>
  <c r="H116" i="45" s="1"/>
  <c r="AB115" i="45"/>
  <c r="H115" i="45" s="1"/>
  <c r="AB114" i="45"/>
  <c r="H114" i="45" s="1"/>
  <c r="AB113" i="45"/>
  <c r="H113" i="45" s="1"/>
  <c r="AB112" i="45"/>
  <c r="H112" i="45" s="1"/>
  <c r="AB111" i="45"/>
  <c r="H111" i="45" s="1"/>
  <c r="AB110" i="45"/>
  <c r="H110" i="45" s="1"/>
  <c r="AB109" i="45"/>
  <c r="H109" i="45" s="1"/>
  <c r="AB108" i="45"/>
  <c r="H108" i="45" s="1"/>
  <c r="AB107" i="45"/>
  <c r="H107" i="45" s="1"/>
  <c r="AB105" i="45"/>
  <c r="H105" i="45" s="1"/>
  <c r="AB104" i="45"/>
  <c r="H104" i="45" s="1"/>
  <c r="AB103" i="45"/>
  <c r="H103" i="45" s="1"/>
  <c r="AB102" i="45"/>
  <c r="H102" i="45" s="1"/>
  <c r="AB101" i="45"/>
  <c r="H101" i="45" s="1"/>
  <c r="AB100" i="45"/>
  <c r="H100" i="45" s="1"/>
  <c r="AB99" i="45"/>
  <c r="H99" i="45" s="1"/>
  <c r="AB97" i="45"/>
  <c r="H97" i="45" s="1"/>
  <c r="AB96" i="45"/>
  <c r="H96" i="45" s="1"/>
  <c r="AB95" i="45"/>
  <c r="H95" i="45" s="1"/>
  <c r="AB94" i="45"/>
  <c r="H94" i="45" s="1"/>
  <c r="AB93" i="45"/>
  <c r="H93" i="45" s="1"/>
  <c r="AB92" i="45"/>
  <c r="H92" i="45" s="1"/>
  <c r="AB90" i="45"/>
  <c r="H90" i="45" s="1"/>
  <c r="AB89" i="45"/>
  <c r="H89" i="45" s="1"/>
  <c r="AB88" i="45"/>
  <c r="H88" i="45" s="1"/>
  <c r="AB87" i="45"/>
  <c r="H87" i="45" s="1"/>
  <c r="AB86" i="45"/>
  <c r="H86" i="45" s="1"/>
  <c r="AB85" i="45"/>
  <c r="H85" i="45" s="1"/>
  <c r="AB83" i="45"/>
  <c r="H83" i="45" s="1"/>
  <c r="AB82" i="45"/>
  <c r="H82" i="45" s="1"/>
  <c r="AB81" i="45"/>
  <c r="H81" i="45" s="1"/>
  <c r="AB80" i="45"/>
  <c r="H80" i="45" s="1"/>
  <c r="AB79" i="45"/>
  <c r="H79" i="45" s="1"/>
  <c r="AB78" i="45"/>
  <c r="H78" i="45" s="1"/>
  <c r="AB77" i="45"/>
  <c r="H77" i="45" s="1"/>
  <c r="AB75" i="45"/>
  <c r="H75" i="45" s="1"/>
  <c r="AB74" i="45"/>
  <c r="H74" i="45" s="1"/>
  <c r="AB72" i="45"/>
  <c r="H72" i="45" s="1"/>
  <c r="AK135" i="56" s="1"/>
  <c r="AA127" i="45"/>
  <c r="G127" i="45" s="1"/>
  <c r="AA126" i="45"/>
  <c r="G126" i="45" s="1"/>
  <c r="AA125" i="45"/>
  <c r="G125" i="45" s="1"/>
  <c r="AA124" i="45"/>
  <c r="G124" i="45" s="1"/>
  <c r="AA123" i="45"/>
  <c r="G123" i="45" s="1"/>
  <c r="AA122" i="45"/>
  <c r="G122" i="45" s="1"/>
  <c r="AA121" i="45"/>
  <c r="G121" i="45" s="1"/>
  <c r="AA120" i="45"/>
  <c r="G120" i="45" s="1"/>
  <c r="AA119" i="45"/>
  <c r="G119" i="45" s="1"/>
  <c r="AA118" i="45"/>
  <c r="G118" i="45" s="1"/>
  <c r="AA117" i="45"/>
  <c r="G117" i="45" s="1"/>
  <c r="AA116" i="45"/>
  <c r="G116" i="45" s="1"/>
  <c r="AA115" i="45"/>
  <c r="G115" i="45" s="1"/>
  <c r="AA114" i="45"/>
  <c r="G114" i="45" s="1"/>
  <c r="AA113" i="45"/>
  <c r="G113" i="45" s="1"/>
  <c r="AA112" i="45"/>
  <c r="G112" i="45" s="1"/>
  <c r="AA111" i="45"/>
  <c r="G111" i="45" s="1"/>
  <c r="AA110" i="45"/>
  <c r="G110" i="45" s="1"/>
  <c r="AA109" i="45"/>
  <c r="G109" i="45" s="1"/>
  <c r="AA108" i="45"/>
  <c r="G108" i="45" s="1"/>
  <c r="AA107" i="45"/>
  <c r="G107" i="45" s="1"/>
  <c r="AA105" i="45"/>
  <c r="G105" i="45" s="1"/>
  <c r="AA104" i="45"/>
  <c r="G104" i="45" s="1"/>
  <c r="AA103" i="45"/>
  <c r="G103" i="45" s="1"/>
  <c r="AA102" i="45"/>
  <c r="G102" i="45" s="1"/>
  <c r="AA101" i="45"/>
  <c r="G101" i="45" s="1"/>
  <c r="AA100" i="45"/>
  <c r="G100" i="45" s="1"/>
  <c r="AA99" i="45"/>
  <c r="G99" i="45" s="1"/>
  <c r="AA97" i="45"/>
  <c r="G97" i="45" s="1"/>
  <c r="AA96" i="45"/>
  <c r="G96" i="45" s="1"/>
  <c r="AA95" i="45"/>
  <c r="G95" i="45" s="1"/>
  <c r="AA94" i="45"/>
  <c r="G94" i="45" s="1"/>
  <c r="AA93" i="45"/>
  <c r="G93" i="45" s="1"/>
  <c r="AA92" i="45"/>
  <c r="G92" i="45" s="1"/>
  <c r="AA90" i="45"/>
  <c r="G90" i="45" s="1"/>
  <c r="AA89" i="45"/>
  <c r="G89" i="45" s="1"/>
  <c r="AA88" i="45"/>
  <c r="G88" i="45" s="1"/>
  <c r="AA87" i="45"/>
  <c r="G87" i="45" s="1"/>
  <c r="AA86" i="45"/>
  <c r="G86" i="45" s="1"/>
  <c r="AA85" i="45"/>
  <c r="G85" i="45" s="1"/>
  <c r="AA83" i="45"/>
  <c r="G83" i="45" s="1"/>
  <c r="AA82" i="45"/>
  <c r="G82" i="45" s="1"/>
  <c r="AA81" i="45"/>
  <c r="G81" i="45" s="1"/>
  <c r="AA80" i="45"/>
  <c r="G80" i="45" s="1"/>
  <c r="AA79" i="45"/>
  <c r="G79" i="45" s="1"/>
  <c r="AA78" i="45"/>
  <c r="G78" i="45" s="1"/>
  <c r="AA77" i="45"/>
  <c r="G77" i="45" s="1"/>
  <c r="AA75" i="45"/>
  <c r="G75" i="45" s="1"/>
  <c r="AA74" i="45"/>
  <c r="G74" i="45" s="1"/>
  <c r="AA72" i="45"/>
  <c r="G72" i="45" s="1"/>
  <c r="AK134" i="56" s="1"/>
  <c r="AD75" i="45"/>
  <c r="J75" i="45" s="1"/>
  <c r="W72" i="45"/>
  <c r="C72" i="45" s="1"/>
  <c r="AC135" i="56" s="1"/>
  <c r="X74" i="45"/>
  <c r="D74" i="45" s="1"/>
  <c r="Y75" i="45"/>
  <c r="E75" i="45" s="1"/>
  <c r="W78" i="45"/>
  <c r="C78" i="45" s="1"/>
  <c r="X79" i="45"/>
  <c r="D79" i="45" s="1"/>
  <c r="Y80" i="45"/>
  <c r="E80" i="45" s="1"/>
  <c r="W82" i="45"/>
  <c r="C82" i="45" s="1"/>
  <c r="X83" i="45"/>
  <c r="D83" i="45" s="1"/>
  <c r="Y85" i="45"/>
  <c r="E85" i="45" s="1"/>
  <c r="W87" i="45"/>
  <c r="C87" i="45" s="1"/>
  <c r="X88" i="45"/>
  <c r="D88" i="45" s="1"/>
  <c r="Y89" i="45"/>
  <c r="E89" i="45" s="1"/>
  <c r="W92" i="45"/>
  <c r="C92" i="45" s="1"/>
  <c r="X93" i="45"/>
  <c r="D93" i="45" s="1"/>
  <c r="Y94" i="45"/>
  <c r="E94" i="45" s="1"/>
  <c r="W96" i="45"/>
  <c r="C96" i="45" s="1"/>
  <c r="X97" i="45"/>
  <c r="D97" i="45" s="1"/>
  <c r="Y99" i="45"/>
  <c r="E99" i="45" s="1"/>
  <c r="W101" i="45"/>
  <c r="C101" i="45" s="1"/>
  <c r="X102" i="45"/>
  <c r="D102" i="45" s="1"/>
  <c r="Y103" i="45"/>
  <c r="E103" i="45" s="1"/>
  <c r="W105" i="45"/>
  <c r="C105" i="45" s="1"/>
  <c r="X107" i="45"/>
  <c r="D107" i="45" s="1"/>
  <c r="Y108" i="45"/>
  <c r="E108" i="45" s="1"/>
  <c r="W110" i="45"/>
  <c r="C110" i="45" s="1"/>
  <c r="X111" i="45"/>
  <c r="D111" i="45" s="1"/>
  <c r="Y112" i="45"/>
  <c r="E112" i="45" s="1"/>
  <c r="W114" i="45"/>
  <c r="C114" i="45" s="1"/>
  <c r="X115" i="45"/>
  <c r="D115" i="45" s="1"/>
  <c r="Y116" i="45"/>
  <c r="E116" i="45" s="1"/>
  <c r="W118" i="45"/>
  <c r="C118" i="45" s="1"/>
  <c r="X119" i="45"/>
  <c r="D119" i="45" s="1"/>
  <c r="Y120" i="45"/>
  <c r="E120" i="45" s="1"/>
  <c r="W122" i="45"/>
  <c r="C122" i="45" s="1"/>
  <c r="X123" i="45"/>
  <c r="D123" i="45" s="1"/>
  <c r="Y124" i="45"/>
  <c r="E124" i="45" s="1"/>
  <c r="W126" i="45"/>
  <c r="C126" i="45" s="1"/>
  <c r="X127" i="45"/>
  <c r="D127" i="45" s="1"/>
  <c r="V125" i="45"/>
  <c r="B125" i="45" s="1"/>
  <c r="V121" i="45"/>
  <c r="B121" i="45" s="1"/>
  <c r="V117" i="45"/>
  <c r="B117" i="45" s="1"/>
  <c r="V113" i="45"/>
  <c r="B113" i="45" s="1"/>
  <c r="V109" i="45"/>
  <c r="B109" i="45" s="1"/>
  <c r="V104" i="45"/>
  <c r="B104" i="45" s="1"/>
  <c r="V100" i="45"/>
  <c r="B100" i="45" s="1"/>
  <c r="V95" i="45"/>
  <c r="B95" i="45" s="1"/>
  <c r="V90" i="45"/>
  <c r="B90" i="45" s="1"/>
  <c r="V86" i="45"/>
  <c r="B86" i="45" s="1"/>
  <c r="V81" i="45"/>
  <c r="B81" i="45" s="1"/>
  <c r="AD74" i="45"/>
  <c r="J74" i="45" s="1"/>
  <c r="X72" i="45"/>
  <c r="D72" i="45" s="1"/>
  <c r="AC136" i="56" s="1"/>
  <c r="Y74" i="45"/>
  <c r="E74" i="45" s="1"/>
  <c r="W77" i="45"/>
  <c r="C77" i="45" s="1"/>
  <c r="X78" i="45"/>
  <c r="D78" i="45" s="1"/>
  <c r="Y79" i="45"/>
  <c r="E79" i="45" s="1"/>
  <c r="W81" i="45"/>
  <c r="C81" i="45" s="1"/>
  <c r="X82" i="45"/>
  <c r="D82" i="45" s="1"/>
  <c r="Y83" i="45"/>
  <c r="E83" i="45" s="1"/>
  <c r="W86" i="45"/>
  <c r="C86" i="45" s="1"/>
  <c r="X87" i="45"/>
  <c r="D87" i="45" s="1"/>
  <c r="Y88" i="45"/>
  <c r="E88" i="45" s="1"/>
  <c r="W90" i="45"/>
  <c r="C90" i="45" s="1"/>
  <c r="X92" i="45"/>
  <c r="D92" i="45" s="1"/>
  <c r="Y93" i="45"/>
  <c r="E93" i="45" s="1"/>
  <c r="W95" i="45"/>
  <c r="C95" i="45" s="1"/>
  <c r="X96" i="45"/>
  <c r="D96" i="45" s="1"/>
  <c r="Y97" i="45"/>
  <c r="E97" i="45" s="1"/>
  <c r="W100" i="45"/>
  <c r="C100" i="45" s="1"/>
  <c r="X101" i="45"/>
  <c r="D101" i="45" s="1"/>
  <c r="Y102" i="45"/>
  <c r="E102" i="45" s="1"/>
  <c r="W104" i="45"/>
  <c r="C104" i="45" s="1"/>
  <c r="X105" i="45"/>
  <c r="D105" i="45" s="1"/>
  <c r="Y107" i="45"/>
  <c r="E107" i="45" s="1"/>
  <c r="W109" i="45"/>
  <c r="C109" i="45" s="1"/>
  <c r="X110" i="45"/>
  <c r="D110" i="45" s="1"/>
  <c r="Y111" i="45"/>
  <c r="E111" i="45" s="1"/>
  <c r="W113" i="45"/>
  <c r="C113" i="45" s="1"/>
  <c r="X114" i="45"/>
  <c r="D114" i="45" s="1"/>
  <c r="Y115" i="45"/>
  <c r="E115" i="45" s="1"/>
  <c r="W117" i="45"/>
  <c r="C117" i="45" s="1"/>
  <c r="X118" i="45"/>
  <c r="D118" i="45" s="1"/>
  <c r="Y119" i="45"/>
  <c r="E119" i="45" s="1"/>
  <c r="W121" i="45"/>
  <c r="C121" i="45" s="1"/>
  <c r="X122" i="45"/>
  <c r="D122" i="45" s="1"/>
  <c r="Y123" i="45"/>
  <c r="E123" i="45" s="1"/>
  <c r="W125" i="45"/>
  <c r="C125" i="45" s="1"/>
  <c r="X126" i="45"/>
  <c r="D126" i="45" s="1"/>
  <c r="Y127" i="45"/>
  <c r="E127" i="45" s="1"/>
  <c r="V124" i="45"/>
  <c r="B124" i="45" s="1"/>
  <c r="V120" i="45"/>
  <c r="B120" i="45" s="1"/>
  <c r="V116" i="45"/>
  <c r="B116" i="45" s="1"/>
  <c r="V112" i="45"/>
  <c r="B112" i="45" s="1"/>
  <c r="V108" i="45"/>
  <c r="B108" i="45" s="1"/>
  <c r="V103" i="45"/>
  <c r="B103" i="45" s="1"/>
  <c r="V99" i="45"/>
  <c r="B99" i="45" s="1"/>
  <c r="V94" i="45"/>
  <c r="B94" i="45" s="1"/>
  <c r="V89" i="45"/>
  <c r="B89" i="45" s="1"/>
  <c r="V85" i="45"/>
  <c r="B85" i="45" s="1"/>
  <c r="V80" i="45"/>
  <c r="B80" i="45" s="1"/>
  <c r="V75" i="45"/>
  <c r="B75" i="45" s="1"/>
  <c r="V74" i="45"/>
  <c r="B74" i="45" s="1"/>
  <c r="AD72" i="45"/>
  <c r="J72" i="45" s="1"/>
  <c r="AK137" i="56" s="1"/>
  <c r="Y72" i="45"/>
  <c r="E72" i="45" s="1"/>
  <c r="AC137" i="56" s="1"/>
  <c r="W75" i="45"/>
  <c r="C75" i="45" s="1"/>
  <c r="X77" i="45"/>
  <c r="D77" i="45" s="1"/>
  <c r="Y78" i="45"/>
  <c r="E78" i="45" s="1"/>
  <c r="W80" i="45"/>
  <c r="C80" i="45" s="1"/>
  <c r="X81" i="45"/>
  <c r="D81" i="45" s="1"/>
  <c r="Y82" i="45"/>
  <c r="E82" i="45" s="1"/>
  <c r="W85" i="45"/>
  <c r="C85" i="45" s="1"/>
  <c r="X86" i="45"/>
  <c r="D86" i="45" s="1"/>
  <c r="Y87" i="45"/>
  <c r="E87" i="45" s="1"/>
  <c r="W89" i="45"/>
  <c r="C89" i="45" s="1"/>
  <c r="X90" i="45"/>
  <c r="D90" i="45" s="1"/>
  <c r="Y92" i="45"/>
  <c r="E92" i="45" s="1"/>
  <c r="W94" i="45"/>
  <c r="C94" i="45" s="1"/>
  <c r="X95" i="45"/>
  <c r="D95" i="45" s="1"/>
  <c r="Y96" i="45"/>
  <c r="E96" i="45" s="1"/>
  <c r="W99" i="45"/>
  <c r="C99" i="45" s="1"/>
  <c r="X100" i="45"/>
  <c r="D100" i="45" s="1"/>
  <c r="Y101" i="45"/>
  <c r="E101" i="45" s="1"/>
  <c r="W103" i="45"/>
  <c r="C103" i="45" s="1"/>
  <c r="X104" i="45"/>
  <c r="D104" i="45" s="1"/>
  <c r="Y105" i="45"/>
  <c r="E105" i="45" s="1"/>
  <c r="W108" i="45"/>
  <c r="C108" i="45" s="1"/>
  <c r="X109" i="45"/>
  <c r="D109" i="45" s="1"/>
  <c r="Y110" i="45"/>
  <c r="E110" i="45" s="1"/>
  <c r="W112" i="45"/>
  <c r="C112" i="45" s="1"/>
  <c r="X113" i="45"/>
  <c r="D113" i="45" s="1"/>
  <c r="Y114" i="45"/>
  <c r="E114" i="45" s="1"/>
  <c r="W116" i="45"/>
  <c r="C116" i="45" s="1"/>
  <c r="X117" i="45"/>
  <c r="D117" i="45" s="1"/>
  <c r="Y118" i="45"/>
  <c r="E118" i="45" s="1"/>
  <c r="W120" i="45"/>
  <c r="C120" i="45" s="1"/>
  <c r="X121" i="45"/>
  <c r="D121" i="45" s="1"/>
  <c r="Y122" i="45"/>
  <c r="E122" i="45" s="1"/>
  <c r="W124" i="45"/>
  <c r="C124" i="45" s="1"/>
  <c r="X125" i="45"/>
  <c r="D125" i="45" s="1"/>
  <c r="Y126" i="45"/>
  <c r="E126" i="45" s="1"/>
  <c r="V127" i="45"/>
  <c r="B127" i="45" s="1"/>
  <c r="V123" i="45"/>
  <c r="B123" i="45" s="1"/>
  <c r="V119" i="45"/>
  <c r="B119" i="45" s="1"/>
  <c r="V115" i="45"/>
  <c r="B115" i="45" s="1"/>
  <c r="V111" i="45"/>
  <c r="B111" i="45" s="1"/>
  <c r="V107" i="45"/>
  <c r="B107" i="45" s="1"/>
  <c r="V102" i="45"/>
  <c r="B102" i="45" s="1"/>
  <c r="V97" i="45"/>
  <c r="B97" i="45" s="1"/>
  <c r="V93" i="45"/>
  <c r="B93" i="45" s="1"/>
  <c r="V88" i="45"/>
  <c r="B88" i="45" s="1"/>
  <c r="V83" i="45"/>
  <c r="B83" i="45" s="1"/>
  <c r="V79" i="45"/>
  <c r="B79" i="45" s="1"/>
  <c r="W74" i="45"/>
  <c r="C74" i="45" s="1"/>
  <c r="X75" i="45"/>
  <c r="D75" i="45" s="1"/>
  <c r="Y77" i="45"/>
  <c r="E77" i="45" s="1"/>
  <c r="W79" i="45"/>
  <c r="C79" i="45" s="1"/>
  <c r="X80" i="45"/>
  <c r="D80" i="45" s="1"/>
  <c r="Y81" i="45"/>
  <c r="E81" i="45" s="1"/>
  <c r="W83" i="45"/>
  <c r="C83" i="45" s="1"/>
  <c r="X85" i="45"/>
  <c r="D85" i="45" s="1"/>
  <c r="Y86" i="45"/>
  <c r="E86" i="45" s="1"/>
  <c r="W88" i="45"/>
  <c r="C88" i="45" s="1"/>
  <c r="X89" i="45"/>
  <c r="D89" i="45" s="1"/>
  <c r="Y90" i="45"/>
  <c r="E90" i="45" s="1"/>
  <c r="W93" i="45"/>
  <c r="C93" i="45" s="1"/>
  <c r="X94" i="45"/>
  <c r="D94" i="45" s="1"/>
  <c r="Y95" i="45"/>
  <c r="E95" i="45" s="1"/>
  <c r="W97" i="45"/>
  <c r="C97" i="45" s="1"/>
  <c r="X99" i="45"/>
  <c r="D99" i="45" s="1"/>
  <c r="Y100" i="45"/>
  <c r="E100" i="45" s="1"/>
  <c r="W102" i="45"/>
  <c r="C102" i="45" s="1"/>
  <c r="X103" i="45"/>
  <c r="D103" i="45" s="1"/>
  <c r="Y104" i="45"/>
  <c r="E104" i="45" s="1"/>
  <c r="W107" i="45"/>
  <c r="C107" i="45" s="1"/>
  <c r="X108" i="45"/>
  <c r="D108" i="45" s="1"/>
  <c r="Y109" i="45"/>
  <c r="E109" i="45" s="1"/>
  <c r="W111" i="45"/>
  <c r="C111" i="45" s="1"/>
  <c r="X112" i="45"/>
  <c r="D112" i="45" s="1"/>
  <c r="Y113" i="45"/>
  <c r="E113" i="45" s="1"/>
  <c r="W115" i="45"/>
  <c r="C115" i="45" s="1"/>
  <c r="X116" i="45"/>
  <c r="D116" i="45" s="1"/>
  <c r="Y117" i="45"/>
  <c r="E117" i="45" s="1"/>
  <c r="W119" i="45"/>
  <c r="C119" i="45" s="1"/>
  <c r="X120" i="45"/>
  <c r="D120" i="45" s="1"/>
  <c r="Y121" i="45"/>
  <c r="E121" i="45" s="1"/>
  <c r="W123" i="45"/>
  <c r="C123" i="45" s="1"/>
  <c r="X124" i="45"/>
  <c r="D124" i="45" s="1"/>
  <c r="Y125" i="45"/>
  <c r="E125" i="45" s="1"/>
  <c r="W127" i="45"/>
  <c r="C127" i="45" s="1"/>
  <c r="V126" i="45"/>
  <c r="B126" i="45" s="1"/>
  <c r="V122" i="45"/>
  <c r="B122" i="45" s="1"/>
  <c r="V118" i="45"/>
  <c r="B118" i="45" s="1"/>
  <c r="V114" i="45"/>
  <c r="B114" i="45" s="1"/>
  <c r="V110" i="45"/>
  <c r="B110" i="45" s="1"/>
  <c r="V105" i="45"/>
  <c r="B105" i="45" s="1"/>
  <c r="V101" i="45"/>
  <c r="B101" i="45" s="1"/>
  <c r="V96" i="45"/>
  <c r="B96" i="45" s="1"/>
  <c r="V92" i="45"/>
  <c r="B92" i="45" s="1"/>
  <c r="V87" i="45"/>
  <c r="B87" i="45" s="1"/>
  <c r="V82" i="45"/>
  <c r="B82" i="45" s="1"/>
  <c r="V78" i="45"/>
  <c r="B78" i="45" s="1"/>
  <c r="V72" i="45"/>
  <c r="B72" i="45" s="1"/>
  <c r="AC134" i="56" s="1"/>
  <c r="V77" i="45"/>
  <c r="B77" i="45" s="1"/>
  <c r="V15" i="45"/>
  <c r="B15" i="45" s="1"/>
  <c r="W64" i="45"/>
  <c r="C64" i="45" s="1"/>
  <c r="V33" i="45"/>
  <c r="B33" i="45" s="1"/>
  <c r="Y58" i="45"/>
  <c r="E58" i="45" s="1"/>
  <c r="V51" i="45"/>
  <c r="B51" i="45" s="1"/>
  <c r="Y50" i="45"/>
  <c r="E50" i="45" s="1"/>
  <c r="Y14" i="45"/>
  <c r="E14" i="45" s="1"/>
  <c r="X53" i="45"/>
  <c r="D53" i="45" s="1"/>
  <c r="V19" i="45"/>
  <c r="B19" i="45" s="1"/>
  <c r="V38" i="45"/>
  <c r="B38" i="45" s="1"/>
  <c r="V55" i="45"/>
  <c r="B55" i="45" s="1"/>
  <c r="Y62" i="45"/>
  <c r="E62" i="45" s="1"/>
  <c r="X57" i="45"/>
  <c r="D57" i="45" s="1"/>
  <c r="W52" i="45"/>
  <c r="C52" i="45" s="1"/>
  <c r="V24" i="45"/>
  <c r="B24" i="45" s="1"/>
  <c r="V42" i="45"/>
  <c r="B42" i="45" s="1"/>
  <c r="V59" i="45"/>
  <c r="B59" i="45" s="1"/>
  <c r="X61" i="45"/>
  <c r="D61" i="45" s="1"/>
  <c r="W56" i="45"/>
  <c r="C56" i="45" s="1"/>
  <c r="AD30" i="45"/>
  <c r="J30" i="45" s="1"/>
  <c r="AD48" i="45"/>
  <c r="J48" i="45" s="1"/>
  <c r="AD64" i="45"/>
  <c r="J64" i="45" s="1"/>
  <c r="AA39" i="45"/>
  <c r="G39" i="45" s="1"/>
  <c r="AA15" i="45"/>
  <c r="G15" i="45" s="1"/>
  <c r="X12" i="45"/>
  <c r="D12" i="45" s="1"/>
  <c r="X17" i="45"/>
  <c r="D17" i="45" s="1"/>
  <c r="W20" i="45"/>
  <c r="C20" i="45" s="1"/>
  <c r="Y23" i="45"/>
  <c r="E23" i="45" s="1"/>
  <c r="X26" i="45"/>
  <c r="D26" i="45" s="1"/>
  <c r="W30" i="45"/>
  <c r="C30" i="45" s="1"/>
  <c r="Y32" i="45"/>
  <c r="E32" i="45" s="1"/>
  <c r="X36" i="45"/>
  <c r="D36" i="45" s="1"/>
  <c r="X40" i="45"/>
  <c r="D40" i="45" s="1"/>
  <c r="X45" i="45"/>
  <c r="D45" i="45" s="1"/>
  <c r="X49" i="45"/>
  <c r="D49" i="45" s="1"/>
  <c r="AC24" i="45"/>
  <c r="I24" i="45" s="1"/>
  <c r="AB37" i="45"/>
  <c r="H37" i="45" s="1"/>
  <c r="AB54" i="45"/>
  <c r="H54" i="45" s="1"/>
  <c r="AA53" i="45"/>
  <c r="G53" i="45" s="1"/>
  <c r="AA33" i="45"/>
  <c r="G33" i="45" s="1"/>
  <c r="AA24" i="45"/>
  <c r="G24" i="45" s="1"/>
  <c r="AA9" i="45"/>
  <c r="G9" i="45" s="1"/>
  <c r="W39" i="45"/>
  <c r="C39" i="45" s="1"/>
  <c r="W44" i="45"/>
  <c r="C44" i="45" s="1"/>
  <c r="W48" i="45"/>
  <c r="C48" i="45" s="1"/>
  <c r="AB18" i="45"/>
  <c r="H18" i="45" s="1"/>
  <c r="AC42" i="45"/>
  <c r="I42" i="45" s="1"/>
  <c r="AC59" i="45"/>
  <c r="I59" i="45" s="1"/>
  <c r="AA45" i="45"/>
  <c r="G45" i="45" s="1"/>
  <c r="AA29" i="45"/>
  <c r="G29" i="45" s="1"/>
  <c r="AA19" i="45"/>
  <c r="G19" i="45" s="1"/>
  <c r="W11" i="45"/>
  <c r="C11" i="45" s="1"/>
  <c r="W16" i="45"/>
  <c r="C16" i="45" s="1"/>
  <c r="Y18" i="45"/>
  <c r="E18" i="45" s="1"/>
  <c r="X22" i="45"/>
  <c r="D22" i="45" s="1"/>
  <c r="W25" i="45"/>
  <c r="C25" i="45" s="1"/>
  <c r="Y27" i="45"/>
  <c r="E27" i="45" s="1"/>
  <c r="X31" i="45"/>
  <c r="D31" i="45" s="1"/>
  <c r="W34" i="45"/>
  <c r="C34" i="45" s="1"/>
  <c r="Y37" i="45"/>
  <c r="E37" i="45" s="1"/>
  <c r="Y41" i="45"/>
  <c r="E41" i="45" s="1"/>
  <c r="Y46" i="45"/>
  <c r="E46" i="45" s="1"/>
  <c r="V9" i="45"/>
  <c r="B9" i="45" s="1"/>
  <c r="V29" i="45"/>
  <c r="B29" i="45" s="1"/>
  <c r="V47" i="45"/>
  <c r="B47" i="45" s="1"/>
  <c r="V63" i="45"/>
  <c r="B63" i="45" s="1"/>
  <c r="W60" i="45"/>
  <c r="C60" i="45" s="1"/>
  <c r="Y54" i="45"/>
  <c r="E54" i="45" s="1"/>
  <c r="AC11" i="45"/>
  <c r="I11" i="45" s="1"/>
  <c r="AD12" i="45"/>
  <c r="J12" i="45" s="1"/>
  <c r="AB15" i="45"/>
  <c r="H15" i="45" s="1"/>
  <c r="AC16" i="45"/>
  <c r="I16" i="45" s="1"/>
  <c r="AD17" i="45"/>
  <c r="J17" i="45" s="1"/>
  <c r="AB19" i="45"/>
  <c r="H19" i="45" s="1"/>
  <c r="AC20" i="45"/>
  <c r="I20" i="45" s="1"/>
  <c r="AD22" i="45"/>
  <c r="J22" i="45" s="1"/>
  <c r="AB24" i="45"/>
  <c r="H24" i="45" s="1"/>
  <c r="AC25" i="45"/>
  <c r="I25" i="45" s="1"/>
  <c r="AD26" i="45"/>
  <c r="J26" i="45" s="1"/>
  <c r="AB29" i="45"/>
  <c r="H29" i="45" s="1"/>
  <c r="AC30" i="45"/>
  <c r="I30" i="45" s="1"/>
  <c r="AD31" i="45"/>
  <c r="J31" i="45" s="1"/>
  <c r="AB33" i="45"/>
  <c r="H33" i="45" s="1"/>
  <c r="AC34" i="45"/>
  <c r="I34" i="45" s="1"/>
  <c r="AD36" i="45"/>
  <c r="J36" i="45" s="1"/>
  <c r="AB38" i="45"/>
  <c r="H38" i="45" s="1"/>
  <c r="AC39" i="45"/>
  <c r="I39" i="45" s="1"/>
  <c r="AD40" i="45"/>
  <c r="J40" i="45" s="1"/>
  <c r="AB42" i="45"/>
  <c r="H42" i="45" s="1"/>
  <c r="AC44" i="45"/>
  <c r="I44" i="45" s="1"/>
  <c r="AD45" i="45"/>
  <c r="J45" i="45" s="1"/>
  <c r="AB47" i="45"/>
  <c r="H47" i="45" s="1"/>
  <c r="AC48" i="45"/>
  <c r="I48" i="45" s="1"/>
  <c r="AD49" i="45"/>
  <c r="J49" i="45" s="1"/>
  <c r="AB51" i="45"/>
  <c r="H51" i="45" s="1"/>
  <c r="AC52" i="45"/>
  <c r="I52" i="45" s="1"/>
  <c r="AD53" i="45"/>
  <c r="J53" i="45" s="1"/>
  <c r="AB55" i="45"/>
  <c r="H55" i="45" s="1"/>
  <c r="AC56" i="45"/>
  <c r="I56" i="45" s="1"/>
  <c r="AD57" i="45"/>
  <c r="J57" i="45" s="1"/>
  <c r="AB59" i="45"/>
  <c r="H59" i="45" s="1"/>
  <c r="AC60" i="45"/>
  <c r="I60" i="45" s="1"/>
  <c r="AD61" i="45"/>
  <c r="J61" i="45" s="1"/>
  <c r="AB63" i="45"/>
  <c r="H63" i="45" s="1"/>
  <c r="AC64" i="45"/>
  <c r="I64" i="45" s="1"/>
  <c r="AD9" i="45"/>
  <c r="J9" i="45" s="1"/>
  <c r="AA61" i="45"/>
  <c r="G61" i="45" s="1"/>
  <c r="AA57" i="45"/>
  <c r="G57" i="45" s="1"/>
  <c r="AD11" i="45"/>
  <c r="J11" i="45" s="1"/>
  <c r="AB12" i="45"/>
  <c r="H12" i="45" s="1"/>
  <c r="AC14" i="45"/>
  <c r="I14" i="45" s="1"/>
  <c r="AD15" i="45"/>
  <c r="J15" i="45" s="1"/>
  <c r="AB17" i="45"/>
  <c r="H17" i="45" s="1"/>
  <c r="AC18" i="45"/>
  <c r="I18" i="45" s="1"/>
  <c r="AD19" i="45"/>
  <c r="J19" i="45" s="1"/>
  <c r="AB22" i="45"/>
  <c r="H22" i="45" s="1"/>
  <c r="AC23" i="45"/>
  <c r="I23" i="45" s="1"/>
  <c r="AD24" i="45"/>
  <c r="J24" i="45" s="1"/>
  <c r="AB26" i="45"/>
  <c r="H26" i="45" s="1"/>
  <c r="AC27" i="45"/>
  <c r="I27" i="45" s="1"/>
  <c r="AD29" i="45"/>
  <c r="J29" i="45" s="1"/>
  <c r="AB31" i="45"/>
  <c r="H31" i="45" s="1"/>
  <c r="AC32" i="45"/>
  <c r="I32" i="45" s="1"/>
  <c r="AD33" i="45"/>
  <c r="J33" i="45" s="1"/>
  <c r="AB36" i="45"/>
  <c r="H36" i="45" s="1"/>
  <c r="AC37" i="45"/>
  <c r="I37" i="45" s="1"/>
  <c r="AD38" i="45"/>
  <c r="J38" i="45" s="1"/>
  <c r="AB40" i="45"/>
  <c r="H40" i="45" s="1"/>
  <c r="AC41" i="45"/>
  <c r="I41" i="45" s="1"/>
  <c r="AD42" i="45"/>
  <c r="J42" i="45" s="1"/>
  <c r="AB45" i="45"/>
  <c r="H45" i="45" s="1"/>
  <c r="AC46" i="45"/>
  <c r="I46" i="45" s="1"/>
  <c r="AD47" i="45"/>
  <c r="J47" i="45" s="1"/>
  <c r="AB49" i="45"/>
  <c r="H49" i="45" s="1"/>
  <c r="AC50" i="45"/>
  <c r="I50" i="45" s="1"/>
  <c r="AD51" i="45"/>
  <c r="J51" i="45" s="1"/>
  <c r="AB53" i="45"/>
  <c r="H53" i="45" s="1"/>
  <c r="AC54" i="45"/>
  <c r="I54" i="45" s="1"/>
  <c r="AD55" i="45"/>
  <c r="J55" i="45" s="1"/>
  <c r="AB57" i="45"/>
  <c r="H57" i="45" s="1"/>
  <c r="AC58" i="45"/>
  <c r="I58" i="45" s="1"/>
  <c r="AD59" i="45"/>
  <c r="J59" i="45" s="1"/>
  <c r="AB61" i="45"/>
  <c r="H61" i="45" s="1"/>
  <c r="AC62" i="45"/>
  <c r="I62" i="45" s="1"/>
  <c r="AD63" i="45"/>
  <c r="J63" i="45" s="1"/>
  <c r="AB9" i="45"/>
  <c r="H9" i="45" s="1"/>
  <c r="AA63" i="45"/>
  <c r="G63" i="45" s="1"/>
  <c r="AA59" i="45"/>
  <c r="G59" i="45" s="1"/>
  <c r="AA55" i="45"/>
  <c r="G55" i="45" s="1"/>
  <c r="AA51" i="45"/>
  <c r="G51" i="45" s="1"/>
  <c r="AA47" i="45"/>
  <c r="G47" i="45" s="1"/>
  <c r="AB11" i="45"/>
  <c r="H11" i="45" s="1"/>
  <c r="AC12" i="45"/>
  <c r="I12" i="45" s="1"/>
  <c r="AD14" i="45"/>
  <c r="J14" i="45" s="1"/>
  <c r="AB16" i="45"/>
  <c r="H16" i="45" s="1"/>
  <c r="AC17" i="45"/>
  <c r="I17" i="45" s="1"/>
  <c r="AD18" i="45"/>
  <c r="J18" i="45" s="1"/>
  <c r="AB20" i="45"/>
  <c r="H20" i="45" s="1"/>
  <c r="AC22" i="45"/>
  <c r="I22" i="45" s="1"/>
  <c r="AD23" i="45"/>
  <c r="J23" i="45" s="1"/>
  <c r="AB25" i="45"/>
  <c r="H25" i="45" s="1"/>
  <c r="AC26" i="45"/>
  <c r="I26" i="45" s="1"/>
  <c r="AD27" i="45"/>
  <c r="J27" i="45" s="1"/>
  <c r="AB30" i="45"/>
  <c r="H30" i="45" s="1"/>
  <c r="AC31" i="45"/>
  <c r="I31" i="45" s="1"/>
  <c r="AD32" i="45"/>
  <c r="J32" i="45" s="1"/>
  <c r="AB34" i="45"/>
  <c r="H34" i="45" s="1"/>
  <c r="AC36" i="45"/>
  <c r="I36" i="45" s="1"/>
  <c r="AD37" i="45"/>
  <c r="J37" i="45" s="1"/>
  <c r="AB39" i="45"/>
  <c r="H39" i="45" s="1"/>
  <c r="AC40" i="45"/>
  <c r="I40" i="45" s="1"/>
  <c r="AD41" i="45"/>
  <c r="J41" i="45" s="1"/>
  <c r="AB44" i="45"/>
  <c r="H44" i="45" s="1"/>
  <c r="AC45" i="45"/>
  <c r="I45" i="45" s="1"/>
  <c r="AD46" i="45"/>
  <c r="J46" i="45" s="1"/>
  <c r="AB48" i="45"/>
  <c r="H48" i="45" s="1"/>
  <c r="AC49" i="45"/>
  <c r="I49" i="45" s="1"/>
  <c r="AD50" i="45"/>
  <c r="J50" i="45" s="1"/>
  <c r="AB52" i="45"/>
  <c r="H52" i="45" s="1"/>
  <c r="AC53" i="45"/>
  <c r="I53" i="45" s="1"/>
  <c r="AD54" i="45"/>
  <c r="J54" i="45" s="1"/>
  <c r="AB56" i="45"/>
  <c r="H56" i="45" s="1"/>
  <c r="AC57" i="45"/>
  <c r="I57" i="45" s="1"/>
  <c r="AD58" i="45"/>
  <c r="J58" i="45" s="1"/>
  <c r="AB60" i="45"/>
  <c r="H60" i="45" s="1"/>
  <c r="AC61" i="45"/>
  <c r="I61" i="45" s="1"/>
  <c r="AD62" i="45"/>
  <c r="J62" i="45" s="1"/>
  <c r="AB64" i="45"/>
  <c r="H64" i="45" s="1"/>
  <c r="AC9" i="45"/>
  <c r="I9" i="45" s="1"/>
  <c r="AA62" i="45"/>
  <c r="G62" i="45" s="1"/>
  <c r="AA58" i="45"/>
  <c r="G58" i="45" s="1"/>
  <c r="AA54" i="45"/>
  <c r="G54" i="45" s="1"/>
  <c r="AA50" i="45"/>
  <c r="G50" i="45" s="1"/>
  <c r="AA46" i="45"/>
  <c r="G46" i="45" s="1"/>
  <c r="AA41" i="45"/>
  <c r="G41" i="45" s="1"/>
  <c r="AA37" i="45"/>
  <c r="G37" i="45" s="1"/>
  <c r="V11" i="45"/>
  <c r="B11" i="45" s="1"/>
  <c r="V16" i="45"/>
  <c r="B16" i="45" s="1"/>
  <c r="V20" i="45"/>
  <c r="B20" i="45" s="1"/>
  <c r="V25" i="45"/>
  <c r="B25" i="45" s="1"/>
  <c r="V30" i="45"/>
  <c r="B30" i="45" s="1"/>
  <c r="V34" i="45"/>
  <c r="B34" i="45" s="1"/>
  <c r="V39" i="45"/>
  <c r="B39" i="45" s="1"/>
  <c r="V44" i="45"/>
  <c r="B44" i="45" s="1"/>
  <c r="V48" i="45"/>
  <c r="B48" i="45" s="1"/>
  <c r="V52" i="45"/>
  <c r="B52" i="45" s="1"/>
  <c r="V56" i="45"/>
  <c r="B56" i="45" s="1"/>
  <c r="V60" i="45"/>
  <c r="B60" i="45" s="1"/>
  <c r="V64" i="45"/>
  <c r="B64" i="45" s="1"/>
  <c r="Y63" i="45"/>
  <c r="E63" i="45" s="1"/>
  <c r="X62" i="45"/>
  <c r="D62" i="45" s="1"/>
  <c r="W61" i="45"/>
  <c r="C61" i="45" s="1"/>
  <c r="Y59" i="45"/>
  <c r="E59" i="45" s="1"/>
  <c r="X58" i="45"/>
  <c r="D58" i="45" s="1"/>
  <c r="W57" i="45"/>
  <c r="C57" i="45" s="1"/>
  <c r="Y55" i="45"/>
  <c r="E55" i="45" s="1"/>
  <c r="X54" i="45"/>
  <c r="D54" i="45" s="1"/>
  <c r="W53" i="45"/>
  <c r="C53" i="45" s="1"/>
  <c r="Y51" i="45"/>
  <c r="E51" i="45" s="1"/>
  <c r="X50" i="45"/>
  <c r="D50" i="45" s="1"/>
  <c r="W49" i="45"/>
  <c r="C49" i="45" s="1"/>
  <c r="Y47" i="45"/>
  <c r="E47" i="45" s="1"/>
  <c r="X46" i="45"/>
  <c r="D46" i="45" s="1"/>
  <c r="W45" i="45"/>
  <c r="C45" i="45" s="1"/>
  <c r="Y42" i="45"/>
  <c r="E42" i="45" s="1"/>
  <c r="X41" i="45"/>
  <c r="D41" i="45" s="1"/>
  <c r="W40" i="45"/>
  <c r="C40" i="45" s="1"/>
  <c r="Y38" i="45"/>
  <c r="E38" i="45" s="1"/>
  <c r="X37" i="45"/>
  <c r="D37" i="45" s="1"/>
  <c r="W36" i="45"/>
  <c r="C36" i="45" s="1"/>
  <c r="Y33" i="45"/>
  <c r="E33" i="45" s="1"/>
  <c r="X32" i="45"/>
  <c r="D32" i="45" s="1"/>
  <c r="W31" i="45"/>
  <c r="C31" i="45" s="1"/>
  <c r="Y29" i="45"/>
  <c r="E29" i="45" s="1"/>
  <c r="X27" i="45"/>
  <c r="D27" i="45" s="1"/>
  <c r="W26" i="45"/>
  <c r="C26" i="45" s="1"/>
  <c r="Y24" i="45"/>
  <c r="E24" i="45" s="1"/>
  <c r="X23" i="45"/>
  <c r="D23" i="45" s="1"/>
  <c r="W22" i="45"/>
  <c r="C22" i="45" s="1"/>
  <c r="Y19" i="45"/>
  <c r="E19" i="45" s="1"/>
  <c r="X18" i="45"/>
  <c r="D18" i="45" s="1"/>
  <c r="W17" i="45"/>
  <c r="C17" i="45" s="1"/>
  <c r="Y15" i="45"/>
  <c r="E15" i="45" s="1"/>
  <c r="X14" i="45"/>
  <c r="D14" i="45" s="1"/>
  <c r="W12" i="45"/>
  <c r="C12" i="45" s="1"/>
  <c r="Y9" i="45"/>
  <c r="E9" i="45" s="1"/>
  <c r="AA11" i="45"/>
  <c r="G11" i="45" s="1"/>
  <c r="AA16" i="45"/>
  <c r="G16" i="45" s="1"/>
  <c r="AA20" i="45"/>
  <c r="G20" i="45" s="1"/>
  <c r="AA25" i="45"/>
  <c r="G25" i="45" s="1"/>
  <c r="AA30" i="45"/>
  <c r="G30" i="45" s="1"/>
  <c r="AA34" i="45"/>
  <c r="G34" i="45" s="1"/>
  <c r="AA40" i="45"/>
  <c r="G40" i="45" s="1"/>
  <c r="AA48" i="45"/>
  <c r="G48" i="45" s="1"/>
  <c r="AA56" i="45"/>
  <c r="G56" i="45" s="1"/>
  <c r="AC63" i="45"/>
  <c r="I63" i="45" s="1"/>
  <c r="AB58" i="45"/>
  <c r="H58" i="45" s="1"/>
  <c r="AD52" i="45"/>
  <c r="J52" i="45" s="1"/>
  <c r="AC47" i="45"/>
  <c r="I47" i="45" s="1"/>
  <c r="AB41" i="45"/>
  <c r="H41" i="45" s="1"/>
  <c r="AD34" i="45"/>
  <c r="J34" i="45" s="1"/>
  <c r="AC29" i="45"/>
  <c r="I29" i="45" s="1"/>
  <c r="AB23" i="45"/>
  <c r="H23" i="45" s="1"/>
  <c r="AD16" i="45"/>
  <c r="J16" i="45" s="1"/>
  <c r="V12" i="45"/>
  <c r="B12" i="45" s="1"/>
  <c r="V17" i="45"/>
  <c r="B17" i="45" s="1"/>
  <c r="V22" i="45"/>
  <c r="B22" i="45" s="1"/>
  <c r="V26" i="45"/>
  <c r="B26" i="45" s="1"/>
  <c r="V31" i="45"/>
  <c r="B31" i="45" s="1"/>
  <c r="V36" i="45"/>
  <c r="B36" i="45" s="1"/>
  <c r="V40" i="45"/>
  <c r="B40" i="45" s="1"/>
  <c r="V45" i="45"/>
  <c r="B45" i="45" s="1"/>
  <c r="V49" i="45"/>
  <c r="B49" i="45" s="1"/>
  <c r="V53" i="45"/>
  <c r="B53" i="45" s="1"/>
  <c r="V57" i="45"/>
  <c r="B57" i="45" s="1"/>
  <c r="V61" i="45"/>
  <c r="B61" i="45" s="1"/>
  <c r="Y64" i="45"/>
  <c r="E64" i="45" s="1"/>
  <c r="X63" i="45"/>
  <c r="D63" i="45" s="1"/>
  <c r="W62" i="45"/>
  <c r="C62" i="45" s="1"/>
  <c r="Y60" i="45"/>
  <c r="E60" i="45" s="1"/>
  <c r="X59" i="45"/>
  <c r="D59" i="45" s="1"/>
  <c r="W58" i="45"/>
  <c r="C58" i="45" s="1"/>
  <c r="Y56" i="45"/>
  <c r="E56" i="45" s="1"/>
  <c r="X55" i="45"/>
  <c r="D55" i="45" s="1"/>
  <c r="W54" i="45"/>
  <c r="C54" i="45" s="1"/>
  <c r="Y52" i="45"/>
  <c r="E52" i="45" s="1"/>
  <c r="X51" i="45"/>
  <c r="D51" i="45" s="1"/>
  <c r="W50" i="45"/>
  <c r="C50" i="45" s="1"/>
  <c r="Y48" i="45"/>
  <c r="E48" i="45" s="1"/>
  <c r="X47" i="45"/>
  <c r="D47" i="45" s="1"/>
  <c r="W46" i="45"/>
  <c r="C46" i="45" s="1"/>
  <c r="Y44" i="45"/>
  <c r="E44" i="45" s="1"/>
  <c r="X42" i="45"/>
  <c r="D42" i="45" s="1"/>
  <c r="W41" i="45"/>
  <c r="C41" i="45" s="1"/>
  <c r="Y39" i="45"/>
  <c r="E39" i="45" s="1"/>
  <c r="X38" i="45"/>
  <c r="D38" i="45" s="1"/>
  <c r="W37" i="45"/>
  <c r="C37" i="45" s="1"/>
  <c r="Y34" i="45"/>
  <c r="E34" i="45" s="1"/>
  <c r="X33" i="45"/>
  <c r="D33" i="45" s="1"/>
  <c r="W32" i="45"/>
  <c r="C32" i="45" s="1"/>
  <c r="Y30" i="45"/>
  <c r="E30" i="45" s="1"/>
  <c r="X29" i="45"/>
  <c r="D29" i="45" s="1"/>
  <c r="W27" i="45"/>
  <c r="C27" i="45" s="1"/>
  <c r="Y25" i="45"/>
  <c r="E25" i="45" s="1"/>
  <c r="X24" i="45"/>
  <c r="D24" i="45" s="1"/>
  <c r="W23" i="45"/>
  <c r="C23" i="45" s="1"/>
  <c r="Y20" i="45"/>
  <c r="E20" i="45" s="1"/>
  <c r="X19" i="45"/>
  <c r="D19" i="45" s="1"/>
  <c r="W18" i="45"/>
  <c r="C18" i="45" s="1"/>
  <c r="Y16" i="45"/>
  <c r="E16" i="45" s="1"/>
  <c r="X15" i="45"/>
  <c r="D15" i="45" s="1"/>
  <c r="W14" i="45"/>
  <c r="C14" i="45" s="1"/>
  <c r="Y11" i="45"/>
  <c r="E11" i="45" s="1"/>
  <c r="X9" i="45"/>
  <c r="D9" i="45" s="1"/>
  <c r="AA12" i="45"/>
  <c r="G12" i="45" s="1"/>
  <c r="AA17" i="45"/>
  <c r="G17" i="45" s="1"/>
  <c r="AA22" i="45"/>
  <c r="G22" i="45" s="1"/>
  <c r="AA26" i="45"/>
  <c r="G26" i="45" s="1"/>
  <c r="AA31" i="45"/>
  <c r="G31" i="45" s="1"/>
  <c r="AA36" i="45"/>
  <c r="G36" i="45" s="1"/>
  <c r="AA42" i="45"/>
  <c r="G42" i="45" s="1"/>
  <c r="AA49" i="45"/>
  <c r="G49" i="45" s="1"/>
  <c r="AA60" i="45"/>
  <c r="G60" i="45" s="1"/>
  <c r="AB62" i="45"/>
  <c r="H62" i="45" s="1"/>
  <c r="AD56" i="45"/>
  <c r="J56" i="45" s="1"/>
  <c r="AC51" i="45"/>
  <c r="I51" i="45" s="1"/>
  <c r="AB46" i="45"/>
  <c r="H46" i="45" s="1"/>
  <c r="AD39" i="45"/>
  <c r="J39" i="45" s="1"/>
  <c r="AC33" i="45"/>
  <c r="I33" i="45" s="1"/>
  <c r="AB27" i="45"/>
  <c r="H27" i="45" s="1"/>
  <c r="AD20" i="45"/>
  <c r="J20" i="45" s="1"/>
  <c r="AC15" i="45"/>
  <c r="I15" i="45" s="1"/>
  <c r="V14" i="45"/>
  <c r="B14" i="45" s="1"/>
  <c r="V18" i="45"/>
  <c r="B18" i="45" s="1"/>
  <c r="V23" i="45"/>
  <c r="B23" i="45" s="1"/>
  <c r="V27" i="45"/>
  <c r="B27" i="45" s="1"/>
  <c r="V32" i="45"/>
  <c r="B32" i="45" s="1"/>
  <c r="V37" i="45"/>
  <c r="B37" i="45" s="1"/>
  <c r="V41" i="45"/>
  <c r="B41" i="45" s="1"/>
  <c r="V46" i="45"/>
  <c r="B46" i="45" s="1"/>
  <c r="V50" i="45"/>
  <c r="B50" i="45" s="1"/>
  <c r="V54" i="45"/>
  <c r="B54" i="45" s="1"/>
  <c r="V58" i="45"/>
  <c r="B58" i="45" s="1"/>
  <c r="V62" i="45"/>
  <c r="B62" i="45" s="1"/>
  <c r="X64" i="45"/>
  <c r="D64" i="45" s="1"/>
  <c r="W63" i="45"/>
  <c r="C63" i="45" s="1"/>
  <c r="Y61" i="45"/>
  <c r="E61" i="45" s="1"/>
  <c r="X60" i="45"/>
  <c r="D60" i="45" s="1"/>
  <c r="W59" i="45"/>
  <c r="C59" i="45" s="1"/>
  <c r="Y57" i="45"/>
  <c r="E57" i="45" s="1"/>
  <c r="X56" i="45"/>
  <c r="D56" i="45" s="1"/>
  <c r="W55" i="45"/>
  <c r="C55" i="45" s="1"/>
  <c r="Y53" i="45"/>
  <c r="E53" i="45" s="1"/>
  <c r="X52" i="45"/>
  <c r="D52" i="45" s="1"/>
  <c r="W51" i="45"/>
  <c r="C51" i="45" s="1"/>
  <c r="Y49" i="45"/>
  <c r="E49" i="45" s="1"/>
  <c r="X48" i="45"/>
  <c r="D48" i="45" s="1"/>
  <c r="W47" i="45"/>
  <c r="C47" i="45" s="1"/>
  <c r="Y45" i="45"/>
  <c r="E45" i="45" s="1"/>
  <c r="X44" i="45"/>
  <c r="D44" i="45" s="1"/>
  <c r="W42" i="45"/>
  <c r="C42" i="45" s="1"/>
  <c r="Y40" i="45"/>
  <c r="E40" i="45" s="1"/>
  <c r="X39" i="45"/>
  <c r="D39" i="45" s="1"/>
  <c r="W38" i="45"/>
  <c r="C38" i="45" s="1"/>
  <c r="Y36" i="45"/>
  <c r="E36" i="45" s="1"/>
  <c r="X34" i="45"/>
  <c r="D34" i="45" s="1"/>
  <c r="W33" i="45"/>
  <c r="C33" i="45" s="1"/>
  <c r="Y31" i="45"/>
  <c r="E31" i="45" s="1"/>
  <c r="X30" i="45"/>
  <c r="D30" i="45" s="1"/>
  <c r="W29" i="45"/>
  <c r="C29" i="45" s="1"/>
  <c r="Y26" i="45"/>
  <c r="E26" i="45" s="1"/>
  <c r="X25" i="45"/>
  <c r="D25" i="45" s="1"/>
  <c r="W24" i="45"/>
  <c r="C24" i="45" s="1"/>
  <c r="Y22" i="45"/>
  <c r="E22" i="45" s="1"/>
  <c r="X20" i="45"/>
  <c r="D20" i="45" s="1"/>
  <c r="W19" i="45"/>
  <c r="C19" i="45" s="1"/>
  <c r="Y17" i="45"/>
  <c r="E17" i="45" s="1"/>
  <c r="X16" i="45"/>
  <c r="D16" i="45" s="1"/>
  <c r="W15" i="45"/>
  <c r="C15" i="45" s="1"/>
  <c r="Y12" i="45"/>
  <c r="E12" i="45" s="1"/>
  <c r="X11" i="45"/>
  <c r="D11" i="45" s="1"/>
  <c r="W9" i="45"/>
  <c r="C9" i="45" s="1"/>
  <c r="AA14" i="45"/>
  <c r="G14" i="45" s="1"/>
  <c r="AA18" i="45"/>
  <c r="G18" i="45" s="1"/>
  <c r="AA23" i="45"/>
  <c r="G23" i="45" s="1"/>
  <c r="AA27" i="45"/>
  <c r="G27" i="45" s="1"/>
  <c r="AA32" i="45"/>
  <c r="G32" i="45" s="1"/>
  <c r="AA38" i="45"/>
  <c r="G38" i="45" s="1"/>
  <c r="AA44" i="45"/>
  <c r="G44" i="45" s="1"/>
  <c r="AA52" i="45"/>
  <c r="G52" i="45" s="1"/>
  <c r="AA64" i="45"/>
  <c r="G64" i="45" s="1"/>
  <c r="AD60" i="45"/>
  <c r="J60" i="45" s="1"/>
  <c r="AC55" i="45"/>
  <c r="I55" i="45" s="1"/>
  <c r="AB50" i="45"/>
  <c r="H50" i="45" s="1"/>
  <c r="AD44" i="45"/>
  <c r="J44" i="45" s="1"/>
  <c r="AC38" i="45"/>
  <c r="I38" i="45" s="1"/>
  <c r="AB32" i="45"/>
  <c r="H32" i="45" s="1"/>
  <c r="AD25" i="45"/>
  <c r="J25" i="45" s="1"/>
  <c r="AC19" i="45"/>
  <c r="I19" i="45" s="1"/>
  <c r="AB14" i="45"/>
  <c r="H14" i="45" s="1"/>
  <c r="BY3" i="57"/>
  <c r="F77" i="45" l="1"/>
  <c r="AC157" i="56" s="1"/>
  <c r="AM10" i="39"/>
  <c r="K10" i="39" s="1"/>
  <c r="AC127" i="56"/>
  <c r="AK127" i="56"/>
  <c r="K103" i="45"/>
  <c r="K108" i="45"/>
  <c r="K112" i="45"/>
  <c r="K116" i="45"/>
  <c r="K120" i="45"/>
  <c r="K124" i="45"/>
  <c r="F82" i="45"/>
  <c r="AC162" i="56" s="1"/>
  <c r="F101" i="45"/>
  <c r="AM43" i="39"/>
  <c r="K43" i="39" s="1"/>
  <c r="AM63" i="39"/>
  <c r="K63" i="39" s="1"/>
  <c r="AM46" i="39"/>
  <c r="K46" i="39" s="1"/>
  <c r="AM28" i="39"/>
  <c r="K28" i="39" s="1"/>
  <c r="AM60" i="39"/>
  <c r="K60" i="39" s="1"/>
  <c r="AM70" i="39"/>
  <c r="K70" i="39" s="1"/>
  <c r="AM54" i="39"/>
  <c r="K54" i="39" s="1"/>
  <c r="AM36" i="39"/>
  <c r="K36" i="39" s="1"/>
  <c r="AM17" i="39"/>
  <c r="K17" i="39" s="1"/>
  <c r="AM38" i="39"/>
  <c r="K38" i="39" s="1"/>
  <c r="AM61" i="39"/>
  <c r="K61" i="39" s="1"/>
  <c r="AM44" i="39"/>
  <c r="K44" i="39" s="1"/>
  <c r="AM25" i="39"/>
  <c r="K25" i="39" s="1"/>
  <c r="K105" i="45"/>
  <c r="K110" i="45"/>
  <c r="K114" i="45"/>
  <c r="K118" i="45"/>
  <c r="K122" i="45"/>
  <c r="K126" i="45"/>
  <c r="AM29" i="39"/>
  <c r="K29" i="39" s="1"/>
  <c r="AM59" i="39"/>
  <c r="K59" i="39" s="1"/>
  <c r="AM42" i="39"/>
  <c r="K42" i="39" s="1"/>
  <c r="AM23" i="39"/>
  <c r="K23" i="39" s="1"/>
  <c r="AM47" i="39"/>
  <c r="K47" i="39" s="1"/>
  <c r="AM66" i="39"/>
  <c r="K66" i="39" s="1"/>
  <c r="AM50" i="39"/>
  <c r="K50" i="39" s="1"/>
  <c r="AM31" i="39"/>
  <c r="K31" i="39" s="1"/>
  <c r="AM12" i="39"/>
  <c r="K12" i="39" s="1"/>
  <c r="AM24" i="39"/>
  <c r="K24" i="39" s="1"/>
  <c r="AM57" i="39"/>
  <c r="K57" i="39" s="1"/>
  <c r="AM39" i="39"/>
  <c r="K39" i="39" s="1"/>
  <c r="AM21" i="39"/>
  <c r="K21" i="39" s="1"/>
  <c r="K102" i="45"/>
  <c r="K107" i="45"/>
  <c r="K111" i="45"/>
  <c r="K115" i="45"/>
  <c r="K119" i="45"/>
  <c r="K123" i="45"/>
  <c r="K127" i="45"/>
  <c r="AM64" i="39"/>
  <c r="K64" i="39" s="1"/>
  <c r="AM15" i="39"/>
  <c r="K15" i="39" s="1"/>
  <c r="AM55" i="39"/>
  <c r="K55" i="39" s="1"/>
  <c r="AM37" i="39"/>
  <c r="K37" i="39" s="1"/>
  <c r="AM18" i="39"/>
  <c r="K18" i="39" s="1"/>
  <c r="AM33" i="39"/>
  <c r="K33" i="39" s="1"/>
  <c r="AM62" i="39"/>
  <c r="K62" i="39" s="1"/>
  <c r="AM45" i="39"/>
  <c r="K45" i="39" s="1"/>
  <c r="AM26" i="39"/>
  <c r="K26" i="39" s="1"/>
  <c r="AM68" i="39"/>
  <c r="K68" i="39" s="1"/>
  <c r="AM69" i="39"/>
  <c r="K69" i="39" s="1"/>
  <c r="AM53" i="39"/>
  <c r="K53" i="39" s="1"/>
  <c r="AM35" i="39"/>
  <c r="K35" i="39" s="1"/>
  <c r="AM16" i="39"/>
  <c r="K16" i="39" s="1"/>
  <c r="AM52" i="39"/>
  <c r="K52" i="39" s="1"/>
  <c r="AM67" i="39"/>
  <c r="K67" i="39" s="1"/>
  <c r="AM51" i="39"/>
  <c r="K51" i="39" s="1"/>
  <c r="AM32" i="39"/>
  <c r="K32" i="39" s="1"/>
  <c r="AM13" i="39"/>
  <c r="K13" i="39" s="1"/>
  <c r="AM20" i="39"/>
  <c r="K20" i="39" s="1"/>
  <c r="AM58" i="39"/>
  <c r="K58" i="39" s="1"/>
  <c r="AM40" i="39"/>
  <c r="K40" i="39" s="1"/>
  <c r="AM22" i="39"/>
  <c r="K22" i="39" s="1"/>
  <c r="AM56" i="39"/>
  <c r="K56" i="39" s="1"/>
  <c r="AM65" i="39"/>
  <c r="K65" i="39" s="1"/>
  <c r="AM48" i="39"/>
  <c r="K48" i="39" s="1"/>
  <c r="AM30" i="39"/>
  <c r="K30" i="39" s="1"/>
  <c r="F118" i="45"/>
  <c r="F87" i="45"/>
  <c r="AC182" i="56" s="1"/>
  <c r="F105" i="45"/>
  <c r="K40" i="45"/>
  <c r="F78" i="45"/>
  <c r="AC158" i="56" s="1"/>
  <c r="F96" i="45"/>
  <c r="F114" i="45"/>
  <c r="K104" i="45"/>
  <c r="K109" i="45"/>
  <c r="O94" i="55" s="1"/>
  <c r="K113" i="45"/>
  <c r="K117" i="45"/>
  <c r="K121" i="45"/>
  <c r="K125" i="45"/>
  <c r="F122" i="45"/>
  <c r="F37" i="45"/>
  <c r="F29" i="45"/>
  <c r="F83" i="45"/>
  <c r="AC163" i="56" s="1"/>
  <c r="F102" i="45"/>
  <c r="F119" i="45"/>
  <c r="F85" i="45"/>
  <c r="AC180" i="56" s="1"/>
  <c r="F103" i="45"/>
  <c r="F120" i="45"/>
  <c r="F95" i="45"/>
  <c r="F113" i="45"/>
  <c r="F39" i="45"/>
  <c r="K41" i="45"/>
  <c r="K39" i="45"/>
  <c r="F92" i="45"/>
  <c r="F110" i="45"/>
  <c r="F126" i="45"/>
  <c r="F88" i="45"/>
  <c r="AC183" i="56" s="1"/>
  <c r="F107" i="45"/>
  <c r="F123" i="45"/>
  <c r="F74" i="45"/>
  <c r="F89" i="45"/>
  <c r="AC184" i="56" s="1"/>
  <c r="F108" i="45"/>
  <c r="F124" i="45"/>
  <c r="F81" i="45"/>
  <c r="AC161" i="56" s="1"/>
  <c r="F100" i="45"/>
  <c r="F117" i="45"/>
  <c r="F36" i="45"/>
  <c r="F38" i="45"/>
  <c r="F93" i="45"/>
  <c r="F111" i="45"/>
  <c r="F127" i="45"/>
  <c r="F75" i="45"/>
  <c r="F94" i="45"/>
  <c r="F112" i="45"/>
  <c r="F86" i="45"/>
  <c r="AC181" i="56" s="1"/>
  <c r="F104" i="45"/>
  <c r="F121" i="45"/>
  <c r="F79" i="45"/>
  <c r="AC159" i="56" s="1"/>
  <c r="F97" i="45"/>
  <c r="F115" i="45"/>
  <c r="F80" i="45"/>
  <c r="AC160" i="56" s="1"/>
  <c r="F99" i="45"/>
  <c r="F116" i="45"/>
  <c r="F90" i="45"/>
  <c r="F109" i="45"/>
  <c r="F125" i="45"/>
  <c r="AK117" i="56"/>
  <c r="AK121" i="56"/>
  <c r="AK125" i="56"/>
  <c r="AK111" i="56"/>
  <c r="AC115" i="56"/>
  <c r="AC119" i="56"/>
  <c r="AC123" i="56"/>
  <c r="AC111" i="56"/>
  <c r="AK116" i="56"/>
  <c r="AK113" i="56"/>
  <c r="AC122" i="56"/>
  <c r="AK114" i="56"/>
  <c r="AK118" i="56"/>
  <c r="AK122" i="56"/>
  <c r="AK126" i="56"/>
  <c r="AC112" i="56"/>
  <c r="AC116" i="56"/>
  <c r="AC120" i="56"/>
  <c r="AC124" i="56"/>
  <c r="AK120" i="56"/>
  <c r="AC118" i="56"/>
  <c r="AK115" i="56"/>
  <c r="AK119" i="56"/>
  <c r="AK123" i="56"/>
  <c r="AK112" i="56"/>
  <c r="AC113" i="56"/>
  <c r="AC117" i="56"/>
  <c r="AC121" i="56"/>
  <c r="AC125" i="56"/>
  <c r="AK124" i="56"/>
  <c r="AC114" i="56"/>
  <c r="AC126" i="56"/>
  <c r="AL12" i="39"/>
  <c r="J12" i="39" s="1"/>
  <c r="AL17" i="39"/>
  <c r="J17" i="39" s="1"/>
  <c r="AL22" i="39"/>
  <c r="J22" i="39" s="1"/>
  <c r="AL26" i="39"/>
  <c r="J26" i="39" s="1"/>
  <c r="AL31" i="39"/>
  <c r="J31" i="39" s="1"/>
  <c r="AL36" i="39"/>
  <c r="J36" i="39" s="1"/>
  <c r="AL40" i="39"/>
  <c r="J40" i="39" s="1"/>
  <c r="AL45" i="39"/>
  <c r="J45" i="39" s="1"/>
  <c r="AL50" i="39"/>
  <c r="J50" i="39" s="1"/>
  <c r="AL54" i="39"/>
  <c r="J54" i="39" s="1"/>
  <c r="AL58" i="39"/>
  <c r="J58" i="39" s="1"/>
  <c r="AL62" i="39"/>
  <c r="J62" i="39" s="1"/>
  <c r="AL66" i="39"/>
  <c r="J66" i="39" s="1"/>
  <c r="AL70" i="39"/>
  <c r="J70" i="39" s="1"/>
  <c r="AL20" i="39"/>
  <c r="J20" i="39" s="1"/>
  <c r="AL29" i="39"/>
  <c r="J29" i="39" s="1"/>
  <c r="AL38" i="39"/>
  <c r="J38" i="39" s="1"/>
  <c r="AL47" i="39"/>
  <c r="J47" i="39" s="1"/>
  <c r="AL60" i="39"/>
  <c r="J60" i="39" s="1"/>
  <c r="AL68" i="39"/>
  <c r="J68" i="39" s="1"/>
  <c r="AL16" i="39"/>
  <c r="J16" i="39" s="1"/>
  <c r="AL21" i="39"/>
  <c r="J21" i="39" s="1"/>
  <c r="AL35" i="39"/>
  <c r="J35" i="39" s="1"/>
  <c r="AL44" i="39"/>
  <c r="J44" i="39" s="1"/>
  <c r="AL53" i="39"/>
  <c r="J53" i="39" s="1"/>
  <c r="AL61" i="39"/>
  <c r="J61" i="39" s="1"/>
  <c r="AL69" i="39"/>
  <c r="J69" i="39" s="1"/>
  <c r="AL13" i="39"/>
  <c r="J13" i="39" s="1"/>
  <c r="AL18" i="39"/>
  <c r="J18" i="39" s="1"/>
  <c r="AL23" i="39"/>
  <c r="J23" i="39" s="1"/>
  <c r="AL28" i="39"/>
  <c r="J28" i="39" s="1"/>
  <c r="AL32" i="39"/>
  <c r="J32" i="39" s="1"/>
  <c r="AL37" i="39"/>
  <c r="J37" i="39" s="1"/>
  <c r="AL42" i="39"/>
  <c r="J42" i="39" s="1"/>
  <c r="AL46" i="39"/>
  <c r="J46" i="39" s="1"/>
  <c r="AL51" i="39"/>
  <c r="J51" i="39" s="1"/>
  <c r="AL55" i="39"/>
  <c r="J55" i="39" s="1"/>
  <c r="AL59" i="39"/>
  <c r="J59" i="39" s="1"/>
  <c r="AL63" i="39"/>
  <c r="J63" i="39" s="1"/>
  <c r="AL67" i="39"/>
  <c r="J67" i="39" s="1"/>
  <c r="AL15" i="39"/>
  <c r="J15" i="39" s="1"/>
  <c r="AL24" i="39"/>
  <c r="J24" i="39" s="1"/>
  <c r="AL33" i="39"/>
  <c r="J33" i="39" s="1"/>
  <c r="AL43" i="39"/>
  <c r="J43" i="39" s="1"/>
  <c r="AL52" i="39"/>
  <c r="J52" i="39" s="1"/>
  <c r="AL56" i="39"/>
  <c r="J56" i="39" s="1"/>
  <c r="AL64" i="39"/>
  <c r="J64" i="39" s="1"/>
  <c r="AL10" i="39"/>
  <c r="J10" i="39" s="1"/>
  <c r="AL25" i="39"/>
  <c r="J25" i="39" s="1"/>
  <c r="AL30" i="39"/>
  <c r="J30" i="39" s="1"/>
  <c r="AL39" i="39"/>
  <c r="J39" i="39" s="1"/>
  <c r="AL48" i="39"/>
  <c r="J48" i="39" s="1"/>
  <c r="AL57" i="39"/>
  <c r="J57" i="39" s="1"/>
  <c r="AL65" i="39"/>
  <c r="J65" i="39" s="1"/>
  <c r="K9" i="45"/>
  <c r="Y12" i="39"/>
  <c r="W22" i="39"/>
  <c r="W40" i="39"/>
  <c r="W65" i="39"/>
  <c r="AH70" i="39"/>
  <c r="F70" i="39" s="1"/>
  <c r="AF69" i="39"/>
  <c r="D69" i="39" s="1"/>
  <c r="AD68" i="39"/>
  <c r="B68" i="39" s="1"/>
  <c r="AB67" i="39"/>
  <c r="Z66" i="39"/>
  <c r="X65" i="39"/>
  <c r="AJ63" i="39"/>
  <c r="H63" i="39" s="1"/>
  <c r="AH62" i="39"/>
  <c r="F62" i="39" s="1"/>
  <c r="AF61" i="39"/>
  <c r="D61" i="39" s="1"/>
  <c r="AD60" i="39"/>
  <c r="B60" i="39" s="1"/>
  <c r="AB59" i="39"/>
  <c r="Z58" i="39"/>
  <c r="X57" i="39"/>
  <c r="AE55" i="39"/>
  <c r="C55" i="39" s="1"/>
  <c r="AA53" i="39"/>
  <c r="AK50" i="39"/>
  <c r="I50" i="39" s="1"/>
  <c r="AG47" i="39"/>
  <c r="E47" i="39" s="1"/>
  <c r="AC45" i="39"/>
  <c r="Y43" i="39"/>
  <c r="AI39" i="39"/>
  <c r="G39" i="39" s="1"/>
  <c r="AE37" i="39"/>
  <c r="C37" i="39" s="1"/>
  <c r="AA35" i="39"/>
  <c r="AK31" i="39"/>
  <c r="I31" i="39" s="1"/>
  <c r="AG29" i="39"/>
  <c r="E29" i="39" s="1"/>
  <c r="AK24" i="39"/>
  <c r="I24" i="39" s="1"/>
  <c r="AC20" i="39"/>
  <c r="AI13" i="39"/>
  <c r="G13" i="39" s="1"/>
  <c r="W45" i="39"/>
  <c r="W51" i="39"/>
  <c r="AB69" i="39"/>
  <c r="X67" i="39"/>
  <c r="AH64" i="39"/>
  <c r="F64" i="39" s="1"/>
  <c r="AD62" i="39"/>
  <c r="B62" i="39" s="1"/>
  <c r="Z60" i="39"/>
  <c r="AJ57" i="39"/>
  <c r="H57" i="39" s="1"/>
  <c r="AG52" i="39"/>
  <c r="E52" i="39" s="1"/>
  <c r="Y47" i="39"/>
  <c r="AE42" i="39"/>
  <c r="C42" i="39" s="1"/>
  <c r="AK36" i="39"/>
  <c r="I36" i="39" s="1"/>
  <c r="AC31" i="39"/>
  <c r="AI23" i="39"/>
  <c r="G23" i="39" s="1"/>
  <c r="AG12" i="39"/>
  <c r="E12" i="39" s="1"/>
  <c r="W12" i="39"/>
  <c r="W31" i="39"/>
  <c r="W50" i="39"/>
  <c r="W55" i="39"/>
  <c r="Z70" i="39"/>
  <c r="X69" i="39"/>
  <c r="AJ67" i="39"/>
  <c r="H67" i="39" s="1"/>
  <c r="AH66" i="39"/>
  <c r="F66" i="39" s="1"/>
  <c r="AF65" i="39"/>
  <c r="D65" i="39" s="1"/>
  <c r="AD64" i="39"/>
  <c r="B64" i="39" s="1"/>
  <c r="AB63" i="39"/>
  <c r="Z62" i="39"/>
  <c r="X61" i="39"/>
  <c r="AJ59" i="39"/>
  <c r="H59" i="39" s="1"/>
  <c r="AH58" i="39"/>
  <c r="F58" i="39" s="1"/>
  <c r="AF57" i="39"/>
  <c r="D57" i="39" s="1"/>
  <c r="AD56" i="39"/>
  <c r="B56" i="39" s="1"/>
  <c r="AC54" i="39"/>
  <c r="Y52" i="39"/>
  <c r="AI48" i="39"/>
  <c r="G48" i="39" s="1"/>
  <c r="AE46" i="39"/>
  <c r="C46" i="39" s="1"/>
  <c r="AA44" i="39"/>
  <c r="AK40" i="39"/>
  <c r="I40" i="39" s="1"/>
  <c r="AG38" i="39"/>
  <c r="E38" i="39" s="1"/>
  <c r="AC36" i="39"/>
  <c r="Y33" i="39"/>
  <c r="AI30" i="39"/>
  <c r="G30" i="39" s="1"/>
  <c r="AA28" i="39"/>
  <c r="AG22" i="39"/>
  <c r="E22" i="39" s="1"/>
  <c r="Y17" i="39"/>
  <c r="AE10" i="39"/>
  <c r="C10" i="39" s="1"/>
  <c r="W26" i="39"/>
  <c r="AD70" i="39"/>
  <c r="B70" i="39" s="1"/>
  <c r="Z68" i="39"/>
  <c r="AJ65" i="39"/>
  <c r="H65" i="39" s="1"/>
  <c r="AF63" i="39"/>
  <c r="D63" i="39" s="1"/>
  <c r="AB61" i="39"/>
  <c r="X59" i="39"/>
  <c r="AH56" i="39"/>
  <c r="F56" i="39" s="1"/>
  <c r="AK54" i="39"/>
  <c r="I54" i="39" s="1"/>
  <c r="AC50" i="39"/>
  <c r="AI44" i="39"/>
  <c r="G44" i="39" s="1"/>
  <c r="AA39" i="39"/>
  <c r="AG33" i="39"/>
  <c r="E33" i="39" s="1"/>
  <c r="Y29" i="39"/>
  <c r="AA18" i="39"/>
  <c r="W17" i="39"/>
  <c r="W36" i="39"/>
  <c r="W70" i="39"/>
  <c r="W67" i="39"/>
  <c r="AJ69" i="39"/>
  <c r="H69" i="39" s="1"/>
  <c r="AH68" i="39"/>
  <c r="F68" i="39" s="1"/>
  <c r="AF67" i="39"/>
  <c r="D67" i="39" s="1"/>
  <c r="AD66" i="39"/>
  <c r="B66" i="39" s="1"/>
  <c r="AB65" i="39"/>
  <c r="Z64" i="39"/>
  <c r="X63" i="39"/>
  <c r="AJ61" i="39"/>
  <c r="H61" i="39" s="1"/>
  <c r="AH60" i="39"/>
  <c r="F60" i="39" s="1"/>
  <c r="AF59" i="39"/>
  <c r="D59" i="39" s="1"/>
  <c r="AD58" i="39"/>
  <c r="B58" i="39" s="1"/>
  <c r="AB57" i="39"/>
  <c r="Y56" i="39"/>
  <c r="AI53" i="39"/>
  <c r="G53" i="39" s="1"/>
  <c r="AE51" i="39"/>
  <c r="C51" i="39" s="1"/>
  <c r="AA48" i="39"/>
  <c r="AK45" i="39"/>
  <c r="I45" i="39" s="1"/>
  <c r="AG43" i="39"/>
  <c r="E43" i="39" s="1"/>
  <c r="AC40" i="39"/>
  <c r="Y38" i="39"/>
  <c r="AI35" i="39"/>
  <c r="G35" i="39" s="1"/>
  <c r="AE32" i="39"/>
  <c r="C32" i="39" s="1"/>
  <c r="AA30" i="39"/>
  <c r="Y26" i="39"/>
  <c r="AE21" i="39"/>
  <c r="C21" i="39" s="1"/>
  <c r="AK15" i="39"/>
  <c r="I15" i="39" s="1"/>
  <c r="W18" i="39"/>
  <c r="W28" i="39"/>
  <c r="W37" i="39"/>
  <c r="W46" i="39"/>
  <c r="W57" i="39"/>
  <c r="W52" i="39"/>
  <c r="AK70" i="39"/>
  <c r="I70" i="39" s="1"/>
  <c r="AC70" i="39"/>
  <c r="AI69" i="39"/>
  <c r="G69" i="39" s="1"/>
  <c r="AA69" i="39"/>
  <c r="AG68" i="39"/>
  <c r="E68" i="39" s="1"/>
  <c r="Y68" i="39"/>
  <c r="AE67" i="39"/>
  <c r="C67" i="39" s="1"/>
  <c r="AK66" i="39"/>
  <c r="I66" i="39" s="1"/>
  <c r="AC66" i="39"/>
  <c r="AI65" i="39"/>
  <c r="G65" i="39" s="1"/>
  <c r="AA65" i="39"/>
  <c r="AG64" i="39"/>
  <c r="E64" i="39" s="1"/>
  <c r="Y64" i="39"/>
  <c r="AE63" i="39"/>
  <c r="C63" i="39" s="1"/>
  <c r="AK62" i="39"/>
  <c r="I62" i="39" s="1"/>
  <c r="AC62" i="39"/>
  <c r="AI61" i="39"/>
  <c r="G61" i="39" s="1"/>
  <c r="AA61" i="39"/>
  <c r="AG60" i="39"/>
  <c r="E60" i="39" s="1"/>
  <c r="Y60" i="39"/>
  <c r="AE59" i="39"/>
  <c r="C59" i="39" s="1"/>
  <c r="AK58" i="39"/>
  <c r="I58" i="39" s="1"/>
  <c r="AC58" i="39"/>
  <c r="AI57" i="39"/>
  <c r="G57" i="39" s="1"/>
  <c r="AA57" i="39"/>
  <c r="AG56" i="39"/>
  <c r="E56" i="39" s="1"/>
  <c r="X56" i="39"/>
  <c r="AJ54" i="39"/>
  <c r="H54" i="39" s="1"/>
  <c r="AH53" i="39"/>
  <c r="F53" i="39" s="1"/>
  <c r="AF52" i="39"/>
  <c r="D52" i="39" s="1"/>
  <c r="AD51" i="39"/>
  <c r="B51" i="39" s="1"/>
  <c r="AB50" i="39"/>
  <c r="Z48" i="39"/>
  <c r="X47" i="39"/>
  <c r="AJ45" i="39"/>
  <c r="H45" i="39" s="1"/>
  <c r="AH44" i="39"/>
  <c r="F44" i="39" s="1"/>
  <c r="AF43" i="39"/>
  <c r="D43" i="39" s="1"/>
  <c r="AD42" i="39"/>
  <c r="B42" i="39" s="1"/>
  <c r="AB40" i="39"/>
  <c r="AF38" i="39"/>
  <c r="D38" i="39" s="1"/>
  <c r="AD37" i="39"/>
  <c r="B37" i="39" s="1"/>
  <c r="AB36" i="39"/>
  <c r="Z35" i="39"/>
  <c r="X33" i="39"/>
  <c r="AJ31" i="39"/>
  <c r="H31" i="39" s="1"/>
  <c r="AH30" i="39"/>
  <c r="F30" i="39" s="1"/>
  <c r="AF29" i="39"/>
  <c r="D29" i="39" s="1"/>
  <c r="Z28" i="39"/>
  <c r="AJ24" i="39"/>
  <c r="H24" i="39" s="1"/>
  <c r="AH13" i="39"/>
  <c r="F13" i="39" s="1"/>
  <c r="W15" i="39"/>
  <c r="W20" i="39"/>
  <c r="W24" i="39"/>
  <c r="W29" i="39"/>
  <c r="W33" i="39"/>
  <c r="W38" i="39"/>
  <c r="W43" i="39"/>
  <c r="W47" i="39"/>
  <c r="W64" i="39"/>
  <c r="W59" i="39"/>
  <c r="W58" i="39"/>
  <c r="W53" i="39"/>
  <c r="W60" i="39"/>
  <c r="AJ70" i="39"/>
  <c r="H70" i="39" s="1"/>
  <c r="AF70" i="39"/>
  <c r="D70" i="39" s="1"/>
  <c r="AB70" i="39"/>
  <c r="X70" i="39"/>
  <c r="AH69" i="39"/>
  <c r="F69" i="39" s="1"/>
  <c r="AD69" i="39"/>
  <c r="B69" i="39" s="1"/>
  <c r="Z69" i="39"/>
  <c r="AJ68" i="39"/>
  <c r="H68" i="39" s="1"/>
  <c r="AF68" i="39"/>
  <c r="D68" i="39" s="1"/>
  <c r="AB68" i="39"/>
  <c r="X68" i="39"/>
  <c r="AH67" i="39"/>
  <c r="F67" i="39" s="1"/>
  <c r="AD67" i="39"/>
  <c r="B67" i="39" s="1"/>
  <c r="Z67" i="39"/>
  <c r="AJ66" i="39"/>
  <c r="H66" i="39" s="1"/>
  <c r="AF66" i="39"/>
  <c r="D66" i="39" s="1"/>
  <c r="AB66" i="39"/>
  <c r="X66" i="39"/>
  <c r="AH65" i="39"/>
  <c r="F65" i="39" s="1"/>
  <c r="AD65" i="39"/>
  <c r="B65" i="39" s="1"/>
  <c r="Z65" i="39"/>
  <c r="AJ64" i="39"/>
  <c r="H64" i="39" s="1"/>
  <c r="AF64" i="39"/>
  <c r="D64" i="39" s="1"/>
  <c r="AB64" i="39"/>
  <c r="X64" i="39"/>
  <c r="AH63" i="39"/>
  <c r="F63" i="39" s="1"/>
  <c r="AD63" i="39"/>
  <c r="B63" i="39" s="1"/>
  <c r="Z63" i="39"/>
  <c r="AJ62" i="39"/>
  <c r="H62" i="39" s="1"/>
  <c r="AF62" i="39"/>
  <c r="D62" i="39" s="1"/>
  <c r="AB62" i="39"/>
  <c r="X62" i="39"/>
  <c r="AH61" i="39"/>
  <c r="F61" i="39" s="1"/>
  <c r="AD61" i="39"/>
  <c r="B61" i="39" s="1"/>
  <c r="Z61" i="39"/>
  <c r="AJ60" i="39"/>
  <c r="H60" i="39" s="1"/>
  <c r="AF60" i="39"/>
  <c r="D60" i="39" s="1"/>
  <c r="AB60" i="39"/>
  <c r="X60" i="39"/>
  <c r="AH59" i="39"/>
  <c r="F59" i="39" s="1"/>
  <c r="AD59" i="39"/>
  <c r="B59" i="39" s="1"/>
  <c r="Z59" i="39"/>
  <c r="AJ58" i="39"/>
  <c r="H58" i="39" s="1"/>
  <c r="AF58" i="39"/>
  <c r="D58" i="39" s="1"/>
  <c r="AB58" i="39"/>
  <c r="X58" i="39"/>
  <c r="AH57" i="39"/>
  <c r="F57" i="39" s="1"/>
  <c r="AD57" i="39"/>
  <c r="B57" i="39" s="1"/>
  <c r="Z57" i="39"/>
  <c r="AJ56" i="39"/>
  <c r="H56" i="39" s="1"/>
  <c r="AF56" i="39"/>
  <c r="D56" i="39" s="1"/>
  <c r="AB56" i="39"/>
  <c r="AI55" i="39"/>
  <c r="G55" i="39" s="1"/>
  <c r="AA55" i="39"/>
  <c r="AG54" i="39"/>
  <c r="E54" i="39" s="1"/>
  <c r="Y54" i="39"/>
  <c r="AE53" i="39"/>
  <c r="C53" i="39" s="1"/>
  <c r="AK52" i="39"/>
  <c r="I52" i="39" s="1"/>
  <c r="AC52" i="39"/>
  <c r="AI51" i="39"/>
  <c r="G51" i="39" s="1"/>
  <c r="AA51" i="39"/>
  <c r="AG50" i="39"/>
  <c r="E50" i="39" s="1"/>
  <c r="Y50" i="39"/>
  <c r="AE48" i="39"/>
  <c r="C48" i="39" s="1"/>
  <c r="AK47" i="39"/>
  <c r="I47" i="39" s="1"/>
  <c r="AC47" i="39"/>
  <c r="AI46" i="39"/>
  <c r="G46" i="39" s="1"/>
  <c r="AA46" i="39"/>
  <c r="AG45" i="39"/>
  <c r="E45" i="39" s="1"/>
  <c r="Y45" i="39"/>
  <c r="AE44" i="39"/>
  <c r="C44" i="39" s="1"/>
  <c r="AK43" i="39"/>
  <c r="I43" i="39" s="1"/>
  <c r="AC43" i="39"/>
  <c r="AI42" i="39"/>
  <c r="G42" i="39" s="1"/>
  <c r="AA42" i="39"/>
  <c r="AG40" i="39"/>
  <c r="E40" i="39" s="1"/>
  <c r="Y40" i="39"/>
  <c r="AE39" i="39"/>
  <c r="C39" i="39" s="1"/>
  <c r="AK38" i="39"/>
  <c r="I38" i="39" s="1"/>
  <c r="AC38" i="39"/>
  <c r="AI37" i="39"/>
  <c r="G37" i="39" s="1"/>
  <c r="AA37" i="39"/>
  <c r="AG36" i="39"/>
  <c r="E36" i="39" s="1"/>
  <c r="Y36" i="39"/>
  <c r="AE35" i="39"/>
  <c r="C35" i="39" s="1"/>
  <c r="AK33" i="39"/>
  <c r="I33" i="39" s="1"/>
  <c r="AC33" i="39"/>
  <c r="AI32" i="39"/>
  <c r="G32" i="39" s="1"/>
  <c r="AA32" i="39"/>
  <c r="AG31" i="39"/>
  <c r="E31" i="39" s="1"/>
  <c r="Y31" i="39"/>
  <c r="AE30" i="39"/>
  <c r="C30" i="39" s="1"/>
  <c r="AK29" i="39"/>
  <c r="I29" i="39" s="1"/>
  <c r="AC29" i="39"/>
  <c r="AI28" i="39"/>
  <c r="G28" i="39" s="1"/>
  <c r="AG26" i="39"/>
  <c r="E26" i="39" s="1"/>
  <c r="AE25" i="39"/>
  <c r="C25" i="39" s="1"/>
  <c r="AC24" i="39"/>
  <c r="AA23" i="39"/>
  <c r="Y22" i="39"/>
  <c r="AK20" i="39"/>
  <c r="I20" i="39" s="1"/>
  <c r="AI18" i="39"/>
  <c r="G18" i="39" s="1"/>
  <c r="AG17" i="39"/>
  <c r="E17" i="39" s="1"/>
  <c r="AE16" i="39"/>
  <c r="C16" i="39" s="1"/>
  <c r="AC15" i="39"/>
  <c r="AA13" i="39"/>
  <c r="X10" i="39"/>
  <c r="AB10" i="39"/>
  <c r="AF10" i="39"/>
  <c r="D10" i="39" s="1"/>
  <c r="AJ10" i="39"/>
  <c r="H10" i="39" s="1"/>
  <c r="Z12" i="39"/>
  <c r="AD12" i="39"/>
  <c r="B12" i="39" s="1"/>
  <c r="AH12" i="39"/>
  <c r="F12" i="39" s="1"/>
  <c r="X13" i="39"/>
  <c r="AB13" i="39"/>
  <c r="AF13" i="39"/>
  <c r="D13" i="39" s="1"/>
  <c r="AJ13" i="39"/>
  <c r="H13" i="39" s="1"/>
  <c r="Z15" i="39"/>
  <c r="AD15" i="39"/>
  <c r="B15" i="39" s="1"/>
  <c r="AH15" i="39"/>
  <c r="F15" i="39" s="1"/>
  <c r="X16" i="39"/>
  <c r="AB16" i="39"/>
  <c r="AF16" i="39"/>
  <c r="D16" i="39" s="1"/>
  <c r="AJ16" i="39"/>
  <c r="H16" i="39" s="1"/>
  <c r="Z17" i="39"/>
  <c r="AD17" i="39"/>
  <c r="B17" i="39" s="1"/>
  <c r="AH17" i="39"/>
  <c r="F17" i="39" s="1"/>
  <c r="X18" i="39"/>
  <c r="AB18" i="39"/>
  <c r="AF18" i="39"/>
  <c r="D18" i="39" s="1"/>
  <c r="AJ18" i="39"/>
  <c r="H18" i="39" s="1"/>
  <c r="Z20" i="39"/>
  <c r="AD20" i="39"/>
  <c r="B20" i="39" s="1"/>
  <c r="AH20" i="39"/>
  <c r="F20" i="39" s="1"/>
  <c r="X21" i="39"/>
  <c r="AB21" i="39"/>
  <c r="AF21" i="39"/>
  <c r="D21" i="39" s="1"/>
  <c r="AJ21" i="39"/>
  <c r="H21" i="39" s="1"/>
  <c r="Z22" i="39"/>
  <c r="AD22" i="39"/>
  <c r="B22" i="39" s="1"/>
  <c r="AH22" i="39"/>
  <c r="F22" i="39" s="1"/>
  <c r="X23" i="39"/>
  <c r="AB23" i="39"/>
  <c r="AF23" i="39"/>
  <c r="D23" i="39" s="1"/>
  <c r="AJ23" i="39"/>
  <c r="H23" i="39" s="1"/>
  <c r="Z24" i="39"/>
  <c r="AD24" i="39"/>
  <c r="B24" i="39" s="1"/>
  <c r="AH24" i="39"/>
  <c r="F24" i="39" s="1"/>
  <c r="X25" i="39"/>
  <c r="AB25" i="39"/>
  <c r="AF25" i="39"/>
  <c r="D25" i="39" s="1"/>
  <c r="AJ25" i="39"/>
  <c r="H25" i="39" s="1"/>
  <c r="Z26" i="39"/>
  <c r="AD26" i="39"/>
  <c r="B26" i="39" s="1"/>
  <c r="AH26" i="39"/>
  <c r="F26" i="39" s="1"/>
  <c r="X28" i="39"/>
  <c r="AB28" i="39"/>
  <c r="AF28" i="39"/>
  <c r="D28" i="39" s="1"/>
  <c r="Y10" i="39"/>
  <c r="AC10" i="39"/>
  <c r="AG10" i="39"/>
  <c r="E10" i="39" s="1"/>
  <c r="AK10" i="39"/>
  <c r="I10" i="39" s="1"/>
  <c r="AA12" i="39"/>
  <c r="AE12" i="39"/>
  <c r="C12" i="39" s="1"/>
  <c r="AI12" i="39"/>
  <c r="G12" i="39" s="1"/>
  <c r="Y13" i="39"/>
  <c r="AC13" i="39"/>
  <c r="AG13" i="39"/>
  <c r="E13" i="39" s="1"/>
  <c r="AK13" i="39"/>
  <c r="I13" i="39" s="1"/>
  <c r="AA15" i="39"/>
  <c r="AE15" i="39"/>
  <c r="C15" i="39" s="1"/>
  <c r="AI15" i="39"/>
  <c r="G15" i="39" s="1"/>
  <c r="Y16" i="39"/>
  <c r="AC16" i="39"/>
  <c r="AG16" i="39"/>
  <c r="E16" i="39" s="1"/>
  <c r="AK16" i="39"/>
  <c r="I16" i="39" s="1"/>
  <c r="AA17" i="39"/>
  <c r="AE17" i="39"/>
  <c r="C17" i="39" s="1"/>
  <c r="AI17" i="39"/>
  <c r="G17" i="39" s="1"/>
  <c r="Y18" i="39"/>
  <c r="AC18" i="39"/>
  <c r="AG18" i="39"/>
  <c r="E18" i="39" s="1"/>
  <c r="AK18" i="39"/>
  <c r="I18" i="39" s="1"/>
  <c r="AA20" i="39"/>
  <c r="AE20" i="39"/>
  <c r="C20" i="39" s="1"/>
  <c r="AI20" i="39"/>
  <c r="G20" i="39" s="1"/>
  <c r="Y21" i="39"/>
  <c r="AC21" i="39"/>
  <c r="AG21" i="39"/>
  <c r="E21" i="39" s="1"/>
  <c r="AK21" i="39"/>
  <c r="I21" i="39" s="1"/>
  <c r="AA22" i="39"/>
  <c r="AE22" i="39"/>
  <c r="C22" i="39" s="1"/>
  <c r="AI22" i="39"/>
  <c r="G22" i="39" s="1"/>
  <c r="Y23" i="39"/>
  <c r="AC23" i="39"/>
  <c r="AG23" i="39"/>
  <c r="E23" i="39" s="1"/>
  <c r="AK23" i="39"/>
  <c r="I23" i="39" s="1"/>
  <c r="AA24" i="39"/>
  <c r="AE24" i="39"/>
  <c r="C24" i="39" s="1"/>
  <c r="AI24" i="39"/>
  <c r="G24" i="39" s="1"/>
  <c r="Y25" i="39"/>
  <c r="AC25" i="39"/>
  <c r="AG25" i="39"/>
  <c r="E25" i="39" s="1"/>
  <c r="AK25" i="39"/>
  <c r="I25" i="39" s="1"/>
  <c r="AA26" i="39"/>
  <c r="AE26" i="39"/>
  <c r="C26" i="39" s="1"/>
  <c r="AI26" i="39"/>
  <c r="G26" i="39" s="1"/>
  <c r="Y28" i="39"/>
  <c r="AC28" i="39"/>
  <c r="AG28" i="39"/>
  <c r="E28" i="39" s="1"/>
  <c r="Z10" i="39"/>
  <c r="AH10" i="39"/>
  <c r="F10" i="39" s="1"/>
  <c r="AB12" i="39"/>
  <c r="AJ12" i="39"/>
  <c r="H12" i="39" s="1"/>
  <c r="AD13" i="39"/>
  <c r="B13" i="39" s="1"/>
  <c r="X15" i="39"/>
  <c r="AF15" i="39"/>
  <c r="D15" i="39" s="1"/>
  <c r="Z16" i="39"/>
  <c r="AH16" i="39"/>
  <c r="F16" i="39" s="1"/>
  <c r="AB17" i="39"/>
  <c r="AJ17" i="39"/>
  <c r="H17" i="39" s="1"/>
  <c r="AD18" i="39"/>
  <c r="B18" i="39" s="1"/>
  <c r="X20" i="39"/>
  <c r="AF20" i="39"/>
  <c r="D20" i="39" s="1"/>
  <c r="Z21" i="39"/>
  <c r="AH21" i="39"/>
  <c r="F21" i="39" s="1"/>
  <c r="AB22" i="39"/>
  <c r="AJ22" i="39"/>
  <c r="H22" i="39" s="1"/>
  <c r="AD23" i="39"/>
  <c r="B23" i="39" s="1"/>
  <c r="X24" i="39"/>
  <c r="AF24" i="39"/>
  <c r="D24" i="39" s="1"/>
  <c r="Z25" i="39"/>
  <c r="AH25" i="39"/>
  <c r="F25" i="39" s="1"/>
  <c r="AB26" i="39"/>
  <c r="AJ26" i="39"/>
  <c r="H26" i="39" s="1"/>
  <c r="AD28" i="39"/>
  <c r="B28" i="39" s="1"/>
  <c r="AJ28" i="39"/>
  <c r="H28" i="39" s="1"/>
  <c r="Z29" i="39"/>
  <c r="AD29" i="39"/>
  <c r="B29" i="39" s="1"/>
  <c r="AH29" i="39"/>
  <c r="F29" i="39" s="1"/>
  <c r="X30" i="39"/>
  <c r="AB30" i="39"/>
  <c r="AF30" i="39"/>
  <c r="D30" i="39" s="1"/>
  <c r="AJ30" i="39"/>
  <c r="H30" i="39" s="1"/>
  <c r="Z31" i="39"/>
  <c r="AD31" i="39"/>
  <c r="B31" i="39" s="1"/>
  <c r="AH31" i="39"/>
  <c r="F31" i="39" s="1"/>
  <c r="X32" i="39"/>
  <c r="AB32" i="39"/>
  <c r="AF32" i="39"/>
  <c r="D32" i="39" s="1"/>
  <c r="AJ32" i="39"/>
  <c r="H32" i="39" s="1"/>
  <c r="Z33" i="39"/>
  <c r="AD33" i="39"/>
  <c r="B33" i="39" s="1"/>
  <c r="AH33" i="39"/>
  <c r="F33" i="39" s="1"/>
  <c r="X35" i="39"/>
  <c r="AB35" i="39"/>
  <c r="AF35" i="39"/>
  <c r="D35" i="39" s="1"/>
  <c r="AJ35" i="39"/>
  <c r="H35" i="39" s="1"/>
  <c r="Z36" i="39"/>
  <c r="AD36" i="39"/>
  <c r="B36" i="39" s="1"/>
  <c r="AH36" i="39"/>
  <c r="F36" i="39" s="1"/>
  <c r="X37" i="39"/>
  <c r="AB37" i="39"/>
  <c r="AF37" i="39"/>
  <c r="D37" i="39" s="1"/>
  <c r="AJ37" i="39"/>
  <c r="H37" i="39" s="1"/>
  <c r="Z38" i="39"/>
  <c r="AD38" i="39"/>
  <c r="B38" i="39" s="1"/>
  <c r="AH38" i="39"/>
  <c r="F38" i="39" s="1"/>
  <c r="X39" i="39"/>
  <c r="AB39" i="39"/>
  <c r="AF39" i="39"/>
  <c r="D39" i="39" s="1"/>
  <c r="AJ39" i="39"/>
  <c r="H39" i="39" s="1"/>
  <c r="Z40" i="39"/>
  <c r="AD40" i="39"/>
  <c r="B40" i="39" s="1"/>
  <c r="AH40" i="39"/>
  <c r="F40" i="39" s="1"/>
  <c r="X42" i="39"/>
  <c r="AB42" i="39"/>
  <c r="AF42" i="39"/>
  <c r="D42" i="39" s="1"/>
  <c r="AJ42" i="39"/>
  <c r="H42" i="39" s="1"/>
  <c r="Z43" i="39"/>
  <c r="AD43" i="39"/>
  <c r="B43" i="39" s="1"/>
  <c r="AH43" i="39"/>
  <c r="F43" i="39" s="1"/>
  <c r="X44" i="39"/>
  <c r="AB44" i="39"/>
  <c r="AF44" i="39"/>
  <c r="D44" i="39" s="1"/>
  <c r="AJ44" i="39"/>
  <c r="H44" i="39" s="1"/>
  <c r="Z45" i="39"/>
  <c r="AD45" i="39"/>
  <c r="B45" i="39" s="1"/>
  <c r="AH45" i="39"/>
  <c r="F45" i="39" s="1"/>
  <c r="X46" i="39"/>
  <c r="AB46" i="39"/>
  <c r="AF46" i="39"/>
  <c r="D46" i="39" s="1"/>
  <c r="AJ46" i="39"/>
  <c r="H46" i="39" s="1"/>
  <c r="Z47" i="39"/>
  <c r="AD47" i="39"/>
  <c r="B47" i="39" s="1"/>
  <c r="AH47" i="39"/>
  <c r="F47" i="39" s="1"/>
  <c r="X48" i="39"/>
  <c r="AB48" i="39"/>
  <c r="AF48" i="39"/>
  <c r="D48" i="39" s="1"/>
  <c r="AJ48" i="39"/>
  <c r="H48" i="39" s="1"/>
  <c r="Z50" i="39"/>
  <c r="AD50" i="39"/>
  <c r="B50" i="39" s="1"/>
  <c r="AH50" i="39"/>
  <c r="F50" i="39" s="1"/>
  <c r="X51" i="39"/>
  <c r="AB51" i="39"/>
  <c r="AF51" i="39"/>
  <c r="D51" i="39" s="1"/>
  <c r="AJ51" i="39"/>
  <c r="H51" i="39" s="1"/>
  <c r="Z52" i="39"/>
  <c r="AD52" i="39"/>
  <c r="B52" i="39" s="1"/>
  <c r="AH52" i="39"/>
  <c r="F52" i="39" s="1"/>
  <c r="X53" i="39"/>
  <c r="AB53" i="39"/>
  <c r="AF53" i="39"/>
  <c r="D53" i="39" s="1"/>
  <c r="AJ53" i="39"/>
  <c r="H53" i="39" s="1"/>
  <c r="Z54" i="39"/>
  <c r="AD54" i="39"/>
  <c r="B54" i="39" s="1"/>
  <c r="AH54" i="39"/>
  <c r="F54" i="39" s="1"/>
  <c r="X55" i="39"/>
  <c r="AB55" i="39"/>
  <c r="AF55" i="39"/>
  <c r="D55" i="39" s="1"/>
  <c r="AJ55" i="39"/>
  <c r="H55" i="39" s="1"/>
  <c r="Z56" i="39"/>
  <c r="AA10" i="39"/>
  <c r="AI10" i="39"/>
  <c r="G10" i="39" s="1"/>
  <c r="AC12" i="39"/>
  <c r="AK12" i="39"/>
  <c r="I12" i="39" s="1"/>
  <c r="AE13" i="39"/>
  <c r="C13" i="39" s="1"/>
  <c r="Y15" i="39"/>
  <c r="AG15" i="39"/>
  <c r="E15" i="39" s="1"/>
  <c r="AA16" i="39"/>
  <c r="AI16" i="39"/>
  <c r="G16" i="39" s="1"/>
  <c r="AC17" i="39"/>
  <c r="AK17" i="39"/>
  <c r="I17" i="39" s="1"/>
  <c r="AE18" i="39"/>
  <c r="C18" i="39" s="1"/>
  <c r="Y20" i="39"/>
  <c r="AG20" i="39"/>
  <c r="E20" i="39" s="1"/>
  <c r="AA21" i="39"/>
  <c r="AI21" i="39"/>
  <c r="G21" i="39" s="1"/>
  <c r="AC22" i="39"/>
  <c r="AK22" i="39"/>
  <c r="I22" i="39" s="1"/>
  <c r="AE23" i="39"/>
  <c r="C23" i="39" s="1"/>
  <c r="Y24" i="39"/>
  <c r="AG24" i="39"/>
  <c r="E24" i="39" s="1"/>
  <c r="AA25" i="39"/>
  <c r="AI25" i="39"/>
  <c r="G25" i="39" s="1"/>
  <c r="AC26" i="39"/>
  <c r="AK26" i="39"/>
  <c r="I26" i="39" s="1"/>
  <c r="AE28" i="39"/>
  <c r="C28" i="39" s="1"/>
  <c r="AK28" i="39"/>
  <c r="I28" i="39" s="1"/>
  <c r="AA29" i="39"/>
  <c r="AE29" i="39"/>
  <c r="C29" i="39" s="1"/>
  <c r="AI29" i="39"/>
  <c r="G29" i="39" s="1"/>
  <c r="Y30" i="39"/>
  <c r="AC30" i="39"/>
  <c r="AG30" i="39"/>
  <c r="E30" i="39" s="1"/>
  <c r="AK30" i="39"/>
  <c r="I30" i="39" s="1"/>
  <c r="AA31" i="39"/>
  <c r="AE31" i="39"/>
  <c r="C31" i="39" s="1"/>
  <c r="AI31" i="39"/>
  <c r="G31" i="39" s="1"/>
  <c r="Y32" i="39"/>
  <c r="AC32" i="39"/>
  <c r="AG32" i="39"/>
  <c r="E32" i="39" s="1"/>
  <c r="AK32" i="39"/>
  <c r="I32" i="39" s="1"/>
  <c r="AA33" i="39"/>
  <c r="AE33" i="39"/>
  <c r="C33" i="39" s="1"/>
  <c r="AI33" i="39"/>
  <c r="G33" i="39" s="1"/>
  <c r="Y35" i="39"/>
  <c r="AC35" i="39"/>
  <c r="AG35" i="39"/>
  <c r="E35" i="39" s="1"/>
  <c r="AK35" i="39"/>
  <c r="I35" i="39" s="1"/>
  <c r="AA36" i="39"/>
  <c r="AE36" i="39"/>
  <c r="C36" i="39" s="1"/>
  <c r="AI36" i="39"/>
  <c r="G36" i="39" s="1"/>
  <c r="Y37" i="39"/>
  <c r="AC37" i="39"/>
  <c r="AG37" i="39"/>
  <c r="E37" i="39" s="1"/>
  <c r="AK37" i="39"/>
  <c r="I37" i="39" s="1"/>
  <c r="AA38" i="39"/>
  <c r="AE38" i="39"/>
  <c r="C38" i="39" s="1"/>
  <c r="AI38" i="39"/>
  <c r="G38" i="39" s="1"/>
  <c r="Y39" i="39"/>
  <c r="AC39" i="39"/>
  <c r="AG39" i="39"/>
  <c r="E39" i="39" s="1"/>
  <c r="AK39" i="39"/>
  <c r="I39" i="39" s="1"/>
  <c r="AA40" i="39"/>
  <c r="AE40" i="39"/>
  <c r="C40" i="39" s="1"/>
  <c r="AI40" i="39"/>
  <c r="G40" i="39" s="1"/>
  <c r="Y42" i="39"/>
  <c r="AC42" i="39"/>
  <c r="AG42" i="39"/>
  <c r="E42" i="39" s="1"/>
  <c r="AK42" i="39"/>
  <c r="I42" i="39" s="1"/>
  <c r="AA43" i="39"/>
  <c r="AE43" i="39"/>
  <c r="C43" i="39" s="1"/>
  <c r="AI43" i="39"/>
  <c r="G43" i="39" s="1"/>
  <c r="Y44" i="39"/>
  <c r="AC44" i="39"/>
  <c r="AG44" i="39"/>
  <c r="E44" i="39" s="1"/>
  <c r="AK44" i="39"/>
  <c r="I44" i="39" s="1"/>
  <c r="AA45" i="39"/>
  <c r="AE45" i="39"/>
  <c r="C45" i="39" s="1"/>
  <c r="AI45" i="39"/>
  <c r="G45" i="39" s="1"/>
  <c r="Y46" i="39"/>
  <c r="AC46" i="39"/>
  <c r="AG46" i="39"/>
  <c r="E46" i="39" s="1"/>
  <c r="AK46" i="39"/>
  <c r="I46" i="39" s="1"/>
  <c r="AA47" i="39"/>
  <c r="AE47" i="39"/>
  <c r="C47" i="39" s="1"/>
  <c r="AI47" i="39"/>
  <c r="G47" i="39" s="1"/>
  <c r="Y48" i="39"/>
  <c r="AC48" i="39"/>
  <c r="AG48" i="39"/>
  <c r="E48" i="39" s="1"/>
  <c r="AK48" i="39"/>
  <c r="I48" i="39" s="1"/>
  <c r="AA50" i="39"/>
  <c r="AE50" i="39"/>
  <c r="C50" i="39" s="1"/>
  <c r="AI50" i="39"/>
  <c r="G50" i="39" s="1"/>
  <c r="Y51" i="39"/>
  <c r="AC51" i="39"/>
  <c r="AG51" i="39"/>
  <c r="E51" i="39" s="1"/>
  <c r="AK51" i="39"/>
  <c r="I51" i="39" s="1"/>
  <c r="AA52" i="39"/>
  <c r="AE52" i="39"/>
  <c r="C52" i="39" s="1"/>
  <c r="AI52" i="39"/>
  <c r="G52" i="39" s="1"/>
  <c r="Y53" i="39"/>
  <c r="AC53" i="39"/>
  <c r="AG53" i="39"/>
  <c r="E53" i="39" s="1"/>
  <c r="AK53" i="39"/>
  <c r="I53" i="39" s="1"/>
  <c r="AA54" i="39"/>
  <c r="AE54" i="39"/>
  <c r="C54" i="39" s="1"/>
  <c r="AI54" i="39"/>
  <c r="G54" i="39" s="1"/>
  <c r="Y55" i="39"/>
  <c r="AC55" i="39"/>
  <c r="AG55" i="39"/>
  <c r="E55" i="39" s="1"/>
  <c r="AK55" i="39"/>
  <c r="I55" i="39" s="1"/>
  <c r="W13" i="39"/>
  <c r="W23" i="39"/>
  <c r="W32" i="39"/>
  <c r="W42" i="39"/>
  <c r="W61" i="39"/>
  <c r="W69" i="39"/>
  <c r="W56" i="39"/>
  <c r="AG70" i="39"/>
  <c r="E70" i="39" s="1"/>
  <c r="Y70" i="39"/>
  <c r="AE69" i="39"/>
  <c r="C69" i="39" s="1"/>
  <c r="AK68" i="39"/>
  <c r="I68" i="39" s="1"/>
  <c r="AC68" i="39"/>
  <c r="AI67" i="39"/>
  <c r="G67" i="39" s="1"/>
  <c r="AA67" i="39"/>
  <c r="AG66" i="39"/>
  <c r="E66" i="39" s="1"/>
  <c r="Y66" i="39"/>
  <c r="AE65" i="39"/>
  <c r="C65" i="39" s="1"/>
  <c r="AK64" i="39"/>
  <c r="I64" i="39" s="1"/>
  <c r="AC64" i="39"/>
  <c r="AI63" i="39"/>
  <c r="G63" i="39" s="1"/>
  <c r="AA63" i="39"/>
  <c r="AG62" i="39"/>
  <c r="E62" i="39" s="1"/>
  <c r="Y62" i="39"/>
  <c r="AE61" i="39"/>
  <c r="C61" i="39" s="1"/>
  <c r="AK60" i="39"/>
  <c r="I60" i="39" s="1"/>
  <c r="AC60" i="39"/>
  <c r="AI59" i="39"/>
  <c r="G59" i="39" s="1"/>
  <c r="AA59" i="39"/>
  <c r="AG58" i="39"/>
  <c r="E58" i="39" s="1"/>
  <c r="Y58" i="39"/>
  <c r="AE57" i="39"/>
  <c r="C57" i="39" s="1"/>
  <c r="AK56" i="39"/>
  <c r="I56" i="39" s="1"/>
  <c r="AC56" i="39"/>
  <c r="AD55" i="39"/>
  <c r="B55" i="39" s="1"/>
  <c r="AB54" i="39"/>
  <c r="Z53" i="39"/>
  <c r="X52" i="39"/>
  <c r="AJ50" i="39"/>
  <c r="H50" i="39" s="1"/>
  <c r="AH48" i="39"/>
  <c r="F48" i="39" s="1"/>
  <c r="AF47" i="39"/>
  <c r="D47" i="39" s="1"/>
  <c r="AD46" i="39"/>
  <c r="B46" i="39" s="1"/>
  <c r="AB45" i="39"/>
  <c r="Z44" i="39"/>
  <c r="X43" i="39"/>
  <c r="AJ40" i="39"/>
  <c r="H40" i="39" s="1"/>
  <c r="AH39" i="39"/>
  <c r="F39" i="39" s="1"/>
  <c r="Z39" i="39"/>
  <c r="X38" i="39"/>
  <c r="AJ36" i="39"/>
  <c r="H36" i="39" s="1"/>
  <c r="AH35" i="39"/>
  <c r="F35" i="39" s="1"/>
  <c r="AF33" i="39"/>
  <c r="D33" i="39" s="1"/>
  <c r="AD32" i="39"/>
  <c r="B32" i="39" s="1"/>
  <c r="AB31" i="39"/>
  <c r="Z30" i="39"/>
  <c r="X29" i="39"/>
  <c r="X26" i="39"/>
  <c r="AH23" i="39"/>
  <c r="F23" i="39" s="1"/>
  <c r="AF22" i="39"/>
  <c r="D22" i="39" s="1"/>
  <c r="AD21" i="39"/>
  <c r="B21" i="39" s="1"/>
  <c r="AB20" i="39"/>
  <c r="Z18" i="39"/>
  <c r="X17" i="39"/>
  <c r="AJ15" i="39"/>
  <c r="H15" i="39" s="1"/>
  <c r="AF12" i="39"/>
  <c r="D12" i="39" s="1"/>
  <c r="AD10" i="39"/>
  <c r="B10" i="39" s="1"/>
  <c r="W10" i="39"/>
  <c r="W16" i="39"/>
  <c r="W21" i="39"/>
  <c r="W25" i="39"/>
  <c r="W30" i="39"/>
  <c r="W35" i="39"/>
  <c r="W39" i="39"/>
  <c r="W44" i="39"/>
  <c r="W48" i="39"/>
  <c r="W66" i="39"/>
  <c r="W63" i="39"/>
  <c r="W68" i="39"/>
  <c r="W54" i="39"/>
  <c r="W62" i="39"/>
  <c r="AI70" i="39"/>
  <c r="G70" i="39" s="1"/>
  <c r="AE70" i="39"/>
  <c r="C70" i="39" s="1"/>
  <c r="AA70" i="39"/>
  <c r="AK69" i="39"/>
  <c r="I69" i="39" s="1"/>
  <c r="AG69" i="39"/>
  <c r="E69" i="39" s="1"/>
  <c r="AC69" i="39"/>
  <c r="Y69" i="39"/>
  <c r="AI68" i="39"/>
  <c r="G68" i="39" s="1"/>
  <c r="AE68" i="39"/>
  <c r="C68" i="39" s="1"/>
  <c r="AA68" i="39"/>
  <c r="AK67" i="39"/>
  <c r="I67" i="39" s="1"/>
  <c r="AG67" i="39"/>
  <c r="E67" i="39" s="1"/>
  <c r="AC67" i="39"/>
  <c r="Y67" i="39"/>
  <c r="AI66" i="39"/>
  <c r="G66" i="39" s="1"/>
  <c r="AE66" i="39"/>
  <c r="C66" i="39" s="1"/>
  <c r="AA66" i="39"/>
  <c r="AK65" i="39"/>
  <c r="I65" i="39" s="1"/>
  <c r="AG65" i="39"/>
  <c r="E65" i="39" s="1"/>
  <c r="AC65" i="39"/>
  <c r="Y65" i="39"/>
  <c r="AI64" i="39"/>
  <c r="G64" i="39" s="1"/>
  <c r="AE64" i="39"/>
  <c r="C64" i="39" s="1"/>
  <c r="AA64" i="39"/>
  <c r="AK63" i="39"/>
  <c r="I63" i="39" s="1"/>
  <c r="AG63" i="39"/>
  <c r="E63" i="39" s="1"/>
  <c r="AC63" i="39"/>
  <c r="Y63" i="39"/>
  <c r="AI62" i="39"/>
  <c r="G62" i="39" s="1"/>
  <c r="AE62" i="39"/>
  <c r="C62" i="39" s="1"/>
  <c r="AA62" i="39"/>
  <c r="AK61" i="39"/>
  <c r="I61" i="39" s="1"/>
  <c r="AG61" i="39"/>
  <c r="E61" i="39" s="1"/>
  <c r="AC61" i="39"/>
  <c r="Y61" i="39"/>
  <c r="AI60" i="39"/>
  <c r="G60" i="39" s="1"/>
  <c r="AE60" i="39"/>
  <c r="C60" i="39" s="1"/>
  <c r="AA60" i="39"/>
  <c r="AK59" i="39"/>
  <c r="I59" i="39" s="1"/>
  <c r="AG59" i="39"/>
  <c r="E59" i="39" s="1"/>
  <c r="AC59" i="39"/>
  <c r="Y59" i="39"/>
  <c r="AI58" i="39"/>
  <c r="G58" i="39" s="1"/>
  <c r="AE58" i="39"/>
  <c r="C58" i="39" s="1"/>
  <c r="AA58" i="39"/>
  <c r="AK57" i="39"/>
  <c r="I57" i="39" s="1"/>
  <c r="AG57" i="39"/>
  <c r="E57" i="39" s="1"/>
  <c r="AC57" i="39"/>
  <c r="Y57" i="39"/>
  <c r="AI56" i="39"/>
  <c r="G56" i="39" s="1"/>
  <c r="AE56" i="39"/>
  <c r="C56" i="39" s="1"/>
  <c r="AA56" i="39"/>
  <c r="AH55" i="39"/>
  <c r="F55" i="39" s="1"/>
  <c r="Z55" i="39"/>
  <c r="AF54" i="39"/>
  <c r="D54" i="39" s="1"/>
  <c r="X54" i="39"/>
  <c r="AD53" i="39"/>
  <c r="B53" i="39" s="1"/>
  <c r="AJ52" i="39"/>
  <c r="H52" i="39" s="1"/>
  <c r="AB52" i="39"/>
  <c r="AH51" i="39"/>
  <c r="F51" i="39" s="1"/>
  <c r="Z51" i="39"/>
  <c r="AF50" i="39"/>
  <c r="D50" i="39" s="1"/>
  <c r="X50" i="39"/>
  <c r="AD48" i="39"/>
  <c r="B48" i="39" s="1"/>
  <c r="AJ47" i="39"/>
  <c r="H47" i="39" s="1"/>
  <c r="AB47" i="39"/>
  <c r="AH46" i="39"/>
  <c r="F46" i="39" s="1"/>
  <c r="Z46" i="39"/>
  <c r="AF45" i="39"/>
  <c r="D45" i="39" s="1"/>
  <c r="X45" i="39"/>
  <c r="AD44" i="39"/>
  <c r="B44" i="39" s="1"/>
  <c r="AJ43" i="39"/>
  <c r="H43" i="39" s="1"/>
  <c r="AB43" i="39"/>
  <c r="AH42" i="39"/>
  <c r="F42" i="39" s="1"/>
  <c r="Z42" i="39"/>
  <c r="AF40" i="39"/>
  <c r="D40" i="39" s="1"/>
  <c r="X40" i="39"/>
  <c r="AD39" i="39"/>
  <c r="B39" i="39" s="1"/>
  <c r="AJ38" i="39"/>
  <c r="H38" i="39" s="1"/>
  <c r="AB38" i="39"/>
  <c r="AH37" i="39"/>
  <c r="F37" i="39" s="1"/>
  <c r="Z37" i="39"/>
  <c r="AF36" i="39"/>
  <c r="D36" i="39" s="1"/>
  <c r="X36" i="39"/>
  <c r="AD35" i="39"/>
  <c r="B35" i="39" s="1"/>
  <c r="AJ33" i="39"/>
  <c r="H33" i="39" s="1"/>
  <c r="AB33" i="39"/>
  <c r="AH32" i="39"/>
  <c r="F32" i="39" s="1"/>
  <c r="Z32" i="39"/>
  <c r="AF31" i="39"/>
  <c r="D31" i="39" s="1"/>
  <c r="X31" i="39"/>
  <c r="AD30" i="39"/>
  <c r="B30" i="39" s="1"/>
  <c r="AJ29" i="39"/>
  <c r="H29" i="39" s="1"/>
  <c r="AB29" i="39"/>
  <c r="AH28" i="39"/>
  <c r="F28" i="39" s="1"/>
  <c r="AF26" i="39"/>
  <c r="D26" i="39" s="1"/>
  <c r="AD25" i="39"/>
  <c r="B25" i="39" s="1"/>
  <c r="AB24" i="39"/>
  <c r="Z23" i="39"/>
  <c r="X22" i="39"/>
  <c r="AJ20" i="39"/>
  <c r="H20" i="39" s="1"/>
  <c r="AH18" i="39"/>
  <c r="F18" i="39" s="1"/>
  <c r="AF17" i="39"/>
  <c r="D17" i="39" s="1"/>
  <c r="AD16" i="39"/>
  <c r="B16" i="39" s="1"/>
  <c r="AB15" i="39"/>
  <c r="Z13" i="39"/>
  <c r="X12" i="39"/>
  <c r="L68" i="39" l="1"/>
  <c r="L58" i="39"/>
  <c r="L70" i="39"/>
  <c r="L54" i="39"/>
  <c r="L66" i="39"/>
  <c r="L60" i="39"/>
  <c r="L10" i="39"/>
  <c r="L24" i="39"/>
  <c r="L31" i="39"/>
  <c r="L21" i="39"/>
  <c r="L56" i="39"/>
  <c r="L26" i="39"/>
  <c r="L20" i="39"/>
  <c r="L23" i="39"/>
  <c r="L25" i="39"/>
  <c r="L22" i="39"/>
  <c r="L16" i="39"/>
  <c r="L62" i="39"/>
  <c r="L45" i="39"/>
  <c r="L40" i="39"/>
  <c r="L17" i="39"/>
  <c r="L64" i="39"/>
  <c r="L67" i="39"/>
  <c r="L52" i="39"/>
  <c r="L43" i="39"/>
  <c r="L33" i="39"/>
  <c r="L18" i="39"/>
  <c r="L42" i="39"/>
  <c r="L61" i="39"/>
  <c r="L35" i="39"/>
  <c r="L30" i="39"/>
  <c r="L63" i="39"/>
  <c r="L36" i="39"/>
  <c r="L12" i="39"/>
  <c r="L37" i="39"/>
  <c r="L55" i="39"/>
  <c r="L57" i="39"/>
  <c r="L44" i="39"/>
  <c r="L39" i="39"/>
  <c r="L59" i="39"/>
  <c r="L47" i="39"/>
  <c r="L38" i="39"/>
  <c r="L29" i="39"/>
  <c r="L15" i="39"/>
  <c r="L32" i="39"/>
  <c r="L51" i="39"/>
  <c r="L69" i="39"/>
  <c r="L13" i="39"/>
  <c r="L50" i="39"/>
  <c r="L28" i="39"/>
  <c r="L46" i="39"/>
  <c r="L65" i="39"/>
  <c r="L53" i="39"/>
  <c r="L48" i="39"/>
  <c r="BR152" i="57"/>
  <c r="BR153" i="57"/>
  <c r="BR154" i="57"/>
  <c r="BR155" i="57"/>
  <c r="BR156" i="57"/>
  <c r="BR4" i="57"/>
  <c r="BR5" i="57"/>
  <c r="BR6" i="57"/>
  <c r="BR7" i="57"/>
  <c r="BR8" i="57"/>
  <c r="BR9" i="57"/>
  <c r="BR10" i="57"/>
  <c r="BR11" i="57"/>
  <c r="BR12" i="57"/>
  <c r="BR13" i="57"/>
  <c r="BR14" i="57"/>
  <c r="BR15" i="57"/>
  <c r="BR16" i="57"/>
  <c r="BR17" i="57"/>
  <c r="BR18" i="57"/>
  <c r="BR19" i="57"/>
  <c r="BR20" i="57"/>
  <c r="BR21" i="57"/>
  <c r="BR22" i="57"/>
  <c r="BR23" i="57"/>
  <c r="BR24" i="57"/>
  <c r="BR25" i="57"/>
  <c r="BR26" i="57"/>
  <c r="BR27" i="57"/>
  <c r="BR28" i="57"/>
  <c r="BR29" i="57"/>
  <c r="BR30" i="57"/>
  <c r="BR31" i="57"/>
  <c r="BR32" i="57"/>
  <c r="BR33" i="57"/>
  <c r="BR34" i="57"/>
  <c r="BR35" i="57"/>
  <c r="BR36" i="57"/>
  <c r="BR37" i="57"/>
  <c r="BR38" i="57"/>
  <c r="BR39" i="57"/>
  <c r="BR40" i="57"/>
  <c r="BR41" i="57"/>
  <c r="BR42" i="57"/>
  <c r="BR43" i="57"/>
  <c r="BR44" i="57"/>
  <c r="BR45" i="57"/>
  <c r="BR46" i="57"/>
  <c r="BR47" i="57"/>
  <c r="BR48" i="57"/>
  <c r="BR49" i="57"/>
  <c r="BR50" i="57"/>
  <c r="BR51" i="57"/>
  <c r="BR52" i="57"/>
  <c r="BR53" i="57"/>
  <c r="BR54" i="57"/>
  <c r="BR55" i="57"/>
  <c r="BR56" i="57"/>
  <c r="BR57" i="57"/>
  <c r="BR58" i="57"/>
  <c r="BR59" i="57"/>
  <c r="BR60" i="57"/>
  <c r="BR61" i="57"/>
  <c r="BR62" i="57"/>
  <c r="BR63" i="57"/>
  <c r="BR64" i="57"/>
  <c r="BR65" i="57"/>
  <c r="BR66" i="57"/>
  <c r="BR67" i="57"/>
  <c r="BR68" i="57"/>
  <c r="BR69" i="57"/>
  <c r="BR70" i="57"/>
  <c r="BR71" i="57"/>
  <c r="BR72" i="57"/>
  <c r="BR73" i="57"/>
  <c r="BR74" i="57"/>
  <c r="BR75" i="57"/>
  <c r="BR76" i="57"/>
  <c r="BR77" i="57"/>
  <c r="BR78" i="57"/>
  <c r="BR79" i="57"/>
  <c r="BR80" i="57"/>
  <c r="BR81" i="57"/>
  <c r="BR82" i="57"/>
  <c r="BR83" i="57"/>
  <c r="BR84" i="57"/>
  <c r="BR85" i="57"/>
  <c r="BR86" i="57"/>
  <c r="BR87" i="57"/>
  <c r="BR88" i="57"/>
  <c r="BR89" i="57"/>
  <c r="BR90" i="57"/>
  <c r="BR91" i="57"/>
  <c r="BR92" i="57"/>
  <c r="BR93" i="57"/>
  <c r="BR94" i="57"/>
  <c r="BR95" i="57"/>
  <c r="BR96" i="57"/>
  <c r="BR97" i="57"/>
  <c r="BR98" i="57"/>
  <c r="BR99" i="57"/>
  <c r="BR100" i="57"/>
  <c r="BR101" i="57"/>
  <c r="BR102" i="57"/>
  <c r="BR103" i="57"/>
  <c r="BR104" i="57"/>
  <c r="BR105" i="57"/>
  <c r="BR106" i="57"/>
  <c r="BR107" i="57"/>
  <c r="BR108" i="57"/>
  <c r="BR109" i="57"/>
  <c r="BR110" i="57"/>
  <c r="BR111" i="57"/>
  <c r="BR112" i="57"/>
  <c r="BR113" i="57"/>
  <c r="BR114" i="57"/>
  <c r="BR115" i="57"/>
  <c r="BR116" i="57"/>
  <c r="BR117" i="57"/>
  <c r="BR118" i="57"/>
  <c r="BR119" i="57"/>
  <c r="BR120" i="57"/>
  <c r="BR121" i="57"/>
  <c r="BR122" i="57"/>
  <c r="BR123" i="57"/>
  <c r="BR124" i="57"/>
  <c r="BR125" i="57"/>
  <c r="BR126" i="57"/>
  <c r="BR127" i="57"/>
  <c r="BR128" i="57"/>
  <c r="BR129" i="57"/>
  <c r="BR130" i="57"/>
  <c r="BR131" i="57"/>
  <c r="BR132" i="57"/>
  <c r="BR133" i="57"/>
  <c r="BR134" i="57"/>
  <c r="BR135" i="57"/>
  <c r="BR136" i="57"/>
  <c r="BR137" i="57"/>
  <c r="BR138" i="57"/>
  <c r="BR139" i="57"/>
  <c r="BR140" i="57"/>
  <c r="BR141" i="57"/>
  <c r="BR142" i="57"/>
  <c r="BR143" i="57"/>
  <c r="BR144" i="57"/>
  <c r="BR145" i="57"/>
  <c r="BR146" i="57"/>
  <c r="BR147" i="57"/>
  <c r="BR148" i="57"/>
  <c r="BR149" i="57"/>
  <c r="BR150" i="57"/>
  <c r="BR151" i="57"/>
  <c r="BR3" i="57" l="1"/>
  <c r="AG41" i="32" l="1"/>
  <c r="G41" i="32" s="1"/>
  <c r="AG42" i="32"/>
  <c r="G42" i="32" s="1"/>
  <c r="AG43" i="32"/>
  <c r="G43" i="32" s="1"/>
  <c r="AG44" i="32"/>
  <c r="G44" i="32" s="1"/>
  <c r="AG45" i="32"/>
  <c r="G45" i="32" s="1"/>
  <c r="AG46" i="32"/>
  <c r="G46" i="32" s="1"/>
  <c r="AG47" i="32"/>
  <c r="G47" i="32" s="1"/>
  <c r="AC44" i="32"/>
  <c r="C44" i="32" s="1"/>
  <c r="AD34" i="32"/>
  <c r="D34" i="32" s="1"/>
  <c r="AD35" i="32"/>
  <c r="D35" i="32" s="1"/>
  <c r="AD36" i="32"/>
  <c r="D36" i="32" s="1"/>
  <c r="AD37" i="32"/>
  <c r="D37" i="32" s="1"/>
  <c r="AD38" i="32"/>
  <c r="D38" i="32" s="1"/>
  <c r="AD39" i="32"/>
  <c r="D39" i="32" s="1"/>
  <c r="AC39" i="32"/>
  <c r="C39" i="32" s="1"/>
  <c r="AC35" i="32"/>
  <c r="C35" i="32" s="1"/>
  <c r="AF27" i="32"/>
  <c r="F27" i="32" s="1"/>
  <c r="AF28" i="32"/>
  <c r="F28" i="32" s="1"/>
  <c r="AF29" i="32"/>
  <c r="F29" i="32" s="1"/>
  <c r="AF30" i="32"/>
  <c r="F30" i="32" s="1"/>
  <c r="AF31" i="32"/>
  <c r="F31" i="32" s="1"/>
  <c r="AF32" i="32"/>
  <c r="F32" i="32" s="1"/>
  <c r="AC30" i="32"/>
  <c r="C30" i="32" s="1"/>
  <c r="AD19" i="32"/>
  <c r="D19" i="32" s="1"/>
  <c r="AD20" i="32"/>
  <c r="D20" i="32" s="1"/>
  <c r="AD21" i="32"/>
  <c r="D21" i="32" s="1"/>
  <c r="AD22" i="32"/>
  <c r="D22" i="32" s="1"/>
  <c r="AD23" i="32"/>
  <c r="D23" i="32" s="1"/>
  <c r="AD24" i="32"/>
  <c r="D24" i="32" s="1"/>
  <c r="AD25" i="32"/>
  <c r="D25" i="32" s="1"/>
  <c r="AC24" i="32"/>
  <c r="C24" i="32" s="1"/>
  <c r="AC20" i="32"/>
  <c r="C20" i="32" s="1"/>
  <c r="AF14" i="32"/>
  <c r="F14" i="32" s="1"/>
  <c r="AF15" i="32"/>
  <c r="F15" i="32" s="1"/>
  <c r="AF16" i="32"/>
  <c r="F16" i="32" s="1"/>
  <c r="AF17" i="32"/>
  <c r="F17" i="32" s="1"/>
  <c r="AC15" i="32"/>
  <c r="C15" i="32" s="1"/>
  <c r="AF12" i="32"/>
  <c r="F12" i="32" s="1"/>
  <c r="AE11" i="32"/>
  <c r="E11" i="32" s="1"/>
  <c r="AD9" i="32"/>
  <c r="D9" i="32" s="1"/>
  <c r="AC9" i="32"/>
  <c r="C9" i="32" s="1"/>
  <c r="AE43" i="32"/>
  <c r="E43" i="32" s="1"/>
  <c r="AE45" i="32"/>
  <c r="E45" i="32" s="1"/>
  <c r="AC46" i="32"/>
  <c r="C46" i="32" s="1"/>
  <c r="H46" i="32" s="1"/>
  <c r="AF34" i="32"/>
  <c r="F34" i="32" s="1"/>
  <c r="AF36" i="32"/>
  <c r="F36" i="32" s="1"/>
  <c r="AF38" i="32"/>
  <c r="F38" i="32" s="1"/>
  <c r="AC37" i="32"/>
  <c r="C37" i="32" s="1"/>
  <c r="AD28" i="32"/>
  <c r="D28" i="32" s="1"/>
  <c r="AD31" i="32"/>
  <c r="D31" i="32" s="1"/>
  <c r="AC32" i="32"/>
  <c r="C32" i="32" s="1"/>
  <c r="AF21" i="32"/>
  <c r="F21" i="32" s="1"/>
  <c r="AF24" i="32"/>
  <c r="F24" i="32" s="1"/>
  <c r="AD14" i="32"/>
  <c r="D14" i="32" s="1"/>
  <c r="AD17" i="32"/>
  <c r="D17" i="32" s="1"/>
  <c r="AC12" i="32"/>
  <c r="C12" i="32" s="1"/>
  <c r="AD41" i="32"/>
  <c r="D41" i="32" s="1"/>
  <c r="AD42" i="32"/>
  <c r="D42" i="32" s="1"/>
  <c r="AD43" i="32"/>
  <c r="D43" i="32" s="1"/>
  <c r="AD44" i="32"/>
  <c r="D44" i="32" s="1"/>
  <c r="AD45" i="32"/>
  <c r="D45" i="32" s="1"/>
  <c r="AD46" i="32"/>
  <c r="D46" i="32" s="1"/>
  <c r="I46" i="32" s="1"/>
  <c r="AD47" i="32"/>
  <c r="D47" i="32" s="1"/>
  <c r="AC47" i="32"/>
  <c r="C47" i="32" s="1"/>
  <c r="AC43" i="32"/>
  <c r="C43" i="32" s="1"/>
  <c r="AE34" i="32"/>
  <c r="E34" i="32" s="1"/>
  <c r="AE35" i="32"/>
  <c r="E35" i="32" s="1"/>
  <c r="AE36" i="32"/>
  <c r="E36" i="32" s="1"/>
  <c r="AE37" i="32"/>
  <c r="E37" i="32" s="1"/>
  <c r="AE38" i="32"/>
  <c r="E38" i="32" s="1"/>
  <c r="AE39" i="32"/>
  <c r="E39" i="32" s="1"/>
  <c r="AC38" i="32"/>
  <c r="C38" i="32" s="1"/>
  <c r="AC34" i="32"/>
  <c r="C34" i="32" s="1"/>
  <c r="AG27" i="32"/>
  <c r="G27" i="32" s="1"/>
  <c r="AG28" i="32"/>
  <c r="G28" i="32" s="1"/>
  <c r="AG29" i="32"/>
  <c r="G29" i="32" s="1"/>
  <c r="AG30" i="32"/>
  <c r="G30" i="32" s="1"/>
  <c r="AG31" i="32"/>
  <c r="G31" i="32" s="1"/>
  <c r="AG32" i="32"/>
  <c r="G32" i="32" s="1"/>
  <c r="AC29" i="32"/>
  <c r="C29" i="32" s="1"/>
  <c r="AE19" i="32"/>
  <c r="E19" i="32" s="1"/>
  <c r="AE20" i="32"/>
  <c r="E20" i="32" s="1"/>
  <c r="AE21" i="32"/>
  <c r="E21" i="32" s="1"/>
  <c r="AE22" i="32"/>
  <c r="E22" i="32" s="1"/>
  <c r="AE23" i="32"/>
  <c r="E23" i="32" s="1"/>
  <c r="AE24" i="32"/>
  <c r="E24" i="32" s="1"/>
  <c r="AE25" i="32"/>
  <c r="E25" i="32" s="1"/>
  <c r="AC23" i="32"/>
  <c r="C23" i="32" s="1"/>
  <c r="AC19" i="32"/>
  <c r="C19" i="32" s="1"/>
  <c r="AG14" i="32"/>
  <c r="G14" i="32" s="1"/>
  <c r="AG15" i="32"/>
  <c r="G15" i="32" s="1"/>
  <c r="AG16" i="32"/>
  <c r="G16" i="32" s="1"/>
  <c r="AG17" i="32"/>
  <c r="G17" i="32" s="1"/>
  <c r="AC14" i="32"/>
  <c r="C14" i="32" s="1"/>
  <c r="AG12" i="32"/>
  <c r="G12" i="32" s="1"/>
  <c r="AF11" i="32"/>
  <c r="F11" i="32" s="1"/>
  <c r="AE9" i="32"/>
  <c r="E9" i="32" s="1"/>
  <c r="AC25" i="32"/>
  <c r="C25" i="32" s="1"/>
  <c r="AD30" i="32"/>
  <c r="D30" i="32" s="1"/>
  <c r="AC28" i="32"/>
  <c r="C28" i="32" s="1"/>
  <c r="AF20" i="32"/>
  <c r="F20" i="32" s="1"/>
  <c r="AF23" i="32"/>
  <c r="F23" i="32" s="1"/>
  <c r="AC22" i="32"/>
  <c r="C22" i="32" s="1"/>
  <c r="AD15" i="32"/>
  <c r="D15" i="32" s="1"/>
  <c r="AC17" i="32"/>
  <c r="C17" i="32" s="1"/>
  <c r="AG11" i="32"/>
  <c r="G11" i="32" s="1"/>
  <c r="AF43" i="32"/>
  <c r="F43" i="32" s="1"/>
  <c r="AF46" i="32"/>
  <c r="F46" i="32" s="1"/>
  <c r="K46" i="32" s="1"/>
  <c r="AC45" i="32"/>
  <c r="C45" i="32" s="1"/>
  <c r="AG34" i="32"/>
  <c r="G34" i="32" s="1"/>
  <c r="AG36" i="32"/>
  <c r="G36" i="32" s="1"/>
  <c r="AG39" i="32"/>
  <c r="G39" i="32" s="1"/>
  <c r="AE27" i="32"/>
  <c r="E27" i="32" s="1"/>
  <c r="AE29" i="32"/>
  <c r="E29" i="32" s="1"/>
  <c r="AE31" i="32"/>
  <c r="E31" i="32" s="1"/>
  <c r="AC31" i="32"/>
  <c r="C31" i="32" s="1"/>
  <c r="AG19" i="32"/>
  <c r="G19" i="32" s="1"/>
  <c r="AG21" i="32"/>
  <c r="G21" i="32" s="1"/>
  <c r="AG23" i="32"/>
  <c r="G23" i="32" s="1"/>
  <c r="AG25" i="32"/>
  <c r="G25" i="32" s="1"/>
  <c r="AE14" i="32"/>
  <c r="E14" i="32" s="1"/>
  <c r="AE16" i="32"/>
  <c r="E16" i="32" s="1"/>
  <c r="AC16" i="32"/>
  <c r="C16" i="32" s="1"/>
  <c r="AD11" i="32"/>
  <c r="D11" i="32" s="1"/>
  <c r="AE41" i="32"/>
  <c r="E41" i="32" s="1"/>
  <c r="AE42" i="32"/>
  <c r="E42" i="32" s="1"/>
  <c r="AE44" i="32"/>
  <c r="E44" i="32" s="1"/>
  <c r="AE46" i="32"/>
  <c r="E46" i="32" s="1"/>
  <c r="J46" i="32" s="1"/>
  <c r="AE47" i="32"/>
  <c r="E47" i="32" s="1"/>
  <c r="AC42" i="32"/>
  <c r="C42" i="32" s="1"/>
  <c r="AF35" i="32"/>
  <c r="F35" i="32" s="1"/>
  <c r="AF37" i="32"/>
  <c r="F37" i="32" s="1"/>
  <c r="AF39" i="32"/>
  <c r="F39" i="32" s="1"/>
  <c r="AD27" i="32"/>
  <c r="D27" i="32" s="1"/>
  <c r="AD29" i="32"/>
  <c r="D29" i="32" s="1"/>
  <c r="AD32" i="32"/>
  <c r="D32" i="32" s="1"/>
  <c r="AF19" i="32"/>
  <c r="F19" i="32" s="1"/>
  <c r="AF22" i="32"/>
  <c r="F22" i="32" s="1"/>
  <c r="AF25" i="32"/>
  <c r="F25" i="32" s="1"/>
  <c r="AD16" i="32"/>
  <c r="D16" i="32" s="1"/>
  <c r="AD12" i="32"/>
  <c r="D12" i="32" s="1"/>
  <c r="AF9" i="32"/>
  <c r="F9" i="32" s="1"/>
  <c r="AF41" i="32"/>
  <c r="F41" i="32" s="1"/>
  <c r="AF42" i="32"/>
  <c r="F42" i="32" s="1"/>
  <c r="AF44" i="32"/>
  <c r="F44" i="32" s="1"/>
  <c r="AF45" i="32"/>
  <c r="F45" i="32" s="1"/>
  <c r="AF47" i="32"/>
  <c r="F47" i="32" s="1"/>
  <c r="AC41" i="32"/>
  <c r="C41" i="32" s="1"/>
  <c r="AG35" i="32"/>
  <c r="G35" i="32" s="1"/>
  <c r="AG37" i="32"/>
  <c r="G37" i="32" s="1"/>
  <c r="AG38" i="32"/>
  <c r="G38" i="32" s="1"/>
  <c r="AC36" i="32"/>
  <c r="C36" i="32" s="1"/>
  <c r="AE28" i="32"/>
  <c r="E28" i="32" s="1"/>
  <c r="AE30" i="32"/>
  <c r="E30" i="32" s="1"/>
  <c r="AE32" i="32"/>
  <c r="E32" i="32" s="1"/>
  <c r="AC27" i="32"/>
  <c r="C27" i="32" s="1"/>
  <c r="AG20" i="32"/>
  <c r="G20" i="32" s="1"/>
  <c r="AG22" i="32"/>
  <c r="G22" i="32" s="1"/>
  <c r="AG24" i="32"/>
  <c r="G24" i="32" s="1"/>
  <c r="AC21" i="32"/>
  <c r="C21" i="32" s="1"/>
  <c r="AE15" i="32"/>
  <c r="E15" i="32" s="1"/>
  <c r="AE17" i="32"/>
  <c r="E17" i="32" s="1"/>
  <c r="AE12" i="32"/>
  <c r="E12" i="32" s="1"/>
  <c r="AC11" i="32"/>
  <c r="C11" i="32" s="1"/>
  <c r="AG9" i="32"/>
  <c r="G9" i="32" s="1"/>
  <c r="BJ4" i="57"/>
  <c r="BJ5" i="57"/>
  <c r="BJ6" i="57"/>
  <c r="BJ7" i="57"/>
  <c r="BJ8" i="57"/>
  <c r="BJ9" i="57"/>
  <c r="BJ10" i="57"/>
  <c r="BJ11" i="57"/>
  <c r="BJ12" i="57"/>
  <c r="BJ13" i="57"/>
  <c r="BJ14" i="57"/>
  <c r="BJ15" i="57"/>
  <c r="BJ16" i="57"/>
  <c r="BJ17" i="57"/>
  <c r="BJ18" i="57"/>
  <c r="BJ19" i="57"/>
  <c r="BJ20" i="57"/>
  <c r="BJ21" i="57"/>
  <c r="BJ22" i="57"/>
  <c r="BJ23" i="57"/>
  <c r="BJ24" i="57"/>
  <c r="BJ25" i="57"/>
  <c r="BJ26" i="57"/>
  <c r="BJ27" i="57"/>
  <c r="BJ28" i="57"/>
  <c r="BJ29" i="57"/>
  <c r="BJ30" i="57"/>
  <c r="BJ31" i="57"/>
  <c r="BJ32" i="57"/>
  <c r="BJ33" i="57"/>
  <c r="BJ34" i="57"/>
  <c r="BJ35" i="57"/>
  <c r="BJ3" i="57"/>
  <c r="AA95" i="56"/>
  <c r="AA96" i="56"/>
  <c r="AA97" i="56"/>
  <c r="AA98" i="56"/>
  <c r="AA99" i="56"/>
  <c r="AA100" i="56"/>
  <c r="AA101" i="56"/>
  <c r="AA102" i="56"/>
  <c r="AA103" i="56"/>
  <c r="AA94" i="56"/>
  <c r="AE94" i="56" s="1"/>
  <c r="AA85" i="56"/>
  <c r="AA86" i="56"/>
  <c r="AA87" i="56"/>
  <c r="AA88" i="56"/>
  <c r="AA89" i="56"/>
  <c r="AA90" i="56"/>
  <c r="AA91" i="56"/>
  <c r="AA92" i="56"/>
  <c r="AA93" i="56"/>
  <c r="AA84" i="56"/>
  <c r="AA70" i="56"/>
  <c r="AA71" i="56"/>
  <c r="AA72" i="56"/>
  <c r="AA73" i="56"/>
  <c r="AA74" i="56"/>
  <c r="AA75" i="56"/>
  <c r="AA76" i="56"/>
  <c r="AA77" i="56"/>
  <c r="AA78" i="56"/>
  <c r="AA79" i="56"/>
  <c r="AA80" i="56"/>
  <c r="AA69" i="56"/>
  <c r="AA58" i="56"/>
  <c r="AA59" i="56"/>
  <c r="AA60" i="56"/>
  <c r="AA61" i="56"/>
  <c r="AA62" i="56"/>
  <c r="AA63" i="56"/>
  <c r="AA64" i="56"/>
  <c r="AA65" i="56"/>
  <c r="AA66" i="56"/>
  <c r="AA67" i="56"/>
  <c r="AA68" i="56"/>
  <c r="AA57" i="56"/>
  <c r="AA40" i="56"/>
  <c r="AA41" i="56"/>
  <c r="AA42" i="56"/>
  <c r="AA43" i="56"/>
  <c r="AA44" i="56"/>
  <c r="AA45" i="56"/>
  <c r="AA46" i="56"/>
  <c r="AA39" i="56"/>
  <c r="AA48" i="56"/>
  <c r="AA49" i="56"/>
  <c r="AA50" i="56"/>
  <c r="AA51" i="56"/>
  <c r="AA52" i="56"/>
  <c r="AA53" i="56"/>
  <c r="AA54" i="56"/>
  <c r="AA47" i="56"/>
  <c r="AE39" i="56" l="1"/>
  <c r="AE85" i="56"/>
  <c r="AE90" i="56"/>
  <c r="AF100" i="56"/>
  <c r="AF99" i="56"/>
  <c r="AE99" i="56"/>
  <c r="AE103" i="56"/>
  <c r="AI103" i="56"/>
  <c r="AI96" i="56"/>
  <c r="AI102" i="56"/>
  <c r="AF97" i="56"/>
  <c r="AF94" i="56"/>
  <c r="AI97" i="56"/>
  <c r="AF101" i="56"/>
  <c r="AE102" i="56"/>
  <c r="AE100" i="56"/>
  <c r="AI95" i="56"/>
  <c r="AI94" i="56"/>
  <c r="AI98" i="56"/>
  <c r="AE96" i="56"/>
  <c r="AF102" i="56"/>
  <c r="AE101" i="56"/>
  <c r="AF95" i="56"/>
  <c r="AI100" i="56"/>
  <c r="AF96" i="56"/>
  <c r="AI101" i="56"/>
  <c r="AF98" i="56"/>
  <c r="AE95" i="56"/>
  <c r="AE97" i="56"/>
  <c r="AE98" i="56"/>
  <c r="AF103" i="56"/>
  <c r="AI99" i="56"/>
  <c r="AE52" i="56"/>
  <c r="AF50" i="56"/>
  <c r="AF47" i="56"/>
  <c r="AE49" i="56"/>
  <c r="AE53" i="56"/>
  <c r="AE54" i="56"/>
  <c r="AF52" i="56"/>
  <c r="AF48" i="56"/>
  <c r="AE47" i="56"/>
  <c r="AE50" i="56"/>
  <c r="AE48" i="56"/>
  <c r="AF51" i="56"/>
  <c r="AF54" i="56"/>
  <c r="AF49" i="56"/>
  <c r="AE51" i="56"/>
  <c r="AF53" i="56"/>
  <c r="AE77" i="56"/>
  <c r="AF80" i="56"/>
  <c r="AF71" i="56"/>
  <c r="AE73" i="56"/>
  <c r="AE74" i="56"/>
  <c r="AE70" i="56"/>
  <c r="AE76" i="56"/>
  <c r="AE75" i="56"/>
  <c r="AF75" i="56"/>
  <c r="AF70" i="56"/>
  <c r="AF76" i="56"/>
  <c r="AF78" i="56"/>
  <c r="AE72" i="56"/>
  <c r="AE69" i="56"/>
  <c r="AF77" i="56"/>
  <c r="AE78" i="56"/>
  <c r="AE79" i="56"/>
  <c r="AE80" i="56"/>
  <c r="AF74" i="56"/>
  <c r="AF79" i="56"/>
  <c r="AF72" i="56"/>
  <c r="AF69" i="56"/>
  <c r="AF73" i="56"/>
  <c r="AE71" i="56"/>
  <c r="AE89" i="56"/>
  <c r="AE84" i="56"/>
  <c r="AE63" i="56"/>
  <c r="AE43" i="56"/>
  <c r="AE57" i="56"/>
  <c r="AI91" i="56"/>
  <c r="AI86" i="56"/>
  <c r="AF91" i="56"/>
  <c r="AF87" i="56"/>
  <c r="AF84" i="56"/>
  <c r="AF67" i="56"/>
  <c r="AF60" i="56"/>
  <c r="AF57" i="56"/>
  <c r="AF43" i="56"/>
  <c r="AF41" i="56"/>
  <c r="AI87" i="56"/>
  <c r="AF89" i="56"/>
  <c r="AF58" i="56"/>
  <c r="AF39" i="56"/>
  <c r="AI89" i="56"/>
  <c r="AI90" i="56"/>
  <c r="AI85" i="56"/>
  <c r="AF92" i="56"/>
  <c r="AF88" i="56"/>
  <c r="AF64" i="56"/>
  <c r="AF68" i="56"/>
  <c r="AF61" i="56"/>
  <c r="AF44" i="56"/>
  <c r="AE40" i="56"/>
  <c r="AE42" i="56"/>
  <c r="AI92" i="56"/>
  <c r="AF85" i="56"/>
  <c r="AF59" i="56"/>
  <c r="AE41" i="56"/>
  <c r="AI93" i="56"/>
  <c r="AI88" i="56"/>
  <c r="AI84" i="56"/>
  <c r="AF93" i="56"/>
  <c r="AF86" i="56"/>
  <c r="AF65" i="56"/>
  <c r="AF63" i="56"/>
  <c r="AF62" i="56"/>
  <c r="AF45" i="56"/>
  <c r="AF40" i="56"/>
  <c r="AF42" i="56"/>
  <c r="AF90" i="56"/>
  <c r="AF66" i="56"/>
  <c r="AF46" i="56"/>
  <c r="H11" i="32"/>
  <c r="AE92" i="56"/>
  <c r="AE88" i="56"/>
  <c r="AE67" i="56"/>
  <c r="AE59" i="56"/>
  <c r="AE45" i="56"/>
  <c r="AE91" i="56"/>
  <c r="AE87" i="56"/>
  <c r="AE66" i="56"/>
  <c r="AE62" i="56"/>
  <c r="AE58" i="56"/>
  <c r="AE44" i="56"/>
  <c r="AE86" i="56"/>
  <c r="AE65" i="56"/>
  <c r="AE61" i="56"/>
  <c r="AE93" i="56"/>
  <c r="AE68" i="56"/>
  <c r="AE64" i="56"/>
  <c r="AE60" i="56"/>
  <c r="AE46" i="56"/>
  <c r="H9" i="32"/>
  <c r="X34" i="55"/>
  <c r="X6" i="55"/>
  <c r="BH7" i="35" l="1"/>
  <c r="AR923" i="57"/>
  <c r="AR924" i="57"/>
  <c r="AR925" i="57"/>
  <c r="AR926" i="57"/>
  <c r="AR927" i="57"/>
  <c r="AR928" i="57"/>
  <c r="AR929" i="57"/>
  <c r="AR930" i="57"/>
  <c r="AR931" i="57"/>
  <c r="AR932" i="57"/>
  <c r="AR933" i="57"/>
  <c r="AR934" i="57"/>
  <c r="AR935" i="57"/>
  <c r="AR936" i="57"/>
  <c r="AR937" i="57"/>
  <c r="AR938" i="57"/>
  <c r="AR939" i="57"/>
  <c r="AR940" i="57"/>
  <c r="AR941" i="57"/>
  <c r="AR942" i="57"/>
  <c r="AR943" i="57"/>
  <c r="AR944" i="57"/>
  <c r="AR945" i="57"/>
  <c r="AR946" i="57"/>
  <c r="AR947" i="57"/>
  <c r="AR948" i="57"/>
  <c r="AR949" i="57"/>
  <c r="AR950" i="57"/>
  <c r="AR951" i="57"/>
  <c r="AR952" i="57"/>
  <c r="AR953" i="57"/>
  <c r="AR954" i="57"/>
  <c r="AR955" i="57"/>
  <c r="AR956" i="57"/>
  <c r="AR957" i="57"/>
  <c r="AR958" i="57"/>
  <c r="AR959" i="57"/>
  <c r="AR960" i="57"/>
  <c r="AR961" i="57"/>
  <c r="AR962" i="57"/>
  <c r="AR963" i="57"/>
  <c r="AR964" i="57"/>
  <c r="AR965" i="57"/>
  <c r="AR966" i="57"/>
  <c r="AR967" i="57"/>
  <c r="AR968" i="57"/>
  <c r="AR969" i="57"/>
  <c r="AR970" i="57"/>
  <c r="AR971" i="57"/>
  <c r="AR972" i="57"/>
  <c r="AR973" i="57"/>
  <c r="AR974" i="57"/>
  <c r="AR975" i="57"/>
  <c r="AR976" i="57"/>
  <c r="AR977" i="57"/>
  <c r="AR978" i="57"/>
  <c r="AR979" i="57"/>
  <c r="AR980" i="57"/>
  <c r="AR981" i="57"/>
  <c r="AR982" i="57"/>
  <c r="AR983" i="57"/>
  <c r="AR984" i="57"/>
  <c r="AR985" i="57"/>
  <c r="AR986" i="57"/>
  <c r="AR987" i="57"/>
  <c r="AR988" i="57"/>
  <c r="AR989" i="57"/>
  <c r="AR990" i="57"/>
  <c r="AR991" i="57"/>
  <c r="AR992" i="57"/>
  <c r="AR993" i="57"/>
  <c r="AR994" i="57"/>
  <c r="AR995" i="57"/>
  <c r="AR996" i="57"/>
  <c r="AR997" i="57"/>
  <c r="AR998" i="57"/>
  <c r="AR999" i="57"/>
  <c r="AR1000" i="57"/>
  <c r="AR1001" i="57"/>
  <c r="AR1002" i="57"/>
  <c r="AR1003" i="57"/>
  <c r="AR1004" i="57"/>
  <c r="AR1005" i="57"/>
  <c r="AR1006" i="57"/>
  <c r="AR1007" i="57"/>
  <c r="AR1008" i="57"/>
  <c r="AR1009" i="57"/>
  <c r="AR1010" i="57"/>
  <c r="AR1011" i="57"/>
  <c r="AR1012" i="57"/>
  <c r="AR1013" i="57"/>
  <c r="AR1014" i="57"/>
  <c r="AR1015" i="57"/>
  <c r="AR1016" i="57"/>
  <c r="AR1017" i="57"/>
  <c r="AR1018" i="57"/>
  <c r="AR1019" i="57"/>
  <c r="AR1020" i="57"/>
  <c r="AR1021" i="57"/>
  <c r="AR1022" i="57"/>
  <c r="AR1023" i="57"/>
  <c r="AR1024" i="57"/>
  <c r="AR1025" i="57"/>
  <c r="AR1026" i="57"/>
  <c r="AR1027" i="57"/>
  <c r="AR1028" i="57"/>
  <c r="AR1029" i="57"/>
  <c r="AR1030" i="57"/>
  <c r="AR1031" i="57"/>
  <c r="AR1032" i="57"/>
  <c r="AR1033" i="57"/>
  <c r="AR1034" i="57"/>
  <c r="AR1035" i="57"/>
  <c r="AR1036" i="57"/>
  <c r="AR1037" i="57"/>
  <c r="AR1038" i="57"/>
  <c r="AR1039" i="57"/>
  <c r="AR1040" i="57"/>
  <c r="AR1041" i="57"/>
  <c r="AR1042" i="57"/>
  <c r="AR1043" i="57"/>
  <c r="AR1044" i="57"/>
  <c r="AR1045" i="57"/>
  <c r="AR1046" i="57"/>
  <c r="AR1047" i="57"/>
  <c r="AR1048" i="57"/>
  <c r="AR1049" i="57"/>
  <c r="AR1050" i="57"/>
  <c r="AR1051" i="57"/>
  <c r="AR1052" i="57"/>
  <c r="AR1053" i="57"/>
  <c r="AR1054" i="57"/>
  <c r="AR1055" i="57"/>
  <c r="AR1056" i="57"/>
  <c r="AR1057" i="57"/>
  <c r="AR1058" i="57"/>
  <c r="AR1059" i="57"/>
  <c r="AR1060" i="57"/>
  <c r="AR1061" i="57"/>
  <c r="AR1062" i="57"/>
  <c r="AR1063" i="57"/>
  <c r="AR1064" i="57"/>
  <c r="AR1065" i="57"/>
  <c r="AR1066" i="57"/>
  <c r="AR1067" i="57"/>
  <c r="AR1068" i="57"/>
  <c r="AR1069" i="57"/>
  <c r="AR1070" i="57"/>
  <c r="AR1071" i="57"/>
  <c r="AR1072" i="57"/>
  <c r="AR1073" i="57"/>
  <c r="AR1074" i="57"/>
  <c r="AR1075" i="57"/>
  <c r="AR1076" i="57"/>
  <c r="AR1077" i="57"/>
  <c r="AR1078" i="57"/>
  <c r="AR1079" i="57"/>
  <c r="AR1080" i="57"/>
  <c r="AR1081" i="57"/>
  <c r="AR1082" i="57"/>
  <c r="AR1083" i="57"/>
  <c r="AR1084" i="57"/>
  <c r="AR1085" i="57"/>
  <c r="AR1086" i="57"/>
  <c r="AR1087" i="57"/>
  <c r="AR1088" i="57"/>
  <c r="AR1089" i="57"/>
  <c r="AR1090" i="57"/>
  <c r="AR1091" i="57"/>
  <c r="AR1092" i="57"/>
  <c r="AR1093" i="57"/>
  <c r="AR1094" i="57"/>
  <c r="AR1095" i="57"/>
  <c r="AR1096" i="57"/>
  <c r="AR1097" i="57"/>
  <c r="AR1098" i="57"/>
  <c r="AR1099" i="57"/>
  <c r="AR1100" i="57"/>
  <c r="AR1101" i="57"/>
  <c r="AR1102" i="57"/>
  <c r="AR1103" i="57"/>
  <c r="AR1104" i="57"/>
  <c r="AR1105" i="57"/>
  <c r="AR1106" i="57"/>
  <c r="AR1107" i="57"/>
  <c r="AR1108" i="57"/>
  <c r="AR1109" i="57"/>
  <c r="AR1110" i="57"/>
  <c r="AR1111" i="57"/>
  <c r="AR1112" i="57"/>
  <c r="AR1113" i="57"/>
  <c r="AR1114" i="57"/>
  <c r="AR1115" i="57"/>
  <c r="AR1116" i="57"/>
  <c r="AR1117" i="57"/>
  <c r="AR1118" i="57"/>
  <c r="AR1119" i="57"/>
  <c r="AR1120" i="57"/>
  <c r="AR1121" i="57"/>
  <c r="AR1122" i="57"/>
  <c r="AR1123" i="57"/>
  <c r="AR1124" i="57"/>
  <c r="AR1125" i="57"/>
  <c r="AR1126" i="57"/>
  <c r="AR1127" i="57"/>
  <c r="AR1128" i="57"/>
  <c r="AR1129" i="57"/>
  <c r="AR1130" i="57"/>
  <c r="AR1131" i="57"/>
  <c r="AR1132" i="57"/>
  <c r="AR1133" i="57"/>
  <c r="AR1134" i="57"/>
  <c r="AR1135" i="57"/>
  <c r="AR1136" i="57"/>
  <c r="AR1137" i="57"/>
  <c r="AR1138" i="57"/>
  <c r="AR1139" i="57"/>
  <c r="AR1140" i="57"/>
  <c r="AR1141" i="57"/>
  <c r="AR1142" i="57"/>
  <c r="AR1143" i="57"/>
  <c r="AR1144" i="57"/>
  <c r="AR1145" i="57"/>
  <c r="AR1146" i="57"/>
  <c r="AR1147" i="57"/>
  <c r="AR1148" i="57"/>
  <c r="AR1149" i="57"/>
  <c r="AR1150" i="57"/>
  <c r="AR1151" i="57"/>
  <c r="AR1152" i="57"/>
  <c r="AR1153" i="57"/>
  <c r="AR1154" i="57"/>
  <c r="AR1155" i="57"/>
  <c r="AR1156" i="57"/>
  <c r="AR1157" i="57"/>
  <c r="AR1158" i="57"/>
  <c r="AR1159" i="57"/>
  <c r="AR1160" i="57"/>
  <c r="AR1161" i="57"/>
  <c r="AR1162" i="57"/>
  <c r="AR1163" i="57"/>
  <c r="AR1164" i="57"/>
  <c r="AR1165" i="57"/>
  <c r="AR1166" i="57"/>
  <c r="AR1167" i="57"/>
  <c r="AR1168" i="57"/>
  <c r="AR1169" i="57"/>
  <c r="AR1170" i="57"/>
  <c r="AR1171" i="57"/>
  <c r="AR1172" i="57"/>
  <c r="AR1173" i="57"/>
  <c r="AR1174" i="57"/>
  <c r="AR1175" i="57"/>
  <c r="AR1176" i="57"/>
  <c r="AR1177" i="57"/>
  <c r="AR1178" i="57"/>
  <c r="AR1179" i="57"/>
  <c r="AR1180" i="57"/>
  <c r="AR1181" i="57"/>
  <c r="AR1182" i="57"/>
  <c r="AR1183" i="57"/>
  <c r="AR1184" i="57"/>
  <c r="AR1185" i="57"/>
  <c r="AR1186" i="57"/>
  <c r="AR1187" i="57"/>
  <c r="AR1188" i="57"/>
  <c r="AR1189" i="57"/>
  <c r="AR1190" i="57"/>
  <c r="AR1191" i="57"/>
  <c r="AR1192" i="57"/>
  <c r="AR1193" i="57"/>
  <c r="AR1194" i="57"/>
  <c r="AR1195" i="57"/>
  <c r="AR1196" i="57"/>
  <c r="AR1197" i="57"/>
  <c r="AR1198" i="57"/>
  <c r="AR1199" i="57"/>
  <c r="AR1200" i="57"/>
  <c r="AR1201" i="57"/>
  <c r="AR1202" i="57"/>
  <c r="AR1203" i="57"/>
  <c r="AR1204" i="57"/>
  <c r="AR1205" i="57"/>
  <c r="AR1206" i="57"/>
  <c r="AR1207" i="57"/>
  <c r="AR1208" i="57"/>
  <c r="AR1209" i="57"/>
  <c r="AR1210" i="57"/>
  <c r="AR1211" i="57"/>
  <c r="AR1212" i="57"/>
  <c r="AR1213" i="57"/>
  <c r="AR1214" i="57"/>
  <c r="AR1215" i="57"/>
  <c r="AR1216" i="57"/>
  <c r="AR1217" i="57"/>
  <c r="AR1218" i="57"/>
  <c r="AR1219" i="57"/>
  <c r="AR1220" i="57"/>
  <c r="AR1221" i="57"/>
  <c r="AR1222" i="57"/>
  <c r="AR1223" i="57"/>
  <c r="AR1224" i="57"/>
  <c r="AR1225" i="57"/>
  <c r="AR1226" i="57"/>
  <c r="AR1227" i="57"/>
  <c r="AR1228" i="57"/>
  <c r="AR1229" i="57"/>
  <c r="AR1230" i="57"/>
  <c r="AR1231" i="57"/>
  <c r="AR1232" i="57"/>
  <c r="AR1233" i="57"/>
  <c r="AR1234" i="57"/>
  <c r="AR1235" i="57"/>
  <c r="AR1236" i="57"/>
  <c r="AR1237" i="57"/>
  <c r="AR1238" i="57"/>
  <c r="AR1239" i="57"/>
  <c r="AR1240" i="57"/>
  <c r="AR1241" i="57"/>
  <c r="AR1242" i="57"/>
  <c r="AR1243" i="57"/>
  <c r="AR1244" i="57"/>
  <c r="AR1245" i="57"/>
  <c r="AR1246" i="57"/>
  <c r="AR1247" i="57"/>
  <c r="AR1248" i="57"/>
  <c r="AR1249" i="57"/>
  <c r="AR1250" i="57"/>
  <c r="AR1251" i="57"/>
  <c r="AR1252" i="57"/>
  <c r="AR1253" i="57"/>
  <c r="AR1254" i="57"/>
  <c r="AR1255" i="57"/>
  <c r="AR1256" i="57"/>
  <c r="AR1257" i="57"/>
  <c r="AR1258" i="57"/>
  <c r="AR1259" i="57"/>
  <c r="AR1260" i="57"/>
  <c r="AR1261" i="57"/>
  <c r="AR1262" i="57"/>
  <c r="AR1263" i="57"/>
  <c r="AR1264" i="57"/>
  <c r="AR1265" i="57"/>
  <c r="AR1266" i="57"/>
  <c r="AR1267" i="57"/>
  <c r="AR1268" i="57"/>
  <c r="AR1269" i="57"/>
  <c r="AR1270" i="57"/>
  <c r="AR1271" i="57"/>
  <c r="AR1272" i="57"/>
  <c r="AR1273" i="57"/>
  <c r="AR1274" i="57"/>
  <c r="AR1275" i="57"/>
  <c r="AR1276" i="57"/>
  <c r="AR1277" i="57"/>
  <c r="AR1278" i="57"/>
  <c r="AR1279" i="57"/>
  <c r="AR1280" i="57"/>
  <c r="AR1281" i="57"/>
  <c r="AR1282" i="57"/>
  <c r="AR1283" i="57"/>
  <c r="AR1284" i="57"/>
  <c r="AR1285" i="57"/>
  <c r="AR1286" i="57"/>
  <c r="AR1287" i="57"/>
  <c r="AR1288" i="57"/>
  <c r="AR1289" i="57"/>
  <c r="AR1290" i="57"/>
  <c r="AR1291" i="57"/>
  <c r="AR1292" i="57"/>
  <c r="AR1293" i="57"/>
  <c r="AR1294" i="57"/>
  <c r="AR1295" i="57"/>
  <c r="AR1296" i="57"/>
  <c r="AR1297" i="57"/>
  <c r="AR1298" i="57"/>
  <c r="AR1299" i="57"/>
  <c r="AR1300" i="57"/>
  <c r="AR1301" i="57"/>
  <c r="AR1302" i="57"/>
  <c r="AR1303" i="57"/>
  <c r="AR1304" i="57"/>
  <c r="AR1305" i="57"/>
  <c r="AR1306" i="57"/>
  <c r="AR1307" i="57"/>
  <c r="AR1308" i="57"/>
  <c r="AR1309" i="57"/>
  <c r="AR1310" i="57"/>
  <c r="AR1311" i="57"/>
  <c r="AR1312" i="57"/>
  <c r="AR1313" i="57"/>
  <c r="AR1314" i="57"/>
  <c r="AR1315" i="57"/>
  <c r="AR1316" i="57"/>
  <c r="AR4" i="57"/>
  <c r="AR5" i="57"/>
  <c r="AR6" i="57"/>
  <c r="AR7" i="57"/>
  <c r="AR8" i="57"/>
  <c r="AR9" i="57"/>
  <c r="AR10" i="57"/>
  <c r="AR11" i="57"/>
  <c r="AR12" i="57"/>
  <c r="AR13" i="57"/>
  <c r="AR14" i="57"/>
  <c r="AR15" i="57"/>
  <c r="AR16" i="57"/>
  <c r="AR17" i="57"/>
  <c r="AR18" i="57"/>
  <c r="AR19" i="57"/>
  <c r="AR20" i="57"/>
  <c r="AR21" i="57"/>
  <c r="AR22" i="57"/>
  <c r="AR23" i="57"/>
  <c r="AR24" i="57"/>
  <c r="AR25" i="57"/>
  <c r="AR26" i="57"/>
  <c r="AR27" i="57"/>
  <c r="AR28" i="57"/>
  <c r="AR29" i="57"/>
  <c r="AR30" i="57"/>
  <c r="AR31" i="57"/>
  <c r="AR32" i="57"/>
  <c r="AR33" i="57"/>
  <c r="AR34" i="57"/>
  <c r="AR35" i="57"/>
  <c r="AR36" i="57"/>
  <c r="AR37" i="57"/>
  <c r="AR38" i="57"/>
  <c r="AR39" i="57"/>
  <c r="AR40" i="57"/>
  <c r="AR41" i="57"/>
  <c r="AR42" i="57"/>
  <c r="AR43" i="57"/>
  <c r="AR44" i="57"/>
  <c r="AR45" i="57"/>
  <c r="AR46" i="57"/>
  <c r="AR47" i="57"/>
  <c r="AR48" i="57"/>
  <c r="AR49" i="57"/>
  <c r="AR50" i="57"/>
  <c r="AR51" i="57"/>
  <c r="AR52" i="57"/>
  <c r="AR53" i="57"/>
  <c r="AR54" i="57"/>
  <c r="AR55" i="57"/>
  <c r="AR56" i="57"/>
  <c r="AR57" i="57"/>
  <c r="AR58" i="57"/>
  <c r="AR59" i="57"/>
  <c r="AR60" i="57"/>
  <c r="AR61" i="57"/>
  <c r="AR62" i="57"/>
  <c r="AR63" i="57"/>
  <c r="AR64" i="57"/>
  <c r="AR65" i="57"/>
  <c r="AR66" i="57"/>
  <c r="AR67" i="57"/>
  <c r="AR68" i="57"/>
  <c r="AR69" i="57"/>
  <c r="AR70" i="57"/>
  <c r="AR71" i="57"/>
  <c r="AR72" i="57"/>
  <c r="AR73" i="57"/>
  <c r="AR74" i="57"/>
  <c r="AR75" i="57"/>
  <c r="AR76" i="57"/>
  <c r="AR77" i="57"/>
  <c r="AR78" i="57"/>
  <c r="AR79" i="57"/>
  <c r="AR80" i="57"/>
  <c r="AR81" i="57"/>
  <c r="AR82" i="57"/>
  <c r="AR83" i="57"/>
  <c r="AR84" i="57"/>
  <c r="AR85" i="57"/>
  <c r="AR86" i="57"/>
  <c r="AR87" i="57"/>
  <c r="AR88" i="57"/>
  <c r="AR89" i="57"/>
  <c r="AR90" i="57"/>
  <c r="AR91" i="57"/>
  <c r="AR92" i="57"/>
  <c r="AR93" i="57"/>
  <c r="AR94" i="57"/>
  <c r="AR95" i="57"/>
  <c r="AR96" i="57"/>
  <c r="AR97" i="57"/>
  <c r="AR98" i="57"/>
  <c r="AR99" i="57"/>
  <c r="AR100" i="57"/>
  <c r="AR101" i="57"/>
  <c r="AR102" i="57"/>
  <c r="AR103" i="57"/>
  <c r="AR104" i="57"/>
  <c r="AR105" i="57"/>
  <c r="AR106" i="57"/>
  <c r="AR107" i="57"/>
  <c r="AR108" i="57"/>
  <c r="AR109" i="57"/>
  <c r="AR110" i="57"/>
  <c r="AR111" i="57"/>
  <c r="AR112" i="57"/>
  <c r="AR113" i="57"/>
  <c r="AR114" i="57"/>
  <c r="AR115" i="57"/>
  <c r="AR116" i="57"/>
  <c r="AR117" i="57"/>
  <c r="AR118" i="57"/>
  <c r="AR119" i="57"/>
  <c r="AR120" i="57"/>
  <c r="AR121" i="57"/>
  <c r="AR122" i="57"/>
  <c r="AR123" i="57"/>
  <c r="AR124" i="57"/>
  <c r="AR125" i="57"/>
  <c r="AR126" i="57"/>
  <c r="AR127" i="57"/>
  <c r="AR128" i="57"/>
  <c r="AR129" i="57"/>
  <c r="AR130" i="57"/>
  <c r="AR131" i="57"/>
  <c r="AR132" i="57"/>
  <c r="AR133" i="57"/>
  <c r="AR134" i="57"/>
  <c r="AR135" i="57"/>
  <c r="AR136" i="57"/>
  <c r="AR137" i="57"/>
  <c r="AR138" i="57"/>
  <c r="AR139" i="57"/>
  <c r="AR140" i="57"/>
  <c r="AR141" i="57"/>
  <c r="AR142" i="57"/>
  <c r="AR143" i="57"/>
  <c r="AR144" i="57"/>
  <c r="AR145" i="57"/>
  <c r="AR146" i="57"/>
  <c r="AR147" i="57"/>
  <c r="AR148" i="57"/>
  <c r="AR149" i="57"/>
  <c r="AR150" i="57"/>
  <c r="AR151" i="57"/>
  <c r="AR152" i="57"/>
  <c r="AR153" i="57"/>
  <c r="AR154" i="57"/>
  <c r="AR155" i="57"/>
  <c r="AR156" i="57"/>
  <c r="AR157" i="57"/>
  <c r="AR158" i="57"/>
  <c r="AR159" i="57"/>
  <c r="AR160" i="57"/>
  <c r="AR161" i="57"/>
  <c r="AR162" i="57"/>
  <c r="AR163" i="57"/>
  <c r="AR164" i="57"/>
  <c r="AR165" i="57"/>
  <c r="AR166" i="57"/>
  <c r="AR167" i="57"/>
  <c r="AR168" i="57"/>
  <c r="AR169" i="57"/>
  <c r="AR170" i="57"/>
  <c r="AR171" i="57"/>
  <c r="AR172" i="57"/>
  <c r="AR173" i="57"/>
  <c r="AR174" i="57"/>
  <c r="AR175" i="57"/>
  <c r="AR176" i="57"/>
  <c r="AR177" i="57"/>
  <c r="AR178" i="57"/>
  <c r="AR179" i="57"/>
  <c r="AR180" i="57"/>
  <c r="AR181" i="57"/>
  <c r="AR182" i="57"/>
  <c r="AR183" i="57"/>
  <c r="AR184" i="57"/>
  <c r="AR185" i="57"/>
  <c r="AR186" i="57"/>
  <c r="AR187" i="57"/>
  <c r="AR188" i="57"/>
  <c r="AR189" i="57"/>
  <c r="AR190" i="57"/>
  <c r="AR191" i="57"/>
  <c r="AR192" i="57"/>
  <c r="AR193" i="57"/>
  <c r="AR194" i="57"/>
  <c r="AR195" i="57"/>
  <c r="AR196" i="57"/>
  <c r="AR197" i="57"/>
  <c r="AR198" i="57"/>
  <c r="AR199" i="57"/>
  <c r="AR200" i="57"/>
  <c r="AR201" i="57"/>
  <c r="AR202" i="57"/>
  <c r="AR203" i="57"/>
  <c r="AR204" i="57"/>
  <c r="AR205" i="57"/>
  <c r="AR206" i="57"/>
  <c r="AR207" i="57"/>
  <c r="AR208" i="57"/>
  <c r="AR209" i="57"/>
  <c r="AR210" i="57"/>
  <c r="AR211" i="57"/>
  <c r="AR212" i="57"/>
  <c r="AR213" i="57"/>
  <c r="AR214" i="57"/>
  <c r="AR215" i="57"/>
  <c r="AR216" i="57"/>
  <c r="AR217" i="57"/>
  <c r="AR218" i="57"/>
  <c r="AR219" i="57"/>
  <c r="AR220" i="57"/>
  <c r="AR221" i="57"/>
  <c r="AR222" i="57"/>
  <c r="AR223" i="57"/>
  <c r="AR224" i="57"/>
  <c r="AR225" i="57"/>
  <c r="AR226" i="57"/>
  <c r="AR227" i="57"/>
  <c r="AR228" i="57"/>
  <c r="AR229" i="57"/>
  <c r="AR230" i="57"/>
  <c r="AR231" i="57"/>
  <c r="AR232" i="57"/>
  <c r="AR233" i="57"/>
  <c r="AR234" i="57"/>
  <c r="AR235" i="57"/>
  <c r="AR236" i="57"/>
  <c r="AR237" i="57"/>
  <c r="AR238" i="57"/>
  <c r="AR239" i="57"/>
  <c r="AR240" i="57"/>
  <c r="AR241" i="57"/>
  <c r="AR242" i="57"/>
  <c r="AR243" i="57"/>
  <c r="AR244" i="57"/>
  <c r="AR245" i="57"/>
  <c r="AR246" i="57"/>
  <c r="AR247" i="57"/>
  <c r="AR248" i="57"/>
  <c r="AR249" i="57"/>
  <c r="AR250" i="57"/>
  <c r="AR251" i="57"/>
  <c r="AR252" i="57"/>
  <c r="AR253" i="57"/>
  <c r="AR254" i="57"/>
  <c r="AR255" i="57"/>
  <c r="AR256" i="57"/>
  <c r="AR257" i="57"/>
  <c r="AR258" i="57"/>
  <c r="AR259" i="57"/>
  <c r="AR260" i="57"/>
  <c r="AR261" i="57"/>
  <c r="AR262" i="57"/>
  <c r="AR263" i="57"/>
  <c r="AR264" i="57"/>
  <c r="AR265" i="57"/>
  <c r="AR266" i="57"/>
  <c r="AR267" i="57"/>
  <c r="AR268" i="57"/>
  <c r="AR269" i="57"/>
  <c r="AR270" i="57"/>
  <c r="AR271" i="57"/>
  <c r="AR272" i="57"/>
  <c r="AR273" i="57"/>
  <c r="AR274" i="57"/>
  <c r="AR275" i="57"/>
  <c r="AR276" i="57"/>
  <c r="AR277" i="57"/>
  <c r="AR278" i="57"/>
  <c r="AR279" i="57"/>
  <c r="AR280" i="57"/>
  <c r="AR281" i="57"/>
  <c r="AR282" i="57"/>
  <c r="AR283" i="57"/>
  <c r="AR284" i="57"/>
  <c r="AR285" i="57"/>
  <c r="AR286" i="57"/>
  <c r="AR287" i="57"/>
  <c r="AR288" i="57"/>
  <c r="AR289" i="57"/>
  <c r="AR290" i="57"/>
  <c r="AR291" i="57"/>
  <c r="AR292" i="57"/>
  <c r="AR293" i="57"/>
  <c r="AR294" i="57"/>
  <c r="AR295" i="57"/>
  <c r="AR296" i="57"/>
  <c r="AR297" i="57"/>
  <c r="AR298" i="57"/>
  <c r="AR299" i="57"/>
  <c r="AR300" i="57"/>
  <c r="AR301" i="57"/>
  <c r="AR302" i="57"/>
  <c r="AR303" i="57"/>
  <c r="AR304" i="57"/>
  <c r="AR305" i="57"/>
  <c r="AR306" i="57"/>
  <c r="AR307" i="57"/>
  <c r="AR308" i="57"/>
  <c r="AR309" i="57"/>
  <c r="AR310" i="57"/>
  <c r="AR311" i="57"/>
  <c r="AR312" i="57"/>
  <c r="AR313" i="57"/>
  <c r="AR314" i="57"/>
  <c r="AR315" i="57"/>
  <c r="AR316" i="57"/>
  <c r="AR317" i="57"/>
  <c r="AR318" i="57"/>
  <c r="AR319" i="57"/>
  <c r="AR320" i="57"/>
  <c r="AR321" i="57"/>
  <c r="AR322" i="57"/>
  <c r="AR323" i="57"/>
  <c r="AR324" i="57"/>
  <c r="AR325" i="57"/>
  <c r="AR326" i="57"/>
  <c r="AR327" i="57"/>
  <c r="AR328" i="57"/>
  <c r="AR329" i="57"/>
  <c r="AR330" i="57"/>
  <c r="AR331" i="57"/>
  <c r="AR332" i="57"/>
  <c r="AR333" i="57"/>
  <c r="AR334" i="57"/>
  <c r="AR335" i="57"/>
  <c r="AR336" i="57"/>
  <c r="AR337" i="57"/>
  <c r="AR338" i="57"/>
  <c r="AR339" i="57"/>
  <c r="AR340" i="57"/>
  <c r="AR341" i="57"/>
  <c r="AR342" i="57"/>
  <c r="AR343" i="57"/>
  <c r="AR344" i="57"/>
  <c r="AR345" i="57"/>
  <c r="AR346" i="57"/>
  <c r="AR347" i="57"/>
  <c r="AR348" i="57"/>
  <c r="AR349" i="57"/>
  <c r="AR350" i="57"/>
  <c r="AR351" i="57"/>
  <c r="AR352" i="57"/>
  <c r="AR353" i="57"/>
  <c r="AR354" i="57"/>
  <c r="AR355" i="57"/>
  <c r="AR356" i="57"/>
  <c r="AR357" i="57"/>
  <c r="AR358" i="57"/>
  <c r="AR359" i="57"/>
  <c r="AR360" i="57"/>
  <c r="AR361" i="57"/>
  <c r="AR362" i="57"/>
  <c r="AR363" i="57"/>
  <c r="AR364" i="57"/>
  <c r="AR365" i="57"/>
  <c r="AR366" i="57"/>
  <c r="AR367" i="57"/>
  <c r="AR368" i="57"/>
  <c r="AR369" i="57"/>
  <c r="AR370" i="57"/>
  <c r="AR371" i="57"/>
  <c r="AR372" i="57"/>
  <c r="AR373" i="57"/>
  <c r="AR374" i="57"/>
  <c r="AR375" i="57"/>
  <c r="AR376" i="57"/>
  <c r="AR377" i="57"/>
  <c r="AR378" i="57"/>
  <c r="AR379" i="57"/>
  <c r="AR380" i="57"/>
  <c r="AR381" i="57"/>
  <c r="AR382" i="57"/>
  <c r="AR383" i="57"/>
  <c r="AR384" i="57"/>
  <c r="AR385" i="57"/>
  <c r="AR386" i="57"/>
  <c r="AR387" i="57"/>
  <c r="AR388" i="57"/>
  <c r="AR389" i="57"/>
  <c r="AR390" i="57"/>
  <c r="AR391" i="57"/>
  <c r="AR392" i="57"/>
  <c r="AR393" i="57"/>
  <c r="AR394" i="57"/>
  <c r="AR395" i="57"/>
  <c r="AR396" i="57"/>
  <c r="AR397" i="57"/>
  <c r="AR398" i="57"/>
  <c r="AR399" i="57"/>
  <c r="AR400" i="57"/>
  <c r="AR401" i="57"/>
  <c r="AR402" i="57"/>
  <c r="AR403" i="57"/>
  <c r="AR404" i="57"/>
  <c r="AR405" i="57"/>
  <c r="AR406" i="57"/>
  <c r="AR407" i="57"/>
  <c r="AR408" i="57"/>
  <c r="AR409" i="57"/>
  <c r="AR410" i="57"/>
  <c r="AR411" i="57"/>
  <c r="AR412" i="57"/>
  <c r="AR413" i="57"/>
  <c r="AR414" i="57"/>
  <c r="AR415" i="57"/>
  <c r="AR416" i="57"/>
  <c r="AR417" i="57"/>
  <c r="AR418" i="57"/>
  <c r="AR419" i="57"/>
  <c r="AR420" i="57"/>
  <c r="AR421" i="57"/>
  <c r="AR422" i="57"/>
  <c r="AR423" i="57"/>
  <c r="AR424" i="57"/>
  <c r="AR425" i="57"/>
  <c r="AR426" i="57"/>
  <c r="AR427" i="57"/>
  <c r="AR428" i="57"/>
  <c r="AR429" i="57"/>
  <c r="AR430" i="57"/>
  <c r="AR431" i="57"/>
  <c r="AR432" i="57"/>
  <c r="AR433" i="57"/>
  <c r="AR434" i="57"/>
  <c r="AR435" i="57"/>
  <c r="AR436" i="57"/>
  <c r="AR437" i="57"/>
  <c r="AR438" i="57"/>
  <c r="AR439" i="57"/>
  <c r="AR440" i="57"/>
  <c r="AR441" i="57"/>
  <c r="AR442" i="57"/>
  <c r="AR443" i="57"/>
  <c r="AR444" i="57"/>
  <c r="AR445" i="57"/>
  <c r="AR446" i="57"/>
  <c r="AR447" i="57"/>
  <c r="AR448" i="57"/>
  <c r="AR449" i="57"/>
  <c r="AR450" i="57"/>
  <c r="AR451" i="57"/>
  <c r="AR452" i="57"/>
  <c r="AR453" i="57"/>
  <c r="AR454" i="57"/>
  <c r="AR455" i="57"/>
  <c r="AR456" i="57"/>
  <c r="AR457" i="57"/>
  <c r="AR458" i="57"/>
  <c r="AR459" i="57"/>
  <c r="AR460" i="57"/>
  <c r="AR461" i="57"/>
  <c r="AR462" i="57"/>
  <c r="AR463" i="57"/>
  <c r="AR464" i="57"/>
  <c r="AR465" i="57"/>
  <c r="AR466" i="57"/>
  <c r="AR467" i="57"/>
  <c r="AR468" i="57"/>
  <c r="AR469" i="57"/>
  <c r="AR470" i="57"/>
  <c r="AR471" i="57"/>
  <c r="AR472" i="57"/>
  <c r="AR473" i="57"/>
  <c r="AR474" i="57"/>
  <c r="AR475" i="57"/>
  <c r="AR476" i="57"/>
  <c r="AR477" i="57"/>
  <c r="AR478" i="57"/>
  <c r="AR479" i="57"/>
  <c r="AR480" i="57"/>
  <c r="AR481" i="57"/>
  <c r="AR482" i="57"/>
  <c r="AR483" i="57"/>
  <c r="AR484" i="57"/>
  <c r="AR485" i="57"/>
  <c r="AR486" i="57"/>
  <c r="AR487" i="57"/>
  <c r="AR488" i="57"/>
  <c r="AR489" i="57"/>
  <c r="AR490" i="57"/>
  <c r="AR491" i="57"/>
  <c r="AR492" i="57"/>
  <c r="AR493" i="57"/>
  <c r="AR494" i="57"/>
  <c r="AR495" i="57"/>
  <c r="AR496" i="57"/>
  <c r="AR497" i="57"/>
  <c r="AR498" i="57"/>
  <c r="AR499" i="57"/>
  <c r="AR500" i="57"/>
  <c r="AR501" i="57"/>
  <c r="AR502" i="57"/>
  <c r="AR503" i="57"/>
  <c r="AR504" i="57"/>
  <c r="AR505" i="57"/>
  <c r="AR506" i="57"/>
  <c r="AR507" i="57"/>
  <c r="AR508" i="57"/>
  <c r="AR509" i="57"/>
  <c r="AR510" i="57"/>
  <c r="AR511" i="57"/>
  <c r="AR512" i="57"/>
  <c r="AR513" i="57"/>
  <c r="AR514" i="57"/>
  <c r="AR515" i="57"/>
  <c r="AR516" i="57"/>
  <c r="AR517" i="57"/>
  <c r="AR518" i="57"/>
  <c r="AR519" i="57"/>
  <c r="AR520" i="57"/>
  <c r="AR521" i="57"/>
  <c r="AR522" i="57"/>
  <c r="AR523" i="57"/>
  <c r="AR524" i="57"/>
  <c r="AR525" i="57"/>
  <c r="AR526" i="57"/>
  <c r="AR527" i="57"/>
  <c r="AR528" i="57"/>
  <c r="AR529" i="57"/>
  <c r="AR530" i="57"/>
  <c r="AR531" i="57"/>
  <c r="AR532" i="57"/>
  <c r="AR533" i="57"/>
  <c r="AR534" i="57"/>
  <c r="AR535" i="57"/>
  <c r="AR536" i="57"/>
  <c r="AR537" i="57"/>
  <c r="AR538" i="57"/>
  <c r="AR539" i="57"/>
  <c r="AR540" i="57"/>
  <c r="AR541" i="57"/>
  <c r="AR542" i="57"/>
  <c r="AR543" i="57"/>
  <c r="AR544" i="57"/>
  <c r="AR545" i="57"/>
  <c r="AR546" i="57"/>
  <c r="AR547" i="57"/>
  <c r="AR548" i="57"/>
  <c r="AR549" i="57"/>
  <c r="AR550" i="57"/>
  <c r="AR551" i="57"/>
  <c r="AR552" i="57"/>
  <c r="AR553" i="57"/>
  <c r="AR554" i="57"/>
  <c r="AR555" i="57"/>
  <c r="AR556" i="57"/>
  <c r="AR557" i="57"/>
  <c r="AR558" i="57"/>
  <c r="AR559" i="57"/>
  <c r="AR560" i="57"/>
  <c r="AR561" i="57"/>
  <c r="AR562" i="57"/>
  <c r="AR563" i="57"/>
  <c r="AR564" i="57"/>
  <c r="AR565" i="57"/>
  <c r="AR566" i="57"/>
  <c r="AR567" i="57"/>
  <c r="AR568" i="57"/>
  <c r="AR569" i="57"/>
  <c r="AR570" i="57"/>
  <c r="AR571" i="57"/>
  <c r="AR572" i="57"/>
  <c r="AR573" i="57"/>
  <c r="AR574" i="57"/>
  <c r="AR575" i="57"/>
  <c r="AR576" i="57"/>
  <c r="AR577" i="57"/>
  <c r="AR578" i="57"/>
  <c r="AR579" i="57"/>
  <c r="AR580" i="57"/>
  <c r="AR581" i="57"/>
  <c r="AR582" i="57"/>
  <c r="AR583" i="57"/>
  <c r="AR584" i="57"/>
  <c r="AR585" i="57"/>
  <c r="AR586" i="57"/>
  <c r="AR587" i="57"/>
  <c r="AR588" i="57"/>
  <c r="AR589" i="57"/>
  <c r="AR590" i="57"/>
  <c r="AR591" i="57"/>
  <c r="AR592" i="57"/>
  <c r="AR593" i="57"/>
  <c r="AR594" i="57"/>
  <c r="AR595" i="57"/>
  <c r="AR596" i="57"/>
  <c r="AR597" i="57"/>
  <c r="AR598" i="57"/>
  <c r="AR599" i="57"/>
  <c r="AR600" i="57"/>
  <c r="AR601" i="57"/>
  <c r="AR602" i="57"/>
  <c r="AR603" i="57"/>
  <c r="AR604" i="57"/>
  <c r="AR605" i="57"/>
  <c r="AR606" i="57"/>
  <c r="AR607" i="57"/>
  <c r="AR608" i="57"/>
  <c r="AR609" i="57"/>
  <c r="AR610" i="57"/>
  <c r="AR611" i="57"/>
  <c r="AR612" i="57"/>
  <c r="AR613" i="57"/>
  <c r="AR614" i="57"/>
  <c r="AR615" i="57"/>
  <c r="AR616" i="57"/>
  <c r="AR617" i="57"/>
  <c r="AR618" i="57"/>
  <c r="AR619" i="57"/>
  <c r="AR620" i="57"/>
  <c r="AR621" i="57"/>
  <c r="AR622" i="57"/>
  <c r="AR623" i="57"/>
  <c r="AR624" i="57"/>
  <c r="AR625" i="57"/>
  <c r="AR626" i="57"/>
  <c r="AR627" i="57"/>
  <c r="AR628" i="57"/>
  <c r="AR629" i="57"/>
  <c r="AR630" i="57"/>
  <c r="AR631" i="57"/>
  <c r="AR632" i="57"/>
  <c r="AR633" i="57"/>
  <c r="AR634" i="57"/>
  <c r="AR635" i="57"/>
  <c r="AR636" i="57"/>
  <c r="AR637" i="57"/>
  <c r="AR638" i="57"/>
  <c r="AR639" i="57"/>
  <c r="AR640" i="57"/>
  <c r="AR641" i="57"/>
  <c r="AR642" i="57"/>
  <c r="AR643" i="57"/>
  <c r="AR644" i="57"/>
  <c r="AR645" i="57"/>
  <c r="AR646" i="57"/>
  <c r="AR647" i="57"/>
  <c r="AR648" i="57"/>
  <c r="AR649" i="57"/>
  <c r="AR650" i="57"/>
  <c r="AR651" i="57"/>
  <c r="AR652" i="57"/>
  <c r="AR653" i="57"/>
  <c r="AR654" i="57"/>
  <c r="AR655" i="57"/>
  <c r="AR656" i="57"/>
  <c r="AR657" i="57"/>
  <c r="AR658" i="57"/>
  <c r="AR659" i="57"/>
  <c r="AR660" i="57"/>
  <c r="AR661" i="57"/>
  <c r="AR662" i="57"/>
  <c r="AR663" i="57"/>
  <c r="AR664" i="57"/>
  <c r="AR665" i="57"/>
  <c r="AR666" i="57"/>
  <c r="AR667" i="57"/>
  <c r="AR668" i="57"/>
  <c r="AR669" i="57"/>
  <c r="AR670" i="57"/>
  <c r="AR671" i="57"/>
  <c r="AR672" i="57"/>
  <c r="AR673" i="57"/>
  <c r="AR674" i="57"/>
  <c r="AR675" i="57"/>
  <c r="AR676" i="57"/>
  <c r="AR677" i="57"/>
  <c r="AR678" i="57"/>
  <c r="AR679" i="57"/>
  <c r="AR680" i="57"/>
  <c r="AR681" i="57"/>
  <c r="AR682" i="57"/>
  <c r="AR683" i="57"/>
  <c r="AR684" i="57"/>
  <c r="AR685" i="57"/>
  <c r="AR686" i="57"/>
  <c r="AR687" i="57"/>
  <c r="AR688" i="57"/>
  <c r="AR689" i="57"/>
  <c r="AR690" i="57"/>
  <c r="AR691" i="57"/>
  <c r="AR692" i="57"/>
  <c r="AR693" i="57"/>
  <c r="AR694" i="57"/>
  <c r="AR695" i="57"/>
  <c r="AR696" i="57"/>
  <c r="AR697" i="57"/>
  <c r="AR698" i="57"/>
  <c r="AR699" i="57"/>
  <c r="AR700" i="57"/>
  <c r="AR701" i="57"/>
  <c r="AR702" i="57"/>
  <c r="AR703" i="57"/>
  <c r="AR704" i="57"/>
  <c r="AR705" i="57"/>
  <c r="AR706" i="57"/>
  <c r="AR707" i="57"/>
  <c r="AR708" i="57"/>
  <c r="AR709" i="57"/>
  <c r="AR710" i="57"/>
  <c r="AR711" i="57"/>
  <c r="AR712" i="57"/>
  <c r="AR713" i="57"/>
  <c r="AR714" i="57"/>
  <c r="AR715" i="57"/>
  <c r="AR716" i="57"/>
  <c r="AR717" i="57"/>
  <c r="AR718" i="57"/>
  <c r="AR719" i="57"/>
  <c r="AR720" i="57"/>
  <c r="AR721" i="57"/>
  <c r="AR722" i="57"/>
  <c r="AR723" i="57"/>
  <c r="AR724" i="57"/>
  <c r="AR725" i="57"/>
  <c r="AR726" i="57"/>
  <c r="AR727" i="57"/>
  <c r="AR728" i="57"/>
  <c r="AR729" i="57"/>
  <c r="AR730" i="57"/>
  <c r="AR731" i="57"/>
  <c r="AR732" i="57"/>
  <c r="AR733" i="57"/>
  <c r="AR734" i="57"/>
  <c r="AR735" i="57"/>
  <c r="AR736" i="57"/>
  <c r="AR737" i="57"/>
  <c r="AR738" i="57"/>
  <c r="AR739" i="57"/>
  <c r="AR740" i="57"/>
  <c r="AR741" i="57"/>
  <c r="AR742" i="57"/>
  <c r="AR743" i="57"/>
  <c r="AR744" i="57"/>
  <c r="AR745" i="57"/>
  <c r="AR746" i="57"/>
  <c r="AR747" i="57"/>
  <c r="AR748" i="57"/>
  <c r="AR749" i="57"/>
  <c r="AR750" i="57"/>
  <c r="AR751" i="57"/>
  <c r="AR752" i="57"/>
  <c r="AR753" i="57"/>
  <c r="AR754" i="57"/>
  <c r="AR755" i="57"/>
  <c r="AR756" i="57"/>
  <c r="AR757" i="57"/>
  <c r="AR758" i="57"/>
  <c r="AR759" i="57"/>
  <c r="AR760" i="57"/>
  <c r="AR761" i="57"/>
  <c r="AR762" i="57"/>
  <c r="AR763" i="57"/>
  <c r="AR764" i="57"/>
  <c r="AR765" i="57"/>
  <c r="AR766" i="57"/>
  <c r="AR767" i="57"/>
  <c r="AR768" i="57"/>
  <c r="AR769" i="57"/>
  <c r="AR770" i="57"/>
  <c r="AR771" i="57"/>
  <c r="AR772" i="57"/>
  <c r="AR773" i="57"/>
  <c r="AR774" i="57"/>
  <c r="AR775" i="57"/>
  <c r="AR776" i="57"/>
  <c r="AR777" i="57"/>
  <c r="AR778" i="57"/>
  <c r="AR779" i="57"/>
  <c r="AR780" i="57"/>
  <c r="AR781" i="57"/>
  <c r="AR782" i="57"/>
  <c r="AR783" i="57"/>
  <c r="AR784" i="57"/>
  <c r="AR785" i="57"/>
  <c r="AR786" i="57"/>
  <c r="AR787" i="57"/>
  <c r="AR788" i="57"/>
  <c r="AR789" i="57"/>
  <c r="AR790" i="57"/>
  <c r="AR791" i="57"/>
  <c r="AR792" i="57"/>
  <c r="AR793" i="57"/>
  <c r="AR794" i="57"/>
  <c r="AR795" i="57"/>
  <c r="AR796" i="57"/>
  <c r="AR797" i="57"/>
  <c r="AR798" i="57"/>
  <c r="AR799" i="57"/>
  <c r="AR800" i="57"/>
  <c r="AR801" i="57"/>
  <c r="AR802" i="57"/>
  <c r="AR803" i="57"/>
  <c r="AR804" i="57"/>
  <c r="AR805" i="57"/>
  <c r="AR806" i="57"/>
  <c r="AR807" i="57"/>
  <c r="AR808" i="57"/>
  <c r="AR809" i="57"/>
  <c r="AR810" i="57"/>
  <c r="AR811" i="57"/>
  <c r="AR812" i="57"/>
  <c r="AR813" i="57"/>
  <c r="AR814" i="57"/>
  <c r="AR815" i="57"/>
  <c r="AR816" i="57"/>
  <c r="AR817" i="57"/>
  <c r="AR818" i="57"/>
  <c r="AR819" i="57"/>
  <c r="AR820" i="57"/>
  <c r="AR821" i="57"/>
  <c r="AR822" i="57"/>
  <c r="AR823" i="57"/>
  <c r="AR824" i="57"/>
  <c r="AR825" i="57"/>
  <c r="AR826" i="57"/>
  <c r="AR827" i="57"/>
  <c r="AR828" i="57"/>
  <c r="AR829" i="57"/>
  <c r="AR830" i="57"/>
  <c r="AR831" i="57"/>
  <c r="AR832" i="57"/>
  <c r="AR833" i="57"/>
  <c r="AR834" i="57"/>
  <c r="AR835" i="57"/>
  <c r="AR836" i="57"/>
  <c r="AR837" i="57"/>
  <c r="AR838" i="57"/>
  <c r="AR839" i="57"/>
  <c r="AR840" i="57"/>
  <c r="AR841" i="57"/>
  <c r="AR842" i="57"/>
  <c r="AR843" i="57"/>
  <c r="AR844" i="57"/>
  <c r="AR845" i="57"/>
  <c r="AR846" i="57"/>
  <c r="AR847" i="57"/>
  <c r="AR848" i="57"/>
  <c r="AR849" i="57"/>
  <c r="AR850" i="57"/>
  <c r="AR851" i="57"/>
  <c r="AR852" i="57"/>
  <c r="AR853" i="57"/>
  <c r="AR854" i="57"/>
  <c r="AR855" i="57"/>
  <c r="AR856" i="57"/>
  <c r="AR857" i="57"/>
  <c r="AR858" i="57"/>
  <c r="AR859" i="57"/>
  <c r="AR860" i="57"/>
  <c r="AR861" i="57"/>
  <c r="AR862" i="57"/>
  <c r="AR863" i="57"/>
  <c r="AR864" i="57"/>
  <c r="AR865" i="57"/>
  <c r="AR866" i="57"/>
  <c r="AR867" i="57"/>
  <c r="AR868" i="57"/>
  <c r="AR869" i="57"/>
  <c r="AR870" i="57"/>
  <c r="AR871" i="57"/>
  <c r="AR872" i="57"/>
  <c r="AR873" i="57"/>
  <c r="AR874" i="57"/>
  <c r="AR875" i="57"/>
  <c r="AR876" i="57"/>
  <c r="AR877" i="57"/>
  <c r="AR878" i="57"/>
  <c r="AR879" i="57"/>
  <c r="AR880" i="57"/>
  <c r="AR881" i="57"/>
  <c r="AR882" i="57"/>
  <c r="AR883" i="57"/>
  <c r="AR884" i="57"/>
  <c r="AR885" i="57"/>
  <c r="AR886" i="57"/>
  <c r="AR887" i="57"/>
  <c r="AR888" i="57"/>
  <c r="AR889" i="57"/>
  <c r="AR890" i="57"/>
  <c r="AR891" i="57"/>
  <c r="AR892" i="57"/>
  <c r="AR893" i="57"/>
  <c r="AR894" i="57"/>
  <c r="AR895" i="57"/>
  <c r="AR896" i="57"/>
  <c r="AR897" i="57"/>
  <c r="AR898" i="57"/>
  <c r="AR899" i="57"/>
  <c r="AR900" i="57"/>
  <c r="AR901" i="57"/>
  <c r="AR902" i="57"/>
  <c r="AR903" i="57"/>
  <c r="AR904" i="57"/>
  <c r="AR905" i="57"/>
  <c r="AR906" i="57"/>
  <c r="AR907" i="57"/>
  <c r="AR908" i="57"/>
  <c r="AR909" i="57"/>
  <c r="AR910" i="57"/>
  <c r="AR911" i="57"/>
  <c r="AR912" i="57"/>
  <c r="AR913" i="57"/>
  <c r="AR914" i="57"/>
  <c r="AR915" i="57"/>
  <c r="AR916" i="57"/>
  <c r="AR917" i="57"/>
  <c r="AR918" i="57"/>
  <c r="AR919" i="57"/>
  <c r="AR920" i="57"/>
  <c r="AR921" i="57"/>
  <c r="AR922" i="57"/>
  <c r="BF12" i="35" l="1"/>
  <c r="BB623" i="57"/>
  <c r="BB624" i="57"/>
  <c r="BB625" i="57"/>
  <c r="BB626" i="57"/>
  <c r="BB627" i="57"/>
  <c r="BB628" i="57"/>
  <c r="BB629" i="57"/>
  <c r="BB630" i="57"/>
  <c r="BB631" i="57"/>
  <c r="BB632" i="57"/>
  <c r="BB633" i="57"/>
  <c r="BB634" i="57"/>
  <c r="BB635" i="57"/>
  <c r="BB636" i="57"/>
  <c r="BB637" i="57"/>
  <c r="BB638" i="57"/>
  <c r="BB639" i="57"/>
  <c r="BB640" i="57"/>
  <c r="BB641" i="57"/>
  <c r="BB642" i="57"/>
  <c r="BB643" i="57"/>
  <c r="BB644" i="57"/>
  <c r="BB645" i="57"/>
  <c r="BB646" i="57"/>
  <c r="BB647" i="57"/>
  <c r="BB648" i="57"/>
  <c r="BB649" i="57"/>
  <c r="BB650" i="57"/>
  <c r="BB651" i="57"/>
  <c r="BB652" i="57"/>
  <c r="BB653" i="57"/>
  <c r="BB654" i="57"/>
  <c r="BB655" i="57"/>
  <c r="BB4" i="57"/>
  <c r="BB5" i="57"/>
  <c r="BB6" i="57"/>
  <c r="BB7" i="57"/>
  <c r="BB8" i="57"/>
  <c r="BB9" i="57"/>
  <c r="BB10" i="57"/>
  <c r="BB11" i="57"/>
  <c r="BB12" i="57"/>
  <c r="BB13" i="57"/>
  <c r="BB14" i="57"/>
  <c r="BB15" i="57"/>
  <c r="BB16" i="57"/>
  <c r="BB17" i="57"/>
  <c r="BB18" i="57"/>
  <c r="BB19" i="57"/>
  <c r="BB20" i="57"/>
  <c r="BB21" i="57"/>
  <c r="BB22" i="57"/>
  <c r="BB23" i="57"/>
  <c r="BB24" i="57"/>
  <c r="BB25" i="57"/>
  <c r="BB26" i="57"/>
  <c r="BB27" i="57"/>
  <c r="BB28" i="57"/>
  <c r="BB29" i="57"/>
  <c r="BB30" i="57"/>
  <c r="BB31" i="57"/>
  <c r="BB32" i="57"/>
  <c r="BB33" i="57"/>
  <c r="BB34" i="57"/>
  <c r="BB35" i="57"/>
  <c r="BB36" i="57"/>
  <c r="BB37" i="57"/>
  <c r="BB38" i="57"/>
  <c r="BB39" i="57"/>
  <c r="BB40" i="57"/>
  <c r="BB41" i="57"/>
  <c r="BB42" i="57"/>
  <c r="BB43" i="57"/>
  <c r="BB44" i="57"/>
  <c r="BB45" i="57"/>
  <c r="BB46" i="57"/>
  <c r="BB47" i="57"/>
  <c r="BB48" i="57"/>
  <c r="BB49" i="57"/>
  <c r="BB50" i="57"/>
  <c r="BB51" i="57"/>
  <c r="BB52" i="57"/>
  <c r="BB53" i="57"/>
  <c r="BB54" i="57"/>
  <c r="BB55" i="57"/>
  <c r="BB56" i="57"/>
  <c r="BB57" i="57"/>
  <c r="BB58" i="57"/>
  <c r="BB59" i="57"/>
  <c r="BB60" i="57"/>
  <c r="BB61" i="57"/>
  <c r="BB62" i="57"/>
  <c r="BB63" i="57"/>
  <c r="BB64" i="57"/>
  <c r="BB65" i="57"/>
  <c r="BB66" i="57"/>
  <c r="BB67" i="57"/>
  <c r="BB68" i="57"/>
  <c r="BB69" i="57"/>
  <c r="BB70" i="57"/>
  <c r="BB71" i="57"/>
  <c r="BB72" i="57"/>
  <c r="BB73" i="57"/>
  <c r="BB74" i="57"/>
  <c r="BB75" i="57"/>
  <c r="BB76" i="57"/>
  <c r="BB77" i="57"/>
  <c r="BB78" i="57"/>
  <c r="BB79" i="57"/>
  <c r="BB80" i="57"/>
  <c r="BB81" i="57"/>
  <c r="BB82" i="57"/>
  <c r="BB83" i="57"/>
  <c r="BB84" i="57"/>
  <c r="BB85" i="57"/>
  <c r="BB86" i="57"/>
  <c r="BB87" i="57"/>
  <c r="BB88" i="57"/>
  <c r="BB89" i="57"/>
  <c r="BB90" i="57"/>
  <c r="BB91" i="57"/>
  <c r="BB92" i="57"/>
  <c r="BB93" i="57"/>
  <c r="BB94" i="57"/>
  <c r="BB95" i="57"/>
  <c r="BB96" i="57"/>
  <c r="BB97" i="57"/>
  <c r="BB98" i="57"/>
  <c r="BB99" i="57"/>
  <c r="BB100" i="57"/>
  <c r="BB101" i="57"/>
  <c r="BB102" i="57"/>
  <c r="BB103" i="57"/>
  <c r="BB104" i="57"/>
  <c r="BB105" i="57"/>
  <c r="BB106" i="57"/>
  <c r="BB107" i="57"/>
  <c r="BB108" i="57"/>
  <c r="BB109" i="57"/>
  <c r="BB110" i="57"/>
  <c r="BB111" i="57"/>
  <c r="BB112" i="57"/>
  <c r="BB113" i="57"/>
  <c r="BB114" i="57"/>
  <c r="BB115" i="57"/>
  <c r="BB116" i="57"/>
  <c r="BB117" i="57"/>
  <c r="BB118" i="57"/>
  <c r="BB119" i="57"/>
  <c r="BB120" i="57"/>
  <c r="BB121" i="57"/>
  <c r="BB122" i="57"/>
  <c r="BB123" i="57"/>
  <c r="BB124" i="57"/>
  <c r="BB125" i="57"/>
  <c r="BB126" i="57"/>
  <c r="BB127" i="57"/>
  <c r="BB128" i="57"/>
  <c r="BB129" i="57"/>
  <c r="BB130" i="57"/>
  <c r="BB131" i="57"/>
  <c r="BB132" i="57"/>
  <c r="BB133" i="57"/>
  <c r="BB134" i="57"/>
  <c r="BB135" i="57"/>
  <c r="BB136" i="57"/>
  <c r="BB137" i="57"/>
  <c r="BB138" i="57"/>
  <c r="BB139" i="57"/>
  <c r="BB140" i="57"/>
  <c r="BB141" i="57"/>
  <c r="BB142" i="57"/>
  <c r="BB143" i="57"/>
  <c r="BB144" i="57"/>
  <c r="BB145" i="57"/>
  <c r="BB146" i="57"/>
  <c r="BB147" i="57"/>
  <c r="BB148" i="57"/>
  <c r="BB149" i="57"/>
  <c r="BB150" i="57"/>
  <c r="BB151" i="57"/>
  <c r="BB152" i="57"/>
  <c r="BB153" i="57"/>
  <c r="BB154" i="57"/>
  <c r="BB155" i="57"/>
  <c r="BB156" i="57"/>
  <c r="BB157" i="57"/>
  <c r="BB158" i="57"/>
  <c r="BB159" i="57"/>
  <c r="BB160" i="57"/>
  <c r="BB161" i="57"/>
  <c r="BB162" i="57"/>
  <c r="BB163" i="57"/>
  <c r="BB164" i="57"/>
  <c r="BB165" i="57"/>
  <c r="BB166" i="57"/>
  <c r="BB167" i="57"/>
  <c r="BB168" i="57"/>
  <c r="BB169" i="57"/>
  <c r="BB170" i="57"/>
  <c r="BB171" i="57"/>
  <c r="BB172" i="57"/>
  <c r="BB173" i="57"/>
  <c r="BB174" i="57"/>
  <c r="BB175" i="57"/>
  <c r="BB176" i="57"/>
  <c r="BB177" i="57"/>
  <c r="BB178" i="57"/>
  <c r="BB179" i="57"/>
  <c r="BB180" i="57"/>
  <c r="BB181" i="57"/>
  <c r="BB182" i="57"/>
  <c r="BB183" i="57"/>
  <c r="BB184" i="57"/>
  <c r="BB185" i="57"/>
  <c r="BB186" i="57"/>
  <c r="BB187" i="57"/>
  <c r="BB188" i="57"/>
  <c r="BB189" i="57"/>
  <c r="BB190" i="57"/>
  <c r="BB191" i="57"/>
  <c r="BB192" i="57"/>
  <c r="BB193" i="57"/>
  <c r="BB194" i="57"/>
  <c r="BB195" i="57"/>
  <c r="BB196" i="57"/>
  <c r="BB197" i="57"/>
  <c r="BB198" i="57"/>
  <c r="BB199" i="57"/>
  <c r="BB200" i="57"/>
  <c r="BB201" i="57"/>
  <c r="BB202" i="57"/>
  <c r="BB203" i="57"/>
  <c r="BB204" i="57"/>
  <c r="BB205" i="57"/>
  <c r="BB206" i="57"/>
  <c r="BB207" i="57"/>
  <c r="BB208" i="57"/>
  <c r="BB209" i="57"/>
  <c r="BB210" i="57"/>
  <c r="BB211" i="57"/>
  <c r="BB212" i="57"/>
  <c r="BB213" i="57"/>
  <c r="BB214" i="57"/>
  <c r="BB215" i="57"/>
  <c r="BB216" i="57"/>
  <c r="BB217" i="57"/>
  <c r="BB218" i="57"/>
  <c r="BB219" i="57"/>
  <c r="BB220" i="57"/>
  <c r="BB221" i="57"/>
  <c r="BB222" i="57"/>
  <c r="BB223" i="57"/>
  <c r="BB224" i="57"/>
  <c r="BB225" i="57"/>
  <c r="BB226" i="57"/>
  <c r="BB227" i="57"/>
  <c r="BB228" i="57"/>
  <c r="BB229" i="57"/>
  <c r="BB230" i="57"/>
  <c r="BB231" i="57"/>
  <c r="BB232" i="57"/>
  <c r="BB233" i="57"/>
  <c r="BB234" i="57"/>
  <c r="BB235" i="57"/>
  <c r="BB236" i="57"/>
  <c r="BB237" i="57"/>
  <c r="BB238" i="57"/>
  <c r="BB239" i="57"/>
  <c r="BB240" i="57"/>
  <c r="BB241" i="57"/>
  <c r="BB242" i="57"/>
  <c r="BB243" i="57"/>
  <c r="BB244" i="57"/>
  <c r="BB245" i="57"/>
  <c r="BB246" i="57"/>
  <c r="BB247" i="57"/>
  <c r="BB248" i="57"/>
  <c r="BB249" i="57"/>
  <c r="BB250" i="57"/>
  <c r="BB251" i="57"/>
  <c r="BB252" i="57"/>
  <c r="BB253" i="57"/>
  <c r="BB254" i="57"/>
  <c r="BB255" i="57"/>
  <c r="BB256" i="57"/>
  <c r="BB257" i="57"/>
  <c r="BB258" i="57"/>
  <c r="BB259" i="57"/>
  <c r="BB260" i="57"/>
  <c r="BB261" i="57"/>
  <c r="BB262" i="57"/>
  <c r="BB263" i="57"/>
  <c r="BB264" i="57"/>
  <c r="BB265" i="57"/>
  <c r="BB266" i="57"/>
  <c r="BB267" i="57"/>
  <c r="BB268" i="57"/>
  <c r="BB269" i="57"/>
  <c r="BB270" i="57"/>
  <c r="BB271" i="57"/>
  <c r="BB272" i="57"/>
  <c r="BB273" i="57"/>
  <c r="BB274" i="57"/>
  <c r="BB275" i="57"/>
  <c r="BB276" i="57"/>
  <c r="BB277" i="57"/>
  <c r="BB278" i="57"/>
  <c r="BB279" i="57"/>
  <c r="BB280" i="57"/>
  <c r="BB281" i="57"/>
  <c r="BB282" i="57"/>
  <c r="BB283" i="57"/>
  <c r="BB284" i="57"/>
  <c r="BB285" i="57"/>
  <c r="BB286" i="57"/>
  <c r="BB287" i="57"/>
  <c r="BB288" i="57"/>
  <c r="BB289" i="57"/>
  <c r="BB290" i="57"/>
  <c r="BB291" i="57"/>
  <c r="BB292" i="57"/>
  <c r="BB293" i="57"/>
  <c r="BB294" i="57"/>
  <c r="BB295" i="57"/>
  <c r="BB296" i="57"/>
  <c r="BB297" i="57"/>
  <c r="BB298" i="57"/>
  <c r="BB299" i="57"/>
  <c r="BB300" i="57"/>
  <c r="BB301" i="57"/>
  <c r="BB302" i="57"/>
  <c r="BB303" i="57"/>
  <c r="BB304" i="57"/>
  <c r="BB305" i="57"/>
  <c r="BB306" i="57"/>
  <c r="BB307" i="57"/>
  <c r="BB308" i="57"/>
  <c r="BB309" i="57"/>
  <c r="BB310" i="57"/>
  <c r="BB311" i="57"/>
  <c r="BB312" i="57"/>
  <c r="BB313" i="57"/>
  <c r="BB314" i="57"/>
  <c r="BB315" i="57"/>
  <c r="BB316" i="57"/>
  <c r="BB317" i="57"/>
  <c r="BB318" i="57"/>
  <c r="BB319" i="57"/>
  <c r="BB320" i="57"/>
  <c r="BB321" i="57"/>
  <c r="BB322" i="57"/>
  <c r="BB323" i="57"/>
  <c r="BB324" i="57"/>
  <c r="BB325" i="57"/>
  <c r="BB326" i="57"/>
  <c r="BB327" i="57"/>
  <c r="BB328" i="57"/>
  <c r="BB329" i="57"/>
  <c r="BB330" i="57"/>
  <c r="BB331" i="57"/>
  <c r="BB332" i="57"/>
  <c r="BB333" i="57"/>
  <c r="BB334" i="57"/>
  <c r="BB335" i="57"/>
  <c r="BB336" i="57"/>
  <c r="BB337" i="57"/>
  <c r="BB338" i="57"/>
  <c r="BB339" i="57"/>
  <c r="BB340" i="57"/>
  <c r="BB341" i="57"/>
  <c r="BB342" i="57"/>
  <c r="BB343" i="57"/>
  <c r="BB344" i="57"/>
  <c r="BB345" i="57"/>
  <c r="BB346" i="57"/>
  <c r="BB347" i="57"/>
  <c r="BB348" i="57"/>
  <c r="BB349" i="57"/>
  <c r="BB350" i="57"/>
  <c r="BB351" i="57"/>
  <c r="BB352" i="57"/>
  <c r="BB353" i="57"/>
  <c r="BB354" i="57"/>
  <c r="BB355" i="57"/>
  <c r="BB356" i="57"/>
  <c r="BB357" i="57"/>
  <c r="BB358" i="57"/>
  <c r="BB359" i="57"/>
  <c r="BB360" i="57"/>
  <c r="BB361" i="57"/>
  <c r="BB362" i="57"/>
  <c r="BB363" i="57"/>
  <c r="BB364" i="57"/>
  <c r="BB365" i="57"/>
  <c r="BB366" i="57"/>
  <c r="BB367" i="57"/>
  <c r="BB368" i="57"/>
  <c r="BB369" i="57"/>
  <c r="BB370" i="57"/>
  <c r="BB371" i="57"/>
  <c r="BB372" i="57"/>
  <c r="BB373" i="57"/>
  <c r="BB374" i="57"/>
  <c r="BB375" i="57"/>
  <c r="BB376" i="57"/>
  <c r="BB377" i="57"/>
  <c r="BB378" i="57"/>
  <c r="BB379" i="57"/>
  <c r="BB380" i="57"/>
  <c r="BB381" i="57"/>
  <c r="BB382" i="57"/>
  <c r="BB383" i="57"/>
  <c r="BB384" i="57"/>
  <c r="BB385" i="57"/>
  <c r="BB386" i="57"/>
  <c r="BB387" i="57"/>
  <c r="BB388" i="57"/>
  <c r="BB389" i="57"/>
  <c r="BB390" i="57"/>
  <c r="BB391" i="57"/>
  <c r="BB392" i="57"/>
  <c r="BB393" i="57"/>
  <c r="BB394" i="57"/>
  <c r="BB395" i="57"/>
  <c r="BB396" i="57"/>
  <c r="BB397" i="57"/>
  <c r="BB398" i="57"/>
  <c r="BB399" i="57"/>
  <c r="BB400" i="57"/>
  <c r="BB401" i="57"/>
  <c r="BB402" i="57"/>
  <c r="BB403" i="57"/>
  <c r="BB404" i="57"/>
  <c r="BB405" i="57"/>
  <c r="BB406" i="57"/>
  <c r="BB407" i="57"/>
  <c r="BB408" i="57"/>
  <c r="BB409" i="57"/>
  <c r="BB410" i="57"/>
  <c r="BB411" i="57"/>
  <c r="BB412" i="57"/>
  <c r="BB413" i="57"/>
  <c r="BB414" i="57"/>
  <c r="BB415" i="57"/>
  <c r="BB416" i="57"/>
  <c r="BB417" i="57"/>
  <c r="BB418" i="57"/>
  <c r="BB419" i="57"/>
  <c r="BB420" i="57"/>
  <c r="BB421" i="57"/>
  <c r="BB422" i="57"/>
  <c r="BB423" i="57"/>
  <c r="BB424" i="57"/>
  <c r="BB425" i="57"/>
  <c r="BB426" i="57"/>
  <c r="BB427" i="57"/>
  <c r="BB428" i="57"/>
  <c r="BB429" i="57"/>
  <c r="BB430" i="57"/>
  <c r="BB431" i="57"/>
  <c r="BB432" i="57"/>
  <c r="BB433" i="57"/>
  <c r="BB434" i="57"/>
  <c r="BB435" i="57"/>
  <c r="BB436" i="57"/>
  <c r="BB437" i="57"/>
  <c r="BB438" i="57"/>
  <c r="BB439" i="57"/>
  <c r="BB440" i="57"/>
  <c r="BB441" i="57"/>
  <c r="BB442" i="57"/>
  <c r="BB443" i="57"/>
  <c r="BB444" i="57"/>
  <c r="BB445" i="57"/>
  <c r="BB446" i="57"/>
  <c r="BB447" i="57"/>
  <c r="BB448" i="57"/>
  <c r="BB449" i="57"/>
  <c r="BB450" i="57"/>
  <c r="BB451" i="57"/>
  <c r="BB452" i="57"/>
  <c r="BB453" i="57"/>
  <c r="BB454" i="57"/>
  <c r="BB455" i="57"/>
  <c r="BB456" i="57"/>
  <c r="BB457" i="57"/>
  <c r="BB458" i="57"/>
  <c r="BB459" i="57"/>
  <c r="BB460" i="57"/>
  <c r="BB461" i="57"/>
  <c r="BB462" i="57"/>
  <c r="BB463" i="57"/>
  <c r="BB464" i="57"/>
  <c r="BB465" i="57"/>
  <c r="BB466" i="57"/>
  <c r="BB467" i="57"/>
  <c r="BB468" i="57"/>
  <c r="BB469" i="57"/>
  <c r="BB470" i="57"/>
  <c r="BB471" i="57"/>
  <c r="BB472" i="57"/>
  <c r="BB473" i="57"/>
  <c r="BB474" i="57"/>
  <c r="BB475" i="57"/>
  <c r="BB476" i="57"/>
  <c r="BB477" i="57"/>
  <c r="BB478" i="57"/>
  <c r="BB479" i="57"/>
  <c r="BB480" i="57"/>
  <c r="BB481" i="57"/>
  <c r="BB482" i="57"/>
  <c r="BB483" i="57"/>
  <c r="BB484" i="57"/>
  <c r="BB485" i="57"/>
  <c r="BB486" i="57"/>
  <c r="BB487" i="57"/>
  <c r="BB488" i="57"/>
  <c r="BB489" i="57"/>
  <c r="BB490" i="57"/>
  <c r="BB491" i="57"/>
  <c r="BB492" i="57"/>
  <c r="BB493" i="57"/>
  <c r="BB494" i="57"/>
  <c r="BB495" i="57"/>
  <c r="BB496" i="57"/>
  <c r="BB497" i="57"/>
  <c r="BB498" i="57"/>
  <c r="BB499" i="57"/>
  <c r="BB500" i="57"/>
  <c r="BB501" i="57"/>
  <c r="BB502" i="57"/>
  <c r="BB503" i="57"/>
  <c r="BB504" i="57"/>
  <c r="BB505" i="57"/>
  <c r="BB506" i="57"/>
  <c r="BB507" i="57"/>
  <c r="BB508" i="57"/>
  <c r="BB509" i="57"/>
  <c r="BB510" i="57"/>
  <c r="BB511" i="57"/>
  <c r="BB512" i="57"/>
  <c r="BB513" i="57"/>
  <c r="BB514" i="57"/>
  <c r="BB515" i="57"/>
  <c r="BB516" i="57"/>
  <c r="BB517" i="57"/>
  <c r="BB518" i="57"/>
  <c r="BB519" i="57"/>
  <c r="BB520" i="57"/>
  <c r="BB521" i="57"/>
  <c r="BB522" i="57"/>
  <c r="BB523" i="57"/>
  <c r="BB524" i="57"/>
  <c r="BB525" i="57"/>
  <c r="BB526" i="57"/>
  <c r="BB527" i="57"/>
  <c r="BB528" i="57"/>
  <c r="BB529" i="57"/>
  <c r="BB530" i="57"/>
  <c r="BB531" i="57"/>
  <c r="BB532" i="57"/>
  <c r="BB533" i="57"/>
  <c r="BB534" i="57"/>
  <c r="BB535" i="57"/>
  <c r="BB536" i="57"/>
  <c r="BB537" i="57"/>
  <c r="BB538" i="57"/>
  <c r="BB539" i="57"/>
  <c r="BB540" i="57"/>
  <c r="BB541" i="57"/>
  <c r="BB542" i="57"/>
  <c r="BB543" i="57"/>
  <c r="BB544" i="57"/>
  <c r="BB545" i="57"/>
  <c r="BB546" i="57"/>
  <c r="BB547" i="57"/>
  <c r="BB548" i="57"/>
  <c r="BB549" i="57"/>
  <c r="BB550" i="57"/>
  <c r="BB551" i="57"/>
  <c r="BB552" i="57"/>
  <c r="BB553" i="57"/>
  <c r="BB554" i="57"/>
  <c r="BB555" i="57"/>
  <c r="BB556" i="57"/>
  <c r="BB557" i="57"/>
  <c r="BB558" i="57"/>
  <c r="BB559" i="57"/>
  <c r="BB560" i="57"/>
  <c r="BB561" i="57"/>
  <c r="BB562" i="57"/>
  <c r="BB563" i="57"/>
  <c r="BB564" i="57"/>
  <c r="BB565" i="57"/>
  <c r="BB566" i="57"/>
  <c r="BB567" i="57"/>
  <c r="BB568" i="57"/>
  <c r="BB569" i="57"/>
  <c r="BB570" i="57"/>
  <c r="BB571" i="57"/>
  <c r="BB572" i="57"/>
  <c r="BB573" i="57"/>
  <c r="BB574" i="57"/>
  <c r="BB575" i="57"/>
  <c r="BB576" i="57"/>
  <c r="BB577" i="57"/>
  <c r="BB578" i="57"/>
  <c r="BB579" i="57"/>
  <c r="BB580" i="57"/>
  <c r="BB581" i="57"/>
  <c r="BB582" i="57"/>
  <c r="BB583" i="57"/>
  <c r="BB584" i="57"/>
  <c r="BB585" i="57"/>
  <c r="BB586" i="57"/>
  <c r="BB587" i="57"/>
  <c r="BB588" i="57"/>
  <c r="BB589" i="57"/>
  <c r="BB590" i="57"/>
  <c r="BB591" i="57"/>
  <c r="BB592" i="57"/>
  <c r="BB593" i="57"/>
  <c r="BB594" i="57"/>
  <c r="BB595" i="57"/>
  <c r="BB596" i="57"/>
  <c r="BB597" i="57"/>
  <c r="BB598" i="57"/>
  <c r="BB599" i="57"/>
  <c r="BB600" i="57"/>
  <c r="BB601" i="57"/>
  <c r="BB602" i="57"/>
  <c r="BB603" i="57"/>
  <c r="BB604" i="57"/>
  <c r="BB605" i="57"/>
  <c r="BB606" i="57"/>
  <c r="BB607" i="57"/>
  <c r="BB608" i="57"/>
  <c r="BB609" i="57"/>
  <c r="BB610" i="57"/>
  <c r="BB611" i="57"/>
  <c r="BB612" i="57"/>
  <c r="BB613" i="57"/>
  <c r="BB614" i="57"/>
  <c r="BB615" i="57"/>
  <c r="BB616" i="57"/>
  <c r="BB617" i="57"/>
  <c r="BB618" i="57"/>
  <c r="BB619" i="57"/>
  <c r="BB620" i="57"/>
  <c r="BB621" i="57"/>
  <c r="BB622" i="57"/>
  <c r="A101" i="36"/>
  <c r="A102" i="36"/>
  <c r="A103" i="36"/>
  <c r="BF46" i="35" l="1"/>
  <c r="BF47" i="35"/>
  <c r="BF48" i="35"/>
  <c r="BF49" i="35"/>
  <c r="BF50" i="35"/>
  <c r="BF51" i="35"/>
  <c r="BF45" i="35"/>
  <c r="BF39" i="35"/>
  <c r="BF40" i="35"/>
  <c r="BF41" i="35"/>
  <c r="BF42" i="35"/>
  <c r="BF43" i="35"/>
  <c r="BF38" i="35"/>
  <c r="BF32" i="35"/>
  <c r="BF33" i="35"/>
  <c r="BF34" i="35"/>
  <c r="BF35" i="35"/>
  <c r="BF36" i="35"/>
  <c r="BF31" i="35"/>
  <c r="BF24" i="35"/>
  <c r="BF25" i="35"/>
  <c r="BF26" i="35"/>
  <c r="BF27" i="35"/>
  <c r="BF28" i="35"/>
  <c r="BF29" i="35"/>
  <c r="BF23" i="35"/>
  <c r="BF19" i="35"/>
  <c r="BF20" i="35"/>
  <c r="BF21" i="35"/>
  <c r="BF18" i="35"/>
  <c r="BF14" i="35"/>
  <c r="BF16" i="35"/>
  <c r="BF15" i="35"/>
  <c r="BB3" i="57"/>
  <c r="F101" i="36" s="1"/>
  <c r="A3" i="36"/>
  <c r="A4" i="36"/>
  <c r="A5" i="36"/>
  <c r="A6" i="36"/>
  <c r="A7" i="36"/>
  <c r="A8" i="36"/>
  <c r="A9"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A48" i="36"/>
  <c r="A49" i="36"/>
  <c r="A50" i="36"/>
  <c r="A51" i="36"/>
  <c r="A52" i="36"/>
  <c r="A53" i="36"/>
  <c r="A54" i="36"/>
  <c r="A55" i="36"/>
  <c r="A56" i="36"/>
  <c r="A57" i="36"/>
  <c r="A58" i="36"/>
  <c r="A59" i="36"/>
  <c r="A60" i="36"/>
  <c r="A61" i="36"/>
  <c r="A62" i="36"/>
  <c r="A63" i="36"/>
  <c r="A64" i="36"/>
  <c r="A65" i="36"/>
  <c r="A66" i="36"/>
  <c r="A67" i="36"/>
  <c r="A68" i="36"/>
  <c r="A69" i="36"/>
  <c r="A70" i="36"/>
  <c r="A71" i="36"/>
  <c r="A72" i="36"/>
  <c r="A73" i="36"/>
  <c r="A74" i="36"/>
  <c r="A75" i="36"/>
  <c r="A76" i="36"/>
  <c r="A77" i="36"/>
  <c r="A78" i="36"/>
  <c r="A79" i="36"/>
  <c r="A80" i="36"/>
  <c r="A81" i="36"/>
  <c r="A82" i="36"/>
  <c r="A83" i="36"/>
  <c r="A84" i="36"/>
  <c r="A85" i="36"/>
  <c r="A86" i="36"/>
  <c r="A87" i="36"/>
  <c r="A88" i="36"/>
  <c r="A89" i="36"/>
  <c r="A90" i="36"/>
  <c r="A91" i="36"/>
  <c r="A92" i="36"/>
  <c r="A93" i="36"/>
  <c r="A94" i="36"/>
  <c r="A95" i="36"/>
  <c r="A96" i="36"/>
  <c r="A97" i="36"/>
  <c r="A98" i="36"/>
  <c r="A99" i="36"/>
  <c r="A100" i="36"/>
  <c r="AR3" i="57"/>
  <c r="A2" i="36"/>
  <c r="AA38" i="55" l="1"/>
  <c r="AA42" i="55"/>
  <c r="AA46" i="55"/>
  <c r="AA50" i="55"/>
  <c r="AA54" i="55"/>
  <c r="Z37" i="55"/>
  <c r="Z41" i="55"/>
  <c r="Z45" i="55"/>
  <c r="Z49" i="55"/>
  <c r="Z53" i="55"/>
  <c r="Z36" i="55"/>
  <c r="Y43" i="55"/>
  <c r="O43" i="55" s="1"/>
  <c r="Y47" i="55"/>
  <c r="O47" i="55" s="1"/>
  <c r="Y51" i="55"/>
  <c r="O51" i="55" s="1"/>
  <c r="Y55" i="55"/>
  <c r="O55" i="55" s="1"/>
  <c r="Y39" i="55"/>
  <c r="O39" i="55" s="1"/>
  <c r="AA11" i="55"/>
  <c r="AA15" i="55"/>
  <c r="AA19" i="55"/>
  <c r="AA23" i="55"/>
  <c r="AA27" i="55"/>
  <c r="Z9" i="55"/>
  <c r="Z13" i="55"/>
  <c r="Z17" i="55"/>
  <c r="Z21" i="55"/>
  <c r="Z25" i="55"/>
  <c r="Y9" i="55"/>
  <c r="O9" i="55" s="1"/>
  <c r="Y13" i="55"/>
  <c r="O13" i="55" s="1"/>
  <c r="Y17" i="55"/>
  <c r="O17" i="55" s="1"/>
  <c r="Y21" i="55"/>
  <c r="O21" i="55" s="1"/>
  <c r="Y25" i="55"/>
  <c r="O25" i="55" s="1"/>
  <c r="Y8" i="55"/>
  <c r="O8" i="55" s="1"/>
  <c r="BW15" i="35"/>
  <c r="BW21" i="35"/>
  <c r="BW26" i="35"/>
  <c r="BW32" i="35"/>
  <c r="BW38" i="35"/>
  <c r="BW42" i="35"/>
  <c r="BW48" i="35"/>
  <c r="BW12" i="35"/>
  <c r="AA53" i="55"/>
  <c r="Z44" i="55"/>
  <c r="Z56" i="55"/>
  <c r="Y54" i="55"/>
  <c r="O54" i="55" s="1"/>
  <c r="AA14" i="55"/>
  <c r="AA26" i="55"/>
  <c r="Z16" i="55"/>
  <c r="Z8" i="55"/>
  <c r="Y20" i="55"/>
  <c r="O20" i="55" s="1"/>
  <c r="BW14" i="35"/>
  <c r="BW31" i="35"/>
  <c r="BW51" i="35"/>
  <c r="AA39" i="55"/>
  <c r="AA43" i="55"/>
  <c r="AA47" i="55"/>
  <c r="AA51" i="55"/>
  <c r="AA55" i="55"/>
  <c r="Z38" i="55"/>
  <c r="Z42" i="55"/>
  <c r="Z46" i="55"/>
  <c r="Z50" i="55"/>
  <c r="Z54" i="55"/>
  <c r="Y40" i="55"/>
  <c r="O40" i="55" s="1"/>
  <c r="Y44" i="55"/>
  <c r="O44" i="55" s="1"/>
  <c r="Y48" i="55"/>
  <c r="O48" i="55" s="1"/>
  <c r="Y52" i="55"/>
  <c r="O52" i="55" s="1"/>
  <c r="Y56" i="55"/>
  <c r="O56" i="55" s="1"/>
  <c r="Y36" i="55"/>
  <c r="O36" i="55" s="1"/>
  <c r="AA12" i="55"/>
  <c r="AA16" i="55"/>
  <c r="AA20" i="55"/>
  <c r="AA24" i="55"/>
  <c r="AA28" i="55"/>
  <c r="Z10" i="55"/>
  <c r="Z14" i="55"/>
  <c r="Z18" i="55"/>
  <c r="Z22" i="55"/>
  <c r="Z26" i="55"/>
  <c r="Y10" i="55"/>
  <c r="O10" i="55" s="1"/>
  <c r="Y14" i="55"/>
  <c r="O14" i="55" s="1"/>
  <c r="Y18" i="55"/>
  <c r="O18" i="55" s="1"/>
  <c r="Y22" i="55"/>
  <c r="O22" i="55" s="1"/>
  <c r="Y26" i="55"/>
  <c r="O26" i="55" s="1"/>
  <c r="BW18" i="35"/>
  <c r="BW23" i="35"/>
  <c r="BW27" i="35"/>
  <c r="BW33" i="35"/>
  <c r="BW39" i="35"/>
  <c r="BW45" i="35"/>
  <c r="BW49" i="35"/>
  <c r="AA41" i="55"/>
  <c r="AA45" i="55"/>
  <c r="AA36" i="55"/>
  <c r="Z48" i="55"/>
  <c r="Y42" i="55"/>
  <c r="O42" i="55" s="1"/>
  <c r="Y50" i="55"/>
  <c r="O50" i="55" s="1"/>
  <c r="AA10" i="55"/>
  <c r="AA22" i="55"/>
  <c r="Z28" i="55"/>
  <c r="Z20" i="55"/>
  <c r="Y12" i="55"/>
  <c r="O12" i="55" s="1"/>
  <c r="Y24" i="55"/>
  <c r="O24" i="55" s="1"/>
  <c r="BW20" i="35"/>
  <c r="BW35" i="35"/>
  <c r="BW47" i="35"/>
  <c r="AA40" i="55"/>
  <c r="AA44" i="55"/>
  <c r="AA48" i="55"/>
  <c r="AA52" i="55"/>
  <c r="AA56" i="55"/>
  <c r="Z39" i="55"/>
  <c r="Z43" i="55"/>
  <c r="Z47" i="55"/>
  <c r="Z51" i="55"/>
  <c r="Z55" i="55"/>
  <c r="Y41" i="55"/>
  <c r="O41" i="55" s="1"/>
  <c r="Y45" i="55"/>
  <c r="O45" i="55" s="1"/>
  <c r="Y49" i="55"/>
  <c r="O49" i="55" s="1"/>
  <c r="Y53" i="55"/>
  <c r="O53" i="55" s="1"/>
  <c r="Y37" i="55"/>
  <c r="O37" i="55" s="1"/>
  <c r="AA9" i="55"/>
  <c r="AA13" i="55"/>
  <c r="AA17" i="55"/>
  <c r="AA21" i="55"/>
  <c r="AA25" i="55"/>
  <c r="AA8" i="55"/>
  <c r="Z11" i="55"/>
  <c r="Z15" i="55"/>
  <c r="Z19" i="55"/>
  <c r="Z23" i="55"/>
  <c r="Z27" i="55"/>
  <c r="Y11" i="55"/>
  <c r="O11" i="55" s="1"/>
  <c r="Y15" i="55"/>
  <c r="O15" i="55" s="1"/>
  <c r="Y19" i="55"/>
  <c r="O19" i="55" s="1"/>
  <c r="Y23" i="55"/>
  <c r="O23" i="55" s="1"/>
  <c r="Y27" i="55"/>
  <c r="O27" i="55" s="1"/>
  <c r="BW19" i="35"/>
  <c r="BW24" i="35"/>
  <c r="BW28" i="35"/>
  <c r="BW34" i="35"/>
  <c r="BW40" i="35"/>
  <c r="BW46" i="35"/>
  <c r="BW50" i="35"/>
  <c r="AA37" i="55"/>
  <c r="AA49" i="55"/>
  <c r="Z40" i="55"/>
  <c r="Z52" i="55"/>
  <c r="Y46" i="55"/>
  <c r="O46" i="55" s="1"/>
  <c r="Y38" i="55"/>
  <c r="O38" i="55" s="1"/>
  <c r="AA18" i="55"/>
  <c r="Z12" i="55"/>
  <c r="Z24" i="55"/>
  <c r="Y16" i="55"/>
  <c r="O16" i="55" s="1"/>
  <c r="Y28" i="55"/>
  <c r="O28" i="55" s="1"/>
  <c r="BW25" i="35"/>
  <c r="BW41" i="35"/>
  <c r="BO14" i="35"/>
  <c r="BO20" i="35"/>
  <c r="BO25" i="35"/>
  <c r="BO31" i="35"/>
  <c r="BO35" i="35"/>
  <c r="BO41" i="35"/>
  <c r="BO47" i="35"/>
  <c r="BO51" i="35"/>
  <c r="BO15" i="35"/>
  <c r="BO21" i="35"/>
  <c r="BO26" i="35"/>
  <c r="BO32" i="35"/>
  <c r="BO38" i="35"/>
  <c r="BO42" i="35"/>
  <c r="BO48" i="35"/>
  <c r="BO12" i="35"/>
  <c r="BO24" i="35"/>
  <c r="BO28" i="35"/>
  <c r="BO40" i="35"/>
  <c r="BO50" i="35"/>
  <c r="BO18" i="35"/>
  <c r="BO23" i="35"/>
  <c r="BO27" i="35"/>
  <c r="BO33" i="35"/>
  <c r="AX45" i="35" s="1"/>
  <c r="BO39" i="35"/>
  <c r="BO45" i="35"/>
  <c r="BO49" i="35"/>
  <c r="BO19" i="35"/>
  <c r="BO34" i="35"/>
  <c r="BO46" i="35"/>
  <c r="I97" i="36"/>
  <c r="Q89" i="36"/>
  <c r="F85" i="36"/>
  <c r="X73" i="36"/>
  <c r="F69" i="36"/>
  <c r="U93" i="36"/>
  <c r="P81" i="36"/>
  <c r="L77" i="36"/>
  <c r="Z98" i="36"/>
  <c r="M97" i="36"/>
  <c r="M100" i="36"/>
  <c r="H96" i="36"/>
  <c r="F84" i="36"/>
  <c r="F72" i="36"/>
  <c r="Y100" i="36"/>
  <c r="I100" i="36"/>
  <c r="P96" i="36"/>
  <c r="F73" i="36"/>
  <c r="E100" i="36"/>
  <c r="P88" i="36"/>
  <c r="O76" i="36"/>
  <c r="H99" i="36"/>
  <c r="O95" i="36"/>
  <c r="W91" i="36"/>
  <c r="Z83" i="36"/>
  <c r="N71" i="36"/>
  <c r="U100" i="36"/>
  <c r="T92" i="36"/>
  <c r="F80" i="36"/>
  <c r="F68" i="36"/>
  <c r="V94" i="36"/>
  <c r="R90" i="36"/>
  <c r="N86" i="36"/>
  <c r="I78" i="36"/>
  <c r="U74" i="36"/>
  <c r="E101" i="36"/>
  <c r="F97" i="36"/>
  <c r="Q100" i="36"/>
  <c r="J98" i="36"/>
  <c r="G102" i="36"/>
  <c r="K102" i="36"/>
  <c r="O102" i="36"/>
  <c r="S102" i="36"/>
  <c r="W102" i="36"/>
  <c r="G103" i="36"/>
  <c r="K103" i="36"/>
  <c r="O103" i="36"/>
  <c r="S103" i="36"/>
  <c r="W103" i="36"/>
  <c r="F102" i="36"/>
  <c r="H102" i="36"/>
  <c r="L102" i="36"/>
  <c r="P102" i="36"/>
  <c r="T102" i="36"/>
  <c r="X102" i="36"/>
  <c r="H103" i="36"/>
  <c r="L103" i="36"/>
  <c r="P103" i="36"/>
  <c r="T103" i="36"/>
  <c r="X103" i="36"/>
  <c r="F103" i="36"/>
  <c r="I102" i="36"/>
  <c r="M102" i="36"/>
  <c r="Q102" i="36"/>
  <c r="U102" i="36"/>
  <c r="Y102" i="36"/>
  <c r="I103" i="36"/>
  <c r="M103" i="36"/>
  <c r="Q103" i="36"/>
  <c r="U103" i="36"/>
  <c r="Y103" i="36"/>
  <c r="E103" i="36"/>
  <c r="N102" i="36"/>
  <c r="R102" i="36"/>
  <c r="Z102" i="36"/>
  <c r="J102" i="36"/>
  <c r="V102" i="36"/>
  <c r="J103" i="36"/>
  <c r="N103" i="36"/>
  <c r="R103" i="36"/>
  <c r="V103" i="36"/>
  <c r="Z103" i="36"/>
  <c r="E102" i="36"/>
  <c r="F89" i="36"/>
  <c r="Y93" i="36"/>
  <c r="U89" i="36"/>
  <c r="P24" i="36"/>
  <c r="F81" i="36"/>
  <c r="L92" i="36"/>
  <c r="H88" i="36"/>
  <c r="F93" i="36"/>
  <c r="F77" i="36"/>
  <c r="W84" i="36"/>
  <c r="I93" i="36"/>
  <c r="X88" i="36"/>
  <c r="E2" i="36"/>
  <c r="E6" i="36"/>
  <c r="E11" i="36"/>
  <c r="E17" i="36"/>
  <c r="E22" i="36"/>
  <c r="E27" i="36"/>
  <c r="E33" i="36"/>
  <c r="E38" i="36"/>
  <c r="E46" i="36"/>
  <c r="E54" i="36"/>
  <c r="E62" i="36"/>
  <c r="F65" i="36"/>
  <c r="F57" i="36"/>
  <c r="F49" i="36"/>
  <c r="F41" i="36"/>
  <c r="F33" i="36"/>
  <c r="F25" i="36"/>
  <c r="F17" i="36"/>
  <c r="F9" i="36"/>
  <c r="Z67" i="36"/>
  <c r="R67" i="36"/>
  <c r="J67" i="36"/>
  <c r="V66" i="36"/>
  <c r="N66" i="36"/>
  <c r="Z65" i="36"/>
  <c r="R65" i="36"/>
  <c r="J65" i="36"/>
  <c r="N64" i="36"/>
  <c r="R63" i="36"/>
  <c r="V62" i="36"/>
  <c r="Z61" i="36"/>
  <c r="J61" i="36"/>
  <c r="N60" i="36"/>
  <c r="R59" i="36"/>
  <c r="V58" i="36"/>
  <c r="Z57" i="36"/>
  <c r="J57" i="36"/>
  <c r="N56" i="36"/>
  <c r="R55" i="36"/>
  <c r="V54" i="36"/>
  <c r="Z53" i="36"/>
  <c r="J53" i="36"/>
  <c r="N52" i="36"/>
  <c r="R51" i="36"/>
  <c r="V50" i="36"/>
  <c r="Z49" i="36"/>
  <c r="J49" i="36"/>
  <c r="N48" i="36"/>
  <c r="R47" i="36"/>
  <c r="V46" i="36"/>
  <c r="Z45" i="36"/>
  <c r="J45" i="36"/>
  <c r="Q43" i="36"/>
  <c r="M40" i="36"/>
  <c r="I37" i="36"/>
  <c r="Y33" i="36"/>
  <c r="T27" i="36"/>
  <c r="E3" i="36"/>
  <c r="E7" i="36"/>
  <c r="E13" i="36"/>
  <c r="E18" i="36"/>
  <c r="E23" i="36"/>
  <c r="E29" i="36"/>
  <c r="E34" i="36"/>
  <c r="E41" i="36"/>
  <c r="E49" i="36"/>
  <c r="E57" i="36"/>
  <c r="E65" i="36"/>
  <c r="F62" i="36"/>
  <c r="F54" i="36"/>
  <c r="F46" i="36"/>
  <c r="F38" i="36"/>
  <c r="F30" i="36"/>
  <c r="F22" i="36"/>
  <c r="F14" i="36"/>
  <c r="F6" i="36"/>
  <c r="W67" i="36"/>
  <c r="O67" i="36"/>
  <c r="G67" i="36"/>
  <c r="S66" i="36"/>
  <c r="K66" i="36"/>
  <c r="W65" i="36"/>
  <c r="O65" i="36"/>
  <c r="Z64" i="36"/>
  <c r="J64" i="36"/>
  <c r="N63" i="36"/>
  <c r="R62" i="36"/>
  <c r="V61" i="36"/>
  <c r="Z60" i="36"/>
  <c r="J60" i="36"/>
  <c r="N59" i="36"/>
  <c r="R58" i="36"/>
  <c r="V57" i="36"/>
  <c r="Z56" i="36"/>
  <c r="J56" i="36"/>
  <c r="N55" i="36"/>
  <c r="R54" i="36"/>
  <c r="V53" i="36"/>
  <c r="Z52" i="36"/>
  <c r="J52" i="36"/>
  <c r="N51" i="36"/>
  <c r="R50" i="36"/>
  <c r="V49" i="36"/>
  <c r="Z48" i="36"/>
  <c r="J48" i="36"/>
  <c r="N47" i="36"/>
  <c r="R46" i="36"/>
  <c r="V45" i="36"/>
  <c r="Z44" i="36"/>
  <c r="U42" i="36"/>
  <c r="Q39" i="36"/>
  <c r="M36" i="36"/>
  <c r="I33" i="36"/>
  <c r="G2" i="36"/>
  <c r="K2" i="36"/>
  <c r="O2" i="36"/>
  <c r="S2" i="36"/>
  <c r="W2" i="36"/>
  <c r="G3" i="36"/>
  <c r="K3" i="36"/>
  <c r="O3" i="36"/>
  <c r="S3" i="36"/>
  <c r="W3" i="36"/>
  <c r="G4" i="36"/>
  <c r="K4" i="36"/>
  <c r="O4" i="36"/>
  <c r="S4" i="36"/>
  <c r="W4" i="36"/>
  <c r="G5" i="36"/>
  <c r="K5" i="36"/>
  <c r="O5" i="36"/>
  <c r="S5" i="36"/>
  <c r="W5" i="36"/>
  <c r="G6" i="36"/>
  <c r="K6" i="36"/>
  <c r="O6" i="36"/>
  <c r="S6" i="36"/>
  <c r="W6" i="36"/>
  <c r="G7" i="36"/>
  <c r="K7" i="36"/>
  <c r="O7" i="36"/>
  <c r="S7" i="36"/>
  <c r="W7" i="36"/>
  <c r="G8" i="36"/>
  <c r="K8" i="36"/>
  <c r="O8" i="36"/>
  <c r="S8" i="36"/>
  <c r="W8" i="36"/>
  <c r="G9" i="36"/>
  <c r="K9" i="36"/>
  <c r="O9" i="36"/>
  <c r="S9" i="36"/>
  <c r="W9" i="36"/>
  <c r="G10" i="36"/>
  <c r="K10" i="36"/>
  <c r="O10" i="36"/>
  <c r="S10" i="36"/>
  <c r="W10" i="36"/>
  <c r="G11" i="36"/>
  <c r="K11" i="36"/>
  <c r="O11" i="36"/>
  <c r="S11" i="36"/>
  <c r="W11" i="36"/>
  <c r="G12" i="36"/>
  <c r="K12" i="36"/>
  <c r="O12" i="36"/>
  <c r="S12" i="36"/>
  <c r="W12" i="36"/>
  <c r="G13" i="36"/>
  <c r="K13" i="36"/>
  <c r="O13" i="36"/>
  <c r="S13" i="36"/>
  <c r="W13" i="36"/>
  <c r="G14" i="36"/>
  <c r="K14" i="36"/>
  <c r="O14" i="36"/>
  <c r="S14" i="36"/>
  <c r="W14" i="36"/>
  <c r="G15" i="36"/>
  <c r="K15" i="36"/>
  <c r="O15" i="36"/>
  <c r="S15" i="36"/>
  <c r="W15" i="36"/>
  <c r="G16" i="36"/>
  <c r="K16" i="36"/>
  <c r="O16" i="36"/>
  <c r="S16" i="36"/>
  <c r="W16" i="36"/>
  <c r="G17" i="36"/>
  <c r="K17" i="36"/>
  <c r="O17" i="36"/>
  <c r="S17" i="36"/>
  <c r="W17" i="36"/>
  <c r="G18" i="36"/>
  <c r="K18" i="36"/>
  <c r="O18" i="36"/>
  <c r="S18" i="36"/>
  <c r="W18" i="36"/>
  <c r="H2" i="36"/>
  <c r="L2" i="36"/>
  <c r="P2" i="36"/>
  <c r="T2" i="36"/>
  <c r="X2" i="36"/>
  <c r="H3" i="36"/>
  <c r="L3" i="36"/>
  <c r="P3" i="36"/>
  <c r="T3" i="36"/>
  <c r="X3" i="36"/>
  <c r="H4" i="36"/>
  <c r="L4" i="36"/>
  <c r="P4" i="36"/>
  <c r="T4" i="36"/>
  <c r="X4" i="36"/>
  <c r="H5" i="36"/>
  <c r="L5" i="36"/>
  <c r="P5" i="36"/>
  <c r="T5" i="36"/>
  <c r="X5" i="36"/>
  <c r="H6" i="36"/>
  <c r="L6" i="36"/>
  <c r="P6" i="36"/>
  <c r="T6" i="36"/>
  <c r="X6" i="36"/>
  <c r="H7" i="36"/>
  <c r="L7" i="36"/>
  <c r="P7" i="36"/>
  <c r="T7" i="36"/>
  <c r="X7" i="36"/>
  <c r="H8" i="36"/>
  <c r="L8" i="36"/>
  <c r="P8" i="36"/>
  <c r="T8" i="36"/>
  <c r="X8" i="36"/>
  <c r="H9" i="36"/>
  <c r="L9" i="36"/>
  <c r="P9" i="36"/>
  <c r="T9" i="36"/>
  <c r="X9" i="36"/>
  <c r="H10" i="36"/>
  <c r="L10" i="36"/>
  <c r="P10" i="36"/>
  <c r="T10" i="36"/>
  <c r="X10" i="36"/>
  <c r="H11" i="36"/>
  <c r="L11" i="36"/>
  <c r="P11" i="36"/>
  <c r="T11" i="36"/>
  <c r="X11" i="36"/>
  <c r="H12" i="36"/>
  <c r="L12" i="36"/>
  <c r="P12" i="36"/>
  <c r="T12" i="36"/>
  <c r="X12" i="36"/>
  <c r="H13" i="36"/>
  <c r="L13" i="36"/>
  <c r="P13" i="36"/>
  <c r="T13" i="36"/>
  <c r="X13" i="36"/>
  <c r="H14" i="36"/>
  <c r="L14" i="36"/>
  <c r="P14" i="36"/>
  <c r="T14" i="36"/>
  <c r="X14" i="36"/>
  <c r="H15" i="36"/>
  <c r="L15" i="36"/>
  <c r="P15" i="36"/>
  <c r="T15" i="36"/>
  <c r="X15" i="36"/>
  <c r="H16" i="36"/>
  <c r="L16" i="36"/>
  <c r="P16" i="36"/>
  <c r="T16" i="36"/>
  <c r="X16" i="36"/>
  <c r="H17" i="36"/>
  <c r="L17" i="36"/>
  <c r="P17" i="36"/>
  <c r="T17" i="36"/>
  <c r="X17" i="36"/>
  <c r="H18" i="36"/>
  <c r="L18" i="36"/>
  <c r="P18" i="36"/>
  <c r="T18" i="36"/>
  <c r="X18" i="36"/>
  <c r="I2" i="36"/>
  <c r="M2" i="36"/>
  <c r="Q2" i="36"/>
  <c r="U2" i="36"/>
  <c r="Y2" i="36"/>
  <c r="I3" i="36"/>
  <c r="M3" i="36"/>
  <c r="Q3" i="36"/>
  <c r="U3" i="36"/>
  <c r="Y3" i="36"/>
  <c r="I4" i="36"/>
  <c r="M4" i="36"/>
  <c r="Q4" i="36"/>
  <c r="U4" i="36"/>
  <c r="Y4" i="36"/>
  <c r="I5" i="36"/>
  <c r="M5" i="36"/>
  <c r="Q5" i="36"/>
  <c r="U5" i="36"/>
  <c r="Y5" i="36"/>
  <c r="I6" i="36"/>
  <c r="M6" i="36"/>
  <c r="Q6" i="36"/>
  <c r="U6" i="36"/>
  <c r="Y6" i="36"/>
  <c r="I7" i="36"/>
  <c r="M7" i="36"/>
  <c r="Q7" i="36"/>
  <c r="U7" i="36"/>
  <c r="Y7" i="36"/>
  <c r="I8" i="36"/>
  <c r="M8" i="36"/>
  <c r="Q8" i="36"/>
  <c r="U8" i="36"/>
  <c r="Y8" i="36"/>
  <c r="I9" i="36"/>
  <c r="M9" i="36"/>
  <c r="Q9" i="36"/>
  <c r="U9" i="36"/>
  <c r="Y9" i="36"/>
  <c r="I10" i="36"/>
  <c r="M10" i="36"/>
  <c r="Q10" i="36"/>
  <c r="U10" i="36"/>
  <c r="J2" i="36"/>
  <c r="N2" i="36"/>
  <c r="R2" i="36"/>
  <c r="V2" i="36"/>
  <c r="Z2" i="36"/>
  <c r="J3" i="36"/>
  <c r="N3" i="36"/>
  <c r="R3" i="36"/>
  <c r="V3" i="36"/>
  <c r="Z3" i="36"/>
  <c r="J4" i="36"/>
  <c r="N4" i="36"/>
  <c r="R4" i="36"/>
  <c r="V4" i="36"/>
  <c r="Z4" i="36"/>
  <c r="J5" i="36"/>
  <c r="N5" i="36"/>
  <c r="R5" i="36"/>
  <c r="V5" i="36"/>
  <c r="Z5" i="36"/>
  <c r="J6" i="36"/>
  <c r="N6" i="36"/>
  <c r="R6" i="36"/>
  <c r="V6" i="36"/>
  <c r="Z6" i="36"/>
  <c r="J7" i="36"/>
  <c r="N7" i="36"/>
  <c r="R7" i="36"/>
  <c r="V7" i="36"/>
  <c r="Z7" i="36"/>
  <c r="J8" i="36"/>
  <c r="N8" i="36"/>
  <c r="R8" i="36"/>
  <c r="V8" i="36"/>
  <c r="Z8" i="36"/>
  <c r="J9" i="36"/>
  <c r="N9" i="36"/>
  <c r="R9" i="36"/>
  <c r="V9" i="36"/>
  <c r="Z9" i="36"/>
  <c r="J10" i="36"/>
  <c r="N10" i="36"/>
  <c r="R10" i="36"/>
  <c r="V10" i="36"/>
  <c r="Y10" i="36"/>
  <c r="M11" i="36"/>
  <c r="U11" i="36"/>
  <c r="I12" i="36"/>
  <c r="Q12" i="36"/>
  <c r="Y12" i="36"/>
  <c r="M13" i="36"/>
  <c r="U13" i="36"/>
  <c r="I14" i="36"/>
  <c r="Q14" i="36"/>
  <c r="Y14" i="36"/>
  <c r="M15" i="36"/>
  <c r="U15" i="36"/>
  <c r="I16" i="36"/>
  <c r="Q16" i="36"/>
  <c r="Y16" i="36"/>
  <c r="M17" i="36"/>
  <c r="U17" i="36"/>
  <c r="I18" i="36"/>
  <c r="Q18" i="36"/>
  <c r="Y18" i="36"/>
  <c r="I19" i="36"/>
  <c r="M19" i="36"/>
  <c r="Q19" i="36"/>
  <c r="U19" i="36"/>
  <c r="Y19" i="36"/>
  <c r="I20" i="36"/>
  <c r="M20" i="36"/>
  <c r="Q20" i="36"/>
  <c r="U20" i="36"/>
  <c r="Y20" i="36"/>
  <c r="I21" i="36"/>
  <c r="M21" i="36"/>
  <c r="Q21" i="36"/>
  <c r="U21" i="36"/>
  <c r="Y21" i="36"/>
  <c r="I22" i="36"/>
  <c r="M22" i="36"/>
  <c r="Q22" i="36"/>
  <c r="U22" i="36"/>
  <c r="Y22" i="36"/>
  <c r="I23" i="36"/>
  <c r="M23" i="36"/>
  <c r="Q23" i="36"/>
  <c r="U23" i="36"/>
  <c r="Y23" i="36"/>
  <c r="I24" i="36"/>
  <c r="M24" i="36"/>
  <c r="Q24" i="36"/>
  <c r="U24" i="36"/>
  <c r="Y24" i="36"/>
  <c r="I25" i="36"/>
  <c r="M25" i="36"/>
  <c r="Q25" i="36"/>
  <c r="U25" i="36"/>
  <c r="Y25" i="36"/>
  <c r="I26" i="36"/>
  <c r="M26" i="36"/>
  <c r="Q26" i="36"/>
  <c r="U26" i="36"/>
  <c r="Y26" i="36"/>
  <c r="I27" i="36"/>
  <c r="M27" i="36"/>
  <c r="Q27" i="36"/>
  <c r="U27" i="36"/>
  <c r="Y27" i="36"/>
  <c r="I28" i="36"/>
  <c r="M28" i="36"/>
  <c r="Q28" i="36"/>
  <c r="U28" i="36"/>
  <c r="Y28" i="36"/>
  <c r="I29" i="36"/>
  <c r="M29" i="36"/>
  <c r="Q29" i="36"/>
  <c r="U29" i="36"/>
  <c r="Y29" i="36"/>
  <c r="I30" i="36"/>
  <c r="M30" i="36"/>
  <c r="Q30" i="36"/>
  <c r="U30" i="36"/>
  <c r="Y30" i="36"/>
  <c r="I31" i="36"/>
  <c r="M31" i="36"/>
  <c r="Q31" i="36"/>
  <c r="U31" i="36"/>
  <c r="Z10" i="36"/>
  <c r="N11" i="36"/>
  <c r="V11" i="36"/>
  <c r="J12" i="36"/>
  <c r="R12" i="36"/>
  <c r="Z12" i="36"/>
  <c r="N13" i="36"/>
  <c r="V13" i="36"/>
  <c r="J14" i="36"/>
  <c r="R14" i="36"/>
  <c r="Z14" i="36"/>
  <c r="N15" i="36"/>
  <c r="V15" i="36"/>
  <c r="J16" i="36"/>
  <c r="R16" i="36"/>
  <c r="Z16" i="36"/>
  <c r="N17" i="36"/>
  <c r="V17" i="36"/>
  <c r="J18" i="36"/>
  <c r="R18" i="36"/>
  <c r="Z18" i="36"/>
  <c r="J19" i="36"/>
  <c r="N19" i="36"/>
  <c r="R19" i="36"/>
  <c r="V19" i="36"/>
  <c r="Z19" i="36"/>
  <c r="J20" i="36"/>
  <c r="N20" i="36"/>
  <c r="R20" i="36"/>
  <c r="V20" i="36"/>
  <c r="Z20" i="36"/>
  <c r="J21" i="36"/>
  <c r="N21" i="36"/>
  <c r="R21" i="36"/>
  <c r="V21" i="36"/>
  <c r="Z21" i="36"/>
  <c r="J22" i="36"/>
  <c r="N22" i="36"/>
  <c r="R22" i="36"/>
  <c r="V22" i="36"/>
  <c r="Z22" i="36"/>
  <c r="J23" i="36"/>
  <c r="N23" i="36"/>
  <c r="R23" i="36"/>
  <c r="V23" i="36"/>
  <c r="Z23" i="36"/>
  <c r="J24" i="36"/>
  <c r="N24" i="36"/>
  <c r="R24" i="36"/>
  <c r="V24" i="36"/>
  <c r="Z24" i="36"/>
  <c r="J25" i="36"/>
  <c r="N25" i="36"/>
  <c r="R25" i="36"/>
  <c r="V25" i="36"/>
  <c r="Z25" i="36"/>
  <c r="J26" i="36"/>
  <c r="N26" i="36"/>
  <c r="R26" i="36"/>
  <c r="V26" i="36"/>
  <c r="Z26" i="36"/>
  <c r="J27" i="36"/>
  <c r="N27" i="36"/>
  <c r="R27" i="36"/>
  <c r="V27" i="36"/>
  <c r="Z27" i="36"/>
  <c r="J28" i="36"/>
  <c r="N28" i="36"/>
  <c r="R28" i="36"/>
  <c r="V28" i="36"/>
  <c r="Z28" i="36"/>
  <c r="J29" i="36"/>
  <c r="N29" i="36"/>
  <c r="R29" i="36"/>
  <c r="V29" i="36"/>
  <c r="Z29" i="36"/>
  <c r="J30" i="36"/>
  <c r="N30" i="36"/>
  <c r="R30" i="36"/>
  <c r="V30" i="36"/>
  <c r="Z30" i="36"/>
  <c r="J31" i="36"/>
  <c r="N31" i="36"/>
  <c r="R31" i="36"/>
  <c r="V31" i="36"/>
  <c r="I11" i="36"/>
  <c r="Q11" i="36"/>
  <c r="Y11" i="36"/>
  <c r="M12" i="36"/>
  <c r="U12" i="36"/>
  <c r="I13" i="36"/>
  <c r="Q13" i="36"/>
  <c r="Y13" i="36"/>
  <c r="M14" i="36"/>
  <c r="U14" i="36"/>
  <c r="I15" i="36"/>
  <c r="Q15" i="36"/>
  <c r="Y15" i="36"/>
  <c r="M16" i="36"/>
  <c r="U16" i="36"/>
  <c r="I17" i="36"/>
  <c r="Q17" i="36"/>
  <c r="Y17" i="36"/>
  <c r="M18" i="36"/>
  <c r="U18" i="36"/>
  <c r="G19" i="36"/>
  <c r="K19" i="36"/>
  <c r="O19" i="36"/>
  <c r="S19" i="36"/>
  <c r="W19" i="36"/>
  <c r="G20" i="36"/>
  <c r="K20" i="36"/>
  <c r="O20" i="36"/>
  <c r="S20" i="36"/>
  <c r="W20" i="36"/>
  <c r="G21" i="36"/>
  <c r="K21" i="36"/>
  <c r="O21" i="36"/>
  <c r="S21" i="36"/>
  <c r="W21" i="36"/>
  <c r="G22" i="36"/>
  <c r="K22" i="36"/>
  <c r="O22" i="36"/>
  <c r="S22" i="36"/>
  <c r="W22" i="36"/>
  <c r="G23" i="36"/>
  <c r="K23" i="36"/>
  <c r="O23" i="36"/>
  <c r="S23" i="36"/>
  <c r="W23" i="36"/>
  <c r="G24" i="36"/>
  <c r="K24" i="36"/>
  <c r="O24" i="36"/>
  <c r="S24" i="36"/>
  <c r="W24" i="36"/>
  <c r="G25" i="36"/>
  <c r="K25" i="36"/>
  <c r="O25" i="36"/>
  <c r="S25" i="36"/>
  <c r="W25" i="36"/>
  <c r="G26" i="36"/>
  <c r="K26" i="36"/>
  <c r="O26" i="36"/>
  <c r="S26" i="36"/>
  <c r="W26" i="36"/>
  <c r="G27" i="36"/>
  <c r="K27" i="36"/>
  <c r="O27" i="36"/>
  <c r="S27" i="36"/>
  <c r="W27" i="36"/>
  <c r="G28" i="36"/>
  <c r="K28" i="36"/>
  <c r="O28" i="36"/>
  <c r="S28" i="36"/>
  <c r="W28" i="36"/>
  <c r="G29" i="36"/>
  <c r="K29" i="36"/>
  <c r="O29" i="36"/>
  <c r="S29" i="36"/>
  <c r="W29" i="36"/>
  <c r="G30" i="36"/>
  <c r="K30" i="36"/>
  <c r="O30" i="36"/>
  <c r="S30" i="36"/>
  <c r="W30" i="36"/>
  <c r="G31" i="36"/>
  <c r="K31" i="36"/>
  <c r="O31" i="36"/>
  <c r="J11" i="36"/>
  <c r="V12" i="36"/>
  <c r="N14" i="36"/>
  <c r="Z15" i="36"/>
  <c r="R17" i="36"/>
  <c r="H19" i="36"/>
  <c r="X19" i="36"/>
  <c r="T20" i="36"/>
  <c r="P21" i="36"/>
  <c r="L22" i="36"/>
  <c r="H23" i="36"/>
  <c r="X23" i="36"/>
  <c r="T24" i="36"/>
  <c r="P25" i="36"/>
  <c r="L26" i="36"/>
  <c r="H27" i="36"/>
  <c r="X27" i="36"/>
  <c r="T28" i="36"/>
  <c r="P29" i="36"/>
  <c r="L30" i="36"/>
  <c r="H31" i="36"/>
  <c r="T31" i="36"/>
  <c r="Z31" i="36"/>
  <c r="J32" i="36"/>
  <c r="N32" i="36"/>
  <c r="R32" i="36"/>
  <c r="V32" i="36"/>
  <c r="Z32" i="36"/>
  <c r="J33" i="36"/>
  <c r="N33" i="36"/>
  <c r="R33" i="36"/>
  <c r="V33" i="36"/>
  <c r="Z33" i="36"/>
  <c r="J34" i="36"/>
  <c r="N34" i="36"/>
  <c r="R34" i="36"/>
  <c r="V34" i="36"/>
  <c r="Z34" i="36"/>
  <c r="J35" i="36"/>
  <c r="N35" i="36"/>
  <c r="R35" i="36"/>
  <c r="V35" i="36"/>
  <c r="Z35" i="36"/>
  <c r="J36" i="36"/>
  <c r="N36" i="36"/>
  <c r="R36" i="36"/>
  <c r="V36" i="36"/>
  <c r="Z36" i="36"/>
  <c r="J37" i="36"/>
  <c r="N37" i="36"/>
  <c r="R37" i="36"/>
  <c r="V37" i="36"/>
  <c r="Z37" i="36"/>
  <c r="J38" i="36"/>
  <c r="N38" i="36"/>
  <c r="R38" i="36"/>
  <c r="V38" i="36"/>
  <c r="Z38" i="36"/>
  <c r="J39" i="36"/>
  <c r="N39" i="36"/>
  <c r="R39" i="36"/>
  <c r="V39" i="36"/>
  <c r="Z39" i="36"/>
  <c r="J40" i="36"/>
  <c r="N40" i="36"/>
  <c r="R40" i="36"/>
  <c r="V40" i="36"/>
  <c r="Z40" i="36"/>
  <c r="J41" i="36"/>
  <c r="N41" i="36"/>
  <c r="R41" i="36"/>
  <c r="V41" i="36"/>
  <c r="Z41" i="36"/>
  <c r="J42" i="36"/>
  <c r="N42" i="36"/>
  <c r="R42" i="36"/>
  <c r="V42" i="36"/>
  <c r="Z42" i="36"/>
  <c r="J43" i="36"/>
  <c r="N43" i="36"/>
  <c r="R43" i="36"/>
  <c r="V43" i="36"/>
  <c r="Z43" i="36"/>
  <c r="J44" i="36"/>
  <c r="N44" i="36"/>
  <c r="R44" i="36"/>
  <c r="R11" i="36"/>
  <c r="J13" i="36"/>
  <c r="V14" i="36"/>
  <c r="N16" i="36"/>
  <c r="Z17" i="36"/>
  <c r="L19" i="36"/>
  <c r="H20" i="36"/>
  <c r="X20" i="36"/>
  <c r="T21" i="36"/>
  <c r="P22" i="36"/>
  <c r="L23" i="36"/>
  <c r="H24" i="36"/>
  <c r="X24" i="36"/>
  <c r="T25" i="36"/>
  <c r="P26" i="36"/>
  <c r="L27" i="36"/>
  <c r="H28" i="36"/>
  <c r="X28" i="36"/>
  <c r="T29" i="36"/>
  <c r="P30" i="36"/>
  <c r="L31" i="36"/>
  <c r="W31" i="36"/>
  <c r="G32" i="36"/>
  <c r="K32" i="36"/>
  <c r="O32" i="36"/>
  <c r="S32" i="36"/>
  <c r="W32" i="36"/>
  <c r="G33" i="36"/>
  <c r="K33" i="36"/>
  <c r="O33" i="36"/>
  <c r="S33" i="36"/>
  <c r="W33" i="36"/>
  <c r="G34" i="36"/>
  <c r="K34" i="36"/>
  <c r="O34" i="36"/>
  <c r="S34" i="36"/>
  <c r="W34" i="36"/>
  <c r="G35" i="36"/>
  <c r="K35" i="36"/>
  <c r="O35" i="36"/>
  <c r="S35" i="36"/>
  <c r="W35" i="36"/>
  <c r="G36" i="36"/>
  <c r="K36" i="36"/>
  <c r="O36" i="36"/>
  <c r="S36" i="36"/>
  <c r="W36" i="36"/>
  <c r="G37" i="36"/>
  <c r="K37" i="36"/>
  <c r="O37" i="36"/>
  <c r="S37" i="36"/>
  <c r="W37" i="36"/>
  <c r="G38" i="36"/>
  <c r="K38" i="36"/>
  <c r="O38" i="36"/>
  <c r="S38" i="36"/>
  <c r="W38" i="36"/>
  <c r="G39" i="36"/>
  <c r="K39" i="36"/>
  <c r="O39" i="36"/>
  <c r="S39" i="36"/>
  <c r="W39" i="36"/>
  <c r="G40" i="36"/>
  <c r="K40" i="36"/>
  <c r="O40" i="36"/>
  <c r="S40" i="36"/>
  <c r="W40" i="36"/>
  <c r="G41" i="36"/>
  <c r="K41" i="36"/>
  <c r="O41" i="36"/>
  <c r="S41" i="36"/>
  <c r="W41" i="36"/>
  <c r="G42" i="36"/>
  <c r="K42" i="36"/>
  <c r="O42" i="36"/>
  <c r="S42" i="36"/>
  <c r="W42" i="36"/>
  <c r="G43" i="36"/>
  <c r="K43" i="36"/>
  <c r="O43" i="36"/>
  <c r="S43" i="36"/>
  <c r="W43" i="36"/>
  <c r="G44" i="36"/>
  <c r="K44" i="36"/>
  <c r="O44" i="36"/>
  <c r="S44" i="36"/>
  <c r="Z11" i="36"/>
  <c r="R13" i="36"/>
  <c r="J15" i="36"/>
  <c r="V16" i="36"/>
  <c r="N18" i="36"/>
  <c r="P19" i="36"/>
  <c r="L20" i="36"/>
  <c r="H21" i="36"/>
  <c r="X21" i="36"/>
  <c r="T22" i="36"/>
  <c r="P23" i="36"/>
  <c r="L24" i="36"/>
  <c r="H25" i="36"/>
  <c r="X25" i="36"/>
  <c r="T26" i="36"/>
  <c r="P27" i="36"/>
  <c r="L28" i="36"/>
  <c r="H29" i="36"/>
  <c r="X29" i="36"/>
  <c r="T30" i="36"/>
  <c r="P31" i="36"/>
  <c r="X31" i="36"/>
  <c r="H32" i="36"/>
  <c r="L32" i="36"/>
  <c r="P32" i="36"/>
  <c r="T32" i="36"/>
  <c r="X32" i="36"/>
  <c r="H33" i="36"/>
  <c r="L33" i="36"/>
  <c r="P33" i="36"/>
  <c r="T33" i="36"/>
  <c r="X33" i="36"/>
  <c r="H34" i="36"/>
  <c r="L34" i="36"/>
  <c r="P34" i="36"/>
  <c r="T34" i="36"/>
  <c r="X34" i="36"/>
  <c r="H35" i="36"/>
  <c r="L35" i="36"/>
  <c r="P35" i="36"/>
  <c r="T35" i="36"/>
  <c r="X35" i="36"/>
  <c r="H36" i="36"/>
  <c r="L36" i="36"/>
  <c r="P36" i="36"/>
  <c r="T36" i="36"/>
  <c r="X36" i="36"/>
  <c r="H37" i="36"/>
  <c r="L37" i="36"/>
  <c r="P37" i="36"/>
  <c r="T37" i="36"/>
  <c r="X37" i="36"/>
  <c r="H38" i="36"/>
  <c r="L38" i="36"/>
  <c r="P38" i="36"/>
  <c r="T38" i="36"/>
  <c r="X38" i="36"/>
  <c r="H39" i="36"/>
  <c r="L39" i="36"/>
  <c r="P39" i="36"/>
  <c r="T39" i="36"/>
  <c r="X39" i="36"/>
  <c r="H40" i="36"/>
  <c r="L40" i="36"/>
  <c r="P40" i="36"/>
  <c r="T40" i="36"/>
  <c r="X40" i="36"/>
  <c r="H41" i="36"/>
  <c r="L41" i="36"/>
  <c r="P41" i="36"/>
  <c r="T41" i="36"/>
  <c r="X41" i="36"/>
  <c r="H42" i="36"/>
  <c r="L42" i="36"/>
  <c r="P42" i="36"/>
  <c r="T42" i="36"/>
  <c r="X42" i="36"/>
  <c r="H43" i="36"/>
  <c r="L43" i="36"/>
  <c r="P43" i="36"/>
  <c r="T43" i="36"/>
  <c r="X43" i="36"/>
  <c r="H44" i="36"/>
  <c r="L44" i="36"/>
  <c r="P44" i="36"/>
  <c r="N12" i="36"/>
  <c r="V18" i="36"/>
  <c r="H22" i="36"/>
  <c r="L25" i="36"/>
  <c r="P28" i="36"/>
  <c r="S31" i="36"/>
  <c r="Q32" i="36"/>
  <c r="M33" i="36"/>
  <c r="I34" i="36"/>
  <c r="Y34" i="36"/>
  <c r="U35" i="36"/>
  <c r="Q36" i="36"/>
  <c r="M37" i="36"/>
  <c r="I38" i="36"/>
  <c r="Y38" i="36"/>
  <c r="U39" i="36"/>
  <c r="Q40" i="36"/>
  <c r="M41" i="36"/>
  <c r="I42" i="36"/>
  <c r="Y42" i="36"/>
  <c r="U43" i="36"/>
  <c r="Q44" i="36"/>
  <c r="W44" i="36"/>
  <c r="G45" i="36"/>
  <c r="K45" i="36"/>
  <c r="O45" i="36"/>
  <c r="S45" i="36"/>
  <c r="W45" i="36"/>
  <c r="G46" i="36"/>
  <c r="K46" i="36"/>
  <c r="O46" i="36"/>
  <c r="S46" i="36"/>
  <c r="W46" i="36"/>
  <c r="G47" i="36"/>
  <c r="K47" i="36"/>
  <c r="O47" i="36"/>
  <c r="S47" i="36"/>
  <c r="W47" i="36"/>
  <c r="G48" i="36"/>
  <c r="K48" i="36"/>
  <c r="O48" i="36"/>
  <c r="S48" i="36"/>
  <c r="W48" i="36"/>
  <c r="G49" i="36"/>
  <c r="K49" i="36"/>
  <c r="O49" i="36"/>
  <c r="S49" i="36"/>
  <c r="W49" i="36"/>
  <c r="G50" i="36"/>
  <c r="K50" i="36"/>
  <c r="O50" i="36"/>
  <c r="S50" i="36"/>
  <c r="W50" i="36"/>
  <c r="G51" i="36"/>
  <c r="K51" i="36"/>
  <c r="O51" i="36"/>
  <c r="S51" i="36"/>
  <c r="W51" i="36"/>
  <c r="G52" i="36"/>
  <c r="K52" i="36"/>
  <c r="O52" i="36"/>
  <c r="S52" i="36"/>
  <c r="W52" i="36"/>
  <c r="G53" i="36"/>
  <c r="K53" i="36"/>
  <c r="O53" i="36"/>
  <c r="S53" i="36"/>
  <c r="W53" i="36"/>
  <c r="G54" i="36"/>
  <c r="K54" i="36"/>
  <c r="O54" i="36"/>
  <c r="S54" i="36"/>
  <c r="W54" i="36"/>
  <c r="G55" i="36"/>
  <c r="K55" i="36"/>
  <c r="O55" i="36"/>
  <c r="S55" i="36"/>
  <c r="W55" i="36"/>
  <c r="G56" i="36"/>
  <c r="K56" i="36"/>
  <c r="O56" i="36"/>
  <c r="S56" i="36"/>
  <c r="W56" i="36"/>
  <c r="G57" i="36"/>
  <c r="K57" i="36"/>
  <c r="O57" i="36"/>
  <c r="S57" i="36"/>
  <c r="W57" i="36"/>
  <c r="G58" i="36"/>
  <c r="K58" i="36"/>
  <c r="O58" i="36"/>
  <c r="S58" i="36"/>
  <c r="W58" i="36"/>
  <c r="G59" i="36"/>
  <c r="K59" i="36"/>
  <c r="O59" i="36"/>
  <c r="S59" i="36"/>
  <c r="W59" i="36"/>
  <c r="G60" i="36"/>
  <c r="K60" i="36"/>
  <c r="O60" i="36"/>
  <c r="S60" i="36"/>
  <c r="W60" i="36"/>
  <c r="G61" i="36"/>
  <c r="K61" i="36"/>
  <c r="O61" i="36"/>
  <c r="S61" i="36"/>
  <c r="W61" i="36"/>
  <c r="G62" i="36"/>
  <c r="K62" i="36"/>
  <c r="O62" i="36"/>
  <c r="S62" i="36"/>
  <c r="W62" i="36"/>
  <c r="G63" i="36"/>
  <c r="K63" i="36"/>
  <c r="O63" i="36"/>
  <c r="S63" i="36"/>
  <c r="W63" i="36"/>
  <c r="G64" i="36"/>
  <c r="K64" i="36"/>
  <c r="O64" i="36"/>
  <c r="S64" i="36"/>
  <c r="W64" i="36"/>
  <c r="G65" i="36"/>
  <c r="Z13" i="36"/>
  <c r="T19" i="36"/>
  <c r="X22" i="36"/>
  <c r="H26" i="36"/>
  <c r="L29" i="36"/>
  <c r="Y31" i="36"/>
  <c r="U32" i="36"/>
  <c r="Q33" i="36"/>
  <c r="M34" i="36"/>
  <c r="I35" i="36"/>
  <c r="Y35" i="36"/>
  <c r="U36" i="36"/>
  <c r="Q37" i="36"/>
  <c r="M38" i="36"/>
  <c r="I39" i="36"/>
  <c r="Y39" i="36"/>
  <c r="U40" i="36"/>
  <c r="Q41" i="36"/>
  <c r="M42" i="36"/>
  <c r="I43" i="36"/>
  <c r="Y43" i="36"/>
  <c r="T44" i="36"/>
  <c r="X44" i="36"/>
  <c r="H45" i="36"/>
  <c r="L45" i="36"/>
  <c r="P45" i="36"/>
  <c r="T45" i="36"/>
  <c r="X45" i="36"/>
  <c r="H46" i="36"/>
  <c r="L46" i="36"/>
  <c r="P46" i="36"/>
  <c r="T46" i="36"/>
  <c r="X46" i="36"/>
  <c r="H47" i="36"/>
  <c r="L47" i="36"/>
  <c r="P47" i="36"/>
  <c r="T47" i="36"/>
  <c r="X47" i="36"/>
  <c r="H48" i="36"/>
  <c r="L48" i="36"/>
  <c r="P48" i="36"/>
  <c r="T48" i="36"/>
  <c r="X48" i="36"/>
  <c r="H49" i="36"/>
  <c r="L49" i="36"/>
  <c r="P49" i="36"/>
  <c r="T49" i="36"/>
  <c r="X49" i="36"/>
  <c r="H50" i="36"/>
  <c r="L50" i="36"/>
  <c r="P50" i="36"/>
  <c r="T50" i="36"/>
  <c r="X50" i="36"/>
  <c r="H51" i="36"/>
  <c r="L51" i="36"/>
  <c r="P51" i="36"/>
  <c r="T51" i="36"/>
  <c r="X51" i="36"/>
  <c r="H52" i="36"/>
  <c r="L52" i="36"/>
  <c r="P52" i="36"/>
  <c r="T52" i="36"/>
  <c r="X52" i="36"/>
  <c r="H53" i="36"/>
  <c r="L53" i="36"/>
  <c r="P53" i="36"/>
  <c r="T53" i="36"/>
  <c r="X53" i="36"/>
  <c r="H54" i="36"/>
  <c r="L54" i="36"/>
  <c r="P54" i="36"/>
  <c r="T54" i="36"/>
  <c r="X54" i="36"/>
  <c r="H55" i="36"/>
  <c r="L55" i="36"/>
  <c r="P55" i="36"/>
  <c r="T55" i="36"/>
  <c r="X55" i="36"/>
  <c r="H56" i="36"/>
  <c r="L56" i="36"/>
  <c r="P56" i="36"/>
  <c r="T56" i="36"/>
  <c r="X56" i="36"/>
  <c r="H57" i="36"/>
  <c r="L57" i="36"/>
  <c r="P57" i="36"/>
  <c r="T57" i="36"/>
  <c r="X57" i="36"/>
  <c r="H58" i="36"/>
  <c r="L58" i="36"/>
  <c r="P58" i="36"/>
  <c r="T58" i="36"/>
  <c r="X58" i="36"/>
  <c r="H59" i="36"/>
  <c r="L59" i="36"/>
  <c r="P59" i="36"/>
  <c r="T59" i="36"/>
  <c r="X59" i="36"/>
  <c r="H60" i="36"/>
  <c r="L60" i="36"/>
  <c r="P60" i="36"/>
  <c r="T60" i="36"/>
  <c r="X60" i="36"/>
  <c r="H61" i="36"/>
  <c r="L61" i="36"/>
  <c r="P61" i="36"/>
  <c r="T61" i="36"/>
  <c r="X61" i="36"/>
  <c r="H62" i="36"/>
  <c r="L62" i="36"/>
  <c r="P62" i="36"/>
  <c r="T62" i="36"/>
  <c r="X62" i="36"/>
  <c r="H63" i="36"/>
  <c r="L63" i="36"/>
  <c r="P63" i="36"/>
  <c r="T63" i="36"/>
  <c r="X63" i="36"/>
  <c r="H64" i="36"/>
  <c r="L64" i="36"/>
  <c r="P64" i="36"/>
  <c r="T64" i="36"/>
  <c r="X64" i="36"/>
  <c r="H65" i="36"/>
  <c r="L65" i="36"/>
  <c r="P65" i="36"/>
  <c r="T65" i="36"/>
  <c r="X65" i="36"/>
  <c r="H66" i="36"/>
  <c r="L66" i="36"/>
  <c r="P66" i="36"/>
  <c r="T66" i="36"/>
  <c r="X66" i="36"/>
  <c r="H67" i="36"/>
  <c r="L67" i="36"/>
  <c r="P67" i="36"/>
  <c r="T67" i="36"/>
  <c r="X67" i="36"/>
  <c r="F3" i="36"/>
  <c r="F7" i="36"/>
  <c r="F11" i="36"/>
  <c r="F15" i="36"/>
  <c r="F19" i="36"/>
  <c r="F23" i="36"/>
  <c r="F27" i="36"/>
  <c r="F31" i="36"/>
  <c r="F35" i="36"/>
  <c r="F39" i="36"/>
  <c r="F43" i="36"/>
  <c r="F47" i="36"/>
  <c r="F51" i="36"/>
  <c r="F55" i="36"/>
  <c r="F59" i="36"/>
  <c r="F63" i="36"/>
  <c r="F67" i="36"/>
  <c r="E64" i="36"/>
  <c r="E60" i="36"/>
  <c r="E56" i="36"/>
  <c r="E52" i="36"/>
  <c r="E48" i="36"/>
  <c r="E44" i="36"/>
  <c r="E40" i="36"/>
  <c r="E36" i="36"/>
  <c r="E32" i="36"/>
  <c r="E28" i="36"/>
  <c r="E24" i="36"/>
  <c r="E20" i="36"/>
  <c r="E16" i="36"/>
  <c r="E12" i="36"/>
  <c r="E8" i="36"/>
  <c r="R15" i="36"/>
  <c r="P20" i="36"/>
  <c r="T23" i="36"/>
  <c r="X26" i="36"/>
  <c r="H30" i="36"/>
  <c r="I32" i="36"/>
  <c r="Y32" i="36"/>
  <c r="U33" i="36"/>
  <c r="Q34" i="36"/>
  <c r="M35" i="36"/>
  <c r="I36" i="36"/>
  <c r="Y36" i="36"/>
  <c r="U37" i="36"/>
  <c r="Q38" i="36"/>
  <c r="M39" i="36"/>
  <c r="I40" i="36"/>
  <c r="Y40" i="36"/>
  <c r="U41" i="36"/>
  <c r="Q42" i="36"/>
  <c r="M43" i="36"/>
  <c r="I44" i="36"/>
  <c r="U44" i="36"/>
  <c r="Y44" i="36"/>
  <c r="I45" i="36"/>
  <c r="M45" i="36"/>
  <c r="Q45" i="36"/>
  <c r="U45" i="36"/>
  <c r="Y45" i="36"/>
  <c r="I46" i="36"/>
  <c r="M46" i="36"/>
  <c r="Q46" i="36"/>
  <c r="U46" i="36"/>
  <c r="Y46" i="36"/>
  <c r="I47" i="36"/>
  <c r="M47" i="36"/>
  <c r="Q47" i="36"/>
  <c r="U47" i="36"/>
  <c r="Y47" i="36"/>
  <c r="I48" i="36"/>
  <c r="M48" i="36"/>
  <c r="Q48" i="36"/>
  <c r="U48" i="36"/>
  <c r="Y48" i="36"/>
  <c r="I49" i="36"/>
  <c r="M49" i="36"/>
  <c r="Q49" i="36"/>
  <c r="U49" i="36"/>
  <c r="Y49" i="36"/>
  <c r="I50" i="36"/>
  <c r="M50" i="36"/>
  <c r="Q50" i="36"/>
  <c r="U50" i="36"/>
  <c r="Y50" i="36"/>
  <c r="I51" i="36"/>
  <c r="M51" i="36"/>
  <c r="Q51" i="36"/>
  <c r="U51" i="36"/>
  <c r="Y51" i="36"/>
  <c r="I52" i="36"/>
  <c r="M52" i="36"/>
  <c r="Q52" i="36"/>
  <c r="U52" i="36"/>
  <c r="Y52" i="36"/>
  <c r="I53" i="36"/>
  <c r="M53" i="36"/>
  <c r="Q53" i="36"/>
  <c r="U53" i="36"/>
  <c r="Y53" i="36"/>
  <c r="I54" i="36"/>
  <c r="M54" i="36"/>
  <c r="Q54" i="36"/>
  <c r="U54" i="36"/>
  <c r="Y54" i="36"/>
  <c r="I55" i="36"/>
  <c r="M55" i="36"/>
  <c r="Q55" i="36"/>
  <c r="U55" i="36"/>
  <c r="Y55" i="36"/>
  <c r="I56" i="36"/>
  <c r="M56" i="36"/>
  <c r="Q56" i="36"/>
  <c r="U56" i="36"/>
  <c r="Y56" i="36"/>
  <c r="I57" i="36"/>
  <c r="M57" i="36"/>
  <c r="Q57" i="36"/>
  <c r="U57" i="36"/>
  <c r="Y57" i="36"/>
  <c r="I58" i="36"/>
  <c r="M58" i="36"/>
  <c r="Q58" i="36"/>
  <c r="U58" i="36"/>
  <c r="Y58" i="36"/>
  <c r="I59" i="36"/>
  <c r="M59" i="36"/>
  <c r="Q59" i="36"/>
  <c r="U59" i="36"/>
  <c r="Y59" i="36"/>
  <c r="I60" i="36"/>
  <c r="M60" i="36"/>
  <c r="Q60" i="36"/>
  <c r="U60" i="36"/>
  <c r="Y60" i="36"/>
  <c r="I61" i="36"/>
  <c r="M61" i="36"/>
  <c r="Q61" i="36"/>
  <c r="U61" i="36"/>
  <c r="Y61" i="36"/>
  <c r="I62" i="36"/>
  <c r="M62" i="36"/>
  <c r="Q62" i="36"/>
  <c r="U62" i="36"/>
  <c r="Y62" i="36"/>
  <c r="I63" i="36"/>
  <c r="M63" i="36"/>
  <c r="Q63" i="36"/>
  <c r="U63" i="36"/>
  <c r="Y63" i="36"/>
  <c r="I64" i="36"/>
  <c r="M64" i="36"/>
  <c r="Q64" i="36"/>
  <c r="U64" i="36"/>
  <c r="Y64" i="36"/>
  <c r="I65" i="36"/>
  <c r="M65" i="36"/>
  <c r="Q65" i="36"/>
  <c r="U65" i="36"/>
  <c r="Y65" i="36"/>
  <c r="I66" i="36"/>
  <c r="M66" i="36"/>
  <c r="Q66" i="36"/>
  <c r="U66" i="36"/>
  <c r="Y66" i="36"/>
  <c r="I67" i="36"/>
  <c r="M67" i="36"/>
  <c r="Q67" i="36"/>
  <c r="U67" i="36"/>
  <c r="Y67" i="36"/>
  <c r="F4" i="36"/>
  <c r="F8" i="36"/>
  <c r="F12" i="36"/>
  <c r="F16" i="36"/>
  <c r="F20" i="36"/>
  <c r="F24" i="36"/>
  <c r="F28" i="36"/>
  <c r="F32" i="36"/>
  <c r="F36" i="36"/>
  <c r="F40" i="36"/>
  <c r="F44" i="36"/>
  <c r="F48" i="36"/>
  <c r="F52" i="36"/>
  <c r="F56" i="36"/>
  <c r="F60" i="36"/>
  <c r="F64" i="36"/>
  <c r="E67" i="36"/>
  <c r="E63" i="36"/>
  <c r="E59" i="36"/>
  <c r="E55" i="36"/>
  <c r="E51" i="36"/>
  <c r="E47" i="36"/>
  <c r="E43" i="36"/>
  <c r="E39" i="36"/>
  <c r="E4" i="36"/>
  <c r="E9" i="36"/>
  <c r="E14" i="36"/>
  <c r="E19" i="36"/>
  <c r="E25" i="36"/>
  <c r="E30" i="36"/>
  <c r="E35" i="36"/>
  <c r="E42" i="36"/>
  <c r="E50" i="36"/>
  <c r="E58" i="36"/>
  <c r="E66" i="36"/>
  <c r="F61" i="36"/>
  <c r="F53" i="36"/>
  <c r="F45" i="36"/>
  <c r="F37" i="36"/>
  <c r="F29" i="36"/>
  <c r="F21" i="36"/>
  <c r="F13" i="36"/>
  <c r="F5" i="36"/>
  <c r="V67" i="36"/>
  <c r="N67" i="36"/>
  <c r="Z66" i="36"/>
  <c r="R66" i="36"/>
  <c r="J66" i="36"/>
  <c r="V65" i="36"/>
  <c r="N65" i="36"/>
  <c r="V64" i="36"/>
  <c r="Z63" i="36"/>
  <c r="J63" i="36"/>
  <c r="N62" i="36"/>
  <c r="R61" i="36"/>
  <c r="V60" i="36"/>
  <c r="Z59" i="36"/>
  <c r="J59" i="36"/>
  <c r="N58" i="36"/>
  <c r="R57" i="36"/>
  <c r="V56" i="36"/>
  <c r="Z55" i="36"/>
  <c r="J55" i="36"/>
  <c r="N54" i="36"/>
  <c r="R53" i="36"/>
  <c r="V52" i="36"/>
  <c r="Z51" i="36"/>
  <c r="J51" i="36"/>
  <c r="N50" i="36"/>
  <c r="R49" i="36"/>
  <c r="V48" i="36"/>
  <c r="Z47" i="36"/>
  <c r="J47" i="36"/>
  <c r="N46" i="36"/>
  <c r="R45" i="36"/>
  <c r="V44" i="36"/>
  <c r="Y41" i="36"/>
  <c r="U38" i="36"/>
  <c r="Q35" i="36"/>
  <c r="M32" i="36"/>
  <c r="L21" i="36"/>
  <c r="E5" i="36"/>
  <c r="E10" i="36"/>
  <c r="E15" i="36"/>
  <c r="E21" i="36"/>
  <c r="E26" i="36"/>
  <c r="E31" i="36"/>
  <c r="E37" i="36"/>
  <c r="E45" i="36"/>
  <c r="E53" i="36"/>
  <c r="E61" i="36"/>
  <c r="F66" i="36"/>
  <c r="F58" i="36"/>
  <c r="F50" i="36"/>
  <c r="F42" i="36"/>
  <c r="F34" i="36"/>
  <c r="F26" i="36"/>
  <c r="F18" i="36"/>
  <c r="F10" i="36"/>
  <c r="F2" i="36"/>
  <c r="S67" i="36"/>
  <c r="K67" i="36"/>
  <c r="W66" i="36"/>
  <c r="O66" i="36"/>
  <c r="G66" i="36"/>
  <c r="S65" i="36"/>
  <c r="K65" i="36"/>
  <c r="R64" i="36"/>
  <c r="V63" i="36"/>
  <c r="Z62" i="36"/>
  <c r="J62" i="36"/>
  <c r="N61" i="36"/>
  <c r="R60" i="36"/>
  <c r="V59" i="36"/>
  <c r="Z58" i="36"/>
  <c r="J58" i="36"/>
  <c r="N57" i="36"/>
  <c r="R56" i="36"/>
  <c r="V55" i="36"/>
  <c r="Z54" i="36"/>
  <c r="J54" i="36"/>
  <c r="N53" i="36"/>
  <c r="R52" i="36"/>
  <c r="V51" i="36"/>
  <c r="Z50" i="36"/>
  <c r="J50" i="36"/>
  <c r="N49" i="36"/>
  <c r="R48" i="36"/>
  <c r="V47" i="36"/>
  <c r="Z46" i="36"/>
  <c r="J46" i="36"/>
  <c r="N45" i="36"/>
  <c r="M44" i="36"/>
  <c r="I41" i="36"/>
  <c r="Y37" i="36"/>
  <c r="U34" i="36"/>
  <c r="X30" i="36"/>
  <c r="J17" i="36"/>
  <c r="H87" i="36"/>
  <c r="L87" i="36"/>
  <c r="P87" i="36"/>
  <c r="T87" i="36"/>
  <c r="X87" i="36"/>
  <c r="I87" i="36"/>
  <c r="M87" i="36"/>
  <c r="Q87" i="36"/>
  <c r="U87" i="36"/>
  <c r="Y87" i="36"/>
  <c r="J87" i="36"/>
  <c r="N87" i="36"/>
  <c r="R87" i="36"/>
  <c r="V87" i="36"/>
  <c r="Z87" i="36"/>
  <c r="K79" i="36"/>
  <c r="O79" i="36"/>
  <c r="S79" i="36"/>
  <c r="W79" i="36"/>
  <c r="H79" i="36"/>
  <c r="L79" i="36"/>
  <c r="P79" i="36"/>
  <c r="T79" i="36"/>
  <c r="X79" i="36"/>
  <c r="I79" i="36"/>
  <c r="M79" i="36"/>
  <c r="Q79" i="36"/>
  <c r="U79" i="36"/>
  <c r="Y79" i="36"/>
  <c r="J79" i="36"/>
  <c r="Z79" i="36"/>
  <c r="N79" i="36"/>
  <c r="R79" i="36"/>
  <c r="F91" i="36"/>
  <c r="F83" i="36"/>
  <c r="F71" i="36"/>
  <c r="X99" i="36"/>
  <c r="T99" i="36"/>
  <c r="P99" i="36"/>
  <c r="L99" i="36"/>
  <c r="O91" i="36"/>
  <c r="K98" i="36"/>
  <c r="O98" i="36"/>
  <c r="S98" i="36"/>
  <c r="W98" i="36"/>
  <c r="H98" i="36"/>
  <c r="L98" i="36"/>
  <c r="P98" i="36"/>
  <c r="T98" i="36"/>
  <c r="X98" i="36"/>
  <c r="I98" i="36"/>
  <c r="M98" i="36"/>
  <c r="Q98" i="36"/>
  <c r="U98" i="36"/>
  <c r="Y98" i="36"/>
  <c r="K94" i="36"/>
  <c r="O94" i="36"/>
  <c r="S94" i="36"/>
  <c r="W94" i="36"/>
  <c r="H94" i="36"/>
  <c r="L94" i="36"/>
  <c r="P94" i="36"/>
  <c r="T94" i="36"/>
  <c r="X94" i="36"/>
  <c r="I94" i="36"/>
  <c r="M94" i="36"/>
  <c r="Q94" i="36"/>
  <c r="U94" i="36"/>
  <c r="Y94" i="36"/>
  <c r="K90" i="36"/>
  <c r="O90" i="36"/>
  <c r="S90" i="36"/>
  <c r="W90" i="36"/>
  <c r="H90" i="36"/>
  <c r="L90" i="36"/>
  <c r="P90" i="36"/>
  <c r="T90" i="36"/>
  <c r="X90" i="36"/>
  <c r="I90" i="36"/>
  <c r="M90" i="36"/>
  <c r="Q90" i="36"/>
  <c r="U90" i="36"/>
  <c r="Y90" i="36"/>
  <c r="K86" i="36"/>
  <c r="O86" i="36"/>
  <c r="S86" i="36"/>
  <c r="W86" i="36"/>
  <c r="H86" i="36"/>
  <c r="L86" i="36"/>
  <c r="P86" i="36"/>
  <c r="T86" i="36"/>
  <c r="X86" i="36"/>
  <c r="I86" i="36"/>
  <c r="M86" i="36"/>
  <c r="Q86" i="36"/>
  <c r="U86" i="36"/>
  <c r="Y86" i="36"/>
  <c r="J82" i="36"/>
  <c r="N82" i="36"/>
  <c r="R82" i="36"/>
  <c r="V82" i="36"/>
  <c r="Z82" i="36"/>
  <c r="K82" i="36"/>
  <c r="O82" i="36"/>
  <c r="S82" i="36"/>
  <c r="W82" i="36"/>
  <c r="H82" i="36"/>
  <c r="L82" i="36"/>
  <c r="P82" i="36"/>
  <c r="T82" i="36"/>
  <c r="X82" i="36"/>
  <c r="Q82" i="36"/>
  <c r="U82" i="36"/>
  <c r="I82" i="36"/>
  <c r="Y82" i="36"/>
  <c r="J78" i="36"/>
  <c r="N78" i="36"/>
  <c r="R78" i="36"/>
  <c r="V78" i="36"/>
  <c r="Z78" i="36"/>
  <c r="K78" i="36"/>
  <c r="O78" i="36"/>
  <c r="S78" i="36"/>
  <c r="W78" i="36"/>
  <c r="H78" i="36"/>
  <c r="L78" i="36"/>
  <c r="P78" i="36"/>
  <c r="T78" i="36"/>
  <c r="X78" i="36"/>
  <c r="M78" i="36"/>
  <c r="Q78" i="36"/>
  <c r="U78" i="36"/>
  <c r="J74" i="36"/>
  <c r="N74" i="36"/>
  <c r="R74" i="36"/>
  <c r="V74" i="36"/>
  <c r="Z74" i="36"/>
  <c r="K74" i="36"/>
  <c r="O74" i="36"/>
  <c r="S74" i="36"/>
  <c r="W74" i="36"/>
  <c r="H74" i="36"/>
  <c r="L74" i="36"/>
  <c r="P74" i="36"/>
  <c r="T74" i="36"/>
  <c r="X74" i="36"/>
  <c r="I74" i="36"/>
  <c r="Y74" i="36"/>
  <c r="M74" i="36"/>
  <c r="Q74" i="36"/>
  <c r="J70" i="36"/>
  <c r="N70" i="36"/>
  <c r="R70" i="36"/>
  <c r="V70" i="36"/>
  <c r="Z70" i="36"/>
  <c r="K70" i="36"/>
  <c r="O70" i="36"/>
  <c r="S70" i="36"/>
  <c r="W70" i="36"/>
  <c r="H70" i="36"/>
  <c r="L70" i="36"/>
  <c r="P70" i="36"/>
  <c r="T70" i="36"/>
  <c r="X70" i="36"/>
  <c r="U70" i="36"/>
  <c r="I70" i="36"/>
  <c r="Y70" i="36"/>
  <c r="M70" i="36"/>
  <c r="E68" i="36"/>
  <c r="E72" i="36"/>
  <c r="E76" i="36"/>
  <c r="E80" i="36"/>
  <c r="E84" i="36"/>
  <c r="E88" i="36"/>
  <c r="E92" i="36"/>
  <c r="E96" i="36"/>
  <c r="G100" i="36"/>
  <c r="G98" i="36"/>
  <c r="G96" i="36"/>
  <c r="G94" i="36"/>
  <c r="G92" i="36"/>
  <c r="G90" i="36"/>
  <c r="G88" i="36"/>
  <c r="G86" i="36"/>
  <c r="G84" i="36"/>
  <c r="G82" i="36"/>
  <c r="G80" i="36"/>
  <c r="G78" i="36"/>
  <c r="G76" i="36"/>
  <c r="G74" i="36"/>
  <c r="G72" i="36"/>
  <c r="G70" i="36"/>
  <c r="G68" i="36"/>
  <c r="X100" i="36"/>
  <c r="T100" i="36"/>
  <c r="P100" i="36"/>
  <c r="L100" i="36"/>
  <c r="H100" i="36"/>
  <c r="W99" i="36"/>
  <c r="S99" i="36"/>
  <c r="O99" i="36"/>
  <c r="K99" i="36"/>
  <c r="V98" i="36"/>
  <c r="Y97" i="36"/>
  <c r="L96" i="36"/>
  <c r="R94" i="36"/>
  <c r="X92" i="36"/>
  <c r="H92" i="36"/>
  <c r="K91" i="36"/>
  <c r="N90" i="36"/>
  <c r="T88" i="36"/>
  <c r="W87" i="36"/>
  <c r="Z86" i="36"/>
  <c r="J86" i="36"/>
  <c r="S80" i="36"/>
  <c r="Q70" i="36"/>
  <c r="H95" i="36"/>
  <c r="L95" i="36"/>
  <c r="P95" i="36"/>
  <c r="T95" i="36"/>
  <c r="X95" i="36"/>
  <c r="I95" i="36"/>
  <c r="M95" i="36"/>
  <c r="Q95" i="36"/>
  <c r="U95" i="36"/>
  <c r="Y95" i="36"/>
  <c r="J95" i="36"/>
  <c r="N95" i="36"/>
  <c r="R95" i="36"/>
  <c r="V95" i="36"/>
  <c r="Z95" i="36"/>
  <c r="K83" i="36"/>
  <c r="O83" i="36"/>
  <c r="S83" i="36"/>
  <c r="W83" i="36"/>
  <c r="H83" i="36"/>
  <c r="L83" i="36"/>
  <c r="P83" i="36"/>
  <c r="T83" i="36"/>
  <c r="X83" i="36"/>
  <c r="I83" i="36"/>
  <c r="M83" i="36"/>
  <c r="Q83" i="36"/>
  <c r="U83" i="36"/>
  <c r="Y83" i="36"/>
  <c r="N83" i="36"/>
  <c r="R83" i="36"/>
  <c r="V83" i="36"/>
  <c r="K71" i="36"/>
  <c r="O71" i="36"/>
  <c r="S71" i="36"/>
  <c r="W71" i="36"/>
  <c r="H71" i="36"/>
  <c r="L71" i="36"/>
  <c r="P71" i="36"/>
  <c r="T71" i="36"/>
  <c r="X71" i="36"/>
  <c r="I71" i="36"/>
  <c r="M71" i="36"/>
  <c r="Q71" i="36"/>
  <c r="U71" i="36"/>
  <c r="Y71" i="36"/>
  <c r="R71" i="36"/>
  <c r="V71" i="36"/>
  <c r="J71" i="36"/>
  <c r="Z71" i="36"/>
  <c r="F95" i="36"/>
  <c r="F87" i="36"/>
  <c r="K87" i="36"/>
  <c r="J97" i="36"/>
  <c r="N97" i="36"/>
  <c r="R97" i="36"/>
  <c r="V97" i="36"/>
  <c r="Z97" i="36"/>
  <c r="K97" i="36"/>
  <c r="O97" i="36"/>
  <c r="S97" i="36"/>
  <c r="W97" i="36"/>
  <c r="H97" i="36"/>
  <c r="L97" i="36"/>
  <c r="P97" i="36"/>
  <c r="T97" i="36"/>
  <c r="X97" i="36"/>
  <c r="J93" i="36"/>
  <c r="N93" i="36"/>
  <c r="R93" i="36"/>
  <c r="V93" i="36"/>
  <c r="Z93" i="36"/>
  <c r="K93" i="36"/>
  <c r="O93" i="36"/>
  <c r="S93" i="36"/>
  <c r="W93" i="36"/>
  <c r="H93" i="36"/>
  <c r="L93" i="36"/>
  <c r="P93" i="36"/>
  <c r="T93" i="36"/>
  <c r="X93" i="36"/>
  <c r="J89" i="36"/>
  <c r="N89" i="36"/>
  <c r="R89" i="36"/>
  <c r="V89" i="36"/>
  <c r="Z89" i="36"/>
  <c r="K89" i="36"/>
  <c r="O89" i="36"/>
  <c r="S89" i="36"/>
  <c r="W89" i="36"/>
  <c r="H89" i="36"/>
  <c r="L89" i="36"/>
  <c r="P89" i="36"/>
  <c r="T89" i="36"/>
  <c r="X89" i="36"/>
  <c r="I85" i="36"/>
  <c r="M85" i="36"/>
  <c r="Q85" i="36"/>
  <c r="J85" i="36"/>
  <c r="N85" i="36"/>
  <c r="R85" i="36"/>
  <c r="K85" i="36"/>
  <c r="O85" i="36"/>
  <c r="S85" i="36"/>
  <c r="W85" i="36"/>
  <c r="H85" i="36"/>
  <c r="U85" i="36"/>
  <c r="Z85" i="36"/>
  <c r="L85" i="36"/>
  <c r="V85" i="36"/>
  <c r="P85" i="36"/>
  <c r="X85" i="36"/>
  <c r="I81" i="36"/>
  <c r="M81" i="36"/>
  <c r="Q81" i="36"/>
  <c r="U81" i="36"/>
  <c r="Y81" i="36"/>
  <c r="J81" i="36"/>
  <c r="N81" i="36"/>
  <c r="R81" i="36"/>
  <c r="V81" i="36"/>
  <c r="Z81" i="36"/>
  <c r="K81" i="36"/>
  <c r="O81" i="36"/>
  <c r="S81" i="36"/>
  <c r="W81" i="36"/>
  <c r="T81" i="36"/>
  <c r="H81" i="36"/>
  <c r="X81" i="36"/>
  <c r="L81" i="36"/>
  <c r="I77" i="36"/>
  <c r="M77" i="36"/>
  <c r="Q77" i="36"/>
  <c r="U77" i="36"/>
  <c r="Y77" i="36"/>
  <c r="J77" i="36"/>
  <c r="N77" i="36"/>
  <c r="R77" i="36"/>
  <c r="V77" i="36"/>
  <c r="Z77" i="36"/>
  <c r="K77" i="36"/>
  <c r="O77" i="36"/>
  <c r="S77" i="36"/>
  <c r="W77" i="36"/>
  <c r="P77" i="36"/>
  <c r="T77" i="36"/>
  <c r="H77" i="36"/>
  <c r="X77" i="36"/>
  <c r="I73" i="36"/>
  <c r="M73" i="36"/>
  <c r="Q73" i="36"/>
  <c r="U73" i="36"/>
  <c r="Y73" i="36"/>
  <c r="J73" i="36"/>
  <c r="N73" i="36"/>
  <c r="R73" i="36"/>
  <c r="V73" i="36"/>
  <c r="Z73" i="36"/>
  <c r="K73" i="36"/>
  <c r="O73" i="36"/>
  <c r="S73" i="36"/>
  <c r="W73" i="36"/>
  <c r="L73" i="36"/>
  <c r="P73" i="36"/>
  <c r="T73" i="36"/>
  <c r="I69" i="36"/>
  <c r="M69" i="36"/>
  <c r="Q69" i="36"/>
  <c r="U69" i="36"/>
  <c r="Y69" i="36"/>
  <c r="J69" i="36"/>
  <c r="N69" i="36"/>
  <c r="R69" i="36"/>
  <c r="V69" i="36"/>
  <c r="Z69" i="36"/>
  <c r="K69" i="36"/>
  <c r="O69" i="36"/>
  <c r="S69" i="36"/>
  <c r="W69" i="36"/>
  <c r="H69" i="36"/>
  <c r="X69" i="36"/>
  <c r="L69" i="36"/>
  <c r="P69" i="36"/>
  <c r="E69" i="36"/>
  <c r="E73" i="36"/>
  <c r="E77" i="36"/>
  <c r="E81" i="36"/>
  <c r="E85" i="36"/>
  <c r="E89" i="36"/>
  <c r="E93" i="36"/>
  <c r="E97" i="36"/>
  <c r="F100" i="36"/>
  <c r="F98" i="36"/>
  <c r="F96" i="36"/>
  <c r="F94" i="36"/>
  <c r="F92" i="36"/>
  <c r="F90" i="36"/>
  <c r="F88" i="36"/>
  <c r="F86" i="36"/>
  <c r="F82" i="36"/>
  <c r="F78" i="36"/>
  <c r="F76" i="36"/>
  <c r="F74" i="36"/>
  <c r="F70" i="36"/>
  <c r="W100" i="36"/>
  <c r="S100" i="36"/>
  <c r="O100" i="36"/>
  <c r="K100" i="36"/>
  <c r="Z99" i="36"/>
  <c r="V99" i="36"/>
  <c r="R99" i="36"/>
  <c r="N99" i="36"/>
  <c r="J99" i="36"/>
  <c r="R98" i="36"/>
  <c r="U97" i="36"/>
  <c r="X96" i="36"/>
  <c r="K95" i="36"/>
  <c r="N94" i="36"/>
  <c r="Q93" i="36"/>
  <c r="Z90" i="36"/>
  <c r="J90" i="36"/>
  <c r="M89" i="36"/>
  <c r="S87" i="36"/>
  <c r="V86" i="36"/>
  <c r="Y85" i="36"/>
  <c r="J83" i="36"/>
  <c r="V79" i="36"/>
  <c r="H73" i="36"/>
  <c r="T69" i="36"/>
  <c r="H91" i="36"/>
  <c r="L91" i="36"/>
  <c r="P91" i="36"/>
  <c r="T91" i="36"/>
  <c r="X91" i="36"/>
  <c r="I91" i="36"/>
  <c r="M91" i="36"/>
  <c r="Q91" i="36"/>
  <c r="U91" i="36"/>
  <c r="Y91" i="36"/>
  <c r="J91" i="36"/>
  <c r="N91" i="36"/>
  <c r="R91" i="36"/>
  <c r="V91" i="36"/>
  <c r="Z91" i="36"/>
  <c r="K75" i="36"/>
  <c r="O75" i="36"/>
  <c r="S75" i="36"/>
  <c r="W75" i="36"/>
  <c r="H75" i="36"/>
  <c r="L75" i="36"/>
  <c r="P75" i="36"/>
  <c r="T75" i="36"/>
  <c r="X75" i="36"/>
  <c r="I75" i="36"/>
  <c r="M75" i="36"/>
  <c r="Q75" i="36"/>
  <c r="U75" i="36"/>
  <c r="Y75" i="36"/>
  <c r="V75" i="36"/>
  <c r="J75" i="36"/>
  <c r="Z75" i="36"/>
  <c r="N75" i="36"/>
  <c r="E71" i="36"/>
  <c r="E75" i="36"/>
  <c r="E79" i="36"/>
  <c r="E83" i="36"/>
  <c r="E87" i="36"/>
  <c r="E91" i="36"/>
  <c r="E95" i="36"/>
  <c r="E99" i="36"/>
  <c r="F99" i="36"/>
  <c r="F79" i="36"/>
  <c r="F75" i="36"/>
  <c r="S95" i="36"/>
  <c r="I96" i="36"/>
  <c r="M96" i="36"/>
  <c r="Q96" i="36"/>
  <c r="U96" i="36"/>
  <c r="Y96" i="36"/>
  <c r="J96" i="36"/>
  <c r="N96" i="36"/>
  <c r="R96" i="36"/>
  <c r="V96" i="36"/>
  <c r="Z96" i="36"/>
  <c r="K96" i="36"/>
  <c r="O96" i="36"/>
  <c r="S96" i="36"/>
  <c r="W96" i="36"/>
  <c r="I92" i="36"/>
  <c r="M92" i="36"/>
  <c r="Q92" i="36"/>
  <c r="U92" i="36"/>
  <c r="Y92" i="36"/>
  <c r="J92" i="36"/>
  <c r="N92" i="36"/>
  <c r="R92" i="36"/>
  <c r="V92" i="36"/>
  <c r="Z92" i="36"/>
  <c r="K92" i="36"/>
  <c r="O92" i="36"/>
  <c r="S92" i="36"/>
  <c r="W92" i="36"/>
  <c r="I88" i="36"/>
  <c r="M88" i="36"/>
  <c r="Q88" i="36"/>
  <c r="U88" i="36"/>
  <c r="Y88" i="36"/>
  <c r="J88" i="36"/>
  <c r="N88" i="36"/>
  <c r="R88" i="36"/>
  <c r="V88" i="36"/>
  <c r="Z88" i="36"/>
  <c r="K88" i="36"/>
  <c r="O88" i="36"/>
  <c r="S88" i="36"/>
  <c r="W88" i="36"/>
  <c r="H84" i="36"/>
  <c r="L84" i="36"/>
  <c r="P84" i="36"/>
  <c r="T84" i="36"/>
  <c r="X84" i="36"/>
  <c r="I84" i="36"/>
  <c r="M84" i="36"/>
  <c r="Q84" i="36"/>
  <c r="U84" i="36"/>
  <c r="Y84" i="36"/>
  <c r="J84" i="36"/>
  <c r="N84" i="36"/>
  <c r="R84" i="36"/>
  <c r="V84" i="36"/>
  <c r="Z84" i="36"/>
  <c r="K84" i="36"/>
  <c r="O84" i="36"/>
  <c r="S84" i="36"/>
  <c r="H80" i="36"/>
  <c r="L80" i="36"/>
  <c r="P80" i="36"/>
  <c r="T80" i="36"/>
  <c r="X80" i="36"/>
  <c r="I80" i="36"/>
  <c r="M80" i="36"/>
  <c r="Q80" i="36"/>
  <c r="U80" i="36"/>
  <c r="Y80" i="36"/>
  <c r="J80" i="36"/>
  <c r="N80" i="36"/>
  <c r="R80" i="36"/>
  <c r="V80" i="36"/>
  <c r="Z80" i="36"/>
  <c r="W80" i="36"/>
  <c r="K80" i="36"/>
  <c r="O80" i="36"/>
  <c r="H76" i="36"/>
  <c r="L76" i="36"/>
  <c r="P76" i="36"/>
  <c r="T76" i="36"/>
  <c r="X76" i="36"/>
  <c r="I76" i="36"/>
  <c r="M76" i="36"/>
  <c r="Q76" i="36"/>
  <c r="U76" i="36"/>
  <c r="Y76" i="36"/>
  <c r="J76" i="36"/>
  <c r="N76" i="36"/>
  <c r="R76" i="36"/>
  <c r="V76" i="36"/>
  <c r="Z76" i="36"/>
  <c r="S76" i="36"/>
  <c r="W76" i="36"/>
  <c r="K76" i="36"/>
  <c r="H72" i="36"/>
  <c r="L72" i="36"/>
  <c r="P72" i="36"/>
  <c r="T72" i="36"/>
  <c r="X72" i="36"/>
  <c r="I72" i="36"/>
  <c r="M72" i="36"/>
  <c r="Q72" i="36"/>
  <c r="U72" i="36"/>
  <c r="Y72" i="36"/>
  <c r="J72" i="36"/>
  <c r="N72" i="36"/>
  <c r="R72" i="36"/>
  <c r="V72" i="36"/>
  <c r="Z72" i="36"/>
  <c r="O72" i="36"/>
  <c r="S72" i="36"/>
  <c r="W72" i="36"/>
  <c r="H68" i="36"/>
  <c r="L68" i="36"/>
  <c r="P68" i="36"/>
  <c r="T68" i="36"/>
  <c r="X68" i="36"/>
  <c r="I68" i="36"/>
  <c r="M68" i="36"/>
  <c r="Q68" i="36"/>
  <c r="U68" i="36"/>
  <c r="Y68" i="36"/>
  <c r="J68" i="36"/>
  <c r="N68" i="36"/>
  <c r="R68" i="36"/>
  <c r="V68" i="36"/>
  <c r="Z68" i="36"/>
  <c r="K68" i="36"/>
  <c r="O68" i="36"/>
  <c r="S68" i="36"/>
  <c r="E70" i="36"/>
  <c r="E74" i="36"/>
  <c r="E78" i="36"/>
  <c r="E82" i="36"/>
  <c r="E86" i="36"/>
  <c r="E90" i="36"/>
  <c r="E94" i="36"/>
  <c r="E98" i="36"/>
  <c r="G99" i="36"/>
  <c r="G97" i="36"/>
  <c r="G95" i="36"/>
  <c r="G93" i="36"/>
  <c r="G91" i="36"/>
  <c r="G89" i="36"/>
  <c r="G87" i="36"/>
  <c r="G85" i="36"/>
  <c r="G83" i="36"/>
  <c r="G81" i="36"/>
  <c r="G79" i="36"/>
  <c r="G77" i="36"/>
  <c r="G75" i="36"/>
  <c r="G73" i="36"/>
  <c r="G71" i="36"/>
  <c r="G69" i="36"/>
  <c r="Z100" i="36"/>
  <c r="V100" i="36"/>
  <c r="R100" i="36"/>
  <c r="N100" i="36"/>
  <c r="J100" i="36"/>
  <c r="Y99" i="36"/>
  <c r="U99" i="36"/>
  <c r="Q99" i="36"/>
  <c r="M99" i="36"/>
  <c r="I99" i="36"/>
  <c r="N98" i="36"/>
  <c r="Q97" i="36"/>
  <c r="T96" i="36"/>
  <c r="W95" i="36"/>
  <c r="Z94" i="36"/>
  <c r="J94" i="36"/>
  <c r="M93" i="36"/>
  <c r="P92" i="36"/>
  <c r="S91" i="36"/>
  <c r="V90" i="36"/>
  <c r="Y89" i="36"/>
  <c r="I89" i="36"/>
  <c r="L88" i="36"/>
  <c r="O87" i="36"/>
  <c r="R86" i="36"/>
  <c r="T85" i="36"/>
  <c r="M82" i="36"/>
  <c r="Y78" i="36"/>
  <c r="R75" i="36"/>
  <c r="K72" i="36"/>
  <c r="W68" i="36"/>
  <c r="Y4" i="57"/>
  <c r="Y5" i="57"/>
  <c r="Y6" i="57"/>
  <c r="Y7" i="57"/>
  <c r="Y8" i="57"/>
  <c r="Y9" i="57"/>
  <c r="Y10" i="57"/>
  <c r="Y11" i="57"/>
  <c r="Y12" i="57"/>
  <c r="Y13" i="57"/>
  <c r="Y14" i="57"/>
  <c r="Y15" i="57"/>
  <c r="Y16" i="57"/>
  <c r="Y17" i="57"/>
  <c r="Y18" i="57"/>
  <c r="Y19" i="57"/>
  <c r="Y20" i="57"/>
  <c r="Y21" i="57"/>
  <c r="Y22" i="57"/>
  <c r="Y23" i="57"/>
  <c r="Y24" i="57"/>
  <c r="Y25" i="57"/>
  <c r="Y26" i="57"/>
  <c r="Y27" i="57"/>
  <c r="Y28" i="57"/>
  <c r="Y29" i="57"/>
  <c r="Y30" i="57"/>
  <c r="Y31" i="57"/>
  <c r="Y32" i="57"/>
  <c r="Y33" i="57"/>
  <c r="Y34" i="57"/>
  <c r="Y35" i="57"/>
  <c r="Y36" i="57"/>
  <c r="Y37" i="57"/>
  <c r="Y38" i="57"/>
  <c r="Y39" i="57"/>
  <c r="Y40" i="57"/>
  <c r="Y41" i="57"/>
  <c r="Y42" i="57"/>
  <c r="Y43" i="57"/>
  <c r="Y44" i="57"/>
  <c r="Y45" i="57"/>
  <c r="Y46" i="57"/>
  <c r="Y47" i="57"/>
  <c r="Y48" i="57"/>
  <c r="Y49" i="57"/>
  <c r="Y50" i="57"/>
  <c r="Y51" i="57"/>
  <c r="Y52" i="57"/>
  <c r="Y53" i="57"/>
  <c r="Y54" i="57"/>
  <c r="Y55" i="57"/>
  <c r="Y56" i="57"/>
  <c r="Y57" i="57"/>
  <c r="Y58" i="57"/>
  <c r="Y59" i="57"/>
  <c r="Y60" i="57"/>
  <c r="Y61" i="57"/>
  <c r="Y62" i="57"/>
  <c r="Y63" i="57"/>
  <c r="Y64" i="57"/>
  <c r="Y65" i="57"/>
  <c r="Y66" i="57"/>
  <c r="Y67" i="57"/>
  <c r="Y68" i="57"/>
  <c r="Y69" i="57"/>
  <c r="Y70" i="57"/>
  <c r="Y71" i="57"/>
  <c r="Y72" i="57"/>
  <c r="Y73" i="57"/>
  <c r="Y74" i="57"/>
  <c r="Y75" i="57"/>
  <c r="Y76" i="57"/>
  <c r="Y77" i="57"/>
  <c r="Y78" i="57"/>
  <c r="Y79" i="57"/>
  <c r="Y80" i="57"/>
  <c r="Y81" i="57"/>
  <c r="Y82" i="57"/>
  <c r="Y83" i="57"/>
  <c r="Y84" i="57"/>
  <c r="Y85" i="57"/>
  <c r="Y86" i="57"/>
  <c r="Y87" i="57"/>
  <c r="Y88" i="57"/>
  <c r="Y89" i="57"/>
  <c r="Y90" i="57"/>
  <c r="Y91" i="57"/>
  <c r="Y92" i="57"/>
  <c r="Y93" i="57"/>
  <c r="Y94" i="57"/>
  <c r="Y95" i="57"/>
  <c r="Y96" i="57"/>
  <c r="Y97" i="57"/>
  <c r="Y98" i="57"/>
  <c r="Y99" i="57"/>
  <c r="Y100" i="57"/>
  <c r="Y101" i="57"/>
  <c r="Y102" i="57"/>
  <c r="Y103" i="57"/>
  <c r="Y104" i="57"/>
  <c r="Y105" i="57"/>
  <c r="Y106" i="57"/>
  <c r="Y107" i="57"/>
  <c r="Y108" i="57"/>
  <c r="Y109" i="57"/>
  <c r="Y110" i="57"/>
  <c r="Y111" i="57"/>
  <c r="Y112" i="57"/>
  <c r="Y113" i="57"/>
  <c r="Y114" i="57"/>
  <c r="Y115" i="57"/>
  <c r="Y116" i="57"/>
  <c r="Y117" i="57"/>
  <c r="Y118" i="57"/>
  <c r="Y119" i="57"/>
  <c r="Y120" i="57"/>
  <c r="Y121" i="57"/>
  <c r="Y122" i="57"/>
  <c r="Y123" i="57"/>
  <c r="Y124" i="57"/>
  <c r="Y125" i="57"/>
  <c r="Y126" i="57"/>
  <c r="Y127" i="57"/>
  <c r="Y128" i="57"/>
  <c r="Y129" i="57"/>
  <c r="Y130" i="57"/>
  <c r="Y131" i="57"/>
  <c r="Y132" i="57"/>
  <c r="Y133" i="57"/>
  <c r="Y134" i="57"/>
  <c r="Y135" i="57"/>
  <c r="Y136" i="57"/>
  <c r="Y137" i="57"/>
  <c r="Y138" i="57"/>
  <c r="Y139" i="57"/>
  <c r="Y140" i="57"/>
  <c r="Y141" i="57"/>
  <c r="Y142" i="57"/>
  <c r="Y143" i="57"/>
  <c r="Y144" i="57"/>
  <c r="Y145" i="57"/>
  <c r="Y146" i="57"/>
  <c r="Y147" i="57"/>
  <c r="Y148" i="57"/>
  <c r="Y149" i="57"/>
  <c r="Y150" i="57"/>
  <c r="Y151" i="57"/>
  <c r="Y152" i="57"/>
  <c r="Y153" i="57"/>
  <c r="Y154" i="57"/>
  <c r="Y155" i="57"/>
  <c r="Y156" i="57"/>
  <c r="Y157" i="57"/>
  <c r="Y158" i="57"/>
  <c r="Y159" i="57"/>
  <c r="Y160" i="57"/>
  <c r="Y161" i="57"/>
  <c r="Y162" i="57"/>
  <c r="Y163" i="57"/>
  <c r="Y164" i="57"/>
  <c r="Y165" i="57"/>
  <c r="Y166" i="57"/>
  <c r="Y167" i="57"/>
  <c r="Y168" i="57"/>
  <c r="Y169" i="57"/>
  <c r="Y170" i="57"/>
  <c r="Y171" i="57"/>
  <c r="Y172" i="57"/>
  <c r="Y173" i="57"/>
  <c r="Y174" i="57"/>
  <c r="Y175" i="57"/>
  <c r="Y176" i="57"/>
  <c r="Y177" i="57"/>
  <c r="Y178" i="57"/>
  <c r="Y179" i="57"/>
  <c r="Y180" i="57"/>
  <c r="Y181" i="57"/>
  <c r="Y182" i="57"/>
  <c r="Y183" i="57"/>
  <c r="Y184" i="57"/>
  <c r="Y185" i="57"/>
  <c r="Y186" i="57"/>
  <c r="Y187" i="57"/>
  <c r="Y188" i="57"/>
  <c r="Y189" i="57"/>
  <c r="Y190" i="57"/>
  <c r="Y191" i="57"/>
  <c r="Y192" i="57"/>
  <c r="Y193" i="57"/>
  <c r="Y194" i="57"/>
  <c r="Y195" i="57"/>
  <c r="Y196" i="57"/>
  <c r="Y197" i="57"/>
  <c r="Y198" i="57"/>
  <c r="Y199" i="57"/>
  <c r="Y200" i="57"/>
  <c r="Y201" i="57"/>
  <c r="Y202" i="57"/>
  <c r="Y203" i="57"/>
  <c r="Y204" i="57"/>
  <c r="Y205" i="57"/>
  <c r="Y206" i="57"/>
  <c r="Y207" i="57"/>
  <c r="Y208" i="57"/>
  <c r="Y209" i="57"/>
  <c r="Y210" i="57"/>
  <c r="Y211" i="57"/>
  <c r="Y212" i="57"/>
  <c r="Y213" i="57"/>
  <c r="Y214" i="57"/>
  <c r="Y215" i="57"/>
  <c r="Y216" i="57"/>
  <c r="Y217" i="57"/>
  <c r="Y218" i="57"/>
  <c r="Y219" i="57"/>
  <c r="Y220" i="57"/>
  <c r="Y221" i="57"/>
  <c r="Y222" i="57"/>
  <c r="Y223" i="57"/>
  <c r="Y224" i="57"/>
  <c r="Y225" i="57"/>
  <c r="Y226" i="57"/>
  <c r="Y227" i="57"/>
  <c r="Y228" i="57"/>
  <c r="Y229" i="57"/>
  <c r="Y230" i="57"/>
  <c r="Y231" i="57"/>
  <c r="Y232" i="57"/>
  <c r="Y233" i="57"/>
  <c r="Y234" i="57"/>
  <c r="Y235" i="57"/>
  <c r="Y236" i="57"/>
  <c r="Y237" i="57"/>
  <c r="Y238" i="57"/>
  <c r="Y239" i="57"/>
  <c r="Y240" i="57"/>
  <c r="Y241" i="57"/>
  <c r="Y242" i="57"/>
  <c r="Y243" i="57"/>
  <c r="Y244" i="57"/>
  <c r="Y245" i="57"/>
  <c r="Y246" i="57"/>
  <c r="Y247" i="57"/>
  <c r="Y248" i="57"/>
  <c r="Y249" i="57"/>
  <c r="Y250" i="57"/>
  <c r="Y251" i="57"/>
  <c r="Y252" i="57"/>
  <c r="Y253" i="57"/>
  <c r="Y254" i="57"/>
  <c r="Y255" i="57"/>
  <c r="Y256" i="57"/>
  <c r="Y257" i="57"/>
  <c r="Y258" i="57"/>
  <c r="Y259" i="57"/>
  <c r="Y260" i="57"/>
  <c r="Y261" i="57"/>
  <c r="Y262" i="57"/>
  <c r="Y263" i="57"/>
  <c r="Y264" i="57"/>
  <c r="Y265" i="57"/>
  <c r="Y266" i="57"/>
  <c r="Y267" i="57"/>
  <c r="Y268" i="57"/>
  <c r="Y269" i="57"/>
  <c r="Y270" i="57"/>
  <c r="Y271" i="57"/>
  <c r="Y272" i="57"/>
  <c r="Y273" i="57"/>
  <c r="Y274" i="57"/>
  <c r="Y275" i="57"/>
  <c r="Y276" i="57"/>
  <c r="Y277" i="57"/>
  <c r="Y278" i="57"/>
  <c r="Y279" i="57"/>
  <c r="Y280" i="57"/>
  <c r="Y281" i="57"/>
  <c r="Y282" i="57"/>
  <c r="Y283" i="57"/>
  <c r="Y284" i="57"/>
  <c r="Y285" i="57"/>
  <c r="Y286" i="57"/>
  <c r="Y287" i="57"/>
  <c r="Y288" i="57"/>
  <c r="Y289" i="57"/>
  <c r="Y290" i="57"/>
  <c r="Y291" i="57"/>
  <c r="Y292" i="57"/>
  <c r="Y293" i="57"/>
  <c r="Y294" i="57"/>
  <c r="Y295" i="57"/>
  <c r="Y296" i="57"/>
  <c r="Y297" i="57"/>
  <c r="Y298" i="57"/>
  <c r="Y299" i="57"/>
  <c r="Y300" i="57"/>
  <c r="Y301" i="57"/>
  <c r="Y302" i="57"/>
  <c r="Y303" i="57"/>
  <c r="Y304" i="57"/>
  <c r="Y305" i="57"/>
  <c r="Y306" i="57"/>
  <c r="Y307" i="57"/>
  <c r="Y308" i="57"/>
  <c r="Y309" i="57"/>
  <c r="Y310" i="57"/>
  <c r="Y311" i="57"/>
  <c r="Y312" i="57"/>
  <c r="Y313" i="57"/>
  <c r="Y314" i="57"/>
  <c r="Y315" i="57"/>
  <c r="Y316" i="57"/>
  <c r="Y317" i="57"/>
  <c r="Y318" i="57"/>
  <c r="Y319" i="57"/>
  <c r="Y320" i="57"/>
  <c r="Y321" i="57"/>
  <c r="Y322" i="57"/>
  <c r="Y323" i="57"/>
  <c r="Y324" i="57"/>
  <c r="Y325" i="57"/>
  <c r="Y326" i="57"/>
  <c r="Y327" i="57"/>
  <c r="Y328" i="57"/>
  <c r="Y329" i="57"/>
  <c r="Y330" i="57"/>
  <c r="Y331" i="57"/>
  <c r="Y332" i="57"/>
  <c r="Y333" i="57"/>
  <c r="Y334" i="57"/>
  <c r="Y335" i="57"/>
  <c r="Y336" i="57"/>
  <c r="Y337" i="57"/>
  <c r="Y338" i="57"/>
  <c r="Y339" i="57"/>
  <c r="Y340" i="57"/>
  <c r="Y341" i="57"/>
  <c r="Y342" i="57"/>
  <c r="Y343" i="57"/>
  <c r="Y344" i="57"/>
  <c r="Y345" i="57"/>
  <c r="Y346" i="57"/>
  <c r="Y347" i="57"/>
  <c r="Y348" i="57"/>
  <c r="Y349" i="57"/>
  <c r="Y350" i="57"/>
  <c r="Y351" i="57"/>
  <c r="Y352" i="57"/>
  <c r="Y353" i="57"/>
  <c r="Y354" i="57"/>
  <c r="Y355" i="57"/>
  <c r="Y356" i="57"/>
  <c r="Y357" i="57"/>
  <c r="Y358" i="57"/>
  <c r="Y359" i="57"/>
  <c r="Y360" i="57"/>
  <c r="Y361" i="57"/>
  <c r="Y362" i="57"/>
  <c r="Y363" i="57"/>
  <c r="Y364" i="57"/>
  <c r="Y365" i="57"/>
  <c r="Y366" i="57"/>
  <c r="Y367" i="57"/>
  <c r="Y368" i="57"/>
  <c r="Y369" i="57"/>
  <c r="Y370" i="57"/>
  <c r="Y371" i="57"/>
  <c r="Y372" i="57"/>
  <c r="Y373" i="57"/>
  <c r="Y374" i="57"/>
  <c r="Y375" i="57"/>
  <c r="Y376" i="57"/>
  <c r="Y377" i="57"/>
  <c r="Y378" i="57"/>
  <c r="Y379" i="57"/>
  <c r="Y380" i="57"/>
  <c r="Y381" i="57"/>
  <c r="Y382" i="57"/>
  <c r="Y383" i="57"/>
  <c r="Y384" i="57"/>
  <c r="Y385" i="57"/>
  <c r="Y386" i="57"/>
  <c r="Y387" i="57"/>
  <c r="Y388" i="57"/>
  <c r="Y389" i="57"/>
  <c r="Y390" i="57"/>
  <c r="Y391" i="57"/>
  <c r="Y392" i="57"/>
  <c r="Y393" i="57"/>
  <c r="Y394" i="57"/>
  <c r="Y395" i="57"/>
  <c r="Y396" i="57"/>
  <c r="Y397" i="57"/>
  <c r="Y398" i="57"/>
  <c r="Y399" i="57"/>
  <c r="Y400" i="57"/>
  <c r="Y401" i="57"/>
  <c r="Y402" i="57"/>
  <c r="Y403" i="57"/>
  <c r="Y404" i="57"/>
  <c r="Y405" i="57"/>
  <c r="Y406" i="57"/>
  <c r="Y407" i="57"/>
  <c r="Y408" i="57"/>
  <c r="Y409" i="57"/>
  <c r="Y410" i="57"/>
  <c r="Y411" i="57"/>
  <c r="Y412" i="57"/>
  <c r="Y413" i="57"/>
  <c r="Y414" i="57"/>
  <c r="Y415" i="57"/>
  <c r="Y416" i="57"/>
  <c r="Y417" i="57"/>
  <c r="Y418" i="57"/>
  <c r="Y419" i="57"/>
  <c r="Y420" i="57"/>
  <c r="Y421" i="57"/>
  <c r="Y422" i="57"/>
  <c r="Y423" i="57"/>
  <c r="Y424" i="57"/>
  <c r="Y425" i="57"/>
  <c r="Y426" i="57"/>
  <c r="Y427" i="57"/>
  <c r="Y428" i="57"/>
  <c r="Y429" i="57"/>
  <c r="Y430" i="57"/>
  <c r="Y431" i="57"/>
  <c r="Y432" i="57"/>
  <c r="Y433" i="57"/>
  <c r="Y434" i="57"/>
  <c r="Y435" i="57"/>
  <c r="Y436" i="57"/>
  <c r="Y437" i="57"/>
  <c r="Y438" i="57"/>
  <c r="Y439" i="57"/>
  <c r="Y440" i="57"/>
  <c r="Y441" i="57"/>
  <c r="Y442" i="57"/>
  <c r="Y443" i="57"/>
  <c r="Y444" i="57"/>
  <c r="Y445" i="57"/>
  <c r="Y446" i="57"/>
  <c r="Y447" i="57"/>
  <c r="Y448" i="57"/>
  <c r="Y449" i="57"/>
  <c r="Y450" i="57"/>
  <c r="Y451" i="57"/>
  <c r="Y452" i="57"/>
  <c r="Y453" i="57"/>
  <c r="Y454" i="57"/>
  <c r="Y455" i="57"/>
  <c r="Y456" i="57"/>
  <c r="Y457" i="57"/>
  <c r="Y458" i="57"/>
  <c r="Y459" i="57"/>
  <c r="Y460" i="57"/>
  <c r="Y461" i="57"/>
  <c r="Y462" i="57"/>
  <c r="Y463" i="57"/>
  <c r="Y464" i="57"/>
  <c r="Y465" i="57"/>
  <c r="Y466" i="57"/>
  <c r="Y467" i="57"/>
  <c r="Y468" i="57"/>
  <c r="Y469" i="57"/>
  <c r="Y470" i="57"/>
  <c r="Y471" i="57"/>
  <c r="Y472" i="57"/>
  <c r="Y473" i="57"/>
  <c r="Y474" i="57"/>
  <c r="Y475" i="57"/>
  <c r="Y476" i="57"/>
  <c r="Y477" i="57"/>
  <c r="Y478" i="57"/>
  <c r="Y479" i="57"/>
  <c r="Y480" i="57"/>
  <c r="Y481" i="57"/>
  <c r="Y482" i="57"/>
  <c r="Y483" i="57"/>
  <c r="Y484" i="57"/>
  <c r="Y485" i="57"/>
  <c r="Y486" i="57"/>
  <c r="Y487" i="57"/>
  <c r="Y488" i="57"/>
  <c r="Y489" i="57"/>
  <c r="Y490" i="57"/>
  <c r="Y491" i="57"/>
  <c r="Y492" i="57"/>
  <c r="Y493" i="57"/>
  <c r="Y494" i="57"/>
  <c r="Y495" i="57"/>
  <c r="Y496" i="57"/>
  <c r="Y497" i="57"/>
  <c r="Y498" i="57"/>
  <c r="Y499" i="57"/>
  <c r="Y500" i="57"/>
  <c r="Y501" i="57"/>
  <c r="Y502" i="57"/>
  <c r="Y503" i="57"/>
  <c r="Y504" i="57"/>
  <c r="Y505" i="57"/>
  <c r="Y506" i="57"/>
  <c r="Y507" i="57"/>
  <c r="Y508" i="57"/>
  <c r="Y509" i="57"/>
  <c r="Y510" i="57"/>
  <c r="Y511" i="57"/>
  <c r="Y512" i="57"/>
  <c r="Y513" i="57"/>
  <c r="Y514" i="57"/>
  <c r="Y515" i="57"/>
  <c r="Y516" i="57"/>
  <c r="Y517" i="57"/>
  <c r="Y518" i="57"/>
  <c r="Y519" i="57"/>
  <c r="Y520" i="57"/>
  <c r="Y521" i="57"/>
  <c r="Y522" i="57"/>
  <c r="Y523" i="57"/>
  <c r="Y524" i="57"/>
  <c r="Y525" i="57"/>
  <c r="Y526" i="57"/>
  <c r="Y527" i="57"/>
  <c r="Y528" i="57"/>
  <c r="Y529" i="57"/>
  <c r="Y530" i="57"/>
  <c r="Y531" i="57"/>
  <c r="Y532" i="57"/>
  <c r="Y533" i="57"/>
  <c r="Y534" i="57"/>
  <c r="Y535" i="57"/>
  <c r="Y536" i="57"/>
  <c r="Y537" i="57"/>
  <c r="Y538" i="57"/>
  <c r="Y539" i="57"/>
  <c r="Y540" i="57"/>
  <c r="Y541" i="57"/>
  <c r="Y542" i="57"/>
  <c r="Y543" i="57"/>
  <c r="Y544" i="57"/>
  <c r="Y545" i="57"/>
  <c r="Y546" i="57"/>
  <c r="Y547" i="57"/>
  <c r="Y548" i="57"/>
  <c r="Y549" i="57"/>
  <c r="Y550" i="57"/>
  <c r="Y551" i="57"/>
  <c r="Y552" i="57"/>
  <c r="Y553" i="57"/>
  <c r="Y554" i="57"/>
  <c r="Y555" i="57"/>
  <c r="Y556" i="57"/>
  <c r="Y557" i="57"/>
  <c r="Y558" i="57"/>
  <c r="Y559" i="57"/>
  <c r="Y560" i="57"/>
  <c r="Y561" i="57"/>
  <c r="Y562" i="57"/>
  <c r="Y563" i="57"/>
  <c r="Y564" i="57"/>
  <c r="Y565" i="57"/>
  <c r="Y566" i="57"/>
  <c r="Y567" i="57"/>
  <c r="Y568" i="57"/>
  <c r="Y569" i="57"/>
  <c r="Y570" i="57"/>
  <c r="Y571" i="57"/>
  <c r="Y572" i="57"/>
  <c r="Y573" i="57"/>
  <c r="Y574" i="57"/>
  <c r="Y575" i="57"/>
  <c r="Y576" i="57"/>
  <c r="Y577" i="57"/>
  <c r="Y578" i="57"/>
  <c r="Y579" i="57"/>
  <c r="Y580" i="57"/>
  <c r="Y581" i="57"/>
  <c r="Y582" i="57"/>
  <c r="Y583" i="57"/>
  <c r="Y584" i="57"/>
  <c r="Y585" i="57"/>
  <c r="Y586" i="57"/>
  <c r="Y587" i="57"/>
  <c r="Y588" i="57"/>
  <c r="Y589" i="57"/>
  <c r="Y590" i="57"/>
  <c r="Y591" i="57"/>
  <c r="Y592" i="57"/>
  <c r="Y593" i="57"/>
  <c r="Y594" i="57"/>
  <c r="Y595" i="57"/>
  <c r="Y596" i="57"/>
  <c r="Y597" i="57"/>
  <c r="Y598" i="57"/>
  <c r="Y599" i="57"/>
  <c r="Y600" i="57"/>
  <c r="Y601" i="57"/>
  <c r="Y602" i="57"/>
  <c r="Y603" i="57"/>
  <c r="Y604" i="57"/>
  <c r="Y605" i="57"/>
  <c r="Y606" i="57"/>
  <c r="Y607" i="57"/>
  <c r="Y608" i="57"/>
  <c r="Y609" i="57"/>
  <c r="Y610" i="57"/>
  <c r="Y611" i="57"/>
  <c r="Y612" i="57"/>
  <c r="Y613" i="57"/>
  <c r="Y614" i="57"/>
  <c r="Y615" i="57"/>
  <c r="Y616" i="57"/>
  <c r="Y617" i="57"/>
  <c r="Y618" i="57"/>
  <c r="Y619" i="57"/>
  <c r="Y620" i="57"/>
  <c r="Y621" i="57"/>
  <c r="Y622" i="57"/>
  <c r="Y623" i="57"/>
  <c r="Y624" i="57"/>
  <c r="Y625" i="57"/>
  <c r="Y626" i="57"/>
  <c r="Y627" i="57"/>
  <c r="Y628" i="57"/>
  <c r="Y629" i="57"/>
  <c r="Y630" i="57"/>
  <c r="Y631" i="57"/>
  <c r="Y632" i="57"/>
  <c r="Y633" i="57"/>
  <c r="Y634" i="57"/>
  <c r="Y635" i="57"/>
  <c r="Y636" i="57"/>
  <c r="Y637" i="57"/>
  <c r="Y638" i="57"/>
  <c r="Y639" i="57"/>
  <c r="Y640" i="57"/>
  <c r="Y641" i="57"/>
  <c r="Y642" i="57"/>
  <c r="Y643" i="57"/>
  <c r="Y644" i="57"/>
  <c r="Y645" i="57"/>
  <c r="Y646" i="57"/>
  <c r="Y647" i="57"/>
  <c r="Y648" i="57"/>
  <c r="Y649" i="57"/>
  <c r="Y650" i="57"/>
  <c r="Y651" i="57"/>
  <c r="Y652" i="57"/>
  <c r="Y653" i="57"/>
  <c r="Y654" i="57"/>
  <c r="Y655" i="57"/>
  <c r="Y656" i="57"/>
  <c r="Y657" i="57"/>
  <c r="Y658" i="57"/>
  <c r="Y659" i="57"/>
  <c r="Y660" i="57"/>
  <c r="Y661" i="57"/>
  <c r="Y662" i="57"/>
  <c r="Y663" i="57"/>
  <c r="Y664" i="57"/>
  <c r="Y665" i="57"/>
  <c r="Y666" i="57"/>
  <c r="Y667" i="57"/>
  <c r="Y668" i="57"/>
  <c r="Y669" i="57"/>
  <c r="Y670" i="57"/>
  <c r="Y671" i="57"/>
  <c r="Y672" i="57"/>
  <c r="Y673" i="57"/>
  <c r="Y674" i="57"/>
  <c r="Y675" i="57"/>
  <c r="Y676" i="57"/>
  <c r="Y677" i="57"/>
  <c r="Y678" i="57"/>
  <c r="Y679" i="57"/>
  <c r="Y680" i="57"/>
  <c r="Y681" i="57"/>
  <c r="Y682" i="57"/>
  <c r="Y683" i="57"/>
  <c r="Y684" i="57"/>
  <c r="Y685" i="57"/>
  <c r="Y686" i="57"/>
  <c r="Y687" i="57"/>
  <c r="Y688" i="57"/>
  <c r="Y689" i="57"/>
  <c r="Y690" i="57"/>
  <c r="Y691" i="57"/>
  <c r="Y692" i="57"/>
  <c r="Y693" i="57"/>
  <c r="Y694" i="57"/>
  <c r="Y695" i="57"/>
  <c r="Y696" i="57"/>
  <c r="Y697" i="57"/>
  <c r="Y698" i="57"/>
  <c r="Y699" i="57"/>
  <c r="Y700" i="57"/>
  <c r="Y701" i="57"/>
  <c r="Y702" i="57"/>
  <c r="Y703" i="57"/>
  <c r="Y704" i="57"/>
  <c r="Y705" i="57"/>
  <c r="Y706" i="57"/>
  <c r="Y707" i="57"/>
  <c r="Y708" i="57"/>
  <c r="Y709" i="57"/>
  <c r="Y710" i="57"/>
  <c r="Y711" i="57"/>
  <c r="Y712" i="57"/>
  <c r="Y713" i="57"/>
  <c r="Y714" i="57"/>
  <c r="Y715" i="57"/>
  <c r="Y716" i="57"/>
  <c r="Y717" i="57"/>
  <c r="Y718" i="57"/>
  <c r="Y719" i="57"/>
  <c r="Y720" i="57"/>
  <c r="Y721" i="57"/>
  <c r="Y722" i="57"/>
  <c r="Y723" i="57"/>
  <c r="Y724" i="57"/>
  <c r="Y725" i="57"/>
  <c r="Y726" i="57"/>
  <c r="Y727" i="57"/>
  <c r="Y728" i="57"/>
  <c r="Y729" i="57"/>
  <c r="Y730" i="57"/>
  <c r="Y731" i="57"/>
  <c r="Y732" i="57"/>
  <c r="Y733" i="57"/>
  <c r="Y734" i="57"/>
  <c r="Y735" i="57"/>
  <c r="Y736" i="57"/>
  <c r="Y737" i="57"/>
  <c r="Y738" i="57"/>
  <c r="Y739" i="57"/>
  <c r="Y740" i="57"/>
  <c r="Y741" i="57"/>
  <c r="Y742" i="57"/>
  <c r="Y743" i="57"/>
  <c r="Y744" i="57"/>
  <c r="Y745" i="57"/>
  <c r="Y746" i="57"/>
  <c r="Y747" i="57"/>
  <c r="Y748" i="57"/>
  <c r="Y749" i="57"/>
  <c r="Y750" i="57"/>
  <c r="Y751" i="57"/>
  <c r="Y752" i="57"/>
  <c r="Y753" i="57"/>
  <c r="Y754" i="57"/>
  <c r="Y755" i="57"/>
  <c r="Y756" i="57"/>
  <c r="Y757" i="57"/>
  <c r="Y758" i="57"/>
  <c r="Y759" i="57"/>
  <c r="Y760" i="57"/>
  <c r="Y761" i="57"/>
  <c r="Y762" i="57"/>
  <c r="Y763" i="57"/>
  <c r="Y764" i="57"/>
  <c r="Y765" i="57"/>
  <c r="Y766" i="57"/>
  <c r="Y767" i="57"/>
  <c r="Y768" i="57"/>
  <c r="Y769" i="57"/>
  <c r="Y770" i="57"/>
  <c r="Y771" i="57"/>
  <c r="Y772" i="57"/>
  <c r="Y773" i="57"/>
  <c r="Y774" i="57"/>
  <c r="Y775" i="57"/>
  <c r="Y776" i="57"/>
  <c r="Y777" i="57"/>
  <c r="Y778" i="57"/>
  <c r="Y779" i="57"/>
  <c r="Y780" i="57"/>
  <c r="Y781" i="57"/>
  <c r="Y782" i="57"/>
  <c r="Y783" i="57"/>
  <c r="Y784" i="57"/>
  <c r="Y785" i="57"/>
  <c r="Y786" i="57"/>
  <c r="Y787" i="57"/>
  <c r="Y788" i="57"/>
  <c r="Y789" i="57"/>
  <c r="Y790" i="57"/>
  <c r="Y791" i="57"/>
  <c r="Y792" i="57"/>
  <c r="Y793" i="57"/>
  <c r="Y794" i="57"/>
  <c r="Y795" i="57"/>
  <c r="Y796" i="57"/>
  <c r="Y797" i="57"/>
  <c r="Y798" i="57"/>
  <c r="Y799" i="57"/>
  <c r="Y800" i="57"/>
  <c r="Y801" i="57"/>
  <c r="Y802" i="57"/>
  <c r="Y803" i="57"/>
  <c r="Y804" i="57"/>
  <c r="Y805" i="57"/>
  <c r="Y806" i="57"/>
  <c r="Y807" i="57"/>
  <c r="Y808" i="57"/>
  <c r="Y809" i="57"/>
  <c r="Y810" i="57"/>
  <c r="Y811" i="57"/>
  <c r="Y812" i="57"/>
  <c r="Y813" i="57"/>
  <c r="Y814" i="57"/>
  <c r="Y815" i="57"/>
  <c r="Y816" i="57"/>
  <c r="Y817" i="57"/>
  <c r="Y818" i="57"/>
  <c r="Y819" i="57"/>
  <c r="Y820" i="57"/>
  <c r="Y821" i="57"/>
  <c r="Y822" i="57"/>
  <c r="Y823" i="57"/>
  <c r="Y824" i="57"/>
  <c r="Y825" i="57"/>
  <c r="Y826" i="57"/>
  <c r="Y827" i="57"/>
  <c r="Y828" i="57"/>
  <c r="Y829" i="57"/>
  <c r="Y830" i="57"/>
  <c r="Y831" i="57"/>
  <c r="Y832" i="57"/>
  <c r="Y833" i="57"/>
  <c r="Y834" i="57"/>
  <c r="Y835" i="57"/>
  <c r="Y836" i="57"/>
  <c r="Y837" i="57"/>
  <c r="Y838" i="57"/>
  <c r="Y839" i="57"/>
  <c r="Y840" i="57"/>
  <c r="Y841" i="57"/>
  <c r="Y842" i="57"/>
  <c r="Y843" i="57"/>
  <c r="Y844" i="57"/>
  <c r="Y845" i="57"/>
  <c r="Y846" i="57"/>
  <c r="Y847" i="57"/>
  <c r="Y848" i="57"/>
  <c r="Y849" i="57"/>
  <c r="Y850" i="57"/>
  <c r="Y851" i="57"/>
  <c r="Y852" i="57"/>
  <c r="Y853" i="57"/>
  <c r="Y854" i="57"/>
  <c r="Y855" i="57"/>
  <c r="Y856" i="57"/>
  <c r="Y857" i="57"/>
  <c r="Y858" i="57"/>
  <c r="Y859" i="57"/>
  <c r="Y860" i="57"/>
  <c r="Y861" i="57"/>
  <c r="Y862" i="57"/>
  <c r="Y863" i="57"/>
  <c r="Y864" i="57"/>
  <c r="Y865" i="57"/>
  <c r="Y866" i="57"/>
  <c r="Y867" i="57"/>
  <c r="Y868" i="57"/>
  <c r="Y869" i="57"/>
  <c r="Y870" i="57"/>
  <c r="Y871" i="57"/>
  <c r="Y872" i="57"/>
  <c r="Y873" i="57"/>
  <c r="Y874" i="57"/>
  <c r="Y875" i="57"/>
  <c r="Y876" i="57"/>
  <c r="Y877" i="57"/>
  <c r="Y878" i="57"/>
  <c r="Y879" i="57"/>
  <c r="Y880" i="57"/>
  <c r="Y881" i="57"/>
  <c r="Y882" i="57"/>
  <c r="Y883" i="57"/>
  <c r="Y884" i="57"/>
  <c r="Y885" i="57"/>
  <c r="Y886" i="57"/>
  <c r="Y887" i="57"/>
  <c r="Y888" i="57"/>
  <c r="Y889" i="57"/>
  <c r="Y890" i="57"/>
  <c r="Y891" i="57"/>
  <c r="Y892" i="57"/>
  <c r="Y893" i="57"/>
  <c r="Y894" i="57"/>
  <c r="Y895" i="57"/>
  <c r="Y896" i="57"/>
  <c r="Y897" i="57"/>
  <c r="Y898" i="57"/>
  <c r="Y899" i="57"/>
  <c r="Y900" i="57"/>
  <c r="Y901" i="57"/>
  <c r="Y902" i="57"/>
  <c r="Y903" i="57"/>
  <c r="Y904" i="57"/>
  <c r="Y905" i="57"/>
  <c r="Y906" i="57"/>
  <c r="Y907" i="57"/>
  <c r="Y908" i="57"/>
  <c r="Y909" i="57"/>
  <c r="Y910" i="57"/>
  <c r="Y911" i="57"/>
  <c r="Y912" i="57"/>
  <c r="Y913" i="57"/>
  <c r="Y914" i="57"/>
  <c r="Y915" i="57"/>
  <c r="Y916" i="57"/>
  <c r="Y917" i="57"/>
  <c r="Y918" i="57"/>
  <c r="Y919" i="57"/>
  <c r="Y920" i="57"/>
  <c r="Y921" i="57"/>
  <c r="Y922" i="57"/>
  <c r="Y923" i="57"/>
  <c r="Y924" i="57"/>
  <c r="Y925" i="57"/>
  <c r="Y926" i="57"/>
  <c r="Y927" i="57"/>
  <c r="Y928" i="57"/>
  <c r="Y929" i="57"/>
  <c r="Y930" i="57"/>
  <c r="Y931" i="57"/>
  <c r="Y932" i="57"/>
  <c r="Y933" i="57"/>
  <c r="Y934" i="57"/>
  <c r="Y935" i="57"/>
  <c r="Y936" i="57"/>
  <c r="Y937" i="57"/>
  <c r="Y938" i="57"/>
  <c r="Y939" i="57"/>
  <c r="Y940" i="57"/>
  <c r="Y941" i="57"/>
  <c r="Y942" i="57"/>
  <c r="Y943" i="57"/>
  <c r="Y944" i="57"/>
  <c r="Y945" i="57"/>
  <c r="Y946" i="57"/>
  <c r="Y947" i="57"/>
  <c r="Y948" i="57"/>
  <c r="Y949" i="57"/>
  <c r="Y950" i="57"/>
  <c r="Y951" i="57"/>
  <c r="Y952" i="57"/>
  <c r="Y953" i="57"/>
  <c r="Y954" i="57"/>
  <c r="Y955" i="57"/>
  <c r="Y956" i="57"/>
  <c r="Y957" i="57"/>
  <c r="Y958" i="57"/>
  <c r="Y959" i="57"/>
  <c r="Y960" i="57"/>
  <c r="Y961" i="57"/>
  <c r="Y962" i="57"/>
  <c r="Y963" i="57"/>
  <c r="Y964" i="57"/>
  <c r="Y965" i="57"/>
  <c r="Y966" i="57"/>
  <c r="Y967" i="57"/>
  <c r="Y968" i="57"/>
  <c r="Y969" i="57"/>
  <c r="Y970" i="57"/>
  <c r="Y971" i="57"/>
  <c r="Y972" i="57"/>
  <c r="Y973" i="57"/>
  <c r="Y974" i="57"/>
  <c r="Y975" i="57"/>
  <c r="Y976" i="57"/>
  <c r="Y977" i="57"/>
  <c r="Y978" i="57"/>
  <c r="Y979" i="57"/>
  <c r="Y980" i="57"/>
  <c r="Y981" i="57"/>
  <c r="Y982" i="57"/>
  <c r="Y983" i="57"/>
  <c r="Y984" i="57"/>
  <c r="Y985" i="57"/>
  <c r="Y986" i="57"/>
  <c r="Y987" i="57"/>
  <c r="Y988" i="57"/>
  <c r="Y989" i="57"/>
  <c r="Y990" i="57"/>
  <c r="Y991" i="57"/>
  <c r="Y992" i="57"/>
  <c r="Y993" i="57"/>
  <c r="Y994" i="57"/>
  <c r="Y995" i="57"/>
  <c r="Y996" i="57"/>
  <c r="Y997" i="57"/>
  <c r="Y998" i="57"/>
  <c r="Y999" i="57"/>
  <c r="Y1000" i="57"/>
  <c r="Y1001" i="57"/>
  <c r="Y1002" i="57"/>
  <c r="Y1003" i="57"/>
  <c r="Y1004" i="57"/>
  <c r="Y1005" i="57"/>
  <c r="Y1006" i="57"/>
  <c r="Y1007" i="57"/>
  <c r="Y1008" i="57"/>
  <c r="Y1009" i="57"/>
  <c r="Y1010" i="57"/>
  <c r="Y1011" i="57"/>
  <c r="Y1012" i="57"/>
  <c r="Y1013" i="57"/>
  <c r="Y1014" i="57"/>
  <c r="Y1015" i="57"/>
  <c r="Y1016" i="57"/>
  <c r="Y1017" i="57"/>
  <c r="Y1018" i="57"/>
  <c r="Y1019" i="57"/>
  <c r="Y1020" i="57"/>
  <c r="Y1021" i="57"/>
  <c r="Y1022" i="57"/>
  <c r="Y1023" i="57"/>
  <c r="Y1024" i="57"/>
  <c r="Y1025" i="57"/>
  <c r="Y1026" i="57"/>
  <c r="Y1027" i="57"/>
  <c r="Y1028" i="57"/>
  <c r="Y1029" i="57"/>
  <c r="Y1030" i="57"/>
  <c r="Y1031" i="57"/>
  <c r="Y1032" i="57"/>
  <c r="Y1033" i="57"/>
  <c r="Y1034" i="57"/>
  <c r="Y1035" i="57"/>
  <c r="Y1036" i="57"/>
  <c r="Y1037" i="57"/>
  <c r="Y1038" i="57"/>
  <c r="Y1039" i="57"/>
  <c r="Y1040" i="57"/>
  <c r="Y1041" i="57"/>
  <c r="Y1042" i="57"/>
  <c r="Y1043" i="57"/>
  <c r="Y1044" i="57"/>
  <c r="Y1045" i="57"/>
  <c r="Y1046" i="57"/>
  <c r="Y1047" i="57"/>
  <c r="Y1048" i="57"/>
  <c r="Y1049" i="57"/>
  <c r="Y1050" i="57"/>
  <c r="Y1051" i="57"/>
  <c r="Y1052" i="57"/>
  <c r="Y1053" i="57"/>
  <c r="Y1054" i="57"/>
  <c r="Y1055" i="57"/>
  <c r="Y1056" i="57"/>
  <c r="Y1057" i="57"/>
  <c r="Y1058" i="57"/>
  <c r="Y1059" i="57"/>
  <c r="Y1060" i="57"/>
  <c r="Y1061" i="57"/>
  <c r="Y1062" i="57"/>
  <c r="Y1063" i="57"/>
  <c r="Y1064" i="57"/>
  <c r="Y1065" i="57"/>
  <c r="Y1066" i="57"/>
  <c r="Y1067" i="57"/>
  <c r="Y1068" i="57"/>
  <c r="Y1069" i="57"/>
  <c r="Y1070" i="57"/>
  <c r="Y1071" i="57"/>
  <c r="Y1072" i="57"/>
  <c r="Y1073" i="57"/>
  <c r="Y1074" i="57"/>
  <c r="Y1075" i="57"/>
  <c r="Y1076" i="57"/>
  <c r="Y1077" i="57"/>
  <c r="Y1078" i="57"/>
  <c r="Y1079" i="57"/>
  <c r="Y1080" i="57"/>
  <c r="Y1081" i="57"/>
  <c r="Y1082" i="57"/>
  <c r="Y1083" i="57"/>
  <c r="Y1084" i="57"/>
  <c r="Y1085" i="57"/>
  <c r="Y1086" i="57"/>
  <c r="Y1087" i="57"/>
  <c r="Y1088" i="57"/>
  <c r="Y1089" i="57"/>
  <c r="Y1090" i="57"/>
  <c r="Y1091" i="57"/>
  <c r="Y1092" i="57"/>
  <c r="Y1093" i="57"/>
  <c r="Y1094" i="57"/>
  <c r="Y1095" i="57"/>
  <c r="Y1096" i="57"/>
  <c r="Y1097" i="57"/>
  <c r="Y1098" i="57"/>
  <c r="Y1099" i="57"/>
  <c r="Y1100" i="57"/>
  <c r="Y1101" i="57"/>
  <c r="Y1102" i="57"/>
  <c r="Y1103" i="57"/>
  <c r="Y1104" i="57"/>
  <c r="Y1105" i="57"/>
  <c r="Y1106" i="57"/>
  <c r="Y1107" i="57"/>
  <c r="Y1108" i="57"/>
  <c r="Y1109" i="57"/>
  <c r="Y1110" i="57"/>
  <c r="Y1111" i="57"/>
  <c r="Y1112" i="57"/>
  <c r="Y1113" i="57"/>
  <c r="Y1114" i="57"/>
  <c r="Y1115" i="57"/>
  <c r="Y1116" i="57"/>
  <c r="Y1117" i="57"/>
  <c r="Y1118" i="57"/>
  <c r="Y1119" i="57"/>
  <c r="Y1120" i="57"/>
  <c r="Y1121" i="57"/>
  <c r="Y1122" i="57"/>
  <c r="Y1123" i="57"/>
  <c r="Y1124" i="57"/>
  <c r="Y1125" i="57"/>
  <c r="Y1126" i="57"/>
  <c r="Y1127" i="57"/>
  <c r="Y1128" i="57"/>
  <c r="Y1129" i="57"/>
  <c r="Y1130" i="57"/>
  <c r="Y1131" i="57"/>
  <c r="Y1132" i="57"/>
  <c r="Y1133" i="57"/>
  <c r="Y1134" i="57"/>
  <c r="Y1135" i="57"/>
  <c r="Y1136" i="57"/>
  <c r="Y1137" i="57"/>
  <c r="Y1138" i="57"/>
  <c r="Y1139" i="57"/>
  <c r="Y1140" i="57"/>
  <c r="Y1141" i="57"/>
  <c r="Y1142" i="57"/>
  <c r="Y1143" i="57"/>
  <c r="Y1144" i="57"/>
  <c r="Y1145" i="57"/>
  <c r="Y1146" i="57"/>
  <c r="Y1147" i="57"/>
  <c r="Y1148" i="57"/>
  <c r="Y1149" i="57"/>
  <c r="Y1150" i="57"/>
  <c r="Y1151" i="57"/>
  <c r="Y1152" i="57"/>
  <c r="Y1153" i="57"/>
  <c r="Y1154" i="57"/>
  <c r="Y1155" i="57"/>
  <c r="Y1156" i="57"/>
  <c r="Y1157" i="57"/>
  <c r="Y1158" i="57"/>
  <c r="Y1159" i="57"/>
  <c r="Y1160" i="57"/>
  <c r="Y1161" i="57"/>
  <c r="Y1162" i="57"/>
  <c r="Y1163" i="57"/>
  <c r="Y1164" i="57"/>
  <c r="Y1165" i="57"/>
  <c r="Y1166" i="57"/>
  <c r="Y1167" i="57"/>
  <c r="Y1168" i="57"/>
  <c r="Y1169" i="57"/>
  <c r="Y1170" i="57"/>
  <c r="Y1171" i="57"/>
  <c r="Y1172" i="57"/>
  <c r="Y1173" i="57"/>
  <c r="Y1174" i="57"/>
  <c r="Y1175" i="57"/>
  <c r="Y1176" i="57"/>
  <c r="Y1177" i="57"/>
  <c r="Y1178" i="57"/>
  <c r="Y1179" i="57"/>
  <c r="Y1180" i="57"/>
  <c r="Y1181" i="57"/>
  <c r="Y1182" i="57"/>
  <c r="Y1183" i="57"/>
  <c r="Y1184" i="57"/>
  <c r="Y1185" i="57"/>
  <c r="Y1186" i="57"/>
  <c r="Y1187" i="57"/>
  <c r="Y1188" i="57"/>
  <c r="Y1189" i="57"/>
  <c r="Y1190" i="57"/>
  <c r="Y1191" i="57"/>
  <c r="Y1192" i="57"/>
  <c r="Y1193" i="57"/>
  <c r="Y1194" i="57"/>
  <c r="Y1195" i="57"/>
  <c r="Y1196" i="57"/>
  <c r="Y1197" i="57"/>
  <c r="Y1198" i="57"/>
  <c r="Y1199" i="57"/>
  <c r="Y1200" i="57"/>
  <c r="Y1201" i="57"/>
  <c r="Y1202" i="57"/>
  <c r="Y1203" i="57"/>
  <c r="Y1204" i="57"/>
  <c r="Y1205" i="57"/>
  <c r="Y1206" i="57"/>
  <c r="Y1207" i="57"/>
  <c r="Y1208" i="57"/>
  <c r="Y1209" i="57"/>
  <c r="Y1210" i="57"/>
  <c r="Y1211" i="57"/>
  <c r="Y1212" i="57"/>
  <c r="Y1213" i="57"/>
  <c r="Y1214" i="57"/>
  <c r="Y1215" i="57"/>
  <c r="Y1216" i="57"/>
  <c r="Y1217" i="57"/>
  <c r="Y1218" i="57"/>
  <c r="Y1219" i="57"/>
  <c r="Y1220" i="57"/>
  <c r="Y1221" i="57"/>
  <c r="Y1222" i="57"/>
  <c r="Y1223" i="57"/>
  <c r="Y1224" i="57"/>
  <c r="Y1225" i="57"/>
  <c r="Y1226" i="57"/>
  <c r="Y1227" i="57"/>
  <c r="Y1228" i="57"/>
  <c r="Y1229" i="57"/>
  <c r="Y1230" i="57"/>
  <c r="Y1231" i="57"/>
  <c r="Y1232" i="57"/>
  <c r="Y1233" i="57"/>
  <c r="Y1234" i="57"/>
  <c r="Y1235" i="57"/>
  <c r="Y1236" i="57"/>
  <c r="Y1237" i="57"/>
  <c r="Y1238" i="57"/>
  <c r="Y1239" i="57"/>
  <c r="Y1240" i="57"/>
  <c r="Y1241" i="57"/>
  <c r="Y1242" i="57"/>
  <c r="Y1243" i="57"/>
  <c r="Y1244" i="57"/>
  <c r="Y1245" i="57"/>
  <c r="Y1246" i="57"/>
  <c r="Y1247" i="57"/>
  <c r="Y1248" i="57"/>
  <c r="Y1249" i="57"/>
  <c r="Y1250" i="57"/>
  <c r="Y1251" i="57"/>
  <c r="Y1252" i="57"/>
  <c r="Y1253" i="57"/>
  <c r="Y1254" i="57"/>
  <c r="Y1255" i="57"/>
  <c r="Y1256" i="57"/>
  <c r="Y1257" i="57"/>
  <c r="Y1258" i="57"/>
  <c r="Y1259" i="57"/>
  <c r="Y1260" i="57"/>
  <c r="Y1261" i="57"/>
  <c r="Y1262" i="57"/>
  <c r="Y1263" i="57"/>
  <c r="Y1264" i="57"/>
  <c r="Y1265" i="57"/>
  <c r="Y1266" i="57"/>
  <c r="Y1267" i="57"/>
  <c r="Y1268" i="57"/>
  <c r="Y1269" i="57"/>
  <c r="Y1270" i="57"/>
  <c r="Y1271" i="57"/>
  <c r="Y1272" i="57"/>
  <c r="Y1273" i="57"/>
  <c r="Y1274" i="57"/>
  <c r="Y1275" i="57"/>
  <c r="Y1276" i="57"/>
  <c r="Y1277" i="57"/>
  <c r="Y1278" i="57"/>
  <c r="Y1279" i="57"/>
  <c r="Y1280" i="57"/>
  <c r="Y1281" i="57"/>
  <c r="Y1282" i="57"/>
  <c r="Y1283" i="57"/>
  <c r="Y1284" i="57"/>
  <c r="Y1285" i="57"/>
  <c r="Y1286" i="57"/>
  <c r="Y1287" i="57"/>
  <c r="Y1288" i="57"/>
  <c r="Y1289" i="57"/>
  <c r="Y1290" i="57"/>
  <c r="Y1291" i="57"/>
  <c r="Y1292" i="57"/>
  <c r="Y1293" i="57"/>
  <c r="Y1294" i="57"/>
  <c r="Y1295" i="57"/>
  <c r="Y1296" i="57"/>
  <c r="Y1297" i="57"/>
  <c r="Y1298" i="57"/>
  <c r="Y1299" i="57"/>
  <c r="Y1300" i="57"/>
  <c r="Y1301" i="57"/>
  <c r="Y1302" i="57"/>
  <c r="Y1303" i="57"/>
  <c r="Y1304" i="57"/>
  <c r="Y1305" i="57"/>
  <c r="Y1306" i="57"/>
  <c r="Y1307" i="57"/>
  <c r="Y1308" i="57"/>
  <c r="Y1309" i="57"/>
  <c r="Y1310" i="57"/>
  <c r="Y1311" i="57"/>
  <c r="Y1312" i="57"/>
  <c r="Y1313" i="57"/>
  <c r="Y1314" i="57"/>
  <c r="Y1315" i="57"/>
  <c r="Y1316" i="57"/>
  <c r="Y1317" i="57"/>
  <c r="Y1318" i="57"/>
  <c r="Y1319" i="57"/>
  <c r="Y1320" i="57"/>
  <c r="Y1321" i="57"/>
  <c r="Y1322" i="57"/>
  <c r="Y1323" i="57"/>
  <c r="Y1324" i="57"/>
  <c r="Y1325" i="57"/>
  <c r="Y1326" i="57"/>
  <c r="Y1327" i="57"/>
  <c r="Y1328" i="57"/>
  <c r="Y1329" i="57"/>
  <c r="Y1330" i="57"/>
  <c r="Y1331" i="57"/>
  <c r="Y1332" i="57"/>
  <c r="Y1333" i="57"/>
  <c r="Y1334" i="57"/>
  <c r="Y1335" i="57"/>
  <c r="Y1336" i="57"/>
  <c r="Y1337" i="57"/>
  <c r="Y1338" i="57"/>
  <c r="Y1339" i="57"/>
  <c r="Y1340" i="57"/>
  <c r="Y1341" i="57"/>
  <c r="Y1342" i="57"/>
  <c r="Y1343" i="57"/>
  <c r="Y1344" i="57"/>
  <c r="Y1345" i="57"/>
  <c r="Y1346" i="57"/>
  <c r="Y1347" i="57"/>
  <c r="Y1348" i="57"/>
  <c r="Y1349" i="57"/>
  <c r="Y1350" i="57"/>
  <c r="Y1351" i="57"/>
  <c r="Y1352" i="57"/>
  <c r="Y1353" i="57"/>
  <c r="Y1354" i="57"/>
  <c r="Y1355" i="57"/>
  <c r="Y1356" i="57"/>
  <c r="Y1357" i="57"/>
  <c r="Y1358" i="57"/>
  <c r="Y1359" i="57"/>
  <c r="Y1360" i="57"/>
  <c r="Y1361" i="57"/>
  <c r="Y1362" i="57"/>
  <c r="Y1363" i="57"/>
  <c r="Y1364" i="57"/>
  <c r="Y1365" i="57"/>
  <c r="Y1366" i="57"/>
  <c r="Y1367" i="57"/>
  <c r="Y1368" i="57"/>
  <c r="Y1369" i="57"/>
  <c r="Y1370" i="57"/>
  <c r="Y1371" i="57"/>
  <c r="Y1372" i="57"/>
  <c r="Y1373" i="57"/>
  <c r="Y1374" i="57"/>
  <c r="Y1375" i="57"/>
  <c r="Y1376" i="57"/>
  <c r="Y1377" i="57"/>
  <c r="Y1378" i="57"/>
  <c r="Y1379" i="57"/>
  <c r="Y1380" i="57"/>
  <c r="Y1381" i="57"/>
  <c r="Y1382" i="57"/>
  <c r="Y1383" i="57"/>
  <c r="Y1384" i="57"/>
  <c r="Y1385" i="57"/>
  <c r="Y1386" i="57"/>
  <c r="Y1387" i="57"/>
  <c r="Y1388" i="57"/>
  <c r="Y1389" i="57"/>
  <c r="Y1390" i="57"/>
  <c r="Y1391" i="57"/>
  <c r="Y1392" i="57"/>
  <c r="Y1393" i="57"/>
  <c r="Y1394" i="57"/>
  <c r="Y1395" i="57"/>
  <c r="Y1396" i="57"/>
  <c r="Y1397" i="57"/>
  <c r="Y1398" i="57"/>
  <c r="Y1399" i="57"/>
  <c r="Y1400" i="57"/>
  <c r="Y1401" i="57"/>
  <c r="Y1402" i="57"/>
  <c r="Y1403" i="57"/>
  <c r="Y1404" i="57"/>
  <c r="Y1405" i="57"/>
  <c r="Y1406" i="57"/>
  <c r="Y1407" i="57"/>
  <c r="Y1408" i="57"/>
  <c r="Y1409" i="57"/>
  <c r="Y1410" i="57"/>
  <c r="Y1411" i="57"/>
  <c r="Y1412" i="57"/>
  <c r="Y1413" i="57"/>
  <c r="Y1414" i="57"/>
  <c r="Y1415" i="57"/>
  <c r="Y1416" i="57"/>
  <c r="Y1417" i="57"/>
  <c r="Y1418" i="57"/>
  <c r="Y1419" i="57"/>
  <c r="Y1420" i="57"/>
  <c r="Y1421" i="57"/>
  <c r="Y1422" i="57"/>
  <c r="Y1423" i="57"/>
  <c r="Y1424" i="57"/>
  <c r="Y1425" i="57"/>
  <c r="Y1426" i="57"/>
  <c r="Y1427" i="57"/>
  <c r="Y1428" i="57"/>
  <c r="Y1429" i="57"/>
  <c r="Y1430" i="57"/>
  <c r="Y1431" i="57"/>
  <c r="Y1432" i="57"/>
  <c r="Y1433" i="57"/>
  <c r="Y1434" i="57"/>
  <c r="Y1435" i="57"/>
  <c r="Y1436" i="57"/>
  <c r="Y1437" i="57"/>
  <c r="Y1438" i="57"/>
  <c r="Y1439" i="57"/>
  <c r="Y1440" i="57"/>
  <c r="Y1441" i="57"/>
  <c r="Y1442" i="57"/>
  <c r="Y1443" i="57"/>
  <c r="Y1444" i="57"/>
  <c r="Y1445" i="57"/>
  <c r="Y1446" i="57"/>
  <c r="Y1447" i="57"/>
  <c r="Y1448" i="57"/>
  <c r="Y1449" i="57"/>
  <c r="Y1450" i="57"/>
  <c r="Y1451" i="57"/>
  <c r="Y1452" i="57"/>
  <c r="Y1453" i="57"/>
  <c r="Y1454" i="57"/>
  <c r="Y1455" i="57"/>
  <c r="Y1456" i="57"/>
  <c r="Y1457" i="57"/>
  <c r="Y1458" i="57"/>
  <c r="Y1459" i="57"/>
  <c r="Y1460" i="57"/>
  <c r="Y1461" i="57"/>
  <c r="Y1462" i="57"/>
  <c r="Y1463" i="57"/>
  <c r="Y1464" i="57"/>
  <c r="Y1465" i="57"/>
  <c r="Y1466" i="57"/>
  <c r="Y1467" i="57"/>
  <c r="Y1468" i="57"/>
  <c r="Y1469" i="57"/>
  <c r="Y1470" i="57"/>
  <c r="Y1471" i="57"/>
  <c r="Y1472" i="57"/>
  <c r="Y1473" i="57"/>
  <c r="Y1474" i="57"/>
  <c r="Y1475" i="57"/>
  <c r="Y1476" i="57"/>
  <c r="Y1477" i="57"/>
  <c r="Y1478" i="57"/>
  <c r="Y1479" i="57"/>
  <c r="Y1480" i="57"/>
  <c r="Y1481" i="57"/>
  <c r="Y1482" i="57"/>
  <c r="Y1483" i="57"/>
  <c r="Y1484" i="57"/>
  <c r="Y1485" i="57"/>
  <c r="Y1486" i="57"/>
  <c r="Y1487" i="57"/>
  <c r="Y1488" i="57"/>
  <c r="Y1489" i="57"/>
  <c r="Y1490" i="57"/>
  <c r="Y1491" i="57"/>
  <c r="Y1492" i="57"/>
  <c r="Y1493" i="57"/>
  <c r="Y1494" i="57"/>
  <c r="Y1495" i="57"/>
  <c r="Y1496" i="57"/>
  <c r="Y1497" i="57"/>
  <c r="Y1498" i="57"/>
  <c r="Y1499" i="57"/>
  <c r="Y1500" i="57"/>
  <c r="Y1501" i="57"/>
  <c r="Y1502" i="57"/>
  <c r="Y1503" i="57"/>
  <c r="Y1504" i="57"/>
  <c r="Y1505" i="57"/>
  <c r="Y1506" i="57"/>
  <c r="Y1507" i="57"/>
  <c r="Y1508" i="57"/>
  <c r="Y1509" i="57"/>
  <c r="Y1510" i="57"/>
  <c r="Y1511" i="57"/>
  <c r="Y1512" i="57"/>
  <c r="Y1513" i="57"/>
  <c r="Y1514" i="57"/>
  <c r="Y1515" i="57"/>
  <c r="Y1516" i="57"/>
  <c r="Y1517" i="57"/>
  <c r="Y1518" i="57"/>
  <c r="Y1519" i="57"/>
  <c r="Y1520" i="57"/>
  <c r="Y1521" i="57"/>
  <c r="Y1522" i="57"/>
  <c r="Y1523" i="57"/>
  <c r="Y1524" i="57"/>
  <c r="Y1525" i="57"/>
  <c r="Y1526" i="57"/>
  <c r="Y1527" i="57"/>
  <c r="Y1528" i="57"/>
  <c r="Y1529" i="57"/>
  <c r="Y1530" i="57"/>
  <c r="Y1531" i="57"/>
  <c r="Y1532" i="57"/>
  <c r="Y1533" i="57"/>
  <c r="Y1534" i="57"/>
  <c r="Y1535" i="57"/>
  <c r="Y1536" i="57"/>
  <c r="Y1537" i="57"/>
  <c r="Y1538" i="57"/>
  <c r="Y1539" i="57"/>
  <c r="Y1540" i="57"/>
  <c r="Y1541" i="57"/>
  <c r="Y1542" i="57"/>
  <c r="Y1543" i="57"/>
  <c r="Y1544" i="57"/>
  <c r="Y1545" i="57"/>
  <c r="Y1546" i="57"/>
  <c r="Y1547" i="57"/>
  <c r="Y1548" i="57"/>
  <c r="Y1549" i="57"/>
  <c r="Y1550" i="57"/>
  <c r="Y1551" i="57"/>
  <c r="Y1552" i="57"/>
  <c r="Y1553" i="57"/>
  <c r="Y1554" i="57"/>
  <c r="Y1555" i="57"/>
  <c r="Y1556" i="57"/>
  <c r="Y1557" i="57"/>
  <c r="Y1558" i="57"/>
  <c r="Y1559" i="57"/>
  <c r="Y1560" i="57"/>
  <c r="Y1561" i="57"/>
  <c r="Y1562" i="57"/>
  <c r="Y1563" i="57"/>
  <c r="Y1564" i="57"/>
  <c r="Y1565" i="57"/>
  <c r="Y1566" i="57"/>
  <c r="Y1567" i="57"/>
  <c r="Y1568" i="57"/>
  <c r="Y1569" i="57"/>
  <c r="Y1570" i="57"/>
  <c r="Y1571" i="57"/>
  <c r="Y1572" i="57"/>
  <c r="Y1573" i="57"/>
  <c r="Y1574" i="57"/>
  <c r="Y1575" i="57"/>
  <c r="Y1576" i="57"/>
  <c r="Y1577" i="57"/>
  <c r="Y1578" i="57"/>
  <c r="Y1579" i="57"/>
  <c r="Y1580" i="57"/>
  <c r="Y1581" i="57"/>
  <c r="Y1582" i="57"/>
  <c r="Y1583" i="57"/>
  <c r="Y1584" i="57"/>
  <c r="Y1585" i="57"/>
  <c r="Y1586" i="57"/>
  <c r="Y1587" i="57"/>
  <c r="Y1588" i="57"/>
  <c r="Y1589" i="57"/>
  <c r="Y1590" i="57"/>
  <c r="Y1591" i="57"/>
  <c r="Y1592" i="57"/>
  <c r="Y1593" i="57"/>
  <c r="Y1594" i="57"/>
  <c r="Y1595" i="57"/>
  <c r="Y1596" i="57"/>
  <c r="Y1597" i="57"/>
  <c r="Y1598" i="57"/>
  <c r="Y1599" i="57"/>
  <c r="Y1600" i="57"/>
  <c r="Y1601" i="57"/>
  <c r="Y1602" i="57"/>
  <c r="Y1603" i="57"/>
  <c r="Y1604" i="57"/>
  <c r="Y1605" i="57"/>
  <c r="Y1606" i="57"/>
  <c r="Y1607" i="57"/>
  <c r="Y1608" i="57"/>
  <c r="Y1609" i="57"/>
  <c r="Y1610" i="57"/>
  <c r="Y1611" i="57"/>
  <c r="Y1612" i="57"/>
  <c r="Y1613" i="57"/>
  <c r="Y1614" i="57"/>
  <c r="Y1615" i="57"/>
  <c r="Y1616" i="57"/>
  <c r="Y1617" i="57"/>
  <c r="Y1618" i="57"/>
  <c r="Y1619" i="57"/>
  <c r="Y1620" i="57"/>
  <c r="Y1621" i="57"/>
  <c r="Y1622" i="57"/>
  <c r="Y1623" i="57"/>
  <c r="Y1624" i="57"/>
  <c r="Y1625" i="57"/>
  <c r="Y1626" i="57"/>
  <c r="Y1627" i="57"/>
  <c r="Y1628" i="57"/>
  <c r="Y1629" i="57"/>
  <c r="Y1630" i="57"/>
  <c r="Y1631" i="57"/>
  <c r="Y1632" i="57"/>
  <c r="Y1633" i="57"/>
  <c r="Y1634" i="57"/>
  <c r="Y1635" i="57"/>
  <c r="Y1636" i="57"/>
  <c r="Y1637" i="57"/>
  <c r="Y1638" i="57"/>
  <c r="Y1639" i="57"/>
  <c r="Y1640" i="57"/>
  <c r="Y1641" i="57"/>
  <c r="Y1642" i="57"/>
  <c r="Y1643" i="57"/>
  <c r="Y1644" i="57"/>
  <c r="Y1645" i="57"/>
  <c r="Y1646" i="57"/>
  <c r="Y1647" i="57"/>
  <c r="Y1648" i="57"/>
  <c r="Y1649" i="57"/>
  <c r="Y1650" i="57"/>
  <c r="Y1651" i="57"/>
  <c r="Y1652" i="57"/>
  <c r="Y1653" i="57"/>
  <c r="Y1654" i="57"/>
  <c r="Y1655" i="57"/>
  <c r="Y1656" i="57"/>
  <c r="Y1657" i="57"/>
  <c r="Y1658" i="57"/>
  <c r="Y1659" i="57"/>
  <c r="Y1660" i="57"/>
  <c r="Y1661" i="57"/>
  <c r="Y1662" i="57"/>
  <c r="Y1663" i="57"/>
  <c r="Y1664" i="57"/>
  <c r="Y1665" i="57"/>
  <c r="Y1666" i="57"/>
  <c r="Y1667" i="57"/>
  <c r="Y1668" i="57"/>
  <c r="Y1669" i="57"/>
  <c r="Y1670" i="57"/>
  <c r="Y1671" i="57"/>
  <c r="Y1672" i="57"/>
  <c r="Y1673" i="57"/>
  <c r="Y1674" i="57"/>
  <c r="Y1675" i="57"/>
  <c r="Y1676" i="57"/>
  <c r="Y1677" i="57"/>
  <c r="Y1678" i="57"/>
  <c r="Y1679" i="57"/>
  <c r="Y1680" i="57"/>
  <c r="Y1681" i="57"/>
  <c r="Y1682" i="57"/>
  <c r="Y1683" i="57"/>
  <c r="Y1684" i="57"/>
  <c r="Y1685" i="57"/>
  <c r="Y1686" i="57"/>
  <c r="Y1687" i="57"/>
  <c r="Y1688" i="57"/>
  <c r="Y1689" i="57"/>
  <c r="Y1690" i="57"/>
  <c r="Y1691" i="57"/>
  <c r="Y1692" i="57"/>
  <c r="Y1693" i="57"/>
  <c r="Y1694" i="57"/>
  <c r="Y1695" i="57"/>
  <c r="Y1696" i="57"/>
  <c r="Y1697" i="57"/>
  <c r="Y1698" i="57"/>
  <c r="Y1699" i="57"/>
  <c r="Y1700" i="57"/>
  <c r="Y1701" i="57"/>
  <c r="Y1702" i="57"/>
  <c r="Y1703" i="57"/>
  <c r="Y1704" i="57"/>
  <c r="Y1705" i="57"/>
  <c r="Y1706" i="57"/>
  <c r="Y1707" i="57"/>
  <c r="Y1708" i="57"/>
  <c r="Y1709" i="57"/>
  <c r="Y1710" i="57"/>
  <c r="Y1711" i="57"/>
  <c r="Y1712" i="57"/>
  <c r="Y1713" i="57"/>
  <c r="Y1714" i="57"/>
  <c r="Y1715" i="57"/>
  <c r="Y1716" i="57"/>
  <c r="Y1717" i="57"/>
  <c r="Y1718" i="57"/>
  <c r="Y1719" i="57"/>
  <c r="Y1720" i="57"/>
  <c r="Y1721" i="57"/>
  <c r="Y1722" i="57"/>
  <c r="Y1723" i="57"/>
  <c r="Y1724" i="57"/>
  <c r="Y1725" i="57"/>
  <c r="Y1726" i="57"/>
  <c r="Y1727" i="57"/>
  <c r="Y1728" i="57"/>
  <c r="Y1729" i="57"/>
  <c r="Y1730" i="57"/>
  <c r="Y1731" i="57"/>
  <c r="Y1732" i="57"/>
  <c r="Y1733" i="57"/>
  <c r="Y1734" i="57"/>
  <c r="Y1735" i="57"/>
  <c r="Y1736" i="57"/>
  <c r="Y1737" i="57"/>
  <c r="Y1738" i="57"/>
  <c r="Y1739" i="57"/>
  <c r="Y1740" i="57"/>
  <c r="Y1741" i="57"/>
  <c r="Y1742" i="57"/>
  <c r="Y1743" i="57"/>
  <c r="Y1744" i="57"/>
  <c r="Y1745" i="57"/>
  <c r="Y1746" i="57"/>
  <c r="Y1747" i="57"/>
  <c r="Y1748" i="57"/>
  <c r="Y1749" i="57"/>
  <c r="Y1750" i="57"/>
  <c r="Y1751" i="57"/>
  <c r="Y1752" i="57"/>
  <c r="Y1753" i="57"/>
  <c r="Y1754" i="57"/>
  <c r="Y1755" i="57"/>
  <c r="Y1756" i="57"/>
  <c r="Y1757" i="57"/>
  <c r="Y1758" i="57"/>
  <c r="Y1759" i="57"/>
  <c r="Y1760" i="57"/>
  <c r="Y1761" i="57"/>
  <c r="Y1762" i="57"/>
  <c r="Y1763" i="57"/>
  <c r="Y1764" i="57"/>
  <c r="Y1765" i="57"/>
  <c r="Y1766" i="57"/>
  <c r="Y1767" i="57"/>
  <c r="Y1768" i="57"/>
  <c r="Y1769" i="57"/>
  <c r="Y1770" i="57"/>
  <c r="Y1771" i="57"/>
  <c r="Y1772" i="57"/>
  <c r="Y1773" i="57"/>
  <c r="Y1774" i="57"/>
  <c r="Y1775" i="57"/>
  <c r="Y1776" i="57"/>
  <c r="Y1777" i="57"/>
  <c r="Y1778" i="57"/>
  <c r="Y1779" i="57"/>
  <c r="Y1780" i="57"/>
  <c r="Y1781" i="57"/>
  <c r="Y1782" i="57"/>
  <c r="Y1783" i="57"/>
  <c r="Y1784" i="57"/>
  <c r="Y1785" i="57"/>
  <c r="Y1786" i="57"/>
  <c r="Y1787" i="57"/>
  <c r="Y1788" i="57"/>
  <c r="Y1789" i="57"/>
  <c r="Y1790" i="57"/>
  <c r="Y1791" i="57"/>
  <c r="Y1792" i="57"/>
  <c r="Y1793" i="57"/>
  <c r="Y1794" i="57"/>
  <c r="Y1795" i="57"/>
  <c r="Y1796" i="57"/>
  <c r="Y1797" i="57"/>
  <c r="Y1798" i="57"/>
  <c r="Y1799" i="57"/>
  <c r="Y1800" i="57"/>
  <c r="Y1801" i="57"/>
  <c r="O29" i="55" l="1"/>
  <c r="AJ818" i="57"/>
  <c r="AJ819" i="57"/>
  <c r="AJ820" i="57"/>
  <c r="AJ821" i="57"/>
  <c r="AJ822" i="57"/>
  <c r="AJ823" i="57"/>
  <c r="AJ824" i="57"/>
  <c r="AJ825" i="57"/>
  <c r="AJ826" i="57"/>
  <c r="AJ827" i="57"/>
  <c r="AJ828" i="57"/>
  <c r="AJ829" i="57"/>
  <c r="AJ830" i="57"/>
  <c r="AJ831" i="57"/>
  <c r="AJ832" i="57"/>
  <c r="AJ833" i="57"/>
  <c r="AJ834" i="57"/>
  <c r="AJ835" i="57"/>
  <c r="AJ836" i="57"/>
  <c r="AJ837" i="57"/>
  <c r="AJ838" i="57"/>
  <c r="AJ839" i="57"/>
  <c r="AJ840" i="57"/>
  <c r="AJ841" i="57"/>
  <c r="AJ842" i="57"/>
  <c r="AJ843" i="57"/>
  <c r="AJ844" i="57"/>
  <c r="AJ845" i="57"/>
  <c r="AJ846" i="57"/>
  <c r="AJ847" i="57"/>
  <c r="AJ848" i="57"/>
  <c r="AJ849" i="57"/>
  <c r="AJ850" i="57"/>
  <c r="AJ851" i="57"/>
  <c r="AJ852" i="57"/>
  <c r="AJ853" i="57"/>
  <c r="AJ854" i="57"/>
  <c r="AJ855" i="57"/>
  <c r="AJ856" i="57"/>
  <c r="AJ857" i="57"/>
  <c r="AJ858" i="57"/>
  <c r="AJ859" i="57"/>
  <c r="AJ4" i="57"/>
  <c r="AJ5" i="57"/>
  <c r="AJ6" i="57"/>
  <c r="AJ7" i="57"/>
  <c r="AJ8" i="57"/>
  <c r="AJ9" i="57"/>
  <c r="AJ10" i="57"/>
  <c r="AJ11" i="57"/>
  <c r="AJ12" i="57"/>
  <c r="AJ13" i="57"/>
  <c r="AJ14" i="57"/>
  <c r="AJ15" i="57"/>
  <c r="AJ16" i="57"/>
  <c r="AJ17" i="57"/>
  <c r="AJ18" i="57"/>
  <c r="AJ19" i="57"/>
  <c r="AJ20" i="57"/>
  <c r="AJ21" i="57"/>
  <c r="AJ22" i="57"/>
  <c r="AJ23" i="57"/>
  <c r="AJ24" i="57"/>
  <c r="AJ25" i="57"/>
  <c r="AJ26" i="57"/>
  <c r="AJ27" i="57"/>
  <c r="AJ28" i="57"/>
  <c r="AJ29" i="57"/>
  <c r="AJ30" i="57"/>
  <c r="AJ31" i="57"/>
  <c r="AJ32" i="57"/>
  <c r="AJ33" i="57"/>
  <c r="AJ34" i="57"/>
  <c r="AJ35" i="57"/>
  <c r="AJ36" i="57"/>
  <c r="AJ37" i="57"/>
  <c r="AJ38" i="57"/>
  <c r="AJ39" i="57"/>
  <c r="AJ40" i="57"/>
  <c r="AJ41" i="57"/>
  <c r="AJ42" i="57"/>
  <c r="AJ43" i="57"/>
  <c r="AJ44" i="57"/>
  <c r="AJ45" i="57"/>
  <c r="AJ46" i="57"/>
  <c r="AJ47" i="57"/>
  <c r="AJ48" i="57"/>
  <c r="AJ49" i="57"/>
  <c r="AJ50" i="57"/>
  <c r="AJ51" i="57"/>
  <c r="AJ52" i="57"/>
  <c r="AJ53" i="57"/>
  <c r="AJ54" i="57"/>
  <c r="AJ55" i="57"/>
  <c r="AJ56" i="57"/>
  <c r="AJ57" i="57"/>
  <c r="AJ58" i="57"/>
  <c r="AJ59" i="57"/>
  <c r="AJ60" i="57"/>
  <c r="AJ61" i="57"/>
  <c r="AJ62" i="57"/>
  <c r="AJ63" i="57"/>
  <c r="AJ64" i="57"/>
  <c r="AJ65" i="57"/>
  <c r="AJ66" i="57"/>
  <c r="AJ67" i="57"/>
  <c r="AJ68" i="57"/>
  <c r="AJ69" i="57"/>
  <c r="AJ70" i="57"/>
  <c r="AJ71" i="57"/>
  <c r="AJ72" i="57"/>
  <c r="AJ73" i="57"/>
  <c r="AJ74" i="57"/>
  <c r="AJ75" i="57"/>
  <c r="AJ76" i="57"/>
  <c r="AJ77" i="57"/>
  <c r="AJ78" i="57"/>
  <c r="AJ79" i="57"/>
  <c r="AJ80" i="57"/>
  <c r="AJ81" i="57"/>
  <c r="AJ82" i="57"/>
  <c r="AJ83" i="57"/>
  <c r="AJ84" i="57"/>
  <c r="AJ85" i="57"/>
  <c r="AJ86" i="57"/>
  <c r="AJ87" i="57"/>
  <c r="AJ88" i="57"/>
  <c r="AJ89" i="57"/>
  <c r="AJ90" i="57"/>
  <c r="AJ91" i="57"/>
  <c r="AJ92" i="57"/>
  <c r="AJ93" i="57"/>
  <c r="AJ94" i="57"/>
  <c r="AJ95" i="57"/>
  <c r="AJ96" i="57"/>
  <c r="AJ97" i="57"/>
  <c r="AJ98" i="57"/>
  <c r="AJ99" i="57"/>
  <c r="AJ100" i="57"/>
  <c r="AJ101" i="57"/>
  <c r="AJ102" i="57"/>
  <c r="AJ103" i="57"/>
  <c r="AJ104" i="57"/>
  <c r="AJ105" i="57"/>
  <c r="AJ106" i="57"/>
  <c r="AJ107" i="57"/>
  <c r="AJ108" i="57"/>
  <c r="AJ109" i="57"/>
  <c r="AJ110" i="57"/>
  <c r="AJ111" i="57"/>
  <c r="AJ112" i="57"/>
  <c r="AJ113" i="57"/>
  <c r="AJ114" i="57"/>
  <c r="AJ115" i="57"/>
  <c r="AJ116" i="57"/>
  <c r="AJ117" i="57"/>
  <c r="AJ118" i="57"/>
  <c r="AJ119" i="57"/>
  <c r="AJ120" i="57"/>
  <c r="AJ121" i="57"/>
  <c r="AJ122" i="57"/>
  <c r="AJ123" i="57"/>
  <c r="AJ124" i="57"/>
  <c r="AJ125" i="57"/>
  <c r="AJ126" i="57"/>
  <c r="AJ127" i="57"/>
  <c r="AJ128" i="57"/>
  <c r="AJ129" i="57"/>
  <c r="AJ130" i="57"/>
  <c r="AJ131" i="57"/>
  <c r="AJ132" i="57"/>
  <c r="AJ133" i="57"/>
  <c r="AJ134" i="57"/>
  <c r="AJ135" i="57"/>
  <c r="AJ136" i="57"/>
  <c r="AJ137" i="57"/>
  <c r="AJ138" i="57"/>
  <c r="AJ139" i="57"/>
  <c r="AJ140" i="57"/>
  <c r="AJ141" i="57"/>
  <c r="AJ142" i="57"/>
  <c r="AJ143" i="57"/>
  <c r="AJ144" i="57"/>
  <c r="AJ145" i="57"/>
  <c r="AJ146" i="57"/>
  <c r="AJ147" i="57"/>
  <c r="AJ148" i="57"/>
  <c r="AJ149" i="57"/>
  <c r="AJ150" i="57"/>
  <c r="AJ151" i="57"/>
  <c r="AJ152" i="57"/>
  <c r="AJ153" i="57"/>
  <c r="AJ154" i="57"/>
  <c r="AJ155" i="57"/>
  <c r="AJ156" i="57"/>
  <c r="AJ157" i="57"/>
  <c r="AJ158" i="57"/>
  <c r="AJ159" i="57"/>
  <c r="AJ160" i="57"/>
  <c r="AJ161" i="57"/>
  <c r="AJ162" i="57"/>
  <c r="AJ163" i="57"/>
  <c r="AJ164" i="57"/>
  <c r="AJ165" i="57"/>
  <c r="AJ166" i="57"/>
  <c r="AJ167" i="57"/>
  <c r="AJ168" i="57"/>
  <c r="AJ169" i="57"/>
  <c r="AJ170" i="57"/>
  <c r="AJ171" i="57"/>
  <c r="AJ172" i="57"/>
  <c r="AJ173" i="57"/>
  <c r="AJ174" i="57"/>
  <c r="AJ175" i="57"/>
  <c r="AJ176" i="57"/>
  <c r="AJ177" i="57"/>
  <c r="AJ178" i="57"/>
  <c r="AJ179" i="57"/>
  <c r="AJ180" i="57"/>
  <c r="AJ181" i="57"/>
  <c r="AJ182" i="57"/>
  <c r="AJ183" i="57"/>
  <c r="AJ184" i="57"/>
  <c r="AJ185" i="57"/>
  <c r="AJ186" i="57"/>
  <c r="AJ187" i="57"/>
  <c r="AJ188" i="57"/>
  <c r="AJ189" i="57"/>
  <c r="AJ190" i="57"/>
  <c r="AJ191" i="57"/>
  <c r="AJ192" i="57"/>
  <c r="AJ193" i="57"/>
  <c r="AJ194" i="57"/>
  <c r="AJ195" i="57"/>
  <c r="AJ196" i="57"/>
  <c r="AJ197" i="57"/>
  <c r="AJ198" i="57"/>
  <c r="AJ199" i="57"/>
  <c r="AJ200" i="57"/>
  <c r="AJ201" i="57"/>
  <c r="AJ202" i="57"/>
  <c r="AJ203" i="57"/>
  <c r="AJ204" i="57"/>
  <c r="AJ205" i="57"/>
  <c r="AJ206" i="57"/>
  <c r="AJ207" i="57"/>
  <c r="AJ208" i="57"/>
  <c r="AJ209" i="57"/>
  <c r="AJ210" i="57"/>
  <c r="AJ211" i="57"/>
  <c r="AJ212" i="57"/>
  <c r="AJ213" i="57"/>
  <c r="AJ214" i="57"/>
  <c r="AJ215" i="57"/>
  <c r="AJ216" i="57"/>
  <c r="AJ217" i="57"/>
  <c r="AJ218" i="57"/>
  <c r="AJ219" i="57"/>
  <c r="AJ220" i="57"/>
  <c r="AJ221" i="57"/>
  <c r="AJ222" i="57"/>
  <c r="AJ223" i="57"/>
  <c r="AJ224" i="57"/>
  <c r="AJ225" i="57"/>
  <c r="AJ226" i="57"/>
  <c r="AJ227" i="57"/>
  <c r="AJ228" i="57"/>
  <c r="AJ229" i="57"/>
  <c r="AJ230" i="57"/>
  <c r="AJ231" i="57"/>
  <c r="AJ232" i="57"/>
  <c r="AJ233" i="57"/>
  <c r="AJ234" i="57"/>
  <c r="AJ235" i="57"/>
  <c r="AJ236" i="57"/>
  <c r="AJ237" i="57"/>
  <c r="AJ238" i="57"/>
  <c r="AJ239" i="57"/>
  <c r="AJ240" i="57"/>
  <c r="AJ241" i="57"/>
  <c r="AJ242" i="57"/>
  <c r="AJ243" i="57"/>
  <c r="AJ244" i="57"/>
  <c r="AJ245" i="57"/>
  <c r="AJ246" i="57"/>
  <c r="AJ247" i="57"/>
  <c r="AJ248" i="57"/>
  <c r="AJ249" i="57"/>
  <c r="AJ250" i="57"/>
  <c r="AJ251" i="57"/>
  <c r="AJ252" i="57"/>
  <c r="AJ253" i="57"/>
  <c r="AJ254" i="57"/>
  <c r="AJ255" i="57"/>
  <c r="AJ256" i="57"/>
  <c r="AJ257" i="57"/>
  <c r="AJ258" i="57"/>
  <c r="AJ259" i="57"/>
  <c r="AJ260" i="57"/>
  <c r="AJ261" i="57"/>
  <c r="AJ262" i="57"/>
  <c r="AJ263" i="57"/>
  <c r="AJ264" i="57"/>
  <c r="AJ265" i="57"/>
  <c r="AJ266" i="57"/>
  <c r="AJ267" i="57"/>
  <c r="AJ268" i="57"/>
  <c r="AJ269" i="57"/>
  <c r="AJ270" i="57"/>
  <c r="AJ271" i="57"/>
  <c r="AJ272" i="57"/>
  <c r="AJ273" i="57"/>
  <c r="AJ274" i="57"/>
  <c r="AJ275" i="57"/>
  <c r="AJ276" i="57"/>
  <c r="AJ277" i="57"/>
  <c r="AJ278" i="57"/>
  <c r="AJ279" i="57"/>
  <c r="AJ280" i="57"/>
  <c r="AJ281" i="57"/>
  <c r="AJ282" i="57"/>
  <c r="AJ283" i="57"/>
  <c r="AJ284" i="57"/>
  <c r="AJ285" i="57"/>
  <c r="AJ286" i="57"/>
  <c r="AJ287" i="57"/>
  <c r="AJ288" i="57"/>
  <c r="AJ289" i="57"/>
  <c r="AJ290" i="57"/>
  <c r="AJ291" i="57"/>
  <c r="AJ292" i="57"/>
  <c r="AJ293" i="57"/>
  <c r="AJ294" i="57"/>
  <c r="AJ295" i="57"/>
  <c r="AJ296" i="57"/>
  <c r="AJ297" i="57"/>
  <c r="AJ298" i="57"/>
  <c r="AJ299" i="57"/>
  <c r="AJ300" i="57"/>
  <c r="AJ301" i="57"/>
  <c r="AJ302" i="57"/>
  <c r="AJ303" i="57"/>
  <c r="AJ304" i="57"/>
  <c r="AJ305" i="57"/>
  <c r="AJ306" i="57"/>
  <c r="AJ307" i="57"/>
  <c r="AJ308" i="57"/>
  <c r="AJ309" i="57"/>
  <c r="AJ310" i="57"/>
  <c r="AJ311" i="57"/>
  <c r="AJ312" i="57"/>
  <c r="AJ313" i="57"/>
  <c r="AJ314" i="57"/>
  <c r="AJ315" i="57"/>
  <c r="AJ316" i="57"/>
  <c r="AJ317" i="57"/>
  <c r="AJ318" i="57"/>
  <c r="AJ319" i="57"/>
  <c r="AJ320" i="57"/>
  <c r="AJ321" i="57"/>
  <c r="AJ322" i="57"/>
  <c r="AJ323" i="57"/>
  <c r="AJ324" i="57"/>
  <c r="AJ325" i="57"/>
  <c r="AJ326" i="57"/>
  <c r="AJ327" i="57"/>
  <c r="AJ328" i="57"/>
  <c r="AJ329" i="57"/>
  <c r="AJ330" i="57"/>
  <c r="AJ331" i="57"/>
  <c r="AJ332" i="57"/>
  <c r="AJ333" i="57"/>
  <c r="AJ334" i="57"/>
  <c r="AJ335" i="57"/>
  <c r="AJ336" i="57"/>
  <c r="AJ337" i="57"/>
  <c r="AJ338" i="57"/>
  <c r="AJ339" i="57"/>
  <c r="AJ340" i="57"/>
  <c r="AJ341" i="57"/>
  <c r="AJ342" i="57"/>
  <c r="AJ343" i="57"/>
  <c r="AJ344" i="57"/>
  <c r="AJ345" i="57"/>
  <c r="AJ346" i="57"/>
  <c r="AJ347" i="57"/>
  <c r="AJ348" i="57"/>
  <c r="AJ349" i="57"/>
  <c r="AJ350" i="57"/>
  <c r="AJ351" i="57"/>
  <c r="AJ352" i="57"/>
  <c r="AJ353" i="57"/>
  <c r="AJ354" i="57"/>
  <c r="AJ355" i="57"/>
  <c r="AJ356" i="57"/>
  <c r="AJ357" i="57"/>
  <c r="AJ358" i="57"/>
  <c r="AJ359" i="57"/>
  <c r="AJ360" i="57"/>
  <c r="AJ361" i="57"/>
  <c r="AJ362" i="57"/>
  <c r="AJ363" i="57"/>
  <c r="AJ364" i="57"/>
  <c r="AJ365" i="57"/>
  <c r="AJ366" i="57"/>
  <c r="AJ367" i="57"/>
  <c r="AJ368" i="57"/>
  <c r="AJ369" i="57"/>
  <c r="AJ370" i="57"/>
  <c r="AJ371" i="57"/>
  <c r="AJ372" i="57"/>
  <c r="AJ373" i="57"/>
  <c r="AJ374" i="57"/>
  <c r="AJ375" i="57"/>
  <c r="AJ376" i="57"/>
  <c r="AJ377" i="57"/>
  <c r="AJ378" i="57"/>
  <c r="AJ379" i="57"/>
  <c r="AJ380" i="57"/>
  <c r="AJ381" i="57"/>
  <c r="AJ382" i="57"/>
  <c r="AJ383" i="57"/>
  <c r="AJ384" i="57"/>
  <c r="AJ385" i="57"/>
  <c r="AJ386" i="57"/>
  <c r="AJ387" i="57"/>
  <c r="AJ388" i="57"/>
  <c r="AJ389" i="57"/>
  <c r="AJ390" i="57"/>
  <c r="AJ391" i="57"/>
  <c r="AJ392" i="57"/>
  <c r="AJ393" i="57"/>
  <c r="AJ394" i="57"/>
  <c r="AJ395" i="57"/>
  <c r="AJ396" i="57"/>
  <c r="AJ397" i="57"/>
  <c r="AJ398" i="57"/>
  <c r="AJ399" i="57"/>
  <c r="AJ400" i="57"/>
  <c r="AJ401" i="57"/>
  <c r="AJ402" i="57"/>
  <c r="AJ403" i="57"/>
  <c r="AJ404" i="57"/>
  <c r="AJ405" i="57"/>
  <c r="AJ406" i="57"/>
  <c r="AJ407" i="57"/>
  <c r="AJ408" i="57"/>
  <c r="AJ409" i="57"/>
  <c r="AJ410" i="57"/>
  <c r="AJ411" i="57"/>
  <c r="AJ412" i="57"/>
  <c r="AJ413" i="57"/>
  <c r="AJ414" i="57"/>
  <c r="AJ415" i="57"/>
  <c r="AJ416" i="57"/>
  <c r="AJ417" i="57"/>
  <c r="AJ418" i="57"/>
  <c r="AJ419" i="57"/>
  <c r="AJ420" i="57"/>
  <c r="AJ421" i="57"/>
  <c r="AJ422" i="57"/>
  <c r="AJ423" i="57"/>
  <c r="AJ424" i="57"/>
  <c r="AJ425" i="57"/>
  <c r="AJ426" i="57"/>
  <c r="AJ427" i="57"/>
  <c r="AJ428" i="57"/>
  <c r="AJ429" i="57"/>
  <c r="AJ430" i="57"/>
  <c r="AJ431" i="57"/>
  <c r="AJ432" i="57"/>
  <c r="AJ433" i="57"/>
  <c r="AJ434" i="57"/>
  <c r="AJ435" i="57"/>
  <c r="AJ436" i="57"/>
  <c r="AJ437" i="57"/>
  <c r="AJ438" i="57"/>
  <c r="AJ439" i="57"/>
  <c r="AJ440" i="57"/>
  <c r="AJ441" i="57"/>
  <c r="AJ442" i="57"/>
  <c r="AJ443" i="57"/>
  <c r="AJ444" i="57"/>
  <c r="AJ445" i="57"/>
  <c r="AJ446" i="57"/>
  <c r="AJ447" i="57"/>
  <c r="AJ448" i="57"/>
  <c r="AJ449" i="57"/>
  <c r="AJ450" i="57"/>
  <c r="AJ451" i="57"/>
  <c r="AJ452" i="57"/>
  <c r="AJ453" i="57"/>
  <c r="AJ454" i="57"/>
  <c r="AJ455" i="57"/>
  <c r="AJ456" i="57"/>
  <c r="AJ457" i="57"/>
  <c r="AJ458" i="57"/>
  <c r="AJ459" i="57"/>
  <c r="AJ460" i="57"/>
  <c r="AJ461" i="57"/>
  <c r="AJ462" i="57"/>
  <c r="AJ463" i="57"/>
  <c r="AJ464" i="57"/>
  <c r="AJ465" i="57"/>
  <c r="AJ466" i="57"/>
  <c r="AJ467" i="57"/>
  <c r="AJ468" i="57"/>
  <c r="AJ469" i="57"/>
  <c r="AJ470" i="57"/>
  <c r="AJ471" i="57"/>
  <c r="AJ472" i="57"/>
  <c r="AJ473" i="57"/>
  <c r="AJ474" i="57"/>
  <c r="AJ475" i="57"/>
  <c r="AJ476" i="57"/>
  <c r="AJ477" i="57"/>
  <c r="AJ478" i="57"/>
  <c r="AJ479" i="57"/>
  <c r="AJ480" i="57"/>
  <c r="AJ481" i="57"/>
  <c r="AJ482" i="57"/>
  <c r="AJ483" i="57"/>
  <c r="AJ484" i="57"/>
  <c r="AJ485" i="57"/>
  <c r="AJ486" i="57"/>
  <c r="AJ487" i="57"/>
  <c r="AJ488" i="57"/>
  <c r="AJ489" i="57"/>
  <c r="AJ490" i="57"/>
  <c r="AJ491" i="57"/>
  <c r="AJ492" i="57"/>
  <c r="AJ493" i="57"/>
  <c r="AJ494" i="57"/>
  <c r="AJ495" i="57"/>
  <c r="AJ496" i="57"/>
  <c r="AJ497" i="57"/>
  <c r="AJ498" i="57"/>
  <c r="AJ499" i="57"/>
  <c r="AJ500" i="57"/>
  <c r="AJ501" i="57"/>
  <c r="AJ502" i="57"/>
  <c r="AJ503" i="57"/>
  <c r="AJ504" i="57"/>
  <c r="AJ505" i="57"/>
  <c r="AJ506" i="57"/>
  <c r="AJ507" i="57"/>
  <c r="AJ508" i="57"/>
  <c r="AJ509" i="57"/>
  <c r="AJ510" i="57"/>
  <c r="AJ511" i="57"/>
  <c r="AJ512" i="57"/>
  <c r="AJ513" i="57"/>
  <c r="AJ514" i="57"/>
  <c r="AJ515" i="57"/>
  <c r="AJ516" i="57"/>
  <c r="AJ517" i="57"/>
  <c r="AJ518" i="57"/>
  <c r="AJ519" i="57"/>
  <c r="AJ520" i="57"/>
  <c r="AJ521" i="57"/>
  <c r="AJ522" i="57"/>
  <c r="AJ523" i="57"/>
  <c r="AJ524" i="57"/>
  <c r="AJ525" i="57"/>
  <c r="AJ526" i="57"/>
  <c r="AJ527" i="57"/>
  <c r="AJ528" i="57"/>
  <c r="AJ529" i="57"/>
  <c r="AJ530" i="57"/>
  <c r="AJ531" i="57"/>
  <c r="AJ532" i="57"/>
  <c r="AJ533" i="57"/>
  <c r="AJ534" i="57"/>
  <c r="AJ535" i="57"/>
  <c r="AJ536" i="57"/>
  <c r="AJ537" i="57"/>
  <c r="AJ538" i="57"/>
  <c r="AJ539" i="57"/>
  <c r="AJ540" i="57"/>
  <c r="AJ541" i="57"/>
  <c r="AJ542" i="57"/>
  <c r="AJ543" i="57"/>
  <c r="AJ544" i="57"/>
  <c r="AJ545" i="57"/>
  <c r="AJ546" i="57"/>
  <c r="AJ547" i="57"/>
  <c r="AJ548" i="57"/>
  <c r="AJ549" i="57"/>
  <c r="AJ550" i="57"/>
  <c r="AJ551" i="57"/>
  <c r="AJ552" i="57"/>
  <c r="AJ553" i="57"/>
  <c r="AJ554" i="57"/>
  <c r="AJ555" i="57"/>
  <c r="AJ556" i="57"/>
  <c r="AJ557" i="57"/>
  <c r="AJ558" i="57"/>
  <c r="AJ559" i="57"/>
  <c r="AJ560" i="57"/>
  <c r="AJ561" i="57"/>
  <c r="AJ562" i="57"/>
  <c r="AJ563" i="57"/>
  <c r="AJ564" i="57"/>
  <c r="AJ565" i="57"/>
  <c r="AJ566" i="57"/>
  <c r="AJ567" i="57"/>
  <c r="AJ568" i="57"/>
  <c r="AJ569" i="57"/>
  <c r="AJ570" i="57"/>
  <c r="AJ571" i="57"/>
  <c r="AJ572" i="57"/>
  <c r="AJ573" i="57"/>
  <c r="AJ574" i="57"/>
  <c r="AJ575" i="57"/>
  <c r="AJ576" i="57"/>
  <c r="AJ577" i="57"/>
  <c r="AJ578" i="57"/>
  <c r="AJ579" i="57"/>
  <c r="AJ580" i="57"/>
  <c r="AJ581" i="57"/>
  <c r="AJ582" i="57"/>
  <c r="AJ583" i="57"/>
  <c r="AJ584" i="57"/>
  <c r="AJ585" i="57"/>
  <c r="AJ586" i="57"/>
  <c r="AJ587" i="57"/>
  <c r="AJ588" i="57"/>
  <c r="AJ589" i="57"/>
  <c r="AJ590" i="57"/>
  <c r="AJ591" i="57"/>
  <c r="AJ592" i="57"/>
  <c r="AJ593" i="57"/>
  <c r="AJ594" i="57"/>
  <c r="AJ595" i="57"/>
  <c r="AJ596" i="57"/>
  <c r="AJ597" i="57"/>
  <c r="AJ598" i="57"/>
  <c r="AJ599" i="57"/>
  <c r="AJ600" i="57"/>
  <c r="AJ601" i="57"/>
  <c r="AJ602" i="57"/>
  <c r="AJ603" i="57"/>
  <c r="AJ604" i="57"/>
  <c r="AJ605" i="57"/>
  <c r="AJ606" i="57"/>
  <c r="AJ607" i="57"/>
  <c r="AJ608" i="57"/>
  <c r="AJ609" i="57"/>
  <c r="AJ610" i="57"/>
  <c r="AJ611" i="57"/>
  <c r="AJ612" i="57"/>
  <c r="AJ613" i="57"/>
  <c r="AJ614" i="57"/>
  <c r="AJ615" i="57"/>
  <c r="AJ616" i="57"/>
  <c r="AJ617" i="57"/>
  <c r="AJ618" i="57"/>
  <c r="AJ619" i="57"/>
  <c r="AJ620" i="57"/>
  <c r="AJ621" i="57"/>
  <c r="AJ622" i="57"/>
  <c r="AJ623" i="57"/>
  <c r="AJ624" i="57"/>
  <c r="AJ625" i="57"/>
  <c r="AJ626" i="57"/>
  <c r="AJ627" i="57"/>
  <c r="AJ628" i="57"/>
  <c r="AJ629" i="57"/>
  <c r="AJ630" i="57"/>
  <c r="AJ631" i="57"/>
  <c r="AJ632" i="57"/>
  <c r="AJ633" i="57"/>
  <c r="AJ634" i="57"/>
  <c r="AJ635" i="57"/>
  <c r="AJ636" i="57"/>
  <c r="AJ637" i="57"/>
  <c r="AJ638" i="57"/>
  <c r="AJ639" i="57"/>
  <c r="AJ640" i="57"/>
  <c r="AJ641" i="57"/>
  <c r="AJ642" i="57"/>
  <c r="AJ643" i="57"/>
  <c r="AJ644" i="57"/>
  <c r="AJ645" i="57"/>
  <c r="AJ646" i="57"/>
  <c r="AJ647" i="57"/>
  <c r="AJ648" i="57"/>
  <c r="AJ649" i="57"/>
  <c r="AJ650" i="57"/>
  <c r="AJ651" i="57"/>
  <c r="AJ652" i="57"/>
  <c r="AJ653" i="57"/>
  <c r="AJ654" i="57"/>
  <c r="AJ655" i="57"/>
  <c r="AJ656" i="57"/>
  <c r="AJ657" i="57"/>
  <c r="AJ658" i="57"/>
  <c r="AJ659" i="57"/>
  <c r="AJ660" i="57"/>
  <c r="AJ661" i="57"/>
  <c r="AJ662" i="57"/>
  <c r="AJ663" i="57"/>
  <c r="AJ664" i="57"/>
  <c r="AJ665" i="57"/>
  <c r="AJ666" i="57"/>
  <c r="AJ667" i="57"/>
  <c r="AJ668" i="57"/>
  <c r="AJ669" i="57"/>
  <c r="AJ670" i="57"/>
  <c r="AJ671" i="57"/>
  <c r="AJ672" i="57"/>
  <c r="AJ673" i="57"/>
  <c r="AJ674" i="57"/>
  <c r="AJ675" i="57"/>
  <c r="AJ676" i="57"/>
  <c r="AJ677" i="57"/>
  <c r="AJ678" i="57"/>
  <c r="AJ679" i="57"/>
  <c r="AJ680" i="57"/>
  <c r="AJ681" i="57"/>
  <c r="AJ682" i="57"/>
  <c r="AJ683" i="57"/>
  <c r="AJ684" i="57"/>
  <c r="AJ685" i="57"/>
  <c r="AJ686" i="57"/>
  <c r="AJ687" i="57"/>
  <c r="AJ688" i="57"/>
  <c r="AJ689" i="57"/>
  <c r="AJ690" i="57"/>
  <c r="AJ691" i="57"/>
  <c r="AJ692" i="57"/>
  <c r="AJ693" i="57"/>
  <c r="AJ694" i="57"/>
  <c r="AJ695" i="57"/>
  <c r="AJ696" i="57"/>
  <c r="AJ697" i="57"/>
  <c r="AJ698" i="57"/>
  <c r="AJ699" i="57"/>
  <c r="AJ700" i="57"/>
  <c r="AJ701" i="57"/>
  <c r="AJ702" i="57"/>
  <c r="AJ703" i="57"/>
  <c r="AJ704" i="57"/>
  <c r="AJ705" i="57"/>
  <c r="AJ706" i="57"/>
  <c r="AJ707" i="57"/>
  <c r="AJ708" i="57"/>
  <c r="AJ709" i="57"/>
  <c r="AJ710" i="57"/>
  <c r="AJ711" i="57"/>
  <c r="AJ712" i="57"/>
  <c r="AJ713" i="57"/>
  <c r="AJ714" i="57"/>
  <c r="AJ715" i="57"/>
  <c r="AJ716" i="57"/>
  <c r="AJ717" i="57"/>
  <c r="AJ718" i="57"/>
  <c r="AJ719" i="57"/>
  <c r="AJ720" i="57"/>
  <c r="AJ721" i="57"/>
  <c r="AJ722" i="57"/>
  <c r="AJ723" i="57"/>
  <c r="AJ724" i="57"/>
  <c r="AJ725" i="57"/>
  <c r="AJ726" i="57"/>
  <c r="AJ727" i="57"/>
  <c r="AJ728" i="57"/>
  <c r="AJ729" i="57"/>
  <c r="AJ730" i="57"/>
  <c r="AJ731" i="57"/>
  <c r="AJ732" i="57"/>
  <c r="AJ733" i="57"/>
  <c r="AJ734" i="57"/>
  <c r="AJ735" i="57"/>
  <c r="AJ736" i="57"/>
  <c r="AJ737" i="57"/>
  <c r="AJ738" i="57"/>
  <c r="AJ739" i="57"/>
  <c r="AJ740" i="57"/>
  <c r="AJ741" i="57"/>
  <c r="AJ742" i="57"/>
  <c r="AJ743" i="57"/>
  <c r="AJ744" i="57"/>
  <c r="AJ745" i="57"/>
  <c r="AJ746" i="57"/>
  <c r="AJ747" i="57"/>
  <c r="AJ748" i="57"/>
  <c r="AJ749" i="57"/>
  <c r="AJ750" i="57"/>
  <c r="AJ751" i="57"/>
  <c r="AJ752" i="57"/>
  <c r="AJ753" i="57"/>
  <c r="AJ754" i="57"/>
  <c r="AJ755" i="57"/>
  <c r="AJ756" i="57"/>
  <c r="AJ757" i="57"/>
  <c r="AJ758" i="57"/>
  <c r="AJ759" i="57"/>
  <c r="AJ760" i="57"/>
  <c r="AJ761" i="57"/>
  <c r="AJ762" i="57"/>
  <c r="AJ763" i="57"/>
  <c r="AJ764" i="57"/>
  <c r="AJ765" i="57"/>
  <c r="AJ766" i="57"/>
  <c r="AJ767" i="57"/>
  <c r="AJ768" i="57"/>
  <c r="AJ769" i="57"/>
  <c r="AJ770" i="57"/>
  <c r="AJ771" i="57"/>
  <c r="AJ772" i="57"/>
  <c r="AJ773" i="57"/>
  <c r="AJ774" i="57"/>
  <c r="AJ775" i="57"/>
  <c r="AJ776" i="57"/>
  <c r="AJ777" i="57"/>
  <c r="AJ778" i="57"/>
  <c r="AJ779" i="57"/>
  <c r="AJ780" i="57"/>
  <c r="AJ781" i="57"/>
  <c r="AJ782" i="57"/>
  <c r="AJ783" i="57"/>
  <c r="AJ784" i="57"/>
  <c r="AJ785" i="57"/>
  <c r="AJ786" i="57"/>
  <c r="AJ787" i="57"/>
  <c r="AJ788" i="57"/>
  <c r="AJ789" i="57"/>
  <c r="AJ790" i="57"/>
  <c r="AJ791" i="57"/>
  <c r="AJ792" i="57"/>
  <c r="AJ793" i="57"/>
  <c r="AJ794" i="57"/>
  <c r="AJ795" i="57"/>
  <c r="AJ796" i="57"/>
  <c r="AJ797" i="57"/>
  <c r="AJ798" i="57"/>
  <c r="AJ799" i="57"/>
  <c r="AJ800" i="57"/>
  <c r="AJ801" i="57"/>
  <c r="AJ802" i="57"/>
  <c r="AJ803" i="57"/>
  <c r="AJ804" i="57"/>
  <c r="AJ805" i="57"/>
  <c r="AJ806" i="57"/>
  <c r="AJ807" i="57"/>
  <c r="AJ808" i="57"/>
  <c r="AJ809" i="57"/>
  <c r="AJ810" i="57"/>
  <c r="AJ811" i="57"/>
  <c r="AJ812" i="57"/>
  <c r="AJ813" i="57"/>
  <c r="AJ814" i="57"/>
  <c r="AJ815" i="57"/>
  <c r="AJ816" i="57"/>
  <c r="AJ817" i="57"/>
  <c r="AJ3" i="57"/>
  <c r="Y3" i="57" l="1"/>
  <c r="AA6" i="31" l="1"/>
  <c r="AD9" i="31" s="1"/>
  <c r="AE33" i="31" l="1"/>
  <c r="AK33" i="31"/>
  <c r="AC33" i="31"/>
  <c r="AJ33" i="31"/>
  <c r="AN33" i="31"/>
  <c r="AL33" i="31"/>
  <c r="AE9" i="31"/>
  <c r="AO33" i="31"/>
  <c r="AI33" i="31"/>
  <c r="AC9" i="31"/>
  <c r="AF33" i="31"/>
  <c r="AF9" i="31"/>
  <c r="AM33" i="31"/>
  <c r="AH33" i="31"/>
  <c r="AP20" i="31"/>
  <c r="AQ33" i="31"/>
  <c r="AS33" i="31"/>
  <c r="AU33" i="31"/>
  <c r="AP33" i="31"/>
  <c r="AR33" i="31"/>
  <c r="AT33" i="31"/>
  <c r="AV33" i="31"/>
  <c r="AG9" i="31"/>
  <c r="AB33" i="31"/>
  <c r="AD33" i="31"/>
  <c r="AG33" i="31"/>
  <c r="AU35" i="31"/>
  <c r="AS38" i="31"/>
  <c r="AP36" i="31"/>
  <c r="AU29" i="31"/>
  <c r="AS32" i="31"/>
  <c r="AQ26" i="31"/>
  <c r="AQ36" i="31"/>
  <c r="AU38" i="31"/>
  <c r="AP38" i="31"/>
  <c r="AQ30" i="31"/>
  <c r="AU32" i="31"/>
  <c r="AS26" i="31"/>
  <c r="AV28" i="31"/>
  <c r="AR25" i="31"/>
  <c r="AS11" i="31"/>
  <c r="AV37" i="31"/>
  <c r="AR29" i="31"/>
  <c r="AP32" i="31"/>
  <c r="AQ22" i="31"/>
  <c r="AU24" i="31"/>
  <c r="AS15" i="31"/>
  <c r="AQ18" i="31"/>
  <c r="AP13" i="31"/>
  <c r="AR9" i="31"/>
  <c r="AS36" i="31"/>
  <c r="AQ39" i="31"/>
  <c r="AP40" i="31"/>
  <c r="AS30" i="31"/>
  <c r="AU26" i="31"/>
  <c r="AU36" i="31"/>
  <c r="AS39" i="31"/>
  <c r="AQ28" i="31"/>
  <c r="AU30" i="31"/>
  <c r="AP26" i="31"/>
  <c r="AP30" i="31"/>
  <c r="AR15" i="31"/>
  <c r="AQ9" i="31"/>
  <c r="AR39" i="31"/>
  <c r="AT30" i="31"/>
  <c r="AV26" i="31"/>
  <c r="AU22" i="31"/>
  <c r="AS25" i="31"/>
  <c r="AQ16" i="31"/>
  <c r="AU18" i="31"/>
  <c r="AT11" i="31"/>
  <c r="AV9" i="31"/>
  <c r="AQ37" i="31"/>
  <c r="AU39" i="31"/>
  <c r="AS28" i="31"/>
  <c r="AQ31" i="31"/>
  <c r="AR20" i="31"/>
  <c r="AS37" i="31"/>
  <c r="AQ40" i="31"/>
  <c r="AU28" i="31"/>
  <c r="AS31" i="31"/>
  <c r="AP29" i="31"/>
  <c r="AT37" i="31"/>
  <c r="AR21" i="31"/>
  <c r="AR17" i="31"/>
  <c r="AR35" i="31"/>
  <c r="AT40" i="31"/>
  <c r="AV31" i="31"/>
  <c r="AU20" i="31"/>
  <c r="AS23" i="31"/>
  <c r="AP21" i="31"/>
  <c r="AU16" i="31"/>
  <c r="AP18" i="31"/>
  <c r="AR12" i="31"/>
  <c r="AQ35" i="31"/>
  <c r="AU37" i="31"/>
  <c r="AS40" i="31"/>
  <c r="AQ29" i="31"/>
  <c r="AU31" i="31"/>
  <c r="AP31" i="31"/>
  <c r="AS35" i="31"/>
  <c r="AQ38" i="31"/>
  <c r="AU40" i="31"/>
  <c r="AS29" i="31"/>
  <c r="AQ32" i="31"/>
  <c r="AP39" i="31"/>
  <c r="AR23" i="31"/>
  <c r="AP17" i="31"/>
  <c r="AT36" i="31"/>
  <c r="AP35" i="31"/>
  <c r="AS21" i="31"/>
  <c r="AQ24" i="31"/>
  <c r="AP25" i="31"/>
  <c r="AS17" i="31"/>
  <c r="AS13" i="31"/>
  <c r="AV12" i="31"/>
  <c r="AT28" i="31"/>
  <c r="AU21" i="31"/>
  <c r="AQ15" i="31"/>
  <c r="AQ13" i="31"/>
  <c r="AT31" i="31"/>
  <c r="AV25" i="31"/>
  <c r="AQ12" i="31"/>
  <c r="AT39" i="31"/>
  <c r="AV30" i="31"/>
  <c r="AQ20" i="31"/>
  <c r="AV22" i="31"/>
  <c r="AT25" i="31"/>
  <c r="AR16" i="31"/>
  <c r="AV18" i="31"/>
  <c r="AU11" i="31"/>
  <c r="AP9" i="31"/>
  <c r="AR37" i="31"/>
  <c r="AT32" i="31"/>
  <c r="AU23" i="31"/>
  <c r="AU17" i="31"/>
  <c r="AP11" i="31"/>
  <c r="AR31" i="31"/>
  <c r="AS22" i="31"/>
  <c r="AU15" i="31"/>
  <c r="AR11" i="31"/>
  <c r="AT26" i="31"/>
  <c r="AV15" i="31"/>
  <c r="AU9" i="31"/>
  <c r="AT35" i="31"/>
  <c r="AV40" i="31"/>
  <c r="AR32" i="31"/>
  <c r="AV20" i="31"/>
  <c r="AT23" i="31"/>
  <c r="AP22" i="31"/>
  <c r="AV16" i="31"/>
  <c r="AP15" i="31"/>
  <c r="AS12" i="31"/>
  <c r="AT38" i="31"/>
  <c r="AR26" i="31"/>
  <c r="AQ25" i="31"/>
  <c r="AP16" i="31"/>
  <c r="AV35" i="31"/>
  <c r="AS24" i="31"/>
  <c r="AT12" i="31"/>
  <c r="AV17" i="31"/>
  <c r="AV36" i="31"/>
  <c r="AR24" i="31"/>
  <c r="AT17" i="31"/>
  <c r="AP12" i="31"/>
  <c r="AQ21" i="31"/>
  <c r="AU13" i="31"/>
  <c r="AR36" i="31"/>
  <c r="AT20" i="31"/>
  <c r="AT16" i="31"/>
  <c r="AT21" i="31"/>
  <c r="AT13" i="31"/>
  <c r="AP23" i="31"/>
  <c r="AR30" i="31"/>
  <c r="AV13" i="31"/>
  <c r="AS18" i="31"/>
  <c r="AV23" i="31"/>
  <c r="AT29" i="31"/>
  <c r="AT15" i="31"/>
  <c r="AV29" i="31"/>
  <c r="AV32" i="31"/>
  <c r="AU12" i="31"/>
  <c r="AV39" i="31"/>
  <c r="AU25" i="31"/>
  <c r="AT9" i="31"/>
  <c r="AV38" i="31"/>
  <c r="AR13" i="31"/>
  <c r="AR38" i="31"/>
  <c r="AP28" i="31"/>
  <c r="AV24" i="31"/>
  <c r="AR18" i="31"/>
  <c r="AS9" i="31"/>
  <c r="AQ23" i="31"/>
  <c r="AV11" i="31"/>
  <c r="AR40" i="31"/>
  <c r="AT22" i="31"/>
  <c r="AT18" i="31"/>
  <c r="AQ17" i="31"/>
  <c r="AV21" i="31"/>
  <c r="AR28" i="31"/>
  <c r="AP37" i="31"/>
  <c r="AT24" i="31"/>
  <c r="AS20" i="31"/>
  <c r="AR22" i="31"/>
  <c r="AQ11" i="31"/>
  <c r="AS16" i="31"/>
  <c r="AP24" i="31"/>
  <c r="AK12" i="31"/>
  <c r="K12" i="31" s="1"/>
  <c r="AO15" i="31"/>
  <c r="O15" i="31" s="1"/>
  <c r="AM18" i="31"/>
  <c r="M18" i="31" s="1"/>
  <c r="AJ11" i="31"/>
  <c r="J11" i="31" s="1"/>
  <c r="AN13" i="31"/>
  <c r="N13" i="31" s="1"/>
  <c r="AM9" i="31"/>
  <c r="M9" i="31" s="1"/>
  <c r="AL13" i="31"/>
  <c r="L13" i="31" s="1"/>
  <c r="AK16" i="31"/>
  <c r="K16" i="31" s="1"/>
  <c r="AJ21" i="31"/>
  <c r="J21" i="31" s="1"/>
  <c r="AN23" i="31"/>
  <c r="N23" i="31" s="1"/>
  <c r="AL26" i="31"/>
  <c r="L26" i="31" s="1"/>
  <c r="AJ30" i="31"/>
  <c r="J30" i="31" s="1"/>
  <c r="AN32" i="31"/>
  <c r="N32" i="31" s="1"/>
  <c r="AL36" i="31"/>
  <c r="L36" i="31" s="1"/>
  <c r="AJ39" i="31"/>
  <c r="J39" i="31" s="1"/>
  <c r="AI40" i="31"/>
  <c r="I40" i="31" s="1"/>
  <c r="AI12" i="31"/>
  <c r="I12" i="31" s="1"/>
  <c r="AE20" i="31"/>
  <c r="E20" i="31" s="1"/>
  <c r="AC23" i="31"/>
  <c r="C23" i="31" s="1"/>
  <c r="AG25" i="31"/>
  <c r="G25" i="31" s="1"/>
  <c r="AD35" i="31"/>
  <c r="D35" i="31" s="1"/>
  <c r="AH37" i="31"/>
  <c r="H37" i="31" s="1"/>
  <c r="AF40" i="31"/>
  <c r="F40" i="31" s="1"/>
  <c r="AD29" i="31"/>
  <c r="D29" i="31" s="1"/>
  <c r="AH31" i="31"/>
  <c r="H31" i="31" s="1"/>
  <c r="AB32" i="31"/>
  <c r="B32" i="31" s="1"/>
  <c r="AD17" i="31"/>
  <c r="D17" i="31" s="1"/>
  <c r="AD11" i="31"/>
  <c r="D11" i="31" s="1"/>
  <c r="AJ15" i="31"/>
  <c r="J15" i="31" s="1"/>
  <c r="AL20" i="31"/>
  <c r="L20" i="31" s="1"/>
  <c r="AK23" i="31"/>
  <c r="K23" i="31" s="1"/>
  <c r="AO25" i="31"/>
  <c r="O25" i="31" s="1"/>
  <c r="AM29" i="31"/>
  <c r="M29" i="31" s="1"/>
  <c r="AK32" i="31"/>
  <c r="K32" i="31" s="1"/>
  <c r="AO35" i="31"/>
  <c r="O35" i="31" s="1"/>
  <c r="AM38" i="31"/>
  <c r="M38" i="31" s="1"/>
  <c r="AI37" i="31"/>
  <c r="I37" i="31" s="1"/>
  <c r="AI17" i="31"/>
  <c r="I17" i="31" s="1"/>
  <c r="AB13" i="31"/>
  <c r="B13" i="31" s="1"/>
  <c r="AF22" i="31"/>
  <c r="F22" i="31" s="1"/>
  <c r="AD25" i="31"/>
  <c r="D25" i="31" s="1"/>
  <c r="AB26" i="31"/>
  <c r="B26" i="31" s="1"/>
  <c r="AE37" i="31"/>
  <c r="E37" i="31" s="1"/>
  <c r="AC40" i="31"/>
  <c r="C40" i="31" s="1"/>
  <c r="AG28" i="31"/>
  <c r="G28" i="31" s="1"/>
  <c r="AE31" i="31"/>
  <c r="E31" i="31" s="1"/>
  <c r="AB29" i="31"/>
  <c r="B29" i="31" s="1"/>
  <c r="AG16" i="31"/>
  <c r="G16" i="31" s="1"/>
  <c r="AB18" i="31"/>
  <c r="B18" i="31" s="1"/>
  <c r="C9" i="31"/>
  <c r="AL21" i="31"/>
  <c r="L21" i="31" s="1"/>
  <c r="AN26" i="31"/>
  <c r="N26" i="31" s="1"/>
  <c r="J33" i="31"/>
  <c r="AL39" i="31"/>
  <c r="L39" i="31" s="1"/>
  <c r="AI28" i="31"/>
  <c r="I28" i="31" s="1"/>
  <c r="AE23" i="31"/>
  <c r="E23" i="31" s="1"/>
  <c r="AF35" i="31"/>
  <c r="F35" i="31" s="1"/>
  <c r="AH40" i="31"/>
  <c r="H40" i="31" s="1"/>
  <c r="AD32" i="31"/>
  <c r="D32" i="31" s="1"/>
  <c r="AF17" i="31"/>
  <c r="F17" i="31" s="1"/>
  <c r="D9" i="31"/>
  <c r="AO18" i="31"/>
  <c r="O18" i="31" s="1"/>
  <c r="AM25" i="31"/>
  <c r="M25" i="31" s="1"/>
  <c r="AO31" i="31"/>
  <c r="O31" i="31" s="1"/>
  <c r="AK38" i="31"/>
  <c r="K38" i="31" s="1"/>
  <c r="AI26" i="31"/>
  <c r="I26" i="31" s="1"/>
  <c r="AD22" i="31"/>
  <c r="D22" i="31" s="1"/>
  <c r="AB24" i="31"/>
  <c r="B24" i="31" s="1"/>
  <c r="AG39" i="31"/>
  <c r="G39" i="31" s="1"/>
  <c r="AC31" i="31"/>
  <c r="C31" i="31" s="1"/>
  <c r="AE16" i="31"/>
  <c r="E16" i="31" s="1"/>
  <c r="AH12" i="31"/>
  <c r="H12" i="31" s="1"/>
  <c r="AN17" i="31"/>
  <c r="N17" i="31" s="1"/>
  <c r="AN24" i="31"/>
  <c r="N24" i="31" s="1"/>
  <c r="AJ31" i="31"/>
  <c r="J31" i="31" s="1"/>
  <c r="AL37" i="31"/>
  <c r="L37" i="31" s="1"/>
  <c r="AI21" i="31"/>
  <c r="I21" i="31" s="1"/>
  <c r="AE21" i="31"/>
  <c r="E21" i="31" s="1"/>
  <c r="AG26" i="31"/>
  <c r="G26" i="31" s="1"/>
  <c r="AH38" i="31"/>
  <c r="H38" i="31" s="1"/>
  <c r="AD30" i="31"/>
  <c r="D30" i="31" s="1"/>
  <c r="AF15" i="31"/>
  <c r="F15" i="31" s="1"/>
  <c r="AD12" i="31"/>
  <c r="D12" i="31" s="1"/>
  <c r="AM23" i="31"/>
  <c r="M23" i="31" s="1"/>
  <c r="AD20" i="31"/>
  <c r="D20" i="31" s="1"/>
  <c r="AB31" i="31"/>
  <c r="B31" i="31" s="1"/>
  <c r="AK9" i="31"/>
  <c r="K9" i="31" s="1"/>
  <c r="AO12" i="31"/>
  <c r="O12" i="31" s="1"/>
  <c r="AM16" i="31"/>
  <c r="M16" i="31" s="1"/>
  <c r="AK20" i="31"/>
  <c r="K20" i="31" s="1"/>
  <c r="AN11" i="31"/>
  <c r="N11" i="31" s="1"/>
  <c r="AL15" i="31"/>
  <c r="L15" i="31" s="1"/>
  <c r="AJ9" i="31"/>
  <c r="J9" i="31" s="1"/>
  <c r="AK11" i="31"/>
  <c r="K11" i="31" s="1"/>
  <c r="AL17" i="31"/>
  <c r="L17" i="31" s="1"/>
  <c r="AN21" i="31"/>
  <c r="N21" i="31" s="1"/>
  <c r="AL24" i="31"/>
  <c r="L24" i="31" s="1"/>
  <c r="AJ28" i="31"/>
  <c r="J28" i="31" s="1"/>
  <c r="AN30" i="31"/>
  <c r="N30" i="31" s="1"/>
  <c r="L33" i="31"/>
  <c r="AJ37" i="31"/>
  <c r="J37" i="31" s="1"/>
  <c r="AN39" i="31"/>
  <c r="N39" i="31" s="1"/>
  <c r="AI32" i="31"/>
  <c r="I32" i="31" s="1"/>
  <c r="AI15" i="31"/>
  <c r="I15" i="31" s="1"/>
  <c r="AC21" i="31"/>
  <c r="C21" i="31" s="1"/>
  <c r="AG23" i="31"/>
  <c r="G23" i="31" s="1"/>
  <c r="AE26" i="31"/>
  <c r="E26" i="31" s="1"/>
  <c r="AH35" i="31"/>
  <c r="H35" i="31" s="1"/>
  <c r="AF38" i="31"/>
  <c r="F38" i="31" s="1"/>
  <c r="AB37" i="31"/>
  <c r="B37" i="31" s="1"/>
  <c r="AH29" i="31"/>
  <c r="H29" i="31" s="1"/>
  <c r="AF32" i="31"/>
  <c r="F32" i="31" s="1"/>
  <c r="AD15" i="31"/>
  <c r="D15" i="31" s="1"/>
  <c r="AH17" i="31"/>
  <c r="H17" i="31" s="1"/>
  <c r="AH11" i="31"/>
  <c r="H11" i="31" s="1"/>
  <c r="AL16" i="31"/>
  <c r="L16" i="31" s="1"/>
  <c r="AK21" i="31"/>
  <c r="K21" i="31" s="1"/>
  <c r="AO23" i="31"/>
  <c r="O23" i="31" s="1"/>
  <c r="AM26" i="31"/>
  <c r="M26" i="31" s="1"/>
  <c r="AK30" i="31"/>
  <c r="K30" i="31" s="1"/>
  <c r="AO32" i="31"/>
  <c r="O32" i="31" s="1"/>
  <c r="AM36" i="31"/>
  <c r="M36" i="31" s="1"/>
  <c r="AK39" i="31"/>
  <c r="K39" i="31" s="1"/>
  <c r="AI29" i="31"/>
  <c r="I29" i="31" s="1"/>
  <c r="AI35" i="31"/>
  <c r="I35" i="31" s="1"/>
  <c r="AF20" i="31"/>
  <c r="F20" i="31" s="1"/>
  <c r="AD23" i="31"/>
  <c r="D23" i="31" s="1"/>
  <c r="AH25" i="31"/>
  <c r="H25" i="31" s="1"/>
  <c r="AE35" i="31"/>
  <c r="E35" i="31" s="1"/>
  <c r="AC38" i="31"/>
  <c r="C38" i="31" s="1"/>
  <c r="AG40" i="31"/>
  <c r="G40" i="31" s="1"/>
  <c r="AE29" i="31"/>
  <c r="E29" i="31" s="1"/>
  <c r="AC32" i="31"/>
  <c r="C32" i="31" s="1"/>
  <c r="B33" i="31"/>
  <c r="AE17" i="31"/>
  <c r="E17" i="31" s="1"/>
  <c r="AE11" i="31"/>
  <c r="E11" i="31" s="1"/>
  <c r="AO11" i="31"/>
  <c r="O11" i="31" s="1"/>
  <c r="AN22" i="31"/>
  <c r="N22" i="31" s="1"/>
  <c r="AJ29" i="31"/>
  <c r="J29" i="31" s="1"/>
  <c r="AL35" i="31"/>
  <c r="L35" i="31" s="1"/>
  <c r="AN40" i="31"/>
  <c r="N40" i="31" s="1"/>
  <c r="AF13" i="31"/>
  <c r="F13" i="31" s="1"/>
  <c r="AG24" i="31"/>
  <c r="G24" i="31" s="1"/>
  <c r="AH36" i="31"/>
  <c r="H36" i="31" s="1"/>
  <c r="AD28" i="31"/>
  <c r="D28" i="31" s="1"/>
  <c r="F33" i="31"/>
  <c r="AH18" i="31"/>
  <c r="H18" i="31" s="1"/>
  <c r="AH9" i="31"/>
  <c r="H9" i="31" s="1"/>
  <c r="AM21" i="31"/>
  <c r="M21" i="31" s="1"/>
  <c r="AO26" i="31"/>
  <c r="O26" i="31" s="1"/>
  <c r="K33" i="31"/>
  <c r="AM39" i="31"/>
  <c r="M39" i="31" s="1"/>
  <c r="AI20" i="31"/>
  <c r="I20" i="31" s="1"/>
  <c r="AF23" i="31"/>
  <c r="F23" i="31" s="1"/>
  <c r="AG35" i="31"/>
  <c r="G35" i="31" s="1"/>
  <c r="AB36" i="31"/>
  <c r="B36" i="31" s="1"/>
  <c r="AE32" i="31"/>
  <c r="E32" i="31" s="1"/>
  <c r="AG17" i="31"/>
  <c r="G17" i="31" s="1"/>
  <c r="E9" i="31"/>
  <c r="AM20" i="31"/>
  <c r="M20" i="31" s="1"/>
  <c r="AJ26" i="31"/>
  <c r="J26" i="31" s="1"/>
  <c r="AL32" i="31"/>
  <c r="L32" i="31" s="1"/>
  <c r="AN38" i="31"/>
  <c r="N38" i="31" s="1"/>
  <c r="AI18" i="31"/>
  <c r="I18" i="31" s="1"/>
  <c r="AG22" i="31"/>
  <c r="G22" i="31" s="1"/>
  <c r="AB20" i="31"/>
  <c r="B20" i="31" s="1"/>
  <c r="AD40" i="31"/>
  <c r="D40" i="31" s="1"/>
  <c r="AF31" i="31"/>
  <c r="F31" i="31" s="1"/>
  <c r="AH16" i="31"/>
  <c r="H16" i="31" s="1"/>
  <c r="AB12" i="31"/>
  <c r="B12" i="31" s="1"/>
  <c r="AO29" i="31"/>
  <c r="O29" i="31" s="1"/>
  <c r="AF25" i="31"/>
  <c r="F25" i="31" s="1"/>
  <c r="AC11" i="31"/>
  <c r="C11" i="31" s="1"/>
  <c r="AO9" i="31"/>
  <c r="O9" i="31" s="1"/>
  <c r="AM13" i="31"/>
  <c r="M13" i="31" s="1"/>
  <c r="AK17" i="31"/>
  <c r="K17" i="31" s="1"/>
  <c r="AO20" i="31"/>
  <c r="O20" i="31" s="1"/>
  <c r="AL12" i="31"/>
  <c r="L12" i="31" s="1"/>
  <c r="AJ16" i="31"/>
  <c r="J16" i="31" s="1"/>
  <c r="AN9" i="31"/>
  <c r="N9" i="31" s="1"/>
  <c r="AM12" i="31"/>
  <c r="M12" i="31" s="1"/>
  <c r="AK18" i="31"/>
  <c r="K18" i="31" s="1"/>
  <c r="AL22" i="31"/>
  <c r="L22" i="31" s="1"/>
  <c r="AJ25" i="31"/>
  <c r="J25" i="31" s="1"/>
  <c r="AN28" i="31"/>
  <c r="N28" i="31" s="1"/>
  <c r="AL31" i="31"/>
  <c r="L31" i="31" s="1"/>
  <c r="AJ35" i="31"/>
  <c r="J35" i="31" s="1"/>
  <c r="AN37" i="31"/>
  <c r="N37" i="31" s="1"/>
  <c r="AL40" i="31"/>
  <c r="L40" i="31" s="1"/>
  <c r="AI23" i="31"/>
  <c r="I23" i="31" s="1"/>
  <c r="AD13" i="31"/>
  <c r="D13" i="31" s="1"/>
  <c r="AG21" i="31"/>
  <c r="G21" i="31" s="1"/>
  <c r="AE24" i="31"/>
  <c r="E24" i="31" s="1"/>
  <c r="AB21" i="31"/>
  <c r="B21" i="31" s="1"/>
  <c r="AF36" i="31"/>
  <c r="F36" i="31" s="1"/>
  <c r="AD39" i="31"/>
  <c r="D39" i="31" s="1"/>
  <c r="AB35" i="31"/>
  <c r="B35" i="31" s="1"/>
  <c r="AF30" i="31"/>
  <c r="F30" i="31" s="1"/>
  <c r="D33" i="31"/>
  <c r="AH15" i="31"/>
  <c r="H15" i="31" s="1"/>
  <c r="AF18" i="31"/>
  <c r="F18" i="31" s="1"/>
  <c r="AL11" i="31"/>
  <c r="L11" i="31" s="1"/>
  <c r="AM17" i="31"/>
  <c r="M17" i="31" s="1"/>
  <c r="AO21" i="31"/>
  <c r="O21" i="31" s="1"/>
  <c r="AM24" i="31"/>
  <c r="M24" i="31" s="1"/>
  <c r="AK28" i="31"/>
  <c r="K28" i="31" s="1"/>
  <c r="AO30" i="31"/>
  <c r="O30" i="31" s="1"/>
  <c r="M33" i="31"/>
  <c r="AK37" i="31"/>
  <c r="K37" i="31" s="1"/>
  <c r="AO39" i="31"/>
  <c r="O39" i="31" s="1"/>
  <c r="I33" i="31"/>
  <c r="AI11" i="31"/>
  <c r="I11" i="31" s="1"/>
  <c r="AD21" i="31"/>
  <c r="D21" i="31" s="1"/>
  <c r="AH23" i="31"/>
  <c r="H23" i="31" s="1"/>
  <c r="AF26" i="31"/>
  <c r="F26" i="31" s="1"/>
  <c r="AC36" i="31"/>
  <c r="C36" i="31" s="1"/>
  <c r="AG38" i="31"/>
  <c r="G38" i="31" s="1"/>
  <c r="AB38" i="31"/>
  <c r="B38" i="31" s="1"/>
  <c r="AC30" i="31"/>
  <c r="C30" i="31" s="1"/>
  <c r="AG32" i="31"/>
  <c r="G32" i="31" s="1"/>
  <c r="AE15" i="31"/>
  <c r="E15" i="31" s="1"/>
  <c r="AC18" i="31"/>
  <c r="C18" i="31" s="1"/>
  <c r="AC12" i="31"/>
  <c r="C12" i="31" s="1"/>
  <c r="AO16" i="31"/>
  <c r="O16" i="31" s="1"/>
  <c r="AJ24" i="31"/>
  <c r="J24" i="31" s="1"/>
  <c r="AL30" i="31"/>
  <c r="L30" i="31" s="1"/>
  <c r="AN36" i="31"/>
  <c r="N36" i="31" s="1"/>
  <c r="AI30" i="31"/>
  <c r="I30" i="31" s="1"/>
  <c r="AG20" i="31"/>
  <c r="G20" i="31" s="1"/>
  <c r="AC26" i="31"/>
  <c r="C26" i="31" s="1"/>
  <c r="AD38" i="31"/>
  <c r="D38" i="31" s="1"/>
  <c r="AF29" i="31"/>
  <c r="F29" i="31" s="1"/>
  <c r="AB28" i="31"/>
  <c r="B28" i="31" s="1"/>
  <c r="AF11" i="31"/>
  <c r="F11" i="31" s="1"/>
  <c r="AK13" i="31"/>
  <c r="K13" i="31" s="1"/>
  <c r="AO22" i="31"/>
  <c r="O22" i="31" s="1"/>
  <c r="AK29" i="31"/>
  <c r="K29" i="31" s="1"/>
  <c r="AM35" i="31"/>
  <c r="M35" i="31" s="1"/>
  <c r="AO40" i="31"/>
  <c r="O40" i="31" s="1"/>
  <c r="AG13" i="31"/>
  <c r="G13" i="31" s="1"/>
  <c r="AH24" i="31"/>
  <c r="H24" i="31" s="1"/>
  <c r="AC37" i="31"/>
  <c r="C37" i="31" s="1"/>
  <c r="AE28" i="31"/>
  <c r="E28" i="31" s="1"/>
  <c r="G33" i="31"/>
  <c r="AB16" i="31"/>
  <c r="B16" i="31" s="1"/>
  <c r="AB9" i="31"/>
  <c r="B9" i="31" s="1"/>
  <c r="AJ22" i="31"/>
  <c r="J22" i="31" s="1"/>
  <c r="AL28" i="31"/>
  <c r="L28" i="31" s="1"/>
  <c r="N33" i="31"/>
  <c r="AJ40" i="31"/>
  <c r="J40" i="31" s="1"/>
  <c r="AI9" i="31"/>
  <c r="I9" i="31" s="1"/>
  <c r="AC24" i="31"/>
  <c r="C24" i="31" s="1"/>
  <c r="AD36" i="31"/>
  <c r="D36" i="31" s="1"/>
  <c r="AB39" i="31"/>
  <c r="B39" i="31" s="1"/>
  <c r="AH32" i="31"/>
  <c r="H32" i="31" s="1"/>
  <c r="AD18" i="31"/>
  <c r="D18" i="31" s="1"/>
  <c r="F9" i="31"/>
  <c r="AK36" i="31"/>
  <c r="K36" i="31" s="1"/>
  <c r="AG37" i="31"/>
  <c r="G37" i="31" s="1"/>
  <c r="AM11" i="31"/>
  <c r="M11" i="31" s="1"/>
  <c r="AK15" i="31"/>
  <c r="K15" i="31" s="1"/>
  <c r="AO17" i="31"/>
  <c r="O17" i="31" s="1"/>
  <c r="AL9" i="31"/>
  <c r="L9" i="31" s="1"/>
  <c r="AJ13" i="31"/>
  <c r="J13" i="31" s="1"/>
  <c r="AN16" i="31"/>
  <c r="N16" i="31" s="1"/>
  <c r="AJ12" i="31"/>
  <c r="J12" i="31" s="1"/>
  <c r="AO13" i="31"/>
  <c r="O13" i="31" s="1"/>
  <c r="AJ20" i="31"/>
  <c r="J20" i="31" s="1"/>
  <c r="AJ23" i="31"/>
  <c r="J23" i="31" s="1"/>
  <c r="AN25" i="31"/>
  <c r="N25" i="31" s="1"/>
  <c r="AL29" i="31"/>
  <c r="L29" i="31" s="1"/>
  <c r="AJ32" i="31"/>
  <c r="J32" i="31" s="1"/>
  <c r="AN35" i="31"/>
  <c r="N35" i="31" s="1"/>
  <c r="AL38" i="31"/>
  <c r="L38" i="31" s="1"/>
  <c r="AI36" i="31"/>
  <c r="I36" i="31" s="1"/>
  <c r="AI16" i="31"/>
  <c r="I16" i="31" s="1"/>
  <c r="AH13" i="31"/>
  <c r="H13" i="31" s="1"/>
  <c r="AE22" i="31"/>
  <c r="E22" i="31" s="1"/>
  <c r="AC25" i="31"/>
  <c r="C25" i="31" s="1"/>
  <c r="AB25" i="31"/>
  <c r="B25" i="31" s="1"/>
  <c r="AD37" i="31"/>
  <c r="D37" i="31" s="1"/>
  <c r="AH39" i="31"/>
  <c r="H39" i="31" s="1"/>
  <c r="AF28" i="31"/>
  <c r="F28" i="31" s="1"/>
  <c r="AD31" i="31"/>
  <c r="D31" i="31" s="1"/>
  <c r="H33" i="31"/>
  <c r="AF16" i="31"/>
  <c r="F16" i="31" s="1"/>
  <c r="AB17" i="31"/>
  <c r="B17" i="31" s="1"/>
  <c r="AN12" i="31"/>
  <c r="N12" i="31" s="1"/>
  <c r="AL18" i="31"/>
  <c r="L18" i="31" s="1"/>
  <c r="AM22" i="31"/>
  <c r="M22" i="31" s="1"/>
  <c r="AK25" i="31"/>
  <c r="K25" i="31" s="1"/>
  <c r="AO28" i="31"/>
  <c r="O28" i="31" s="1"/>
  <c r="AM31" i="31"/>
  <c r="M31" i="31" s="1"/>
  <c r="AK35" i="31"/>
  <c r="K35" i="31" s="1"/>
  <c r="AO37" i="31"/>
  <c r="O37" i="31" s="1"/>
  <c r="AM40" i="31"/>
  <c r="M40" i="31" s="1"/>
  <c r="AI24" i="31"/>
  <c r="I24" i="31" s="1"/>
  <c r="AE13" i="31"/>
  <c r="E13" i="31" s="1"/>
  <c r="AH21" i="31"/>
  <c r="H21" i="31" s="1"/>
  <c r="AF24" i="31"/>
  <c r="F24" i="31" s="1"/>
  <c r="AB22" i="31"/>
  <c r="B22" i="31" s="1"/>
  <c r="AG36" i="31"/>
  <c r="G36" i="31" s="1"/>
  <c r="AE39" i="31"/>
  <c r="E39" i="31" s="1"/>
  <c r="AC28" i="31"/>
  <c r="C28" i="31" s="1"/>
  <c r="AG30" i="31"/>
  <c r="G30" i="31" s="1"/>
  <c r="E33" i="31"/>
  <c r="AC16" i="31"/>
  <c r="C16" i="31" s="1"/>
  <c r="AG18" i="31"/>
  <c r="G18" i="31" s="1"/>
  <c r="AG12" i="31"/>
  <c r="G12" i="31" s="1"/>
  <c r="AN18" i="31"/>
  <c r="N18" i="31" s="1"/>
  <c r="AL25" i="31"/>
  <c r="L25" i="31" s="1"/>
  <c r="AN31" i="31"/>
  <c r="N31" i="31" s="1"/>
  <c r="AJ38" i="31"/>
  <c r="J38" i="31" s="1"/>
  <c r="AI25" i="31"/>
  <c r="I25" i="31" s="1"/>
  <c r="AC22" i="31"/>
  <c r="C22" i="31" s="1"/>
  <c r="AB23" i="31"/>
  <c r="B23" i="31" s="1"/>
  <c r="AF39" i="31"/>
  <c r="F39" i="31" s="1"/>
  <c r="AH30" i="31"/>
  <c r="H30" i="31" s="1"/>
  <c r="AD16" i="31"/>
  <c r="D16" i="31" s="1"/>
  <c r="AF12" i="31"/>
  <c r="F12" i="31" s="1"/>
  <c r="AJ17" i="31"/>
  <c r="J17" i="31" s="1"/>
  <c r="AK24" i="31"/>
  <c r="K24" i="31" s="1"/>
  <c r="AM30" i="31"/>
  <c r="M30" i="31" s="1"/>
  <c r="AO36" i="31"/>
  <c r="O36" i="31" s="1"/>
  <c r="AI31" i="31"/>
  <c r="I31" i="31" s="1"/>
  <c r="AH20" i="31"/>
  <c r="H20" i="31" s="1"/>
  <c r="AD26" i="31"/>
  <c r="D26" i="31" s="1"/>
  <c r="AE38" i="31"/>
  <c r="E38" i="31" s="1"/>
  <c r="AG29" i="31"/>
  <c r="G29" i="31" s="1"/>
  <c r="AC15" i="31"/>
  <c r="C15" i="31" s="1"/>
  <c r="AG11" i="31"/>
  <c r="G11" i="31" s="1"/>
  <c r="AM15" i="31"/>
  <c r="M15" i="31" s="1"/>
  <c r="AL23" i="31"/>
  <c r="L23" i="31" s="1"/>
  <c r="AN29" i="31"/>
  <c r="N29" i="31" s="1"/>
  <c r="AJ36" i="31"/>
  <c r="J36" i="31" s="1"/>
  <c r="AI38" i="31"/>
  <c r="I38" i="31" s="1"/>
  <c r="AC20" i="31"/>
  <c r="C20" i="31" s="1"/>
  <c r="AE25" i="31"/>
  <c r="E25" i="31" s="1"/>
  <c r="AF37" i="31"/>
  <c r="F37" i="31" s="1"/>
  <c r="AH28" i="31"/>
  <c r="H28" i="31" s="1"/>
  <c r="AB30" i="31"/>
  <c r="B30" i="31" s="1"/>
  <c r="AB15" i="31"/>
  <c r="B15" i="31" s="1"/>
  <c r="AN15" i="31"/>
  <c r="N15" i="31" s="1"/>
  <c r="AI39" i="31"/>
  <c r="I39" i="31" s="1"/>
  <c r="AC29" i="31"/>
  <c r="C29" i="31" s="1"/>
  <c r="AO24" i="31"/>
  <c r="O24" i="31" s="1"/>
  <c r="AF21" i="31"/>
  <c r="F21" i="31" s="1"/>
  <c r="AG15" i="31"/>
  <c r="G15" i="31" s="1"/>
  <c r="AK26" i="31"/>
  <c r="K26" i="31" s="1"/>
  <c r="AH22" i="31"/>
  <c r="H22" i="31" s="1"/>
  <c r="AC17" i="31"/>
  <c r="C17" i="31" s="1"/>
  <c r="AE18" i="31"/>
  <c r="E18" i="31" s="1"/>
  <c r="O33" i="31"/>
  <c r="AB40" i="31"/>
  <c r="B40" i="31" s="1"/>
  <c r="AK31" i="31"/>
  <c r="K31" i="31" s="1"/>
  <c r="AH26" i="31"/>
  <c r="H26" i="31" s="1"/>
  <c r="AE12" i="31"/>
  <c r="E12" i="31" s="1"/>
  <c r="AM32" i="31"/>
  <c r="M32" i="31" s="1"/>
  <c r="AC35" i="31"/>
  <c r="C35" i="31" s="1"/>
  <c r="AB11" i="31"/>
  <c r="B11" i="31" s="1"/>
  <c r="AK22" i="31"/>
  <c r="K22" i="31" s="1"/>
  <c r="AE36" i="31"/>
  <c r="E36" i="31" s="1"/>
  <c r="AM37" i="31"/>
  <c r="M37" i="31" s="1"/>
  <c r="AC39" i="31"/>
  <c r="C39" i="31" s="1"/>
  <c r="AO38" i="31"/>
  <c r="O38" i="31" s="1"/>
  <c r="AE40" i="31"/>
  <c r="E40" i="31" s="1"/>
  <c r="AC13" i="31"/>
  <c r="C13" i="31" s="1"/>
  <c r="AM28" i="31"/>
  <c r="M28" i="31" s="1"/>
  <c r="G9" i="31"/>
  <c r="AK40" i="31"/>
  <c r="K40" i="31" s="1"/>
  <c r="AJ18" i="31"/>
  <c r="J18" i="31" s="1"/>
  <c r="AI22" i="31"/>
  <c r="I22" i="31" s="1"/>
  <c r="AE30" i="31"/>
  <c r="E30" i="31" s="1"/>
  <c r="AN20" i="31"/>
  <c r="N20" i="31" s="1"/>
  <c r="AI13" i="31"/>
  <c r="I13" i="31" s="1"/>
  <c r="AG31" i="31"/>
  <c r="G31" i="31" s="1"/>
  <c r="C33" i="31"/>
  <c r="AD24" i="31"/>
  <c r="D24" i="31" s="1"/>
  <c r="AA6" i="30"/>
  <c r="AA6" i="29"/>
  <c r="AA6" i="26"/>
  <c r="AA6" i="27"/>
  <c r="AC13" i="29" l="1"/>
  <c r="AD13" i="29"/>
  <c r="AE13" i="29"/>
  <c r="AG13" i="29"/>
  <c r="AB13" i="29"/>
  <c r="AF13" i="29"/>
  <c r="AP21" i="27"/>
  <c r="AP13" i="27"/>
  <c r="AF13" i="27"/>
  <c r="AF21" i="27"/>
  <c r="AK21" i="27"/>
  <c r="AE13" i="27"/>
  <c r="AK13" i="27"/>
  <c r="AP34" i="26"/>
  <c r="AC13" i="26"/>
  <c r="C13" i="26" s="1"/>
  <c r="AE13" i="26"/>
  <c r="E13" i="26" s="1"/>
  <c r="AB13" i="26"/>
  <c r="AH13" i="26"/>
  <c r="H13" i="26" s="1"/>
  <c r="AG13" i="26"/>
  <c r="G13" i="26" s="1"/>
  <c r="AD13" i="26"/>
  <c r="D13" i="26" s="1"/>
  <c r="AF13" i="26"/>
  <c r="F13" i="26" s="1"/>
  <c r="AP13" i="29"/>
  <c r="AO40" i="29"/>
  <c r="AQ21" i="29"/>
  <c r="AS18" i="29"/>
  <c r="AQ13" i="29"/>
  <c r="AO41" i="29"/>
  <c r="AO37" i="29"/>
  <c r="AP40" i="29"/>
  <c r="AP29" i="29"/>
  <c r="AP33" i="29"/>
  <c r="AP28" i="29"/>
  <c r="AS23" i="29"/>
  <c r="AQ12" i="29"/>
  <c r="AO26" i="29"/>
  <c r="AS41" i="29"/>
  <c r="AS37" i="29"/>
  <c r="AN36" i="29"/>
  <c r="AO30" i="29"/>
  <c r="AP35" i="29"/>
  <c r="AR30" i="29"/>
  <c r="AN22" i="29"/>
  <c r="AS26" i="29"/>
  <c r="AQ35" i="29"/>
  <c r="AR38" i="29"/>
  <c r="AN40" i="29"/>
  <c r="AS30" i="29"/>
  <c r="AR37" i="29"/>
  <c r="AN29" i="29"/>
  <c r="AQ16" i="29"/>
  <c r="AQ33" i="29"/>
  <c r="AP36" i="29"/>
  <c r="AQ39" i="29"/>
  <c r="AQ28" i="29"/>
  <c r="AR31" i="29"/>
  <c r="AN30" i="29"/>
  <c r="AQ22" i="29"/>
  <c r="AR25" i="29"/>
  <c r="AR16" i="29"/>
  <c r="AO11" i="29"/>
  <c r="AS9" i="29"/>
  <c r="AQ41" i="29"/>
  <c r="AR40" i="29"/>
  <c r="AS32" i="29"/>
  <c r="AP25" i="29"/>
  <c r="AQ11" i="29"/>
  <c r="AN33" i="29"/>
  <c r="AS29" i="29"/>
  <c r="AQ25" i="29"/>
  <c r="AR9" i="29"/>
  <c r="AP26" i="29"/>
  <c r="AN41" i="29"/>
  <c r="AO38" i="29"/>
  <c r="AN37" i="29"/>
  <c r="AP30" i="29"/>
  <c r="AN31" i="29"/>
  <c r="AR22" i="29"/>
  <c r="AS25" i="29"/>
  <c r="AS16" i="29"/>
  <c r="AP11" i="29"/>
  <c r="AN9" i="29"/>
  <c r="AO20" i="29"/>
  <c r="AP23" i="29"/>
  <c r="AN23" i="29"/>
  <c r="AQ17" i="29"/>
  <c r="AS11" i="29"/>
  <c r="AS35" i="29"/>
  <c r="AO28" i="29"/>
  <c r="AP21" i="29"/>
  <c r="AN25" i="29"/>
  <c r="AN12" i="29"/>
  <c r="AO36" i="29"/>
  <c r="AP32" i="29"/>
  <c r="AR15" i="29"/>
  <c r="AN26" i="29"/>
  <c r="AR35" i="29"/>
  <c r="AS38" i="29"/>
  <c r="AN35" i="29"/>
  <c r="AO31" i="29"/>
  <c r="AP20" i="29"/>
  <c r="AQ23" i="29"/>
  <c r="AN24" i="29"/>
  <c r="AR17" i="29"/>
  <c r="AO12" i="29"/>
  <c r="AS20" i="29"/>
  <c r="AO15" i="29"/>
  <c r="AR12" i="29"/>
  <c r="AS13" i="29"/>
  <c r="AR29" i="29"/>
  <c r="AP16" i="29"/>
  <c r="AR20" i="29"/>
  <c r="AR33" i="29"/>
  <c r="AR39" i="29"/>
  <c r="AS31" i="29"/>
  <c r="AP24" i="29"/>
  <c r="AQ18" i="29"/>
  <c r="AS33" i="29"/>
  <c r="AS39" i="29"/>
  <c r="AO32" i="29"/>
  <c r="AR23" i="29"/>
  <c r="AS17" i="29"/>
  <c r="AR41" i="29"/>
  <c r="AO29" i="29"/>
  <c r="AR24" i="29"/>
  <c r="AN11" i="29"/>
  <c r="AP18" i="29"/>
  <c r="AS22" i="29"/>
  <c r="AQ38" i="29"/>
  <c r="AR28" i="29"/>
  <c r="AP15" i="29"/>
  <c r="AO13" i="29"/>
  <c r="AQ20" i="29"/>
  <c r="AP12" i="29"/>
  <c r="AN28" i="29"/>
  <c r="AQ32" i="29"/>
  <c r="AO39" i="29"/>
  <c r="AR11" i="29"/>
  <c r="AP37" i="29"/>
  <c r="AS21" i="29"/>
  <c r="AP9" i="29"/>
  <c r="AP38" i="29"/>
  <c r="AO22" i="29"/>
  <c r="AQ9" i="29"/>
  <c r="AR26" i="29"/>
  <c r="AN15" i="29"/>
  <c r="AR21" i="29"/>
  <c r="AS15" i="29"/>
  <c r="AO9" i="29"/>
  <c r="AO33" i="29"/>
  <c r="AP31" i="29"/>
  <c r="AR18" i="29"/>
  <c r="AN13" i="29"/>
  <c r="AO23" i="29"/>
  <c r="AP41" i="29"/>
  <c r="AQ40" i="29"/>
  <c r="AR32" i="29"/>
  <c r="AO25" i="29"/>
  <c r="AN17" i="29"/>
  <c r="AO35" i="29"/>
  <c r="AN38" i="29"/>
  <c r="AN32" i="29"/>
  <c r="AN21" i="29"/>
  <c r="AN18" i="29"/>
  <c r="AS36" i="29"/>
  <c r="AQ31" i="29"/>
  <c r="AN20" i="29"/>
  <c r="AO24" i="29"/>
  <c r="AQ37" i="29"/>
  <c r="AO18" i="29"/>
  <c r="AQ36" i="29"/>
  <c r="AO21" i="29"/>
  <c r="AS12" i="29"/>
  <c r="AR36" i="29"/>
  <c r="AS28" i="29"/>
  <c r="AQ15" i="29"/>
  <c r="AP39" i="29"/>
  <c r="AP17" i="29"/>
  <c r="AS24" i="29"/>
  <c r="AN16" i="29"/>
  <c r="AQ24" i="29"/>
  <c r="AS40" i="29"/>
  <c r="AR13" i="29"/>
  <c r="AQ29" i="29"/>
  <c r="AO16" i="29"/>
  <c r="AQ26" i="29"/>
  <c r="AQ30" i="29"/>
  <c r="AO17" i="29"/>
  <c r="AN39" i="29"/>
  <c r="AP22" i="29"/>
  <c r="AJ26" i="29"/>
  <c r="J26" i="29" s="1"/>
  <c r="AH41" i="29"/>
  <c r="H41" i="29" s="1"/>
  <c r="AI38" i="29"/>
  <c r="I38" i="29" s="1"/>
  <c r="AH37" i="29"/>
  <c r="H37" i="29" s="1"/>
  <c r="AJ30" i="29"/>
  <c r="J30" i="29" s="1"/>
  <c r="AH31" i="29"/>
  <c r="H31" i="29" s="1"/>
  <c r="AL22" i="29"/>
  <c r="L22" i="29" s="1"/>
  <c r="AM25" i="29"/>
  <c r="M25" i="29" s="1"/>
  <c r="AM16" i="29"/>
  <c r="M16" i="29" s="1"/>
  <c r="AJ11" i="29"/>
  <c r="J11" i="29" s="1"/>
  <c r="AH9" i="29"/>
  <c r="H9" i="29" s="1"/>
  <c r="AF26" i="29"/>
  <c r="F26" i="29" s="1"/>
  <c r="AF37" i="29"/>
  <c r="F37" i="29" s="1"/>
  <c r="AG40" i="29"/>
  <c r="G40" i="29" s="1"/>
  <c r="AG29" i="29"/>
  <c r="G29" i="29" s="1"/>
  <c r="AH26" i="29"/>
  <c r="H26" i="29" s="1"/>
  <c r="AL35" i="29"/>
  <c r="L35" i="29" s="1"/>
  <c r="AM38" i="29"/>
  <c r="M38" i="29" s="1"/>
  <c r="AH35" i="29"/>
  <c r="H35" i="29" s="1"/>
  <c r="AI31" i="29"/>
  <c r="I31" i="29" s="1"/>
  <c r="AJ20" i="29"/>
  <c r="J20" i="29" s="1"/>
  <c r="AK23" i="29"/>
  <c r="K23" i="29" s="1"/>
  <c r="AH24" i="29"/>
  <c r="H24" i="29" s="1"/>
  <c r="AL17" i="29"/>
  <c r="L17" i="29" s="1"/>
  <c r="AI12" i="29"/>
  <c r="I12" i="29" s="1"/>
  <c r="AF41" i="29"/>
  <c r="F41" i="29" s="1"/>
  <c r="AD35" i="29"/>
  <c r="D35" i="29" s="1"/>
  <c r="AE38" i="29"/>
  <c r="E38" i="29" s="1"/>
  <c r="AB39" i="29"/>
  <c r="B39" i="29" s="1"/>
  <c r="AF30" i="29"/>
  <c r="F30" i="29" s="1"/>
  <c r="AL33" i="29"/>
  <c r="L33" i="29" s="1"/>
  <c r="AK36" i="29"/>
  <c r="K36" i="29" s="1"/>
  <c r="AL39" i="29"/>
  <c r="L39" i="29" s="1"/>
  <c r="AL28" i="29"/>
  <c r="L28" i="29" s="1"/>
  <c r="AM31" i="29"/>
  <c r="M31" i="29" s="1"/>
  <c r="AI21" i="29"/>
  <c r="I21" i="29" s="1"/>
  <c r="AJ24" i="29"/>
  <c r="J24" i="29" s="1"/>
  <c r="AJ15" i="29"/>
  <c r="J15" i="29" s="1"/>
  <c r="AK18" i="29"/>
  <c r="K18" i="29" s="1"/>
  <c r="AM12" i="29"/>
  <c r="M12" i="29" s="1"/>
  <c r="AD33" i="29"/>
  <c r="D33" i="29" s="1"/>
  <c r="AC36" i="29"/>
  <c r="C36" i="29" s="1"/>
  <c r="AD39" i="29"/>
  <c r="D39" i="29" s="1"/>
  <c r="AD28" i="29"/>
  <c r="D28" i="29" s="1"/>
  <c r="AE31" i="29"/>
  <c r="E31" i="29" s="1"/>
  <c r="AL13" i="29"/>
  <c r="L13" i="29" s="1"/>
  <c r="AJ41" i="29"/>
  <c r="J41" i="29" s="1"/>
  <c r="AJ37" i="29"/>
  <c r="J37" i="29" s="1"/>
  <c r="AK40" i="29"/>
  <c r="K40" i="29" s="1"/>
  <c r="AK29" i="29"/>
  <c r="K29" i="29" s="1"/>
  <c r="AL32" i="29"/>
  <c r="L32" i="29" s="1"/>
  <c r="AM21" i="29"/>
  <c r="M21" i="29" s="1"/>
  <c r="AI25" i="29"/>
  <c r="I25" i="29" s="1"/>
  <c r="AI16" i="29"/>
  <c r="I16" i="29" s="1"/>
  <c r="AH17" i="29"/>
  <c r="H17" i="29" s="1"/>
  <c r="AJ9" i="29"/>
  <c r="J9" i="29" s="1"/>
  <c r="AB33" i="29"/>
  <c r="B33" i="29" s="1"/>
  <c r="AG36" i="29"/>
  <c r="G36" i="29" s="1"/>
  <c r="AC40" i="29"/>
  <c r="C40" i="29" s="1"/>
  <c r="AC29" i="29"/>
  <c r="C29" i="29" s="1"/>
  <c r="AD32" i="29"/>
  <c r="D32" i="29" s="1"/>
  <c r="AB29" i="29"/>
  <c r="B29" i="29" s="1"/>
  <c r="AD22" i="29"/>
  <c r="D22" i="29" s="1"/>
  <c r="AE25" i="29"/>
  <c r="E25" i="29" s="1"/>
  <c r="AE12" i="29"/>
  <c r="E12" i="29" s="1"/>
  <c r="AC16" i="29"/>
  <c r="C16" i="29" s="1"/>
  <c r="AB17" i="29"/>
  <c r="B17" i="29" s="1"/>
  <c r="AM13" i="29"/>
  <c r="M13" i="29" s="1"/>
  <c r="AK41" i="29"/>
  <c r="K41" i="29" s="1"/>
  <c r="AK37" i="29"/>
  <c r="K37" i="29" s="1"/>
  <c r="AL40" i="29"/>
  <c r="L40" i="29" s="1"/>
  <c r="AL29" i="29"/>
  <c r="L29" i="29" s="1"/>
  <c r="AM32" i="29"/>
  <c r="M32" i="29" s="1"/>
  <c r="AI22" i="29"/>
  <c r="I22" i="29" s="1"/>
  <c r="AJ25" i="29"/>
  <c r="J25" i="29" s="1"/>
  <c r="AJ16" i="29"/>
  <c r="J16" i="29" s="1"/>
  <c r="AH18" i="29"/>
  <c r="H18" i="29" s="1"/>
  <c r="AK9" i="29"/>
  <c r="K9" i="29" s="1"/>
  <c r="AC26" i="29"/>
  <c r="C26" i="29" s="1"/>
  <c r="AC37" i="29"/>
  <c r="C37" i="29" s="1"/>
  <c r="AD40" i="29"/>
  <c r="D40" i="29" s="1"/>
  <c r="AD29" i="29"/>
  <c r="D29" i="29" s="1"/>
  <c r="AE32" i="29"/>
  <c r="E32" i="29" s="1"/>
  <c r="AF21" i="29"/>
  <c r="F21" i="29" s="1"/>
  <c r="AG24" i="29"/>
  <c r="G24" i="29" s="1"/>
  <c r="AG11" i="29"/>
  <c r="G11" i="29" s="1"/>
  <c r="AE15" i="29"/>
  <c r="E15" i="29" s="1"/>
  <c r="AF18" i="29"/>
  <c r="F18" i="29" s="1"/>
  <c r="AH13" i="29"/>
  <c r="H13" i="29" s="1"/>
  <c r="AL41" i="29"/>
  <c r="L41" i="29" s="1"/>
  <c r="AL37" i="29"/>
  <c r="L37" i="29" s="1"/>
  <c r="AM40" i="29"/>
  <c r="M40" i="29" s="1"/>
  <c r="AM29" i="29"/>
  <c r="M29" i="29" s="1"/>
  <c r="AH29" i="29"/>
  <c r="H29" i="29" s="1"/>
  <c r="AJ22" i="29"/>
  <c r="J22" i="29" s="1"/>
  <c r="AK25" i="29"/>
  <c r="K25" i="29" s="1"/>
  <c r="AK16" i="29"/>
  <c r="K16" i="29" s="1"/>
  <c r="AH15" i="29"/>
  <c r="H15" i="29" s="1"/>
  <c r="AL9" i="29"/>
  <c r="L9" i="29" s="1"/>
  <c r="AD26" i="29"/>
  <c r="D26" i="29" s="1"/>
  <c r="AD37" i="29"/>
  <c r="D37" i="29" s="1"/>
  <c r="AE40" i="29"/>
  <c r="E40" i="29" s="1"/>
  <c r="AE29" i="29"/>
  <c r="E29" i="29" s="1"/>
  <c r="AF32" i="29"/>
  <c r="F32" i="29" s="1"/>
  <c r="AH40" i="29"/>
  <c r="H40" i="29" s="1"/>
  <c r="AH23" i="29"/>
  <c r="H23" i="29" s="1"/>
  <c r="AC35" i="29"/>
  <c r="C35" i="29" s="1"/>
  <c r="AB31" i="29"/>
  <c r="B31" i="29" s="1"/>
  <c r="AG25" i="29"/>
  <c r="G25" i="29" s="1"/>
  <c r="AE16" i="29"/>
  <c r="E16" i="29" s="1"/>
  <c r="AK39" i="29"/>
  <c r="K39" i="29" s="1"/>
  <c r="AI24" i="29"/>
  <c r="I24" i="29" s="1"/>
  <c r="AC33" i="29"/>
  <c r="C33" i="29" s="1"/>
  <c r="AD31" i="29"/>
  <c r="D31" i="29" s="1"/>
  <c r="AE24" i="29"/>
  <c r="E24" i="29" s="1"/>
  <c r="AC15" i="29"/>
  <c r="C15" i="29" s="1"/>
  <c r="AK13" i="29"/>
  <c r="K13" i="29" s="1"/>
  <c r="AJ29" i="29"/>
  <c r="J29" i="29" s="1"/>
  <c r="AM15" i="29"/>
  <c r="M15" i="29" s="1"/>
  <c r="AF36" i="29"/>
  <c r="F36" i="29" s="1"/>
  <c r="AD20" i="29"/>
  <c r="D20" i="29" s="1"/>
  <c r="AB24" i="29"/>
  <c r="B24" i="29" s="1"/>
  <c r="AD17" i="29"/>
  <c r="D17" i="29" s="1"/>
  <c r="AH36" i="29"/>
  <c r="H36" i="29" s="1"/>
  <c r="AD25" i="29"/>
  <c r="D25" i="29" s="1"/>
  <c r="AL16" i="29"/>
  <c r="L16" i="29" s="1"/>
  <c r="AE17" i="29"/>
  <c r="E17" i="29" s="1"/>
  <c r="AK22" i="29"/>
  <c r="K22" i="29" s="1"/>
  <c r="AH30" i="29"/>
  <c r="H30" i="29" s="1"/>
  <c r="AD12" i="29"/>
  <c r="D12" i="29" s="1"/>
  <c r="AG9" i="29"/>
  <c r="G9" i="29" s="1"/>
  <c r="AB28" i="29"/>
  <c r="B28" i="29" s="1"/>
  <c r="AC23" i="29"/>
  <c r="C23" i="29" s="1"/>
  <c r="AB22" i="29"/>
  <c r="B22" i="29" s="1"/>
  <c r="D13" i="29"/>
  <c r="AG16" i="29"/>
  <c r="G16" i="29" s="1"/>
  <c r="AD9" i="29"/>
  <c r="D9" i="29" s="1"/>
  <c r="AK26" i="29"/>
  <c r="K26" i="29" s="1"/>
  <c r="AI35" i="29"/>
  <c r="I35" i="29" s="1"/>
  <c r="AJ38" i="29"/>
  <c r="J38" i="29" s="1"/>
  <c r="AH38" i="29"/>
  <c r="H38" i="29" s="1"/>
  <c r="AK30" i="29"/>
  <c r="K30" i="29" s="1"/>
  <c r="AH32" i="29"/>
  <c r="H32" i="29" s="1"/>
  <c r="AM22" i="29"/>
  <c r="M22" i="29" s="1"/>
  <c r="AH21" i="29"/>
  <c r="H21" i="29" s="1"/>
  <c r="AI17" i="29"/>
  <c r="I17" i="29" s="1"/>
  <c r="AK11" i="29"/>
  <c r="K11" i="29" s="1"/>
  <c r="AC41" i="29"/>
  <c r="C41" i="29" s="1"/>
  <c r="AG26" i="29"/>
  <c r="G26" i="29" s="1"/>
  <c r="AG37" i="29"/>
  <c r="G37" i="29" s="1"/>
  <c r="AB36" i="29"/>
  <c r="B36" i="29" s="1"/>
  <c r="AC30" i="29"/>
  <c r="C30" i="29" s="1"/>
  <c r="AB30" i="29"/>
  <c r="B30" i="29" s="1"/>
  <c r="AE22" i="29"/>
  <c r="E22" i="29" s="1"/>
  <c r="AF25" i="29"/>
  <c r="F25" i="29" s="1"/>
  <c r="AF12" i="29"/>
  <c r="F12" i="29" s="1"/>
  <c r="AD16" i="29"/>
  <c r="D16" i="29" s="1"/>
  <c r="AB18" i="29"/>
  <c r="B18" i="29" s="1"/>
  <c r="AL26" i="29"/>
  <c r="L26" i="29" s="1"/>
  <c r="AJ35" i="29"/>
  <c r="J35" i="29" s="1"/>
  <c r="AK38" i="29"/>
  <c r="K38" i="29" s="1"/>
  <c r="AH39" i="29"/>
  <c r="H39" i="29" s="1"/>
  <c r="AL30" i="29"/>
  <c r="L30" i="29" s="1"/>
  <c r="AH28" i="29"/>
  <c r="H28" i="29" s="1"/>
  <c r="AI23" i="29"/>
  <c r="I23" i="29" s="1"/>
  <c r="AH22" i="29"/>
  <c r="H22" i="29" s="1"/>
  <c r="AJ17" i="29"/>
  <c r="J17" i="29" s="1"/>
  <c r="AL11" i="29"/>
  <c r="L11" i="29" s="1"/>
  <c r="AD41" i="29"/>
  <c r="D41" i="29" s="1"/>
  <c r="AB26" i="29"/>
  <c r="B26" i="29" s="1"/>
  <c r="AC38" i="29"/>
  <c r="C38" i="29" s="1"/>
  <c r="AB37" i="29"/>
  <c r="B37" i="29" s="1"/>
  <c r="AD30" i="29"/>
  <c r="D30" i="29" s="1"/>
  <c r="AM26" i="29"/>
  <c r="M26" i="29" s="1"/>
  <c r="AM30" i="29"/>
  <c r="M30" i="29" s="1"/>
  <c r="AK17" i="29"/>
  <c r="K17" i="29" s="1"/>
  <c r="AD38" i="29"/>
  <c r="D38" i="29" s="1"/>
  <c r="AC21" i="29"/>
  <c r="C21" i="29" s="1"/>
  <c r="AD11" i="29"/>
  <c r="D11" i="29" s="1"/>
  <c r="AC18" i="29"/>
  <c r="C18" i="29" s="1"/>
  <c r="AK28" i="29"/>
  <c r="K28" i="29" s="1"/>
  <c r="AI15" i="29"/>
  <c r="I15" i="29" s="1"/>
  <c r="AG35" i="29"/>
  <c r="G35" i="29" s="1"/>
  <c r="AB32" i="29"/>
  <c r="B32" i="29" s="1"/>
  <c r="AB21" i="29"/>
  <c r="B21" i="29" s="1"/>
  <c r="AF16" i="29"/>
  <c r="F16" i="29" s="1"/>
  <c r="AI41" i="29"/>
  <c r="I41" i="29" s="1"/>
  <c r="AK32" i="29"/>
  <c r="K32" i="29" s="1"/>
  <c r="AH16" i="29"/>
  <c r="H16" i="29" s="1"/>
  <c r="AG39" i="29"/>
  <c r="G39" i="29" s="1"/>
  <c r="AG21" i="29"/>
  <c r="G21" i="29" s="1"/>
  <c r="AC12" i="29"/>
  <c r="C12" i="29" s="1"/>
  <c r="AG18" i="29"/>
  <c r="G18" i="29" s="1"/>
  <c r="AL25" i="29"/>
  <c r="L25" i="29" s="1"/>
  <c r="AG15" i="29"/>
  <c r="G15" i="29" s="1"/>
  <c r="AE37" i="29"/>
  <c r="E37" i="29" s="1"/>
  <c r="AF29" i="29"/>
  <c r="F29" i="29" s="1"/>
  <c r="AI11" i="29"/>
  <c r="I11" i="29" s="1"/>
  <c r="AB16" i="29"/>
  <c r="B16" i="29" s="1"/>
  <c r="AM37" i="29"/>
  <c r="M37" i="29" s="1"/>
  <c r="AE30" i="29"/>
  <c r="E30" i="29" s="1"/>
  <c r="AL12" i="29"/>
  <c r="L12" i="29" s="1"/>
  <c r="C13" i="29"/>
  <c r="AJ40" i="29"/>
  <c r="J40" i="29" s="1"/>
  <c r="AG33" i="29"/>
  <c r="G33" i="29" s="1"/>
  <c r="AC25" i="29"/>
  <c r="C25" i="29" s="1"/>
  <c r="AC22" i="29"/>
  <c r="C22" i="29" s="1"/>
  <c r="AF20" i="29"/>
  <c r="F20" i="29" s="1"/>
  <c r="AG23" i="29"/>
  <c r="G23" i="29" s="1"/>
  <c r="AB20" i="29"/>
  <c r="B20" i="29" s="1"/>
  <c r="AB12" i="29"/>
  <c r="B12" i="29" s="1"/>
  <c r="AF17" i="29"/>
  <c r="F17" i="29" s="1"/>
  <c r="AB9" i="29"/>
  <c r="B9" i="29" s="1"/>
  <c r="AI33" i="29"/>
  <c r="I33" i="29" s="1"/>
  <c r="AM35" i="29"/>
  <c r="M35" i="29" s="1"/>
  <c r="AI39" i="29"/>
  <c r="I39" i="29" s="1"/>
  <c r="AI28" i="29"/>
  <c r="I28" i="29" s="1"/>
  <c r="AJ31" i="29"/>
  <c r="J31" i="29" s="1"/>
  <c r="AK20" i="29"/>
  <c r="K20" i="29" s="1"/>
  <c r="AL23" i="29"/>
  <c r="L23" i="29" s="1"/>
  <c r="AH25" i="29"/>
  <c r="H25" i="29" s="1"/>
  <c r="AM17" i="29"/>
  <c r="M17" i="29" s="1"/>
  <c r="AJ12" i="29"/>
  <c r="J12" i="29" s="1"/>
  <c r="AG41" i="29"/>
  <c r="G41" i="29" s="1"/>
  <c r="AE35" i="29"/>
  <c r="E35" i="29" s="1"/>
  <c r="AF38" i="29"/>
  <c r="F38" i="29" s="1"/>
  <c r="AB40" i="29"/>
  <c r="B40" i="29" s="1"/>
  <c r="AG30" i="29"/>
  <c r="G30" i="29" s="1"/>
  <c r="AC20" i="29"/>
  <c r="C20" i="29" s="1"/>
  <c r="AD23" i="29"/>
  <c r="D23" i="29" s="1"/>
  <c r="AB23" i="29"/>
  <c r="B23" i="29" s="1"/>
  <c r="E13" i="29"/>
  <c r="AC17" i="29"/>
  <c r="C17" i="29" s="1"/>
  <c r="AE9" i="29"/>
  <c r="E9" i="29" s="1"/>
  <c r="AJ33" i="29"/>
  <c r="J33" i="29" s="1"/>
  <c r="AI36" i="29"/>
  <c r="I36" i="29" s="1"/>
  <c r="AJ39" i="29"/>
  <c r="J39" i="29" s="1"/>
  <c r="AJ28" i="29"/>
  <c r="J28" i="29" s="1"/>
  <c r="AK31" i="29"/>
  <c r="K31" i="29" s="1"/>
  <c r="AL20" i="29"/>
  <c r="L20" i="29" s="1"/>
  <c r="AM23" i="29"/>
  <c r="M23" i="29" s="1"/>
  <c r="AH20" i="29"/>
  <c r="H20" i="29" s="1"/>
  <c r="AI18" i="29"/>
  <c r="I18" i="29" s="1"/>
  <c r="AK12" i="29"/>
  <c r="K12" i="29" s="1"/>
  <c r="AB41" i="29"/>
  <c r="B41" i="29" s="1"/>
  <c r="AF35" i="29"/>
  <c r="F35" i="29" s="1"/>
  <c r="AG38" i="29"/>
  <c r="G38" i="29" s="1"/>
  <c r="AB35" i="29"/>
  <c r="B35" i="29" s="1"/>
  <c r="AC31" i="29"/>
  <c r="C31" i="29" s="1"/>
  <c r="AK35" i="29"/>
  <c r="K35" i="29" s="1"/>
  <c r="AI20" i="29"/>
  <c r="I20" i="29" s="1"/>
  <c r="AM11" i="29"/>
  <c r="M11" i="29" s="1"/>
  <c r="AB38" i="29"/>
  <c r="B38" i="29" s="1"/>
  <c r="AF22" i="29"/>
  <c r="F22" i="29" s="1"/>
  <c r="AG12" i="29"/>
  <c r="G12" i="29" s="1"/>
  <c r="AB15" i="29"/>
  <c r="B15" i="29" s="1"/>
  <c r="AK33" i="29"/>
  <c r="K33" i="29" s="1"/>
  <c r="AL31" i="29"/>
  <c r="L31" i="29" s="1"/>
  <c r="AJ18" i="29"/>
  <c r="J18" i="29" s="1"/>
  <c r="AC39" i="29"/>
  <c r="C39" i="29" s="1"/>
  <c r="AD21" i="29"/>
  <c r="D21" i="29" s="1"/>
  <c r="AE11" i="29"/>
  <c r="E11" i="29" s="1"/>
  <c r="AD18" i="29"/>
  <c r="D18" i="29" s="1"/>
  <c r="AI37" i="29"/>
  <c r="I37" i="29" s="1"/>
  <c r="AL21" i="29"/>
  <c r="L21" i="29" s="1"/>
  <c r="AI9" i="29"/>
  <c r="I9" i="29" s="1"/>
  <c r="AG28" i="29"/>
  <c r="G28" i="29" s="1"/>
  <c r="AE23" i="29"/>
  <c r="E23" i="29" s="1"/>
  <c r="F13" i="29"/>
  <c r="AF9" i="29"/>
  <c r="F9" i="29" s="1"/>
  <c r="AE26" i="29"/>
  <c r="E26" i="29" s="1"/>
  <c r="AI26" i="29"/>
  <c r="I26" i="29" s="1"/>
  <c r="AE20" i="29"/>
  <c r="E20" i="29" s="1"/>
  <c r="G13" i="29"/>
  <c r="AF40" i="29"/>
  <c r="F40" i="29" s="1"/>
  <c r="AM9" i="29"/>
  <c r="M9" i="29" s="1"/>
  <c r="AE41" i="29"/>
  <c r="E41" i="29" s="1"/>
  <c r="AC32" i="29"/>
  <c r="C32" i="29" s="1"/>
  <c r="AG32" i="29"/>
  <c r="G32" i="29" s="1"/>
  <c r="AI30" i="29"/>
  <c r="I30" i="29" s="1"/>
  <c r="AE21" i="29"/>
  <c r="E21" i="29" s="1"/>
  <c r="AF24" i="29"/>
  <c r="F24" i="29" s="1"/>
  <c r="AF11" i="29"/>
  <c r="F11" i="29" s="1"/>
  <c r="AD15" i="29"/>
  <c r="D15" i="29" s="1"/>
  <c r="AE18" i="29"/>
  <c r="E18" i="29" s="1"/>
  <c r="AI13" i="29"/>
  <c r="I13" i="29" s="1"/>
  <c r="AM33" i="29"/>
  <c r="M33" i="29" s="1"/>
  <c r="AL36" i="29"/>
  <c r="L36" i="29" s="1"/>
  <c r="AM39" i="29"/>
  <c r="M39" i="29" s="1"/>
  <c r="AM28" i="29"/>
  <c r="M28" i="29" s="1"/>
  <c r="AI32" i="29"/>
  <c r="I32" i="29" s="1"/>
  <c r="AJ21" i="29"/>
  <c r="J21" i="29" s="1"/>
  <c r="AK24" i="29"/>
  <c r="K24" i="29" s="1"/>
  <c r="AK15" i="29"/>
  <c r="K15" i="29" s="1"/>
  <c r="AL18" i="29"/>
  <c r="L18" i="29" s="1"/>
  <c r="AH12" i="29"/>
  <c r="H12" i="29" s="1"/>
  <c r="AE33" i="29"/>
  <c r="E33" i="29" s="1"/>
  <c r="AD36" i="29"/>
  <c r="D36" i="29" s="1"/>
  <c r="AE39" i="29"/>
  <c r="E39" i="29" s="1"/>
  <c r="AE28" i="29"/>
  <c r="E28" i="29" s="1"/>
  <c r="AF31" i="29"/>
  <c r="F31" i="29" s="1"/>
  <c r="AG20" i="29"/>
  <c r="G20" i="29" s="1"/>
  <c r="AC24" i="29"/>
  <c r="C24" i="29" s="1"/>
  <c r="AC11" i="29"/>
  <c r="C11" i="29" s="1"/>
  <c r="B13" i="29"/>
  <c r="AG17" i="29"/>
  <c r="G17" i="29" s="1"/>
  <c r="AJ13" i="29"/>
  <c r="J13" i="29" s="1"/>
  <c r="AH33" i="29"/>
  <c r="H33" i="29" s="1"/>
  <c r="AM36" i="29"/>
  <c r="M36" i="29" s="1"/>
  <c r="AI40" i="29"/>
  <c r="I40" i="29" s="1"/>
  <c r="AI29" i="29"/>
  <c r="I29" i="29" s="1"/>
  <c r="AJ32" i="29"/>
  <c r="J32" i="29" s="1"/>
  <c r="AK21" i="29"/>
  <c r="K21" i="29" s="1"/>
  <c r="AL24" i="29"/>
  <c r="L24" i="29" s="1"/>
  <c r="AL15" i="29"/>
  <c r="L15" i="29" s="1"/>
  <c r="AM18" i="29"/>
  <c r="M18" i="29" s="1"/>
  <c r="AH11" i="29"/>
  <c r="H11" i="29" s="1"/>
  <c r="AF33" i="29"/>
  <c r="F33" i="29" s="1"/>
  <c r="AE36" i="29"/>
  <c r="E36" i="29" s="1"/>
  <c r="AF39" i="29"/>
  <c r="F39" i="29" s="1"/>
  <c r="AF28" i="29"/>
  <c r="F28" i="29" s="1"/>
  <c r="AG31" i="29"/>
  <c r="G31" i="29" s="1"/>
  <c r="AL38" i="29"/>
  <c r="L38" i="29" s="1"/>
  <c r="AJ23" i="29"/>
  <c r="J23" i="29" s="1"/>
  <c r="AD24" i="29"/>
  <c r="D24" i="29" s="1"/>
  <c r="AB11" i="29"/>
  <c r="B11" i="29" s="1"/>
  <c r="AJ36" i="29"/>
  <c r="J36" i="29" s="1"/>
  <c r="AM20" i="29"/>
  <c r="M20" i="29" s="1"/>
  <c r="AC28" i="29"/>
  <c r="C28" i="29" s="1"/>
  <c r="AG22" i="29"/>
  <c r="G22" i="29" s="1"/>
  <c r="AC9" i="29"/>
  <c r="C9" i="29" s="1"/>
  <c r="AM24" i="29"/>
  <c r="M24" i="29" s="1"/>
  <c r="AF15" i="29"/>
  <c r="F15" i="29" s="1"/>
  <c r="AB25" i="29"/>
  <c r="B25" i="29" s="1"/>
  <c r="AM41" i="29"/>
  <c r="M41" i="29" s="1"/>
  <c r="AF23" i="29"/>
  <c r="F23" i="29" s="1"/>
  <c r="AS40" i="30"/>
  <c r="S40" i="30" s="1"/>
  <c r="AN28" i="30"/>
  <c r="N28" i="30" s="1"/>
  <c r="AP15" i="30"/>
  <c r="P15" i="30" s="1"/>
  <c r="AO37" i="30"/>
  <c r="O37" i="30" s="1"/>
  <c r="AP40" i="30"/>
  <c r="P40" i="30" s="1"/>
  <c r="AO33" i="30"/>
  <c r="O33" i="30" s="1"/>
  <c r="AO30" i="30"/>
  <c r="O30" i="30" s="1"/>
  <c r="AN30" i="30"/>
  <c r="N30" i="30" s="1"/>
  <c r="AQ22" i="30"/>
  <c r="Q22" i="30" s="1"/>
  <c r="AR25" i="30"/>
  <c r="R25" i="30" s="1"/>
  <c r="AQ15" i="30"/>
  <c r="Q15" i="30" s="1"/>
  <c r="AR18" i="30"/>
  <c r="R18" i="30" s="1"/>
  <c r="AO13" i="30"/>
  <c r="O13" i="30" s="1"/>
  <c r="AN35" i="30"/>
  <c r="N35" i="30" s="1"/>
  <c r="AP22" i="30"/>
  <c r="P22" i="30" s="1"/>
  <c r="AR17" i="30"/>
  <c r="R17" i="30" s="1"/>
  <c r="AS37" i="30"/>
  <c r="S37" i="30" s="1"/>
  <c r="AO41" i="30"/>
  <c r="O41" i="30" s="1"/>
  <c r="AS33" i="30"/>
  <c r="S33" i="30" s="1"/>
  <c r="AS30" i="30"/>
  <c r="S30" i="30" s="1"/>
  <c r="AO20" i="30"/>
  <c r="O20" i="30" s="1"/>
  <c r="AP23" i="30"/>
  <c r="P23" i="30" s="1"/>
  <c r="AQ26" i="30"/>
  <c r="Q26" i="30" s="1"/>
  <c r="AP16" i="30"/>
  <c r="P16" i="30" s="1"/>
  <c r="AN18" i="30"/>
  <c r="N18" i="30" s="1"/>
  <c r="AS13" i="30"/>
  <c r="S13" i="30" s="1"/>
  <c r="AO36" i="30"/>
  <c r="O36" i="30" s="1"/>
  <c r="AO29" i="30"/>
  <c r="O29" i="30" s="1"/>
  <c r="AR24" i="30"/>
  <c r="R24" i="30" s="1"/>
  <c r="AP11" i="30"/>
  <c r="P11" i="30" s="1"/>
  <c r="AQ35" i="30"/>
  <c r="Q35" i="30" s="1"/>
  <c r="AR38" i="30"/>
  <c r="R38" i="30" s="1"/>
  <c r="AS41" i="30"/>
  <c r="S41" i="30" s="1"/>
  <c r="AQ28" i="30"/>
  <c r="Q28" i="30" s="1"/>
  <c r="AR31" i="30"/>
  <c r="R31" i="30" s="1"/>
  <c r="AS20" i="30"/>
  <c r="S20" i="30" s="1"/>
  <c r="AO24" i="30"/>
  <c r="O24" i="30" s="1"/>
  <c r="AN21" i="30"/>
  <c r="N21" i="30" s="1"/>
  <c r="AO17" i="30"/>
  <c r="O17" i="30" s="1"/>
  <c r="AQ11" i="30"/>
  <c r="Q11" i="30" s="1"/>
  <c r="AO9" i="30"/>
  <c r="O9" i="30" s="1"/>
  <c r="AQ38" i="30"/>
  <c r="Q38" i="30" s="1"/>
  <c r="AQ31" i="30"/>
  <c r="Q31" i="30" s="1"/>
  <c r="AP26" i="30"/>
  <c r="P26" i="30" s="1"/>
  <c r="AR13" i="30"/>
  <c r="R13" i="30" s="1"/>
  <c r="AP36" i="30"/>
  <c r="P36" i="30" s="1"/>
  <c r="AQ39" i="30"/>
  <c r="Q39" i="30" s="1"/>
  <c r="AN39" i="30"/>
  <c r="N39" i="30" s="1"/>
  <c r="AP29" i="30"/>
  <c r="P29" i="30" s="1"/>
  <c r="AQ32" i="30"/>
  <c r="Q32" i="30" s="1"/>
  <c r="AR21" i="30"/>
  <c r="R21" i="30" s="1"/>
  <c r="AS24" i="30"/>
  <c r="S24" i="30" s="1"/>
  <c r="AN25" i="30"/>
  <c r="N25" i="30" s="1"/>
  <c r="AS17" i="30"/>
  <c r="S17" i="30" s="1"/>
  <c r="AP12" i="30"/>
  <c r="P12" i="30" s="1"/>
  <c r="AS9" i="30"/>
  <c r="S9" i="30" s="1"/>
  <c r="AS35" i="30"/>
  <c r="S35" i="30" s="1"/>
  <c r="AQ41" i="30"/>
  <c r="Q41" i="30" s="1"/>
  <c r="AP31" i="30"/>
  <c r="P31" i="30" s="1"/>
  <c r="AR23" i="30"/>
  <c r="R23" i="30" s="1"/>
  <c r="AR16" i="30"/>
  <c r="R16" i="30" s="1"/>
  <c r="AQ13" i="30"/>
  <c r="Q13" i="30" s="1"/>
  <c r="AR41" i="30"/>
  <c r="R41" i="30" s="1"/>
  <c r="AR20" i="30"/>
  <c r="R20" i="30" s="1"/>
  <c r="AQ18" i="30"/>
  <c r="Q18" i="30" s="1"/>
  <c r="AO38" i="30"/>
  <c r="O38" i="30" s="1"/>
  <c r="AP41" i="30"/>
  <c r="P41" i="30" s="1"/>
  <c r="AN33" i="30"/>
  <c r="N33" i="30" s="1"/>
  <c r="AO31" i="30"/>
  <c r="O31" i="30" s="1"/>
  <c r="AP20" i="30"/>
  <c r="P20" i="30" s="1"/>
  <c r="AQ23" i="30"/>
  <c r="Q23" i="30" s="1"/>
  <c r="AR26" i="30"/>
  <c r="R26" i="30" s="1"/>
  <c r="AQ16" i="30"/>
  <c r="Q16" i="30" s="1"/>
  <c r="AN15" i="30"/>
  <c r="N15" i="30" s="1"/>
  <c r="AN13" i="30"/>
  <c r="N13" i="30" s="1"/>
  <c r="AR40" i="30"/>
  <c r="R40" i="30" s="1"/>
  <c r="AQ30" i="30"/>
  <c r="Q30" i="30" s="1"/>
  <c r="AS22" i="30"/>
  <c r="S22" i="30" s="1"/>
  <c r="AS15" i="30"/>
  <c r="S15" i="30" s="1"/>
  <c r="AQ37" i="30"/>
  <c r="Q37" i="30" s="1"/>
  <c r="AN41" i="30"/>
  <c r="N41" i="30" s="1"/>
  <c r="AS32" i="30"/>
  <c r="S32" i="30" s="1"/>
  <c r="AP25" i="30"/>
  <c r="P25" i="30" s="1"/>
  <c r="AP18" i="30"/>
  <c r="P18" i="30" s="1"/>
  <c r="AQ9" i="30"/>
  <c r="Q9" i="30" s="1"/>
  <c r="AR33" i="30"/>
  <c r="R33" i="30" s="1"/>
  <c r="AO23" i="30"/>
  <c r="O23" i="30" s="1"/>
  <c r="AO12" i="30"/>
  <c r="O12" i="30" s="1"/>
  <c r="AR35" i="30"/>
  <c r="R35" i="30" s="1"/>
  <c r="AS38" i="30"/>
  <c r="S38" i="30" s="1"/>
  <c r="AN36" i="30"/>
  <c r="N36" i="30" s="1"/>
  <c r="AR28" i="30"/>
  <c r="R28" i="30" s="1"/>
  <c r="AS31" i="30"/>
  <c r="S31" i="30" s="1"/>
  <c r="AO21" i="30"/>
  <c r="O21" i="30" s="1"/>
  <c r="AP24" i="30"/>
  <c r="P24" i="30" s="1"/>
  <c r="AN22" i="30"/>
  <c r="N22" i="30" s="1"/>
  <c r="AP17" i="30"/>
  <c r="P17" i="30" s="1"/>
  <c r="AR11" i="30"/>
  <c r="R11" i="30" s="1"/>
  <c r="AP9" i="30"/>
  <c r="P9" i="30" s="1"/>
  <c r="AO35" i="30"/>
  <c r="O35" i="30" s="1"/>
  <c r="AN37" i="30"/>
  <c r="N37" i="30" s="1"/>
  <c r="AO32" i="30"/>
  <c r="O32" i="30" s="1"/>
  <c r="AQ24" i="30"/>
  <c r="Q24" i="30" s="1"/>
  <c r="AO28" i="30"/>
  <c r="O28" i="30" s="1"/>
  <c r="AS26" i="30"/>
  <c r="S26" i="30" s="1"/>
  <c r="AS29" i="30"/>
  <c r="S29" i="30" s="1"/>
  <c r="AN11" i="30"/>
  <c r="N11" i="30" s="1"/>
  <c r="AR39" i="30"/>
  <c r="R39" i="30" s="1"/>
  <c r="AQ29" i="30"/>
  <c r="Q29" i="30" s="1"/>
  <c r="AS21" i="30"/>
  <c r="S21" i="30" s="1"/>
  <c r="AN20" i="30"/>
  <c r="N20" i="30" s="1"/>
  <c r="AQ12" i="30"/>
  <c r="Q12" i="30" s="1"/>
  <c r="AQ33" i="30"/>
  <c r="Q33" i="30" s="1"/>
  <c r="AO26" i="30"/>
  <c r="O26" i="30" s="1"/>
  <c r="AS11" i="30"/>
  <c r="S11" i="30" s="1"/>
  <c r="AP35" i="30"/>
  <c r="P35" i="30" s="1"/>
  <c r="AP28" i="30"/>
  <c r="P28" i="30" s="1"/>
  <c r="AS23" i="30"/>
  <c r="S23" i="30" s="1"/>
  <c r="AN17" i="30"/>
  <c r="N17" i="30" s="1"/>
  <c r="AP38" i="30"/>
  <c r="P38" i="30" s="1"/>
  <c r="AO11" i="30"/>
  <c r="O11" i="30" s="1"/>
  <c r="AS36" i="30"/>
  <c r="S36" i="30" s="1"/>
  <c r="AN40" i="30"/>
  <c r="N40" i="30" s="1"/>
  <c r="AO25" i="30"/>
  <c r="O25" i="30" s="1"/>
  <c r="AN9" i="30"/>
  <c r="N9" i="30" s="1"/>
  <c r="AN32" i="30"/>
  <c r="N32" i="30" s="1"/>
  <c r="AN29" i="30"/>
  <c r="N29" i="30" s="1"/>
  <c r="AR9" i="30"/>
  <c r="R9" i="30" s="1"/>
  <c r="AO22" i="30"/>
  <c r="O22" i="30" s="1"/>
  <c r="AO16" i="30"/>
  <c r="O16" i="30" s="1"/>
  <c r="AP37" i="30"/>
  <c r="P37" i="30" s="1"/>
  <c r="AN31" i="30"/>
  <c r="N31" i="30" s="1"/>
  <c r="AS18" i="30"/>
  <c r="S18" i="30" s="1"/>
  <c r="AO39" i="30"/>
  <c r="O39" i="30" s="1"/>
  <c r="AN16" i="30"/>
  <c r="N16" i="30" s="1"/>
  <c r="AQ21" i="30"/>
  <c r="Q21" i="30" s="1"/>
  <c r="AR29" i="30"/>
  <c r="R29" i="30" s="1"/>
  <c r="AO15" i="30"/>
  <c r="O15" i="30" s="1"/>
  <c r="AP32" i="30"/>
  <c r="P32" i="30" s="1"/>
  <c r="AQ40" i="30"/>
  <c r="Q40" i="30" s="1"/>
  <c r="AP30" i="30"/>
  <c r="P30" i="30" s="1"/>
  <c r="AR22" i="30"/>
  <c r="R22" i="30" s="1"/>
  <c r="AR15" i="30"/>
  <c r="R15" i="30" s="1"/>
  <c r="AP13" i="30"/>
  <c r="P13" i="30" s="1"/>
  <c r="AS28" i="30"/>
  <c r="S28" i="30" s="1"/>
  <c r="AN23" i="30"/>
  <c r="N23" i="30" s="1"/>
  <c r="AN12" i="30"/>
  <c r="N12" i="30" s="1"/>
  <c r="AR37" i="30"/>
  <c r="R37" i="30" s="1"/>
  <c r="AR30" i="30"/>
  <c r="R30" i="30" s="1"/>
  <c r="AQ25" i="30"/>
  <c r="Q25" i="30" s="1"/>
  <c r="AS12" i="30"/>
  <c r="S12" i="30" s="1"/>
  <c r="AQ20" i="30"/>
  <c r="Q20" i="30" s="1"/>
  <c r="AN26" i="30"/>
  <c r="N26" i="30" s="1"/>
  <c r="AQ36" i="30"/>
  <c r="Q36" i="30" s="1"/>
  <c r="AR32" i="30"/>
  <c r="R32" i="30" s="1"/>
  <c r="AO18" i="30"/>
  <c r="O18" i="30" s="1"/>
  <c r="AR36" i="30"/>
  <c r="R36" i="30" s="1"/>
  <c r="AQ17" i="30"/>
  <c r="Q17" i="30" s="1"/>
  <c r="AO40" i="30"/>
  <c r="O40" i="30" s="1"/>
  <c r="AN24" i="30"/>
  <c r="N24" i="30" s="1"/>
  <c r="AS39" i="30"/>
  <c r="S39" i="30" s="1"/>
  <c r="AR12" i="30"/>
  <c r="R12" i="30" s="1"/>
  <c r="AP39" i="30"/>
  <c r="P39" i="30" s="1"/>
  <c r="AP33" i="30"/>
  <c r="P33" i="30" s="1"/>
  <c r="AS25" i="30"/>
  <c r="S25" i="30" s="1"/>
  <c r="AP21" i="30"/>
  <c r="P21" i="30" s="1"/>
  <c r="AN38" i="30"/>
  <c r="N38" i="30" s="1"/>
  <c r="AS16" i="30"/>
  <c r="S16" i="30" s="1"/>
  <c r="AI37" i="30"/>
  <c r="I37" i="30" s="1"/>
  <c r="I74" i="30" s="1"/>
  <c r="AJ40" i="30"/>
  <c r="J40" i="30" s="1"/>
  <c r="AI33" i="30"/>
  <c r="I33" i="30" s="1"/>
  <c r="AM13" i="30"/>
  <c r="M13" i="30" s="1"/>
  <c r="AG37" i="30"/>
  <c r="G37" i="30" s="1"/>
  <c r="G74" i="30" s="1"/>
  <c r="AC41" i="30"/>
  <c r="C41" i="30" s="1"/>
  <c r="AG33" i="30"/>
  <c r="G33" i="30" s="1"/>
  <c r="AK28" i="30"/>
  <c r="K28" i="30" s="1"/>
  <c r="K66" i="30" s="1"/>
  <c r="AL31" i="30"/>
  <c r="L31" i="30" s="1"/>
  <c r="AM20" i="30"/>
  <c r="M20" i="30" s="1"/>
  <c r="AI24" i="30"/>
  <c r="I24" i="30" s="1"/>
  <c r="AI15" i="30"/>
  <c r="I15" i="30" s="1"/>
  <c r="AJ18" i="30"/>
  <c r="J18" i="30" s="1"/>
  <c r="AL12" i="30"/>
  <c r="L12" i="30" s="1"/>
  <c r="AD29" i="30"/>
  <c r="D29" i="30" s="1"/>
  <c r="AE32" i="30"/>
  <c r="E32" i="30" s="1"/>
  <c r="E70" i="30" s="1"/>
  <c r="AF21" i="30"/>
  <c r="F21" i="30" s="1"/>
  <c r="AG24" i="30"/>
  <c r="G24" i="30" s="1"/>
  <c r="AG15" i="30"/>
  <c r="G15" i="30" s="1"/>
  <c r="AB16" i="30"/>
  <c r="B16" i="30" s="1"/>
  <c r="AC9" i="30"/>
  <c r="C9" i="30" s="1"/>
  <c r="AK36" i="30"/>
  <c r="K36" i="30" s="1"/>
  <c r="K73" i="30" s="1"/>
  <c r="AL39" i="30"/>
  <c r="L39" i="30" s="1"/>
  <c r="AH40" i="30"/>
  <c r="H40" i="30" s="1"/>
  <c r="AJ13" i="30"/>
  <c r="J13" i="30" s="1"/>
  <c r="AD37" i="30"/>
  <c r="D37" i="30" s="1"/>
  <c r="AE40" i="30"/>
  <c r="E40" i="30" s="1"/>
  <c r="AD33" i="30"/>
  <c r="D33" i="30" s="1"/>
  <c r="AB13" i="30"/>
  <c r="B13" i="30" s="1"/>
  <c r="AI31" i="30"/>
  <c r="I31" i="30" s="1"/>
  <c r="AJ20" i="30"/>
  <c r="J20" i="30" s="1"/>
  <c r="AK23" i="30"/>
  <c r="K23" i="30" s="1"/>
  <c r="AH24" i="30"/>
  <c r="H24" i="30" s="1"/>
  <c r="AL17" i="30"/>
  <c r="L17" i="30" s="1"/>
  <c r="AI12" i="30"/>
  <c r="I12" i="30" s="1"/>
  <c r="AF28" i="30"/>
  <c r="F28" i="30" s="1"/>
  <c r="F66" i="30" s="1"/>
  <c r="AG31" i="30"/>
  <c r="G31" i="30" s="1"/>
  <c r="G69" i="30" s="1"/>
  <c r="AC21" i="30"/>
  <c r="C21" i="30" s="1"/>
  <c r="C60" i="30" s="1"/>
  <c r="AD24" i="30"/>
  <c r="D24" i="30" s="1"/>
  <c r="D63" i="30" s="1"/>
  <c r="AD15" i="30"/>
  <c r="D15" i="30" s="1"/>
  <c r="AE18" i="30"/>
  <c r="E18" i="30" s="1"/>
  <c r="AG12" i="30"/>
  <c r="G12" i="30" s="1"/>
  <c r="AM35" i="30"/>
  <c r="M35" i="30" s="1"/>
  <c r="AI39" i="30"/>
  <c r="I39" i="30" s="1"/>
  <c r="AH37" i="30"/>
  <c r="H37" i="30" s="1"/>
  <c r="H74" i="30" s="1"/>
  <c r="AL26" i="30"/>
  <c r="L26" i="30" s="1"/>
  <c r="AF36" i="30"/>
  <c r="F36" i="30" s="1"/>
  <c r="AG39" i="30"/>
  <c r="G39" i="30" s="1"/>
  <c r="AB41" i="30"/>
  <c r="B41" i="30" s="1"/>
  <c r="AE13" i="30"/>
  <c r="E13" i="30" s="1"/>
  <c r="AK30" i="30"/>
  <c r="K30" i="30" s="1"/>
  <c r="AH32" i="30"/>
  <c r="H32" i="30" s="1"/>
  <c r="AM22" i="30"/>
  <c r="M22" i="30" s="1"/>
  <c r="AH21" i="30"/>
  <c r="H21" i="30" s="1"/>
  <c r="H60" i="30" s="1"/>
  <c r="AI17" i="30"/>
  <c r="I17" i="30" s="1"/>
  <c r="AK11" i="30"/>
  <c r="K11" i="30" s="1"/>
  <c r="AC28" i="30"/>
  <c r="C28" i="30" s="1"/>
  <c r="AD31" i="30"/>
  <c r="D31" i="30" s="1"/>
  <c r="AE20" i="30"/>
  <c r="E20" i="30" s="1"/>
  <c r="AF23" i="30"/>
  <c r="F23" i="30" s="1"/>
  <c r="F62" i="30" s="1"/>
  <c r="AB25" i="30"/>
  <c r="B25" i="30" s="1"/>
  <c r="B64" i="30" s="1"/>
  <c r="AG17" i="30"/>
  <c r="G17" i="30" s="1"/>
  <c r="AD12" i="30"/>
  <c r="D12" i="30" s="1"/>
  <c r="AL41" i="30"/>
  <c r="L41" i="30" s="1"/>
  <c r="AB38" i="30"/>
  <c r="B38" i="30" s="1"/>
  <c r="AJ22" i="30"/>
  <c r="J22" i="30" s="1"/>
  <c r="J61" i="30" s="1"/>
  <c r="AL9" i="30"/>
  <c r="L9" i="30" s="1"/>
  <c r="AB22" i="30"/>
  <c r="B22" i="30" s="1"/>
  <c r="B61" i="30" s="1"/>
  <c r="AM37" i="30"/>
  <c r="M37" i="30" s="1"/>
  <c r="M74" i="30" s="1"/>
  <c r="AI41" i="30"/>
  <c r="I41" i="30" s="1"/>
  <c r="AM33" i="30"/>
  <c r="M33" i="30" s="1"/>
  <c r="AE35" i="30"/>
  <c r="E35" i="30" s="1"/>
  <c r="E72" i="30" s="1"/>
  <c r="AF38" i="30"/>
  <c r="F38" i="30" s="1"/>
  <c r="F75" i="30" s="1"/>
  <c r="AG41" i="30"/>
  <c r="G41" i="30" s="1"/>
  <c r="AE26" i="30"/>
  <c r="E26" i="30" s="1"/>
  <c r="AJ29" i="30"/>
  <c r="J29" i="30" s="1"/>
  <c r="J67" i="30" s="1"/>
  <c r="AK32" i="30"/>
  <c r="K32" i="30" s="1"/>
  <c r="K70" i="30" s="1"/>
  <c r="AL21" i="30"/>
  <c r="L21" i="30" s="1"/>
  <c r="AM24" i="30"/>
  <c r="M24" i="30" s="1"/>
  <c r="AM15" i="30"/>
  <c r="M15" i="30" s="1"/>
  <c r="AH16" i="30"/>
  <c r="H16" i="30" s="1"/>
  <c r="AI9" i="30"/>
  <c r="I9" i="30" s="1"/>
  <c r="AC30" i="30"/>
  <c r="C30" i="30" s="1"/>
  <c r="C68" i="30" s="1"/>
  <c r="AB30" i="30"/>
  <c r="B30" i="30" s="1"/>
  <c r="B68" i="30" s="1"/>
  <c r="AE22" i="30"/>
  <c r="E22" i="30" s="1"/>
  <c r="E61" i="30" s="1"/>
  <c r="AF25" i="30"/>
  <c r="F25" i="30" s="1"/>
  <c r="F64" i="30" s="1"/>
  <c r="AF16" i="30"/>
  <c r="F16" i="30" s="1"/>
  <c r="AC11" i="30"/>
  <c r="C11" i="30" s="1"/>
  <c r="AG9" i="30"/>
  <c r="G9" i="30" s="1"/>
  <c r="AJ37" i="30"/>
  <c r="J37" i="30" s="1"/>
  <c r="AK40" i="30"/>
  <c r="K40" i="30" s="1"/>
  <c r="AJ33" i="30"/>
  <c r="J33" i="30" s="1"/>
  <c r="AH13" i="30"/>
  <c r="H13" i="30" s="1"/>
  <c r="AC38" i="30"/>
  <c r="C38" i="30" s="1"/>
  <c r="C75" i="30" s="1"/>
  <c r="AD41" i="30"/>
  <c r="D41" i="30" s="1"/>
  <c r="AB33" i="30"/>
  <c r="B33" i="30" s="1"/>
  <c r="AL28" i="30"/>
  <c r="L28" i="30" s="1"/>
  <c r="L66" i="30" s="1"/>
  <c r="AM31" i="30"/>
  <c r="M31" i="30" s="1"/>
  <c r="M69" i="30" s="1"/>
  <c r="AI21" i="30"/>
  <c r="I21" i="30" s="1"/>
  <c r="AJ24" i="30"/>
  <c r="J24" i="30" s="1"/>
  <c r="AJ15" i="30"/>
  <c r="J15" i="30" s="1"/>
  <c r="AK18" i="30"/>
  <c r="K18" i="30" s="1"/>
  <c r="AM12" i="30"/>
  <c r="M12" i="30" s="1"/>
  <c r="AE29" i="30"/>
  <c r="E29" i="30" s="1"/>
  <c r="E67" i="30" s="1"/>
  <c r="AF32" i="30"/>
  <c r="F32" i="30" s="1"/>
  <c r="AG21" i="30"/>
  <c r="G21" i="30" s="1"/>
  <c r="G60" i="30" s="1"/>
  <c r="AC25" i="30"/>
  <c r="C25" i="30" s="1"/>
  <c r="AC16" i="30"/>
  <c r="C16" i="30" s="1"/>
  <c r="AB17" i="30"/>
  <c r="B17" i="30" s="1"/>
  <c r="AD9" i="30"/>
  <c r="D9" i="30" s="1"/>
  <c r="AL36" i="30"/>
  <c r="L36" i="30" s="1"/>
  <c r="AM39" i="30"/>
  <c r="M39" i="30" s="1"/>
  <c r="AH41" i="30"/>
  <c r="H41" i="30" s="1"/>
  <c r="AK13" i="30"/>
  <c r="K13" i="30" s="1"/>
  <c r="AE37" i="30"/>
  <c r="E37" i="30" s="1"/>
  <c r="AF40" i="30"/>
  <c r="F40" i="30" s="1"/>
  <c r="F77" i="30" s="1"/>
  <c r="AE33" i="30"/>
  <c r="E33" i="30" s="1"/>
  <c r="AI28" i="30"/>
  <c r="I28" i="30" s="1"/>
  <c r="AJ31" i="30"/>
  <c r="J31" i="30" s="1"/>
  <c r="J69" i="30" s="1"/>
  <c r="AK20" i="30"/>
  <c r="K20" i="30" s="1"/>
  <c r="K59" i="30" s="1"/>
  <c r="AL23" i="30"/>
  <c r="L23" i="30" s="1"/>
  <c r="L62" i="30" s="1"/>
  <c r="AH25" i="30"/>
  <c r="H25" i="30" s="1"/>
  <c r="H64" i="30" s="1"/>
  <c r="AM17" i="30"/>
  <c r="M17" i="30" s="1"/>
  <c r="AJ12" i="30"/>
  <c r="J12" i="30" s="1"/>
  <c r="AG28" i="30"/>
  <c r="G28" i="30" s="1"/>
  <c r="G66" i="30" s="1"/>
  <c r="AC32" i="30"/>
  <c r="C32" i="30" s="1"/>
  <c r="C70" i="30" s="1"/>
  <c r="AD21" i="30"/>
  <c r="D21" i="30" s="1"/>
  <c r="AE24" i="30"/>
  <c r="E24" i="30" s="1"/>
  <c r="AE15" i="30"/>
  <c r="E15" i="30" s="1"/>
  <c r="AF18" i="30"/>
  <c r="F18" i="30" s="1"/>
  <c r="AB12" i="30"/>
  <c r="B12" i="30" s="1"/>
  <c r="AI26" i="30"/>
  <c r="I26" i="30" s="1"/>
  <c r="AB26" i="30"/>
  <c r="B26" i="30" s="1"/>
  <c r="AK25" i="30"/>
  <c r="K25" i="30" s="1"/>
  <c r="K64" i="30" s="1"/>
  <c r="AF30" i="30"/>
  <c r="F30" i="30" s="1"/>
  <c r="AD17" i="30"/>
  <c r="D17" i="30" s="1"/>
  <c r="AK35" i="30"/>
  <c r="K35" i="30" s="1"/>
  <c r="K72" i="30" s="1"/>
  <c r="AL38" i="30"/>
  <c r="L38" i="30" s="1"/>
  <c r="L75" i="30" s="1"/>
  <c r="AM41" i="30"/>
  <c r="M41" i="30" s="1"/>
  <c r="AJ26" i="30"/>
  <c r="J26" i="30" s="1"/>
  <c r="AD36" i="30"/>
  <c r="D36" i="30" s="1"/>
  <c r="D73" i="30" s="1"/>
  <c r="AE39" i="30"/>
  <c r="E39" i="30" s="1"/>
  <c r="E76" i="30" s="1"/>
  <c r="AB39" i="30"/>
  <c r="B39" i="30" s="1"/>
  <c r="B76" i="30" s="1"/>
  <c r="AC13" i="30"/>
  <c r="C13" i="30" s="1"/>
  <c r="AI30" i="30"/>
  <c r="I30" i="30" s="1"/>
  <c r="I68" i="30" s="1"/>
  <c r="AH30" i="30"/>
  <c r="H30" i="30" s="1"/>
  <c r="H68" i="30" s="1"/>
  <c r="AK22" i="30"/>
  <c r="K22" i="30" s="1"/>
  <c r="K61" i="30" s="1"/>
  <c r="AL25" i="30"/>
  <c r="L25" i="30" s="1"/>
  <c r="L64" i="30" s="1"/>
  <c r="AL16" i="30"/>
  <c r="L16" i="30" s="1"/>
  <c r="AI11" i="30"/>
  <c r="I11" i="30" s="1"/>
  <c r="AM9" i="30"/>
  <c r="M9" i="30" s="1"/>
  <c r="AG30" i="30"/>
  <c r="G30" i="30" s="1"/>
  <c r="G68" i="30" s="1"/>
  <c r="AC20" i="30"/>
  <c r="C20" i="30" s="1"/>
  <c r="C59" i="30" s="1"/>
  <c r="AD23" i="30"/>
  <c r="D23" i="30" s="1"/>
  <c r="D62" i="30" s="1"/>
  <c r="AB23" i="30"/>
  <c r="B23" i="30" s="1"/>
  <c r="AE17" i="30"/>
  <c r="E17" i="30" s="1"/>
  <c r="AG11" i="30"/>
  <c r="G11" i="30" s="1"/>
  <c r="AI38" i="30"/>
  <c r="I38" i="30" s="1"/>
  <c r="I75" i="30" s="1"/>
  <c r="AJ41" i="30"/>
  <c r="J41" i="30" s="1"/>
  <c r="AH33" i="30"/>
  <c r="H33" i="30" s="1"/>
  <c r="AF35" i="30"/>
  <c r="F35" i="30" s="1"/>
  <c r="F72" i="30" s="1"/>
  <c r="AG38" i="30"/>
  <c r="G38" i="30" s="1"/>
  <c r="G75" i="30" s="1"/>
  <c r="AB36" i="30"/>
  <c r="B36" i="30" s="1"/>
  <c r="B73" i="30" s="1"/>
  <c r="AF26" i="30"/>
  <c r="F26" i="30" s="1"/>
  <c r="AK29" i="30"/>
  <c r="K29" i="30" s="1"/>
  <c r="K67" i="30" s="1"/>
  <c r="AL32" i="30"/>
  <c r="L32" i="30" s="1"/>
  <c r="AM21" i="30"/>
  <c r="M21" i="30" s="1"/>
  <c r="AI25" i="30"/>
  <c r="I25" i="30" s="1"/>
  <c r="I64" i="30" s="1"/>
  <c r="AI16" i="30"/>
  <c r="I16" i="30" s="1"/>
  <c r="AH17" i="30"/>
  <c r="H17" i="30" s="1"/>
  <c r="AJ9" i="30"/>
  <c r="J9" i="30" s="1"/>
  <c r="AD30" i="30"/>
  <c r="D30" i="30" s="1"/>
  <c r="AB31" i="30"/>
  <c r="B31" i="30" s="1"/>
  <c r="AF22" i="30"/>
  <c r="F22" i="30" s="1"/>
  <c r="F61" i="30" s="1"/>
  <c r="AG25" i="30"/>
  <c r="G25" i="30" s="1"/>
  <c r="AG16" i="30"/>
  <c r="G16" i="30" s="1"/>
  <c r="AD11" i="30"/>
  <c r="D11" i="30" s="1"/>
  <c r="AB9" i="30"/>
  <c r="B9" i="30" s="1"/>
  <c r="AK37" i="30"/>
  <c r="K37" i="30" s="1"/>
  <c r="AL40" i="30"/>
  <c r="L40" i="30" s="1"/>
  <c r="L77" i="30" s="1"/>
  <c r="AK33" i="30"/>
  <c r="K33" i="30" s="1"/>
  <c r="AC35" i="30"/>
  <c r="C35" i="30" s="1"/>
  <c r="AD38" i="30"/>
  <c r="D38" i="30" s="1"/>
  <c r="AE41" i="30"/>
  <c r="E41" i="30" s="1"/>
  <c r="AC26" i="30"/>
  <c r="C26" i="30" s="1"/>
  <c r="AM28" i="30"/>
  <c r="M28" i="30" s="1"/>
  <c r="AI32" i="30"/>
  <c r="I32" i="30" s="1"/>
  <c r="AJ21" i="30"/>
  <c r="J21" i="30" s="1"/>
  <c r="AK24" i="30"/>
  <c r="K24" i="30" s="1"/>
  <c r="AK15" i="30"/>
  <c r="K15" i="30" s="1"/>
  <c r="AL18" i="30"/>
  <c r="L18" i="30" s="1"/>
  <c r="AH12" i="30"/>
  <c r="H12" i="30" s="1"/>
  <c r="AF29" i="30"/>
  <c r="F29" i="30" s="1"/>
  <c r="F67" i="30" s="1"/>
  <c r="AG32" i="30"/>
  <c r="G32" i="30" s="1"/>
  <c r="G70" i="30" s="1"/>
  <c r="AC22" i="30"/>
  <c r="C22" i="30" s="1"/>
  <c r="AD25" i="30"/>
  <c r="D25" i="30" s="1"/>
  <c r="AD16" i="30"/>
  <c r="D16" i="30" s="1"/>
  <c r="AB18" i="30"/>
  <c r="B18" i="30" s="1"/>
  <c r="AE9" i="30"/>
  <c r="E9" i="30" s="1"/>
  <c r="AJ35" i="30"/>
  <c r="J35" i="30" s="1"/>
  <c r="J72" i="30" s="1"/>
  <c r="AC36" i="30"/>
  <c r="C36" i="30" s="1"/>
  <c r="C73" i="30" s="1"/>
  <c r="AM29" i="30"/>
  <c r="M29" i="30" s="1"/>
  <c r="M67" i="30" s="1"/>
  <c r="AK16" i="30"/>
  <c r="K16" i="30" s="1"/>
  <c r="AB28" i="30"/>
  <c r="B28" i="30" s="1"/>
  <c r="B66" i="30" s="1"/>
  <c r="AF11" i="30"/>
  <c r="F11" i="30" s="1"/>
  <c r="AJ36" i="30"/>
  <c r="J36" i="30" s="1"/>
  <c r="J73" i="30" s="1"/>
  <c r="AK39" i="30"/>
  <c r="K39" i="30" s="1"/>
  <c r="K76" i="30" s="1"/>
  <c r="AH39" i="30"/>
  <c r="H39" i="30" s="1"/>
  <c r="H76" i="30" s="1"/>
  <c r="AI13" i="30"/>
  <c r="I13" i="30" s="1"/>
  <c r="AC37" i="30"/>
  <c r="C37" i="30" s="1"/>
  <c r="C74" i="30" s="1"/>
  <c r="AD40" i="30"/>
  <c r="D40" i="30" s="1"/>
  <c r="D77" i="30" s="1"/>
  <c r="AC33" i="30"/>
  <c r="C33" i="30" s="1"/>
  <c r="AG13" i="30"/>
  <c r="G13" i="30" s="1"/>
  <c r="AM30" i="30"/>
  <c r="M30" i="30" s="1"/>
  <c r="M68" i="30" s="1"/>
  <c r="AI20" i="30"/>
  <c r="I20" i="30" s="1"/>
  <c r="I59" i="30" s="1"/>
  <c r="AJ23" i="30"/>
  <c r="J23" i="30" s="1"/>
  <c r="J62" i="30" s="1"/>
  <c r="AH23" i="30"/>
  <c r="H23" i="30" s="1"/>
  <c r="AK17" i="30"/>
  <c r="K17" i="30" s="1"/>
  <c r="AM11" i="30"/>
  <c r="M11" i="30" s="1"/>
  <c r="AE28" i="30"/>
  <c r="E28" i="30" s="1"/>
  <c r="E66" i="30" s="1"/>
  <c r="AF31" i="30"/>
  <c r="F31" i="30" s="1"/>
  <c r="F69" i="30" s="1"/>
  <c r="AG20" i="30"/>
  <c r="G20" i="30" s="1"/>
  <c r="G59" i="30" s="1"/>
  <c r="AC24" i="30"/>
  <c r="C24" i="30" s="1"/>
  <c r="C63" i="30" s="1"/>
  <c r="AC15" i="30"/>
  <c r="C15" i="30" s="1"/>
  <c r="AD18" i="30"/>
  <c r="D18" i="30" s="1"/>
  <c r="AF12" i="30"/>
  <c r="F12" i="30" s="1"/>
  <c r="AL35" i="30"/>
  <c r="L35" i="30" s="1"/>
  <c r="L72" i="30" s="1"/>
  <c r="AM38" i="30"/>
  <c r="M38" i="30" s="1"/>
  <c r="AH36" i="30"/>
  <c r="H36" i="30" s="1"/>
  <c r="AK26" i="30"/>
  <c r="K26" i="30" s="1"/>
  <c r="AE36" i="30"/>
  <c r="E36" i="30" s="1"/>
  <c r="AF39" i="30"/>
  <c r="F39" i="30" s="1"/>
  <c r="F76" i="30" s="1"/>
  <c r="AB40" i="30"/>
  <c r="B40" i="30" s="1"/>
  <c r="AD13" i="30"/>
  <c r="D13" i="30" s="1"/>
  <c r="AJ30" i="30"/>
  <c r="J30" i="30" s="1"/>
  <c r="AH31" i="30"/>
  <c r="H31" i="30" s="1"/>
  <c r="H69" i="30" s="1"/>
  <c r="AL22" i="30"/>
  <c r="L22" i="30" s="1"/>
  <c r="AM25" i="30"/>
  <c r="M25" i="30" s="1"/>
  <c r="AM16" i="30"/>
  <c r="M16" i="30" s="1"/>
  <c r="AJ11" i="30"/>
  <c r="J11" i="30" s="1"/>
  <c r="AH9" i="30"/>
  <c r="H9" i="30" s="1"/>
  <c r="AC31" i="30"/>
  <c r="C31" i="30" s="1"/>
  <c r="C69" i="30" s="1"/>
  <c r="AD20" i="30"/>
  <c r="D20" i="30" s="1"/>
  <c r="AE23" i="30"/>
  <c r="E23" i="30" s="1"/>
  <c r="AB24" i="30"/>
  <c r="B24" i="30" s="1"/>
  <c r="AF17" i="30"/>
  <c r="F17" i="30" s="1"/>
  <c r="AC12" i="30"/>
  <c r="C12" i="30" s="1"/>
  <c r="AI35" i="30"/>
  <c r="I35" i="30" s="1"/>
  <c r="I72" i="30" s="1"/>
  <c r="AJ38" i="30"/>
  <c r="J38" i="30" s="1"/>
  <c r="AK41" i="30"/>
  <c r="K41" i="30" s="1"/>
  <c r="AM26" i="30"/>
  <c r="M26" i="30" s="1"/>
  <c r="AG35" i="30"/>
  <c r="G35" i="30" s="1"/>
  <c r="G72" i="30" s="1"/>
  <c r="AC39" i="30"/>
  <c r="C39" i="30" s="1"/>
  <c r="AB37" i="30"/>
  <c r="B37" i="30" s="1"/>
  <c r="B74" i="30" s="1"/>
  <c r="AG26" i="30"/>
  <c r="G26" i="30" s="1"/>
  <c r="AL29" i="30"/>
  <c r="L29" i="30" s="1"/>
  <c r="AM32" i="30"/>
  <c r="M32" i="30" s="1"/>
  <c r="AI22" i="30"/>
  <c r="I22" i="30" s="1"/>
  <c r="AJ25" i="30"/>
  <c r="J25" i="30" s="1"/>
  <c r="J64" i="30" s="1"/>
  <c r="AJ16" i="30"/>
  <c r="J16" i="30" s="1"/>
  <c r="AH18" i="30"/>
  <c r="H18" i="30" s="1"/>
  <c r="AK9" i="30"/>
  <c r="K9" i="30" s="1"/>
  <c r="AE30" i="30"/>
  <c r="E30" i="30" s="1"/>
  <c r="E68" i="30" s="1"/>
  <c r="AB32" i="30"/>
  <c r="B32" i="30" s="1"/>
  <c r="AG22" i="30"/>
  <c r="G22" i="30" s="1"/>
  <c r="AB21" i="30"/>
  <c r="B21" i="30" s="1"/>
  <c r="B60" i="30" s="1"/>
  <c r="AC17" i="30"/>
  <c r="C17" i="30" s="1"/>
  <c r="AE11" i="30"/>
  <c r="E11" i="30" s="1"/>
  <c r="AK38" i="30"/>
  <c r="K38" i="30" s="1"/>
  <c r="K75" i="30" s="1"/>
  <c r="AD39" i="30"/>
  <c r="D39" i="30" s="1"/>
  <c r="AH29" i="30"/>
  <c r="H29" i="30" s="1"/>
  <c r="H67" i="30" s="1"/>
  <c r="AH15" i="30"/>
  <c r="H15" i="30" s="1"/>
  <c r="AC23" i="30"/>
  <c r="C23" i="30" s="1"/>
  <c r="AH38" i="30"/>
  <c r="H38" i="30" s="1"/>
  <c r="AB35" i="30"/>
  <c r="B35" i="30" s="1"/>
  <c r="B72" i="30" s="1"/>
  <c r="AI23" i="30"/>
  <c r="I23" i="30" s="1"/>
  <c r="AD28" i="30"/>
  <c r="D28" i="30" s="1"/>
  <c r="D66" i="30" s="1"/>
  <c r="AB20" i="30"/>
  <c r="B20" i="30" s="1"/>
  <c r="AH35" i="30"/>
  <c r="H35" i="30" s="1"/>
  <c r="H72" i="30" s="1"/>
  <c r="AF33" i="30"/>
  <c r="F33" i="30" s="1"/>
  <c r="AM23" i="30"/>
  <c r="M23" i="30" s="1"/>
  <c r="AC29" i="30"/>
  <c r="C29" i="30" s="1"/>
  <c r="C67" i="30" s="1"/>
  <c r="AF15" i="30"/>
  <c r="F15" i="30" s="1"/>
  <c r="AM40" i="30"/>
  <c r="M40" i="30" s="1"/>
  <c r="M77" i="30" s="1"/>
  <c r="AE25" i="30"/>
  <c r="E25" i="30" s="1"/>
  <c r="AG29" i="30"/>
  <c r="G29" i="30" s="1"/>
  <c r="G67" i="30" s="1"/>
  <c r="AI29" i="30"/>
  <c r="I29" i="30" s="1"/>
  <c r="I67" i="30" s="1"/>
  <c r="AE38" i="30"/>
  <c r="E38" i="30" s="1"/>
  <c r="E75" i="30" s="1"/>
  <c r="AH26" i="30"/>
  <c r="H26" i="30" s="1"/>
  <c r="AF13" i="30"/>
  <c r="F13" i="30" s="1"/>
  <c r="AH22" i="30"/>
  <c r="H22" i="30" s="1"/>
  <c r="AE31" i="30"/>
  <c r="E31" i="30" s="1"/>
  <c r="E69" i="30" s="1"/>
  <c r="AC18" i="30"/>
  <c r="C18" i="30" s="1"/>
  <c r="AL13" i="30"/>
  <c r="L13" i="30" s="1"/>
  <c r="AJ28" i="30"/>
  <c r="J28" i="30" s="1"/>
  <c r="AH20" i="30"/>
  <c r="H20" i="30" s="1"/>
  <c r="AD32" i="30"/>
  <c r="D32" i="30" s="1"/>
  <c r="AG18" i="30"/>
  <c r="G18" i="30" s="1"/>
  <c r="AF41" i="30"/>
  <c r="F41" i="30" s="1"/>
  <c r="AL33" i="30"/>
  <c r="L33" i="30" s="1"/>
  <c r="AE16" i="30"/>
  <c r="E16" i="30" s="1"/>
  <c r="AL15" i="30"/>
  <c r="L15" i="30" s="1"/>
  <c r="AM18" i="30"/>
  <c r="M18" i="30" s="1"/>
  <c r="AL37" i="30"/>
  <c r="L37" i="30" s="1"/>
  <c r="L74" i="30" s="1"/>
  <c r="AD35" i="30"/>
  <c r="D35" i="30" s="1"/>
  <c r="AJ32" i="30"/>
  <c r="J32" i="30" s="1"/>
  <c r="AI36" i="30"/>
  <c r="I36" i="30" s="1"/>
  <c r="I73" i="30" s="1"/>
  <c r="AG36" i="30"/>
  <c r="G36" i="30" s="1"/>
  <c r="AL30" i="30"/>
  <c r="L30" i="30" s="1"/>
  <c r="L68" i="30" s="1"/>
  <c r="AJ17" i="30"/>
  <c r="J17" i="30" s="1"/>
  <c r="AF20" i="30"/>
  <c r="F20" i="30" s="1"/>
  <c r="F59" i="30" s="1"/>
  <c r="AE12" i="30"/>
  <c r="E12" i="30" s="1"/>
  <c r="AM36" i="30"/>
  <c r="M36" i="30" s="1"/>
  <c r="AF37" i="30"/>
  <c r="F37" i="30" s="1"/>
  <c r="AK31" i="30"/>
  <c r="K31" i="30" s="1"/>
  <c r="K69" i="30" s="1"/>
  <c r="AI18" i="30"/>
  <c r="I18" i="30" s="1"/>
  <c r="AE21" i="30"/>
  <c r="E21" i="30" s="1"/>
  <c r="AB11" i="30"/>
  <c r="B11" i="30" s="1"/>
  <c r="AK21" i="30"/>
  <c r="K21" i="30" s="1"/>
  <c r="AD26" i="30"/>
  <c r="D26" i="30" s="1"/>
  <c r="AB29" i="30"/>
  <c r="B29" i="30" s="1"/>
  <c r="AD22" i="30"/>
  <c r="D22" i="30" s="1"/>
  <c r="D61" i="30" s="1"/>
  <c r="AF9" i="30"/>
  <c r="F9" i="30" s="1"/>
  <c r="AJ39" i="30"/>
  <c r="J39" i="30" s="1"/>
  <c r="AC40" i="30"/>
  <c r="C40" i="30" s="1"/>
  <c r="AH28" i="30"/>
  <c r="H28" i="30" s="1"/>
  <c r="H66" i="30" s="1"/>
  <c r="AL11" i="30"/>
  <c r="L11" i="30" s="1"/>
  <c r="AG23" i="30"/>
  <c r="G23" i="30" s="1"/>
  <c r="AI40" i="30"/>
  <c r="I40" i="30" s="1"/>
  <c r="AG40" i="30"/>
  <c r="G40" i="30" s="1"/>
  <c r="G77" i="30" s="1"/>
  <c r="AL20" i="30"/>
  <c r="L20" i="30" s="1"/>
  <c r="L59" i="30" s="1"/>
  <c r="AK12" i="30"/>
  <c r="K12" i="30" s="1"/>
  <c r="AF24" i="30"/>
  <c r="F24" i="30" s="1"/>
  <c r="F63" i="30" s="1"/>
  <c r="AH11" i="30"/>
  <c r="H11" i="30" s="1"/>
  <c r="AL24" i="30"/>
  <c r="L24" i="30" s="1"/>
  <c r="L63" i="30" s="1"/>
  <c r="AB15" i="30"/>
  <c r="B15" i="30" s="1"/>
  <c r="AM26" i="27"/>
  <c r="AL33" i="27"/>
  <c r="AN31" i="27"/>
  <c r="AP41" i="27"/>
  <c r="AP37" i="27"/>
  <c r="AO28" i="27"/>
  <c r="AP26" i="27"/>
  <c r="AL30" i="27"/>
  <c r="AM32" i="27"/>
  <c r="AO42" i="27"/>
  <c r="AO38" i="27"/>
  <c r="AM21" i="27"/>
  <c r="AO27" i="27"/>
  <c r="AO23" i="27"/>
  <c r="AP32" i="27"/>
  <c r="AL41" i="27"/>
  <c r="AN39" i="27"/>
  <c r="AO43" i="27"/>
  <c r="AL23" i="27"/>
  <c r="AM25" i="27"/>
  <c r="AN34" i="27"/>
  <c r="AN30" i="27"/>
  <c r="AP40" i="27"/>
  <c r="AL13" i="27"/>
  <c r="AP35" i="27"/>
  <c r="AP25" i="27"/>
  <c r="AL34" i="27"/>
  <c r="AM31" i="27"/>
  <c r="AO41" i="27"/>
  <c r="AO37" i="27"/>
  <c r="AN28" i="27"/>
  <c r="AO26" i="27"/>
  <c r="AL31" i="27"/>
  <c r="AP31" i="27"/>
  <c r="AN42" i="27"/>
  <c r="AN38" i="27"/>
  <c r="AL28" i="27"/>
  <c r="AL27" i="27"/>
  <c r="AM24" i="27"/>
  <c r="AN33" i="27"/>
  <c r="AL39" i="27"/>
  <c r="AP39" i="27"/>
  <c r="AM13" i="27"/>
  <c r="AL43" i="27"/>
  <c r="AL24" i="27"/>
  <c r="AP24" i="27"/>
  <c r="AM34" i="27"/>
  <c r="AM30" i="27"/>
  <c r="AO40" i="27"/>
  <c r="AO35" i="27"/>
  <c r="AO25" i="27"/>
  <c r="AP34" i="27"/>
  <c r="AP30" i="27"/>
  <c r="AN41" i="27"/>
  <c r="AN37" i="27"/>
  <c r="AM28" i="27"/>
  <c r="AM27" i="27"/>
  <c r="AM23" i="27"/>
  <c r="AN32" i="27"/>
  <c r="AP42" i="27"/>
  <c r="AP38" i="27"/>
  <c r="AN21" i="27"/>
  <c r="AM43" i="27"/>
  <c r="AP27" i="27"/>
  <c r="AP23" i="27"/>
  <c r="AM33" i="27"/>
  <c r="AL40" i="27"/>
  <c r="AO39" i="27"/>
  <c r="AL21" i="27"/>
  <c r="AP43" i="27"/>
  <c r="AL25" i="27"/>
  <c r="AO24" i="27"/>
  <c r="AP33" i="27"/>
  <c r="AL37" i="27"/>
  <c r="AN40" i="27"/>
  <c r="AO13" i="27"/>
  <c r="AN35" i="27"/>
  <c r="AN26" i="27"/>
  <c r="AL32" i="27"/>
  <c r="AO31" i="27"/>
  <c r="AM42" i="27"/>
  <c r="AM38" i="27"/>
  <c r="AP28" i="27"/>
  <c r="AL17" i="27"/>
  <c r="AL18" i="27"/>
  <c r="AP17" i="27"/>
  <c r="AM18" i="27"/>
  <c r="AO20" i="27"/>
  <c r="AO16" i="27"/>
  <c r="AN20" i="27"/>
  <c r="AN16" i="27"/>
  <c r="AP12" i="27"/>
  <c r="AO12" i="27"/>
  <c r="AO9" i="27"/>
  <c r="AL26" i="27"/>
  <c r="AO33" i="27"/>
  <c r="AM40" i="27"/>
  <c r="AM35" i="27"/>
  <c r="AP19" i="27"/>
  <c r="AL15" i="27"/>
  <c r="AL16" i="27"/>
  <c r="AM11" i="27"/>
  <c r="AL12" i="27"/>
  <c r="AN23" i="27"/>
  <c r="AL42" i="27"/>
  <c r="AO21" i="27"/>
  <c r="AN25" i="27"/>
  <c r="AO34" i="27"/>
  <c r="AO30" i="27"/>
  <c r="AM41" i="27"/>
  <c r="AM37" i="27"/>
  <c r="AL35" i="27"/>
  <c r="AM20" i="27"/>
  <c r="AP20" i="27"/>
  <c r="AP16" i="27"/>
  <c r="AM16" i="27"/>
  <c r="AO19" i="27"/>
  <c r="AO15" i="27"/>
  <c r="AN19" i="27"/>
  <c r="AN11" i="27"/>
  <c r="AP11" i="27"/>
  <c r="AO11" i="27"/>
  <c r="AN9" i="27"/>
  <c r="AN24" i="27"/>
  <c r="AL38" i="27"/>
  <c r="AN13" i="27"/>
  <c r="AM17" i="27"/>
  <c r="AP15" i="27"/>
  <c r="AO18" i="27"/>
  <c r="AN18" i="27"/>
  <c r="AP9" i="27"/>
  <c r="AL9" i="27"/>
  <c r="AN27" i="27"/>
  <c r="AO32" i="27"/>
  <c r="AM39" i="27"/>
  <c r="AN43" i="27"/>
  <c r="AP18" i="27"/>
  <c r="AL20" i="27"/>
  <c r="AN12" i="27"/>
  <c r="AL19" i="27"/>
  <c r="AL11" i="27"/>
  <c r="AM19" i="27"/>
  <c r="AN17" i="27"/>
  <c r="AM9" i="27"/>
  <c r="AN15" i="27"/>
  <c r="AM12" i="27"/>
  <c r="AM15" i="27"/>
  <c r="AO17" i="27"/>
  <c r="AK35" i="27"/>
  <c r="AB28" i="27"/>
  <c r="AG9" i="27"/>
  <c r="AD43" i="27"/>
  <c r="AJ28" i="27"/>
  <c r="F21" i="27"/>
  <c r="AI35" i="27"/>
  <c r="AE28" i="27"/>
  <c r="AJ35" i="27"/>
  <c r="AH28" i="27"/>
  <c r="AH43" i="27"/>
  <c r="AE24" i="27"/>
  <c r="AB13" i="27"/>
  <c r="AC11" i="27"/>
  <c r="AE27" i="27"/>
  <c r="AG41" i="27"/>
  <c r="AB20" i="27"/>
  <c r="B20" i="27" s="1"/>
  <c r="AJ26" i="27"/>
  <c r="AD12" i="27"/>
  <c r="AE25" i="27"/>
  <c r="AC13" i="27"/>
  <c r="AF18" i="27"/>
  <c r="F18" i="27" s="1"/>
  <c r="AB23" i="27"/>
  <c r="AD25" i="27"/>
  <c r="AE30" i="27"/>
  <c r="AH18" i="27"/>
  <c r="AH32" i="27"/>
  <c r="AE20" i="27"/>
  <c r="E20" i="27" s="1"/>
  <c r="AE16" i="27"/>
  <c r="E16" i="27" s="1"/>
  <c r="AC26" i="27"/>
  <c r="AD41" i="27"/>
  <c r="AJ24" i="27"/>
  <c r="AI43" i="27"/>
  <c r="AE35" i="27"/>
  <c r="AF9" i="27"/>
  <c r="AH35" i="27"/>
  <c r="AD28" i="27"/>
  <c r="AJ13" i="27"/>
  <c r="AC35" i="27"/>
  <c r="AI21" i="27"/>
  <c r="AD9" i="27"/>
  <c r="AF43" i="27"/>
  <c r="AF28" i="27"/>
  <c r="AD35" i="27"/>
  <c r="AH33" i="27"/>
  <c r="AD13" i="27"/>
  <c r="AE23" i="27"/>
  <c r="AC19" i="27"/>
  <c r="C19" i="27" s="1"/>
  <c r="AK40" i="27"/>
  <c r="AB16" i="27"/>
  <c r="B16" i="27" s="1"/>
  <c r="AE31" i="27"/>
  <c r="AF11" i="27"/>
  <c r="AB19" i="27"/>
  <c r="B19" i="27" s="1"/>
  <c r="AF17" i="27"/>
  <c r="F17" i="27" s="1"/>
  <c r="AB25" i="27"/>
  <c r="AD24" i="27"/>
  <c r="AD42" i="27"/>
  <c r="AG26" i="27"/>
  <c r="AK39" i="27"/>
  <c r="AE19" i="27"/>
  <c r="E19" i="27" s="1"/>
  <c r="AE15" i="27"/>
  <c r="E15" i="27" s="1"/>
  <c r="AC25" i="27"/>
  <c r="AD37" i="27"/>
  <c r="AH31" i="27"/>
  <c r="AH39" i="27"/>
  <c r="AG38" i="27"/>
  <c r="AI32" i="27"/>
  <c r="AG30" i="27"/>
  <c r="AK26" i="27"/>
  <c r="AI16" i="27"/>
  <c r="AI20" i="27"/>
  <c r="AG11" i="27"/>
  <c r="AE39" i="27"/>
  <c r="AB40" i="27"/>
  <c r="AF32" i="27"/>
  <c r="AD23" i="27"/>
  <c r="AI40" i="27"/>
  <c r="AJ30" i="27"/>
  <c r="AJ34" i="27"/>
  <c r="AH25" i="27"/>
  <c r="AJ15" i="27"/>
  <c r="AJ19" i="27"/>
  <c r="AK11" i="27"/>
  <c r="AF38" i="27"/>
  <c r="AF42" i="27"/>
  <c r="AC32" i="27"/>
  <c r="AJ37" i="27"/>
  <c r="AJ41" i="27"/>
  <c r="AK30" i="27"/>
  <c r="AK34" i="27"/>
  <c r="AI25" i="27"/>
  <c r="AG23" i="27"/>
  <c r="AK18" i="27"/>
  <c r="AH11" i="27"/>
  <c r="AC37" i="27"/>
  <c r="AC41" i="27"/>
  <c r="AD30" i="27"/>
  <c r="AD34" i="27"/>
  <c r="AE12" i="27"/>
  <c r="AD19" i="27"/>
  <c r="D19" i="27" s="1"/>
  <c r="AD15" i="27"/>
  <c r="D15" i="27" s="1"/>
  <c r="AF25" i="27"/>
  <c r="AE32" i="27"/>
  <c r="AI11" i="27"/>
  <c r="AJ23" i="27"/>
  <c r="AK37" i="27"/>
  <c r="AJ43" i="27"/>
  <c r="AG21" i="27"/>
  <c r="AE43" i="27"/>
  <c r="AH13" i="27"/>
  <c r="AE9" i="27"/>
  <c r="AH19" i="27"/>
  <c r="AH15" i="27"/>
  <c r="AE26" i="27"/>
  <c r="AB11" i="27"/>
  <c r="AF15" i="27"/>
  <c r="F15" i="27" s="1"/>
  <c r="AE34" i="27"/>
  <c r="AG31" i="27"/>
  <c r="AE17" i="27"/>
  <c r="E17" i="27" s="1"/>
  <c r="AH17" i="27"/>
  <c r="AH37" i="27"/>
  <c r="AI34" i="27"/>
  <c r="AG27" i="27"/>
  <c r="AE37" i="27"/>
  <c r="AF30" i="27"/>
  <c r="AI42" i="27"/>
  <c r="AH27" i="27"/>
  <c r="AH9" i="27"/>
  <c r="AC34" i="27"/>
  <c r="AJ39" i="27"/>
  <c r="AK32" i="27"/>
  <c r="AK16" i="27"/>
  <c r="AB38" i="27"/>
  <c r="AB30" i="27"/>
  <c r="AF27" i="27"/>
  <c r="AD40" i="27"/>
  <c r="AC43" i="27"/>
  <c r="AI28" i="27"/>
  <c r="AE21" i="27"/>
  <c r="E21" i="27" s="1"/>
  <c r="AG35" i="27"/>
  <c r="AH21" i="27"/>
  <c r="AC9" i="27"/>
  <c r="C9" i="27" s="1"/>
  <c r="AK43" i="27"/>
  <c r="AB35" i="27"/>
  <c r="AC21" i="27"/>
  <c r="C21" i="27" s="1"/>
  <c r="AG28" i="27"/>
  <c r="AG13" i="27"/>
  <c r="AJ21" i="27"/>
  <c r="AG43" i="27"/>
  <c r="AE11" i="27"/>
  <c r="AC17" i="27"/>
  <c r="C17" i="27" s="1"/>
  <c r="AC20" i="27"/>
  <c r="C20" i="27" s="1"/>
  <c r="AD39" i="27"/>
  <c r="AC15" i="27"/>
  <c r="C15" i="27" s="1"/>
  <c r="AC18" i="27"/>
  <c r="C18" i="27" s="1"/>
  <c r="AG20" i="27"/>
  <c r="AB12" i="27"/>
  <c r="AF20" i="27"/>
  <c r="F20" i="27" s="1"/>
  <c r="AF16" i="27"/>
  <c r="F16" i="27" s="1"/>
  <c r="AD27" i="27"/>
  <c r="AC23" i="27"/>
  <c r="AD38" i="27"/>
  <c r="AJ25" i="27"/>
  <c r="AB15" i="27"/>
  <c r="B15" i="27" s="1"/>
  <c r="AE18" i="27"/>
  <c r="E18" i="27" s="1"/>
  <c r="AB24" i="27"/>
  <c r="AC24" i="27"/>
  <c r="AI12" i="27"/>
  <c r="AK42" i="27"/>
  <c r="AH40" i="27"/>
  <c r="AG42" i="27"/>
  <c r="AI33" i="27"/>
  <c r="AK23" i="27"/>
  <c r="AK27" i="27"/>
  <c r="AI17" i="27"/>
  <c r="AG17" i="27"/>
  <c r="AK9" i="27"/>
  <c r="AE40" i="27"/>
  <c r="AB37" i="27"/>
  <c r="AF33" i="27"/>
  <c r="AI37" i="27"/>
  <c r="AI41" i="27"/>
  <c r="AJ31" i="27"/>
  <c r="AG33" i="27"/>
  <c r="AH26" i="27"/>
  <c r="AJ16" i="27"/>
  <c r="AJ20" i="27"/>
  <c r="AK12" i="27"/>
  <c r="AF39" i="27"/>
  <c r="AB41" i="27"/>
  <c r="AC33" i="27"/>
  <c r="AJ38" i="27"/>
  <c r="AJ42" i="27"/>
  <c r="AK31" i="27"/>
  <c r="AG34" i="27"/>
  <c r="AI26" i="27"/>
  <c r="AK15" i="27"/>
  <c r="AK19" i="27"/>
  <c r="AH12" i="27"/>
  <c r="AC38" i="27"/>
  <c r="AC42" i="27"/>
  <c r="AD31" i="27"/>
  <c r="AB32" i="27"/>
  <c r="AD18" i="27"/>
  <c r="D18" i="27" s="1"/>
  <c r="AB27" i="27"/>
  <c r="AF24" i="27"/>
  <c r="AB39" i="27"/>
  <c r="AH20" i="27"/>
  <c r="AH34" i="27"/>
  <c r="AB21" i="27"/>
  <c r="B21" i="27" s="1"/>
  <c r="AD21" i="27"/>
  <c r="D21" i="27" s="1"/>
  <c r="AF12" i="27"/>
  <c r="AB26" i="27"/>
  <c r="AC12" i="27"/>
  <c r="AD26" i="27"/>
  <c r="AG16" i="27"/>
  <c r="AB18" i="27"/>
  <c r="B18" i="27" s="1"/>
  <c r="AC27" i="27"/>
  <c r="AK38" i="27"/>
  <c r="AI30" i="27"/>
  <c r="AK24" i="27"/>
  <c r="AJ11" i="27"/>
  <c r="AE41" i="27"/>
  <c r="AF34" i="27"/>
  <c r="AI38" i="27"/>
  <c r="AH23" i="27"/>
  <c r="AJ17" i="27"/>
  <c r="AF40" i="27"/>
  <c r="AG40" i="27"/>
  <c r="AI23" i="27"/>
  <c r="AK20" i="27"/>
  <c r="AC39" i="27"/>
  <c r="AD32" i="27"/>
  <c r="AD17" i="27"/>
  <c r="D17" i="27" s="1"/>
  <c r="AF23" i="27"/>
  <c r="AH30" i="27"/>
  <c r="AB43" i="27"/>
  <c r="AC28" i="27"/>
  <c r="AI13" i="27"/>
  <c r="AF35" i="27"/>
  <c r="AB9" i="27"/>
  <c r="AK28" i="27"/>
  <c r="AC16" i="27"/>
  <c r="C16" i="27" s="1"/>
  <c r="AF19" i="27"/>
  <c r="F19" i="27" s="1"/>
  <c r="AE33" i="27"/>
  <c r="AH41" i="27"/>
  <c r="AI18" i="27"/>
  <c r="AJ32" i="27"/>
  <c r="AG18" i="27"/>
  <c r="AC30" i="27"/>
  <c r="AI27" i="27"/>
  <c r="AG12" i="27"/>
  <c r="AB17" i="27"/>
  <c r="B17" i="27" s="1"/>
  <c r="AH16" i="27"/>
  <c r="AG32" i="27"/>
  <c r="AJ12" i="27"/>
  <c r="AB34" i="27"/>
  <c r="AI39" i="27"/>
  <c r="AG24" i="27"/>
  <c r="AF41" i="27"/>
  <c r="AK33" i="27"/>
  <c r="AG19" i="27"/>
  <c r="AD33" i="27"/>
  <c r="AF26" i="27"/>
  <c r="AK41" i="27"/>
  <c r="AI15" i="27"/>
  <c r="AJ33" i="27"/>
  <c r="AB31" i="27"/>
  <c r="AJ40" i="27"/>
  <c r="AC40" i="27"/>
  <c r="AJ9" i="27"/>
  <c r="AI31" i="27"/>
  <c r="AF31" i="27"/>
  <c r="AF37" i="27"/>
  <c r="AK17" i="27"/>
  <c r="AD16" i="27"/>
  <c r="D16" i="27" s="1"/>
  <c r="AH38" i="27"/>
  <c r="AK25" i="27"/>
  <c r="AE38" i="27"/>
  <c r="AG39" i="27"/>
  <c r="AJ18" i="27"/>
  <c r="AC31" i="27"/>
  <c r="AI24" i="27"/>
  <c r="AI9" i="27"/>
  <c r="AD11" i="27"/>
  <c r="AB33" i="27"/>
  <c r="AH42" i="27"/>
  <c r="AE42" i="27"/>
  <c r="AG15" i="27"/>
  <c r="AG25" i="27"/>
  <c r="AD20" i="27"/>
  <c r="D20" i="27" s="1"/>
  <c r="AI19" i="27"/>
  <c r="AH24" i="27"/>
  <c r="AG37" i="27"/>
  <c r="AB42" i="27"/>
  <c r="AJ27" i="27"/>
  <c r="AR20" i="26"/>
  <c r="R20" i="26" s="1"/>
  <c r="AT9" i="26"/>
  <c r="T9" i="26" s="1"/>
  <c r="AS12" i="26"/>
  <c r="S12" i="26" s="1"/>
  <c r="AS18" i="26"/>
  <c r="S18" i="26" s="1"/>
  <c r="AU15" i="26"/>
  <c r="U15" i="26" s="1"/>
  <c r="AV23" i="26"/>
  <c r="V23" i="26" s="1"/>
  <c r="AR21" i="26"/>
  <c r="R21" i="26" s="1"/>
  <c r="AP9" i="26"/>
  <c r="P9" i="26" s="1"/>
  <c r="AV12" i="26"/>
  <c r="V12" i="26" s="1"/>
  <c r="AV18" i="26"/>
  <c r="V18" i="26" s="1"/>
  <c r="AR16" i="26"/>
  <c r="R16" i="26" s="1"/>
  <c r="AS24" i="26"/>
  <c r="S24" i="26" s="1"/>
  <c r="AU21" i="26"/>
  <c r="U21" i="26" s="1"/>
  <c r="AS13" i="26"/>
  <c r="S13" i="26" s="1"/>
  <c r="AP16" i="26"/>
  <c r="AU16" i="26"/>
  <c r="U16" i="26" s="1"/>
  <c r="AV24" i="26"/>
  <c r="V24" i="26" s="1"/>
  <c r="AR22" i="26"/>
  <c r="R22" i="26" s="1"/>
  <c r="AU34" i="26"/>
  <c r="U34" i="26" s="1"/>
  <c r="AS29" i="26"/>
  <c r="S29" i="26" s="1"/>
  <c r="AP11" i="26"/>
  <c r="P11" i="26" s="1"/>
  <c r="AU11" i="26"/>
  <c r="U11" i="26" s="1"/>
  <c r="AU17" i="26"/>
  <c r="U17" i="26" s="1"/>
  <c r="AQ15" i="26"/>
  <c r="Q15" i="26" s="1"/>
  <c r="AR23" i="26"/>
  <c r="R23" i="26" s="1"/>
  <c r="AT20" i="26"/>
  <c r="T20" i="26" s="1"/>
  <c r="AS9" i="26"/>
  <c r="S9" i="26" s="1"/>
  <c r="AR12" i="26"/>
  <c r="R12" i="26" s="1"/>
  <c r="AR18" i="26"/>
  <c r="R18" i="26" s="1"/>
  <c r="AT15" i="26"/>
  <c r="T15" i="26" s="1"/>
  <c r="AU23" i="26"/>
  <c r="U23" i="26" s="1"/>
  <c r="AQ21" i="26"/>
  <c r="Q21" i="26" s="1"/>
  <c r="AV9" i="26"/>
  <c r="V9" i="26" s="1"/>
  <c r="AU12" i="26"/>
  <c r="U12" i="26" s="1"/>
  <c r="AU18" i="26"/>
  <c r="U18" i="26" s="1"/>
  <c r="AQ16" i="26"/>
  <c r="Q16" i="26" s="1"/>
  <c r="AR24" i="26"/>
  <c r="R24" i="26" s="1"/>
  <c r="AT21" i="26"/>
  <c r="T21" i="26" s="1"/>
  <c r="AU36" i="26"/>
  <c r="U36" i="26" s="1"/>
  <c r="AS31" i="26"/>
  <c r="S31" i="26" s="1"/>
  <c r="AU13" i="26"/>
  <c r="U13" i="26" s="1"/>
  <c r="AQ11" i="26"/>
  <c r="Q11" i="26" s="1"/>
  <c r="AQ17" i="26"/>
  <c r="Q17" i="26" s="1"/>
  <c r="AP23" i="26"/>
  <c r="P23" i="26" s="1"/>
  <c r="AT22" i="26"/>
  <c r="T22" i="26" s="1"/>
  <c r="AP12" i="26"/>
  <c r="P12" i="26" s="1"/>
  <c r="AT11" i="26"/>
  <c r="T11" i="26" s="1"/>
  <c r="AT17" i="26"/>
  <c r="T17" i="26" s="1"/>
  <c r="AP20" i="26"/>
  <c r="P20" i="26" s="1"/>
  <c r="AQ23" i="26"/>
  <c r="Q23" i="26" s="1"/>
  <c r="AS20" i="26"/>
  <c r="S20" i="26" s="1"/>
  <c r="AR9" i="26"/>
  <c r="R9" i="26" s="1"/>
  <c r="AQ12" i="26"/>
  <c r="Q12" i="26" s="1"/>
  <c r="AQ18" i="26"/>
  <c r="Q18" i="26" s="1"/>
  <c r="AS15" i="26"/>
  <c r="S15" i="26" s="1"/>
  <c r="AT23" i="26"/>
  <c r="T23" i="26" s="1"/>
  <c r="AV20" i="26"/>
  <c r="V20" i="26" s="1"/>
  <c r="AR25" i="26"/>
  <c r="R25" i="26" s="1"/>
  <c r="AS39" i="26"/>
  <c r="S39" i="26" s="1"/>
  <c r="AQ13" i="26"/>
  <c r="Q13" i="26" s="1"/>
  <c r="AP18" i="26"/>
  <c r="P18" i="26" s="1"/>
  <c r="AS16" i="26"/>
  <c r="S16" i="26" s="1"/>
  <c r="AT24" i="26"/>
  <c r="T24" i="26" s="1"/>
  <c r="AV21" i="26"/>
  <c r="V21" i="26" s="1"/>
  <c r="AT13" i="26"/>
  <c r="T13" i="26" s="1"/>
  <c r="AP15" i="26"/>
  <c r="P15" i="26" s="1"/>
  <c r="AV16" i="26"/>
  <c r="V16" i="26" s="1"/>
  <c r="AP24" i="26"/>
  <c r="P24" i="26" s="1"/>
  <c r="AS22" i="26"/>
  <c r="S22" i="26" s="1"/>
  <c r="AP13" i="26"/>
  <c r="P13" i="26" s="1"/>
  <c r="AS11" i="26"/>
  <c r="S11" i="26" s="1"/>
  <c r="AS17" i="26"/>
  <c r="S17" i="26" s="1"/>
  <c r="AP21" i="26"/>
  <c r="P21" i="26" s="1"/>
  <c r="AV22" i="26"/>
  <c r="V22" i="26" s="1"/>
  <c r="AP32" i="26"/>
  <c r="P32" i="26" s="1"/>
  <c r="AS27" i="26"/>
  <c r="S27" i="26" s="1"/>
  <c r="AQ40" i="26"/>
  <c r="Q40" i="26" s="1"/>
  <c r="AT35" i="26"/>
  <c r="T35" i="26" s="1"/>
  <c r="AR38" i="26"/>
  <c r="R38" i="26" s="1"/>
  <c r="AT29" i="26"/>
  <c r="T29" i="26" s="1"/>
  <c r="AP30" i="26"/>
  <c r="P30" i="26" s="1"/>
  <c r="AQ35" i="26"/>
  <c r="Q35" i="26" s="1"/>
  <c r="AU39" i="26"/>
  <c r="U39" i="26" s="1"/>
  <c r="AQ31" i="26"/>
  <c r="Q31" i="26" s="1"/>
  <c r="AS40" i="26"/>
  <c r="S40" i="26" s="1"/>
  <c r="AT38" i="26"/>
  <c r="T38" i="26" s="1"/>
  <c r="AV29" i="26"/>
  <c r="V29" i="26" s="1"/>
  <c r="AQ38" i="26"/>
  <c r="Q38" i="26" s="1"/>
  <c r="AP31" i="26"/>
  <c r="P31" i="26" s="1"/>
  <c r="AU35" i="26"/>
  <c r="U35" i="26" s="1"/>
  <c r="AU27" i="26"/>
  <c r="U27" i="26" s="1"/>
  <c r="AS25" i="26"/>
  <c r="S25" i="26" s="1"/>
  <c r="AU40" i="26"/>
  <c r="U40" i="26" s="1"/>
  <c r="AR36" i="26"/>
  <c r="R36" i="26" s="1"/>
  <c r="AV38" i="26"/>
  <c r="AT27" i="26"/>
  <c r="T27" i="26" s="1"/>
  <c r="AR30" i="26"/>
  <c r="R30" i="26" s="1"/>
  <c r="AT25" i="26"/>
  <c r="T25" i="26" s="1"/>
  <c r="AS36" i="26"/>
  <c r="S36" i="26" s="1"/>
  <c r="AQ27" i="26"/>
  <c r="Q27" i="26" s="1"/>
  <c r="AP29" i="26"/>
  <c r="P29" i="26" s="1"/>
  <c r="AT34" i="26"/>
  <c r="T34" i="26" s="1"/>
  <c r="AV39" i="26"/>
  <c r="V39" i="26" s="1"/>
  <c r="AR31" i="26"/>
  <c r="R31" i="26" s="1"/>
  <c r="AS32" i="26"/>
  <c r="S32" i="26" s="1"/>
  <c r="AP39" i="26"/>
  <c r="P39" i="26" s="1"/>
  <c r="AQ32" i="26"/>
  <c r="Q32" i="26" s="1"/>
  <c r="AU37" i="26"/>
  <c r="U37" i="26" s="1"/>
  <c r="AQ29" i="26"/>
  <c r="Q29" i="26" s="1"/>
  <c r="AR34" i="26"/>
  <c r="R34" i="26" s="1"/>
  <c r="AT39" i="26"/>
  <c r="AV30" i="26"/>
  <c r="V30" i="26" s="1"/>
  <c r="AQ37" i="26"/>
  <c r="Q37" i="26" s="1"/>
  <c r="AV35" i="26"/>
  <c r="V35" i="26" s="1"/>
  <c r="AP28" i="26"/>
  <c r="P28" i="26" s="1"/>
  <c r="AQ34" i="26"/>
  <c r="Q34" i="26" s="1"/>
  <c r="AR40" i="26"/>
  <c r="R40" i="26" s="1"/>
  <c r="AS30" i="26"/>
  <c r="S30" i="26" s="1"/>
  <c r="AU25" i="26"/>
  <c r="U25" i="26" s="1"/>
  <c r="AT36" i="26"/>
  <c r="T36" i="26" s="1"/>
  <c r="AV27" i="26"/>
  <c r="V27" i="26" s="1"/>
  <c r="AS37" i="26"/>
  <c r="S37" i="26" s="1"/>
  <c r="AU30" i="26"/>
  <c r="U30" i="26" s="1"/>
  <c r="AU9" i="26"/>
  <c r="U9" i="26" s="1"/>
  <c r="AT12" i="26"/>
  <c r="T12" i="26" s="1"/>
  <c r="AT18" i="26"/>
  <c r="T18" i="26" s="1"/>
  <c r="AV15" i="26"/>
  <c r="V15" i="26" s="1"/>
  <c r="AQ24" i="26"/>
  <c r="Q24" i="26" s="1"/>
  <c r="AS21" i="26"/>
  <c r="S21" i="26" s="1"/>
  <c r="AP25" i="26"/>
  <c r="P25" i="26" s="1"/>
  <c r="AU32" i="26"/>
  <c r="U32" i="26" s="1"/>
  <c r="AR27" i="26"/>
  <c r="R27" i="26" s="1"/>
  <c r="AQ28" i="26"/>
  <c r="Q28" i="26" s="1"/>
  <c r="AQ39" i="26"/>
  <c r="Q39" i="26" s="1"/>
  <c r="AR39" i="26"/>
  <c r="R39" i="26" s="1"/>
  <c r="AT40" i="26"/>
  <c r="T40" i="26" s="1"/>
  <c r="AR11" i="26"/>
  <c r="R11" i="26" s="1"/>
  <c r="AP22" i="26"/>
  <c r="P22" i="26" s="1"/>
  <c r="AQ20" i="26"/>
  <c r="Q20" i="26" s="1"/>
  <c r="AT32" i="26"/>
  <c r="T32" i="26" s="1"/>
  <c r="AV28" i="26"/>
  <c r="V28" i="26" s="1"/>
  <c r="AU29" i="26"/>
  <c r="U29" i="26" s="1"/>
  <c r="AR32" i="26"/>
  <c r="R32" i="26" s="1"/>
  <c r="AP36" i="26"/>
  <c r="P36" i="26" s="1"/>
  <c r="AU28" i="26"/>
  <c r="U28" i="26" s="1"/>
  <c r="AR13" i="26"/>
  <c r="R13" i="26" s="1"/>
  <c r="AT16" i="26"/>
  <c r="T16" i="26" s="1"/>
  <c r="AV34" i="26"/>
  <c r="V34" i="26" s="1"/>
  <c r="AP38" i="26"/>
  <c r="P38" i="26" s="1"/>
  <c r="AT31" i="26"/>
  <c r="T31" i="26" s="1"/>
  <c r="AS38" i="26"/>
  <c r="S38" i="26" s="1"/>
  <c r="AR37" i="26"/>
  <c r="R37" i="26" s="1"/>
  <c r="AQ36" i="26"/>
  <c r="Q36" i="26" s="1"/>
  <c r="AS34" i="26"/>
  <c r="S34" i="26" s="1"/>
  <c r="AU31" i="26"/>
  <c r="U31" i="26" s="1"/>
  <c r="AV32" i="26"/>
  <c r="V32" i="26" s="1"/>
  <c r="AV37" i="26"/>
  <c r="V37" i="26" s="1"/>
  <c r="AR29" i="26"/>
  <c r="R29" i="26" s="1"/>
  <c r="AV25" i="26"/>
  <c r="V25" i="26" s="1"/>
  <c r="AU38" i="26"/>
  <c r="U38" i="26" s="1"/>
  <c r="AP27" i="26"/>
  <c r="P27" i="26" s="1"/>
  <c r="AQ9" i="26"/>
  <c r="Q9" i="26" s="1"/>
  <c r="AV11" i="26"/>
  <c r="V11" i="26" s="1"/>
  <c r="AV17" i="26"/>
  <c r="V17" i="26" s="1"/>
  <c r="AR15" i="26"/>
  <c r="R15" i="26" s="1"/>
  <c r="AS23" i="26"/>
  <c r="S23" i="26" s="1"/>
  <c r="AU20" i="26"/>
  <c r="U20" i="26" s="1"/>
  <c r="AV36" i="26"/>
  <c r="V36" i="26" s="1"/>
  <c r="AR28" i="26"/>
  <c r="R28" i="26" s="1"/>
  <c r="AS28" i="26"/>
  <c r="S28" i="26" s="1"/>
  <c r="AQ25" i="26"/>
  <c r="Q25" i="26" s="1"/>
  <c r="AP40" i="26"/>
  <c r="P40" i="26" s="1"/>
  <c r="AT30" i="26"/>
  <c r="T30" i="26" s="1"/>
  <c r="AP35" i="26"/>
  <c r="P35" i="26" s="1"/>
  <c r="AV13" i="26"/>
  <c r="V13" i="26" s="1"/>
  <c r="AR17" i="26"/>
  <c r="R17" i="26" s="1"/>
  <c r="AU22" i="26"/>
  <c r="U22" i="26" s="1"/>
  <c r="AT37" i="26"/>
  <c r="T37" i="26" s="1"/>
  <c r="AV40" i="26"/>
  <c r="V40" i="26" s="1"/>
  <c r="AT28" i="26"/>
  <c r="T28" i="26" s="1"/>
  <c r="AQ30" i="26"/>
  <c r="Q30" i="26" s="1"/>
  <c r="AP37" i="26"/>
  <c r="P37" i="26" s="1"/>
  <c r="AR35" i="26"/>
  <c r="R35" i="26" s="1"/>
  <c r="AV31" i="26"/>
  <c r="V31" i="26" s="1"/>
  <c r="AS35" i="26"/>
  <c r="S35" i="26" s="1"/>
  <c r="AP17" i="26"/>
  <c r="P17" i="26" s="1"/>
  <c r="AU24" i="26"/>
  <c r="U24" i="26" s="1"/>
  <c r="AQ22" i="26"/>
  <c r="Q22" i="26" s="1"/>
  <c r="AN35" i="26"/>
  <c r="N35" i="26" s="1"/>
  <c r="AC40" i="26"/>
  <c r="C40" i="26" s="1"/>
  <c r="AE32" i="26"/>
  <c r="E32" i="26" s="1"/>
  <c r="AG25" i="26"/>
  <c r="G25" i="26" s="1"/>
  <c r="AJ40" i="26"/>
  <c r="J40" i="26" s="1"/>
  <c r="AL32" i="26"/>
  <c r="L32" i="26" s="1"/>
  <c r="AN25" i="26"/>
  <c r="N25" i="26" s="1"/>
  <c r="AO40" i="26"/>
  <c r="O40" i="26" s="1"/>
  <c r="AC32" i="26"/>
  <c r="C32" i="26" s="1"/>
  <c r="AE25" i="26"/>
  <c r="E25" i="26" s="1"/>
  <c r="AI25" i="26"/>
  <c r="I25" i="26" s="1"/>
  <c r="AB37" i="26"/>
  <c r="B37" i="26" s="1"/>
  <c r="AD18" i="26"/>
  <c r="D18" i="26" s="1"/>
  <c r="AI27" i="26"/>
  <c r="I27" i="26" s="1"/>
  <c r="AB12" i="26"/>
  <c r="B12" i="26" s="1"/>
  <c r="AD36" i="26"/>
  <c r="D36" i="26" s="1"/>
  <c r="AK35" i="26"/>
  <c r="K35" i="26" s="1"/>
  <c r="AO37" i="26"/>
  <c r="O37" i="26" s="1"/>
  <c r="AI39" i="26"/>
  <c r="I39" i="26" s="1"/>
  <c r="AN28" i="26"/>
  <c r="N28" i="26" s="1"/>
  <c r="AL31" i="26"/>
  <c r="L31" i="26" s="1"/>
  <c r="AL21" i="26"/>
  <c r="L21" i="26" s="1"/>
  <c r="AJ24" i="26"/>
  <c r="J24" i="26" s="1"/>
  <c r="AJ16" i="26"/>
  <c r="J16" i="26" s="1"/>
  <c r="AN18" i="26"/>
  <c r="N18" i="26" s="1"/>
  <c r="AN12" i="26"/>
  <c r="N12" i="26" s="1"/>
  <c r="AO9" i="26"/>
  <c r="O9" i="26" s="1"/>
  <c r="AE36" i="26"/>
  <c r="E36" i="26" s="1"/>
  <c r="AC39" i="26"/>
  <c r="C39" i="26" s="1"/>
  <c r="AH27" i="26"/>
  <c r="H27" i="26" s="1"/>
  <c r="AF30" i="26"/>
  <c r="F30" i="26" s="1"/>
  <c r="AB27" i="26"/>
  <c r="B27" i="26" s="1"/>
  <c r="AF22" i="26"/>
  <c r="F22" i="26" s="1"/>
  <c r="AB22" i="26"/>
  <c r="B22" i="26" s="1"/>
  <c r="AD17" i="26"/>
  <c r="D17" i="26" s="1"/>
  <c r="AL35" i="26"/>
  <c r="L35" i="26" s="1"/>
  <c r="AJ38" i="26"/>
  <c r="J38" i="26" s="1"/>
  <c r="AI34" i="26"/>
  <c r="I34" i="26" s="1"/>
  <c r="AM29" i="26"/>
  <c r="M29" i="26" s="1"/>
  <c r="AI29" i="26"/>
  <c r="I29" i="26" s="1"/>
  <c r="AK22" i="26"/>
  <c r="K22" i="26" s="1"/>
  <c r="AO24" i="26"/>
  <c r="O24" i="26" s="1"/>
  <c r="AK16" i="26"/>
  <c r="K16" i="26" s="1"/>
  <c r="AO18" i="26"/>
  <c r="O18" i="26" s="1"/>
  <c r="AO12" i="26"/>
  <c r="O12" i="26" s="1"/>
  <c r="AI9" i="26"/>
  <c r="I9" i="26" s="1"/>
  <c r="AF36" i="26"/>
  <c r="F36" i="26" s="1"/>
  <c r="AD39" i="26"/>
  <c r="D39" i="26" s="1"/>
  <c r="AG22" i="26"/>
  <c r="G22" i="26" s="1"/>
  <c r="AB21" i="26"/>
  <c r="B21" i="26" s="1"/>
  <c r="AE17" i="26"/>
  <c r="E17" i="26" s="1"/>
  <c r="AK36" i="26"/>
  <c r="K36" i="26" s="1"/>
  <c r="AO38" i="26"/>
  <c r="O38" i="26" s="1"/>
  <c r="AG40" i="26"/>
  <c r="G40" i="26" s="1"/>
  <c r="AB32" i="26"/>
  <c r="B32" i="26" s="1"/>
  <c r="AN40" i="26"/>
  <c r="N40" i="26" s="1"/>
  <c r="AI32" i="26"/>
  <c r="I32" i="26" s="1"/>
  <c r="AD25" i="26"/>
  <c r="D25" i="26" s="1"/>
  <c r="AE40" i="26"/>
  <c r="E40" i="26" s="1"/>
  <c r="AG32" i="26"/>
  <c r="G32" i="26" s="1"/>
  <c r="AB25" i="26"/>
  <c r="B25" i="26" s="1"/>
  <c r="AI40" i="26"/>
  <c r="I40" i="26" s="1"/>
  <c r="AJ32" i="26"/>
  <c r="J32" i="26" s="1"/>
  <c r="AM12" i="26"/>
  <c r="M12" i="26" s="1"/>
  <c r="AH18" i="26"/>
  <c r="H18" i="26" s="1"/>
  <c r="AE20" i="26"/>
  <c r="E20" i="26" s="1"/>
  <c r="AL38" i="26"/>
  <c r="L38" i="26" s="1"/>
  <c r="AF11" i="26"/>
  <c r="F11" i="26" s="1"/>
  <c r="AO15" i="26"/>
  <c r="O15" i="26" s="1"/>
  <c r="AO35" i="26"/>
  <c r="O35" i="26" s="1"/>
  <c r="O71" i="26" s="1"/>
  <c r="AM38" i="26"/>
  <c r="M38" i="26" s="1"/>
  <c r="AI35" i="26"/>
  <c r="I35" i="26" s="1"/>
  <c r="AL29" i="26"/>
  <c r="L29" i="26" s="1"/>
  <c r="AI30" i="26"/>
  <c r="I30" i="26" s="1"/>
  <c r="AJ22" i="26"/>
  <c r="J22" i="26" s="1"/>
  <c r="AN24" i="26"/>
  <c r="N24" i="26" s="1"/>
  <c r="AN16" i="26"/>
  <c r="N16" i="26" s="1"/>
  <c r="AI16" i="26"/>
  <c r="I16" i="26" s="1"/>
  <c r="AL13" i="26"/>
  <c r="L13" i="26" s="1"/>
  <c r="AE34" i="26"/>
  <c r="E34" i="26" s="1"/>
  <c r="AC37" i="26"/>
  <c r="C37" i="26" s="1"/>
  <c r="AG39" i="26"/>
  <c r="G39" i="26" s="1"/>
  <c r="AF28" i="26"/>
  <c r="F28" i="26" s="1"/>
  <c r="AD31" i="26"/>
  <c r="D31" i="26" s="1"/>
  <c r="D68" i="26" s="1"/>
  <c r="AF20" i="26"/>
  <c r="F20" i="26" s="1"/>
  <c r="AD23" i="26"/>
  <c r="D23" i="26" s="1"/>
  <c r="AD15" i="26"/>
  <c r="D15" i="26" s="1"/>
  <c r="AH17" i="26"/>
  <c r="H17" i="26" s="1"/>
  <c r="AJ36" i="26"/>
  <c r="J36" i="26" s="1"/>
  <c r="J72" i="26" s="1"/>
  <c r="AN38" i="26"/>
  <c r="N38" i="26" s="1"/>
  <c r="AM27" i="26"/>
  <c r="M27" i="26" s="1"/>
  <c r="AK30" i="26"/>
  <c r="K30" i="26" s="1"/>
  <c r="AK20" i="26"/>
  <c r="K20" i="26" s="1"/>
  <c r="AO22" i="26"/>
  <c r="O22" i="26" s="1"/>
  <c r="AI24" i="26"/>
  <c r="I24" i="26" s="1"/>
  <c r="AO16" i="26"/>
  <c r="O16" i="26" s="1"/>
  <c r="AI15" i="26"/>
  <c r="I15" i="26" s="1"/>
  <c r="AM13" i="26"/>
  <c r="M13" i="26" s="1"/>
  <c r="AF34" i="26"/>
  <c r="F34" i="26" s="1"/>
  <c r="AD37" i="26"/>
  <c r="D37" i="26" s="1"/>
  <c r="D73" i="26" s="1"/>
  <c r="AH39" i="26"/>
  <c r="H39" i="26" s="1"/>
  <c r="AC28" i="26"/>
  <c r="C28" i="26" s="1"/>
  <c r="AG30" i="26"/>
  <c r="G30" i="26" s="1"/>
  <c r="AG20" i="26"/>
  <c r="G20" i="26" s="1"/>
  <c r="AE23" i="26"/>
  <c r="E23" i="26" s="1"/>
  <c r="AE15" i="26"/>
  <c r="E15" i="26" s="1"/>
  <c r="AK34" i="26"/>
  <c r="K34" i="26" s="1"/>
  <c r="AO36" i="26"/>
  <c r="O36" i="26" s="1"/>
  <c r="AM39" i="26"/>
  <c r="M39" i="26" s="1"/>
  <c r="AL28" i="26"/>
  <c r="L28" i="26" s="1"/>
  <c r="L65" i="26" s="1"/>
  <c r="AJ31" i="26"/>
  <c r="J31" i="26" s="1"/>
  <c r="AJ21" i="26"/>
  <c r="J21" i="26" s="1"/>
  <c r="AN23" i="26"/>
  <c r="N23" i="26" s="1"/>
  <c r="AN15" i="26"/>
  <c r="N15" i="26" s="1"/>
  <c r="AL18" i="26"/>
  <c r="L18" i="26" s="1"/>
  <c r="AL12" i="26"/>
  <c r="L12" i="26" s="1"/>
  <c r="AM9" i="26"/>
  <c r="M9" i="26" s="1"/>
  <c r="AC36" i="26"/>
  <c r="C36" i="26" s="1"/>
  <c r="AG38" i="26"/>
  <c r="G38" i="26" s="1"/>
  <c r="AF27" i="26"/>
  <c r="F27" i="26" s="1"/>
  <c r="F64" i="26" s="1"/>
  <c r="AD30" i="26"/>
  <c r="D30" i="26" s="1"/>
  <c r="AD20" i="26"/>
  <c r="D20" i="26" s="1"/>
  <c r="AH22" i="26"/>
  <c r="H22" i="26" s="1"/>
  <c r="AB24" i="26"/>
  <c r="B24" i="26" s="1"/>
  <c r="AH16" i="26"/>
  <c r="H16" i="26" s="1"/>
  <c r="AI36" i="26"/>
  <c r="I36" i="26" s="1"/>
  <c r="AK23" i="26"/>
  <c r="K23" i="26" s="1"/>
  <c r="AD34" i="26"/>
  <c r="D34" i="26" s="1"/>
  <c r="AG29" i="26"/>
  <c r="G29" i="26" s="1"/>
  <c r="AC17" i="26"/>
  <c r="C17" i="26" s="1"/>
  <c r="AG11" i="26"/>
  <c r="G11" i="26" s="1"/>
  <c r="AB11" i="26"/>
  <c r="B11" i="26" s="1"/>
  <c r="AK27" i="26"/>
  <c r="K27" i="26" s="1"/>
  <c r="AI22" i="26"/>
  <c r="I22" i="26" s="1"/>
  <c r="AH34" i="26"/>
  <c r="H34" i="26" s="1"/>
  <c r="AG21" i="26"/>
  <c r="G21" i="26" s="1"/>
  <c r="AF18" i="26"/>
  <c r="F18" i="26" s="1"/>
  <c r="AF12" i="26"/>
  <c r="F12" i="26" s="1"/>
  <c r="AG9" i="26"/>
  <c r="G9" i="26" s="1"/>
  <c r="AJ35" i="26"/>
  <c r="J35" i="26" s="1"/>
  <c r="AI31" i="26"/>
  <c r="I31" i="26" s="1"/>
  <c r="AO17" i="26"/>
  <c r="O17" i="26" s="1"/>
  <c r="AD38" i="26"/>
  <c r="D38" i="26" s="1"/>
  <c r="AE22" i="26"/>
  <c r="E22" i="26" s="1"/>
  <c r="AB16" i="26"/>
  <c r="B16" i="26" s="1"/>
  <c r="AN9" i="26"/>
  <c r="N9" i="26" s="1"/>
  <c r="AH40" i="26"/>
  <c r="H40" i="26" s="1"/>
  <c r="AK40" i="26"/>
  <c r="K40" i="26" s="1"/>
  <c r="AF25" i="26"/>
  <c r="F25" i="26" s="1"/>
  <c r="AB9" i="26"/>
  <c r="B9" i="26" s="1"/>
  <c r="AM18" i="26"/>
  <c r="M18" i="26" s="1"/>
  <c r="AG31" i="26"/>
  <c r="G31" i="26" s="1"/>
  <c r="AK37" i="26"/>
  <c r="K37" i="26" s="1"/>
  <c r="AN30" i="26"/>
  <c r="N30" i="26" s="1"/>
  <c r="AL15" i="26"/>
  <c r="L15" i="26" s="1"/>
  <c r="AJ12" i="26"/>
  <c r="J12" i="26" s="1"/>
  <c r="AG35" i="26"/>
  <c r="G35" i="26" s="1"/>
  <c r="AD27" i="26"/>
  <c r="D27" i="26" s="1"/>
  <c r="AB31" i="26"/>
  <c r="B31" i="26" s="1"/>
  <c r="AF16" i="26"/>
  <c r="F16" i="26" s="1"/>
  <c r="AL37" i="26"/>
  <c r="L37" i="26" s="1"/>
  <c r="AO28" i="26"/>
  <c r="O28" i="26" s="1"/>
  <c r="AM21" i="26"/>
  <c r="M21" i="26" s="1"/>
  <c r="AM15" i="26"/>
  <c r="M15" i="26" s="1"/>
  <c r="AK12" i="26"/>
  <c r="K12" i="26" s="1"/>
  <c r="AH35" i="26"/>
  <c r="H35" i="26" s="1"/>
  <c r="AB35" i="26"/>
  <c r="B35" i="26" s="1"/>
  <c r="AC22" i="26"/>
  <c r="C22" i="26" s="1"/>
  <c r="AG16" i="26"/>
  <c r="G16" i="26" s="1"/>
  <c r="AK38" i="26"/>
  <c r="K38" i="26" s="1"/>
  <c r="AN29" i="26"/>
  <c r="N29" i="26" s="1"/>
  <c r="AL22" i="26"/>
  <c r="L22" i="26" s="1"/>
  <c r="AJ11" i="26"/>
  <c r="J11" i="26" s="1"/>
  <c r="AE37" i="26"/>
  <c r="E37" i="26" s="1"/>
  <c r="AH28" i="26"/>
  <c r="H28" i="26" s="1"/>
  <c r="AD24" i="26"/>
  <c r="D24" i="26" s="1"/>
  <c r="AL36" i="26"/>
  <c r="L36" i="26" s="1"/>
  <c r="AI17" i="26"/>
  <c r="I17" i="26" s="1"/>
  <c r="AB18" i="26"/>
  <c r="B18" i="26" s="1"/>
  <c r="AK21" i="26"/>
  <c r="K21" i="26" s="1"/>
  <c r="AG27" i="26"/>
  <c r="G27" i="26" s="1"/>
  <c r="AJ9" i="26"/>
  <c r="J9" i="26" s="1"/>
  <c r="AC18" i="26"/>
  <c r="C18" i="26" s="1"/>
  <c r="AB15" i="26"/>
  <c r="B15" i="26" s="1"/>
  <c r="AC30" i="26"/>
  <c r="C30" i="26" s="1"/>
  <c r="AK32" i="26"/>
  <c r="K32" i="26" s="1"/>
  <c r="AM25" i="26"/>
  <c r="M25" i="26" s="1"/>
  <c r="AD40" i="26"/>
  <c r="D40" i="26" s="1"/>
  <c r="AF32" i="26"/>
  <c r="F32" i="26" s="1"/>
  <c r="AH25" i="26"/>
  <c r="H25" i="26" s="1"/>
  <c r="AB40" i="26"/>
  <c r="B40" i="26" s="1"/>
  <c r="AK25" i="26"/>
  <c r="K25" i="26" s="1"/>
  <c r="AL40" i="26"/>
  <c r="L40" i="26" s="1"/>
  <c r="AD32" i="26"/>
  <c r="D32" i="26" s="1"/>
  <c r="AF40" i="26"/>
  <c r="F40" i="26" s="1"/>
  <c r="AM22" i="26"/>
  <c r="M22" i="26" s="1"/>
  <c r="AC23" i="26"/>
  <c r="C23" i="26" s="1"/>
  <c r="AE9" i="26"/>
  <c r="E9" i="26" s="1"/>
  <c r="AH38" i="26"/>
  <c r="H38" i="26" s="1"/>
  <c r="AE16" i="26"/>
  <c r="E16" i="26" s="1"/>
  <c r="AK31" i="26"/>
  <c r="K31" i="26" s="1"/>
  <c r="AM36" i="26"/>
  <c r="M36" i="26" s="1"/>
  <c r="AK39" i="26"/>
  <c r="K39" i="26" s="1"/>
  <c r="AL27" i="26"/>
  <c r="L27" i="26" s="1"/>
  <c r="L64" i="26" s="1"/>
  <c r="AJ30" i="26"/>
  <c r="J30" i="26" s="1"/>
  <c r="AJ20" i="26"/>
  <c r="J20" i="26" s="1"/>
  <c r="AN22" i="26"/>
  <c r="N22" i="26" s="1"/>
  <c r="AI21" i="26"/>
  <c r="I21" i="26" s="1"/>
  <c r="AL17" i="26"/>
  <c r="L17" i="26" s="1"/>
  <c r="AL11" i="26"/>
  <c r="L11" i="26" s="1"/>
  <c r="AI13" i="26"/>
  <c r="I13" i="26" s="1"/>
  <c r="AC35" i="26"/>
  <c r="C35" i="26" s="1"/>
  <c r="AG37" i="26"/>
  <c r="G37" i="26" s="1"/>
  <c r="AB36" i="26"/>
  <c r="B36" i="26" s="1"/>
  <c r="AD29" i="26"/>
  <c r="D29" i="26" s="1"/>
  <c r="AH31" i="26"/>
  <c r="H31" i="26" s="1"/>
  <c r="AD21" i="26"/>
  <c r="D21" i="26" s="1"/>
  <c r="AH23" i="26"/>
  <c r="H23" i="26" s="1"/>
  <c r="AH15" i="26"/>
  <c r="H15" i="26" s="1"/>
  <c r="AJ34" i="26"/>
  <c r="J34" i="26" s="1"/>
  <c r="AN36" i="26"/>
  <c r="N36" i="26" s="1"/>
  <c r="AL39" i="26"/>
  <c r="L39" i="26" s="1"/>
  <c r="AK28" i="26"/>
  <c r="K28" i="26" s="1"/>
  <c r="AO30" i="26"/>
  <c r="O30" i="26" s="1"/>
  <c r="AO20" i="26"/>
  <c r="O20" i="26" s="1"/>
  <c r="AM23" i="26"/>
  <c r="M23" i="26" s="1"/>
  <c r="AI20" i="26"/>
  <c r="I20" i="26" s="1"/>
  <c r="AM17" i="26"/>
  <c r="M17" i="26" s="1"/>
  <c r="AM11" i="26"/>
  <c r="M11" i="26" s="1"/>
  <c r="AI12" i="26"/>
  <c r="I12" i="26" s="1"/>
  <c r="AD35" i="26"/>
  <c r="D35" i="26" s="1"/>
  <c r="AH37" i="26"/>
  <c r="H37" i="26" s="1"/>
  <c r="AB39" i="26"/>
  <c r="B39" i="26" s="1"/>
  <c r="AG28" i="26"/>
  <c r="G28" i="26" s="1"/>
  <c r="AE31" i="26"/>
  <c r="E31" i="26" s="1"/>
  <c r="AE21" i="26"/>
  <c r="E21" i="26" s="1"/>
  <c r="AC24" i="26"/>
  <c r="C24" i="26" s="1"/>
  <c r="AC16" i="26"/>
  <c r="C16" i="26" s="1"/>
  <c r="AO34" i="26"/>
  <c r="O34" i="26" s="1"/>
  <c r="AM37" i="26"/>
  <c r="M37" i="26" s="1"/>
  <c r="AI37" i="26"/>
  <c r="I37" i="26" s="1"/>
  <c r="AJ29" i="26"/>
  <c r="J29" i="26" s="1"/>
  <c r="AN31" i="26"/>
  <c r="N31" i="26" s="1"/>
  <c r="AN21" i="26"/>
  <c r="N21" i="26" s="1"/>
  <c r="AL24" i="26"/>
  <c r="L24" i="26" s="1"/>
  <c r="AL16" i="26"/>
  <c r="L16" i="26" s="1"/>
  <c r="AI18" i="26"/>
  <c r="I18" i="26" s="1"/>
  <c r="AJ13" i="26"/>
  <c r="J13" i="26" s="1"/>
  <c r="AC34" i="26"/>
  <c r="C34" i="26" s="1"/>
  <c r="AG36" i="26"/>
  <c r="G36" i="26" s="1"/>
  <c r="AE39" i="26"/>
  <c r="E39" i="26" s="1"/>
  <c r="AD28" i="26"/>
  <c r="D28" i="26" s="1"/>
  <c r="AH30" i="26"/>
  <c r="H30" i="26" s="1"/>
  <c r="AH20" i="26"/>
  <c r="H20" i="26" s="1"/>
  <c r="AF23" i="26"/>
  <c r="F23" i="26" s="1"/>
  <c r="AB20" i="26"/>
  <c r="B20" i="26" s="1"/>
  <c r="AF17" i="26"/>
  <c r="F17" i="26" s="1"/>
  <c r="AK29" i="26"/>
  <c r="K29" i="26" s="1"/>
  <c r="AM16" i="26"/>
  <c r="M16" i="26" s="1"/>
  <c r="AH36" i="26"/>
  <c r="H36" i="26" s="1"/>
  <c r="AC21" i="26"/>
  <c r="C21" i="26" s="1"/>
  <c r="AE18" i="26"/>
  <c r="E18" i="26" s="1"/>
  <c r="AE12" i="26"/>
  <c r="E12" i="26" s="1"/>
  <c r="AF9" i="26"/>
  <c r="F9" i="26" s="1"/>
  <c r="AL34" i="26"/>
  <c r="L34" i="26" s="1"/>
  <c r="AO29" i="26"/>
  <c r="O29" i="26" s="1"/>
  <c r="AK17" i="26"/>
  <c r="K17" i="26" s="1"/>
  <c r="AF37" i="26"/>
  <c r="F37" i="26" s="1"/>
  <c r="AE24" i="26"/>
  <c r="E24" i="26" s="1"/>
  <c r="AB17" i="26"/>
  <c r="B17" i="26" s="1"/>
  <c r="AN37" i="26"/>
  <c r="N37" i="26" s="1"/>
  <c r="AO21" i="26"/>
  <c r="O21" i="26" s="1"/>
  <c r="AO11" i="26"/>
  <c r="O11" i="26" s="1"/>
  <c r="AE28" i="26"/>
  <c r="E28" i="26" s="1"/>
  <c r="AG15" i="26"/>
  <c r="G15" i="26" s="1"/>
  <c r="AE11" i="26"/>
  <c r="E11" i="26" s="1"/>
  <c r="B13" i="26"/>
  <c r="AM28" i="26"/>
  <c r="M28" i="26" s="1"/>
  <c r="AO25" i="26"/>
  <c r="O25" i="26" s="1"/>
  <c r="AL25" i="26"/>
  <c r="L25" i="26" s="1"/>
  <c r="AH32" i="26"/>
  <c r="H32" i="26" s="1"/>
  <c r="AH12" i="26"/>
  <c r="H12" i="26" s="1"/>
  <c r="AD12" i="26"/>
  <c r="D12" i="26" s="1"/>
  <c r="AM34" i="26"/>
  <c r="M34" i="26" s="1"/>
  <c r="AO39" i="26"/>
  <c r="O39" i="26" s="1"/>
  <c r="AJ28" i="26"/>
  <c r="J28" i="26" s="1"/>
  <c r="AL23" i="26"/>
  <c r="L23" i="26" s="1"/>
  <c r="AJ18" i="26"/>
  <c r="J18" i="26" s="1"/>
  <c r="AK9" i="26"/>
  <c r="K9" i="26" s="1"/>
  <c r="AE38" i="26"/>
  <c r="E38" i="26" s="1"/>
  <c r="AH29" i="26"/>
  <c r="H29" i="26" s="1"/>
  <c r="AH21" i="26"/>
  <c r="H21" i="26" s="1"/>
  <c r="AN34" i="26"/>
  <c r="N34" i="26" s="1"/>
  <c r="N70" i="26" s="1"/>
  <c r="AI38" i="26"/>
  <c r="I38" i="26" s="1"/>
  <c r="AM31" i="26"/>
  <c r="M31" i="26" s="1"/>
  <c r="AK24" i="26"/>
  <c r="K24" i="26" s="1"/>
  <c r="AK18" i="26"/>
  <c r="K18" i="26" s="1"/>
  <c r="AL9" i="26"/>
  <c r="L9" i="26" s="1"/>
  <c r="AF38" i="26"/>
  <c r="F38" i="26" s="1"/>
  <c r="AB30" i="26"/>
  <c r="B30" i="26" s="1"/>
  <c r="AG24" i="26"/>
  <c r="G24" i="26" s="1"/>
  <c r="AM35" i="26"/>
  <c r="M35" i="26" s="1"/>
  <c r="M71" i="26" s="1"/>
  <c r="AJ27" i="26"/>
  <c r="J27" i="26" s="1"/>
  <c r="AI28" i="26"/>
  <c r="I28" i="26" s="1"/>
  <c r="AI23" i="26"/>
  <c r="I23" i="26" s="1"/>
  <c r="AN13" i="26"/>
  <c r="N13" i="26" s="1"/>
  <c r="AG34" i="26"/>
  <c r="G34" i="26" s="1"/>
  <c r="AB38" i="26"/>
  <c r="B38" i="26" s="1"/>
  <c r="AF21" i="26"/>
  <c r="F21" i="26" s="1"/>
  <c r="AF15" i="26"/>
  <c r="F15" i="26" s="1"/>
  <c r="AO31" i="26"/>
  <c r="O31" i="26" s="1"/>
  <c r="AG23" i="26"/>
  <c r="G23" i="26" s="1"/>
  <c r="AK11" i="26"/>
  <c r="K11" i="26" s="1"/>
  <c r="AC15" i="26"/>
  <c r="C15" i="26" s="1"/>
  <c r="AO27" i="26"/>
  <c r="O27" i="26" s="1"/>
  <c r="AC31" i="26"/>
  <c r="C31" i="26" s="1"/>
  <c r="AC12" i="26"/>
  <c r="C12" i="26" s="1"/>
  <c r="AE27" i="26"/>
  <c r="E27" i="26" s="1"/>
  <c r="AL30" i="26"/>
  <c r="L30" i="26" s="1"/>
  <c r="AM40" i="26"/>
  <c r="M40" i="26" s="1"/>
  <c r="AO32" i="26"/>
  <c r="O32" i="26" s="1"/>
  <c r="AC25" i="26"/>
  <c r="C25" i="26" s="1"/>
  <c r="AJ25" i="26"/>
  <c r="J25" i="26" s="1"/>
  <c r="AM32" i="26"/>
  <c r="M32" i="26" s="1"/>
  <c r="AN32" i="26"/>
  <c r="N32" i="26" s="1"/>
  <c r="AN20" i="26"/>
  <c r="N20" i="26" s="1"/>
  <c r="AF24" i="26"/>
  <c r="F24" i="26" s="1"/>
  <c r="AE29" i="26"/>
  <c r="E29" i="26" s="1"/>
  <c r="AJ17" i="26"/>
  <c r="J17" i="26" s="1"/>
  <c r="AF31" i="26"/>
  <c r="F31" i="26" s="1"/>
  <c r="AF39" i="26"/>
  <c r="F39" i="26" s="1"/>
  <c r="AJ37" i="26"/>
  <c r="J37" i="26" s="1"/>
  <c r="AD11" i="26"/>
  <c r="D11" i="26" s="1"/>
  <c r="AM24" i="26"/>
  <c r="M24" i="26" s="1"/>
  <c r="AD9" i="26"/>
  <c r="D9" i="26" s="1"/>
  <c r="AC20" i="26"/>
  <c r="C20" i="26" s="1"/>
  <c r="AL20" i="26"/>
  <c r="L20" i="26" s="1"/>
  <c r="AN11" i="26"/>
  <c r="N11" i="26" s="1"/>
  <c r="AB34" i="26"/>
  <c r="B34" i="26" s="1"/>
  <c r="AH24" i="26"/>
  <c r="H24" i="26" s="1"/>
  <c r="AK13" i="26"/>
  <c r="K13" i="26" s="1"/>
  <c r="AE30" i="26"/>
  <c r="E30" i="26" s="1"/>
  <c r="AK15" i="26"/>
  <c r="K15" i="26" s="1"/>
  <c r="AG12" i="26"/>
  <c r="G12" i="26" s="1"/>
  <c r="AE35" i="26"/>
  <c r="E35" i="26" s="1"/>
  <c r="AB23" i="26"/>
  <c r="B23" i="26" s="1"/>
  <c r="AO23" i="26"/>
  <c r="O23" i="26" s="1"/>
  <c r="AN17" i="26"/>
  <c r="N17" i="26" s="1"/>
  <c r="AD22" i="26"/>
  <c r="D22" i="26" s="1"/>
  <c r="AM20" i="26"/>
  <c r="M20" i="26" s="1"/>
  <c r="AC9" i="26"/>
  <c r="C9" i="26" s="1"/>
  <c r="AG18" i="26"/>
  <c r="G18" i="26" s="1"/>
  <c r="AJ23" i="26"/>
  <c r="J23" i="26" s="1"/>
  <c r="AI11" i="26"/>
  <c r="I11" i="26" s="1"/>
  <c r="AF29" i="26"/>
  <c r="F29" i="26" s="1"/>
  <c r="AD16" i="26"/>
  <c r="D16" i="26" s="1"/>
  <c r="AC27" i="26"/>
  <c r="C27" i="26" s="1"/>
  <c r="AN39" i="26"/>
  <c r="N39" i="26" s="1"/>
  <c r="AG17" i="26"/>
  <c r="G17" i="26" s="1"/>
  <c r="AF35" i="26"/>
  <c r="F35" i="26" s="1"/>
  <c r="AH9" i="26"/>
  <c r="H9" i="26" s="1"/>
  <c r="AC29" i="26"/>
  <c r="C29" i="26" s="1"/>
  <c r="AJ15" i="26"/>
  <c r="J15" i="26" s="1"/>
  <c r="AB29" i="26"/>
  <c r="B29" i="26" s="1"/>
  <c r="AJ39" i="26"/>
  <c r="J39" i="26" s="1"/>
  <c r="AH11" i="26"/>
  <c r="H11" i="26" s="1"/>
  <c r="AB28" i="26"/>
  <c r="B28" i="26" s="1"/>
  <c r="AN27" i="26"/>
  <c r="N27" i="26" s="1"/>
  <c r="AC38" i="26"/>
  <c r="C38" i="26" s="1"/>
  <c r="AC11" i="26"/>
  <c r="C11" i="26" s="1"/>
  <c r="AO13" i="26"/>
  <c r="O13" i="26" s="1"/>
  <c r="AM30" i="26"/>
  <c r="M30" i="26" s="1"/>
  <c r="Q12" i="29"/>
  <c r="N17" i="29"/>
  <c r="O16" i="29"/>
  <c r="P26" i="29"/>
  <c r="O23" i="29"/>
  <c r="Q33" i="29"/>
  <c r="P30" i="29"/>
  <c r="N37" i="29"/>
  <c r="O38" i="29"/>
  <c r="N41" i="29"/>
  <c r="R11" i="29"/>
  <c r="Q18" i="29"/>
  <c r="P15" i="29"/>
  <c r="Q25" i="29"/>
  <c r="P22" i="29"/>
  <c r="N28" i="29"/>
  <c r="O31" i="29"/>
  <c r="N35" i="29"/>
  <c r="S38" i="29"/>
  <c r="P41" i="29"/>
  <c r="N9" i="29"/>
  <c r="P12" i="29"/>
  <c r="Q11" i="29"/>
  <c r="S13" i="29"/>
  <c r="O13" i="29"/>
  <c r="N18" i="29"/>
  <c r="P18" i="29"/>
  <c r="Q17" i="29"/>
  <c r="R16" i="29"/>
  <c r="S15" i="29"/>
  <c r="O15" i="29"/>
  <c r="N23" i="29"/>
  <c r="S26" i="29"/>
  <c r="O26" i="29"/>
  <c r="P25" i="29"/>
  <c r="Q24" i="29"/>
  <c r="R23" i="29"/>
  <c r="S22" i="29"/>
  <c r="O22" i="29"/>
  <c r="P21" i="29"/>
  <c r="Q20" i="29"/>
  <c r="N32" i="29"/>
  <c r="N33" i="29"/>
  <c r="P33" i="29"/>
  <c r="Q32" i="29"/>
  <c r="R31" i="29"/>
  <c r="S30" i="29"/>
  <c r="O30" i="29"/>
  <c r="P29" i="29"/>
  <c r="Q28" i="29"/>
  <c r="N40" i="29"/>
  <c r="N36" i="29"/>
  <c r="P40" i="29"/>
  <c r="Q39" i="29"/>
  <c r="R38" i="29"/>
  <c r="S37" i="29"/>
  <c r="O37" i="29"/>
  <c r="P36" i="29"/>
  <c r="Q35" i="29"/>
  <c r="S41" i="29"/>
  <c r="O41" i="29"/>
  <c r="N11" i="29"/>
  <c r="P13" i="29"/>
  <c r="S16" i="29"/>
  <c r="N26" i="29"/>
  <c r="S23" i="29"/>
  <c r="R20" i="29"/>
  <c r="R32" i="29"/>
  <c r="Q29" i="29"/>
  <c r="Q40" i="29"/>
  <c r="P37" i="29"/>
  <c r="R35" i="29"/>
  <c r="Q35" i="31"/>
  <c r="U35" i="31"/>
  <c r="S36" i="31"/>
  <c r="Q37" i="31"/>
  <c r="U37" i="31"/>
  <c r="S38" i="31"/>
  <c r="Q39" i="31"/>
  <c r="U39" i="31"/>
  <c r="S40" i="31"/>
  <c r="P40" i="31"/>
  <c r="P36" i="31"/>
  <c r="S29" i="31"/>
  <c r="P29" i="31"/>
  <c r="T28" i="31"/>
  <c r="R30" i="31"/>
  <c r="V30" i="31"/>
  <c r="T31" i="31"/>
  <c r="R32" i="31"/>
  <c r="V32" i="31"/>
  <c r="T33" i="31"/>
  <c r="P32" i="31"/>
  <c r="Q20" i="31"/>
  <c r="U20" i="31"/>
  <c r="S21" i="31"/>
  <c r="Q22" i="31"/>
  <c r="U22" i="31"/>
  <c r="S23" i="31"/>
  <c r="Q24" i="31"/>
  <c r="U24" i="31"/>
  <c r="S25" i="31"/>
  <c r="Q26" i="31"/>
  <c r="U26" i="31"/>
  <c r="P24" i="31"/>
  <c r="P20" i="31"/>
  <c r="I58" i="31" s="1"/>
  <c r="T15" i="31"/>
  <c r="M53" i="31" s="1"/>
  <c r="R16" i="31"/>
  <c r="K54" i="31" s="1"/>
  <c r="V16" i="31"/>
  <c r="O54" i="31" s="1"/>
  <c r="T17" i="31"/>
  <c r="M55" i="31" s="1"/>
  <c r="R18" i="31"/>
  <c r="K56" i="31" s="1"/>
  <c r="V18" i="31"/>
  <c r="O56" i="31" s="1"/>
  <c r="P15" i="31"/>
  <c r="I53" i="31" s="1"/>
  <c r="T11" i="31"/>
  <c r="R12" i="31"/>
  <c r="V12" i="31"/>
  <c r="T13" i="31"/>
  <c r="P12" i="31"/>
  <c r="T9" i="31"/>
  <c r="P9" i="31"/>
  <c r="U9" i="31"/>
  <c r="R35" i="31"/>
  <c r="V35" i="31"/>
  <c r="T36" i="31"/>
  <c r="R37" i="31"/>
  <c r="V37" i="31"/>
  <c r="T38" i="31"/>
  <c r="R39" i="31"/>
  <c r="V39" i="31"/>
  <c r="T40" i="31"/>
  <c r="P39" i="31"/>
  <c r="P35" i="31"/>
  <c r="T29" i="31"/>
  <c r="Q28" i="31"/>
  <c r="U28" i="31"/>
  <c r="S30" i="31"/>
  <c r="Q31" i="31"/>
  <c r="U31" i="31"/>
  <c r="S32" i="31"/>
  <c r="Q33" i="31"/>
  <c r="U33" i="31"/>
  <c r="P31" i="31"/>
  <c r="R20" i="31"/>
  <c r="V20" i="31"/>
  <c r="T21" i="31"/>
  <c r="R22" i="31"/>
  <c r="V22" i="31"/>
  <c r="T23" i="31"/>
  <c r="R24" i="31"/>
  <c r="V24" i="31"/>
  <c r="T25" i="31"/>
  <c r="R26" i="31"/>
  <c r="V26" i="31"/>
  <c r="P23" i="31"/>
  <c r="Q15" i="31"/>
  <c r="J53" i="31" s="1"/>
  <c r="U15" i="31"/>
  <c r="N53" i="31" s="1"/>
  <c r="S16" i="31"/>
  <c r="L54" i="31" s="1"/>
  <c r="Q17" i="31"/>
  <c r="J55" i="31" s="1"/>
  <c r="U17" i="31"/>
  <c r="N55" i="31" s="1"/>
  <c r="S18" i="31"/>
  <c r="L56" i="31" s="1"/>
  <c r="P18" i="31"/>
  <c r="I56" i="31" s="1"/>
  <c r="Q11" i="31"/>
  <c r="U11" i="31"/>
  <c r="S12" i="31"/>
  <c r="Q13" i="31"/>
  <c r="U13" i="31"/>
  <c r="P11" i="31"/>
  <c r="S35" i="31"/>
  <c r="Q36" i="31"/>
  <c r="U36" i="31"/>
  <c r="S37" i="31"/>
  <c r="Q38" i="31"/>
  <c r="U38" i="31"/>
  <c r="S39" i="31"/>
  <c r="Q40" i="31"/>
  <c r="U40" i="31"/>
  <c r="P38" i="31"/>
  <c r="Q29" i="31"/>
  <c r="U29" i="31"/>
  <c r="R28" i="31"/>
  <c r="V28" i="31"/>
  <c r="T30" i="31"/>
  <c r="R31" i="31"/>
  <c r="V31" i="31"/>
  <c r="T32" i="31"/>
  <c r="R33" i="31"/>
  <c r="V33" i="31"/>
  <c r="P30" i="31"/>
  <c r="S20" i="31"/>
  <c r="Q21" i="31"/>
  <c r="U21" i="31"/>
  <c r="S22" i="31"/>
  <c r="Q23" i="31"/>
  <c r="U23" i="31"/>
  <c r="S24" i="31"/>
  <c r="Q25" i="31"/>
  <c r="U25" i="31"/>
  <c r="S26" i="31"/>
  <c r="P26" i="31"/>
  <c r="P22" i="31"/>
  <c r="R15" i="31"/>
  <c r="K53" i="31" s="1"/>
  <c r="V15" i="31"/>
  <c r="O53" i="31" s="1"/>
  <c r="T16" i="31"/>
  <c r="M54" i="31" s="1"/>
  <c r="R17" i="31"/>
  <c r="K55" i="31" s="1"/>
  <c r="V17" i="31"/>
  <c r="O55" i="31" s="1"/>
  <c r="T18" i="31"/>
  <c r="M56" i="31" s="1"/>
  <c r="P17" i="31"/>
  <c r="I55" i="31" s="1"/>
  <c r="R11" i="31"/>
  <c r="V11" i="31"/>
  <c r="T12" i="31"/>
  <c r="R13" i="31"/>
  <c r="V13" i="31"/>
  <c r="R9" i="31"/>
  <c r="V9" i="31"/>
  <c r="T35" i="31"/>
  <c r="R36" i="31"/>
  <c r="V36" i="31"/>
  <c r="T37" i="31"/>
  <c r="R38" i="31"/>
  <c r="V38" i="31"/>
  <c r="T39" i="31"/>
  <c r="R40" i="31"/>
  <c r="V40" i="31"/>
  <c r="P37" i="31"/>
  <c r="R29" i="31"/>
  <c r="V29" i="31"/>
  <c r="S28" i="31"/>
  <c r="Q30" i="31"/>
  <c r="U30" i="31"/>
  <c r="S31" i="31"/>
  <c r="Q32" i="31"/>
  <c r="U32" i="31"/>
  <c r="S33" i="31"/>
  <c r="P33" i="31"/>
  <c r="P28" i="31"/>
  <c r="T20" i="31"/>
  <c r="R21" i="31"/>
  <c r="V21" i="31"/>
  <c r="T22" i="31"/>
  <c r="R23" i="31"/>
  <c r="V23" i="31"/>
  <c r="T26" i="31"/>
  <c r="Q16" i="31"/>
  <c r="J54" i="31" s="1"/>
  <c r="U18" i="31"/>
  <c r="N56" i="31" s="1"/>
  <c r="U12" i="31"/>
  <c r="Q9" i="31"/>
  <c r="P21" i="31"/>
  <c r="S11" i="31"/>
  <c r="T24" i="31"/>
  <c r="P25" i="31"/>
  <c r="U16" i="31"/>
  <c r="N54" i="31" s="1"/>
  <c r="P16" i="31"/>
  <c r="I54" i="31" s="1"/>
  <c r="S13" i="31"/>
  <c r="R25" i="31"/>
  <c r="S17" i="31"/>
  <c r="L55" i="31" s="1"/>
  <c r="P13" i="31"/>
  <c r="V25" i="31"/>
  <c r="S15" i="31"/>
  <c r="L53" i="31" s="1"/>
  <c r="Q18" i="31"/>
  <c r="J56" i="31" s="1"/>
  <c r="Q12" i="31"/>
  <c r="S9" i="31"/>
  <c r="S12" i="29"/>
  <c r="O12" i="29"/>
  <c r="P11" i="29"/>
  <c r="R13" i="29"/>
  <c r="N15" i="29"/>
  <c r="S18" i="29"/>
  <c r="O18" i="29"/>
  <c r="P17" i="29"/>
  <c r="Q16" i="29"/>
  <c r="R15" i="29"/>
  <c r="N20" i="29"/>
  <c r="N24" i="29"/>
  <c r="R26" i="29"/>
  <c r="S25" i="29"/>
  <c r="O25" i="29"/>
  <c r="P24" i="29"/>
  <c r="Q23" i="29"/>
  <c r="R22" i="29"/>
  <c r="S21" i="29"/>
  <c r="O21" i="29"/>
  <c r="P20" i="29"/>
  <c r="N31" i="29"/>
  <c r="S33" i="29"/>
  <c r="O33" i="29"/>
  <c r="P32" i="29"/>
  <c r="Q31" i="29"/>
  <c r="R30" i="29"/>
  <c r="S29" i="29"/>
  <c r="O29" i="29"/>
  <c r="P28" i="29"/>
  <c r="N39" i="29"/>
  <c r="S40" i="29"/>
  <c r="O40" i="29"/>
  <c r="P39" i="29"/>
  <c r="Q38" i="29"/>
  <c r="R37" i="29"/>
  <c r="S36" i="29"/>
  <c r="O36" i="29"/>
  <c r="P35" i="29"/>
  <c r="R41" i="29"/>
  <c r="N13" i="29"/>
  <c r="R17" i="29"/>
  <c r="N22" i="29"/>
  <c r="R24" i="29"/>
  <c r="Q21" i="29"/>
  <c r="N29" i="29"/>
  <c r="S31" i="29"/>
  <c r="R28" i="29"/>
  <c r="R39" i="29"/>
  <c r="Q36" i="29"/>
  <c r="N12" i="29"/>
  <c r="R12" i="29"/>
  <c r="S11" i="29"/>
  <c r="O11" i="29"/>
  <c r="Q13" i="29"/>
  <c r="N16" i="29"/>
  <c r="R18" i="29"/>
  <c r="S17" i="29"/>
  <c r="O17" i="29"/>
  <c r="P16" i="29"/>
  <c r="Q15" i="29"/>
  <c r="N21" i="29"/>
  <c r="N25" i="29"/>
  <c r="Q26" i="29"/>
  <c r="R25" i="29"/>
  <c r="S24" i="29"/>
  <c r="O24" i="29"/>
  <c r="P23" i="29"/>
  <c r="Q22" i="29"/>
  <c r="R21" i="29"/>
  <c r="S20" i="29"/>
  <c r="O20" i="29"/>
  <c r="N30" i="29"/>
  <c r="R33" i="29"/>
  <c r="S32" i="29"/>
  <c r="O32" i="29"/>
  <c r="P31" i="29"/>
  <c r="Q30" i="29"/>
  <c r="R29" i="29"/>
  <c r="S28" i="29"/>
  <c r="O28" i="29"/>
  <c r="N38" i="29"/>
  <c r="R40" i="29"/>
  <c r="S39" i="29"/>
  <c r="O39" i="29"/>
  <c r="P38" i="29"/>
  <c r="Q37" i="29"/>
  <c r="R36" i="29"/>
  <c r="S35" i="29"/>
  <c r="O35" i="29"/>
  <c r="Q41" i="29"/>
  <c r="Q9" i="29"/>
  <c r="V38" i="26"/>
  <c r="P9" i="29"/>
  <c r="P34" i="26"/>
  <c r="T39" i="26"/>
  <c r="S9" i="29"/>
  <c r="O9" i="29"/>
  <c r="R9" i="29"/>
  <c r="P16" i="26"/>
  <c r="M63" i="30" l="1"/>
  <c r="K68" i="30"/>
  <c r="M72" i="30"/>
  <c r="G63" i="30"/>
  <c r="M59" i="30"/>
  <c r="J77" i="30"/>
  <c r="D67" i="30"/>
  <c r="I63" i="30"/>
  <c r="I69" i="30"/>
  <c r="C66" i="30"/>
  <c r="L60" i="30"/>
  <c r="D69" i="30"/>
  <c r="O72" i="26"/>
  <c r="E64" i="26"/>
  <c r="B72" i="26"/>
  <c r="M72" i="26"/>
  <c r="D64" i="26"/>
  <c r="D59" i="30"/>
  <c r="J59" i="30"/>
  <c r="C74" i="26"/>
  <c r="C64" i="26"/>
  <c r="H67" i="26"/>
  <c r="C70" i="26"/>
  <c r="G73" i="26"/>
  <c r="K68" i="26"/>
  <c r="L68" i="26"/>
  <c r="J64" i="26"/>
  <c r="N73" i="26"/>
  <c r="E68" i="26"/>
  <c r="J68" i="26"/>
  <c r="M64" i="26"/>
  <c r="F72" i="26"/>
  <c r="M66" i="26"/>
  <c r="E73" i="30"/>
  <c r="I70" i="30"/>
  <c r="M60" i="30"/>
  <c r="B62" i="30"/>
  <c r="I60" i="30"/>
  <c r="G71" i="26"/>
  <c r="F71" i="26"/>
  <c r="F73" i="26"/>
  <c r="M73" i="26"/>
  <c r="C71" i="26"/>
  <c r="D72" i="30"/>
  <c r="J75" i="30"/>
  <c r="H70" i="26"/>
  <c r="L67" i="30"/>
  <c r="D68" i="30"/>
  <c r="B66" i="26"/>
  <c r="J65" i="26"/>
  <c r="C72" i="26"/>
  <c r="C65" i="26"/>
  <c r="M75" i="30"/>
  <c r="M73" i="30"/>
  <c r="M62" i="30"/>
  <c r="G61" i="30"/>
  <c r="M70" i="30"/>
  <c r="M61" i="30"/>
  <c r="K60" i="30"/>
  <c r="J66" i="30"/>
  <c r="H61" i="30"/>
  <c r="J68" i="30"/>
  <c r="C61" i="30"/>
  <c r="D75" i="30"/>
  <c r="K74" i="30"/>
  <c r="G64" i="30"/>
  <c r="F68" i="30"/>
  <c r="D60" i="30"/>
  <c r="E74" i="30"/>
  <c r="L73" i="30"/>
  <c r="C64" i="30"/>
  <c r="K77" i="30"/>
  <c r="E59" i="30"/>
  <c r="F73" i="30"/>
  <c r="E77" i="30"/>
  <c r="L76" i="30"/>
  <c r="E74" i="26"/>
  <c r="M65" i="26"/>
  <c r="H72" i="26"/>
  <c r="O67" i="26"/>
  <c r="J70" i="26"/>
  <c r="H68" i="26"/>
  <c r="K73" i="26"/>
  <c r="I72" i="26"/>
  <c r="N74" i="26"/>
  <c r="F66" i="26"/>
  <c r="C68" i="26"/>
  <c r="O70" i="26"/>
  <c r="K64" i="26"/>
  <c r="J74" i="26"/>
  <c r="F74" i="30"/>
  <c r="I61" i="30"/>
  <c r="M64" i="30"/>
  <c r="M66" i="30"/>
  <c r="C72" i="30"/>
  <c r="I66" i="30"/>
  <c r="E60" i="30"/>
  <c r="B63" i="30"/>
  <c r="B69" i="30"/>
  <c r="H64" i="26"/>
  <c r="H63" i="30"/>
  <c r="F60" i="30"/>
  <c r="L69" i="30"/>
  <c r="M67" i="26"/>
  <c r="D65" i="26"/>
  <c r="L72" i="26"/>
  <c r="G75" i="26"/>
  <c r="I67" i="26"/>
  <c r="O75" i="26"/>
  <c r="E75" i="26"/>
  <c r="D71" i="26"/>
  <c r="K75" i="26"/>
  <c r="H74" i="26"/>
  <c r="H75" i="26"/>
  <c r="O74" i="26"/>
  <c r="K71" i="26"/>
  <c r="N75" i="26"/>
  <c r="O66" i="26"/>
  <c r="L75" i="26"/>
  <c r="E72" i="26"/>
  <c r="D63" i="31"/>
  <c r="K63" i="31"/>
  <c r="I63" i="31"/>
  <c r="B63" i="31"/>
  <c r="O59" i="31"/>
  <c r="H59" i="31"/>
  <c r="L68" i="31"/>
  <c r="E68" i="31"/>
  <c r="H66" i="31"/>
  <c r="O66" i="31"/>
  <c r="M73" i="31"/>
  <c r="F73" i="31"/>
  <c r="G61" i="31"/>
  <c r="N61" i="31"/>
  <c r="C59" i="31"/>
  <c r="J59" i="31"/>
  <c r="M67" i="31"/>
  <c r="F67" i="31"/>
  <c r="J66" i="31"/>
  <c r="C66" i="31"/>
  <c r="E75" i="31"/>
  <c r="L75" i="31"/>
  <c r="N72" i="31"/>
  <c r="G72" i="31"/>
  <c r="B61" i="31"/>
  <c r="I61" i="31"/>
  <c r="O62" i="31"/>
  <c r="H62" i="31"/>
  <c r="D60" i="31"/>
  <c r="K60" i="31"/>
  <c r="I68" i="31"/>
  <c r="B68" i="31"/>
  <c r="G68" i="31"/>
  <c r="N68" i="31"/>
  <c r="J65" i="31"/>
  <c r="C65" i="31"/>
  <c r="O73" i="31"/>
  <c r="H73" i="31"/>
  <c r="D71" i="31"/>
  <c r="K71" i="31"/>
  <c r="B58" i="31"/>
  <c r="L63" i="31"/>
  <c r="E63" i="31"/>
  <c r="N60" i="31"/>
  <c r="G60" i="31"/>
  <c r="J58" i="31"/>
  <c r="C58" i="31"/>
  <c r="D69" i="31"/>
  <c r="K69" i="31"/>
  <c r="F65" i="31"/>
  <c r="M65" i="31"/>
  <c r="E74" i="31"/>
  <c r="L74" i="31"/>
  <c r="N71" i="31"/>
  <c r="G71" i="31"/>
  <c r="C66" i="26"/>
  <c r="E67" i="26"/>
  <c r="B70" i="26"/>
  <c r="F75" i="26"/>
  <c r="L67" i="26"/>
  <c r="O64" i="26"/>
  <c r="B74" i="26"/>
  <c r="I65" i="26"/>
  <c r="B67" i="26"/>
  <c r="M70" i="26"/>
  <c r="K66" i="26"/>
  <c r="G72" i="26"/>
  <c r="J66" i="26"/>
  <c r="G65" i="26"/>
  <c r="H65" i="26"/>
  <c r="N66" i="26"/>
  <c r="B71" i="26"/>
  <c r="B68" i="26"/>
  <c r="J71" i="26"/>
  <c r="D70" i="26"/>
  <c r="K67" i="26"/>
  <c r="E70" i="26"/>
  <c r="I71" i="26"/>
  <c r="K72" i="26"/>
  <c r="D75" i="26"/>
  <c r="I66" i="26"/>
  <c r="L71" i="26"/>
  <c r="B64" i="26"/>
  <c r="N65" i="26"/>
  <c r="D72" i="26"/>
  <c r="B73" i="26"/>
  <c r="O63" i="31"/>
  <c r="H63" i="31"/>
  <c r="F62" i="31"/>
  <c r="M62" i="31"/>
  <c r="O61" i="31"/>
  <c r="H61" i="31"/>
  <c r="D59" i="31"/>
  <c r="K59" i="31"/>
  <c r="N67" i="31"/>
  <c r="G67" i="31"/>
  <c r="K66" i="31"/>
  <c r="D66" i="31"/>
  <c r="F75" i="31"/>
  <c r="M75" i="31"/>
  <c r="O72" i="31"/>
  <c r="H72" i="31"/>
  <c r="G63" i="31"/>
  <c r="N63" i="31"/>
  <c r="J61" i="31"/>
  <c r="C61" i="31"/>
  <c r="E58" i="31"/>
  <c r="L58" i="31"/>
  <c r="M69" i="31"/>
  <c r="F69" i="31"/>
  <c r="H65" i="31"/>
  <c r="O65" i="31"/>
  <c r="B74" i="31"/>
  <c r="I74" i="31"/>
  <c r="N74" i="31"/>
  <c r="G74" i="31"/>
  <c r="J72" i="31"/>
  <c r="C72" i="31"/>
  <c r="D62" i="31"/>
  <c r="K62" i="31"/>
  <c r="F59" i="31"/>
  <c r="M59" i="31"/>
  <c r="J68" i="31"/>
  <c r="C68" i="31"/>
  <c r="F66" i="31"/>
  <c r="M66" i="31"/>
  <c r="H75" i="31"/>
  <c r="O75" i="31"/>
  <c r="K73" i="31"/>
  <c r="D73" i="31"/>
  <c r="I62" i="31"/>
  <c r="B62" i="31"/>
  <c r="N62" i="31"/>
  <c r="G62" i="31"/>
  <c r="C60" i="31"/>
  <c r="J60" i="31"/>
  <c r="B69" i="31"/>
  <c r="I69" i="31"/>
  <c r="M68" i="31"/>
  <c r="F68" i="31"/>
  <c r="B66" i="31"/>
  <c r="I66" i="31"/>
  <c r="G73" i="31"/>
  <c r="N73" i="31"/>
  <c r="C71" i="31"/>
  <c r="J71" i="31"/>
  <c r="J75" i="26"/>
  <c r="E71" i="26"/>
  <c r="F68" i="26"/>
  <c r="O68" i="26"/>
  <c r="G70" i="26"/>
  <c r="F74" i="26"/>
  <c r="M68" i="26"/>
  <c r="H66" i="26"/>
  <c r="L70" i="26"/>
  <c r="I73" i="26"/>
  <c r="B75" i="26"/>
  <c r="N72" i="26"/>
  <c r="J67" i="26"/>
  <c r="C67" i="26"/>
  <c r="E73" i="26"/>
  <c r="K74" i="26"/>
  <c r="H71" i="26"/>
  <c r="O65" i="26"/>
  <c r="N67" i="26"/>
  <c r="D74" i="26"/>
  <c r="G74" i="26"/>
  <c r="K70" i="26"/>
  <c r="G67" i="26"/>
  <c r="F70" i="26"/>
  <c r="F65" i="26"/>
  <c r="M74" i="26"/>
  <c r="L74" i="26"/>
  <c r="F67" i="26"/>
  <c r="I75" i="26"/>
  <c r="G62" i="30"/>
  <c r="J76" i="30"/>
  <c r="G73" i="30"/>
  <c r="H59" i="30"/>
  <c r="I62" i="30"/>
  <c r="B70" i="30"/>
  <c r="E62" i="30"/>
  <c r="D64" i="30"/>
  <c r="J60" i="30"/>
  <c r="E63" i="30"/>
  <c r="M76" i="30"/>
  <c r="J63" i="30"/>
  <c r="H70" i="30"/>
  <c r="G76" i="30"/>
  <c r="I76" i="30"/>
  <c r="K62" i="30"/>
  <c r="H77" i="30"/>
  <c r="F76" i="29"/>
  <c r="J70" i="29"/>
  <c r="E66" i="29"/>
  <c r="L73" i="29"/>
  <c r="I68" i="29"/>
  <c r="I74" i="29"/>
  <c r="C76" i="29"/>
  <c r="D61" i="31"/>
  <c r="K61" i="31"/>
  <c r="G69" i="31"/>
  <c r="N69" i="31"/>
  <c r="C67" i="31"/>
  <c r="J67" i="31"/>
  <c r="H74" i="31"/>
  <c r="O74" i="31"/>
  <c r="C63" i="31"/>
  <c r="J63" i="31"/>
  <c r="B67" i="31"/>
  <c r="I67" i="31"/>
  <c r="K65" i="31"/>
  <c r="D65" i="31"/>
  <c r="C74" i="31"/>
  <c r="J74" i="31"/>
  <c r="M61" i="31"/>
  <c r="F61" i="31"/>
  <c r="B71" i="31"/>
  <c r="I71" i="31"/>
  <c r="F72" i="31"/>
  <c r="M72" i="31"/>
  <c r="C62" i="31"/>
  <c r="J62" i="31"/>
  <c r="E66" i="31"/>
  <c r="L66" i="31"/>
  <c r="J73" i="31"/>
  <c r="C73" i="31"/>
  <c r="I74" i="26"/>
  <c r="H73" i="26"/>
  <c r="I64" i="26"/>
  <c r="J73" i="29"/>
  <c r="L75" i="29"/>
  <c r="E73" i="29"/>
  <c r="I67" i="29"/>
  <c r="E76" i="29"/>
  <c r="I70" i="29"/>
  <c r="G70" i="29"/>
  <c r="F77" i="29"/>
  <c r="G66" i="29"/>
  <c r="G75" i="29"/>
  <c r="K69" i="29"/>
  <c r="B77" i="29"/>
  <c r="M72" i="29"/>
  <c r="G72" i="29"/>
  <c r="M68" i="29"/>
  <c r="C75" i="29"/>
  <c r="L68" i="29"/>
  <c r="B73" i="29"/>
  <c r="H70" i="29"/>
  <c r="I72" i="29"/>
  <c r="K76" i="29"/>
  <c r="C72" i="29"/>
  <c r="E67" i="29"/>
  <c r="L74" i="29"/>
  <c r="E70" i="29"/>
  <c r="L77" i="29"/>
  <c r="C77" i="29"/>
  <c r="L70" i="29"/>
  <c r="D76" i="29"/>
  <c r="M69" i="29"/>
  <c r="D72" i="29"/>
  <c r="H72" i="29"/>
  <c r="G67" i="29"/>
  <c r="I75" i="29"/>
  <c r="I65" i="31"/>
  <c r="B65" i="31"/>
  <c r="L65" i="31"/>
  <c r="E65" i="31"/>
  <c r="D74" i="31"/>
  <c r="K74" i="31"/>
  <c r="M71" i="31"/>
  <c r="F71" i="31"/>
  <c r="G59" i="31"/>
  <c r="N59" i="31"/>
  <c r="D68" i="31"/>
  <c r="K68" i="31"/>
  <c r="E73" i="31"/>
  <c r="L73" i="31"/>
  <c r="F63" i="31"/>
  <c r="M63" i="31"/>
  <c r="K58" i="31"/>
  <c r="D58" i="31"/>
  <c r="G65" i="31"/>
  <c r="N65" i="31"/>
  <c r="F74" i="31"/>
  <c r="M74" i="31"/>
  <c r="N58" i="31"/>
  <c r="G58" i="31"/>
  <c r="K67" i="31"/>
  <c r="D67" i="31"/>
  <c r="J75" i="31"/>
  <c r="C75" i="31"/>
  <c r="B65" i="26"/>
  <c r="J73" i="26"/>
  <c r="E65" i="26"/>
  <c r="K65" i="26"/>
  <c r="D66" i="26"/>
  <c r="I68" i="26"/>
  <c r="G66" i="26"/>
  <c r="D67" i="26"/>
  <c r="M75" i="26"/>
  <c r="C73" i="26"/>
  <c r="L66" i="26"/>
  <c r="C75" i="26"/>
  <c r="N71" i="26"/>
  <c r="J70" i="30"/>
  <c r="B59" i="30"/>
  <c r="H75" i="30"/>
  <c r="D76" i="30"/>
  <c r="L70" i="30"/>
  <c r="J74" i="30"/>
  <c r="D74" i="30"/>
  <c r="G69" i="29"/>
  <c r="I77" i="29"/>
  <c r="D73" i="29"/>
  <c r="M66" i="29"/>
  <c r="C70" i="29"/>
  <c r="L69" i="29"/>
  <c r="K72" i="29"/>
  <c r="F72" i="29"/>
  <c r="J66" i="29"/>
  <c r="F75" i="29"/>
  <c r="J69" i="29"/>
  <c r="G76" i="29"/>
  <c r="H76" i="29"/>
  <c r="G74" i="29"/>
  <c r="K68" i="29"/>
  <c r="J67" i="29"/>
  <c r="D69" i="29"/>
  <c r="E77" i="29"/>
  <c r="H67" i="29"/>
  <c r="D67" i="29"/>
  <c r="K74" i="29"/>
  <c r="B67" i="29"/>
  <c r="G73" i="29"/>
  <c r="K67" i="29"/>
  <c r="C73" i="29"/>
  <c r="L66" i="29"/>
  <c r="F68" i="29"/>
  <c r="M75" i="29"/>
  <c r="G77" i="29"/>
  <c r="H69" i="29"/>
  <c r="M58" i="31"/>
  <c r="F58" i="31"/>
  <c r="B73" i="31"/>
  <c r="I73" i="31"/>
  <c r="K72" i="31"/>
  <c r="D72" i="31"/>
  <c r="I60" i="31"/>
  <c r="B60" i="31"/>
  <c r="E60" i="31"/>
  <c r="L60" i="31"/>
  <c r="O68" i="31"/>
  <c r="H68" i="31"/>
  <c r="L71" i="31"/>
  <c r="E71" i="31"/>
  <c r="H58" i="31"/>
  <c r="O58" i="31"/>
  <c r="L67" i="31"/>
  <c r="E67" i="31"/>
  <c r="D75" i="31"/>
  <c r="K75" i="31"/>
  <c r="L59" i="31"/>
  <c r="E59" i="31"/>
  <c r="O67" i="31"/>
  <c r="H67" i="31"/>
  <c r="G75" i="31"/>
  <c r="N75" i="31"/>
  <c r="N64" i="26"/>
  <c r="G64" i="26"/>
  <c r="L73" i="26"/>
  <c r="I70" i="26"/>
  <c r="O73" i="26"/>
  <c r="I59" i="31"/>
  <c r="B59" i="31"/>
  <c r="F60" i="31"/>
  <c r="M60" i="31"/>
  <c r="C69" i="31"/>
  <c r="J69" i="31"/>
  <c r="E62" i="31"/>
  <c r="L62" i="31"/>
  <c r="N66" i="31"/>
  <c r="G66" i="31"/>
  <c r="O60" i="31"/>
  <c r="H60" i="31"/>
  <c r="E69" i="31"/>
  <c r="L69" i="31"/>
  <c r="B75" i="31"/>
  <c r="I75" i="31"/>
  <c r="O71" i="31"/>
  <c r="H71" i="31"/>
  <c r="E61" i="31"/>
  <c r="L61" i="31"/>
  <c r="O69" i="31"/>
  <c r="H69" i="31"/>
  <c r="B72" i="31"/>
  <c r="I72" i="31"/>
  <c r="L72" i="31"/>
  <c r="E72" i="31"/>
  <c r="E66" i="26"/>
  <c r="N68" i="26"/>
  <c r="G68" i="26"/>
  <c r="I77" i="30"/>
  <c r="C77" i="30"/>
  <c r="B67" i="30"/>
  <c r="D70" i="30"/>
  <c r="E64" i="30"/>
  <c r="C62" i="30"/>
  <c r="C76" i="30"/>
  <c r="L61" i="30"/>
  <c r="B77" i="30"/>
  <c r="H73" i="30"/>
  <c r="H62" i="30"/>
  <c r="K63" i="30"/>
  <c r="F70" i="30"/>
  <c r="B75" i="30"/>
  <c r="C66" i="29"/>
  <c r="F66" i="29"/>
  <c r="M73" i="29"/>
  <c r="F69" i="29"/>
  <c r="M76" i="29"/>
  <c r="B75" i="29"/>
  <c r="C69" i="29"/>
  <c r="J76" i="29"/>
  <c r="E72" i="29"/>
  <c r="I66" i="29"/>
  <c r="E68" i="29"/>
  <c r="F67" i="29"/>
  <c r="K66" i="29"/>
  <c r="D75" i="29"/>
  <c r="D68" i="29"/>
  <c r="K75" i="29"/>
  <c r="B68" i="29"/>
  <c r="H75" i="29"/>
  <c r="H68" i="29"/>
  <c r="H77" i="29"/>
  <c r="D74" i="29"/>
  <c r="M67" i="29"/>
  <c r="D77" i="29"/>
  <c r="M70" i="29"/>
  <c r="D70" i="29"/>
  <c r="K77" i="29"/>
  <c r="E69" i="29"/>
  <c r="L76" i="29"/>
  <c r="B76" i="29"/>
  <c r="L72" i="29"/>
  <c r="F74" i="29"/>
  <c r="J68" i="29"/>
  <c r="B72" i="29"/>
  <c r="I73" i="29"/>
  <c r="G68" i="29"/>
  <c r="I76" i="29"/>
  <c r="J77" i="29"/>
  <c r="M74" i="29"/>
  <c r="E74" i="29"/>
  <c r="K70" i="29"/>
  <c r="B70" i="29"/>
  <c r="B74" i="29"/>
  <c r="H66" i="29"/>
  <c r="J72" i="29"/>
  <c r="C68" i="29"/>
  <c r="J75" i="29"/>
  <c r="B66" i="29"/>
  <c r="H73" i="29"/>
  <c r="F73" i="29"/>
  <c r="B69" i="29"/>
  <c r="F70" i="29"/>
  <c r="M77" i="29"/>
  <c r="C74" i="29"/>
  <c r="L67" i="29"/>
  <c r="C67" i="29"/>
  <c r="J74" i="29"/>
  <c r="D66" i="29"/>
  <c r="K73" i="29"/>
  <c r="E75" i="29"/>
  <c r="I69" i="29"/>
  <c r="H74" i="29"/>
  <c r="P39" i="27"/>
  <c r="P41" i="27"/>
  <c r="P11" i="27"/>
  <c r="P26" i="27"/>
  <c r="P35" i="27"/>
  <c r="P9" i="27"/>
  <c r="P12" i="27"/>
  <c r="P19" i="27"/>
  <c r="P23" i="27"/>
  <c r="P25" i="27"/>
  <c r="P34" i="27"/>
  <c r="P37" i="27"/>
  <c r="P40" i="27"/>
  <c r="P20" i="27"/>
  <c r="P31" i="27"/>
  <c r="P15" i="27"/>
  <c r="P18" i="27"/>
  <c r="P28" i="27"/>
  <c r="P24" i="27"/>
  <c r="P33" i="27"/>
  <c r="P43" i="27"/>
  <c r="P16" i="27"/>
  <c r="L13" i="27"/>
  <c r="O13" i="27"/>
  <c r="M13" i="27"/>
  <c r="N13" i="27"/>
  <c r="O23" i="27"/>
  <c r="O24" i="27"/>
  <c r="O25" i="27"/>
  <c r="O26" i="27"/>
  <c r="O27" i="27"/>
  <c r="O28" i="27"/>
  <c r="O30" i="27"/>
  <c r="O31" i="27"/>
  <c r="O32" i="27"/>
  <c r="O33" i="27"/>
  <c r="O34" i="27"/>
  <c r="O35" i="27"/>
  <c r="O37" i="27"/>
  <c r="O38" i="27"/>
  <c r="O39" i="27"/>
  <c r="O40" i="27"/>
  <c r="O41" i="27"/>
  <c r="O42" i="27"/>
  <c r="O43" i="27"/>
  <c r="O15" i="27"/>
  <c r="O16" i="27"/>
  <c r="O17" i="27"/>
  <c r="O18" i="27"/>
  <c r="O19" i="27"/>
  <c r="O20" i="27"/>
  <c r="O21" i="27"/>
  <c r="O12" i="27"/>
  <c r="L11" i="27"/>
  <c r="L9" i="27"/>
  <c r="N25" i="27"/>
  <c r="N32" i="27"/>
  <c r="N35" i="27"/>
  <c r="N39" i="27"/>
  <c r="N42" i="27"/>
  <c r="N16" i="27"/>
  <c r="N19" i="27"/>
  <c r="N12" i="27"/>
  <c r="L23" i="27"/>
  <c r="L24" i="27"/>
  <c r="L25" i="27"/>
  <c r="L26" i="27"/>
  <c r="L27" i="27"/>
  <c r="L28" i="27"/>
  <c r="L30" i="27"/>
  <c r="L31" i="27"/>
  <c r="L32" i="27"/>
  <c r="L33" i="27"/>
  <c r="L34" i="27"/>
  <c r="L35" i="27"/>
  <c r="L37" i="27"/>
  <c r="L38" i="27"/>
  <c r="L39" i="27"/>
  <c r="L40" i="27"/>
  <c r="L41" i="27"/>
  <c r="L42" i="27"/>
  <c r="L43" i="27"/>
  <c r="L15" i="27"/>
  <c r="L16" i="27"/>
  <c r="L17" i="27"/>
  <c r="L18" i="27"/>
  <c r="L19" i="27"/>
  <c r="L20" i="27"/>
  <c r="L21" i="27"/>
  <c r="L12" i="27"/>
  <c r="O11" i="27"/>
  <c r="O9" i="27"/>
  <c r="N23" i="27"/>
  <c r="N27" i="27"/>
  <c r="N31" i="27"/>
  <c r="N34" i="27"/>
  <c r="N38" i="27"/>
  <c r="N41" i="27"/>
  <c r="N15" i="27"/>
  <c r="N18" i="27"/>
  <c r="N21" i="27"/>
  <c r="M9" i="27"/>
  <c r="M23" i="27"/>
  <c r="M24" i="27"/>
  <c r="M25" i="27"/>
  <c r="M26" i="27"/>
  <c r="M27" i="27"/>
  <c r="M28" i="27"/>
  <c r="M30" i="27"/>
  <c r="M31" i="27"/>
  <c r="M32" i="27"/>
  <c r="M33" i="27"/>
  <c r="M34" i="27"/>
  <c r="M35" i="27"/>
  <c r="M37" i="27"/>
  <c r="M38" i="27"/>
  <c r="M39" i="27"/>
  <c r="M40" i="27"/>
  <c r="M41" i="27"/>
  <c r="M42" i="27"/>
  <c r="M43" i="27"/>
  <c r="M15" i="27"/>
  <c r="M16" i="27"/>
  <c r="M17" i="27"/>
  <c r="M18" i="27"/>
  <c r="M19" i="27"/>
  <c r="M20" i="27"/>
  <c r="M21" i="27"/>
  <c r="M12" i="27"/>
  <c r="N11" i="27"/>
  <c r="N9" i="27"/>
  <c r="N24" i="27"/>
  <c r="N26" i="27"/>
  <c r="N28" i="27"/>
  <c r="N30" i="27"/>
  <c r="N33" i="27"/>
  <c r="N37" i="27"/>
  <c r="N40" i="27"/>
  <c r="N43" i="27"/>
  <c r="N17" i="27"/>
  <c r="N20" i="27"/>
  <c r="M11" i="27"/>
  <c r="P21" i="27"/>
  <c r="P17" i="27"/>
  <c r="P27" i="27"/>
  <c r="P30" i="27"/>
  <c r="P32" i="27"/>
  <c r="P42" i="27"/>
  <c r="P38" i="27"/>
  <c r="P13" i="27"/>
  <c r="K13" i="27" l="1"/>
  <c r="G13" i="27"/>
  <c r="B13" i="27"/>
  <c r="K26" i="27"/>
  <c r="H15" i="27"/>
  <c r="H16" i="27"/>
  <c r="H20" i="27"/>
  <c r="H24" i="27"/>
  <c r="H25" i="27"/>
  <c r="H28" i="27"/>
  <c r="H30" i="27"/>
  <c r="H33" i="27"/>
  <c r="H34" i="27"/>
  <c r="H39" i="27"/>
  <c r="H76" i="27" s="1"/>
  <c r="H42" i="27"/>
  <c r="H79" i="27" s="1"/>
  <c r="H43" i="27"/>
  <c r="K11" i="27"/>
  <c r="K9" i="27"/>
  <c r="K50" i="27" s="1"/>
  <c r="G11" i="27"/>
  <c r="F28" i="27"/>
  <c r="E12" i="27"/>
  <c r="E26" i="27"/>
  <c r="E31" i="27"/>
  <c r="E69" i="27" s="1"/>
  <c r="D30" i="27"/>
  <c r="D68" i="27" s="1"/>
  <c r="D34" i="27"/>
  <c r="D72" i="27" s="1"/>
  <c r="D43" i="27"/>
  <c r="C38" i="27"/>
  <c r="C75" i="27" s="1"/>
  <c r="B25" i="27"/>
  <c r="B39" i="27"/>
  <c r="B76" i="27" s="1"/>
  <c r="B43" i="27"/>
  <c r="K25" i="27"/>
  <c r="G21" i="27"/>
  <c r="G24" i="27"/>
  <c r="J13" i="27"/>
  <c r="F13" i="27"/>
  <c r="K38" i="27"/>
  <c r="K75" i="27" s="1"/>
  <c r="K32" i="27"/>
  <c r="K30" i="27"/>
  <c r="I15" i="27"/>
  <c r="I16" i="27"/>
  <c r="I18" i="27"/>
  <c r="I19" i="27"/>
  <c r="I20" i="27"/>
  <c r="I24" i="27"/>
  <c r="I25" i="27"/>
  <c r="I28" i="27"/>
  <c r="I32" i="27"/>
  <c r="I33" i="27"/>
  <c r="I34" i="27"/>
  <c r="I37" i="27"/>
  <c r="I74" i="27" s="1"/>
  <c r="I38" i="27"/>
  <c r="I75" i="27" s="1"/>
  <c r="I39" i="27"/>
  <c r="I76" i="27" s="1"/>
  <c r="I42" i="27"/>
  <c r="I79" i="27" s="1"/>
  <c r="I43" i="27"/>
  <c r="J9" i="27"/>
  <c r="F25" i="27"/>
  <c r="F30" i="27"/>
  <c r="F68" i="27" s="1"/>
  <c r="F43" i="27"/>
  <c r="E13" i="27"/>
  <c r="E23" i="27"/>
  <c r="E27" i="27"/>
  <c r="E32" i="27"/>
  <c r="E70" i="27" s="1"/>
  <c r="E41" i="27"/>
  <c r="E78" i="27" s="1"/>
  <c r="D11" i="27"/>
  <c r="D26" i="27"/>
  <c r="D31" i="27"/>
  <c r="D69" i="27" s="1"/>
  <c r="D35" i="27"/>
  <c r="D9" i="27"/>
  <c r="C34" i="27"/>
  <c r="C72" i="27" s="1"/>
  <c r="C39" i="27"/>
  <c r="C76" i="27" s="1"/>
  <c r="C43" i="27"/>
  <c r="B26" i="27"/>
  <c r="B40" i="27"/>
  <c r="B77" i="27" s="1"/>
  <c r="K19" i="27"/>
  <c r="G20" i="27"/>
  <c r="G25" i="27"/>
  <c r="G30" i="27"/>
  <c r="I13" i="27"/>
  <c r="D13" i="27"/>
  <c r="K39" i="27"/>
  <c r="K76" i="27" s="1"/>
  <c r="K43" i="27"/>
  <c r="K33" i="27"/>
  <c r="K28" i="27"/>
  <c r="K15" i="27"/>
  <c r="J15" i="27"/>
  <c r="J16" i="27"/>
  <c r="J17" i="27"/>
  <c r="J20" i="27"/>
  <c r="J21" i="27"/>
  <c r="J23" i="27"/>
  <c r="J24" i="27"/>
  <c r="J25" i="27"/>
  <c r="J27" i="27"/>
  <c r="J28" i="27"/>
  <c r="J30" i="27"/>
  <c r="J32" i="27"/>
  <c r="J33" i="27"/>
  <c r="J34" i="27"/>
  <c r="J35" i="27"/>
  <c r="J37" i="27"/>
  <c r="J74" i="27" s="1"/>
  <c r="J38" i="27"/>
  <c r="J75" i="27" s="1"/>
  <c r="J39" i="27"/>
  <c r="J76" i="27" s="1"/>
  <c r="J40" i="27"/>
  <c r="J77" i="27" s="1"/>
  <c r="J42" i="27"/>
  <c r="J79" i="27" s="1"/>
  <c r="J43" i="27"/>
  <c r="F12" i="27"/>
  <c r="F31" i="27"/>
  <c r="F69" i="27" s="1"/>
  <c r="F40" i="27"/>
  <c r="F77" i="27" s="1"/>
  <c r="F9" i="27"/>
  <c r="E24" i="27"/>
  <c r="E28" i="27"/>
  <c r="E33" i="27"/>
  <c r="E71" i="27" s="1"/>
  <c r="E38" i="27"/>
  <c r="E75" i="27" s="1"/>
  <c r="E42" i="27"/>
  <c r="E79" i="27" s="1"/>
  <c r="D12" i="27"/>
  <c r="D23" i="27"/>
  <c r="D27" i="27"/>
  <c r="D37" i="27"/>
  <c r="D74" i="27" s="1"/>
  <c r="C35" i="27"/>
  <c r="C40" i="27"/>
  <c r="C77" i="27" s="1"/>
  <c r="B23" i="27"/>
  <c r="B27" i="27"/>
  <c r="B37" i="27"/>
  <c r="B74" i="27" s="1"/>
  <c r="B41" i="27"/>
  <c r="B78" i="27" s="1"/>
  <c r="B12" i="27"/>
  <c r="H13" i="27"/>
  <c r="K37" i="27"/>
  <c r="K74" i="27" s="1"/>
  <c r="K23" i="27"/>
  <c r="G19" i="27"/>
  <c r="G23" i="27"/>
  <c r="G26" i="27"/>
  <c r="G32" i="27"/>
  <c r="G34" i="27"/>
  <c r="G39" i="27"/>
  <c r="G76" i="27" s="1"/>
  <c r="G43" i="27"/>
  <c r="H9" i="27"/>
  <c r="E11" i="27"/>
  <c r="B42" i="27"/>
  <c r="B79" i="27" s="1"/>
  <c r="G38" i="27"/>
  <c r="G75" i="27" s="1"/>
  <c r="E25" i="27"/>
  <c r="D28" i="27"/>
  <c r="G12" i="27"/>
  <c r="F11" i="27"/>
  <c r="F32" i="27"/>
  <c r="F70" i="27" s="1"/>
  <c r="E34" i="27"/>
  <c r="E72" i="27" s="1"/>
  <c r="C23" i="27"/>
  <c r="C41" i="27"/>
  <c r="C78" i="27" s="1"/>
  <c r="B28" i="27"/>
  <c r="C32" i="27"/>
  <c r="C70" i="27" s="1"/>
  <c r="G37" i="27"/>
  <c r="G74" i="27" s="1"/>
  <c r="G41" i="27"/>
  <c r="G78" i="27" s="1"/>
  <c r="K12" i="27"/>
  <c r="F37" i="27"/>
  <c r="F74" i="27" s="1"/>
  <c r="E39" i="27"/>
  <c r="E76" i="27" s="1"/>
  <c r="D24" i="27"/>
  <c r="D42" i="27"/>
  <c r="D79" i="27" s="1"/>
  <c r="C27" i="27"/>
  <c r="B33" i="27"/>
  <c r="B71" i="27" s="1"/>
  <c r="G42" i="27"/>
  <c r="G79" i="27" s="1"/>
  <c r="F23" i="27"/>
  <c r="E43" i="27"/>
  <c r="C12" i="27"/>
  <c r="B38" i="27"/>
  <c r="B75" i="27" s="1"/>
  <c r="B11" i="27"/>
  <c r="C13" i="27"/>
  <c r="B24" i="27"/>
  <c r="J11" i="27"/>
  <c r="C25" i="27"/>
  <c r="C30" i="27"/>
  <c r="C68" i="27" s="1"/>
  <c r="G18" i="27"/>
  <c r="G27" i="27"/>
  <c r="D40" i="27"/>
  <c r="D77" i="27" s="1"/>
  <c r="H19" i="27"/>
  <c r="H38" i="27"/>
  <c r="H75" i="27" s="1"/>
  <c r="E37" i="27"/>
  <c r="E74" i="27" s="1"/>
  <c r="I11" i="27"/>
  <c r="I30" i="27"/>
  <c r="E9" i="27"/>
  <c r="J19" i="27"/>
  <c r="C28" i="27"/>
  <c r="G17" i="27"/>
  <c r="G35" i="27"/>
  <c r="D25" i="27"/>
  <c r="D39" i="27"/>
  <c r="D76" i="27" s="1"/>
  <c r="H23" i="27"/>
  <c r="H32" i="27"/>
  <c r="H37" i="27"/>
  <c r="H74" i="27" s="1"/>
  <c r="E35" i="27"/>
  <c r="I9" i="27"/>
  <c r="B30" i="27"/>
  <c r="B68" i="27" s="1"/>
  <c r="B34" i="27"/>
  <c r="B72" i="27" s="1"/>
  <c r="J12" i="27"/>
  <c r="J26" i="27"/>
  <c r="J31" i="27"/>
  <c r="C26" i="27"/>
  <c r="C31" i="27"/>
  <c r="C69" i="27" s="1"/>
  <c r="G9" i="27"/>
  <c r="G15" i="27"/>
  <c r="G28" i="27"/>
  <c r="G33" i="27"/>
  <c r="D32" i="27"/>
  <c r="D70" i="27" s="1"/>
  <c r="D41" i="27"/>
  <c r="D78" i="27" s="1"/>
  <c r="H11" i="27"/>
  <c r="I12" i="27"/>
  <c r="I17" i="27"/>
  <c r="I21" i="27"/>
  <c r="I26" i="27"/>
  <c r="I31" i="27"/>
  <c r="I35" i="27"/>
  <c r="I40" i="27"/>
  <c r="I77" i="27" s="1"/>
  <c r="B9" i="27"/>
  <c r="B32" i="27"/>
  <c r="B70" i="27" s="1"/>
  <c r="C24" i="27"/>
  <c r="C33" i="27"/>
  <c r="C71" i="27" s="1"/>
  <c r="C42" i="27"/>
  <c r="C79" i="27" s="1"/>
  <c r="G31" i="27"/>
  <c r="G40" i="27"/>
  <c r="G77" i="27" s="1"/>
  <c r="H18" i="27"/>
  <c r="H27" i="27"/>
  <c r="H41" i="27"/>
  <c r="H78" i="27" s="1"/>
  <c r="E40" i="27"/>
  <c r="E77" i="27" s="1"/>
  <c r="B31" i="27"/>
  <c r="B69" i="27" s="1"/>
  <c r="B35" i="27"/>
  <c r="J18" i="27"/>
  <c r="J41" i="27"/>
  <c r="J78" i="27" s="1"/>
  <c r="C37" i="27"/>
  <c r="C74" i="27" s="1"/>
  <c r="G16" i="27"/>
  <c r="D33" i="27"/>
  <c r="D71" i="27" s="1"/>
  <c r="D38" i="27"/>
  <c r="D75" i="27" s="1"/>
  <c r="H12" i="27"/>
  <c r="H17" i="27"/>
  <c r="H21" i="27"/>
  <c r="H26" i="27"/>
  <c r="H31" i="27"/>
  <c r="H35" i="27"/>
  <c r="H40" i="27"/>
  <c r="H77" i="27" s="1"/>
  <c r="E30" i="27"/>
  <c r="E68" i="27" s="1"/>
  <c r="I23" i="27"/>
  <c r="I27" i="27"/>
  <c r="I41" i="27"/>
  <c r="I78" i="27" s="1"/>
  <c r="C11" i="27"/>
  <c r="F42" i="27"/>
  <c r="F79" i="27" s="1"/>
  <c r="K16" i="27"/>
  <c r="F24" i="27"/>
  <c r="F41" i="27"/>
  <c r="F78" i="27" s="1"/>
  <c r="K17" i="27"/>
  <c r="K21" i="27"/>
  <c r="K31" i="27"/>
  <c r="K35" i="27"/>
  <c r="K40" i="27"/>
  <c r="K77" i="27" s="1"/>
  <c r="F27" i="27"/>
  <c r="F35" i="27"/>
  <c r="F33" i="27"/>
  <c r="F71" i="27" s="1"/>
  <c r="F38" i="27"/>
  <c r="F75" i="27" s="1"/>
  <c r="K18" i="27"/>
  <c r="K27" i="27"/>
  <c r="K41" i="27"/>
  <c r="K78" i="27" s="1"/>
  <c r="K20" i="27"/>
  <c r="K34" i="27"/>
  <c r="F26" i="27"/>
  <c r="F34" i="27"/>
  <c r="F72" i="27" s="1"/>
  <c r="F39" i="27"/>
  <c r="F76" i="27" s="1"/>
  <c r="K24" i="27"/>
  <c r="K42" i="27"/>
  <c r="K79" i="27" s="1"/>
  <c r="AF5" i="58" l="1"/>
  <c r="AG5" i="58"/>
  <c r="AY76" i="58" l="1"/>
  <c r="K76" i="58" s="1"/>
  <c r="AY82" i="58"/>
  <c r="K82" i="58" s="1"/>
  <c r="AY87" i="58"/>
  <c r="K87" i="58" s="1"/>
  <c r="AY91" i="58"/>
  <c r="K91" i="58" s="1"/>
  <c r="AY96" i="58"/>
  <c r="K96" i="58" s="1"/>
  <c r="AY101" i="58"/>
  <c r="K101" i="58" s="1"/>
  <c r="AY106" i="58"/>
  <c r="K106" i="58" s="1"/>
  <c r="AY110" i="58"/>
  <c r="K110" i="58" s="1"/>
  <c r="AY115" i="58"/>
  <c r="K115" i="58" s="1"/>
  <c r="AY119" i="58"/>
  <c r="K119" i="58" s="1"/>
  <c r="AY123" i="58"/>
  <c r="K123" i="58" s="1"/>
  <c r="AY127" i="58"/>
  <c r="K127" i="58" s="1"/>
  <c r="AY131" i="58"/>
  <c r="K131" i="58" s="1"/>
  <c r="AY78" i="58"/>
  <c r="K78" i="58" s="1"/>
  <c r="AY83" i="58"/>
  <c r="K83" i="58" s="1"/>
  <c r="AY93" i="58"/>
  <c r="K93" i="58" s="1"/>
  <c r="AY102" i="58"/>
  <c r="K102" i="58" s="1"/>
  <c r="AY112" i="58"/>
  <c r="K112" i="58" s="1"/>
  <c r="AY120" i="58"/>
  <c r="K120" i="58" s="1"/>
  <c r="AY128" i="58"/>
  <c r="K128" i="58" s="1"/>
  <c r="AY99" i="58"/>
  <c r="K99" i="58" s="1"/>
  <c r="AY113" i="58"/>
  <c r="K113" i="58" s="1"/>
  <c r="AY121" i="58"/>
  <c r="K121" i="58" s="1"/>
  <c r="AY79" i="58"/>
  <c r="K79" i="58" s="1"/>
  <c r="AY84" i="58"/>
  <c r="K84" i="58" s="1"/>
  <c r="AY94" i="58"/>
  <c r="K94" i="58" s="1"/>
  <c r="AY108" i="58"/>
  <c r="K108" i="58" s="1"/>
  <c r="AY129" i="58"/>
  <c r="K129" i="58" s="1"/>
  <c r="AY81" i="58"/>
  <c r="K81" i="58" s="1"/>
  <c r="AY86" i="58"/>
  <c r="K86" i="58" s="1"/>
  <c r="AY90" i="58"/>
  <c r="K90" i="58" s="1"/>
  <c r="AY95" i="58"/>
  <c r="K95" i="58" s="1"/>
  <c r="AY100" i="58"/>
  <c r="K100" i="58" s="1"/>
  <c r="AY105" i="58"/>
  <c r="K105" i="58" s="1"/>
  <c r="AY109" i="58"/>
  <c r="K109" i="58" s="1"/>
  <c r="AY114" i="58"/>
  <c r="K114" i="58" s="1"/>
  <c r="AY118" i="58"/>
  <c r="K118" i="58" s="1"/>
  <c r="AY122" i="58"/>
  <c r="K122" i="58" s="1"/>
  <c r="AY126" i="58"/>
  <c r="K126" i="58" s="1"/>
  <c r="AY130" i="58"/>
  <c r="K130" i="58" s="1"/>
  <c r="AY88" i="58"/>
  <c r="K88" i="58" s="1"/>
  <c r="AY97" i="58"/>
  <c r="K97" i="58" s="1"/>
  <c r="AY107" i="58"/>
  <c r="K107" i="58" s="1"/>
  <c r="AY116" i="58"/>
  <c r="K116" i="58" s="1"/>
  <c r="AY124" i="58"/>
  <c r="K124" i="58" s="1"/>
  <c r="AY89" i="58"/>
  <c r="K89" i="58" s="1"/>
  <c r="AY103" i="58"/>
  <c r="K103" i="58" s="1"/>
  <c r="AY117" i="58"/>
  <c r="K117" i="58" s="1"/>
  <c r="AY125" i="58"/>
  <c r="K125" i="58" s="1"/>
  <c r="AY9" i="58"/>
  <c r="K9" i="58" s="1"/>
  <c r="AY29" i="58"/>
  <c r="K29" i="58" s="1"/>
  <c r="AY47" i="58"/>
  <c r="K47" i="58" s="1"/>
  <c r="AY64" i="58"/>
  <c r="K64" i="58" s="1"/>
  <c r="AY54" i="58"/>
  <c r="K54" i="58" s="1"/>
  <c r="AY42" i="58"/>
  <c r="K42" i="58" s="1"/>
  <c r="AY16" i="58"/>
  <c r="K16" i="58" s="1"/>
  <c r="AY35" i="58"/>
  <c r="K35" i="58" s="1"/>
  <c r="AY53" i="58"/>
  <c r="K53" i="58" s="1"/>
  <c r="AY69" i="58"/>
  <c r="K69" i="58" s="1"/>
  <c r="AY62" i="58"/>
  <c r="K62" i="58" s="1"/>
  <c r="AY55" i="58"/>
  <c r="K55" i="58" s="1"/>
  <c r="AY22" i="58"/>
  <c r="K22" i="58" s="1"/>
  <c r="AY70" i="58"/>
  <c r="K70" i="58" s="1"/>
  <c r="AY63" i="58"/>
  <c r="K63" i="58" s="1"/>
  <c r="AY36" i="58"/>
  <c r="K36" i="58" s="1"/>
  <c r="AY37" i="58"/>
  <c r="K37" i="58" s="1"/>
  <c r="AY28" i="58"/>
  <c r="K28" i="58" s="1"/>
  <c r="AY48" i="58"/>
  <c r="K48" i="58" s="1"/>
  <c r="AY17" i="58"/>
  <c r="K17" i="58" s="1"/>
  <c r="AY15" i="58"/>
  <c r="K15" i="58" s="1"/>
  <c r="AY33" i="58"/>
  <c r="K33" i="58" s="1"/>
  <c r="AY52" i="58"/>
  <c r="K52" i="58" s="1"/>
  <c r="AY68" i="58"/>
  <c r="K68" i="58" s="1"/>
  <c r="AY66" i="58"/>
  <c r="K66" i="58" s="1"/>
  <c r="AY59" i="58"/>
  <c r="K59" i="58" s="1"/>
  <c r="AY21" i="58"/>
  <c r="K21" i="58" s="1"/>
  <c r="AY39" i="58"/>
  <c r="K39" i="58" s="1"/>
  <c r="AY57" i="58"/>
  <c r="K57" i="58" s="1"/>
  <c r="AY26" i="58"/>
  <c r="K26" i="58" s="1"/>
  <c r="AY23" i="58"/>
  <c r="K23" i="58" s="1"/>
  <c r="AY67" i="58"/>
  <c r="K67" i="58" s="1"/>
  <c r="AY31" i="58"/>
  <c r="K31" i="58" s="1"/>
  <c r="AY18" i="58"/>
  <c r="K18" i="58" s="1"/>
  <c r="AY61" i="58"/>
  <c r="K61" i="58" s="1"/>
  <c r="AY45" i="58"/>
  <c r="K45" i="58" s="1"/>
  <c r="AY40" i="58"/>
  <c r="K40" i="58" s="1"/>
  <c r="AY65" i="58"/>
  <c r="K65" i="58" s="1"/>
  <c r="AY58" i="58"/>
  <c r="K58" i="58" s="1"/>
  <c r="AY20" i="58"/>
  <c r="K20" i="58" s="1"/>
  <c r="AY38" i="58"/>
  <c r="K38" i="58" s="1"/>
  <c r="AY56" i="58"/>
  <c r="K56" i="58" s="1"/>
  <c r="AX9" i="58"/>
  <c r="J9" i="58" s="1"/>
  <c r="AY13" i="58"/>
  <c r="K13" i="58" s="1"/>
  <c r="AX11" i="58"/>
  <c r="J11" i="58" s="1"/>
  <c r="AY25" i="58"/>
  <c r="K25" i="58" s="1"/>
  <c r="AY44" i="58"/>
  <c r="K44" i="58" s="1"/>
  <c r="AY32" i="58"/>
  <c r="K32" i="58" s="1"/>
  <c r="AY12" i="58"/>
  <c r="K12" i="58" s="1"/>
  <c r="AY46" i="58"/>
  <c r="K46" i="58" s="1"/>
  <c r="AY24" i="58"/>
  <c r="K24" i="58" s="1"/>
  <c r="AY43" i="58"/>
  <c r="K43" i="58" s="1"/>
  <c r="AY60" i="58"/>
  <c r="K60" i="58" s="1"/>
  <c r="AY11" i="58"/>
  <c r="K11" i="58" s="1"/>
  <c r="AY30" i="58"/>
  <c r="K30" i="58" s="1"/>
  <c r="AY50" i="58"/>
  <c r="K50" i="58" s="1"/>
  <c r="AY51" i="58"/>
  <c r="K51" i="58" s="1"/>
  <c r="AF112" i="58"/>
  <c r="AJ112" i="58"/>
  <c r="AN112" i="58"/>
  <c r="AR112" i="58"/>
  <c r="D112" i="58" s="1"/>
  <c r="AV112" i="58"/>
  <c r="H112" i="58" s="1"/>
  <c r="AG113" i="58"/>
  <c r="AK113" i="58"/>
  <c r="AO113" i="58"/>
  <c r="AS113" i="58"/>
  <c r="E113" i="58" s="1"/>
  <c r="AW113" i="58"/>
  <c r="I113" i="58" s="1"/>
  <c r="AH114" i="58"/>
  <c r="AL114" i="58"/>
  <c r="AP114" i="58"/>
  <c r="B114" i="58" s="1"/>
  <c r="AT114" i="58"/>
  <c r="F114" i="58" s="1"/>
  <c r="AX114" i="58"/>
  <c r="J114" i="58" s="1"/>
  <c r="AI115" i="58"/>
  <c r="AM115" i="58"/>
  <c r="AQ115" i="58"/>
  <c r="C115" i="58" s="1"/>
  <c r="AU115" i="58"/>
  <c r="G115" i="58" s="1"/>
  <c r="AF116" i="58"/>
  <c r="AJ116" i="58"/>
  <c r="AN116" i="58"/>
  <c r="AR116" i="58"/>
  <c r="D116" i="58" s="1"/>
  <c r="AV116" i="58"/>
  <c r="H116" i="58" s="1"/>
  <c r="AG117" i="58"/>
  <c r="AK117" i="58"/>
  <c r="AO117" i="58"/>
  <c r="AS117" i="58"/>
  <c r="E117" i="58" s="1"/>
  <c r="AW117" i="58"/>
  <c r="I117" i="58" s="1"/>
  <c r="AH118" i="58"/>
  <c r="AL118" i="58"/>
  <c r="AP118" i="58"/>
  <c r="B118" i="58" s="1"/>
  <c r="AT118" i="58"/>
  <c r="F118" i="58" s="1"/>
  <c r="AX118" i="58"/>
  <c r="J118" i="58" s="1"/>
  <c r="AI119" i="58"/>
  <c r="AM119" i="58"/>
  <c r="AQ119" i="58"/>
  <c r="C119" i="58" s="1"/>
  <c r="AU119" i="58"/>
  <c r="G119" i="58" s="1"/>
  <c r="AF120" i="58"/>
  <c r="AJ120" i="58"/>
  <c r="AN120" i="58"/>
  <c r="AR120" i="58"/>
  <c r="D120" i="58" s="1"/>
  <c r="AV120" i="58"/>
  <c r="H120" i="58" s="1"/>
  <c r="AG121" i="58"/>
  <c r="AK121" i="58"/>
  <c r="AO121" i="58"/>
  <c r="AS121" i="58"/>
  <c r="E121" i="58" s="1"/>
  <c r="AW121" i="58"/>
  <c r="I121" i="58" s="1"/>
  <c r="AH122" i="58"/>
  <c r="AL122" i="58"/>
  <c r="AP122" i="58"/>
  <c r="B122" i="58" s="1"/>
  <c r="AT122" i="58"/>
  <c r="F122" i="58" s="1"/>
  <c r="AX122" i="58"/>
  <c r="J122" i="58" s="1"/>
  <c r="AI123" i="58"/>
  <c r="AM123" i="58"/>
  <c r="AQ123" i="58"/>
  <c r="C123" i="58" s="1"/>
  <c r="AU123" i="58"/>
  <c r="G123" i="58" s="1"/>
  <c r="AF124" i="58"/>
  <c r="AJ124" i="58"/>
  <c r="AN124" i="58"/>
  <c r="AR124" i="58"/>
  <c r="D124" i="58" s="1"/>
  <c r="AV124" i="58"/>
  <c r="H124" i="58" s="1"/>
  <c r="AG125" i="58"/>
  <c r="AK125" i="58"/>
  <c r="AO125" i="58"/>
  <c r="AS125" i="58"/>
  <c r="E125" i="58" s="1"/>
  <c r="AW125" i="58"/>
  <c r="I125" i="58" s="1"/>
  <c r="AH126" i="58"/>
  <c r="AL126" i="58"/>
  <c r="AP126" i="58"/>
  <c r="B126" i="58" s="1"/>
  <c r="AT126" i="58"/>
  <c r="F126" i="58" s="1"/>
  <c r="AX126" i="58"/>
  <c r="J126" i="58" s="1"/>
  <c r="AI127" i="58"/>
  <c r="AM127" i="58"/>
  <c r="AQ127" i="58"/>
  <c r="C127" i="58" s="1"/>
  <c r="AU127" i="58"/>
  <c r="G127" i="58" s="1"/>
  <c r="AF128" i="58"/>
  <c r="AJ128" i="58"/>
  <c r="AN128" i="58"/>
  <c r="AR128" i="58"/>
  <c r="D128" i="58" s="1"/>
  <c r="AV128" i="58"/>
  <c r="H128" i="58" s="1"/>
  <c r="AG129" i="58"/>
  <c r="AK129" i="58"/>
  <c r="AO129" i="58"/>
  <c r="AG112" i="58"/>
  <c r="AK112" i="58"/>
  <c r="AO112" i="58"/>
  <c r="AS112" i="58"/>
  <c r="E112" i="58" s="1"/>
  <c r="AW112" i="58"/>
  <c r="I112" i="58" s="1"/>
  <c r="AH113" i="58"/>
  <c r="AL113" i="58"/>
  <c r="AP113" i="58"/>
  <c r="B113" i="58" s="1"/>
  <c r="AT113" i="58"/>
  <c r="F113" i="58" s="1"/>
  <c r="AX113" i="58"/>
  <c r="J113" i="58" s="1"/>
  <c r="AI114" i="58"/>
  <c r="AM114" i="58"/>
  <c r="AQ114" i="58"/>
  <c r="C114" i="58" s="1"/>
  <c r="AU114" i="58"/>
  <c r="G114" i="58" s="1"/>
  <c r="AF115" i="58"/>
  <c r="AJ115" i="58"/>
  <c r="AN115" i="58"/>
  <c r="AR115" i="58"/>
  <c r="D115" i="58" s="1"/>
  <c r="AV115" i="58"/>
  <c r="H115" i="58" s="1"/>
  <c r="AG116" i="58"/>
  <c r="AK116" i="58"/>
  <c r="AO116" i="58"/>
  <c r="AS116" i="58"/>
  <c r="E116" i="58" s="1"/>
  <c r="AW116" i="58"/>
  <c r="I116" i="58" s="1"/>
  <c r="AH117" i="58"/>
  <c r="AL117" i="58"/>
  <c r="AP117" i="58"/>
  <c r="B117" i="58" s="1"/>
  <c r="AT117" i="58"/>
  <c r="F117" i="58" s="1"/>
  <c r="AX117" i="58"/>
  <c r="J117" i="58" s="1"/>
  <c r="AI118" i="58"/>
  <c r="AM118" i="58"/>
  <c r="AQ118" i="58"/>
  <c r="C118" i="58" s="1"/>
  <c r="AU118" i="58"/>
  <c r="G118" i="58" s="1"/>
  <c r="AF119" i="58"/>
  <c r="AJ119" i="58"/>
  <c r="AN119" i="58"/>
  <c r="AR119" i="58"/>
  <c r="D119" i="58" s="1"/>
  <c r="AV119" i="58"/>
  <c r="H119" i="58" s="1"/>
  <c r="AG120" i="58"/>
  <c r="AK120" i="58"/>
  <c r="AO120" i="58"/>
  <c r="AS120" i="58"/>
  <c r="E120" i="58" s="1"/>
  <c r="AW120" i="58"/>
  <c r="I120" i="58" s="1"/>
  <c r="AH121" i="58"/>
  <c r="AL121" i="58"/>
  <c r="AP121" i="58"/>
  <c r="B121" i="58" s="1"/>
  <c r="AT121" i="58"/>
  <c r="F121" i="58" s="1"/>
  <c r="AX121" i="58"/>
  <c r="J121" i="58" s="1"/>
  <c r="AI122" i="58"/>
  <c r="AM122" i="58"/>
  <c r="AQ122" i="58"/>
  <c r="C122" i="58" s="1"/>
  <c r="AU122" i="58"/>
  <c r="G122" i="58" s="1"/>
  <c r="AF123" i="58"/>
  <c r="AJ123" i="58"/>
  <c r="AN123" i="58"/>
  <c r="AR123" i="58"/>
  <c r="D123" i="58" s="1"/>
  <c r="AV123" i="58"/>
  <c r="H123" i="58" s="1"/>
  <c r="AG124" i="58"/>
  <c r="AK124" i="58"/>
  <c r="AO124" i="58"/>
  <c r="AS124" i="58"/>
  <c r="E124" i="58" s="1"/>
  <c r="AW124" i="58"/>
  <c r="I124" i="58" s="1"/>
  <c r="AH125" i="58"/>
  <c r="AL125" i="58"/>
  <c r="AP125" i="58"/>
  <c r="B125" i="58" s="1"/>
  <c r="AT125" i="58"/>
  <c r="F125" i="58" s="1"/>
  <c r="AX125" i="58"/>
  <c r="J125" i="58" s="1"/>
  <c r="AI126" i="58"/>
  <c r="AM126" i="58"/>
  <c r="AQ126" i="58"/>
  <c r="C126" i="58" s="1"/>
  <c r="AU126" i="58"/>
  <c r="G126" i="58" s="1"/>
  <c r="AF127" i="58"/>
  <c r="AJ127" i="58"/>
  <c r="AN127" i="58"/>
  <c r="AR127" i="58"/>
  <c r="D127" i="58" s="1"/>
  <c r="AV127" i="58"/>
  <c r="H127" i="58" s="1"/>
  <c r="AG128" i="58"/>
  <c r="AK128" i="58"/>
  <c r="AO128" i="58"/>
  <c r="AS128" i="58"/>
  <c r="E128" i="58" s="1"/>
  <c r="AW128" i="58"/>
  <c r="I128" i="58" s="1"/>
  <c r="AH129" i="58"/>
  <c r="AL129" i="58"/>
  <c r="AH112" i="58"/>
  <c r="AL112" i="58"/>
  <c r="AP112" i="58"/>
  <c r="B112" i="58" s="1"/>
  <c r="AT112" i="58"/>
  <c r="F112" i="58" s="1"/>
  <c r="AX112" i="58"/>
  <c r="J112" i="58" s="1"/>
  <c r="AI113" i="58"/>
  <c r="AM113" i="58"/>
  <c r="AQ113" i="58"/>
  <c r="C113" i="58" s="1"/>
  <c r="AU113" i="58"/>
  <c r="G113" i="58" s="1"/>
  <c r="AF114" i="58"/>
  <c r="AJ114" i="58"/>
  <c r="AN114" i="58"/>
  <c r="AR114" i="58"/>
  <c r="D114" i="58" s="1"/>
  <c r="AV114" i="58"/>
  <c r="H114" i="58" s="1"/>
  <c r="AG115" i="58"/>
  <c r="AK115" i="58"/>
  <c r="AO115" i="58"/>
  <c r="AS115" i="58"/>
  <c r="E115" i="58" s="1"/>
  <c r="AW115" i="58"/>
  <c r="I115" i="58" s="1"/>
  <c r="AH116" i="58"/>
  <c r="AL116" i="58"/>
  <c r="AP116" i="58"/>
  <c r="B116" i="58" s="1"/>
  <c r="AT116" i="58"/>
  <c r="F116" i="58" s="1"/>
  <c r="AX116" i="58"/>
  <c r="J116" i="58" s="1"/>
  <c r="AI117" i="58"/>
  <c r="AM117" i="58"/>
  <c r="AQ117" i="58"/>
  <c r="C117" i="58" s="1"/>
  <c r="AU117" i="58"/>
  <c r="G117" i="58" s="1"/>
  <c r="AF118" i="58"/>
  <c r="AJ118" i="58"/>
  <c r="AN118" i="58"/>
  <c r="AR118" i="58"/>
  <c r="D118" i="58" s="1"/>
  <c r="AV118" i="58"/>
  <c r="H118" i="58" s="1"/>
  <c r="AG119" i="58"/>
  <c r="AK119" i="58"/>
  <c r="AO119" i="58"/>
  <c r="AS119" i="58"/>
  <c r="E119" i="58" s="1"/>
  <c r="AW119" i="58"/>
  <c r="I119" i="58" s="1"/>
  <c r="AH120" i="58"/>
  <c r="AL120" i="58"/>
  <c r="AP120" i="58"/>
  <c r="B120" i="58" s="1"/>
  <c r="AT120" i="58"/>
  <c r="F120" i="58" s="1"/>
  <c r="AX120" i="58"/>
  <c r="J120" i="58" s="1"/>
  <c r="AI121" i="58"/>
  <c r="AM121" i="58"/>
  <c r="AQ121" i="58"/>
  <c r="C121" i="58" s="1"/>
  <c r="AU121" i="58"/>
  <c r="G121" i="58" s="1"/>
  <c r="AF122" i="58"/>
  <c r="AJ122" i="58"/>
  <c r="AN122" i="58"/>
  <c r="AR122" i="58"/>
  <c r="D122" i="58" s="1"/>
  <c r="AV122" i="58"/>
  <c r="H122" i="58" s="1"/>
  <c r="AG123" i="58"/>
  <c r="AK123" i="58"/>
  <c r="AO123" i="58"/>
  <c r="AS123" i="58"/>
  <c r="E123" i="58" s="1"/>
  <c r="AW123" i="58"/>
  <c r="I123" i="58" s="1"/>
  <c r="AH124" i="58"/>
  <c r="AL124" i="58"/>
  <c r="AP124" i="58"/>
  <c r="B124" i="58" s="1"/>
  <c r="AT124" i="58"/>
  <c r="F124" i="58" s="1"/>
  <c r="AX124" i="58"/>
  <c r="J124" i="58" s="1"/>
  <c r="AI125" i="58"/>
  <c r="AM125" i="58"/>
  <c r="AQ125" i="58"/>
  <c r="C125" i="58" s="1"/>
  <c r="AU125" i="58"/>
  <c r="G125" i="58" s="1"/>
  <c r="AF126" i="58"/>
  <c r="AJ126" i="58"/>
  <c r="AN126" i="58"/>
  <c r="AR126" i="58"/>
  <c r="D126" i="58" s="1"/>
  <c r="AV126" i="58"/>
  <c r="H126" i="58" s="1"/>
  <c r="AG127" i="58"/>
  <c r="AK127" i="58"/>
  <c r="AO127" i="58"/>
  <c r="AS127" i="58"/>
  <c r="E127" i="58" s="1"/>
  <c r="AW127" i="58"/>
  <c r="I127" i="58" s="1"/>
  <c r="AH128" i="58"/>
  <c r="AL128" i="58"/>
  <c r="AP128" i="58"/>
  <c r="B128" i="58" s="1"/>
  <c r="AT128" i="58"/>
  <c r="F128" i="58" s="1"/>
  <c r="AX128" i="58"/>
  <c r="J128" i="58" s="1"/>
  <c r="AI129" i="58"/>
  <c r="AM129" i="58"/>
  <c r="AQ129" i="58"/>
  <c r="C129" i="58" s="1"/>
  <c r="AU129" i="58"/>
  <c r="G129" i="58" s="1"/>
  <c r="AI112" i="58"/>
  <c r="AF113" i="58"/>
  <c r="AV113" i="58"/>
  <c r="H113" i="58" s="1"/>
  <c r="AS114" i="58"/>
  <c r="E114" i="58" s="1"/>
  <c r="AP115" i="58"/>
  <c r="B115" i="58" s="1"/>
  <c r="AM116" i="58"/>
  <c r="AJ117" i="58"/>
  <c r="AG118" i="58"/>
  <c r="AW118" i="58"/>
  <c r="I118" i="58" s="1"/>
  <c r="AT119" i="58"/>
  <c r="F119" i="58" s="1"/>
  <c r="AQ120" i="58"/>
  <c r="C120" i="58" s="1"/>
  <c r="AN121" i="58"/>
  <c r="AK122" i="58"/>
  <c r="AH123" i="58"/>
  <c r="AX123" i="58"/>
  <c r="J123" i="58" s="1"/>
  <c r="AU124" i="58"/>
  <c r="G124" i="58" s="1"/>
  <c r="AR125" i="58"/>
  <c r="D125" i="58" s="1"/>
  <c r="AO126" i="58"/>
  <c r="AL127" i="58"/>
  <c r="AI128" i="58"/>
  <c r="AF129" i="58"/>
  <c r="AR129" i="58"/>
  <c r="D129" i="58" s="1"/>
  <c r="AW129" i="58"/>
  <c r="I129" i="58" s="1"/>
  <c r="AH130" i="58"/>
  <c r="AL130" i="58"/>
  <c r="AP130" i="58"/>
  <c r="B130" i="58" s="1"/>
  <c r="AT130" i="58"/>
  <c r="F130" i="58" s="1"/>
  <c r="AX130" i="58"/>
  <c r="J130" i="58" s="1"/>
  <c r="AI131" i="58"/>
  <c r="AM131" i="58"/>
  <c r="AQ131" i="58"/>
  <c r="C131" i="58" s="1"/>
  <c r="AU131" i="58"/>
  <c r="G131" i="58" s="1"/>
  <c r="AE131" i="58"/>
  <c r="AE127" i="58"/>
  <c r="AE123" i="58"/>
  <c r="AE119" i="58"/>
  <c r="AE115" i="58"/>
  <c r="AF105" i="58"/>
  <c r="AJ105" i="58"/>
  <c r="AN105" i="58"/>
  <c r="AR105" i="58"/>
  <c r="D105" i="58" s="1"/>
  <c r="AV105" i="58"/>
  <c r="H105" i="58" s="1"/>
  <c r="AG106" i="58"/>
  <c r="AK106" i="58"/>
  <c r="AO106" i="58"/>
  <c r="AS106" i="58"/>
  <c r="E106" i="58" s="1"/>
  <c r="AW106" i="58"/>
  <c r="I106" i="58" s="1"/>
  <c r="AH107" i="58"/>
  <c r="AL107" i="58"/>
  <c r="AP107" i="58"/>
  <c r="B107" i="58" s="1"/>
  <c r="AT107" i="58"/>
  <c r="F107" i="58" s="1"/>
  <c r="AX107" i="58"/>
  <c r="J107" i="58" s="1"/>
  <c r="AI108" i="58"/>
  <c r="AM108" i="58"/>
  <c r="AQ108" i="58"/>
  <c r="C108" i="58" s="1"/>
  <c r="AU108" i="58"/>
  <c r="G108" i="58" s="1"/>
  <c r="AF109" i="58"/>
  <c r="AJ109" i="58"/>
  <c r="AN109" i="58"/>
  <c r="AR109" i="58"/>
  <c r="D109" i="58" s="1"/>
  <c r="AV109" i="58"/>
  <c r="H109" i="58" s="1"/>
  <c r="AG110" i="58"/>
  <c r="AK110" i="58"/>
  <c r="AO110" i="58"/>
  <c r="AS110" i="58"/>
  <c r="E110" i="58" s="1"/>
  <c r="AW110" i="58"/>
  <c r="I110" i="58" s="1"/>
  <c r="AE108" i="58"/>
  <c r="AF99" i="58"/>
  <c r="AJ99" i="58"/>
  <c r="AN99" i="58"/>
  <c r="AR99" i="58"/>
  <c r="D99" i="58" s="1"/>
  <c r="AV99" i="58"/>
  <c r="H99" i="58" s="1"/>
  <c r="AG100" i="58"/>
  <c r="AK100" i="58"/>
  <c r="AO100" i="58"/>
  <c r="AS100" i="58"/>
  <c r="E100" i="58" s="1"/>
  <c r="AW100" i="58"/>
  <c r="I100" i="58" s="1"/>
  <c r="AH101" i="58"/>
  <c r="AL101" i="58"/>
  <c r="AP101" i="58"/>
  <c r="B101" i="58" s="1"/>
  <c r="AT101" i="58"/>
  <c r="F101" i="58" s="1"/>
  <c r="AX101" i="58"/>
  <c r="J101" i="58" s="1"/>
  <c r="AI102" i="58"/>
  <c r="AM102" i="58"/>
  <c r="AQ102" i="58"/>
  <c r="C102" i="58" s="1"/>
  <c r="AM112" i="58"/>
  <c r="AJ113" i="58"/>
  <c r="AG114" i="58"/>
  <c r="AW114" i="58"/>
  <c r="I114" i="58" s="1"/>
  <c r="AT115" i="58"/>
  <c r="F115" i="58" s="1"/>
  <c r="AQ116" i="58"/>
  <c r="C116" i="58" s="1"/>
  <c r="AN117" i="58"/>
  <c r="AK118" i="58"/>
  <c r="AH119" i="58"/>
  <c r="AX119" i="58"/>
  <c r="J119" i="58" s="1"/>
  <c r="AU120" i="58"/>
  <c r="G120" i="58" s="1"/>
  <c r="AR121" i="58"/>
  <c r="D121" i="58" s="1"/>
  <c r="AO122" i="58"/>
  <c r="AL123" i="58"/>
  <c r="AI124" i="58"/>
  <c r="AF125" i="58"/>
  <c r="AV125" i="58"/>
  <c r="H125" i="58" s="1"/>
  <c r="AS126" i="58"/>
  <c r="E126" i="58" s="1"/>
  <c r="AP127" i="58"/>
  <c r="B127" i="58" s="1"/>
  <c r="AM128" i="58"/>
  <c r="AJ129" i="58"/>
  <c r="AS129" i="58"/>
  <c r="E129" i="58" s="1"/>
  <c r="AX129" i="58"/>
  <c r="J129" i="58" s="1"/>
  <c r="AI130" i="58"/>
  <c r="AM130" i="58"/>
  <c r="AQ130" i="58"/>
  <c r="C130" i="58" s="1"/>
  <c r="AU130" i="58"/>
  <c r="G130" i="58" s="1"/>
  <c r="AF131" i="58"/>
  <c r="AJ131" i="58"/>
  <c r="AN131" i="58"/>
  <c r="AR131" i="58"/>
  <c r="D131" i="58" s="1"/>
  <c r="AV131" i="58"/>
  <c r="H131" i="58" s="1"/>
  <c r="AE130" i="58"/>
  <c r="AE126" i="58"/>
  <c r="AE122" i="58"/>
  <c r="AE118" i="58"/>
  <c r="AE114" i="58"/>
  <c r="AG105" i="58"/>
  <c r="AK105" i="58"/>
  <c r="AO105" i="58"/>
  <c r="AS105" i="58"/>
  <c r="E105" i="58" s="1"/>
  <c r="AW105" i="58"/>
  <c r="I105" i="58" s="1"/>
  <c r="AH106" i="58"/>
  <c r="AL106" i="58"/>
  <c r="AP106" i="58"/>
  <c r="B106" i="58" s="1"/>
  <c r="AT106" i="58"/>
  <c r="F106" i="58" s="1"/>
  <c r="AX106" i="58"/>
  <c r="J106" i="58" s="1"/>
  <c r="AI107" i="58"/>
  <c r="AM107" i="58"/>
  <c r="AQ107" i="58"/>
  <c r="C107" i="58" s="1"/>
  <c r="AU107" i="58"/>
  <c r="G107" i="58" s="1"/>
  <c r="AF108" i="58"/>
  <c r="AJ108" i="58"/>
  <c r="AN108" i="58"/>
  <c r="AR108" i="58"/>
  <c r="D108" i="58" s="1"/>
  <c r="AV108" i="58"/>
  <c r="H108" i="58" s="1"/>
  <c r="AG109" i="58"/>
  <c r="AK109" i="58"/>
  <c r="AO109" i="58"/>
  <c r="AS109" i="58"/>
  <c r="E109" i="58" s="1"/>
  <c r="AW109" i="58"/>
  <c r="I109" i="58" s="1"/>
  <c r="AH110" i="58"/>
  <c r="AL110" i="58"/>
  <c r="AP110" i="58"/>
  <c r="B110" i="58" s="1"/>
  <c r="AT110" i="58"/>
  <c r="F110" i="58" s="1"/>
  <c r="AX110" i="58"/>
  <c r="J110" i="58" s="1"/>
  <c r="AE107" i="58"/>
  <c r="AG99" i="58"/>
  <c r="AK99" i="58"/>
  <c r="AO99" i="58"/>
  <c r="AS99" i="58"/>
  <c r="E99" i="58" s="1"/>
  <c r="AW99" i="58"/>
  <c r="I99" i="58" s="1"/>
  <c r="AH100" i="58"/>
  <c r="AL100" i="58"/>
  <c r="AP100" i="58"/>
  <c r="B100" i="58" s="1"/>
  <c r="AT100" i="58"/>
  <c r="F100" i="58" s="1"/>
  <c r="AX100" i="58"/>
  <c r="J100" i="58" s="1"/>
  <c r="AI101" i="58"/>
  <c r="AM101" i="58"/>
  <c r="AQ101" i="58"/>
  <c r="C101" i="58" s="1"/>
  <c r="AU101" i="58"/>
  <c r="G101" i="58" s="1"/>
  <c r="AF102" i="58"/>
  <c r="AQ112" i="58"/>
  <c r="C112" i="58" s="1"/>
  <c r="AN113" i="58"/>
  <c r="AK114" i="58"/>
  <c r="AH115" i="58"/>
  <c r="AX115" i="58"/>
  <c r="J115" i="58" s="1"/>
  <c r="AU116" i="58"/>
  <c r="G116" i="58" s="1"/>
  <c r="AR117" i="58"/>
  <c r="D117" i="58" s="1"/>
  <c r="AO118" i="58"/>
  <c r="AL119" i="58"/>
  <c r="AI120" i="58"/>
  <c r="AF121" i="58"/>
  <c r="AV121" i="58"/>
  <c r="H121" i="58" s="1"/>
  <c r="AS122" i="58"/>
  <c r="E122" i="58" s="1"/>
  <c r="AP123" i="58"/>
  <c r="B123" i="58" s="1"/>
  <c r="AM124" i="58"/>
  <c r="AJ125" i="58"/>
  <c r="AG126" i="58"/>
  <c r="AW126" i="58"/>
  <c r="I126" i="58" s="1"/>
  <c r="AT127" i="58"/>
  <c r="F127" i="58" s="1"/>
  <c r="AQ128" i="58"/>
  <c r="C128" i="58" s="1"/>
  <c r="AN129" i="58"/>
  <c r="AT129" i="58"/>
  <c r="F129" i="58" s="1"/>
  <c r="AF130" i="58"/>
  <c r="AJ130" i="58"/>
  <c r="AN130" i="58"/>
  <c r="AR130" i="58"/>
  <c r="D130" i="58" s="1"/>
  <c r="AV130" i="58"/>
  <c r="H130" i="58" s="1"/>
  <c r="AG131" i="58"/>
  <c r="AK131" i="58"/>
  <c r="AO131" i="58"/>
  <c r="AS131" i="58"/>
  <c r="E131" i="58" s="1"/>
  <c r="AW131" i="58"/>
  <c r="I131" i="58" s="1"/>
  <c r="AE129" i="58"/>
  <c r="AE125" i="58"/>
  <c r="AE121" i="58"/>
  <c r="AE117" i="58"/>
  <c r="AE113" i="58"/>
  <c r="AH105" i="58"/>
  <c r="AL105" i="58"/>
  <c r="AP105" i="58"/>
  <c r="B105" i="58" s="1"/>
  <c r="AT105" i="58"/>
  <c r="F105" i="58" s="1"/>
  <c r="AX105" i="58"/>
  <c r="J105" i="58" s="1"/>
  <c r="AI106" i="58"/>
  <c r="AM106" i="58"/>
  <c r="AQ106" i="58"/>
  <c r="C106" i="58" s="1"/>
  <c r="AU106" i="58"/>
  <c r="G106" i="58" s="1"/>
  <c r="AF107" i="58"/>
  <c r="AJ107" i="58"/>
  <c r="AN107" i="58"/>
  <c r="AR107" i="58"/>
  <c r="D107" i="58" s="1"/>
  <c r="AV107" i="58"/>
  <c r="H107" i="58" s="1"/>
  <c r="AG108" i="58"/>
  <c r="AK108" i="58"/>
  <c r="AO108" i="58"/>
  <c r="AS108" i="58"/>
  <c r="E108" i="58" s="1"/>
  <c r="AW108" i="58"/>
  <c r="I108" i="58" s="1"/>
  <c r="AH109" i="58"/>
  <c r="AL109" i="58"/>
  <c r="AP109" i="58"/>
  <c r="B109" i="58" s="1"/>
  <c r="AT109" i="58"/>
  <c r="F109" i="58" s="1"/>
  <c r="AX109" i="58"/>
  <c r="J109" i="58" s="1"/>
  <c r="AI110" i="58"/>
  <c r="AM110" i="58"/>
  <c r="AQ110" i="58"/>
  <c r="C110" i="58" s="1"/>
  <c r="AU110" i="58"/>
  <c r="G110" i="58" s="1"/>
  <c r="AE110" i="58"/>
  <c r="AE106" i="58"/>
  <c r="AH99" i="58"/>
  <c r="AL99" i="58"/>
  <c r="AP99" i="58"/>
  <c r="B99" i="58" s="1"/>
  <c r="AT99" i="58"/>
  <c r="F99" i="58" s="1"/>
  <c r="AX99" i="58"/>
  <c r="J99" i="58" s="1"/>
  <c r="AI100" i="58"/>
  <c r="AM100" i="58"/>
  <c r="AQ100" i="58"/>
  <c r="C100" i="58" s="1"/>
  <c r="AU100" i="58"/>
  <c r="G100" i="58" s="1"/>
  <c r="AF101" i="58"/>
  <c r="AJ101" i="58"/>
  <c r="AN101" i="58"/>
  <c r="AR101" i="58"/>
  <c r="D101" i="58" s="1"/>
  <c r="AV101" i="58"/>
  <c r="H101" i="58" s="1"/>
  <c r="AG102" i="58"/>
  <c r="AK102" i="58"/>
  <c r="AO102" i="58"/>
  <c r="AU112" i="58"/>
  <c r="G112" i="58" s="1"/>
  <c r="AI116" i="58"/>
  <c r="AP119" i="58"/>
  <c r="B119" i="58" s="1"/>
  <c r="AW122" i="58"/>
  <c r="I122" i="58" s="1"/>
  <c r="AK126" i="58"/>
  <c r="AP129" i="58"/>
  <c r="B129" i="58" s="1"/>
  <c r="AO130" i="58"/>
  <c r="AL131" i="58"/>
  <c r="AE128" i="58"/>
  <c r="AE112" i="58"/>
  <c r="AU105" i="58"/>
  <c r="G105" i="58" s="1"/>
  <c r="AR106" i="58"/>
  <c r="D106" i="58" s="1"/>
  <c r="AO107" i="58"/>
  <c r="AL108" i="58"/>
  <c r="AI109" i="58"/>
  <c r="AF110" i="58"/>
  <c r="AV110" i="58"/>
  <c r="H110" i="58" s="1"/>
  <c r="AM99" i="58"/>
  <c r="AJ100" i="58"/>
  <c r="AG101" i="58"/>
  <c r="AW101" i="58"/>
  <c r="I101" i="58" s="1"/>
  <c r="AN102" i="58"/>
  <c r="AT102" i="58"/>
  <c r="F102" i="58" s="1"/>
  <c r="AX102" i="58"/>
  <c r="J102" i="58" s="1"/>
  <c r="AI103" i="58"/>
  <c r="AM103" i="58"/>
  <c r="AQ103" i="58"/>
  <c r="C103" i="58" s="1"/>
  <c r="AU103" i="58"/>
  <c r="G103" i="58" s="1"/>
  <c r="AE103" i="58"/>
  <c r="AE99" i="58"/>
  <c r="AI93" i="58"/>
  <c r="AM93" i="58"/>
  <c r="AQ93" i="58"/>
  <c r="C93" i="58" s="1"/>
  <c r="AU93" i="58"/>
  <c r="G93" i="58" s="1"/>
  <c r="AF94" i="58"/>
  <c r="AJ94" i="58"/>
  <c r="AN94" i="58"/>
  <c r="AR94" i="58"/>
  <c r="D94" i="58" s="1"/>
  <c r="AV94" i="58"/>
  <c r="H94" i="58" s="1"/>
  <c r="AG95" i="58"/>
  <c r="AK95" i="58"/>
  <c r="AO95" i="58"/>
  <c r="AS95" i="58"/>
  <c r="E95" i="58" s="1"/>
  <c r="AW95" i="58"/>
  <c r="I95" i="58" s="1"/>
  <c r="AH96" i="58"/>
  <c r="AL96" i="58"/>
  <c r="AP96" i="58"/>
  <c r="B96" i="58" s="1"/>
  <c r="AT96" i="58"/>
  <c r="F96" i="58" s="1"/>
  <c r="AX96" i="58"/>
  <c r="J96" i="58" s="1"/>
  <c r="AI97" i="58"/>
  <c r="AM97" i="58"/>
  <c r="AQ97" i="58"/>
  <c r="C97" i="58" s="1"/>
  <c r="AU97" i="58"/>
  <c r="G97" i="58" s="1"/>
  <c r="AE97" i="58"/>
  <c r="AE93" i="58"/>
  <c r="AI86" i="58"/>
  <c r="AM86" i="58"/>
  <c r="AQ86" i="58"/>
  <c r="C86" i="58" s="1"/>
  <c r="AU86" i="58"/>
  <c r="G86" i="58" s="1"/>
  <c r="AF87" i="58"/>
  <c r="AJ87" i="58"/>
  <c r="AN87" i="58"/>
  <c r="AR87" i="58"/>
  <c r="D87" i="58" s="1"/>
  <c r="AV87" i="58"/>
  <c r="H87" i="58" s="1"/>
  <c r="AG88" i="58"/>
  <c r="AK88" i="58"/>
  <c r="AO88" i="58"/>
  <c r="AS88" i="58"/>
  <c r="E88" i="58" s="1"/>
  <c r="AW88" i="58"/>
  <c r="I88" i="58" s="1"/>
  <c r="AH89" i="58"/>
  <c r="AL89" i="58"/>
  <c r="AP89" i="58"/>
  <c r="B89" i="58" s="1"/>
  <c r="AT89" i="58"/>
  <c r="F89" i="58" s="1"/>
  <c r="AX89" i="58"/>
  <c r="J89" i="58" s="1"/>
  <c r="AI90" i="58"/>
  <c r="AM90" i="58"/>
  <c r="AQ90" i="58"/>
  <c r="C90" i="58" s="1"/>
  <c r="AU90" i="58"/>
  <c r="G90" i="58" s="1"/>
  <c r="AF91" i="58"/>
  <c r="AJ91" i="58"/>
  <c r="AN91" i="58"/>
  <c r="AR91" i="58"/>
  <c r="D91" i="58" s="1"/>
  <c r="AV91" i="58"/>
  <c r="H91" i="58" s="1"/>
  <c r="AE90" i="58"/>
  <c r="AE86" i="58"/>
  <c r="AI81" i="58"/>
  <c r="AM81" i="58"/>
  <c r="AQ81" i="58"/>
  <c r="C81" i="58" s="1"/>
  <c r="AU81" i="58"/>
  <c r="G81" i="58" s="1"/>
  <c r="AF82" i="58"/>
  <c r="AJ82" i="58"/>
  <c r="AN82" i="58"/>
  <c r="AR82" i="58"/>
  <c r="D82" i="58" s="1"/>
  <c r="AV82" i="58"/>
  <c r="H82" i="58" s="1"/>
  <c r="AG83" i="58"/>
  <c r="AK83" i="58"/>
  <c r="AO83" i="58"/>
  <c r="AS83" i="58"/>
  <c r="E83" i="58" s="1"/>
  <c r="AW83" i="58"/>
  <c r="I83" i="58" s="1"/>
  <c r="AH84" i="58"/>
  <c r="AL84" i="58"/>
  <c r="AP84" i="58"/>
  <c r="B84" i="58" s="1"/>
  <c r="AR113" i="58"/>
  <c r="D113" i="58" s="1"/>
  <c r="AF117" i="58"/>
  <c r="AM120" i="58"/>
  <c r="AT123" i="58"/>
  <c r="F123" i="58" s="1"/>
  <c r="AH127" i="58"/>
  <c r="AV129" i="58"/>
  <c r="H129" i="58" s="1"/>
  <c r="AS130" i="58"/>
  <c r="E130" i="58" s="1"/>
  <c r="AP131" i="58"/>
  <c r="B131" i="58" s="1"/>
  <c r="AE124" i="58"/>
  <c r="AI105" i="58"/>
  <c r="AF106" i="58"/>
  <c r="AV106" i="58"/>
  <c r="H106" i="58" s="1"/>
  <c r="AS107" i="58"/>
  <c r="E107" i="58" s="1"/>
  <c r="AP108" i="58"/>
  <c r="B108" i="58" s="1"/>
  <c r="AM109" i="58"/>
  <c r="AJ110" i="58"/>
  <c r="AE109" i="58"/>
  <c r="AQ99" i="58"/>
  <c r="C99" i="58" s="1"/>
  <c r="AN100" i="58"/>
  <c r="AK101" i="58"/>
  <c r="AH102" i="58"/>
  <c r="AP102" i="58"/>
  <c r="B102" i="58" s="1"/>
  <c r="AU102" i="58"/>
  <c r="G102" i="58" s="1"/>
  <c r="AF103" i="58"/>
  <c r="AJ103" i="58"/>
  <c r="AN103" i="58"/>
  <c r="AR103" i="58"/>
  <c r="D103" i="58" s="1"/>
  <c r="AV103" i="58"/>
  <c r="H103" i="58" s="1"/>
  <c r="AE102" i="58"/>
  <c r="AF93" i="58"/>
  <c r="AJ93" i="58"/>
  <c r="AN93" i="58"/>
  <c r="AR93" i="58"/>
  <c r="D93" i="58" s="1"/>
  <c r="AV93" i="58"/>
  <c r="H93" i="58" s="1"/>
  <c r="AG94" i="58"/>
  <c r="AK94" i="58"/>
  <c r="AO94" i="58"/>
  <c r="AS94" i="58"/>
  <c r="E94" i="58" s="1"/>
  <c r="AW94" i="58"/>
  <c r="I94" i="58" s="1"/>
  <c r="AH95" i="58"/>
  <c r="AL95" i="58"/>
  <c r="AP95" i="58"/>
  <c r="B95" i="58" s="1"/>
  <c r="AT95" i="58"/>
  <c r="F95" i="58" s="1"/>
  <c r="AX95" i="58"/>
  <c r="J95" i="58" s="1"/>
  <c r="AI96" i="58"/>
  <c r="AM96" i="58"/>
  <c r="AQ96" i="58"/>
  <c r="C96" i="58" s="1"/>
  <c r="AU96" i="58"/>
  <c r="G96" i="58" s="1"/>
  <c r="AF97" i="58"/>
  <c r="AJ97" i="58"/>
  <c r="AN97" i="58"/>
  <c r="AR97" i="58"/>
  <c r="D97" i="58" s="1"/>
  <c r="AV97" i="58"/>
  <c r="H97" i="58" s="1"/>
  <c r="AE96" i="58"/>
  <c r="AF86" i="58"/>
  <c r="AJ86" i="58"/>
  <c r="AN86" i="58"/>
  <c r="AR86" i="58"/>
  <c r="D86" i="58" s="1"/>
  <c r="AV86" i="58"/>
  <c r="H86" i="58" s="1"/>
  <c r="AG87" i="58"/>
  <c r="AK87" i="58"/>
  <c r="AO87" i="58"/>
  <c r="AS87" i="58"/>
  <c r="E87" i="58" s="1"/>
  <c r="AW87" i="58"/>
  <c r="I87" i="58" s="1"/>
  <c r="AH88" i="58"/>
  <c r="AL88" i="58"/>
  <c r="AP88" i="58"/>
  <c r="B88" i="58" s="1"/>
  <c r="AT88" i="58"/>
  <c r="F88" i="58" s="1"/>
  <c r="AX88" i="58"/>
  <c r="J88" i="58" s="1"/>
  <c r="AI89" i="58"/>
  <c r="AM89" i="58"/>
  <c r="AQ89" i="58"/>
  <c r="C89" i="58" s="1"/>
  <c r="AU89" i="58"/>
  <c r="G89" i="58" s="1"/>
  <c r="AF90" i="58"/>
  <c r="AJ90" i="58"/>
  <c r="AN90" i="58"/>
  <c r="AR90" i="58"/>
  <c r="D90" i="58" s="1"/>
  <c r="AV90" i="58"/>
  <c r="H90" i="58" s="1"/>
  <c r="AG91" i="58"/>
  <c r="AK91" i="58"/>
  <c r="AO91" i="58"/>
  <c r="AS91" i="58"/>
  <c r="E91" i="58" s="1"/>
  <c r="AW91" i="58"/>
  <c r="I91" i="58" s="1"/>
  <c r="AE89" i="58"/>
  <c r="AF81" i="58"/>
  <c r="AO114" i="58"/>
  <c r="AV117" i="58"/>
  <c r="H117" i="58" s="1"/>
  <c r="AJ121" i="58"/>
  <c r="AQ124" i="58"/>
  <c r="C124" i="58" s="1"/>
  <c r="AX127" i="58"/>
  <c r="J127" i="58" s="1"/>
  <c r="AG130" i="58"/>
  <c r="AW130" i="58"/>
  <c r="I130" i="58" s="1"/>
  <c r="AT131" i="58"/>
  <c r="F131" i="58" s="1"/>
  <c r="AE120" i="58"/>
  <c r="AM105" i="58"/>
  <c r="AJ106" i="58"/>
  <c r="AG107" i="58"/>
  <c r="AW107" i="58"/>
  <c r="I107" i="58" s="1"/>
  <c r="AT108" i="58"/>
  <c r="F108" i="58" s="1"/>
  <c r="AQ109" i="58"/>
  <c r="C109" i="58" s="1"/>
  <c r="AN110" i="58"/>
  <c r="AE105" i="58"/>
  <c r="AU99" i="58"/>
  <c r="G99" i="58" s="1"/>
  <c r="AR100" i="58"/>
  <c r="D100" i="58" s="1"/>
  <c r="AO101" i="58"/>
  <c r="AJ102" i="58"/>
  <c r="AR102" i="58"/>
  <c r="D102" i="58" s="1"/>
  <c r="AV102" i="58"/>
  <c r="H102" i="58" s="1"/>
  <c r="AG103" i="58"/>
  <c r="AK103" i="58"/>
  <c r="AO103" i="58"/>
  <c r="AS103" i="58"/>
  <c r="E103" i="58" s="1"/>
  <c r="AW103" i="58"/>
  <c r="I103" i="58" s="1"/>
  <c r="AE101" i="58"/>
  <c r="AG93" i="58"/>
  <c r="AK93" i="58"/>
  <c r="AO93" i="58"/>
  <c r="AS93" i="58"/>
  <c r="E93" i="58" s="1"/>
  <c r="AW93" i="58"/>
  <c r="I93" i="58" s="1"/>
  <c r="AH94" i="58"/>
  <c r="AL94" i="58"/>
  <c r="AP94" i="58"/>
  <c r="B94" i="58" s="1"/>
  <c r="AT94" i="58"/>
  <c r="F94" i="58" s="1"/>
  <c r="AX94" i="58"/>
  <c r="J94" i="58" s="1"/>
  <c r="AI95" i="58"/>
  <c r="AM95" i="58"/>
  <c r="AQ95" i="58"/>
  <c r="C95" i="58" s="1"/>
  <c r="AU95" i="58"/>
  <c r="G95" i="58" s="1"/>
  <c r="AF96" i="58"/>
  <c r="AJ96" i="58"/>
  <c r="AN96" i="58"/>
  <c r="AR96" i="58"/>
  <c r="D96" i="58" s="1"/>
  <c r="AV96" i="58"/>
  <c r="H96" i="58" s="1"/>
  <c r="AG97" i="58"/>
  <c r="AK97" i="58"/>
  <c r="AO97" i="58"/>
  <c r="AS97" i="58"/>
  <c r="E97" i="58" s="1"/>
  <c r="AW97" i="58"/>
  <c r="I97" i="58" s="1"/>
  <c r="AE95" i="58"/>
  <c r="AG86" i="58"/>
  <c r="AK86" i="58"/>
  <c r="AO86" i="58"/>
  <c r="AS86" i="58"/>
  <c r="E86" i="58" s="1"/>
  <c r="AW86" i="58"/>
  <c r="I86" i="58" s="1"/>
  <c r="AH87" i="58"/>
  <c r="AL87" i="58"/>
  <c r="AP87" i="58"/>
  <c r="B87" i="58" s="1"/>
  <c r="AT87" i="58"/>
  <c r="F87" i="58" s="1"/>
  <c r="AX87" i="58"/>
  <c r="J87" i="58" s="1"/>
  <c r="AI88" i="58"/>
  <c r="AM88" i="58"/>
  <c r="AQ88" i="58"/>
  <c r="C88" i="58" s="1"/>
  <c r="AU88" i="58"/>
  <c r="G88" i="58" s="1"/>
  <c r="AF89" i="58"/>
  <c r="AJ89" i="58"/>
  <c r="AN89" i="58"/>
  <c r="AR89" i="58"/>
  <c r="D89" i="58" s="1"/>
  <c r="AV89" i="58"/>
  <c r="H89" i="58" s="1"/>
  <c r="AG90" i="58"/>
  <c r="AK90" i="58"/>
  <c r="AO90" i="58"/>
  <c r="AS90" i="58"/>
  <c r="E90" i="58" s="1"/>
  <c r="AW90" i="58"/>
  <c r="I90" i="58" s="1"/>
  <c r="AH91" i="58"/>
  <c r="AL91" i="58"/>
  <c r="AP91" i="58"/>
  <c r="B91" i="58" s="1"/>
  <c r="AT91" i="58"/>
  <c r="F91" i="58" s="1"/>
  <c r="AX91" i="58"/>
  <c r="J91" i="58" s="1"/>
  <c r="AE88" i="58"/>
  <c r="AG81" i="58"/>
  <c r="AK81" i="58"/>
  <c r="AO81" i="58"/>
  <c r="AS81" i="58"/>
  <c r="E81" i="58" s="1"/>
  <c r="AW81" i="58"/>
  <c r="I81" i="58" s="1"/>
  <c r="AH82" i="58"/>
  <c r="AL82" i="58"/>
  <c r="AP82" i="58"/>
  <c r="B82" i="58" s="1"/>
  <c r="AT82" i="58"/>
  <c r="F82" i="58" s="1"/>
  <c r="AX82" i="58"/>
  <c r="J82" i="58" s="1"/>
  <c r="AI83" i="58"/>
  <c r="AM83" i="58"/>
  <c r="AQ83" i="58"/>
  <c r="C83" i="58" s="1"/>
  <c r="AU83" i="58"/>
  <c r="G83" i="58" s="1"/>
  <c r="AF84" i="58"/>
  <c r="AJ84" i="58"/>
  <c r="AL115" i="58"/>
  <c r="AU128" i="58"/>
  <c r="G128" i="58" s="1"/>
  <c r="AE116" i="58"/>
  <c r="AH108" i="58"/>
  <c r="AI99" i="58"/>
  <c r="AL102" i="58"/>
  <c r="AL103" i="58"/>
  <c r="AE100" i="58"/>
  <c r="AT93" i="58"/>
  <c r="F93" i="58" s="1"/>
  <c r="AQ94" i="58"/>
  <c r="C94" i="58" s="1"/>
  <c r="AN95" i="58"/>
  <c r="AK96" i="58"/>
  <c r="AH97" i="58"/>
  <c r="AX97" i="58"/>
  <c r="J97" i="58" s="1"/>
  <c r="AP86" i="58"/>
  <c r="B86" i="58" s="1"/>
  <c r="AM87" i="58"/>
  <c r="AJ88" i="58"/>
  <c r="AG89" i="58"/>
  <c r="AW89" i="58"/>
  <c r="I89" i="58" s="1"/>
  <c r="AT90" i="58"/>
  <c r="F90" i="58" s="1"/>
  <c r="AQ91" i="58"/>
  <c r="C91" i="58" s="1"/>
  <c r="AH81" i="58"/>
  <c r="AP81" i="58"/>
  <c r="B81" i="58" s="1"/>
  <c r="AX81" i="58"/>
  <c r="J81" i="58" s="1"/>
  <c r="AM82" i="58"/>
  <c r="AU82" i="58"/>
  <c r="G82" i="58" s="1"/>
  <c r="AJ83" i="58"/>
  <c r="AR83" i="58"/>
  <c r="D83" i="58" s="1"/>
  <c r="AG84" i="58"/>
  <c r="AN84" i="58"/>
  <c r="AS84" i="58"/>
  <c r="E84" i="58" s="1"/>
  <c r="AW84" i="58"/>
  <c r="I84" i="58" s="1"/>
  <c r="AE82" i="58"/>
  <c r="AH78" i="58"/>
  <c r="AL78" i="58"/>
  <c r="AP78" i="58"/>
  <c r="B78" i="58" s="1"/>
  <c r="AT78" i="58"/>
  <c r="F78" i="58" s="1"/>
  <c r="AX78" i="58"/>
  <c r="J78" i="58" s="1"/>
  <c r="AI79" i="58"/>
  <c r="AM79" i="58"/>
  <c r="AQ79" i="58"/>
  <c r="C79" i="58" s="1"/>
  <c r="AU79" i="58"/>
  <c r="G79" i="58" s="1"/>
  <c r="AE79" i="58"/>
  <c r="AF76" i="58"/>
  <c r="AJ76" i="58"/>
  <c r="AN76" i="58"/>
  <c r="AR76" i="58"/>
  <c r="D76" i="58" s="1"/>
  <c r="AV76" i="58"/>
  <c r="H76" i="58" s="1"/>
  <c r="AH9" i="58"/>
  <c r="AL9" i="58"/>
  <c r="AP9" i="58"/>
  <c r="B9" i="58" s="1"/>
  <c r="AT9" i="58"/>
  <c r="F9" i="58" s="1"/>
  <c r="AX131" i="58"/>
  <c r="J131" i="58" s="1"/>
  <c r="AR110" i="58"/>
  <c r="D110" i="58" s="1"/>
  <c r="AP93" i="58"/>
  <c r="B93" i="58" s="1"/>
  <c r="AW96" i="58"/>
  <c r="I96" i="58" s="1"/>
  <c r="AI87" i="58"/>
  <c r="AV88" i="58"/>
  <c r="H88" i="58" s="1"/>
  <c r="AM91" i="58"/>
  <c r="AV81" i="58"/>
  <c r="H81" i="58" s="1"/>
  <c r="AP83" i="58"/>
  <c r="B83" i="58" s="1"/>
  <c r="AV84" i="58"/>
  <c r="H84" i="58" s="1"/>
  <c r="AE83" i="58"/>
  <c r="AO78" i="58"/>
  <c r="AW78" i="58"/>
  <c r="I78" i="58" s="1"/>
  <c r="AP79" i="58"/>
  <c r="B79" i="58" s="1"/>
  <c r="AX79" i="58"/>
  <c r="J79" i="58" s="1"/>
  <c r="AM76" i="58"/>
  <c r="AU76" i="58"/>
  <c r="G76" i="58" s="1"/>
  <c r="AK9" i="58"/>
  <c r="AW9" i="58"/>
  <c r="I9" i="58" s="1"/>
  <c r="AS118" i="58"/>
  <c r="E118" i="58" s="1"/>
  <c r="AK130" i="58"/>
  <c r="AQ105" i="58"/>
  <c r="C105" i="58" s="1"/>
  <c r="AX108" i="58"/>
  <c r="J108" i="58" s="1"/>
  <c r="AF100" i="58"/>
  <c r="AS102" i="58"/>
  <c r="E102" i="58" s="1"/>
  <c r="AP103" i="58"/>
  <c r="B103" i="58" s="1"/>
  <c r="AH93" i="58"/>
  <c r="AX93" i="58"/>
  <c r="J93" i="58" s="1"/>
  <c r="AU94" i="58"/>
  <c r="G94" i="58" s="1"/>
  <c r="AR95" i="58"/>
  <c r="D95" i="58" s="1"/>
  <c r="AO96" i="58"/>
  <c r="AL97" i="58"/>
  <c r="AE94" i="58"/>
  <c r="AT86" i="58"/>
  <c r="F86" i="58" s="1"/>
  <c r="AQ87" i="58"/>
  <c r="C87" i="58" s="1"/>
  <c r="AN88" i="58"/>
  <c r="AK89" i="58"/>
  <c r="AH90" i="58"/>
  <c r="AX90" i="58"/>
  <c r="J90" i="58" s="1"/>
  <c r="AU91" i="58"/>
  <c r="G91" i="58" s="1"/>
  <c r="AJ81" i="58"/>
  <c r="AR81" i="58"/>
  <c r="D81" i="58" s="1"/>
  <c r="AG82" i="58"/>
  <c r="AO82" i="58"/>
  <c r="AW82" i="58"/>
  <c r="I82" i="58" s="1"/>
  <c r="AL83" i="58"/>
  <c r="AT83" i="58"/>
  <c r="F83" i="58" s="1"/>
  <c r="AI84" i="58"/>
  <c r="AO84" i="58"/>
  <c r="AT84" i="58"/>
  <c r="F84" i="58" s="1"/>
  <c r="AX84" i="58"/>
  <c r="J84" i="58" s="1"/>
  <c r="AE81" i="58"/>
  <c r="AI78" i="58"/>
  <c r="AM78" i="58"/>
  <c r="AQ78" i="58"/>
  <c r="C78" i="58" s="1"/>
  <c r="AU78" i="58"/>
  <c r="G78" i="58" s="1"/>
  <c r="AF79" i="58"/>
  <c r="AJ79" i="58"/>
  <c r="AN79" i="58"/>
  <c r="AR79" i="58"/>
  <c r="D79" i="58" s="1"/>
  <c r="AV79" i="58"/>
  <c r="H79" i="58" s="1"/>
  <c r="AE78" i="58"/>
  <c r="AG76" i="58"/>
  <c r="AK76" i="58"/>
  <c r="AO76" i="58"/>
  <c r="AS76" i="58"/>
  <c r="E76" i="58" s="1"/>
  <c r="AE76" i="58"/>
  <c r="AI9" i="58"/>
  <c r="AM9" i="58"/>
  <c r="AQ9" i="58"/>
  <c r="C9" i="58" s="1"/>
  <c r="AU9" i="58"/>
  <c r="G9" i="58" s="1"/>
  <c r="AE9" i="58"/>
  <c r="AK107" i="58"/>
  <c r="AS101" i="58"/>
  <c r="E101" i="58" s="1"/>
  <c r="AM94" i="58"/>
  <c r="AJ95" i="58"/>
  <c r="AT97" i="58"/>
  <c r="F97" i="58" s="1"/>
  <c r="AF88" i="58"/>
  <c r="AP90" i="58"/>
  <c r="B90" i="58" s="1"/>
  <c r="AN81" i="58"/>
  <c r="AS82" i="58"/>
  <c r="E82" i="58" s="1"/>
  <c r="AX83" i="58"/>
  <c r="J83" i="58" s="1"/>
  <c r="AR84" i="58"/>
  <c r="D84" i="58" s="1"/>
  <c r="AK78" i="58"/>
  <c r="AH79" i="58"/>
  <c r="AT79" i="58"/>
  <c r="F79" i="58" s="1"/>
  <c r="AI76" i="58"/>
  <c r="AG9" i="58"/>
  <c r="AS9" i="58"/>
  <c r="E9" i="58" s="1"/>
  <c r="AG122" i="58"/>
  <c r="AH131" i="58"/>
  <c r="AN106" i="58"/>
  <c r="AU109" i="58"/>
  <c r="G109" i="58" s="1"/>
  <c r="AV100" i="58"/>
  <c r="H100" i="58" s="1"/>
  <c r="AW102" i="58"/>
  <c r="I102" i="58" s="1"/>
  <c r="AT103" i="58"/>
  <c r="F103" i="58" s="1"/>
  <c r="AL93" i="58"/>
  <c r="AI94" i="58"/>
  <c r="AF95" i="58"/>
  <c r="AV95" i="58"/>
  <c r="H95" i="58" s="1"/>
  <c r="AS96" i="58"/>
  <c r="E96" i="58" s="1"/>
  <c r="AP97" i="58"/>
  <c r="B97" i="58" s="1"/>
  <c r="AH86" i="58"/>
  <c r="AX86" i="58"/>
  <c r="J86" i="58" s="1"/>
  <c r="AU87" i="58"/>
  <c r="G87" i="58" s="1"/>
  <c r="AR88" i="58"/>
  <c r="D88" i="58" s="1"/>
  <c r="AO89" i="58"/>
  <c r="AL90" i="58"/>
  <c r="AI91" i="58"/>
  <c r="AE91" i="58"/>
  <c r="AL81" i="58"/>
  <c r="AT81" i="58"/>
  <c r="F81" i="58" s="1"/>
  <c r="AI82" i="58"/>
  <c r="AQ82" i="58"/>
  <c r="C82" i="58" s="1"/>
  <c r="AF83" i="58"/>
  <c r="AN83" i="58"/>
  <c r="AV83" i="58"/>
  <c r="H83" i="58" s="1"/>
  <c r="AK84" i="58"/>
  <c r="AQ84" i="58"/>
  <c r="C84" i="58" s="1"/>
  <c r="AU84" i="58"/>
  <c r="G84" i="58" s="1"/>
  <c r="AE84" i="58"/>
  <c r="AF78" i="58"/>
  <c r="AJ78" i="58"/>
  <c r="AN78" i="58"/>
  <c r="AR78" i="58"/>
  <c r="D78" i="58" s="1"/>
  <c r="AV78" i="58"/>
  <c r="H78" i="58" s="1"/>
  <c r="AG79" i="58"/>
  <c r="AK79" i="58"/>
  <c r="AO79" i="58"/>
  <c r="AS79" i="58"/>
  <c r="E79" i="58" s="1"/>
  <c r="AW79" i="58"/>
  <c r="I79" i="58" s="1"/>
  <c r="AW76" i="58"/>
  <c r="I76" i="58" s="1"/>
  <c r="AH76" i="58"/>
  <c r="AL76" i="58"/>
  <c r="AP76" i="58"/>
  <c r="B76" i="58" s="1"/>
  <c r="AT76" i="58"/>
  <c r="F76" i="58" s="1"/>
  <c r="AF9" i="58"/>
  <c r="AJ9" i="58"/>
  <c r="AN9" i="58"/>
  <c r="AR9" i="58"/>
  <c r="D9" i="58" s="1"/>
  <c r="AV9" i="58"/>
  <c r="H9" i="58" s="1"/>
  <c r="AN125" i="58"/>
  <c r="AH103" i="58"/>
  <c r="AX103" i="58"/>
  <c r="J103" i="58" s="1"/>
  <c r="AG96" i="58"/>
  <c r="AL86" i="58"/>
  <c r="AS89" i="58"/>
  <c r="E89" i="58" s="1"/>
  <c r="AE87" i="58"/>
  <c r="AK82" i="58"/>
  <c r="AH83" i="58"/>
  <c r="AM84" i="58"/>
  <c r="AG78" i="58"/>
  <c r="AS78" i="58"/>
  <c r="E78" i="58" s="1"/>
  <c r="AL79" i="58"/>
  <c r="AX76" i="58"/>
  <c r="J76" i="58" s="1"/>
  <c r="AQ76" i="58"/>
  <c r="C76" i="58" s="1"/>
  <c r="AO9" i="58"/>
  <c r="AU33" i="58"/>
  <c r="G33" i="58" s="1"/>
  <c r="AE50" i="58"/>
  <c r="AP69" i="58"/>
  <c r="B69" i="58" s="1"/>
  <c r="AU66" i="58"/>
  <c r="G66" i="58" s="1"/>
  <c r="AK64" i="58"/>
  <c r="AT61" i="58"/>
  <c r="F61" i="58" s="1"/>
  <c r="AJ59" i="58"/>
  <c r="AS56" i="58"/>
  <c r="E56" i="58" s="1"/>
  <c r="AP53" i="58"/>
  <c r="B53" i="58" s="1"/>
  <c r="AT44" i="58"/>
  <c r="F44" i="58" s="1"/>
  <c r="AQ26" i="58"/>
  <c r="C26" i="58" s="1"/>
  <c r="AE13" i="58"/>
  <c r="AE36" i="58"/>
  <c r="AE55" i="58"/>
  <c r="AX70" i="58"/>
  <c r="J70" i="58" s="1"/>
  <c r="AH70" i="58"/>
  <c r="AK69" i="58"/>
  <c r="AN68" i="58"/>
  <c r="AQ67" i="58"/>
  <c r="C67" i="58" s="1"/>
  <c r="AT66" i="58"/>
  <c r="F66" i="58" s="1"/>
  <c r="AW65" i="58"/>
  <c r="I65" i="58" s="1"/>
  <c r="AG65" i="58"/>
  <c r="AJ64" i="58"/>
  <c r="AM63" i="58"/>
  <c r="AP62" i="58"/>
  <c r="B62" i="58" s="1"/>
  <c r="AS61" i="58"/>
  <c r="E61" i="58" s="1"/>
  <c r="AV60" i="58"/>
  <c r="H60" i="58" s="1"/>
  <c r="AF60" i="58"/>
  <c r="AI59" i="58"/>
  <c r="AL58" i="58"/>
  <c r="AO57" i="58"/>
  <c r="AR56" i="58"/>
  <c r="D56" i="58" s="1"/>
  <c r="AU55" i="58"/>
  <c r="G55" i="58" s="1"/>
  <c r="AX54" i="58"/>
  <c r="J54" i="58" s="1"/>
  <c r="AV53" i="58"/>
  <c r="H53" i="58" s="1"/>
  <c r="AN51" i="58"/>
  <c r="AG47" i="58"/>
  <c r="AS43" i="58"/>
  <c r="E43" i="58" s="1"/>
  <c r="AT37" i="58"/>
  <c r="F37" i="58" s="1"/>
  <c r="AW24" i="58"/>
  <c r="I24" i="58" s="1"/>
  <c r="AE58" i="58"/>
  <c r="AL69" i="58"/>
  <c r="AF67" i="58"/>
  <c r="AO64" i="58"/>
  <c r="AX61" i="58"/>
  <c r="J61" i="58" s="1"/>
  <c r="AN59" i="58"/>
  <c r="AW56" i="58"/>
  <c r="I56" i="58" s="1"/>
  <c r="AM54" i="58"/>
  <c r="AG43" i="58"/>
  <c r="AN11" i="58"/>
  <c r="AK12" i="58"/>
  <c r="AH13" i="58"/>
  <c r="AX13" i="58"/>
  <c r="J13" i="58" s="1"/>
  <c r="AU15" i="58"/>
  <c r="G15" i="58" s="1"/>
  <c r="AR16" i="58"/>
  <c r="D16" i="58" s="1"/>
  <c r="AO17" i="58"/>
  <c r="AL18" i="58"/>
  <c r="AI20" i="58"/>
  <c r="AF21" i="58"/>
  <c r="AV21" i="58"/>
  <c r="H21" i="58" s="1"/>
  <c r="AS22" i="58"/>
  <c r="E22" i="58" s="1"/>
  <c r="AP23" i="58"/>
  <c r="B23" i="58" s="1"/>
  <c r="AM24" i="58"/>
  <c r="AJ25" i="58"/>
  <c r="AG26" i="58"/>
  <c r="AW26" i="58"/>
  <c r="I26" i="58" s="1"/>
  <c r="AT28" i="58"/>
  <c r="F28" i="58" s="1"/>
  <c r="AQ29" i="58"/>
  <c r="C29" i="58" s="1"/>
  <c r="AS11" i="58"/>
  <c r="E11" i="58" s="1"/>
  <c r="AP12" i="58"/>
  <c r="B12" i="58" s="1"/>
  <c r="AM13" i="58"/>
  <c r="AJ15" i="58"/>
  <c r="AG16" i="58"/>
  <c r="AW16" i="58"/>
  <c r="I16" i="58" s="1"/>
  <c r="AT17" i="58"/>
  <c r="F17" i="58" s="1"/>
  <c r="AQ18" i="58"/>
  <c r="C18" i="58" s="1"/>
  <c r="AN20" i="58"/>
  <c r="AK21" i="58"/>
  <c r="AH22" i="58"/>
  <c r="AX22" i="58"/>
  <c r="J22" i="58" s="1"/>
  <c r="AU23" i="58"/>
  <c r="G23" i="58" s="1"/>
  <c r="AR24" i="58"/>
  <c r="D24" i="58" s="1"/>
  <c r="AO25" i="58"/>
  <c r="AL26" i="58"/>
  <c r="AI28" i="58"/>
  <c r="AF29" i="58"/>
  <c r="AV29" i="58"/>
  <c r="H29" i="58" s="1"/>
  <c r="AS30" i="58"/>
  <c r="E30" i="58" s="1"/>
  <c r="AP31" i="58"/>
  <c r="B31" i="58" s="1"/>
  <c r="AF12" i="58"/>
  <c r="AS13" i="58"/>
  <c r="E13" i="58" s="1"/>
  <c r="AM16" i="58"/>
  <c r="AG18" i="58"/>
  <c r="AT20" i="58"/>
  <c r="F20" i="58" s="1"/>
  <c r="AN22" i="58"/>
  <c r="AH24" i="58"/>
  <c r="AU25" i="58"/>
  <c r="G25" i="58" s="1"/>
  <c r="AO28" i="58"/>
  <c r="AF30" i="58"/>
  <c r="AI31" i="58"/>
  <c r="AI32" i="58"/>
  <c r="AF33" i="58"/>
  <c r="AV33" i="58"/>
  <c r="H33" i="58" s="1"/>
  <c r="AS35" i="58"/>
  <c r="E35" i="58" s="1"/>
  <c r="AP36" i="58"/>
  <c r="B36" i="58" s="1"/>
  <c r="AM37" i="58"/>
  <c r="AJ38" i="58"/>
  <c r="AG39" i="58"/>
  <c r="AW39" i="58"/>
  <c r="I39" i="58" s="1"/>
  <c r="AT40" i="58"/>
  <c r="F40" i="58" s="1"/>
  <c r="AT11" i="58"/>
  <c r="F11" i="58" s="1"/>
  <c r="AN13" i="58"/>
  <c r="AH16" i="58"/>
  <c r="AU17" i="58"/>
  <c r="G17" i="58" s="1"/>
  <c r="AO20" i="58"/>
  <c r="AI22" i="58"/>
  <c r="AV23" i="58"/>
  <c r="H23" i="58" s="1"/>
  <c r="AP25" i="58"/>
  <c r="B25" i="58" s="1"/>
  <c r="AJ28" i="58"/>
  <c r="AU29" i="58"/>
  <c r="G29" i="58" s="1"/>
  <c r="AX30" i="58"/>
  <c r="J30" i="58" s="1"/>
  <c r="AF32" i="58"/>
  <c r="AV32" i="58"/>
  <c r="H32" i="58" s="1"/>
  <c r="AS33" i="58"/>
  <c r="E33" i="58" s="1"/>
  <c r="AP35" i="58"/>
  <c r="B35" i="58" s="1"/>
  <c r="AM36" i="58"/>
  <c r="AJ37" i="58"/>
  <c r="AG38" i="58"/>
  <c r="AW38" i="58"/>
  <c r="I38" i="58" s="1"/>
  <c r="AT39" i="58"/>
  <c r="F39" i="58" s="1"/>
  <c r="AM11" i="58"/>
  <c r="AG13" i="58"/>
  <c r="AT15" i="58"/>
  <c r="F15" i="58" s="1"/>
  <c r="AN17" i="58"/>
  <c r="AH20" i="58"/>
  <c r="AU21" i="58"/>
  <c r="G21" i="58" s="1"/>
  <c r="AO23" i="58"/>
  <c r="AI25" i="58"/>
  <c r="AV26" i="58"/>
  <c r="H26" i="58" s="1"/>
  <c r="AP29" i="58"/>
  <c r="B29" i="58" s="1"/>
  <c r="AT30" i="58"/>
  <c r="F30" i="58" s="1"/>
  <c r="AP11" i="58"/>
  <c r="B11" i="58" s="1"/>
  <c r="AK20" i="58"/>
  <c r="AF28" i="58"/>
  <c r="AK32" i="58"/>
  <c r="AX33" i="58"/>
  <c r="J33" i="58" s="1"/>
  <c r="AR36" i="58"/>
  <c r="D36" i="58" s="1"/>
  <c r="AL38" i="58"/>
  <c r="AF40" i="58"/>
  <c r="AK42" i="58"/>
  <c r="AH43" i="58"/>
  <c r="AX43" i="58"/>
  <c r="J43" i="58" s="1"/>
  <c r="AU44" i="58"/>
  <c r="G44" i="58" s="1"/>
  <c r="AR45" i="58"/>
  <c r="D45" i="58" s="1"/>
  <c r="AO46" i="58"/>
  <c r="AL47" i="58"/>
  <c r="AI48" i="58"/>
  <c r="AF50" i="58"/>
  <c r="AV50" i="58"/>
  <c r="H50" i="58" s="1"/>
  <c r="AS51" i="58"/>
  <c r="E51" i="58" s="1"/>
  <c r="AP52" i="58"/>
  <c r="B52" i="58" s="1"/>
  <c r="AM53" i="58"/>
  <c r="AJ54" i="58"/>
  <c r="AF18" i="58"/>
  <c r="AT25" i="58"/>
  <c r="F25" i="58" s="1"/>
  <c r="AW31" i="58"/>
  <c r="I31" i="58" s="1"/>
  <c r="AQ33" i="58"/>
  <c r="C33" i="58" s="1"/>
  <c r="AK36" i="58"/>
  <c r="AX37" i="58"/>
  <c r="J37" i="58" s="1"/>
  <c r="AR39" i="58"/>
  <c r="D39" i="58" s="1"/>
  <c r="AI17" i="58"/>
  <c r="AE62" i="58"/>
  <c r="AS68" i="58"/>
  <c r="E68" i="58" s="1"/>
  <c r="AI66" i="58"/>
  <c r="AR63" i="58"/>
  <c r="D63" i="58" s="1"/>
  <c r="AH61" i="58"/>
  <c r="AQ58" i="58"/>
  <c r="C58" i="58" s="1"/>
  <c r="AV55" i="58"/>
  <c r="H55" i="58" s="1"/>
  <c r="AH53" i="58"/>
  <c r="AJ42" i="58"/>
  <c r="AV18" i="58"/>
  <c r="H18" i="58" s="1"/>
  <c r="AE20" i="58"/>
  <c r="AE40" i="58"/>
  <c r="AE59" i="58"/>
  <c r="AT70" i="58"/>
  <c r="F70" i="58" s="1"/>
  <c r="AW69" i="58"/>
  <c r="I69" i="58" s="1"/>
  <c r="AG69" i="58"/>
  <c r="AJ68" i="58"/>
  <c r="AM67" i="58"/>
  <c r="AP66" i="58"/>
  <c r="B66" i="58" s="1"/>
  <c r="AS65" i="58"/>
  <c r="E65" i="58" s="1"/>
  <c r="AV64" i="58"/>
  <c r="H64" i="58" s="1"/>
  <c r="AF64" i="58"/>
  <c r="AI63" i="58"/>
  <c r="AL62" i="58"/>
  <c r="AO61" i="58"/>
  <c r="AR60" i="58"/>
  <c r="D60" i="58" s="1"/>
  <c r="AU59" i="58"/>
  <c r="G59" i="58" s="1"/>
  <c r="AX58" i="58"/>
  <c r="J58" i="58" s="1"/>
  <c r="AH58" i="58"/>
  <c r="AK57" i="58"/>
  <c r="AN56" i="58"/>
  <c r="AQ55" i="58"/>
  <c r="C55" i="58" s="1"/>
  <c r="AT54" i="58"/>
  <c r="F54" i="58" s="1"/>
  <c r="AN53" i="58"/>
  <c r="AQ50" i="58"/>
  <c r="C50" i="58" s="1"/>
  <c r="AJ46" i="58"/>
  <c r="AV42" i="58"/>
  <c r="H42" i="58" s="1"/>
  <c r="AG36" i="58"/>
  <c r="AE12" i="58"/>
  <c r="AE70" i="58"/>
  <c r="AW68" i="58"/>
  <c r="I68" i="58" s="1"/>
  <c r="AM66" i="58"/>
  <c r="AV63" i="58"/>
  <c r="H63" i="58" s="1"/>
  <c r="AL61" i="58"/>
  <c r="AU58" i="58"/>
  <c r="G58" i="58" s="1"/>
  <c r="AK56" i="58"/>
  <c r="AR51" i="58"/>
  <c r="D51" i="58" s="1"/>
  <c r="AO36" i="58"/>
  <c r="AR11" i="58"/>
  <c r="D11" i="58" s="1"/>
  <c r="AO12" i="58"/>
  <c r="AL13" i="58"/>
  <c r="AI15" i="58"/>
  <c r="AF16" i="58"/>
  <c r="AV16" i="58"/>
  <c r="H16" i="58" s="1"/>
  <c r="AS17" i="58"/>
  <c r="E17" i="58" s="1"/>
  <c r="AP18" i="58"/>
  <c r="B18" i="58" s="1"/>
  <c r="AM20" i="58"/>
  <c r="AJ21" i="58"/>
  <c r="AG22" i="58"/>
  <c r="AW22" i="58"/>
  <c r="I22" i="58" s="1"/>
  <c r="AT23" i="58"/>
  <c r="F23" i="58" s="1"/>
  <c r="AQ24" i="58"/>
  <c r="C24" i="58" s="1"/>
  <c r="AN25" i="58"/>
  <c r="AK26" i="58"/>
  <c r="AH28" i="58"/>
  <c r="AX28" i="58"/>
  <c r="J28" i="58" s="1"/>
  <c r="AG11" i="58"/>
  <c r="AW11" i="58"/>
  <c r="I11" i="58" s="1"/>
  <c r="AT12" i="58"/>
  <c r="F12" i="58" s="1"/>
  <c r="AQ13" i="58"/>
  <c r="C13" i="58" s="1"/>
  <c r="AN15" i="58"/>
  <c r="AK16" i="58"/>
  <c r="AH17" i="58"/>
  <c r="AX17" i="58"/>
  <c r="J17" i="58" s="1"/>
  <c r="AU18" i="58"/>
  <c r="G18" i="58" s="1"/>
  <c r="AR20" i="58"/>
  <c r="D20" i="58" s="1"/>
  <c r="AO21" i="58"/>
  <c r="AL22" i="58"/>
  <c r="AI23" i="58"/>
  <c r="AF24" i="58"/>
  <c r="AV24" i="58"/>
  <c r="H24" i="58" s="1"/>
  <c r="AS25" i="58"/>
  <c r="E25" i="58" s="1"/>
  <c r="AP26" i="58"/>
  <c r="B26" i="58" s="1"/>
  <c r="AM28" i="58"/>
  <c r="AJ29" i="58"/>
  <c r="AG30" i="58"/>
  <c r="AW30" i="58"/>
  <c r="I30" i="58" s="1"/>
  <c r="AT31" i="58"/>
  <c r="F31" i="58" s="1"/>
  <c r="AN12" i="58"/>
  <c r="AH15" i="58"/>
  <c r="AU16" i="58"/>
  <c r="G16" i="58" s="1"/>
  <c r="AO18" i="58"/>
  <c r="AI21" i="58"/>
  <c r="AV22" i="58"/>
  <c r="H22" i="58" s="1"/>
  <c r="AP24" i="58"/>
  <c r="B24" i="58" s="1"/>
  <c r="AJ26" i="58"/>
  <c r="AW28" i="58"/>
  <c r="I28" i="58" s="1"/>
  <c r="AL30" i="58"/>
  <c r="AN31" i="58"/>
  <c r="AM32" i="58"/>
  <c r="AJ33" i="58"/>
  <c r="AG35" i="58"/>
  <c r="AW35" i="58"/>
  <c r="I35" i="58" s="1"/>
  <c r="AT36" i="58"/>
  <c r="F36" i="58" s="1"/>
  <c r="AQ37" i="58"/>
  <c r="C37" i="58" s="1"/>
  <c r="AN38" i="58"/>
  <c r="AK39" i="58"/>
  <c r="AH40" i="58"/>
  <c r="AX40" i="58"/>
  <c r="J40" i="58" s="1"/>
  <c r="AI12" i="58"/>
  <c r="AV13" i="58"/>
  <c r="H13" i="58" s="1"/>
  <c r="AP16" i="58"/>
  <c r="B16" i="58" s="1"/>
  <c r="AJ18" i="58"/>
  <c r="AW20" i="58"/>
  <c r="I20" i="58" s="1"/>
  <c r="AQ22" i="58"/>
  <c r="C22" i="58" s="1"/>
  <c r="AK24" i="58"/>
  <c r="AX25" i="58"/>
  <c r="J25" i="58" s="1"/>
  <c r="AR28" i="58"/>
  <c r="D28" i="58" s="1"/>
  <c r="AH30" i="58"/>
  <c r="AJ31" i="58"/>
  <c r="AJ32" i="58"/>
  <c r="AG33" i="58"/>
  <c r="AW33" i="58"/>
  <c r="I33" i="58" s="1"/>
  <c r="AT35" i="58"/>
  <c r="F35" i="58" s="1"/>
  <c r="AQ36" i="58"/>
  <c r="C36" i="58" s="1"/>
  <c r="AN37" i="58"/>
  <c r="AK38" i="58"/>
  <c r="AH39" i="58"/>
  <c r="AX39" i="58"/>
  <c r="J39" i="58" s="1"/>
  <c r="AU11" i="58"/>
  <c r="G11" i="58" s="1"/>
  <c r="AO13" i="58"/>
  <c r="AI16" i="58"/>
  <c r="AV17" i="58"/>
  <c r="H17" i="58" s="1"/>
  <c r="AP20" i="58"/>
  <c r="B20" i="58" s="1"/>
  <c r="AJ22" i="58"/>
  <c r="AW23" i="58"/>
  <c r="I23" i="58" s="1"/>
  <c r="AQ25" i="58"/>
  <c r="C25" i="58" s="1"/>
  <c r="AK28" i="58"/>
  <c r="AW29" i="58"/>
  <c r="I29" i="58" s="1"/>
  <c r="AF31" i="58"/>
  <c r="AJ13" i="58"/>
  <c r="AX21" i="58"/>
  <c r="J21" i="58" s="1"/>
  <c r="AS29" i="58"/>
  <c r="E29" i="58" s="1"/>
  <c r="AS32" i="58"/>
  <c r="E32" i="58" s="1"/>
  <c r="AM35" i="58"/>
  <c r="AG37" i="58"/>
  <c r="AT38" i="58"/>
  <c r="F38" i="58" s="1"/>
  <c r="AN40" i="58"/>
  <c r="AO42" i="58"/>
  <c r="AL43" i="58"/>
  <c r="AI44" i="58"/>
  <c r="AF45" i="58"/>
  <c r="AV45" i="58"/>
  <c r="H45" i="58" s="1"/>
  <c r="AS46" i="58"/>
  <c r="E46" i="58" s="1"/>
  <c r="AP47" i="58"/>
  <c r="B47" i="58" s="1"/>
  <c r="AM48" i="58"/>
  <c r="AE18" i="58"/>
  <c r="AU70" i="58"/>
  <c r="G70" i="58" s="1"/>
  <c r="AG68" i="58"/>
  <c r="AP65" i="58"/>
  <c r="B65" i="58" s="1"/>
  <c r="AF63" i="58"/>
  <c r="AO60" i="58"/>
  <c r="AX57" i="58"/>
  <c r="J57" i="58" s="1"/>
  <c r="AJ55" i="58"/>
  <c r="AU50" i="58"/>
  <c r="G50" i="58" s="1"/>
  <c r="AI38" i="58"/>
  <c r="AH11" i="58"/>
  <c r="AE24" i="58"/>
  <c r="AE46" i="58"/>
  <c r="AE63" i="58"/>
  <c r="AP70" i="58"/>
  <c r="B70" i="58" s="1"/>
  <c r="AS69" i="58"/>
  <c r="E69" i="58" s="1"/>
  <c r="AV68" i="58"/>
  <c r="H68" i="58" s="1"/>
  <c r="AF68" i="58"/>
  <c r="AI67" i="58"/>
  <c r="AL66" i="58"/>
  <c r="AO65" i="58"/>
  <c r="AR64" i="58"/>
  <c r="D64" i="58" s="1"/>
  <c r="AU63" i="58"/>
  <c r="G63" i="58" s="1"/>
  <c r="AX62" i="58"/>
  <c r="J62" i="58" s="1"/>
  <c r="AH62" i="58"/>
  <c r="AK61" i="58"/>
  <c r="AN60" i="58"/>
  <c r="AQ59" i="58"/>
  <c r="C59" i="58" s="1"/>
  <c r="AT58" i="58"/>
  <c r="F58" i="58" s="1"/>
  <c r="AW57" i="58"/>
  <c r="I57" i="58" s="1"/>
  <c r="AG57" i="58"/>
  <c r="AJ56" i="58"/>
  <c r="AM55" i="58"/>
  <c r="AP54" i="58"/>
  <c r="B54" i="58" s="1"/>
  <c r="AF53" i="58"/>
  <c r="AT48" i="58"/>
  <c r="F48" i="58" s="1"/>
  <c r="AM45" i="58"/>
  <c r="AW40" i="58"/>
  <c r="I40" i="58" s="1"/>
  <c r="AM33" i="58"/>
  <c r="AE29" i="58"/>
  <c r="AQ70" i="58"/>
  <c r="C70" i="58" s="1"/>
  <c r="AK68" i="58"/>
  <c r="AT65" i="58"/>
  <c r="F65" i="58" s="1"/>
  <c r="AJ63" i="58"/>
  <c r="AS60" i="58"/>
  <c r="E60" i="58" s="1"/>
  <c r="AI58" i="58"/>
  <c r="AR55" i="58"/>
  <c r="D55" i="58" s="1"/>
  <c r="AH48" i="58"/>
  <c r="AF11" i="58"/>
  <c r="AV11" i="58"/>
  <c r="H11" i="58" s="1"/>
  <c r="AS12" i="58"/>
  <c r="E12" i="58" s="1"/>
  <c r="AP13" i="58"/>
  <c r="B13" i="58" s="1"/>
  <c r="AM15" i="58"/>
  <c r="AJ16" i="58"/>
  <c r="AG17" i="58"/>
  <c r="AW17" i="58"/>
  <c r="I17" i="58" s="1"/>
  <c r="AT18" i="58"/>
  <c r="F18" i="58" s="1"/>
  <c r="AQ20" i="58"/>
  <c r="C20" i="58" s="1"/>
  <c r="AN21" i="58"/>
  <c r="AK22" i="58"/>
  <c r="AH23" i="58"/>
  <c r="AX23" i="58"/>
  <c r="J23" i="58" s="1"/>
  <c r="AU24" i="58"/>
  <c r="G24" i="58" s="1"/>
  <c r="AR25" i="58"/>
  <c r="D25" i="58" s="1"/>
  <c r="AO26" i="58"/>
  <c r="AL28" i="58"/>
  <c r="AI29" i="58"/>
  <c r="AK11" i="58"/>
  <c r="AH12" i="58"/>
  <c r="AX12" i="58"/>
  <c r="J12" i="58" s="1"/>
  <c r="AU13" i="58"/>
  <c r="G13" i="58" s="1"/>
  <c r="AR15" i="58"/>
  <c r="D15" i="58" s="1"/>
  <c r="AO16" i="58"/>
  <c r="AL17" i="58"/>
  <c r="AI18" i="58"/>
  <c r="AF20" i="58"/>
  <c r="AV20" i="58"/>
  <c r="H20" i="58" s="1"/>
  <c r="AS21" i="58"/>
  <c r="E21" i="58" s="1"/>
  <c r="AP22" i="58"/>
  <c r="B22" i="58" s="1"/>
  <c r="AM23" i="58"/>
  <c r="AJ24" i="58"/>
  <c r="AG25" i="58"/>
  <c r="AW25" i="58"/>
  <c r="I25" i="58" s="1"/>
  <c r="AT26" i="58"/>
  <c r="F26" i="58" s="1"/>
  <c r="AQ28" i="58"/>
  <c r="C28" i="58" s="1"/>
  <c r="AN29" i="58"/>
  <c r="AK30" i="58"/>
  <c r="AH31" i="58"/>
  <c r="AI11" i="58"/>
  <c r="AV12" i="58"/>
  <c r="H12" i="58" s="1"/>
  <c r="AP15" i="58"/>
  <c r="B15" i="58" s="1"/>
  <c r="AJ17" i="58"/>
  <c r="AW18" i="58"/>
  <c r="I18" i="58" s="1"/>
  <c r="AQ21" i="58"/>
  <c r="C21" i="58" s="1"/>
  <c r="AK23" i="58"/>
  <c r="AX24" i="58"/>
  <c r="J24" i="58" s="1"/>
  <c r="AR26" i="58"/>
  <c r="D26" i="58" s="1"/>
  <c r="AL29" i="58"/>
  <c r="AQ30" i="58"/>
  <c r="C30" i="58" s="1"/>
  <c r="AS31" i="58"/>
  <c r="E31" i="58" s="1"/>
  <c r="AQ32" i="58"/>
  <c r="C32" i="58" s="1"/>
  <c r="AN33" i="58"/>
  <c r="AK35" i="58"/>
  <c r="AH36" i="58"/>
  <c r="AX36" i="58"/>
  <c r="J36" i="58" s="1"/>
  <c r="AU37" i="58"/>
  <c r="G37" i="58" s="1"/>
  <c r="AR38" i="58"/>
  <c r="D38" i="58" s="1"/>
  <c r="AO39" i="58"/>
  <c r="AL40" i="58"/>
  <c r="AI42" i="58"/>
  <c r="AQ12" i="58"/>
  <c r="C12" i="58" s="1"/>
  <c r="AK15" i="58"/>
  <c r="AX16" i="58"/>
  <c r="J16" i="58" s="1"/>
  <c r="AR18" i="58"/>
  <c r="D18" i="58" s="1"/>
  <c r="AL21" i="58"/>
  <c r="AF23" i="58"/>
  <c r="AS24" i="58"/>
  <c r="E24" i="58" s="1"/>
  <c r="AM26" i="58"/>
  <c r="AG29" i="58"/>
  <c r="AM30" i="58"/>
  <c r="AO31" i="58"/>
  <c r="AN32" i="58"/>
  <c r="AK33" i="58"/>
  <c r="AH35" i="58"/>
  <c r="AX35" i="58"/>
  <c r="J35" i="58" s="1"/>
  <c r="AU36" i="58"/>
  <c r="G36" i="58" s="1"/>
  <c r="AR37" i="58"/>
  <c r="D37" i="58" s="1"/>
  <c r="AO38" i="58"/>
  <c r="AL39" i="58"/>
  <c r="AI40" i="58"/>
  <c r="AJ12" i="58"/>
  <c r="AW13" i="58"/>
  <c r="I13" i="58" s="1"/>
  <c r="AQ16" i="58"/>
  <c r="C16" i="58" s="1"/>
  <c r="AK18" i="58"/>
  <c r="AX20" i="58"/>
  <c r="J20" i="58" s="1"/>
  <c r="AR22" i="58"/>
  <c r="D22" i="58" s="1"/>
  <c r="AL24" i="58"/>
  <c r="AF26" i="58"/>
  <c r="AS28" i="58"/>
  <c r="E28" i="58" s="1"/>
  <c r="AI30" i="58"/>
  <c r="AK31" i="58"/>
  <c r="AW15" i="58"/>
  <c r="I15" i="58" s="1"/>
  <c r="AR23" i="58"/>
  <c r="D23" i="58" s="1"/>
  <c r="AU30" i="58"/>
  <c r="G30" i="58" s="1"/>
  <c r="AH33" i="58"/>
  <c r="AU35" i="58"/>
  <c r="G35" i="58" s="1"/>
  <c r="AO37" i="58"/>
  <c r="AI39" i="58"/>
  <c r="AS40" i="58"/>
  <c r="E40" i="58" s="1"/>
  <c r="AS42" i="58"/>
  <c r="E42" i="58" s="1"/>
  <c r="AP43" i="58"/>
  <c r="B43" i="58" s="1"/>
  <c r="AM44" i="58"/>
  <c r="AJ45" i="58"/>
  <c r="AG46" i="58"/>
  <c r="AW46" i="58"/>
  <c r="I46" i="58" s="1"/>
  <c r="AT47" i="58"/>
  <c r="F47" i="58" s="1"/>
  <c r="AQ48" i="58"/>
  <c r="C48" i="58" s="1"/>
  <c r="AN50" i="58"/>
  <c r="AK51" i="58"/>
  <c r="AH52" i="58"/>
  <c r="AX52" i="58"/>
  <c r="J52" i="58" s="1"/>
  <c r="AE33" i="58"/>
  <c r="AM62" i="58"/>
  <c r="AK47" i="58"/>
  <c r="AE51" i="58"/>
  <c r="AR68" i="58"/>
  <c r="D68" i="58" s="1"/>
  <c r="AK65" i="58"/>
  <c r="AW61" i="58"/>
  <c r="I61" i="58" s="1"/>
  <c r="AP58" i="58"/>
  <c r="B58" i="58" s="1"/>
  <c r="AI55" i="58"/>
  <c r="AP44" i="58"/>
  <c r="B44" i="58" s="1"/>
  <c r="AX69" i="58"/>
  <c r="J69" i="58" s="1"/>
  <c r="AG60" i="58"/>
  <c r="AJ11" i="58"/>
  <c r="AQ15" i="58"/>
  <c r="C15" i="58" s="1"/>
  <c r="AX18" i="58"/>
  <c r="J18" i="58" s="1"/>
  <c r="AL23" i="58"/>
  <c r="AS26" i="58"/>
  <c r="E26" i="58" s="1"/>
  <c r="AL12" i="58"/>
  <c r="AS16" i="58"/>
  <c r="E16" i="58" s="1"/>
  <c r="AG21" i="58"/>
  <c r="AN24" i="58"/>
  <c r="AU28" i="58"/>
  <c r="G28" i="58" s="1"/>
  <c r="AQ11" i="58"/>
  <c r="C11" i="58" s="1"/>
  <c r="AL20" i="58"/>
  <c r="AG28" i="58"/>
  <c r="AU32" i="58"/>
  <c r="G32" i="58" s="1"/>
  <c r="AI37" i="58"/>
  <c r="AP40" i="58"/>
  <c r="B40" i="58" s="1"/>
  <c r="AM17" i="58"/>
  <c r="AH25" i="58"/>
  <c r="AU31" i="58"/>
  <c r="G31" i="58" s="1"/>
  <c r="AI36" i="58"/>
  <c r="AP39" i="58"/>
  <c r="B39" i="58" s="1"/>
  <c r="AF17" i="58"/>
  <c r="AT24" i="58"/>
  <c r="F24" i="58" s="1"/>
  <c r="AQ31" i="58"/>
  <c r="C31" i="58" s="1"/>
  <c r="AP33" i="58"/>
  <c r="B33" i="58" s="1"/>
  <c r="AF42" i="58"/>
  <c r="AN45" i="58"/>
  <c r="AU48" i="58"/>
  <c r="G48" i="58" s="1"/>
  <c r="AO51" i="58"/>
  <c r="AI53" i="58"/>
  <c r="AM22" i="58"/>
  <c r="AG31" i="58"/>
  <c r="AF35" i="58"/>
  <c r="AH37" i="58"/>
  <c r="AJ39" i="58"/>
  <c r="AG42" i="58"/>
  <c r="AX42" i="58"/>
  <c r="J42" i="58" s="1"/>
  <c r="AU43" i="58"/>
  <c r="G43" i="58" s="1"/>
  <c r="AR44" i="58"/>
  <c r="D44" i="58" s="1"/>
  <c r="AO45" i="58"/>
  <c r="AL46" i="58"/>
  <c r="AI47" i="58"/>
  <c r="AF48" i="58"/>
  <c r="AV48" i="58"/>
  <c r="H48" i="58" s="1"/>
  <c r="AS50" i="58"/>
  <c r="E50" i="58" s="1"/>
  <c r="AP51" i="58"/>
  <c r="B51" i="58" s="1"/>
  <c r="AM52" i="58"/>
  <c r="AG15" i="58"/>
  <c r="AU22" i="58"/>
  <c r="G22" i="58" s="1"/>
  <c r="AJ30" i="58"/>
  <c r="AW32" i="58"/>
  <c r="I32" i="58" s="1"/>
  <c r="AQ35" i="58"/>
  <c r="C35" i="58" s="1"/>
  <c r="AK37" i="58"/>
  <c r="AX38" i="58"/>
  <c r="J38" i="58" s="1"/>
  <c r="AQ40" i="58"/>
  <c r="C40" i="58" s="1"/>
  <c r="AQ42" i="58"/>
  <c r="C42" i="58" s="1"/>
  <c r="AN43" i="58"/>
  <c r="AK44" i="58"/>
  <c r="AH45" i="58"/>
  <c r="AX45" i="58"/>
  <c r="J45" i="58" s="1"/>
  <c r="AU46" i="58"/>
  <c r="G46" i="58" s="1"/>
  <c r="AR47" i="58"/>
  <c r="D47" i="58" s="1"/>
  <c r="AO48" i="58"/>
  <c r="AL50" i="58"/>
  <c r="AI51" i="58"/>
  <c r="AF52" i="58"/>
  <c r="AV52" i="58"/>
  <c r="H52" i="58" s="1"/>
  <c r="AS53" i="58"/>
  <c r="E53" i="58" s="1"/>
  <c r="AE15" i="58"/>
  <c r="AE31" i="58"/>
  <c r="AE52" i="58"/>
  <c r="AE68" i="58"/>
  <c r="AK70" i="58"/>
  <c r="AN69" i="58"/>
  <c r="AQ68" i="58"/>
  <c r="C68" i="58" s="1"/>
  <c r="AT67" i="58"/>
  <c r="F67" i="58" s="1"/>
  <c r="AW66" i="58"/>
  <c r="I66" i="58" s="1"/>
  <c r="AG66" i="58"/>
  <c r="AJ65" i="58"/>
  <c r="AM64" i="58"/>
  <c r="AP63" i="58"/>
  <c r="B63" i="58" s="1"/>
  <c r="AS62" i="58"/>
  <c r="E62" i="58" s="1"/>
  <c r="AV61" i="58"/>
  <c r="H61" i="58" s="1"/>
  <c r="AF61" i="58"/>
  <c r="AI60" i="58"/>
  <c r="AL59" i="58"/>
  <c r="AO58" i="58"/>
  <c r="AR57" i="58"/>
  <c r="D57" i="58" s="1"/>
  <c r="AU56" i="58"/>
  <c r="G56" i="58" s="1"/>
  <c r="AX55" i="58"/>
  <c r="J55" i="58" s="1"/>
  <c r="AH55" i="58"/>
  <c r="AI54" i="58"/>
  <c r="AG52" i="58"/>
  <c r="AS47" i="58"/>
  <c r="E47" i="58" s="1"/>
  <c r="AL44" i="58"/>
  <c r="AF39" i="58"/>
  <c r="AP30" i="58"/>
  <c r="B30" i="58" s="1"/>
  <c r="AE23" i="58"/>
  <c r="AM70" i="58"/>
  <c r="AV67" i="58"/>
  <c r="H67" i="58" s="1"/>
  <c r="AL65" i="58"/>
  <c r="AU62" i="58"/>
  <c r="G62" i="58" s="1"/>
  <c r="AK60" i="58"/>
  <c r="AT57" i="58"/>
  <c r="F57" i="58" s="1"/>
  <c r="AN55" i="58"/>
  <c r="AX48" i="58"/>
  <c r="J48" i="58" s="1"/>
  <c r="AE42" i="58"/>
  <c r="AE26" i="58"/>
  <c r="AE48" i="58"/>
  <c r="AE65" i="58"/>
  <c r="AN70" i="58"/>
  <c r="AQ69" i="58"/>
  <c r="C69" i="58" s="1"/>
  <c r="AT68" i="58"/>
  <c r="F68" i="58" s="1"/>
  <c r="AW67" i="58"/>
  <c r="I67" i="58" s="1"/>
  <c r="AG67" i="58"/>
  <c r="AJ66" i="58"/>
  <c r="AM65" i="58"/>
  <c r="AP64" i="58"/>
  <c r="B64" i="58" s="1"/>
  <c r="AS63" i="58"/>
  <c r="E63" i="58" s="1"/>
  <c r="AV62" i="58"/>
  <c r="H62" i="58" s="1"/>
  <c r="AF62" i="58"/>
  <c r="AI61" i="58"/>
  <c r="AL60" i="58"/>
  <c r="AO59" i="58"/>
  <c r="AR58" i="58"/>
  <c r="D58" i="58" s="1"/>
  <c r="AU57" i="58"/>
  <c r="G57" i="58" s="1"/>
  <c r="AX56" i="58"/>
  <c r="J56" i="58" s="1"/>
  <c r="AH56" i="58"/>
  <c r="AK55" i="58"/>
  <c r="AN54" i="58"/>
  <c r="AS52" i="58"/>
  <c r="E52" i="58" s="1"/>
  <c r="AL48" i="58"/>
  <c r="AX44" i="58"/>
  <c r="J44" i="58" s="1"/>
  <c r="AK40" i="58"/>
  <c r="AP32" i="58"/>
  <c r="B32" i="58" s="1"/>
  <c r="AU60" i="58"/>
  <c r="G60" i="58" s="1"/>
  <c r="AN57" i="58"/>
  <c r="AT55" i="58"/>
  <c r="F55" i="58" s="1"/>
  <c r="AW54" i="58"/>
  <c r="I54" i="58" s="1"/>
  <c r="AJ51" i="58"/>
  <c r="AV46" i="58"/>
  <c r="H46" i="58" s="1"/>
  <c r="AL37" i="58"/>
  <c r="AJ23" i="58"/>
  <c r="AT69" i="58"/>
  <c r="F69" i="58" s="1"/>
  <c r="AJ67" i="58"/>
  <c r="AI62" i="58"/>
  <c r="AH57" i="58"/>
  <c r="AN46" i="58"/>
  <c r="AE11" i="58"/>
  <c r="AE53" i="58"/>
  <c r="AE69" i="58"/>
  <c r="AM69" i="58"/>
  <c r="AS67" i="58"/>
  <c r="E67" i="58" s="1"/>
  <c r="AV66" i="58"/>
  <c r="H66" i="58" s="1"/>
  <c r="AI65" i="58"/>
  <c r="AO63" i="58"/>
  <c r="AR62" i="58"/>
  <c r="D62" i="58" s="1"/>
  <c r="AX60" i="58"/>
  <c r="J60" i="58" s="1"/>
  <c r="AH60" i="58"/>
  <c r="AN58" i="58"/>
  <c r="AT56" i="58"/>
  <c r="F56" i="58" s="1"/>
  <c r="AG55" i="58"/>
  <c r="AV51" i="58"/>
  <c r="H51" i="58" s="1"/>
  <c r="AH44" i="58"/>
  <c r="AK29" i="58"/>
  <c r="AE30" i="58"/>
  <c r="AQ45" i="58"/>
  <c r="C45" i="58" s="1"/>
  <c r="AH18" i="58"/>
  <c r="AV25" i="58"/>
  <c r="H25" i="58" s="1"/>
  <c r="AJ20" i="58"/>
  <c r="AX26" i="58"/>
  <c r="J26" i="58" s="1"/>
  <c r="AM25" i="58"/>
  <c r="AS39" i="58"/>
  <c r="E39" i="58" s="1"/>
  <c r="AN23" i="58"/>
  <c r="AS38" i="58"/>
  <c r="E38" i="58" s="1"/>
  <c r="AG23" i="58"/>
  <c r="AQ39" i="58"/>
  <c r="C39" i="58" s="1"/>
  <c r="AQ44" i="58"/>
  <c r="C44" i="58" s="1"/>
  <c r="AT52" i="58"/>
  <c r="F52" i="58" s="1"/>
  <c r="AX29" i="58"/>
  <c r="J29" i="58" s="1"/>
  <c r="AS36" i="58"/>
  <c r="E36" i="58" s="1"/>
  <c r="AU40" i="58"/>
  <c r="G40" i="58" s="1"/>
  <c r="AN44" i="58"/>
  <c r="AI70" i="58"/>
  <c r="AV59" i="58"/>
  <c r="H59" i="58" s="1"/>
  <c r="AH32" i="58"/>
  <c r="AE67" i="58"/>
  <c r="AU67" i="58"/>
  <c r="G67" i="58" s="1"/>
  <c r="AN64" i="58"/>
  <c r="AG61" i="58"/>
  <c r="AS57" i="58"/>
  <c r="E57" i="58" s="1"/>
  <c r="AK54" i="58"/>
  <c r="AN39" i="58"/>
  <c r="AR67" i="58"/>
  <c r="D67" i="58" s="1"/>
  <c r="AP57" i="58"/>
  <c r="B57" i="58" s="1"/>
  <c r="AG12" i="58"/>
  <c r="AN16" i="58"/>
  <c r="AU20" i="58"/>
  <c r="G20" i="58" s="1"/>
  <c r="AI24" i="58"/>
  <c r="AP28" i="58"/>
  <c r="B28" i="58" s="1"/>
  <c r="AI13" i="58"/>
  <c r="AP17" i="58"/>
  <c r="B17" i="58" s="1"/>
  <c r="AW21" i="58"/>
  <c r="I21" i="58" s="1"/>
  <c r="AK25" i="58"/>
  <c r="AR29" i="58"/>
  <c r="D29" i="58" s="1"/>
  <c r="AK13" i="58"/>
  <c r="AF22" i="58"/>
  <c r="AT29" i="58"/>
  <c r="F29" i="58" s="1"/>
  <c r="AR33" i="58"/>
  <c r="D33" i="58" s="1"/>
  <c r="AF38" i="58"/>
  <c r="AL11" i="58"/>
  <c r="AG20" i="58"/>
  <c r="AU26" i="58"/>
  <c r="G26" i="58" s="1"/>
  <c r="AR32" i="58"/>
  <c r="D32" i="58" s="1"/>
  <c r="AF37" i="58"/>
  <c r="AM40" i="58"/>
  <c r="AS18" i="58"/>
  <c r="E18" i="58" s="1"/>
  <c r="AN26" i="58"/>
  <c r="AQ17" i="58"/>
  <c r="C17" i="58" s="1"/>
  <c r="AJ36" i="58"/>
  <c r="AW42" i="58"/>
  <c r="I42" i="58" s="1"/>
  <c r="AK46" i="58"/>
  <c r="AJ50" i="58"/>
  <c r="AW51" i="58"/>
  <c r="I51" i="58" s="1"/>
  <c r="AQ53" i="58"/>
  <c r="C53" i="58" s="1"/>
  <c r="AR13" i="58"/>
  <c r="D13" i="58" s="1"/>
  <c r="AG24" i="58"/>
  <c r="AL32" i="58"/>
  <c r="AN35" i="58"/>
  <c r="AP37" i="58"/>
  <c r="B37" i="58" s="1"/>
  <c r="AG40" i="58"/>
  <c r="AL42" i="58"/>
  <c r="AI43" i="58"/>
  <c r="AF44" i="58"/>
  <c r="AV44" i="58"/>
  <c r="H44" i="58" s="1"/>
  <c r="AS45" i="58"/>
  <c r="E45" i="58" s="1"/>
  <c r="AP46" i="58"/>
  <c r="B46" i="58" s="1"/>
  <c r="AM47" i="58"/>
  <c r="AJ48" i="58"/>
  <c r="AG50" i="58"/>
  <c r="AW50" i="58"/>
  <c r="I50" i="58" s="1"/>
  <c r="AT51" i="58"/>
  <c r="F51" i="58" s="1"/>
  <c r="AQ52" i="58"/>
  <c r="C52" i="58" s="1"/>
  <c r="AT16" i="58"/>
  <c r="F16" i="58" s="1"/>
  <c r="AO24" i="58"/>
  <c r="AM31" i="58"/>
  <c r="AL33" i="58"/>
  <c r="AF36" i="58"/>
  <c r="AS37" i="58"/>
  <c r="E37" i="58" s="1"/>
  <c r="AM39" i="58"/>
  <c r="AV40" i="58"/>
  <c r="H40" i="58" s="1"/>
  <c r="AU42" i="58"/>
  <c r="G42" i="58" s="1"/>
  <c r="AR43" i="58"/>
  <c r="D43" i="58" s="1"/>
  <c r="AO44" i="58"/>
  <c r="AL45" i="58"/>
  <c r="AI46" i="58"/>
  <c r="AF47" i="58"/>
  <c r="AV47" i="58"/>
  <c r="H47" i="58" s="1"/>
  <c r="AS48" i="58"/>
  <c r="E48" i="58" s="1"/>
  <c r="AP50" i="58"/>
  <c r="B50" i="58" s="1"/>
  <c r="AM51" i="58"/>
  <c r="AJ52" i="58"/>
  <c r="AG53" i="58"/>
  <c r="AW53" i="58"/>
  <c r="I53" i="58" s="1"/>
  <c r="AE16" i="58"/>
  <c r="AE37" i="58"/>
  <c r="AE56" i="58"/>
  <c r="AW70" i="58"/>
  <c r="I70" i="58" s="1"/>
  <c r="AG70" i="58"/>
  <c r="AJ69" i="58"/>
  <c r="AM68" i="58"/>
  <c r="AP67" i="58"/>
  <c r="B67" i="58" s="1"/>
  <c r="AS66" i="58"/>
  <c r="E66" i="58" s="1"/>
  <c r="AV65" i="58"/>
  <c r="H65" i="58" s="1"/>
  <c r="AF65" i="58"/>
  <c r="AI64" i="58"/>
  <c r="AL63" i="58"/>
  <c r="AO62" i="58"/>
  <c r="AR61" i="58"/>
  <c r="D61" i="58" s="1"/>
  <c r="AX59" i="58"/>
  <c r="J59" i="58" s="1"/>
  <c r="AH59" i="58"/>
  <c r="AK58" i="58"/>
  <c r="AQ56" i="58"/>
  <c r="C56" i="58" s="1"/>
  <c r="AT53" i="58"/>
  <c r="F53" i="58" s="1"/>
  <c r="AO43" i="58"/>
  <c r="AE39" i="58"/>
  <c r="AS64" i="58"/>
  <c r="E64" i="58" s="1"/>
  <c r="AR59" i="58"/>
  <c r="D59" i="58" s="1"/>
  <c r="AU54" i="58"/>
  <c r="G54" i="58" s="1"/>
  <c r="AE32" i="58"/>
  <c r="AJ70" i="58"/>
  <c r="AP68" i="58"/>
  <c r="B68" i="58" s="1"/>
  <c r="AF66" i="58"/>
  <c r="AL64" i="58"/>
  <c r="AU61" i="58"/>
  <c r="G61" i="58" s="1"/>
  <c r="AK59" i="58"/>
  <c r="AQ57" i="58"/>
  <c r="C57" i="58" s="1"/>
  <c r="AW55" i="58"/>
  <c r="I55" i="58" s="1"/>
  <c r="AG54" i="58"/>
  <c r="AO47" i="58"/>
  <c r="AQ38" i="58"/>
  <c r="C38" i="58" s="1"/>
  <c r="AQ54" i="58"/>
  <c r="C54" i="58" s="1"/>
  <c r="AO11" i="58"/>
  <c r="AL31" i="58"/>
  <c r="AX31" i="58"/>
  <c r="J31" i="58" s="1"/>
  <c r="AS15" i="58"/>
  <c r="E15" i="58" s="1"/>
  <c r="AL35" i="58"/>
  <c r="AN30" i="58"/>
  <c r="AG51" i="58"/>
  <c r="AS20" i="58"/>
  <c r="E20" i="58" s="1"/>
  <c r="AU38" i="58"/>
  <c r="G38" i="58" s="1"/>
  <c r="AQ43" i="58"/>
  <c r="C43" i="58" s="1"/>
  <c r="AN67" i="58"/>
  <c r="AL57" i="58"/>
  <c r="AE28" i="58"/>
  <c r="AL70" i="58"/>
  <c r="AX66" i="58"/>
  <c r="J66" i="58" s="1"/>
  <c r="AQ63" i="58"/>
  <c r="C63" i="58" s="1"/>
  <c r="AJ60" i="58"/>
  <c r="AV56" i="58"/>
  <c r="H56" i="58" s="1"/>
  <c r="AK52" i="58"/>
  <c r="AR31" i="58"/>
  <c r="D31" i="58" s="1"/>
  <c r="AH65" i="58"/>
  <c r="AF55" i="58"/>
  <c r="AW12" i="58"/>
  <c r="I12" i="58" s="1"/>
  <c r="AK17" i="58"/>
  <c r="AR21" i="58"/>
  <c r="D21" i="58" s="1"/>
  <c r="AF25" i="58"/>
  <c r="AM29" i="58"/>
  <c r="AF15" i="58"/>
  <c r="AM18" i="58"/>
  <c r="AT22" i="58"/>
  <c r="F22" i="58" s="1"/>
  <c r="AH26" i="58"/>
  <c r="AO30" i="58"/>
  <c r="AX15" i="58"/>
  <c r="J15" i="58" s="1"/>
  <c r="AS23" i="58"/>
  <c r="E23" i="58" s="1"/>
  <c r="AV30" i="58"/>
  <c r="H30" i="58" s="1"/>
  <c r="AO35" i="58"/>
  <c r="AV38" i="58"/>
  <c r="H38" i="58" s="1"/>
  <c r="AF13" i="58"/>
  <c r="AT21" i="58"/>
  <c r="F21" i="58" s="1"/>
  <c r="AO29" i="58"/>
  <c r="AO33" i="58"/>
  <c r="AV37" i="58"/>
  <c r="H37" i="58" s="1"/>
  <c r="AR12" i="58"/>
  <c r="D12" i="58" s="1"/>
  <c r="AM21" i="58"/>
  <c r="AH29" i="58"/>
  <c r="AL25" i="58"/>
  <c r="AW37" i="58"/>
  <c r="I37" i="58" s="1"/>
  <c r="AT43" i="58"/>
  <c r="F43" i="58" s="1"/>
  <c r="AH47" i="58"/>
  <c r="AR50" i="58"/>
  <c r="D50" i="58" s="1"/>
  <c r="AL52" i="58"/>
  <c r="AU53" i="58"/>
  <c r="G53" i="58" s="1"/>
  <c r="AL16" i="58"/>
  <c r="AN28" i="58"/>
  <c r="AT32" i="58"/>
  <c r="F32" i="58" s="1"/>
  <c r="AV35" i="58"/>
  <c r="H35" i="58" s="1"/>
  <c r="AM38" i="58"/>
  <c r="AO40" i="58"/>
  <c r="AP42" i="58"/>
  <c r="B42" i="58" s="1"/>
  <c r="AM43" i="58"/>
  <c r="AJ44" i="58"/>
  <c r="AG45" i="58"/>
  <c r="AW45" i="58"/>
  <c r="I45" i="58" s="1"/>
  <c r="AT46" i="58"/>
  <c r="F46" i="58" s="1"/>
  <c r="AQ47" i="58"/>
  <c r="C47" i="58" s="1"/>
  <c r="AN48" i="58"/>
  <c r="AK50" i="58"/>
  <c r="AH51" i="58"/>
  <c r="AX51" i="58"/>
  <c r="J51" i="58" s="1"/>
  <c r="AU52" i="58"/>
  <c r="G52" i="58" s="1"/>
  <c r="AN18" i="58"/>
  <c r="AI26" i="58"/>
  <c r="AG32" i="58"/>
  <c r="AT33" i="58"/>
  <c r="F33" i="58" s="1"/>
  <c r="AN36" i="58"/>
  <c r="AH38" i="58"/>
  <c r="AU39" i="58"/>
  <c r="G39" i="58" s="1"/>
  <c r="AH42" i="58"/>
  <c r="AF43" i="58"/>
  <c r="AV43" i="58"/>
  <c r="H43" i="58" s="1"/>
  <c r="AS44" i="58"/>
  <c r="E44" i="58" s="1"/>
  <c r="AP45" i="58"/>
  <c r="B45" i="58" s="1"/>
  <c r="AM46" i="58"/>
  <c r="AJ47" i="58"/>
  <c r="AG48" i="58"/>
  <c r="AW48" i="58"/>
  <c r="I48" i="58" s="1"/>
  <c r="AT50" i="58"/>
  <c r="F50" i="58" s="1"/>
  <c r="AQ51" i="58"/>
  <c r="C51" i="58" s="1"/>
  <c r="AN52" i="58"/>
  <c r="AK53" i="58"/>
  <c r="AH54" i="58"/>
  <c r="AE21" i="58"/>
  <c r="AE43" i="58"/>
  <c r="AE60" i="58"/>
  <c r="AS70" i="58"/>
  <c r="E70" i="58" s="1"/>
  <c r="AV69" i="58"/>
  <c r="H69" i="58" s="1"/>
  <c r="AF69" i="58"/>
  <c r="AI68" i="58"/>
  <c r="AL67" i="58"/>
  <c r="AO66" i="58"/>
  <c r="AR65" i="58"/>
  <c r="D65" i="58" s="1"/>
  <c r="AU64" i="58"/>
  <c r="G64" i="58" s="1"/>
  <c r="AX63" i="58"/>
  <c r="J63" i="58" s="1"/>
  <c r="AH63" i="58"/>
  <c r="AK62" i="58"/>
  <c r="AN61" i="58"/>
  <c r="AQ60" i="58"/>
  <c r="C60" i="58" s="1"/>
  <c r="AT59" i="58"/>
  <c r="F59" i="58" s="1"/>
  <c r="AW58" i="58"/>
  <c r="I58" i="58" s="1"/>
  <c r="AG58" i="58"/>
  <c r="AJ57" i="58"/>
  <c r="AM56" i="58"/>
  <c r="AP55" i="58"/>
  <c r="B55" i="58" s="1"/>
  <c r="AS54" i="58"/>
  <c r="E54" i="58" s="1"/>
  <c r="AL53" i="58"/>
  <c r="AM50" i="58"/>
  <c r="AF46" i="58"/>
  <c r="AR42" i="58"/>
  <c r="D42" i="58" s="1"/>
  <c r="AR35" i="58"/>
  <c r="D35" i="58" s="1"/>
  <c r="AO15" i="58"/>
  <c r="AE54" i="58"/>
  <c r="AH69" i="58"/>
  <c r="AQ66" i="58"/>
  <c r="C66" i="58" s="1"/>
  <c r="AG64" i="58"/>
  <c r="AP61" i="58"/>
  <c r="B61" i="58" s="1"/>
  <c r="AF59" i="58"/>
  <c r="AO56" i="58"/>
  <c r="AX53" i="58"/>
  <c r="J53" i="58" s="1"/>
  <c r="AW43" i="58"/>
  <c r="I43" i="58" s="1"/>
  <c r="AE17" i="58"/>
  <c r="AE38" i="58"/>
  <c r="AE57" i="58"/>
  <c r="AV70" i="58"/>
  <c r="H70" i="58" s="1"/>
  <c r="AF70" i="58"/>
  <c r="AI69" i="58"/>
  <c r="AL68" i="58"/>
  <c r="AO67" i="58"/>
  <c r="AR66" i="58"/>
  <c r="D66" i="58" s="1"/>
  <c r="AU65" i="58"/>
  <c r="G65" i="58" s="1"/>
  <c r="AX64" i="58"/>
  <c r="J64" i="58" s="1"/>
  <c r="AH64" i="58"/>
  <c r="AK63" i="58"/>
  <c r="AN62" i="58"/>
  <c r="AQ61" i="58"/>
  <c r="C61" i="58" s="1"/>
  <c r="AT60" i="58"/>
  <c r="F60" i="58" s="1"/>
  <c r="AW59" i="58"/>
  <c r="I59" i="58" s="1"/>
  <c r="AG59" i="58"/>
  <c r="AJ58" i="58"/>
  <c r="AM57" i="58"/>
  <c r="AP56" i="58"/>
  <c r="B56" i="58" s="1"/>
  <c r="AS55" i="58"/>
  <c r="E55" i="58" s="1"/>
  <c r="AV54" i="58"/>
  <c r="H54" i="58" s="1"/>
  <c r="AR53" i="58"/>
  <c r="D53" i="58" s="1"/>
  <c r="AF51" i="58"/>
  <c r="AR46" i="58"/>
  <c r="D46" i="58" s="1"/>
  <c r="AK43" i="58"/>
  <c r="AW36" i="58"/>
  <c r="I36" i="58" s="1"/>
  <c r="AP21" i="58"/>
  <c r="B21" i="58" s="1"/>
  <c r="AW64" i="58"/>
  <c r="I64" i="58" s="1"/>
  <c r="AO69" i="58"/>
  <c r="AH66" i="58"/>
  <c r="AT62" i="58"/>
  <c r="F62" i="58" s="1"/>
  <c r="AM59" i="58"/>
  <c r="AF56" i="58"/>
  <c r="AW47" i="58"/>
  <c r="I47" i="58" s="1"/>
  <c r="AE45" i="58"/>
  <c r="AQ62" i="58"/>
  <c r="C62" i="58" s="1"/>
  <c r="AT13" i="58"/>
  <c r="F13" i="58" s="1"/>
  <c r="AO22" i="58"/>
  <c r="AV15" i="58"/>
  <c r="H15" i="58" s="1"/>
  <c r="AQ23" i="58"/>
  <c r="C23" i="58" s="1"/>
  <c r="AR17" i="58"/>
  <c r="D17" i="58" s="1"/>
  <c r="AL36" i="58"/>
  <c r="AR30" i="58"/>
  <c r="D30" i="58" s="1"/>
  <c r="AL15" i="58"/>
  <c r="AV31" i="58"/>
  <c r="H31" i="58" s="1"/>
  <c r="AX47" i="58"/>
  <c r="J47" i="58" s="1"/>
  <c r="AF54" i="58"/>
  <c r="AI33" i="58"/>
  <c r="AT42" i="58"/>
  <c r="F42" i="58" s="1"/>
  <c r="AK45" i="58"/>
  <c r="AR48" i="58"/>
  <c r="D48" i="58" s="1"/>
  <c r="AM12" i="58"/>
  <c r="AI35" i="58"/>
  <c r="AM42" i="58"/>
  <c r="AT45" i="58"/>
  <c r="F45" i="58" s="1"/>
  <c r="AH50" i="58"/>
  <c r="AO53" i="58"/>
  <c r="AE64" i="58"/>
  <c r="AX67" i="58"/>
  <c r="J67" i="58" s="1"/>
  <c r="AQ64" i="58"/>
  <c r="C64" i="58" s="1"/>
  <c r="AJ61" i="58"/>
  <c r="AV57" i="58"/>
  <c r="H57" i="58" s="1"/>
  <c r="AO54" i="58"/>
  <c r="AR40" i="58"/>
  <c r="D40" i="58" s="1"/>
  <c r="AO68" i="58"/>
  <c r="AM58" i="58"/>
  <c r="AE22" i="58"/>
  <c r="AU69" i="58"/>
  <c r="G69" i="58" s="1"/>
  <c r="AN66" i="58"/>
  <c r="AG63" i="58"/>
  <c r="AS59" i="58"/>
  <c r="E59" i="58" s="1"/>
  <c r="AL56" i="58"/>
  <c r="AI50" i="58"/>
  <c r="AU12" i="58"/>
  <c r="G12" i="58" s="1"/>
  <c r="AM60" i="58"/>
  <c r="AW52" i="58"/>
  <c r="I52" i="58" s="1"/>
  <c r="AX32" i="58"/>
  <c r="J32" i="58" s="1"/>
  <c r="AG56" i="58"/>
  <c r="AE44" i="58"/>
  <c r="AX68" i="58"/>
  <c r="J68" i="58" s="1"/>
  <c r="AJ62" i="58"/>
  <c r="AV58" i="58"/>
  <c r="H58" i="58" s="1"/>
  <c r="AU45" i="58"/>
  <c r="G45" i="58" s="1"/>
  <c r="AR52" i="58"/>
  <c r="D52" i="58" s="1"/>
  <c r="AU68" i="58"/>
  <c r="G68" i="58" s="1"/>
  <c r="AS58" i="58"/>
  <c r="E58" i="58" s="1"/>
  <c r="AI45" i="58"/>
  <c r="AV39" i="58"/>
  <c r="H39" i="58" s="1"/>
  <c r="AK67" i="58"/>
  <c r="AP60" i="58"/>
  <c r="B60" i="58" s="1"/>
  <c r="AJ53" i="58"/>
  <c r="AH46" i="58"/>
  <c r="AO50" i="58"/>
  <c r="AH21" i="58"/>
  <c r="AV36" i="58"/>
  <c r="H36" i="58" s="1"/>
  <c r="AJ43" i="58"/>
  <c r="AQ46" i="58"/>
  <c r="C46" i="58" s="1"/>
  <c r="AX50" i="58"/>
  <c r="J50" i="58" s="1"/>
  <c r="AL54" i="58"/>
  <c r="AO70" i="58"/>
  <c r="AH67" i="58"/>
  <c r="AT63" i="58"/>
  <c r="F63" i="58" s="1"/>
  <c r="AF57" i="58"/>
  <c r="AX65" i="58"/>
  <c r="J65" i="58" s="1"/>
  <c r="AQ65" i="58"/>
  <c r="C65" i="58" s="1"/>
  <c r="AO55" i="58"/>
  <c r="AG62" i="58"/>
  <c r="AE66" i="58"/>
  <c r="AR70" i="58"/>
  <c r="D70" i="58" s="1"/>
  <c r="AI57" i="58"/>
  <c r="AX46" i="58"/>
  <c r="J46" i="58" s="1"/>
  <c r="AL51" i="58"/>
  <c r="AV28" i="58"/>
  <c r="H28" i="58" s="1"/>
  <c r="AP38" i="58"/>
  <c r="B38" i="58" s="1"/>
  <c r="AG44" i="58"/>
  <c r="AN47" i="58"/>
  <c r="AU51" i="58"/>
  <c r="G51" i="58" s="1"/>
  <c r="AE25" i="58"/>
  <c r="AR69" i="58"/>
  <c r="D69" i="58" s="1"/>
  <c r="AK66" i="58"/>
  <c r="AW62" i="58"/>
  <c r="I62" i="58" s="1"/>
  <c r="AP59" i="58"/>
  <c r="B59" i="58" s="1"/>
  <c r="AI56" i="58"/>
  <c r="AP48" i="58"/>
  <c r="B48" i="58" s="1"/>
  <c r="AE35" i="58"/>
  <c r="AN63" i="58"/>
  <c r="AO52" i="58"/>
  <c r="AE61" i="58"/>
  <c r="AH68" i="58"/>
  <c r="AT64" i="58"/>
  <c r="F64" i="58" s="1"/>
  <c r="AM61" i="58"/>
  <c r="AF58" i="58"/>
  <c r="AR54" i="58"/>
  <c r="D54" i="58" s="1"/>
  <c r="AN42" i="58"/>
  <c r="AU47" i="58"/>
  <c r="G47" i="58" s="1"/>
  <c r="AI52" i="58"/>
  <c r="AO32" i="58"/>
  <c r="AJ40" i="58"/>
  <c r="AW44" i="58"/>
  <c r="I44" i="58" s="1"/>
  <c r="AK48" i="58"/>
  <c r="AE47" i="58"/>
  <c r="AN65" i="58"/>
  <c r="AL55" i="58"/>
  <c r="AW60" i="58"/>
  <c r="I60" i="58" s="1"/>
  <c r="AW63" i="58"/>
  <c r="I63" i="58" s="1"/>
  <c r="AJ35" i="58"/>
  <c r="R4" i="57"/>
  <c r="R5" i="57"/>
  <c r="R6" i="57"/>
  <c r="R7" i="57"/>
  <c r="R8" i="57"/>
  <c r="R9" i="57"/>
  <c r="R10" i="57"/>
  <c r="R11" i="57"/>
  <c r="R12" i="57"/>
  <c r="R13" i="57"/>
  <c r="R14" i="57"/>
  <c r="R15" i="57"/>
  <c r="R16" i="57"/>
  <c r="R17" i="57"/>
  <c r="R18" i="57"/>
  <c r="R19" i="57"/>
  <c r="R20" i="57"/>
  <c r="R21" i="57"/>
  <c r="R22" i="57"/>
  <c r="R23" i="57"/>
  <c r="R24" i="57"/>
  <c r="R25" i="57"/>
  <c r="R26" i="57"/>
  <c r="R27" i="57"/>
  <c r="R28" i="57"/>
  <c r="R29" i="57"/>
  <c r="R30" i="57"/>
  <c r="R31" i="57"/>
  <c r="R32" i="57"/>
  <c r="R33" i="57"/>
  <c r="R34" i="57"/>
  <c r="R35" i="57"/>
  <c r="R36" i="57"/>
  <c r="R37" i="57"/>
  <c r="R38" i="57"/>
  <c r="R39" i="57"/>
  <c r="R40" i="57"/>
  <c r="R41" i="57"/>
  <c r="R42" i="57"/>
  <c r="R43" i="57"/>
  <c r="R44" i="57"/>
  <c r="R45" i="57"/>
  <c r="R46" i="57"/>
  <c r="R47" i="57"/>
  <c r="R48" i="57"/>
  <c r="R49" i="57"/>
  <c r="R50" i="57"/>
  <c r="R51" i="57"/>
  <c r="R52" i="57"/>
  <c r="R53" i="57"/>
  <c r="R54" i="57"/>
  <c r="R55" i="57"/>
  <c r="R56" i="57"/>
  <c r="R57" i="57"/>
  <c r="R58" i="57"/>
  <c r="R59" i="57"/>
  <c r="R60" i="57"/>
  <c r="R61" i="57"/>
  <c r="R62" i="57"/>
  <c r="R63" i="57"/>
  <c r="R64" i="57"/>
  <c r="R65" i="57"/>
  <c r="R66" i="57"/>
  <c r="R67" i="57"/>
  <c r="R68" i="57"/>
  <c r="R69" i="57"/>
  <c r="R70" i="57"/>
  <c r="R71" i="57"/>
  <c r="R72" i="57"/>
  <c r="R73" i="57"/>
  <c r="R74" i="57"/>
  <c r="R75" i="57"/>
  <c r="R76" i="57"/>
  <c r="R77" i="57"/>
  <c r="R78" i="57"/>
  <c r="R79" i="57"/>
  <c r="R80" i="57"/>
  <c r="R81" i="57"/>
  <c r="R82" i="57"/>
  <c r="R83" i="57"/>
  <c r="R84" i="57"/>
  <c r="R85" i="57"/>
  <c r="R86" i="57"/>
  <c r="R87" i="57"/>
  <c r="R88" i="57"/>
  <c r="R89" i="57"/>
  <c r="R90" i="57"/>
  <c r="R91" i="57"/>
  <c r="R92" i="57"/>
  <c r="R93" i="57"/>
  <c r="R94" i="57"/>
  <c r="R95" i="57"/>
  <c r="R96" i="57"/>
  <c r="R97" i="57"/>
  <c r="R98" i="57"/>
  <c r="R99" i="57"/>
  <c r="R100" i="57"/>
  <c r="R101" i="57"/>
  <c r="R102" i="57"/>
  <c r="R103" i="57"/>
  <c r="R104" i="57"/>
  <c r="R105" i="57"/>
  <c r="R106" i="57"/>
  <c r="R107" i="57"/>
  <c r="R108" i="57"/>
  <c r="R109" i="57"/>
  <c r="R110" i="57"/>
  <c r="R111" i="57"/>
  <c r="R112" i="57"/>
  <c r="R113" i="57"/>
  <c r="R114" i="57"/>
  <c r="R115" i="57"/>
  <c r="R116" i="57"/>
  <c r="R117" i="57"/>
  <c r="R118" i="57"/>
  <c r="R119" i="57"/>
  <c r="R120" i="57"/>
  <c r="R121" i="57"/>
  <c r="R122" i="57"/>
  <c r="R123" i="57"/>
  <c r="R124" i="57"/>
  <c r="R125" i="57"/>
  <c r="R126" i="57"/>
  <c r="R127" i="57"/>
  <c r="R128" i="57"/>
  <c r="R129" i="57"/>
  <c r="R130" i="57"/>
  <c r="R131" i="57"/>
  <c r="R132" i="57"/>
  <c r="R133" i="57"/>
  <c r="R134" i="57"/>
  <c r="R135" i="57"/>
  <c r="R136" i="57"/>
  <c r="R137" i="57"/>
  <c r="R138" i="57"/>
  <c r="R139" i="57"/>
  <c r="R140" i="57"/>
  <c r="R141" i="57"/>
  <c r="R142" i="57"/>
  <c r="R143" i="57"/>
  <c r="R144" i="57"/>
  <c r="R145" i="57"/>
  <c r="R146" i="57"/>
  <c r="R147" i="57"/>
  <c r="R148" i="57"/>
  <c r="R149" i="57"/>
  <c r="R150" i="57"/>
  <c r="R151" i="57"/>
  <c r="R152" i="57"/>
  <c r="R153" i="57"/>
  <c r="R154" i="57"/>
  <c r="R155" i="57"/>
  <c r="R156" i="57"/>
  <c r="R157" i="57"/>
  <c r="R158" i="57"/>
  <c r="R159" i="57"/>
  <c r="R160" i="57"/>
  <c r="R161" i="57"/>
  <c r="R162" i="57"/>
  <c r="R163" i="57"/>
  <c r="R164" i="57"/>
  <c r="R165" i="57"/>
  <c r="R166" i="57"/>
  <c r="R167" i="57"/>
  <c r="R168" i="57"/>
  <c r="R169" i="57"/>
  <c r="R170" i="57"/>
  <c r="R171" i="57"/>
  <c r="R172" i="57"/>
  <c r="R173" i="57"/>
  <c r="R174" i="57"/>
  <c r="R175" i="57"/>
  <c r="R176" i="57"/>
  <c r="R177" i="57"/>
  <c r="R178" i="57"/>
  <c r="R179" i="57"/>
  <c r="R180" i="57"/>
  <c r="R181" i="57"/>
  <c r="R182" i="57"/>
  <c r="R183" i="57"/>
  <c r="R184" i="57"/>
  <c r="R185" i="57"/>
  <c r="R186" i="57"/>
  <c r="R187" i="57"/>
  <c r="R188" i="57"/>
  <c r="R189" i="57"/>
  <c r="R190" i="57"/>
  <c r="R191" i="57"/>
  <c r="R192" i="57"/>
  <c r="R193" i="57"/>
  <c r="R194" i="57"/>
  <c r="R195" i="57"/>
  <c r="R196" i="57"/>
  <c r="R197" i="57"/>
  <c r="R198" i="57"/>
  <c r="R199" i="57"/>
  <c r="R200" i="57"/>
  <c r="R201" i="57"/>
  <c r="R202" i="57"/>
  <c r="R203" i="57"/>
  <c r="R204" i="57"/>
  <c r="R205" i="57"/>
  <c r="R206" i="57"/>
  <c r="R207" i="57"/>
  <c r="R208" i="57"/>
  <c r="R209" i="57"/>
  <c r="R210" i="57"/>
  <c r="R211" i="57"/>
  <c r="R212" i="57"/>
  <c r="R213" i="57"/>
  <c r="R214" i="57"/>
  <c r="R215" i="57"/>
  <c r="R216" i="57"/>
  <c r="R217" i="57"/>
  <c r="R218" i="57"/>
  <c r="R219" i="57"/>
  <c r="R220" i="57"/>
  <c r="R221" i="57"/>
  <c r="R222" i="57"/>
  <c r="R223" i="57"/>
  <c r="R224" i="57"/>
  <c r="R225" i="57"/>
  <c r="R226" i="57"/>
  <c r="R227" i="57"/>
  <c r="R228" i="57"/>
  <c r="R229" i="57"/>
  <c r="R230" i="57"/>
  <c r="R231" i="57"/>
  <c r="R232" i="57"/>
  <c r="R233" i="57"/>
  <c r="R234" i="57"/>
  <c r="R235" i="57"/>
  <c r="R236" i="57"/>
  <c r="R237" i="57"/>
  <c r="R238" i="57"/>
  <c r="R239" i="57"/>
  <c r="R240" i="57"/>
  <c r="R241" i="57"/>
  <c r="R242" i="57"/>
  <c r="R243" i="57"/>
  <c r="R244" i="57"/>
  <c r="R245" i="57"/>
  <c r="R246" i="57"/>
  <c r="R247" i="57"/>
  <c r="R248" i="57"/>
  <c r="R249" i="57"/>
  <c r="R250" i="57"/>
  <c r="R251" i="57"/>
  <c r="R252" i="57"/>
  <c r="R253" i="57"/>
  <c r="R254" i="57"/>
  <c r="R255" i="57"/>
  <c r="R256" i="57"/>
  <c r="R257" i="57"/>
  <c r="R258" i="57"/>
  <c r="R259" i="57"/>
  <c r="R260" i="57"/>
  <c r="R261" i="57"/>
  <c r="R262" i="57"/>
  <c r="R263" i="57"/>
  <c r="R264" i="57"/>
  <c r="R265" i="57"/>
  <c r="R266" i="57"/>
  <c r="R267" i="57"/>
  <c r="R268" i="57"/>
  <c r="R269" i="57"/>
  <c r="R270" i="57"/>
  <c r="R271" i="57"/>
  <c r="R272" i="57"/>
  <c r="R273" i="57"/>
  <c r="R274" i="57"/>
  <c r="R275" i="57"/>
  <c r="R276" i="57"/>
  <c r="R277" i="57"/>
  <c r="R278" i="57"/>
  <c r="R279" i="57"/>
  <c r="R280" i="57"/>
  <c r="R281" i="57"/>
  <c r="R282" i="57"/>
  <c r="R283" i="57"/>
  <c r="R284" i="57"/>
  <c r="R285" i="57"/>
  <c r="R286" i="57"/>
  <c r="R287" i="57"/>
  <c r="R288" i="57"/>
  <c r="R289" i="57"/>
  <c r="R290" i="57"/>
  <c r="R291" i="57"/>
  <c r="R292" i="57"/>
  <c r="R293" i="57"/>
  <c r="R294" i="57"/>
  <c r="R295" i="57"/>
  <c r="R296" i="57"/>
  <c r="R297" i="57"/>
  <c r="R298" i="57"/>
  <c r="R299" i="57"/>
  <c r="R300" i="57"/>
  <c r="R301" i="57"/>
  <c r="R302" i="57"/>
  <c r="R303" i="57"/>
  <c r="R304" i="57"/>
  <c r="R305" i="57"/>
  <c r="R306" i="57"/>
  <c r="R307" i="57"/>
  <c r="R308" i="57"/>
  <c r="R309" i="57"/>
  <c r="R310" i="57"/>
  <c r="R311" i="57"/>
  <c r="R312" i="57"/>
  <c r="R313" i="57"/>
  <c r="R314" i="57"/>
  <c r="R315" i="57"/>
  <c r="R316" i="57"/>
  <c r="R317" i="57"/>
  <c r="R318" i="57"/>
  <c r="R319" i="57"/>
  <c r="R320" i="57"/>
  <c r="R321" i="57"/>
  <c r="R322" i="57"/>
  <c r="R323" i="57"/>
  <c r="R324" i="57"/>
  <c r="R325" i="57"/>
  <c r="R326" i="57"/>
  <c r="R327" i="57"/>
  <c r="R328" i="57"/>
  <c r="R329" i="57"/>
  <c r="R330" i="57"/>
  <c r="R331" i="57"/>
  <c r="R332" i="57"/>
  <c r="R333" i="57"/>
  <c r="R334" i="57"/>
  <c r="R335" i="57"/>
  <c r="R336" i="57"/>
  <c r="R337" i="57"/>
  <c r="R338" i="57"/>
  <c r="R339" i="57"/>
  <c r="R340" i="57"/>
  <c r="R341" i="57"/>
  <c r="R342" i="57"/>
  <c r="R343" i="57"/>
  <c r="R344" i="57"/>
  <c r="R345" i="57"/>
  <c r="R346" i="57"/>
  <c r="R347" i="57"/>
  <c r="R348" i="57"/>
  <c r="R349" i="57"/>
  <c r="R350" i="57"/>
  <c r="R351" i="57"/>
  <c r="R352" i="57"/>
  <c r="R353" i="57"/>
  <c r="R354" i="57"/>
  <c r="R355" i="57"/>
  <c r="R356" i="57"/>
  <c r="R357" i="57"/>
  <c r="R358" i="57"/>
  <c r="R359" i="57"/>
  <c r="R360" i="57"/>
  <c r="R361" i="57"/>
  <c r="R362" i="57"/>
  <c r="R363" i="57"/>
  <c r="R364" i="57"/>
  <c r="R365" i="57"/>
  <c r="R366" i="57"/>
  <c r="R367" i="57"/>
  <c r="R368" i="57"/>
  <c r="R369" i="57"/>
  <c r="R370" i="57"/>
  <c r="R371" i="57"/>
  <c r="R372" i="57"/>
  <c r="R373" i="57"/>
  <c r="R374" i="57"/>
  <c r="R375" i="57"/>
  <c r="R376" i="57"/>
  <c r="R377" i="57"/>
  <c r="R378" i="57"/>
  <c r="R379" i="57"/>
  <c r="R380" i="57"/>
  <c r="R381" i="57"/>
  <c r="R382" i="57"/>
  <c r="R383" i="57"/>
  <c r="R384" i="57"/>
  <c r="R385" i="57"/>
  <c r="R386" i="57"/>
  <c r="R387" i="57"/>
  <c r="R388" i="57"/>
  <c r="R389" i="57"/>
  <c r="R390" i="57"/>
  <c r="R391" i="57"/>
  <c r="R392" i="57"/>
  <c r="R393" i="57"/>
  <c r="R394" i="57"/>
  <c r="R395" i="57"/>
  <c r="R396" i="57"/>
  <c r="R397" i="57"/>
  <c r="R398" i="57"/>
  <c r="R399" i="57"/>
  <c r="R400" i="57"/>
  <c r="R401" i="57"/>
  <c r="R402" i="57"/>
  <c r="R403" i="57"/>
  <c r="R404" i="57"/>
  <c r="R405" i="57"/>
  <c r="R406" i="57"/>
  <c r="R407" i="57"/>
  <c r="R408" i="57"/>
  <c r="R409" i="57"/>
  <c r="R410" i="57"/>
  <c r="R411" i="57"/>
  <c r="R412" i="57"/>
  <c r="R413" i="57"/>
  <c r="R414" i="57"/>
  <c r="R415" i="57"/>
  <c r="R416" i="57"/>
  <c r="R417" i="57"/>
  <c r="R418" i="57"/>
  <c r="R419" i="57"/>
  <c r="R420" i="57"/>
  <c r="R421" i="57"/>
  <c r="R422" i="57"/>
  <c r="R423" i="57"/>
  <c r="R424" i="57"/>
  <c r="R425" i="57"/>
  <c r="R426" i="57"/>
  <c r="R427" i="57"/>
  <c r="R428" i="57"/>
  <c r="R429" i="57"/>
  <c r="R430" i="57"/>
  <c r="R431" i="57"/>
  <c r="R432" i="57"/>
  <c r="R433" i="57"/>
  <c r="R434" i="57"/>
  <c r="R435" i="57"/>
  <c r="R436" i="57"/>
  <c r="R437" i="57"/>
  <c r="R438" i="57"/>
  <c r="R439" i="57"/>
  <c r="R440" i="57"/>
  <c r="R441" i="57"/>
  <c r="R442" i="57"/>
  <c r="R443" i="57"/>
  <c r="R444" i="57"/>
  <c r="R445" i="57"/>
  <c r="R446" i="57"/>
  <c r="R447" i="57"/>
  <c r="R448" i="57"/>
  <c r="R449" i="57"/>
  <c r="R450" i="57"/>
  <c r="R451" i="57"/>
  <c r="R452" i="57"/>
  <c r="R453" i="57"/>
  <c r="R454" i="57"/>
  <c r="R455" i="57"/>
  <c r="R456" i="57"/>
  <c r="R457" i="57"/>
  <c r="R458" i="57"/>
  <c r="R459" i="57"/>
  <c r="R460" i="57"/>
  <c r="R461" i="57"/>
  <c r="R462" i="57"/>
  <c r="R463" i="57"/>
  <c r="R464" i="57"/>
  <c r="R465" i="57"/>
  <c r="R466" i="57"/>
  <c r="R467" i="57"/>
  <c r="R468" i="57"/>
  <c r="R469" i="57"/>
  <c r="R470" i="57"/>
  <c r="R471" i="57"/>
  <c r="R472" i="57"/>
  <c r="R473" i="57"/>
  <c r="R474" i="57"/>
  <c r="R475" i="57"/>
  <c r="R476" i="57"/>
  <c r="R477" i="57"/>
  <c r="R478" i="57"/>
  <c r="R479" i="57"/>
  <c r="R480" i="57"/>
  <c r="R481" i="57"/>
  <c r="R482" i="57"/>
  <c r="R483" i="57"/>
  <c r="R484" i="57"/>
  <c r="R485" i="57"/>
  <c r="R486" i="57"/>
  <c r="R487" i="57"/>
  <c r="R488" i="57"/>
  <c r="R489" i="57"/>
  <c r="R490" i="57"/>
  <c r="R491" i="57"/>
  <c r="R492" i="57"/>
  <c r="R493" i="57"/>
  <c r="R494" i="57"/>
  <c r="R495" i="57"/>
  <c r="R496" i="57"/>
  <c r="R497" i="57"/>
  <c r="R498" i="57"/>
  <c r="R499" i="57"/>
  <c r="R500" i="57"/>
  <c r="R501" i="57"/>
  <c r="R502" i="57"/>
  <c r="R503" i="57"/>
  <c r="R504" i="57"/>
  <c r="R505" i="57"/>
  <c r="R506" i="57"/>
  <c r="R507" i="57"/>
  <c r="R508" i="57"/>
  <c r="R509" i="57"/>
  <c r="R510" i="57"/>
  <c r="R511" i="57"/>
  <c r="R512" i="57"/>
  <c r="R513" i="57"/>
  <c r="R514" i="57"/>
  <c r="R515" i="57"/>
  <c r="R516" i="57"/>
  <c r="R517" i="57"/>
  <c r="R518" i="57"/>
  <c r="R519" i="57"/>
  <c r="R520" i="57"/>
  <c r="R521" i="57"/>
  <c r="R522" i="57"/>
  <c r="R523" i="57"/>
  <c r="R524" i="57"/>
  <c r="R525" i="57"/>
  <c r="R526" i="57"/>
  <c r="R527" i="57"/>
  <c r="R528" i="57"/>
  <c r="R529" i="57"/>
  <c r="R530" i="57"/>
  <c r="R531" i="57"/>
  <c r="R532" i="57"/>
  <c r="R533" i="57"/>
  <c r="R534" i="57"/>
  <c r="R535" i="57"/>
  <c r="R536" i="57"/>
  <c r="R537" i="57"/>
  <c r="R538" i="57"/>
  <c r="R539" i="57"/>
  <c r="R540" i="57"/>
  <c r="R541" i="57"/>
  <c r="R542" i="57"/>
  <c r="R543" i="57"/>
  <c r="R544" i="57"/>
  <c r="R545" i="57"/>
  <c r="R546" i="57"/>
  <c r="R547" i="57"/>
  <c r="R548" i="57"/>
  <c r="R549" i="57"/>
  <c r="R550" i="57"/>
  <c r="R551" i="57"/>
  <c r="R552" i="57"/>
  <c r="R553" i="57"/>
  <c r="R554" i="57"/>
  <c r="R555" i="57"/>
  <c r="R556" i="57"/>
  <c r="R557" i="57"/>
  <c r="R558" i="57"/>
  <c r="R559" i="57"/>
  <c r="R560" i="57"/>
  <c r="R561" i="57"/>
  <c r="R562" i="57"/>
  <c r="R563" i="57"/>
  <c r="R564" i="57"/>
  <c r="R565" i="57"/>
  <c r="R566" i="57"/>
  <c r="R567" i="57"/>
  <c r="R568" i="57"/>
  <c r="R569" i="57"/>
  <c r="R570" i="57"/>
  <c r="R571" i="57"/>
  <c r="R572" i="57"/>
  <c r="R573" i="57"/>
  <c r="R574" i="57"/>
  <c r="R575" i="57"/>
  <c r="R576" i="57"/>
  <c r="R577" i="57"/>
  <c r="R578" i="57"/>
  <c r="R579" i="57"/>
  <c r="R580" i="57"/>
  <c r="R581" i="57"/>
  <c r="R582" i="57"/>
  <c r="R583" i="57"/>
  <c r="R584" i="57"/>
  <c r="R585" i="57"/>
  <c r="R586" i="57"/>
  <c r="R587" i="57"/>
  <c r="R588" i="57"/>
  <c r="R589" i="57"/>
  <c r="R590" i="57"/>
  <c r="R591" i="57"/>
  <c r="R592" i="57"/>
  <c r="R593" i="57"/>
  <c r="R594" i="57"/>
  <c r="R595" i="57"/>
  <c r="R596" i="57"/>
  <c r="R597" i="57"/>
  <c r="R598" i="57"/>
  <c r="R599" i="57"/>
  <c r="R600" i="57"/>
  <c r="R601" i="57"/>
  <c r="R602" i="57"/>
  <c r="R603" i="57"/>
  <c r="R604" i="57"/>
  <c r="R605" i="57"/>
  <c r="R606" i="57"/>
  <c r="R607" i="57"/>
  <c r="R608" i="57"/>
  <c r="R609" i="57"/>
  <c r="R610" i="57"/>
  <c r="R611" i="57"/>
  <c r="R612" i="57"/>
  <c r="R613" i="57"/>
  <c r="R614" i="57"/>
  <c r="R615" i="57"/>
  <c r="R616" i="57"/>
  <c r="R617" i="57"/>
  <c r="R618" i="57"/>
  <c r="R619" i="57"/>
  <c r="R620" i="57"/>
  <c r="R621" i="57"/>
  <c r="R622" i="57"/>
  <c r="R623" i="57"/>
  <c r="R624" i="57"/>
  <c r="R625" i="57"/>
  <c r="R626" i="57"/>
  <c r="R627" i="57"/>
  <c r="R628" i="57"/>
  <c r="R629" i="57"/>
  <c r="R630" i="57"/>
  <c r="R631" i="57"/>
  <c r="R632" i="57"/>
  <c r="R633" i="57"/>
  <c r="R634" i="57"/>
  <c r="R635" i="57"/>
  <c r="R636" i="57"/>
  <c r="R637" i="57"/>
  <c r="R638" i="57"/>
  <c r="R639" i="57"/>
  <c r="R640" i="57"/>
  <c r="R641" i="57"/>
  <c r="R642" i="57"/>
  <c r="R643" i="57"/>
  <c r="R644" i="57"/>
  <c r="R645" i="57"/>
  <c r="R646" i="57"/>
  <c r="R647" i="57"/>
  <c r="R648" i="57"/>
  <c r="R649" i="57"/>
  <c r="R650" i="57"/>
  <c r="R651" i="57"/>
  <c r="R652" i="57"/>
  <c r="R653" i="57"/>
  <c r="R654" i="57"/>
  <c r="R655" i="57"/>
  <c r="R656" i="57"/>
  <c r="R657" i="57"/>
  <c r="R658" i="57"/>
  <c r="R659" i="57"/>
  <c r="R660" i="57"/>
  <c r="R661" i="57"/>
  <c r="R662" i="57"/>
  <c r="R663" i="57"/>
  <c r="R664" i="57"/>
  <c r="R665" i="57"/>
  <c r="R666" i="57"/>
  <c r="R667" i="57"/>
  <c r="R668" i="57"/>
  <c r="R669" i="57"/>
  <c r="R670" i="57"/>
  <c r="R671" i="57"/>
  <c r="R672" i="57"/>
  <c r="R673" i="57"/>
  <c r="R674" i="57"/>
  <c r="R675" i="57"/>
  <c r="R676" i="57"/>
  <c r="R677" i="57"/>
  <c r="R678" i="57"/>
  <c r="R679" i="57"/>
  <c r="R680" i="57"/>
  <c r="R681" i="57"/>
  <c r="R682" i="57"/>
  <c r="R683" i="57"/>
  <c r="R684" i="57"/>
  <c r="R685" i="57"/>
  <c r="R686" i="57"/>
  <c r="R687" i="57"/>
  <c r="R688" i="57"/>
  <c r="R689" i="57"/>
  <c r="R690" i="57"/>
  <c r="R691" i="57"/>
  <c r="R692" i="57"/>
  <c r="R693" i="57"/>
  <c r="R694" i="57"/>
  <c r="R695" i="57"/>
  <c r="R696" i="57"/>
  <c r="R697" i="57"/>
  <c r="R698" i="57"/>
  <c r="R699" i="57"/>
  <c r="R700" i="57"/>
  <c r="R701" i="57"/>
  <c r="R702" i="57"/>
  <c r="R703" i="57"/>
  <c r="R704" i="57"/>
  <c r="R705" i="57"/>
  <c r="R706" i="57"/>
  <c r="R707" i="57"/>
  <c r="R708" i="57"/>
  <c r="R709" i="57"/>
  <c r="R710" i="57"/>
  <c r="R711" i="57"/>
  <c r="R712" i="57"/>
  <c r="R713" i="57"/>
  <c r="R714" i="57"/>
  <c r="R715" i="57"/>
  <c r="R716" i="57"/>
  <c r="R717" i="57"/>
  <c r="R718" i="57"/>
  <c r="R719" i="57"/>
  <c r="R720" i="57"/>
  <c r="R721" i="57"/>
  <c r="R722" i="57"/>
  <c r="R723" i="57"/>
  <c r="R724" i="57"/>
  <c r="R725" i="57"/>
  <c r="R726" i="57"/>
  <c r="R727" i="57"/>
  <c r="R728" i="57"/>
  <c r="R729" i="57"/>
  <c r="R730" i="57"/>
  <c r="R731" i="57"/>
  <c r="R732" i="57"/>
  <c r="R733" i="57"/>
  <c r="R734" i="57"/>
  <c r="R735" i="57"/>
  <c r="R736" i="57"/>
  <c r="R737" i="57"/>
  <c r="R738" i="57"/>
  <c r="R739" i="57"/>
  <c r="R740" i="57"/>
  <c r="R741" i="57"/>
  <c r="R742" i="57"/>
  <c r="R743" i="57"/>
  <c r="R744" i="57"/>
  <c r="R745" i="57"/>
  <c r="R746" i="57"/>
  <c r="R747" i="57"/>
  <c r="R748" i="57"/>
  <c r="R749" i="57"/>
  <c r="R750" i="57"/>
  <c r="R751" i="57"/>
  <c r="R752" i="57"/>
  <c r="R753" i="57"/>
  <c r="R754" i="57"/>
  <c r="R755" i="57"/>
  <c r="R756" i="57"/>
  <c r="R757" i="57"/>
  <c r="R758" i="57"/>
  <c r="R759" i="57"/>
  <c r="R760" i="57"/>
  <c r="R761" i="57"/>
  <c r="R762" i="57"/>
  <c r="R763" i="57"/>
  <c r="R764" i="57"/>
  <c r="R765" i="57"/>
  <c r="R766" i="57"/>
  <c r="R767" i="57"/>
  <c r="R768" i="57"/>
  <c r="R769" i="57"/>
  <c r="R770" i="57"/>
  <c r="R771" i="57"/>
  <c r="R772" i="57"/>
  <c r="R773" i="57"/>
  <c r="R774" i="57"/>
  <c r="R775" i="57"/>
  <c r="R776" i="57"/>
  <c r="R777" i="57"/>
  <c r="R778" i="57"/>
  <c r="R779" i="57"/>
  <c r="R780" i="57"/>
  <c r="R781" i="57"/>
  <c r="R782" i="57"/>
  <c r="R783" i="57"/>
  <c r="R784" i="57"/>
  <c r="R785" i="57"/>
  <c r="R786" i="57"/>
  <c r="R787" i="57"/>
  <c r="R788" i="57"/>
  <c r="R789" i="57"/>
  <c r="R790" i="57"/>
  <c r="R791" i="57"/>
  <c r="R792" i="57"/>
  <c r="R793" i="57"/>
  <c r="R794" i="57"/>
  <c r="R795" i="57"/>
  <c r="R796" i="57"/>
  <c r="R797" i="57"/>
  <c r="R798" i="57"/>
  <c r="R799" i="57"/>
  <c r="R800" i="57"/>
  <c r="R801" i="57"/>
  <c r="R802" i="57"/>
  <c r="R803" i="57"/>
  <c r="R804" i="57"/>
  <c r="R805" i="57"/>
  <c r="R806" i="57"/>
  <c r="R807" i="57"/>
  <c r="R808" i="57"/>
  <c r="R809" i="57"/>
  <c r="R810" i="57"/>
  <c r="R811" i="57"/>
  <c r="R812" i="57"/>
  <c r="R813" i="57"/>
  <c r="R814" i="57"/>
  <c r="R815" i="57"/>
  <c r="R816" i="57"/>
  <c r="R817" i="57"/>
  <c r="R818" i="57"/>
  <c r="R819" i="57"/>
  <c r="R820" i="57"/>
  <c r="R821" i="57"/>
  <c r="R822" i="57"/>
  <c r="R823" i="57"/>
  <c r="R824" i="57"/>
  <c r="R825" i="57"/>
  <c r="R826" i="57"/>
  <c r="R827" i="57"/>
  <c r="R828" i="57"/>
  <c r="R829" i="57"/>
  <c r="R830" i="57"/>
  <c r="R831" i="57"/>
  <c r="R832" i="57"/>
  <c r="R833" i="57"/>
  <c r="R834" i="57"/>
  <c r="R835" i="57"/>
  <c r="R836" i="57"/>
  <c r="R837" i="57"/>
  <c r="R838" i="57"/>
  <c r="R839" i="57"/>
  <c r="R840" i="57"/>
  <c r="R841" i="57"/>
  <c r="R842" i="57"/>
  <c r="R843" i="57"/>
  <c r="R844" i="57"/>
  <c r="R845" i="57"/>
  <c r="R846" i="57"/>
  <c r="R847" i="57"/>
  <c r="R848" i="57"/>
  <c r="R849" i="57"/>
  <c r="R850" i="57"/>
  <c r="R851" i="57"/>
  <c r="R852" i="57"/>
  <c r="R853" i="57"/>
  <c r="R854" i="57"/>
  <c r="R855" i="57"/>
  <c r="R856" i="57"/>
  <c r="R857" i="57"/>
  <c r="R858" i="57"/>
  <c r="R859" i="57"/>
  <c r="R860" i="57"/>
  <c r="R861" i="57"/>
  <c r="R862" i="57"/>
  <c r="R863" i="57"/>
  <c r="R864" i="57"/>
  <c r="R865" i="57"/>
  <c r="R866" i="57"/>
  <c r="R867" i="57"/>
  <c r="R868" i="57"/>
  <c r="R869" i="57"/>
  <c r="R870" i="57"/>
  <c r="R871" i="57"/>
  <c r="R872" i="57"/>
  <c r="R873" i="57"/>
  <c r="R874" i="57"/>
  <c r="R875" i="57"/>
  <c r="R876" i="57"/>
  <c r="R877" i="57"/>
  <c r="R878" i="57"/>
  <c r="R879" i="57"/>
  <c r="R880" i="57"/>
  <c r="R881" i="57"/>
  <c r="R882" i="57"/>
  <c r="R883" i="57"/>
  <c r="R884" i="57"/>
  <c r="R885" i="57"/>
  <c r="R886" i="57"/>
  <c r="R887" i="57"/>
  <c r="R888" i="57"/>
  <c r="R889" i="57"/>
  <c r="R890" i="57"/>
  <c r="R891" i="57"/>
  <c r="R892" i="57"/>
  <c r="R893" i="57"/>
  <c r="R894" i="57"/>
  <c r="R895" i="57"/>
  <c r="R896" i="57"/>
  <c r="R897" i="57"/>
  <c r="R898" i="57"/>
  <c r="R899" i="57"/>
  <c r="R900" i="57"/>
  <c r="R901" i="57"/>
  <c r="R902" i="57"/>
  <c r="R903" i="57"/>
  <c r="R904" i="57"/>
  <c r="R905" i="57"/>
  <c r="R906" i="57"/>
  <c r="R907" i="57"/>
  <c r="R908" i="57"/>
  <c r="R909" i="57"/>
  <c r="R910" i="57"/>
  <c r="R911" i="57"/>
  <c r="R912" i="57"/>
  <c r="R913" i="57"/>
  <c r="R914" i="57"/>
  <c r="R915" i="57"/>
  <c r="R916" i="57"/>
  <c r="R917" i="57"/>
  <c r="R918" i="57"/>
  <c r="R919" i="57"/>
  <c r="R920" i="57"/>
  <c r="R921" i="57"/>
  <c r="R922" i="57"/>
  <c r="R923" i="57"/>
  <c r="R924" i="57"/>
  <c r="R925" i="57"/>
  <c r="R926" i="57"/>
  <c r="R927" i="57"/>
  <c r="R928" i="57"/>
  <c r="R929" i="57"/>
  <c r="R930" i="57"/>
  <c r="R931" i="57"/>
  <c r="R932" i="57"/>
  <c r="R933" i="57"/>
  <c r="R934" i="57"/>
  <c r="R935" i="57"/>
  <c r="R936" i="57"/>
  <c r="R937" i="57"/>
  <c r="R938" i="57"/>
  <c r="R939" i="57"/>
  <c r="R940" i="57"/>
  <c r="R941" i="57"/>
  <c r="R942" i="57"/>
  <c r="R943" i="57"/>
  <c r="R944" i="57"/>
  <c r="R945" i="57"/>
  <c r="R946" i="57"/>
  <c r="R947" i="57"/>
  <c r="R948" i="57"/>
  <c r="R949" i="57"/>
  <c r="R950" i="57"/>
  <c r="R951" i="57"/>
  <c r="R952" i="57"/>
  <c r="R953" i="57"/>
  <c r="R954" i="57"/>
  <c r="R955" i="57"/>
  <c r="R956" i="57"/>
  <c r="R957" i="57"/>
  <c r="R958" i="57"/>
  <c r="R959" i="57"/>
  <c r="R960" i="57"/>
  <c r="R961" i="57"/>
  <c r="R962" i="57"/>
  <c r="R963" i="57"/>
  <c r="R964" i="57"/>
  <c r="R965" i="57"/>
  <c r="R966" i="57"/>
  <c r="R967" i="57"/>
  <c r="R968" i="57"/>
  <c r="R969" i="57"/>
  <c r="R970" i="57"/>
  <c r="R971" i="57"/>
  <c r="R972" i="57"/>
  <c r="R973" i="57"/>
  <c r="R974" i="57"/>
  <c r="R975" i="57"/>
  <c r="R976" i="57"/>
  <c r="R977" i="57"/>
  <c r="R978" i="57"/>
  <c r="R979" i="57"/>
  <c r="R980" i="57"/>
  <c r="R981" i="57"/>
  <c r="R982" i="57"/>
  <c r="R983" i="57"/>
  <c r="R984" i="57"/>
  <c r="R985" i="57"/>
  <c r="R986" i="57"/>
  <c r="R987" i="57"/>
  <c r="R988" i="57"/>
  <c r="R989" i="57"/>
  <c r="R990" i="57"/>
  <c r="R991" i="57"/>
  <c r="R992" i="57"/>
  <c r="R993" i="57"/>
  <c r="R994" i="57"/>
  <c r="R995" i="57"/>
  <c r="R996" i="57"/>
  <c r="R997" i="57"/>
  <c r="R998" i="57"/>
  <c r="R999" i="57"/>
  <c r="R1000" i="57"/>
  <c r="R1001" i="57"/>
  <c r="R1002" i="57"/>
  <c r="R1003" i="57"/>
  <c r="R1004" i="57"/>
  <c r="R1005" i="57"/>
  <c r="R1006" i="57"/>
  <c r="R1007" i="57"/>
  <c r="R1008" i="57"/>
  <c r="R1009" i="57"/>
  <c r="R1010" i="57"/>
  <c r="R1011" i="57"/>
  <c r="R3" i="57"/>
  <c r="AT8" i="9" l="1"/>
  <c r="V8" i="9" s="1"/>
  <c r="AQ11" i="22"/>
  <c r="AQ16" i="22"/>
  <c r="AQ21" i="22"/>
  <c r="AQ26" i="22"/>
  <c r="AQ30" i="22"/>
  <c r="AQ35" i="22"/>
  <c r="AQ40" i="22"/>
  <c r="AQ44" i="22"/>
  <c r="AQ49" i="22"/>
  <c r="K49" i="22" s="1"/>
  <c r="AQ53" i="22"/>
  <c r="K53" i="22" s="1"/>
  <c r="AQ57" i="22"/>
  <c r="K57" i="22" s="1"/>
  <c r="AQ61" i="22"/>
  <c r="K61" i="22" s="1"/>
  <c r="AQ65" i="22"/>
  <c r="K65" i="22" s="1"/>
  <c r="AS8" i="9"/>
  <c r="U8" i="9" s="1"/>
  <c r="AQ20" i="22"/>
  <c r="AQ38" i="22"/>
  <c r="AQ52" i="22"/>
  <c r="K52" i="22" s="1"/>
  <c r="AQ64" i="22"/>
  <c r="K64" i="22" s="1"/>
  <c r="AQ13" i="22"/>
  <c r="AQ18" i="22"/>
  <c r="AQ22" i="22"/>
  <c r="AQ27" i="22"/>
  <c r="AQ31" i="22"/>
  <c r="AQ36" i="22"/>
  <c r="AQ41" i="22"/>
  <c r="AQ45" i="22"/>
  <c r="AQ50" i="22"/>
  <c r="K50" i="22" s="1"/>
  <c r="AQ54" i="22"/>
  <c r="K54" i="22" s="1"/>
  <c r="AQ58" i="22"/>
  <c r="K58" i="22" s="1"/>
  <c r="AQ62" i="22"/>
  <c r="K62" i="22" s="1"/>
  <c r="AQ66" i="22"/>
  <c r="K66" i="22" s="1"/>
  <c r="AQ10" i="22"/>
  <c r="AQ24" i="22"/>
  <c r="AQ34" i="22"/>
  <c r="AQ48" i="22"/>
  <c r="K48" i="22" s="1"/>
  <c r="AQ60" i="22"/>
  <c r="K60" i="22" s="1"/>
  <c r="AQ8" i="22"/>
  <c r="AQ14" i="22"/>
  <c r="AQ19" i="22"/>
  <c r="AQ23" i="22"/>
  <c r="AQ28" i="22"/>
  <c r="AQ33" i="22"/>
  <c r="AQ37" i="22"/>
  <c r="AQ42" i="22"/>
  <c r="AQ46" i="22"/>
  <c r="AQ51" i="22"/>
  <c r="K51" i="22" s="1"/>
  <c r="AQ55" i="22"/>
  <c r="K55" i="22" s="1"/>
  <c r="AQ59" i="22"/>
  <c r="K59" i="22" s="1"/>
  <c r="AQ63" i="22"/>
  <c r="K63" i="22" s="1"/>
  <c r="AQ67" i="22"/>
  <c r="K67" i="22" s="1"/>
  <c r="AQ15" i="22"/>
  <c r="AQ29" i="22"/>
  <c r="AQ43" i="22"/>
  <c r="AQ56" i="22"/>
  <c r="K56" i="22" s="1"/>
  <c r="AQ68" i="22"/>
  <c r="K68" i="22" s="1"/>
  <c r="AP8" i="22"/>
  <c r="J8" i="22" s="1"/>
  <c r="AP13" i="22"/>
  <c r="J13" i="22" s="1"/>
  <c r="AP18" i="22"/>
  <c r="J18" i="22" s="1"/>
  <c r="AP22" i="22"/>
  <c r="J22" i="22" s="1"/>
  <c r="AP27" i="22"/>
  <c r="J27" i="22" s="1"/>
  <c r="AP31" i="22"/>
  <c r="J31" i="22" s="1"/>
  <c r="AP36" i="22"/>
  <c r="J36" i="22" s="1"/>
  <c r="AP41" i="22"/>
  <c r="J41" i="22" s="1"/>
  <c r="AP45" i="22"/>
  <c r="J45" i="22" s="1"/>
  <c r="AP50" i="22"/>
  <c r="J50" i="22" s="1"/>
  <c r="AP54" i="22"/>
  <c r="J54" i="22" s="1"/>
  <c r="AP58" i="22"/>
  <c r="J58" i="22" s="1"/>
  <c r="AP62" i="22"/>
  <c r="J62" i="22" s="1"/>
  <c r="AP66" i="22"/>
  <c r="J66" i="22" s="1"/>
  <c r="AP21" i="22"/>
  <c r="J21" i="22" s="1"/>
  <c r="AP35" i="22"/>
  <c r="J35" i="22" s="1"/>
  <c r="AP49" i="22"/>
  <c r="J49" i="22" s="1"/>
  <c r="AP61" i="22"/>
  <c r="J61" i="22" s="1"/>
  <c r="AP14" i="22"/>
  <c r="J14" i="22" s="1"/>
  <c r="AP19" i="22"/>
  <c r="J19" i="22" s="1"/>
  <c r="AP23" i="22"/>
  <c r="J23" i="22" s="1"/>
  <c r="AP28" i="22"/>
  <c r="J28" i="22" s="1"/>
  <c r="AP33" i="22"/>
  <c r="J33" i="22" s="1"/>
  <c r="AP37" i="22"/>
  <c r="J37" i="22" s="1"/>
  <c r="AP42" i="22"/>
  <c r="J42" i="22" s="1"/>
  <c r="AP46" i="22"/>
  <c r="J46" i="22" s="1"/>
  <c r="AP51" i="22"/>
  <c r="J51" i="22" s="1"/>
  <c r="AP55" i="22"/>
  <c r="J55" i="22" s="1"/>
  <c r="AP59" i="22"/>
  <c r="J59" i="22" s="1"/>
  <c r="AP63" i="22"/>
  <c r="J63" i="22" s="1"/>
  <c r="AP67" i="22"/>
  <c r="J67" i="22" s="1"/>
  <c r="AP11" i="22"/>
  <c r="J11" i="22" s="1"/>
  <c r="AP26" i="22"/>
  <c r="J26" i="22" s="1"/>
  <c r="AP44" i="22"/>
  <c r="J44" i="22" s="1"/>
  <c r="AP57" i="22"/>
  <c r="J57" i="22" s="1"/>
  <c r="AP10" i="22"/>
  <c r="J10" i="22" s="1"/>
  <c r="AP15" i="22"/>
  <c r="J15" i="22" s="1"/>
  <c r="AP20" i="22"/>
  <c r="J20" i="22" s="1"/>
  <c r="AP24" i="22"/>
  <c r="J24" i="22" s="1"/>
  <c r="AP29" i="22"/>
  <c r="J29" i="22" s="1"/>
  <c r="AP34" i="22"/>
  <c r="J34" i="22" s="1"/>
  <c r="AP38" i="22"/>
  <c r="J38" i="22" s="1"/>
  <c r="AP43" i="22"/>
  <c r="J43" i="22" s="1"/>
  <c r="AP48" i="22"/>
  <c r="J48" i="22" s="1"/>
  <c r="AP52" i="22"/>
  <c r="J52" i="22" s="1"/>
  <c r="AP56" i="22"/>
  <c r="J56" i="22" s="1"/>
  <c r="AP60" i="22"/>
  <c r="J60" i="22" s="1"/>
  <c r="AP64" i="22"/>
  <c r="J64" i="22" s="1"/>
  <c r="AP68" i="22"/>
  <c r="J68" i="22" s="1"/>
  <c r="AP16" i="22"/>
  <c r="J16" i="22" s="1"/>
  <c r="AP30" i="22"/>
  <c r="J30" i="22" s="1"/>
  <c r="AP40" i="22"/>
  <c r="J40" i="22" s="1"/>
  <c r="AP53" i="22"/>
  <c r="J53" i="22" s="1"/>
  <c r="AP65" i="22"/>
  <c r="J65" i="22" s="1"/>
  <c r="AA8" i="9"/>
  <c r="AE8" i="9"/>
  <c r="AI8" i="9"/>
  <c r="AM8" i="9"/>
  <c r="AQ8" i="9"/>
  <c r="Y24" i="22"/>
  <c r="AC24" i="22"/>
  <c r="AG24" i="22"/>
  <c r="AK24" i="22"/>
  <c r="E24" i="22" s="1"/>
  <c r="AO24" i="22"/>
  <c r="I24" i="22" s="1"/>
  <c r="Z8" i="22"/>
  <c r="AD8" i="22"/>
  <c r="AE114" i="56" s="1"/>
  <c r="AH8" i="22"/>
  <c r="AL8" i="22"/>
  <c r="AG8" i="9"/>
  <c r="Z8" i="9"/>
  <c r="AE24" i="22"/>
  <c r="AM24" i="22"/>
  <c r="G24" i="22" s="1"/>
  <c r="AB8" i="22"/>
  <c r="AE112" i="56" s="1"/>
  <c r="AJ8" i="22"/>
  <c r="AD8" i="9"/>
  <c r="AP8" i="9"/>
  <c r="AB24" i="22"/>
  <c r="AJ24" i="22"/>
  <c r="D24" i="22" s="1"/>
  <c r="AC8" i="22"/>
  <c r="AE113" i="56" s="1"/>
  <c r="AK8" i="22"/>
  <c r="AB8" i="9"/>
  <c r="AF8" i="9"/>
  <c r="AJ8" i="9"/>
  <c r="AN8" i="9"/>
  <c r="AR8" i="9"/>
  <c r="Z24" i="22"/>
  <c r="AD24" i="22"/>
  <c r="AH24" i="22"/>
  <c r="B24" i="22" s="1"/>
  <c r="AL24" i="22"/>
  <c r="F24" i="22" s="1"/>
  <c r="W24" i="22"/>
  <c r="AA8" i="22"/>
  <c r="AE111" i="56" s="1"/>
  <c r="AE8" i="22"/>
  <c r="AE115" i="56" s="1"/>
  <c r="AI8" i="22"/>
  <c r="AM8" i="22"/>
  <c r="AC8" i="9"/>
  <c r="AK8" i="9"/>
  <c r="AO8" i="9"/>
  <c r="AA24" i="22"/>
  <c r="AI24" i="22"/>
  <c r="C24" i="22" s="1"/>
  <c r="X8" i="22"/>
  <c r="AF8" i="22"/>
  <c r="AE116" i="56" s="1"/>
  <c r="AN8" i="22"/>
  <c r="AH8" i="9"/>
  <c r="AL8" i="9"/>
  <c r="X24" i="22"/>
  <c r="AF24" i="22"/>
  <c r="AN24" i="22"/>
  <c r="H24" i="22" s="1"/>
  <c r="Y8" i="22"/>
  <c r="AG8" i="22"/>
  <c r="AE117" i="56" s="1"/>
  <c r="AO8" i="22"/>
  <c r="AL35" i="22"/>
  <c r="F35" i="22" s="1"/>
  <c r="AD11" i="22"/>
  <c r="Z10" i="22"/>
  <c r="AJ14" i="22"/>
  <c r="D14" i="22" s="1"/>
  <c r="W18" i="22"/>
  <c r="AJ22" i="22"/>
  <c r="D22" i="22" s="1"/>
  <c r="AN20" i="22"/>
  <c r="H20" i="22" s="1"/>
  <c r="Z19" i="22"/>
  <c r="AB18" i="22"/>
  <c r="AJ31" i="22"/>
  <c r="D31" i="22" s="1"/>
  <c r="AL30" i="22"/>
  <c r="F30" i="22" s="1"/>
  <c r="X26" i="22"/>
  <c r="AI46" i="22"/>
  <c r="C46" i="22" s="1"/>
  <c r="Y43" i="22"/>
  <c r="X48" i="22"/>
  <c r="AB48" i="22"/>
  <c r="AF48" i="22"/>
  <c r="AJ48" i="22"/>
  <c r="D48" i="22" s="1"/>
  <c r="AN48" i="22"/>
  <c r="H48" i="22" s="1"/>
  <c r="Z49" i="22"/>
  <c r="AD49" i="22"/>
  <c r="AH49" i="22"/>
  <c r="B49" i="22" s="1"/>
  <c r="AL49" i="22"/>
  <c r="F49" i="22" s="1"/>
  <c r="X50" i="22"/>
  <c r="AB50" i="22"/>
  <c r="AF50" i="22"/>
  <c r="AJ50" i="22"/>
  <c r="D50" i="22" s="1"/>
  <c r="AN50" i="22"/>
  <c r="H50" i="22" s="1"/>
  <c r="Z51" i="22"/>
  <c r="AD51" i="22"/>
  <c r="AH51" i="22"/>
  <c r="B51" i="22" s="1"/>
  <c r="AL51" i="22"/>
  <c r="F51" i="22" s="1"/>
  <c r="X52" i="22"/>
  <c r="AB52" i="22"/>
  <c r="AF52" i="22"/>
  <c r="AJ52" i="22"/>
  <c r="D52" i="22" s="1"/>
  <c r="AN52" i="22"/>
  <c r="H52" i="22" s="1"/>
  <c r="Z53" i="22"/>
  <c r="AD53" i="22"/>
  <c r="AH53" i="22"/>
  <c r="B53" i="22" s="1"/>
  <c r="AL53" i="22"/>
  <c r="F53" i="22" s="1"/>
  <c r="X54" i="22"/>
  <c r="AB54" i="22"/>
  <c r="AF54" i="22"/>
  <c r="AJ54" i="22"/>
  <c r="D54" i="22" s="1"/>
  <c r="AN54" i="22"/>
  <c r="H54" i="22" s="1"/>
  <c r="Z55" i="22"/>
  <c r="AD55" i="22"/>
  <c r="AH55" i="22"/>
  <c r="B55" i="22" s="1"/>
  <c r="AL55" i="22"/>
  <c r="F55" i="22" s="1"/>
  <c r="X56" i="22"/>
  <c r="AB56" i="22"/>
  <c r="AF56" i="22"/>
  <c r="AJ56" i="22"/>
  <c r="D56" i="22" s="1"/>
  <c r="AN56" i="22"/>
  <c r="H56" i="22" s="1"/>
  <c r="Z57" i="22"/>
  <c r="AD57" i="22"/>
  <c r="AH57" i="22"/>
  <c r="B57" i="22" s="1"/>
  <c r="AL57" i="22"/>
  <c r="F57" i="22" s="1"/>
  <c r="X58" i="22"/>
  <c r="AB58" i="22"/>
  <c r="AF58" i="22"/>
  <c r="AJ58" i="22"/>
  <c r="D58" i="22" s="1"/>
  <c r="AN58" i="22"/>
  <c r="H58" i="22" s="1"/>
  <c r="Z59" i="22"/>
  <c r="AD59" i="22"/>
  <c r="AH59" i="22"/>
  <c r="B59" i="22" s="1"/>
  <c r="AL59" i="22"/>
  <c r="F59" i="22" s="1"/>
  <c r="X60" i="22"/>
  <c r="AB60" i="22"/>
  <c r="AF60" i="22"/>
  <c r="AJ60" i="22"/>
  <c r="D60" i="22" s="1"/>
  <c r="AN60" i="22"/>
  <c r="H60" i="22" s="1"/>
  <c r="Z61" i="22"/>
  <c r="AD61" i="22"/>
  <c r="AH61" i="22"/>
  <c r="B61" i="22" s="1"/>
  <c r="AL61" i="22"/>
  <c r="F61" i="22" s="1"/>
  <c r="X62" i="22"/>
  <c r="AB62" i="22"/>
  <c r="AF62" i="22"/>
  <c r="AJ62" i="22"/>
  <c r="D62" i="22" s="1"/>
  <c r="AN62" i="22"/>
  <c r="H62" i="22" s="1"/>
  <c r="Z63" i="22"/>
  <c r="AD63" i="22"/>
  <c r="AH63" i="22"/>
  <c r="B63" i="22" s="1"/>
  <c r="AL63" i="22"/>
  <c r="F63" i="22" s="1"/>
  <c r="X64" i="22"/>
  <c r="AB64" i="22"/>
  <c r="AF64" i="22"/>
  <c r="AJ64" i="22"/>
  <c r="D64" i="22" s="1"/>
  <c r="AN64" i="22"/>
  <c r="H64" i="22" s="1"/>
  <c r="Z65" i="22"/>
  <c r="AD65" i="22"/>
  <c r="AH65" i="22"/>
  <c r="B65" i="22" s="1"/>
  <c r="AL65" i="22"/>
  <c r="F65" i="22" s="1"/>
  <c r="X66" i="22"/>
  <c r="AB66" i="22"/>
  <c r="AF66" i="22"/>
  <c r="AJ66" i="22"/>
  <c r="D66" i="22" s="1"/>
  <c r="Y48" i="22"/>
  <c r="AC48" i="22"/>
  <c r="AG48" i="22"/>
  <c r="AK48" i="22"/>
  <c r="E48" i="22" s="1"/>
  <c r="AO48" i="22"/>
  <c r="I48" i="22" s="1"/>
  <c r="AA49" i="22"/>
  <c r="AE49" i="22"/>
  <c r="AI49" i="22"/>
  <c r="C49" i="22" s="1"/>
  <c r="AM49" i="22"/>
  <c r="G49" i="22" s="1"/>
  <c r="Y50" i="22"/>
  <c r="AC50" i="22"/>
  <c r="AG50" i="22"/>
  <c r="AK50" i="22"/>
  <c r="E50" i="22" s="1"/>
  <c r="AO50" i="22"/>
  <c r="I50" i="22" s="1"/>
  <c r="AA51" i="22"/>
  <c r="AE51" i="22"/>
  <c r="AI51" i="22"/>
  <c r="C51" i="22" s="1"/>
  <c r="AM51" i="22"/>
  <c r="G51" i="22" s="1"/>
  <c r="Y52" i="22"/>
  <c r="AC52" i="22"/>
  <c r="AG52" i="22"/>
  <c r="AK52" i="22"/>
  <c r="E52" i="22" s="1"/>
  <c r="AO52" i="22"/>
  <c r="I52" i="22" s="1"/>
  <c r="AA53" i="22"/>
  <c r="AE53" i="22"/>
  <c r="AI53" i="22"/>
  <c r="C53" i="22" s="1"/>
  <c r="AM53" i="22"/>
  <c r="G53" i="22" s="1"/>
  <c r="Y54" i="22"/>
  <c r="AC54" i="22"/>
  <c r="AG54" i="22"/>
  <c r="AK54" i="22"/>
  <c r="E54" i="22" s="1"/>
  <c r="AO54" i="22"/>
  <c r="I54" i="22" s="1"/>
  <c r="AA55" i="22"/>
  <c r="AE55" i="22"/>
  <c r="AI55" i="22"/>
  <c r="C55" i="22" s="1"/>
  <c r="AM55" i="22"/>
  <c r="G55" i="22" s="1"/>
  <c r="Y56" i="22"/>
  <c r="AC56" i="22"/>
  <c r="AG56" i="22"/>
  <c r="AK56" i="22"/>
  <c r="E56" i="22" s="1"/>
  <c r="AO56" i="22"/>
  <c r="I56" i="22" s="1"/>
  <c r="AA57" i="22"/>
  <c r="AE57" i="22"/>
  <c r="AI57" i="22"/>
  <c r="C57" i="22" s="1"/>
  <c r="AM57" i="22"/>
  <c r="G57" i="22" s="1"/>
  <c r="Y58" i="22"/>
  <c r="AC58" i="22"/>
  <c r="AG58" i="22"/>
  <c r="AK58" i="22"/>
  <c r="E58" i="22" s="1"/>
  <c r="AO58" i="22"/>
  <c r="I58" i="22" s="1"/>
  <c r="AA59" i="22"/>
  <c r="AE59" i="22"/>
  <c r="AI59" i="22"/>
  <c r="C59" i="22" s="1"/>
  <c r="AM59" i="22"/>
  <c r="G59" i="22" s="1"/>
  <c r="Y60" i="22"/>
  <c r="AC60" i="22"/>
  <c r="AG60" i="22"/>
  <c r="AK60" i="22"/>
  <c r="E60" i="22" s="1"/>
  <c r="AO60" i="22"/>
  <c r="I60" i="22" s="1"/>
  <c r="AA61" i="22"/>
  <c r="AE61" i="22"/>
  <c r="AI61" i="22"/>
  <c r="C61" i="22" s="1"/>
  <c r="AM61" i="22"/>
  <c r="G61" i="22" s="1"/>
  <c r="Y62" i="22"/>
  <c r="AC62" i="22"/>
  <c r="AG62" i="22"/>
  <c r="AK62" i="22"/>
  <c r="E62" i="22" s="1"/>
  <c r="AO62" i="22"/>
  <c r="I62" i="22" s="1"/>
  <c r="AA63" i="22"/>
  <c r="AE63" i="22"/>
  <c r="AI63" i="22"/>
  <c r="C63" i="22" s="1"/>
  <c r="AM63" i="22"/>
  <c r="G63" i="22" s="1"/>
  <c r="Y64" i="22"/>
  <c r="AC64" i="22"/>
  <c r="AG64" i="22"/>
  <c r="AK64" i="22"/>
  <c r="E64" i="22" s="1"/>
  <c r="AO64" i="22"/>
  <c r="I64" i="22" s="1"/>
  <c r="AA65" i="22"/>
  <c r="AE65" i="22"/>
  <c r="AI65" i="22"/>
  <c r="C65" i="22" s="1"/>
  <c r="AM65" i="22"/>
  <c r="G65" i="22" s="1"/>
  <c r="Y66" i="22"/>
  <c r="Z48" i="22"/>
  <c r="AD48" i="22"/>
  <c r="AH48" i="22"/>
  <c r="B48" i="22" s="1"/>
  <c r="AL48" i="22"/>
  <c r="F48" i="22" s="1"/>
  <c r="X49" i="22"/>
  <c r="AB49" i="22"/>
  <c r="AF49" i="22"/>
  <c r="AJ49" i="22"/>
  <c r="D49" i="22" s="1"/>
  <c r="AN49" i="22"/>
  <c r="H49" i="22" s="1"/>
  <c r="Z50" i="22"/>
  <c r="AD50" i="22"/>
  <c r="AH50" i="22"/>
  <c r="B50" i="22" s="1"/>
  <c r="AL50" i="22"/>
  <c r="F50" i="22" s="1"/>
  <c r="X51" i="22"/>
  <c r="AB51" i="22"/>
  <c r="AF51" i="22"/>
  <c r="AJ51" i="22"/>
  <c r="D51" i="22" s="1"/>
  <c r="AN51" i="22"/>
  <c r="H51" i="22" s="1"/>
  <c r="Z52" i="22"/>
  <c r="AD52" i="22"/>
  <c r="AH52" i="22"/>
  <c r="B52" i="22" s="1"/>
  <c r="AL52" i="22"/>
  <c r="F52" i="22" s="1"/>
  <c r="X53" i="22"/>
  <c r="AB53" i="22"/>
  <c r="AF53" i="22"/>
  <c r="AJ53" i="22"/>
  <c r="D53" i="22" s="1"/>
  <c r="AN53" i="22"/>
  <c r="H53" i="22" s="1"/>
  <c r="Z54" i="22"/>
  <c r="AD54" i="22"/>
  <c r="AH54" i="22"/>
  <c r="B54" i="22" s="1"/>
  <c r="AL54" i="22"/>
  <c r="F54" i="22" s="1"/>
  <c r="X55" i="22"/>
  <c r="AB55" i="22"/>
  <c r="AF55" i="22"/>
  <c r="AJ55" i="22"/>
  <c r="D55" i="22" s="1"/>
  <c r="AN55" i="22"/>
  <c r="H55" i="22" s="1"/>
  <c r="Z56" i="22"/>
  <c r="AD56" i="22"/>
  <c r="AH56" i="22"/>
  <c r="B56" i="22" s="1"/>
  <c r="AL56" i="22"/>
  <c r="F56" i="22" s="1"/>
  <c r="X57" i="22"/>
  <c r="AB57" i="22"/>
  <c r="AF57" i="22"/>
  <c r="AJ57" i="22"/>
  <c r="D57" i="22" s="1"/>
  <c r="AN57" i="22"/>
  <c r="H57" i="22" s="1"/>
  <c r="Z58" i="22"/>
  <c r="AD58" i="22"/>
  <c r="AH58" i="22"/>
  <c r="B58" i="22" s="1"/>
  <c r="AL58" i="22"/>
  <c r="F58" i="22" s="1"/>
  <c r="X59" i="22"/>
  <c r="AB59" i="22"/>
  <c r="AF59" i="22"/>
  <c r="AJ59" i="22"/>
  <c r="D59" i="22" s="1"/>
  <c r="AN59" i="22"/>
  <c r="H59" i="22" s="1"/>
  <c r="Z60" i="22"/>
  <c r="AD60" i="22"/>
  <c r="AH60" i="22"/>
  <c r="B60" i="22" s="1"/>
  <c r="AL60" i="22"/>
  <c r="F60" i="22" s="1"/>
  <c r="X61" i="22"/>
  <c r="AB61" i="22"/>
  <c r="AF61" i="22"/>
  <c r="AJ61" i="22"/>
  <c r="D61" i="22" s="1"/>
  <c r="AN61" i="22"/>
  <c r="H61" i="22" s="1"/>
  <c r="Z62" i="22"/>
  <c r="AD62" i="22"/>
  <c r="AH62" i="22"/>
  <c r="B62" i="22" s="1"/>
  <c r="AL62" i="22"/>
  <c r="F62" i="22" s="1"/>
  <c r="X63" i="22"/>
  <c r="AB63" i="22"/>
  <c r="AF63" i="22"/>
  <c r="AJ63" i="22"/>
  <c r="D63" i="22" s="1"/>
  <c r="AN63" i="22"/>
  <c r="H63" i="22" s="1"/>
  <c r="Z64" i="22"/>
  <c r="AD64" i="22"/>
  <c r="AH64" i="22"/>
  <c r="B64" i="22" s="1"/>
  <c r="AL64" i="22"/>
  <c r="F64" i="22" s="1"/>
  <c r="X65" i="22"/>
  <c r="AB65" i="22"/>
  <c r="AF65" i="22"/>
  <c r="AJ65" i="22"/>
  <c r="D65" i="22" s="1"/>
  <c r="AN65" i="22"/>
  <c r="H65" i="22" s="1"/>
  <c r="Z66" i="22"/>
  <c r="AD66" i="22"/>
  <c r="AH66" i="22"/>
  <c r="B66" i="22" s="1"/>
  <c r="AM48" i="22"/>
  <c r="G48" i="22" s="1"/>
  <c r="AK49" i="22"/>
  <c r="E49" i="22" s="1"/>
  <c r="AI50" i="22"/>
  <c r="C50" i="22" s="1"/>
  <c r="AG51" i="22"/>
  <c r="AE52" i="22"/>
  <c r="AC53" i="22"/>
  <c r="AA54" i="22"/>
  <c r="Y55" i="22"/>
  <c r="AO55" i="22"/>
  <c r="I55" i="22" s="1"/>
  <c r="AM56" i="22"/>
  <c r="G56" i="22" s="1"/>
  <c r="AK57" i="22"/>
  <c r="E57" i="22" s="1"/>
  <c r="AI58" i="22"/>
  <c r="C58" i="22" s="1"/>
  <c r="AG59" i="22"/>
  <c r="AE60" i="22"/>
  <c r="AC61" i="22"/>
  <c r="AA62" i="22"/>
  <c r="Y63" i="22"/>
  <c r="AO63" i="22"/>
  <c r="I63" i="22" s="1"/>
  <c r="AM64" i="22"/>
  <c r="G64" i="22" s="1"/>
  <c r="AK65" i="22"/>
  <c r="E65" i="22" s="1"/>
  <c r="AE66" i="22"/>
  <c r="AL66" i="22"/>
  <c r="F66" i="22" s="1"/>
  <c r="X67" i="22"/>
  <c r="AB67" i="22"/>
  <c r="AF67" i="22"/>
  <c r="AJ67" i="22"/>
  <c r="D67" i="22" s="1"/>
  <c r="AN67" i="22"/>
  <c r="H67" i="22" s="1"/>
  <c r="Z68" i="22"/>
  <c r="AD68" i="22"/>
  <c r="AH68" i="22"/>
  <c r="B68" i="22" s="1"/>
  <c r="AL68" i="22"/>
  <c r="F68" i="22" s="1"/>
  <c r="W68" i="22"/>
  <c r="W64" i="22"/>
  <c r="W60" i="22"/>
  <c r="W56" i="22"/>
  <c r="AA52" i="22"/>
  <c r="AM54" i="22"/>
  <c r="G54" i="22" s="1"/>
  <c r="AI56" i="22"/>
  <c r="C56" i="22" s="1"/>
  <c r="AC59" i="22"/>
  <c r="AO61" i="22"/>
  <c r="I61" i="22" s="1"/>
  <c r="AI64" i="22"/>
  <c r="C64" i="22" s="1"/>
  <c r="AK66" i="22"/>
  <c r="E66" i="22" s="1"/>
  <c r="AI67" i="22"/>
  <c r="C67" i="22" s="1"/>
  <c r="AC68" i="22"/>
  <c r="AO68" i="22"/>
  <c r="I68" i="22" s="1"/>
  <c r="W61" i="22"/>
  <c r="AA48" i="22"/>
  <c r="Y49" i="22"/>
  <c r="AO49" i="22"/>
  <c r="I49" i="22" s="1"/>
  <c r="AM50" i="22"/>
  <c r="G50" i="22" s="1"/>
  <c r="AK51" i="22"/>
  <c r="E51" i="22" s="1"/>
  <c r="AI52" i="22"/>
  <c r="C52" i="22" s="1"/>
  <c r="AG53" i="22"/>
  <c r="AE54" i="22"/>
  <c r="AC55" i="22"/>
  <c r="AA56" i="22"/>
  <c r="Y57" i="22"/>
  <c r="AO57" i="22"/>
  <c r="I57" i="22" s="1"/>
  <c r="AM58" i="22"/>
  <c r="G58" i="22" s="1"/>
  <c r="AK59" i="22"/>
  <c r="E59" i="22" s="1"/>
  <c r="AI60" i="22"/>
  <c r="C60" i="22" s="1"/>
  <c r="AG61" i="22"/>
  <c r="AE62" i="22"/>
  <c r="AC63" i="22"/>
  <c r="AA64" i="22"/>
  <c r="Y65" i="22"/>
  <c r="AO65" i="22"/>
  <c r="I65" i="22" s="1"/>
  <c r="AG66" i="22"/>
  <c r="AM66" i="22"/>
  <c r="G66" i="22" s="1"/>
  <c r="Y67" i="22"/>
  <c r="AC67" i="22"/>
  <c r="AG67" i="22"/>
  <c r="AK67" i="22"/>
  <c r="E67" i="22" s="1"/>
  <c r="AO67" i="22"/>
  <c r="I67" i="22" s="1"/>
  <c r="AA68" i="22"/>
  <c r="AE68" i="22"/>
  <c r="AI68" i="22"/>
  <c r="C68" i="22" s="1"/>
  <c r="AM68" i="22"/>
  <c r="G68" i="22" s="1"/>
  <c r="W67" i="22"/>
  <c r="W63" i="22"/>
  <c r="W59" i="22"/>
  <c r="AO53" i="22"/>
  <c r="I53" i="22" s="1"/>
  <c r="AG57" i="22"/>
  <c r="AA60" i="22"/>
  <c r="AK63" i="22"/>
  <c r="E63" i="22" s="1"/>
  <c r="AC66" i="22"/>
  <c r="AA67" i="22"/>
  <c r="AM67" i="22"/>
  <c r="G67" i="22" s="1"/>
  <c r="AK68" i="22"/>
  <c r="E68" i="22" s="1"/>
  <c r="W57" i="22"/>
  <c r="AE48" i="22"/>
  <c r="AC49" i="22"/>
  <c r="AA50" i="22"/>
  <c r="Y51" i="22"/>
  <c r="AO51" i="22"/>
  <c r="I51" i="22" s="1"/>
  <c r="AM52" i="22"/>
  <c r="G52" i="22" s="1"/>
  <c r="AK53" i="22"/>
  <c r="E53" i="22" s="1"/>
  <c r="AI54" i="22"/>
  <c r="C54" i="22" s="1"/>
  <c r="AG55" i="22"/>
  <c r="AE56" i="22"/>
  <c r="AC57" i="22"/>
  <c r="AA58" i="22"/>
  <c r="Y59" i="22"/>
  <c r="AO59" i="22"/>
  <c r="I59" i="22" s="1"/>
  <c r="AM60" i="22"/>
  <c r="G60" i="22" s="1"/>
  <c r="AK61" i="22"/>
  <c r="E61" i="22" s="1"/>
  <c r="AI62" i="22"/>
  <c r="C62" i="22" s="1"/>
  <c r="AG63" i="22"/>
  <c r="AE64" i="22"/>
  <c r="AC65" i="22"/>
  <c r="AA66" i="22"/>
  <c r="AI66" i="22"/>
  <c r="C66" i="22" s="1"/>
  <c r="AN66" i="22"/>
  <c r="H66" i="22" s="1"/>
  <c r="Z67" i="22"/>
  <c r="AD67" i="22"/>
  <c r="AH67" i="22"/>
  <c r="B67" i="22" s="1"/>
  <c r="AL67" i="22"/>
  <c r="F67" i="22" s="1"/>
  <c r="X68" i="22"/>
  <c r="AB68" i="22"/>
  <c r="AF68" i="22"/>
  <c r="AJ68" i="22"/>
  <c r="D68" i="22" s="1"/>
  <c r="AN68" i="22"/>
  <c r="H68" i="22" s="1"/>
  <c r="W66" i="22"/>
  <c r="W62" i="22"/>
  <c r="W58" i="22"/>
  <c r="AI48" i="22"/>
  <c r="C48" i="22" s="1"/>
  <c r="AG49" i="22"/>
  <c r="AE50" i="22"/>
  <c r="AC51" i="22"/>
  <c r="Y53" i="22"/>
  <c r="AK55" i="22"/>
  <c r="E55" i="22" s="1"/>
  <c r="AE58" i="22"/>
  <c r="Y61" i="22"/>
  <c r="AM62" i="22"/>
  <c r="G62" i="22" s="1"/>
  <c r="AG65" i="22"/>
  <c r="AO66" i="22"/>
  <c r="I66" i="22" s="1"/>
  <c r="AE67" i="22"/>
  <c r="Y68" i="22"/>
  <c r="AG68" i="22"/>
  <c r="W65" i="22"/>
  <c r="W55" i="22"/>
  <c r="W51" i="22"/>
  <c r="X40" i="22"/>
  <c r="AB40" i="22"/>
  <c r="AF40" i="22"/>
  <c r="AJ40" i="22"/>
  <c r="D40" i="22" s="1"/>
  <c r="AN40" i="22"/>
  <c r="H40" i="22" s="1"/>
  <c r="Z41" i="22"/>
  <c r="AD41" i="22"/>
  <c r="AH41" i="22"/>
  <c r="B41" i="22" s="1"/>
  <c r="AL41" i="22"/>
  <c r="F41" i="22" s="1"/>
  <c r="X42" i="22"/>
  <c r="AB42" i="22"/>
  <c r="AF42" i="22"/>
  <c r="AJ42" i="22"/>
  <c r="D42" i="22" s="1"/>
  <c r="AN42" i="22"/>
  <c r="H42" i="22" s="1"/>
  <c r="Z43" i="22"/>
  <c r="AD43" i="22"/>
  <c r="AH43" i="22"/>
  <c r="B43" i="22" s="1"/>
  <c r="AL43" i="22"/>
  <c r="F43" i="22" s="1"/>
  <c r="X44" i="22"/>
  <c r="AB44" i="22"/>
  <c r="AF44" i="22"/>
  <c r="AJ44" i="22"/>
  <c r="D44" i="22" s="1"/>
  <c r="AN44" i="22"/>
  <c r="H44" i="22" s="1"/>
  <c r="Z45" i="22"/>
  <c r="AD45" i="22"/>
  <c r="AH45" i="22"/>
  <c r="B45" i="22" s="1"/>
  <c r="AL45" i="22"/>
  <c r="F45" i="22" s="1"/>
  <c r="X46" i="22"/>
  <c r="AB46" i="22"/>
  <c r="AF46" i="22"/>
  <c r="AJ46" i="22"/>
  <c r="D46" i="22" s="1"/>
  <c r="AN46" i="22"/>
  <c r="H46" i="22" s="1"/>
  <c r="W44" i="22"/>
  <c r="W40" i="22"/>
  <c r="AA33" i="22"/>
  <c r="AE33" i="22"/>
  <c r="AI33" i="22"/>
  <c r="C33" i="22" s="1"/>
  <c r="AM33" i="22"/>
  <c r="G33" i="22" s="1"/>
  <c r="Y34" i="22"/>
  <c r="AC34" i="22"/>
  <c r="AG34" i="22"/>
  <c r="AK34" i="22"/>
  <c r="E34" i="22" s="1"/>
  <c r="AO34" i="22"/>
  <c r="I34" i="22" s="1"/>
  <c r="AA35" i="22"/>
  <c r="AE35" i="22"/>
  <c r="AI35" i="22"/>
  <c r="C35" i="22" s="1"/>
  <c r="AM35" i="22"/>
  <c r="G35" i="22" s="1"/>
  <c r="Y36" i="22"/>
  <c r="AC36" i="22"/>
  <c r="AG36" i="22"/>
  <c r="AK36" i="22"/>
  <c r="E36" i="22" s="1"/>
  <c r="AO36" i="22"/>
  <c r="I36" i="22" s="1"/>
  <c r="AA37" i="22"/>
  <c r="AE37" i="22"/>
  <c r="AI37" i="22"/>
  <c r="C37" i="22" s="1"/>
  <c r="AM37" i="22"/>
  <c r="G37" i="22" s="1"/>
  <c r="Y38" i="22"/>
  <c r="AC38" i="22"/>
  <c r="AG38" i="22"/>
  <c r="AK38" i="22"/>
  <c r="E38" i="22" s="1"/>
  <c r="AO38" i="22"/>
  <c r="I38" i="22" s="1"/>
  <c r="W35" i="22"/>
  <c r="Y26" i="22"/>
  <c r="AC26" i="22"/>
  <c r="AG26" i="22"/>
  <c r="AK26" i="22"/>
  <c r="E26" i="22" s="1"/>
  <c r="AO26" i="22"/>
  <c r="I26" i="22" s="1"/>
  <c r="AA27" i="22"/>
  <c r="AE27" i="22"/>
  <c r="AI27" i="22"/>
  <c r="C27" i="22" s="1"/>
  <c r="AM27" i="22"/>
  <c r="G27" i="22" s="1"/>
  <c r="Y28" i="22"/>
  <c r="AC28" i="22"/>
  <c r="AG28" i="22"/>
  <c r="AK28" i="22"/>
  <c r="E28" i="22" s="1"/>
  <c r="AO28" i="22"/>
  <c r="I28" i="22" s="1"/>
  <c r="AA29" i="22"/>
  <c r="W54" i="22"/>
  <c r="W50" i="22"/>
  <c r="Y40" i="22"/>
  <c r="AC40" i="22"/>
  <c r="AG40" i="22"/>
  <c r="AK40" i="22"/>
  <c r="E40" i="22" s="1"/>
  <c r="AO40" i="22"/>
  <c r="I40" i="22" s="1"/>
  <c r="AA41" i="22"/>
  <c r="AE41" i="22"/>
  <c r="AI41" i="22"/>
  <c r="C41" i="22" s="1"/>
  <c r="AM41" i="22"/>
  <c r="G41" i="22" s="1"/>
  <c r="Y42" i="22"/>
  <c r="AC42" i="22"/>
  <c r="AG42" i="22"/>
  <c r="AK42" i="22"/>
  <c r="E42" i="22" s="1"/>
  <c r="AO42" i="22"/>
  <c r="I42" i="22" s="1"/>
  <c r="AA43" i="22"/>
  <c r="AE43" i="22"/>
  <c r="AI43" i="22"/>
  <c r="C43" i="22" s="1"/>
  <c r="AM43" i="22"/>
  <c r="G43" i="22" s="1"/>
  <c r="Y44" i="22"/>
  <c r="AC44" i="22"/>
  <c r="AG44" i="22"/>
  <c r="AK44" i="22"/>
  <c r="E44" i="22" s="1"/>
  <c r="AO44" i="22"/>
  <c r="I44" i="22" s="1"/>
  <c r="AA45" i="22"/>
  <c r="AE45" i="22"/>
  <c r="AI45" i="22"/>
  <c r="C45" i="22" s="1"/>
  <c r="AM45" i="22"/>
  <c r="G45" i="22" s="1"/>
  <c r="Y46" i="22"/>
  <c r="AC46" i="22"/>
  <c r="AG46" i="22"/>
  <c r="AK46" i="22"/>
  <c r="E46" i="22" s="1"/>
  <c r="AO46" i="22"/>
  <c r="I46" i="22" s="1"/>
  <c r="W43" i="22"/>
  <c r="X33" i="22"/>
  <c r="AB33" i="22"/>
  <c r="AF33" i="22"/>
  <c r="AJ33" i="22"/>
  <c r="D33" i="22" s="1"/>
  <c r="AN33" i="22"/>
  <c r="H33" i="22" s="1"/>
  <c r="Z34" i="22"/>
  <c r="AD34" i="22"/>
  <c r="AH34" i="22"/>
  <c r="B34" i="22" s="1"/>
  <c r="AL34" i="22"/>
  <c r="F34" i="22" s="1"/>
  <c r="X35" i="22"/>
  <c r="AB35" i="22"/>
  <c r="AF35" i="22"/>
  <c r="AJ35" i="22"/>
  <c r="D35" i="22" s="1"/>
  <c r="AN35" i="22"/>
  <c r="H35" i="22" s="1"/>
  <c r="Z36" i="22"/>
  <c r="AD36" i="22"/>
  <c r="AH36" i="22"/>
  <c r="B36" i="22" s="1"/>
  <c r="AL36" i="22"/>
  <c r="F36" i="22" s="1"/>
  <c r="X37" i="22"/>
  <c r="AB37" i="22"/>
  <c r="AF37" i="22"/>
  <c r="AJ37" i="22"/>
  <c r="D37" i="22" s="1"/>
  <c r="AN37" i="22"/>
  <c r="H37" i="22" s="1"/>
  <c r="Z38" i="22"/>
  <c r="AD38" i="22"/>
  <c r="AH38" i="22"/>
  <c r="B38" i="22" s="1"/>
  <c r="AL38" i="22"/>
  <c r="F38" i="22" s="1"/>
  <c r="W38" i="22"/>
  <c r="W34" i="22"/>
  <c r="Z26" i="22"/>
  <c r="AD26" i="22"/>
  <c r="AH26" i="22"/>
  <c r="B26" i="22" s="1"/>
  <c r="AL26" i="22"/>
  <c r="F26" i="22" s="1"/>
  <c r="X27" i="22"/>
  <c r="AB27" i="22"/>
  <c r="AF27" i="22"/>
  <c r="AJ27" i="22"/>
  <c r="D27" i="22" s="1"/>
  <c r="AN27" i="22"/>
  <c r="H27" i="22" s="1"/>
  <c r="Z28" i="22"/>
  <c r="AD28" i="22"/>
  <c r="AH28" i="22"/>
  <c r="B28" i="22" s="1"/>
  <c r="AL28" i="22"/>
  <c r="F28" i="22" s="1"/>
  <c r="X29" i="22"/>
  <c r="AB29" i="22"/>
  <c r="AF29" i="22"/>
  <c r="AJ29" i="22"/>
  <c r="D29" i="22" s="1"/>
  <c r="AN29" i="22"/>
  <c r="H29" i="22" s="1"/>
  <c r="W53" i="22"/>
  <c r="W49" i="22"/>
  <c r="Z40" i="22"/>
  <c r="AD40" i="22"/>
  <c r="AH40" i="22"/>
  <c r="B40" i="22" s="1"/>
  <c r="AL40" i="22"/>
  <c r="F40" i="22" s="1"/>
  <c r="X41" i="22"/>
  <c r="AB41" i="22"/>
  <c r="AF41" i="22"/>
  <c r="AJ41" i="22"/>
  <c r="D41" i="22" s="1"/>
  <c r="AN41" i="22"/>
  <c r="H41" i="22" s="1"/>
  <c r="Z42" i="22"/>
  <c r="AD42" i="22"/>
  <c r="AH42" i="22"/>
  <c r="B42" i="22" s="1"/>
  <c r="AL42" i="22"/>
  <c r="F42" i="22" s="1"/>
  <c r="X43" i="22"/>
  <c r="AB43" i="22"/>
  <c r="AF43" i="22"/>
  <c r="AJ43" i="22"/>
  <c r="D43" i="22" s="1"/>
  <c r="AN43" i="22"/>
  <c r="H43" i="22" s="1"/>
  <c r="Z44" i="22"/>
  <c r="AD44" i="22"/>
  <c r="AH44" i="22"/>
  <c r="B44" i="22" s="1"/>
  <c r="AL44" i="22"/>
  <c r="F44" i="22" s="1"/>
  <c r="X45" i="22"/>
  <c r="AB45" i="22"/>
  <c r="AF45" i="22"/>
  <c r="AJ45" i="22"/>
  <c r="D45" i="22" s="1"/>
  <c r="AN45" i="22"/>
  <c r="H45" i="22" s="1"/>
  <c r="Z46" i="22"/>
  <c r="AD46" i="22"/>
  <c r="AH46" i="22"/>
  <c r="B46" i="22" s="1"/>
  <c r="AL46" i="22"/>
  <c r="F46" i="22" s="1"/>
  <c r="W46" i="22"/>
  <c r="W42" i="22"/>
  <c r="Y33" i="22"/>
  <c r="AC33" i="22"/>
  <c r="AG33" i="22"/>
  <c r="AK33" i="22"/>
  <c r="E33" i="22" s="1"/>
  <c r="AO33" i="22"/>
  <c r="I33" i="22" s="1"/>
  <c r="AA34" i="22"/>
  <c r="AE34" i="22"/>
  <c r="AI34" i="22"/>
  <c r="C34" i="22" s="1"/>
  <c r="AM34" i="22"/>
  <c r="G34" i="22" s="1"/>
  <c r="Y35" i="22"/>
  <c r="AC35" i="22"/>
  <c r="AG35" i="22"/>
  <c r="AK35" i="22"/>
  <c r="E35" i="22" s="1"/>
  <c r="AO35" i="22"/>
  <c r="I35" i="22" s="1"/>
  <c r="AA36" i="22"/>
  <c r="AE36" i="22"/>
  <c r="AI36" i="22"/>
  <c r="C36" i="22" s="1"/>
  <c r="AM36" i="22"/>
  <c r="G36" i="22" s="1"/>
  <c r="Y37" i="22"/>
  <c r="AC37" i="22"/>
  <c r="AG37" i="22"/>
  <c r="AK37" i="22"/>
  <c r="E37" i="22" s="1"/>
  <c r="AO37" i="22"/>
  <c r="I37" i="22" s="1"/>
  <c r="AA38" i="22"/>
  <c r="AE38" i="22"/>
  <c r="AI38" i="22"/>
  <c r="C38" i="22" s="1"/>
  <c r="AM38" i="22"/>
  <c r="G38" i="22" s="1"/>
  <c r="W37" i="22"/>
  <c r="W33" i="22"/>
  <c r="AA26" i="22"/>
  <c r="AE26" i="22"/>
  <c r="AI26" i="22"/>
  <c r="C26" i="22" s="1"/>
  <c r="AM26" i="22"/>
  <c r="G26" i="22" s="1"/>
  <c r="Y27" i="22"/>
  <c r="AC27" i="22"/>
  <c r="AG27" i="22"/>
  <c r="AK27" i="22"/>
  <c r="E27" i="22" s="1"/>
  <c r="AO27" i="22"/>
  <c r="I27" i="22" s="1"/>
  <c r="AA28" i="22"/>
  <c r="AE28" i="22"/>
  <c r="AI28" i="22"/>
  <c r="C28" i="22" s="1"/>
  <c r="AM28" i="22"/>
  <c r="G28" i="22" s="1"/>
  <c r="Y29" i="22"/>
  <c r="AC29" i="22"/>
  <c r="AG29" i="22"/>
  <c r="AK29" i="22"/>
  <c r="E29" i="22" s="1"/>
  <c r="AO29" i="22"/>
  <c r="I29" i="22" s="1"/>
  <c r="AA30" i="22"/>
  <c r="AE30" i="22"/>
  <c r="AI30" i="22"/>
  <c r="C30" i="22" s="1"/>
  <c r="W52" i="22"/>
  <c r="AI40" i="22"/>
  <c r="C40" i="22" s="1"/>
  <c r="AG41" i="22"/>
  <c r="AE42" i="22"/>
  <c r="AC43" i="22"/>
  <c r="AA44" i="22"/>
  <c r="Y45" i="22"/>
  <c r="AO45" i="22"/>
  <c r="I45" i="22" s="1"/>
  <c r="AM46" i="22"/>
  <c r="G46" i="22" s="1"/>
  <c r="AD33" i="22"/>
  <c r="AB34" i="22"/>
  <c r="Z35" i="22"/>
  <c r="X36" i="22"/>
  <c r="AN36" i="22"/>
  <c r="H36" i="22" s="1"/>
  <c r="AL37" i="22"/>
  <c r="F37" i="22" s="1"/>
  <c r="AJ38" i="22"/>
  <c r="D38" i="22" s="1"/>
  <c r="AB26" i="22"/>
  <c r="Z27" i="22"/>
  <c r="X28" i="22"/>
  <c r="AN28" i="22"/>
  <c r="H28" i="22" s="1"/>
  <c r="AH29" i="22"/>
  <c r="B29" i="22" s="1"/>
  <c r="X30" i="22"/>
  <c r="AC30" i="22"/>
  <c r="AH30" i="22"/>
  <c r="B30" i="22" s="1"/>
  <c r="AM30" i="22"/>
  <c r="G30" i="22" s="1"/>
  <c r="Y31" i="22"/>
  <c r="AC31" i="22"/>
  <c r="AG31" i="22"/>
  <c r="AK31" i="22"/>
  <c r="E31" i="22" s="1"/>
  <c r="AO31" i="22"/>
  <c r="I31" i="22" s="1"/>
  <c r="W28" i="22"/>
  <c r="Y18" i="22"/>
  <c r="AC18" i="22"/>
  <c r="AG18" i="22"/>
  <c r="AK18" i="22"/>
  <c r="E18" i="22" s="1"/>
  <c r="AO18" i="22"/>
  <c r="I18" i="22" s="1"/>
  <c r="AA19" i="22"/>
  <c r="AE19" i="22"/>
  <c r="AI19" i="22"/>
  <c r="C19" i="22" s="1"/>
  <c r="AM19" i="22"/>
  <c r="G19" i="22" s="1"/>
  <c r="Y20" i="22"/>
  <c r="AC20" i="22"/>
  <c r="AG20" i="22"/>
  <c r="AK20" i="22"/>
  <c r="E20" i="22" s="1"/>
  <c r="AO20" i="22"/>
  <c r="I20" i="22" s="1"/>
  <c r="AA21" i="22"/>
  <c r="AE21" i="22"/>
  <c r="AI21" i="22"/>
  <c r="C21" i="22" s="1"/>
  <c r="AM21" i="22"/>
  <c r="G21" i="22" s="1"/>
  <c r="Y22" i="22"/>
  <c r="AC22" i="22"/>
  <c r="AG22" i="22"/>
  <c r="AK22" i="22"/>
  <c r="E22" i="22" s="1"/>
  <c r="AO22" i="22"/>
  <c r="I22" i="22" s="1"/>
  <c r="AA23" i="22"/>
  <c r="AE23" i="22"/>
  <c r="AI23" i="22"/>
  <c r="C23" i="22" s="1"/>
  <c r="AM23" i="22"/>
  <c r="G23" i="22" s="1"/>
  <c r="W21" i="22"/>
  <c r="W8" i="22"/>
  <c r="AA13" i="22"/>
  <c r="AE13" i="22"/>
  <c r="AI13" i="22"/>
  <c r="C13" i="22" s="1"/>
  <c r="AM13" i="22"/>
  <c r="G13" i="22" s="1"/>
  <c r="Y14" i="22"/>
  <c r="AC14" i="22"/>
  <c r="AG14" i="22"/>
  <c r="AK14" i="22"/>
  <c r="E14" i="22" s="1"/>
  <c r="AO14" i="22"/>
  <c r="I14" i="22" s="1"/>
  <c r="AA15" i="22"/>
  <c r="AE15" i="22"/>
  <c r="AI15" i="22"/>
  <c r="C15" i="22" s="1"/>
  <c r="AM15" i="22"/>
  <c r="G15" i="22" s="1"/>
  <c r="Y16" i="22"/>
  <c r="AC16" i="22"/>
  <c r="AG16" i="22"/>
  <c r="AK16" i="22"/>
  <c r="E16" i="22" s="1"/>
  <c r="AO16" i="22"/>
  <c r="I16" i="22" s="1"/>
  <c r="W13" i="22"/>
  <c r="AA10" i="22"/>
  <c r="W48" i="22"/>
  <c r="AM40" i="22"/>
  <c r="G40" i="22" s="1"/>
  <c r="AK41" i="22"/>
  <c r="E41" i="22" s="1"/>
  <c r="AI42" i="22"/>
  <c r="C42" i="22" s="1"/>
  <c r="AG43" i="22"/>
  <c r="AE44" i="22"/>
  <c r="AC45" i="22"/>
  <c r="AA46" i="22"/>
  <c r="W45" i="22"/>
  <c r="AH33" i="22"/>
  <c r="B33" i="22" s="1"/>
  <c r="AF34" i="22"/>
  <c r="AD35" i="22"/>
  <c r="AB36" i="22"/>
  <c r="Z37" i="22"/>
  <c r="X38" i="22"/>
  <c r="AN38" i="22"/>
  <c r="H38" i="22" s="1"/>
  <c r="AF26" i="22"/>
  <c r="AD27" i="22"/>
  <c r="AB28" i="22"/>
  <c r="Z29" i="22"/>
  <c r="AI29" i="22"/>
  <c r="C29" i="22" s="1"/>
  <c r="Y30" i="22"/>
  <c r="AD30" i="22"/>
  <c r="AJ30" i="22"/>
  <c r="D30" i="22" s="1"/>
  <c r="AN30" i="22"/>
  <c r="H30" i="22" s="1"/>
  <c r="Z31" i="22"/>
  <c r="AD31" i="22"/>
  <c r="AH31" i="22"/>
  <c r="B31" i="22" s="1"/>
  <c r="AL31" i="22"/>
  <c r="F31" i="22" s="1"/>
  <c r="W31" i="22"/>
  <c r="W27" i="22"/>
  <c r="Z18" i="22"/>
  <c r="AD18" i="22"/>
  <c r="AH18" i="22"/>
  <c r="B18" i="22" s="1"/>
  <c r="AL18" i="22"/>
  <c r="F18" i="22" s="1"/>
  <c r="X19" i="22"/>
  <c r="AB19" i="22"/>
  <c r="AF19" i="22"/>
  <c r="AJ19" i="22"/>
  <c r="D19" i="22" s="1"/>
  <c r="AN19" i="22"/>
  <c r="H19" i="22" s="1"/>
  <c r="Z20" i="22"/>
  <c r="AD20" i="22"/>
  <c r="AH20" i="22"/>
  <c r="B20" i="22" s="1"/>
  <c r="AL20" i="22"/>
  <c r="F20" i="22" s="1"/>
  <c r="X21" i="22"/>
  <c r="AB21" i="22"/>
  <c r="AF21" i="22"/>
  <c r="AJ21" i="22"/>
  <c r="D21" i="22" s="1"/>
  <c r="AN21" i="22"/>
  <c r="H21" i="22" s="1"/>
  <c r="Z22" i="22"/>
  <c r="AD22" i="22"/>
  <c r="AH22" i="22"/>
  <c r="B22" i="22" s="1"/>
  <c r="AL22" i="22"/>
  <c r="F22" i="22" s="1"/>
  <c r="X23" i="22"/>
  <c r="AB23" i="22"/>
  <c r="AF23" i="22"/>
  <c r="AJ23" i="22"/>
  <c r="D23" i="22" s="1"/>
  <c r="AN23" i="22"/>
  <c r="H23" i="22" s="1"/>
  <c r="W20" i="22"/>
  <c r="X13" i="22"/>
  <c r="AB13" i="22"/>
  <c r="AF13" i="22"/>
  <c r="AJ13" i="22"/>
  <c r="D13" i="22" s="1"/>
  <c r="AN13" i="22"/>
  <c r="H13" i="22" s="1"/>
  <c r="Z14" i="22"/>
  <c r="AD14" i="22"/>
  <c r="AH14" i="22"/>
  <c r="B14" i="22" s="1"/>
  <c r="AL14" i="22"/>
  <c r="F14" i="22" s="1"/>
  <c r="X15" i="22"/>
  <c r="AB15" i="22"/>
  <c r="AF15" i="22"/>
  <c r="AJ15" i="22"/>
  <c r="D15" i="22" s="1"/>
  <c r="AN15" i="22"/>
  <c r="H15" i="22" s="1"/>
  <c r="Z16" i="22"/>
  <c r="AD16" i="22"/>
  <c r="AH16" i="22"/>
  <c r="B16" i="22" s="1"/>
  <c r="AL16" i="22"/>
  <c r="F16" i="22" s="1"/>
  <c r="W16" i="22"/>
  <c r="X10" i="22"/>
  <c r="AB10" i="22"/>
  <c r="AF10" i="22"/>
  <c r="AJ10" i="22"/>
  <c r="D10" i="22" s="1"/>
  <c r="AN10" i="22"/>
  <c r="H10" i="22" s="1"/>
  <c r="AA40" i="22"/>
  <c r="Y41" i="22"/>
  <c r="AO41" i="22"/>
  <c r="I41" i="22" s="1"/>
  <c r="AM42" i="22"/>
  <c r="G42" i="22" s="1"/>
  <c r="AK43" i="22"/>
  <c r="E43" i="22" s="1"/>
  <c r="AI44" i="22"/>
  <c r="C44" i="22" s="1"/>
  <c r="AG45" i="22"/>
  <c r="AE46" i="22"/>
  <c r="W41" i="22"/>
  <c r="AL33" i="22"/>
  <c r="F33" i="22" s="1"/>
  <c r="AJ34" i="22"/>
  <c r="D34" i="22" s="1"/>
  <c r="AH35" i="22"/>
  <c r="B35" i="22" s="1"/>
  <c r="AF36" i="22"/>
  <c r="AD37" i="22"/>
  <c r="AB38" i="22"/>
  <c r="W36" i="22"/>
  <c r="AJ26" i="22"/>
  <c r="D26" i="22" s="1"/>
  <c r="AH27" i="22"/>
  <c r="B27" i="22" s="1"/>
  <c r="AF28" i="22"/>
  <c r="AD29" i="22"/>
  <c r="AL29" i="22"/>
  <c r="F29" i="22" s="1"/>
  <c r="Z30" i="22"/>
  <c r="AF30" i="22"/>
  <c r="AK30" i="22"/>
  <c r="E30" i="22" s="1"/>
  <c r="AO30" i="22"/>
  <c r="I30" i="22" s="1"/>
  <c r="AA31" i="22"/>
  <c r="AE31" i="22"/>
  <c r="AI31" i="22"/>
  <c r="C31" i="22" s="1"/>
  <c r="AM31" i="22"/>
  <c r="G31" i="22" s="1"/>
  <c r="W30" i="22"/>
  <c r="W26" i="22"/>
  <c r="AA18" i="22"/>
  <c r="AE18" i="22"/>
  <c r="AI18" i="22"/>
  <c r="C18" i="22" s="1"/>
  <c r="AM18" i="22"/>
  <c r="G18" i="22" s="1"/>
  <c r="Y19" i="22"/>
  <c r="AC19" i="22"/>
  <c r="AG19" i="22"/>
  <c r="AK19" i="22"/>
  <c r="E19" i="22" s="1"/>
  <c r="AO19" i="22"/>
  <c r="I19" i="22" s="1"/>
  <c r="AA20" i="22"/>
  <c r="AE20" i="22"/>
  <c r="AI20" i="22"/>
  <c r="C20" i="22" s="1"/>
  <c r="AM20" i="22"/>
  <c r="G20" i="22" s="1"/>
  <c r="Y21" i="22"/>
  <c r="AC21" i="22"/>
  <c r="AG21" i="22"/>
  <c r="AK21" i="22"/>
  <c r="E21" i="22" s="1"/>
  <c r="AO21" i="22"/>
  <c r="I21" i="22" s="1"/>
  <c r="AA22" i="22"/>
  <c r="AE22" i="22"/>
  <c r="AI22" i="22"/>
  <c r="C22" i="22" s="1"/>
  <c r="AM22" i="22"/>
  <c r="G22" i="22" s="1"/>
  <c r="Y23" i="22"/>
  <c r="AC23" i="22"/>
  <c r="AG23" i="22"/>
  <c r="AK23" i="22"/>
  <c r="E23" i="22" s="1"/>
  <c r="AO23" i="22"/>
  <c r="I23" i="22" s="1"/>
  <c r="W23" i="22"/>
  <c r="W19" i="22"/>
  <c r="Y13" i="22"/>
  <c r="AC13" i="22"/>
  <c r="AG13" i="22"/>
  <c r="AK13" i="22"/>
  <c r="E13" i="22" s="1"/>
  <c r="AO13" i="22"/>
  <c r="I13" i="22" s="1"/>
  <c r="AA14" i="22"/>
  <c r="AE14" i="22"/>
  <c r="AI14" i="22"/>
  <c r="C14" i="22" s="1"/>
  <c r="AM14" i="22"/>
  <c r="G14" i="22" s="1"/>
  <c r="Y15" i="22"/>
  <c r="AC15" i="22"/>
  <c r="AG15" i="22"/>
  <c r="AK15" i="22"/>
  <c r="E15" i="22" s="1"/>
  <c r="AO15" i="22"/>
  <c r="I15" i="22" s="1"/>
  <c r="AA16" i="22"/>
  <c r="AE16" i="22"/>
  <c r="AI16" i="22"/>
  <c r="C16" i="22" s="1"/>
  <c r="AM16" i="22"/>
  <c r="G16" i="22" s="1"/>
  <c r="W15" i="22"/>
  <c r="Y10" i="22"/>
  <c r="AC10" i="22"/>
  <c r="AG10" i="22"/>
  <c r="AK10" i="22"/>
  <c r="E10" i="22" s="1"/>
  <c r="AO10" i="22"/>
  <c r="I10" i="22" s="1"/>
  <c r="AA11" i="22"/>
  <c r="AE11" i="22"/>
  <c r="AI11" i="22"/>
  <c r="C11" i="22" s="1"/>
  <c r="AM11" i="22"/>
  <c r="G11" i="22" s="1"/>
  <c r="AN11" i="22"/>
  <c r="H11" i="22" s="1"/>
  <c r="AH11" i="22"/>
  <c r="B11" i="22" s="1"/>
  <c r="AC11" i="22"/>
  <c r="X11" i="22"/>
  <c r="AH10" i="22"/>
  <c r="B10" i="22" s="1"/>
  <c r="W14" i="22"/>
  <c r="AB16" i="22"/>
  <c r="AD15" i="22"/>
  <c r="AF14" i="22"/>
  <c r="AH13" i="22"/>
  <c r="B13" i="22" s="1"/>
  <c r="W22" i="22"/>
  <c r="AD23" i="22"/>
  <c r="AF22" i="22"/>
  <c r="AH21" i="22"/>
  <c r="B21" i="22" s="1"/>
  <c r="AJ20" i="22"/>
  <c r="D20" i="22" s="1"/>
  <c r="AL19" i="22"/>
  <c r="F19" i="22" s="1"/>
  <c r="AN18" i="22"/>
  <c r="H18" i="22" s="1"/>
  <c r="X18" i="22"/>
  <c r="AF31" i="22"/>
  <c r="AG30" i="22"/>
  <c r="AJ28" i="22"/>
  <c r="D28" i="22" s="1"/>
  <c r="AF38" i="22"/>
  <c r="AN34" i="22"/>
  <c r="H34" i="22" s="1"/>
  <c r="AK45" i="22"/>
  <c r="E45" i="22" s="1"/>
  <c r="AA42" i="22"/>
  <c r="AJ11" i="22"/>
  <c r="D11" i="22" s="1"/>
  <c r="AI10" i="22"/>
  <c r="C10" i="22" s="1"/>
  <c r="AH15" i="22"/>
  <c r="B15" i="22" s="1"/>
  <c r="AE29" i="22"/>
  <c r="W10" i="22"/>
  <c r="AL11" i="22"/>
  <c r="F11" i="22" s="1"/>
  <c r="AG11" i="22"/>
  <c r="AB11" i="22"/>
  <c r="AM10" i="22"/>
  <c r="G10" i="22" s="1"/>
  <c r="AE10" i="22"/>
  <c r="AN16" i="22"/>
  <c r="H16" i="22" s="1"/>
  <c r="X16" i="22"/>
  <c r="Z15" i="22"/>
  <c r="AB14" i="22"/>
  <c r="AD13" i="22"/>
  <c r="Z23" i="22"/>
  <c r="AB22" i="22"/>
  <c r="AD21" i="22"/>
  <c r="AF20" i="22"/>
  <c r="AH19" i="22"/>
  <c r="B19" i="22" s="1"/>
  <c r="AJ18" i="22"/>
  <c r="D18" i="22" s="1"/>
  <c r="W29" i="22"/>
  <c r="AB31" i="22"/>
  <c r="AB30" i="22"/>
  <c r="AL27" i="22"/>
  <c r="F27" i="22" s="1"/>
  <c r="AH37" i="22"/>
  <c r="B37" i="22" s="1"/>
  <c r="X34" i="22"/>
  <c r="AM44" i="22"/>
  <c r="G44" i="22" s="1"/>
  <c r="AC41" i="22"/>
  <c r="AO11" i="22"/>
  <c r="I11" i="22" s="1"/>
  <c r="Y11" i="22"/>
  <c r="AF16" i="22"/>
  <c r="AL13" i="22"/>
  <c r="F13" i="22" s="1"/>
  <c r="AH23" i="22"/>
  <c r="B23" i="22" s="1"/>
  <c r="AL21" i="22"/>
  <c r="F21" i="22" s="1"/>
  <c r="X20" i="22"/>
  <c r="W11" i="22"/>
  <c r="AK11" i="22"/>
  <c r="E11" i="22" s="1"/>
  <c r="AF11" i="22"/>
  <c r="Z11" i="22"/>
  <c r="AL10" i="22"/>
  <c r="F10" i="22" s="1"/>
  <c r="AD10" i="22"/>
  <c r="AJ16" i="22"/>
  <c r="D16" i="22" s="1"/>
  <c r="AL15" i="22"/>
  <c r="F15" i="22" s="1"/>
  <c r="AN14" i="22"/>
  <c r="H14" i="22" s="1"/>
  <c r="X14" i="22"/>
  <c r="Z13" i="22"/>
  <c r="AL23" i="22"/>
  <c r="F23" i="22" s="1"/>
  <c r="AN22" i="22"/>
  <c r="H22" i="22" s="1"/>
  <c r="X22" i="22"/>
  <c r="Z21" i="22"/>
  <c r="AB20" i="22"/>
  <c r="AD19" i="22"/>
  <c r="AF18" i="22"/>
  <c r="AN31" i="22"/>
  <c r="H31" i="22" s="1"/>
  <c r="X31" i="22"/>
  <c r="AM29" i="22"/>
  <c r="G29" i="22" s="1"/>
  <c r="AN26" i="22"/>
  <c r="H26" i="22" s="1"/>
  <c r="AJ36" i="22"/>
  <c r="D36" i="22" s="1"/>
  <c r="Z33" i="22"/>
  <c r="AO43" i="22"/>
  <c r="I43" i="22" s="1"/>
  <c r="AE40" i="22"/>
  <c r="A4" i="57"/>
  <c r="A5" i="57"/>
  <c r="A6" i="57"/>
  <c r="A7" i="57"/>
  <c r="A8" i="57"/>
  <c r="A9" i="57"/>
  <c r="A10" i="57"/>
  <c r="A11" i="57"/>
  <c r="A12" i="57"/>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2" i="57"/>
  <c r="A93" i="57"/>
  <c r="A94" i="57"/>
  <c r="A95" i="57"/>
  <c r="A96"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3" i="57"/>
  <c r="A3" i="58"/>
  <c r="I8" i="22" l="1"/>
  <c r="AE125" i="56"/>
  <c r="K15" i="22"/>
  <c r="AB16" i="32"/>
  <c r="B16" i="32" s="1"/>
  <c r="K37" i="22"/>
  <c r="AB38" i="32"/>
  <c r="B38" i="32" s="1"/>
  <c r="K19" i="22"/>
  <c r="AB20" i="32"/>
  <c r="B20" i="32" s="1"/>
  <c r="K31" i="22"/>
  <c r="AB32" i="32"/>
  <c r="B32" i="32" s="1"/>
  <c r="K13" i="22"/>
  <c r="AB14" i="32"/>
  <c r="K20" i="22"/>
  <c r="AB21" i="32"/>
  <c r="B21" i="32" s="1"/>
  <c r="K40" i="22"/>
  <c r="AB41" i="32"/>
  <c r="B41" i="32" s="1"/>
  <c r="K21" i="22"/>
  <c r="AB22" i="32"/>
  <c r="B22" i="32" s="1"/>
  <c r="K33" i="22"/>
  <c r="AB34" i="32"/>
  <c r="B34" i="32" s="1"/>
  <c r="K14" i="22"/>
  <c r="AB15" i="32"/>
  <c r="B15" i="32" s="1"/>
  <c r="K34" i="22"/>
  <c r="AB35" i="32"/>
  <c r="B35" i="32" s="1"/>
  <c r="K45" i="22"/>
  <c r="AB46" i="32"/>
  <c r="B46" i="32" s="1"/>
  <c r="K27" i="22"/>
  <c r="AB28" i="32"/>
  <c r="B28" i="32" s="1"/>
  <c r="K35" i="22"/>
  <c r="AB36" i="32"/>
  <c r="B36" i="32" s="1"/>
  <c r="K16" i="22"/>
  <c r="AB17" i="32"/>
  <c r="K43" i="22"/>
  <c r="AB44" i="32"/>
  <c r="B44" i="32" s="1"/>
  <c r="K46" i="22"/>
  <c r="AB47" i="32"/>
  <c r="B47" i="32" s="1"/>
  <c r="K28" i="22"/>
  <c r="AB29" i="32"/>
  <c r="B29" i="32" s="1"/>
  <c r="K8" i="22"/>
  <c r="AE127" i="56"/>
  <c r="AB9" i="32"/>
  <c r="K24" i="22"/>
  <c r="AB25" i="32"/>
  <c r="B25" i="32" s="1"/>
  <c r="K41" i="22"/>
  <c r="AB42" i="32"/>
  <c r="K22" i="22"/>
  <c r="AB23" i="32"/>
  <c r="B23" i="32" s="1"/>
  <c r="K30" i="22"/>
  <c r="AB31" i="32"/>
  <c r="K11" i="22"/>
  <c r="AB12" i="32"/>
  <c r="B12" i="32" s="1"/>
  <c r="K29" i="22"/>
  <c r="AB30" i="32"/>
  <c r="K42" i="22"/>
  <c r="AB43" i="32"/>
  <c r="K23" i="22"/>
  <c r="AB24" i="32"/>
  <c r="K10" i="22"/>
  <c r="AB11" i="32"/>
  <c r="K36" i="22"/>
  <c r="AB37" i="32"/>
  <c r="K18" i="22"/>
  <c r="AB19" i="32"/>
  <c r="K38" i="22"/>
  <c r="AB39" i="32"/>
  <c r="K44" i="22"/>
  <c r="AB45" i="32"/>
  <c r="B45" i="32" s="1"/>
  <c r="K26" i="22"/>
  <c r="AB27" i="32"/>
  <c r="AE118" i="56"/>
  <c r="B8" i="22"/>
  <c r="AE124" i="56"/>
  <c r="H8" i="22"/>
  <c r="AE123" i="56"/>
  <c r="G8" i="22"/>
  <c r="AE120" i="56"/>
  <c r="D8" i="22"/>
  <c r="AE119" i="56"/>
  <c r="C8" i="22"/>
  <c r="AE121" i="56"/>
  <c r="E8" i="22"/>
  <c r="AE122" i="56"/>
  <c r="F8" i="22"/>
  <c r="B9" i="32"/>
  <c r="AT12" i="9"/>
  <c r="V12" i="9" s="1"/>
  <c r="AT16" i="9"/>
  <c r="V16" i="9" s="1"/>
  <c r="AT21" i="9"/>
  <c r="V21" i="9" s="1"/>
  <c r="AT19" i="9"/>
  <c r="V19" i="9" s="1"/>
  <c r="AT23" i="9"/>
  <c r="V23" i="9" s="1"/>
  <c r="AT15" i="9"/>
  <c r="V15" i="9" s="1"/>
  <c r="AT13" i="9"/>
  <c r="V13" i="9" s="1"/>
  <c r="AT17" i="9"/>
  <c r="V17" i="9" s="1"/>
  <c r="AT22" i="9"/>
  <c r="V22" i="9" s="1"/>
  <c r="AT14" i="9"/>
  <c r="V14" i="9" s="1"/>
  <c r="AT11" i="9"/>
  <c r="V11" i="9" s="1"/>
  <c r="V9" i="9" s="1"/>
  <c r="AT20" i="9"/>
  <c r="V20" i="9" s="1"/>
  <c r="B31" i="32"/>
  <c r="P48" i="55"/>
  <c r="P20" i="55"/>
  <c r="P43" i="55"/>
  <c r="P15" i="55"/>
  <c r="P46" i="55"/>
  <c r="P18" i="55"/>
  <c r="B42" i="32"/>
  <c r="P25" i="55"/>
  <c r="P53" i="55"/>
  <c r="B17" i="32"/>
  <c r="P44" i="55"/>
  <c r="P16" i="55"/>
  <c r="B39" i="32"/>
  <c r="P17" i="55"/>
  <c r="P45" i="55"/>
  <c r="P55" i="55"/>
  <c r="P27" i="55"/>
  <c r="P39" i="55"/>
  <c r="Q39" i="55" s="1"/>
  <c r="P11" i="55"/>
  <c r="Q11" i="55" s="1"/>
  <c r="P42" i="55"/>
  <c r="P14" i="55"/>
  <c r="B37" i="32"/>
  <c r="B19" i="32"/>
  <c r="P13" i="55"/>
  <c r="P41" i="55"/>
  <c r="P56" i="55"/>
  <c r="P28" i="55"/>
  <c r="P40" i="55"/>
  <c r="P12" i="55"/>
  <c r="P51" i="55"/>
  <c r="P23" i="55"/>
  <c r="P21" i="55"/>
  <c r="P49" i="55"/>
  <c r="P54" i="55"/>
  <c r="P26" i="55"/>
  <c r="P38" i="55"/>
  <c r="P10" i="55"/>
  <c r="B14" i="32"/>
  <c r="P52" i="55"/>
  <c r="P24" i="55"/>
  <c r="P36" i="55"/>
  <c r="P8" i="55"/>
  <c r="B30" i="32"/>
  <c r="B11" i="32"/>
  <c r="B27" i="32"/>
  <c r="P47" i="55"/>
  <c r="P19" i="55"/>
  <c r="B43" i="32"/>
  <c r="B24" i="32"/>
  <c r="P9" i="55"/>
  <c r="P37" i="55"/>
  <c r="P50" i="55"/>
  <c r="P22" i="55"/>
  <c r="AE126" i="56"/>
  <c r="AF126" i="56" s="1"/>
  <c r="Z19" i="9"/>
  <c r="B19" i="9" s="1"/>
  <c r="AS13" i="9"/>
  <c r="U13" i="9" s="1"/>
  <c r="AS14" i="9"/>
  <c r="U14" i="9" s="1"/>
  <c r="AS19" i="9"/>
  <c r="U19" i="9" s="1"/>
  <c r="AS23" i="9"/>
  <c r="U23" i="9" s="1"/>
  <c r="AS11" i="9"/>
  <c r="U11" i="9" s="1"/>
  <c r="U9" i="9" s="1"/>
  <c r="AS15" i="9"/>
  <c r="U15" i="9" s="1"/>
  <c r="AS20" i="9"/>
  <c r="U20" i="9" s="1"/>
  <c r="AS12" i="9"/>
  <c r="U12" i="9" s="1"/>
  <c r="AS16" i="9"/>
  <c r="U16" i="9" s="1"/>
  <c r="AS21" i="9"/>
  <c r="U21" i="9" s="1"/>
  <c r="AS17" i="9"/>
  <c r="U17" i="9" s="1"/>
  <c r="AS22" i="9"/>
  <c r="U22" i="9" s="1"/>
  <c r="Z11" i="9"/>
  <c r="B11" i="9" s="1"/>
  <c r="AB23" i="9"/>
  <c r="D23" i="9" s="1"/>
  <c r="AA23" i="9"/>
  <c r="C23" i="9" s="1"/>
  <c r="AM11" i="9"/>
  <c r="O11" i="9" s="1"/>
  <c r="AE11" i="9"/>
  <c r="G11" i="9" s="1"/>
  <c r="AP12" i="9"/>
  <c r="R12" i="9" s="1"/>
  <c r="AH12" i="9"/>
  <c r="J12" i="9" s="1"/>
  <c r="Z13" i="9"/>
  <c r="B13" i="9" s="1"/>
  <c r="AK13" i="9"/>
  <c r="M13" i="9" s="1"/>
  <c r="AC13" i="9"/>
  <c r="E13" i="9" s="1"/>
  <c r="AF14" i="9"/>
  <c r="H14" i="9" s="1"/>
  <c r="AI15" i="9"/>
  <c r="K15" i="9" s="1"/>
  <c r="AL16" i="9"/>
  <c r="N16" i="9" s="1"/>
  <c r="AO17" i="9"/>
  <c r="Q17" i="9" s="1"/>
  <c r="AF19" i="9"/>
  <c r="H19" i="9" s="1"/>
  <c r="AI20" i="9"/>
  <c r="K20" i="9" s="1"/>
  <c r="AL21" i="9"/>
  <c r="N21" i="9" s="1"/>
  <c r="AO22" i="9"/>
  <c r="Q22" i="9" s="1"/>
  <c r="AR23" i="9"/>
  <c r="T23" i="9" s="1"/>
  <c r="AC23" i="9"/>
  <c r="E23" i="9" s="1"/>
  <c r="AG23" i="9"/>
  <c r="I23" i="9" s="1"/>
  <c r="AK23" i="9"/>
  <c r="M23" i="9" s="1"/>
  <c r="AO23" i="9"/>
  <c r="Q23" i="9" s="1"/>
  <c r="Z23" i="9"/>
  <c r="B23" i="9" s="1"/>
  <c r="AD22" i="9"/>
  <c r="F22" i="9" s="1"/>
  <c r="AH22" i="9"/>
  <c r="J22" i="9" s="1"/>
  <c r="AL22" i="9"/>
  <c r="N22" i="9" s="1"/>
  <c r="AP22" i="9"/>
  <c r="R22" i="9" s="1"/>
  <c r="AA21" i="9"/>
  <c r="C21" i="9" s="1"/>
  <c r="AE21" i="9"/>
  <c r="G21" i="9" s="1"/>
  <c r="AI21" i="9"/>
  <c r="K21" i="9" s="1"/>
  <c r="AM21" i="9"/>
  <c r="O21" i="9" s="1"/>
  <c r="AQ21" i="9"/>
  <c r="S21" i="9" s="1"/>
  <c r="AB20" i="9"/>
  <c r="D20" i="9" s="1"/>
  <c r="AF20" i="9"/>
  <c r="H20" i="9" s="1"/>
  <c r="AJ20" i="9"/>
  <c r="L20" i="9" s="1"/>
  <c r="AN20" i="9"/>
  <c r="P20" i="9" s="1"/>
  <c r="AR20" i="9"/>
  <c r="T20" i="9" s="1"/>
  <c r="AC19" i="9"/>
  <c r="E19" i="9" s="1"/>
  <c r="AG19" i="9"/>
  <c r="I19" i="9" s="1"/>
  <c r="AK19" i="9"/>
  <c r="M19" i="9" s="1"/>
  <c r="AO19" i="9"/>
  <c r="Q19" i="9" s="1"/>
  <c r="AD17" i="9"/>
  <c r="F17" i="9" s="1"/>
  <c r="AH17" i="9"/>
  <c r="J17" i="9" s="1"/>
  <c r="AL17" i="9"/>
  <c r="N17" i="9" s="1"/>
  <c r="AP17" i="9"/>
  <c r="R17" i="9" s="1"/>
  <c r="AA16" i="9"/>
  <c r="C16" i="9" s="1"/>
  <c r="AE16" i="9"/>
  <c r="G16" i="9" s="1"/>
  <c r="AI16" i="9"/>
  <c r="K16" i="9" s="1"/>
  <c r="AM16" i="9"/>
  <c r="O16" i="9" s="1"/>
  <c r="AQ16" i="9"/>
  <c r="S16" i="9" s="1"/>
  <c r="AB15" i="9"/>
  <c r="D15" i="9" s="1"/>
  <c r="AF15" i="9"/>
  <c r="H15" i="9" s="1"/>
  <c r="AJ15" i="9"/>
  <c r="L15" i="9" s="1"/>
  <c r="AN15" i="9"/>
  <c r="P15" i="9" s="1"/>
  <c r="AR15" i="9"/>
  <c r="T15" i="9" s="1"/>
  <c r="AC14" i="9"/>
  <c r="E14" i="9" s="1"/>
  <c r="AG14" i="9"/>
  <c r="I14" i="9" s="1"/>
  <c r="AK14" i="9"/>
  <c r="M14" i="9" s="1"/>
  <c r="AO14" i="9"/>
  <c r="Q14" i="9" s="1"/>
  <c r="Z14" i="9"/>
  <c r="B14" i="9" s="1"/>
  <c r="AD13" i="9"/>
  <c r="F13" i="9" s="1"/>
  <c r="AH13" i="9"/>
  <c r="J13" i="9" s="1"/>
  <c r="AL13" i="9"/>
  <c r="N13" i="9" s="1"/>
  <c r="AP13" i="9"/>
  <c r="R13" i="9" s="1"/>
  <c r="AA12" i="9"/>
  <c r="C12" i="9" s="1"/>
  <c r="AE12" i="9"/>
  <c r="G12" i="9" s="1"/>
  <c r="AI12" i="9"/>
  <c r="K12" i="9" s="1"/>
  <c r="AM12" i="9"/>
  <c r="O12" i="9" s="1"/>
  <c r="AQ12" i="9"/>
  <c r="S12" i="9" s="1"/>
  <c r="AB11" i="9"/>
  <c r="D11" i="9" s="1"/>
  <c r="AF11" i="9"/>
  <c r="H11" i="9" s="1"/>
  <c r="AJ11" i="9"/>
  <c r="L11" i="9" s="1"/>
  <c r="AN11" i="9"/>
  <c r="P11" i="9" s="1"/>
  <c r="AR11" i="9"/>
  <c r="T11" i="9" s="1"/>
  <c r="AD23" i="9"/>
  <c r="F23" i="9" s="1"/>
  <c r="AH23" i="9"/>
  <c r="J23" i="9" s="1"/>
  <c r="AL23" i="9"/>
  <c r="N23" i="9" s="1"/>
  <c r="AP23" i="9"/>
  <c r="R23" i="9" s="1"/>
  <c r="AA22" i="9"/>
  <c r="C22" i="9" s="1"/>
  <c r="AE22" i="9"/>
  <c r="G22" i="9" s="1"/>
  <c r="AI22" i="9"/>
  <c r="K22" i="9" s="1"/>
  <c r="AM22" i="9"/>
  <c r="O22" i="9" s="1"/>
  <c r="AQ22" i="9"/>
  <c r="S22" i="9" s="1"/>
  <c r="AB21" i="9"/>
  <c r="D21" i="9" s="1"/>
  <c r="AF21" i="9"/>
  <c r="H21" i="9" s="1"/>
  <c r="AN21" i="9"/>
  <c r="P21" i="9" s="1"/>
  <c r="AR21" i="9"/>
  <c r="T21" i="9" s="1"/>
  <c r="AC20" i="9"/>
  <c r="E20" i="9" s="1"/>
  <c r="AK20" i="9"/>
  <c r="M20" i="9" s="1"/>
  <c r="Z20" i="9"/>
  <c r="B20" i="9" s="1"/>
  <c r="AH19" i="9"/>
  <c r="J19" i="9" s="1"/>
  <c r="AL19" i="9"/>
  <c r="N19" i="9" s="1"/>
  <c r="AA17" i="9"/>
  <c r="C17" i="9" s="1"/>
  <c r="AI17" i="9"/>
  <c r="K17" i="9" s="1"/>
  <c r="AQ17" i="9"/>
  <c r="S17" i="9" s="1"/>
  <c r="AF16" i="9"/>
  <c r="H16" i="9" s="1"/>
  <c r="AN16" i="9"/>
  <c r="P16" i="9" s="1"/>
  <c r="AC15" i="9"/>
  <c r="E15" i="9" s="1"/>
  <c r="AK15" i="9"/>
  <c r="M15" i="9" s="1"/>
  <c r="Z15" i="9"/>
  <c r="B15" i="9" s="1"/>
  <c r="AH14" i="9"/>
  <c r="J14" i="9" s="1"/>
  <c r="AP14" i="9"/>
  <c r="R14" i="9" s="1"/>
  <c r="AJ21" i="9"/>
  <c r="L21" i="9" s="1"/>
  <c r="AG20" i="9"/>
  <c r="I20" i="9" s="1"/>
  <c r="AO20" i="9"/>
  <c r="Q20" i="9" s="1"/>
  <c r="AD19" i="9"/>
  <c r="F19" i="9" s="1"/>
  <c r="AP19" i="9"/>
  <c r="R19" i="9" s="1"/>
  <c r="AE17" i="9"/>
  <c r="G17" i="9" s="1"/>
  <c r="AM17" i="9"/>
  <c r="O17" i="9" s="1"/>
  <c r="AB16" i="9"/>
  <c r="D16" i="9" s="1"/>
  <c r="AJ16" i="9"/>
  <c r="L16" i="9" s="1"/>
  <c r="AR16" i="9"/>
  <c r="T16" i="9" s="1"/>
  <c r="AG15" i="9"/>
  <c r="I15" i="9" s="1"/>
  <c r="AO15" i="9"/>
  <c r="Q15" i="9" s="1"/>
  <c r="AD14" i="9"/>
  <c r="F14" i="9" s="1"/>
  <c r="AL14" i="9"/>
  <c r="N14" i="9" s="1"/>
  <c r="AA13" i="9"/>
  <c r="C13" i="9" s="1"/>
  <c r="AG11" i="9"/>
  <c r="I11" i="9" s="1"/>
  <c r="AJ12" i="9"/>
  <c r="L12" i="9" s="1"/>
  <c r="AM13" i="9"/>
  <c r="O13" i="9" s="1"/>
  <c r="AJ14" i="9"/>
  <c r="L14" i="9" s="1"/>
  <c r="AP16" i="9"/>
  <c r="R16" i="9" s="1"/>
  <c r="AJ19" i="9"/>
  <c r="L19" i="9" s="1"/>
  <c r="AK11" i="9"/>
  <c r="M11" i="9" s="1"/>
  <c r="AC11" i="9"/>
  <c r="E11" i="9" s="1"/>
  <c r="AN12" i="9"/>
  <c r="P12" i="9" s="1"/>
  <c r="AF12" i="9"/>
  <c r="H12" i="9" s="1"/>
  <c r="AQ13" i="9"/>
  <c r="S13" i="9" s="1"/>
  <c r="AI13" i="9"/>
  <c r="K13" i="9" s="1"/>
  <c r="AR14" i="9"/>
  <c r="T14" i="9" s="1"/>
  <c r="AB14" i="9"/>
  <c r="D14" i="9" s="1"/>
  <c r="AE15" i="9"/>
  <c r="G15" i="9" s="1"/>
  <c r="AH16" i="9"/>
  <c r="J16" i="9" s="1"/>
  <c r="AK17" i="9"/>
  <c r="M17" i="9" s="1"/>
  <c r="AR19" i="9"/>
  <c r="T19" i="9" s="1"/>
  <c r="AB19" i="9"/>
  <c r="D19" i="9" s="1"/>
  <c r="AE20" i="9"/>
  <c r="G20" i="9" s="1"/>
  <c r="AH21" i="9"/>
  <c r="J21" i="9" s="1"/>
  <c r="AK22" i="9"/>
  <c r="M22" i="9" s="1"/>
  <c r="AN23" i="9"/>
  <c r="P23" i="9" s="1"/>
  <c r="AO11" i="9"/>
  <c r="Q11" i="9" s="1"/>
  <c r="AR12" i="9"/>
  <c r="T12" i="9" s="1"/>
  <c r="AB12" i="9"/>
  <c r="D12" i="9" s="1"/>
  <c r="AE13" i="9"/>
  <c r="G13" i="9" s="1"/>
  <c r="AM15" i="9"/>
  <c r="O15" i="9" s="1"/>
  <c r="Z17" i="9"/>
  <c r="B17" i="9" s="1"/>
  <c r="AC17" i="9"/>
  <c r="E17" i="9" s="1"/>
  <c r="AM20" i="9"/>
  <c r="O20" i="9" s="1"/>
  <c r="AP21" i="9"/>
  <c r="R21" i="9" s="1"/>
  <c r="Z22" i="9"/>
  <c r="B22" i="9" s="1"/>
  <c r="AC22" i="9"/>
  <c r="E22" i="9" s="1"/>
  <c r="AF23" i="9"/>
  <c r="H23" i="9" s="1"/>
  <c r="AQ11" i="9"/>
  <c r="S11" i="9" s="1"/>
  <c r="AI11" i="9"/>
  <c r="K11" i="9" s="1"/>
  <c r="AA11" i="9"/>
  <c r="C11" i="9" s="1"/>
  <c r="AL12" i="9"/>
  <c r="N12" i="9" s="1"/>
  <c r="AD12" i="9"/>
  <c r="F12" i="9" s="1"/>
  <c r="AO13" i="9"/>
  <c r="Q13" i="9" s="1"/>
  <c r="AG13" i="9"/>
  <c r="I13" i="9" s="1"/>
  <c r="AN14" i="9"/>
  <c r="P14" i="9" s="1"/>
  <c r="AQ15" i="9"/>
  <c r="S15" i="9" s="1"/>
  <c r="AA15" i="9"/>
  <c r="C15" i="9" s="1"/>
  <c r="AD16" i="9"/>
  <c r="F16" i="9" s="1"/>
  <c r="AG17" i="9"/>
  <c r="I17" i="9" s="1"/>
  <c r="AN19" i="9"/>
  <c r="P19" i="9" s="1"/>
  <c r="AQ20" i="9"/>
  <c r="S20" i="9" s="1"/>
  <c r="AA20" i="9"/>
  <c r="C20" i="9" s="1"/>
  <c r="AD21" i="9"/>
  <c r="F21" i="9" s="1"/>
  <c r="AG22" i="9"/>
  <c r="I22" i="9" s="1"/>
  <c r="AJ23" i="9"/>
  <c r="L23" i="9" s="1"/>
  <c r="AP11" i="9"/>
  <c r="R11" i="9" s="1"/>
  <c r="AL11" i="9"/>
  <c r="N11" i="9" s="1"/>
  <c r="AH11" i="9"/>
  <c r="J11" i="9" s="1"/>
  <c r="AD11" i="9"/>
  <c r="F11" i="9" s="1"/>
  <c r="Z12" i="9"/>
  <c r="B12" i="9" s="1"/>
  <c r="AO12" i="9"/>
  <c r="Q12" i="9" s="1"/>
  <c r="AK12" i="9"/>
  <c r="M12" i="9" s="1"/>
  <c r="AG12" i="9"/>
  <c r="I12" i="9" s="1"/>
  <c r="AC12" i="9"/>
  <c r="E12" i="9" s="1"/>
  <c r="AR13" i="9"/>
  <c r="T13" i="9" s="1"/>
  <c r="AN13" i="9"/>
  <c r="P13" i="9" s="1"/>
  <c r="AJ13" i="9"/>
  <c r="L13" i="9" s="1"/>
  <c r="AF13" i="9"/>
  <c r="H13" i="9" s="1"/>
  <c r="AB13" i="9"/>
  <c r="D13" i="9" s="1"/>
  <c r="AQ14" i="9"/>
  <c r="S14" i="9" s="1"/>
  <c r="AM14" i="9"/>
  <c r="O14" i="9" s="1"/>
  <c r="AI14" i="9"/>
  <c r="K14" i="9" s="1"/>
  <c r="AE14" i="9"/>
  <c r="G14" i="9" s="1"/>
  <c r="AA14" i="9"/>
  <c r="C14" i="9" s="1"/>
  <c r="AP15" i="9"/>
  <c r="R15" i="9" s="1"/>
  <c r="AL15" i="9"/>
  <c r="N15" i="9" s="1"/>
  <c r="AH15" i="9"/>
  <c r="J15" i="9" s="1"/>
  <c r="AD15" i="9"/>
  <c r="F15" i="9" s="1"/>
  <c r="Z16" i="9"/>
  <c r="B16" i="9" s="1"/>
  <c r="AO16" i="9"/>
  <c r="Q16" i="9" s="1"/>
  <c r="AK16" i="9"/>
  <c r="M16" i="9" s="1"/>
  <c r="AG16" i="9"/>
  <c r="I16" i="9" s="1"/>
  <c r="AC16" i="9"/>
  <c r="E16" i="9" s="1"/>
  <c r="AR17" i="9"/>
  <c r="T17" i="9" s="1"/>
  <c r="AN17" i="9"/>
  <c r="P17" i="9" s="1"/>
  <c r="AJ17" i="9"/>
  <c r="L17" i="9" s="1"/>
  <c r="AF17" i="9"/>
  <c r="H17" i="9" s="1"/>
  <c r="AB17" i="9"/>
  <c r="D17" i="9" s="1"/>
  <c r="AQ19" i="9"/>
  <c r="S19" i="9" s="1"/>
  <c r="AM19" i="9"/>
  <c r="O19" i="9" s="1"/>
  <c r="AI19" i="9"/>
  <c r="K19" i="9" s="1"/>
  <c r="AE19" i="9"/>
  <c r="G19" i="9" s="1"/>
  <c r="AA19" i="9"/>
  <c r="C19" i="9" s="1"/>
  <c r="AP20" i="9"/>
  <c r="R20" i="9" s="1"/>
  <c r="AL20" i="9"/>
  <c r="N20" i="9" s="1"/>
  <c r="AH20" i="9"/>
  <c r="J20" i="9" s="1"/>
  <c r="AD20" i="9"/>
  <c r="F20" i="9" s="1"/>
  <c r="Z21" i="9"/>
  <c r="B21" i="9" s="1"/>
  <c r="AO21" i="9"/>
  <c r="Q21" i="9" s="1"/>
  <c r="AK21" i="9"/>
  <c r="M21" i="9" s="1"/>
  <c r="AG21" i="9"/>
  <c r="I21" i="9" s="1"/>
  <c r="AC21" i="9"/>
  <c r="E21" i="9" s="1"/>
  <c r="AR22" i="9"/>
  <c r="T22" i="9" s="1"/>
  <c r="AN22" i="9"/>
  <c r="P22" i="9" s="1"/>
  <c r="AJ22" i="9"/>
  <c r="L22" i="9" s="1"/>
  <c r="AF22" i="9"/>
  <c r="H22" i="9" s="1"/>
  <c r="AB22" i="9"/>
  <c r="D22" i="9" s="1"/>
  <c r="AQ23" i="9"/>
  <c r="S23" i="9" s="1"/>
  <c r="AM23" i="9"/>
  <c r="O23" i="9" s="1"/>
  <c r="AI23" i="9"/>
  <c r="K23" i="9" s="1"/>
  <c r="AE23" i="9"/>
  <c r="G23" i="9" s="1"/>
  <c r="AG47" i="56"/>
  <c r="F8" i="9"/>
  <c r="B8" i="9"/>
  <c r="Q8" i="9"/>
  <c r="M8" i="9"/>
  <c r="I8" i="9"/>
  <c r="E8" i="9"/>
  <c r="R8" i="9"/>
  <c r="J8" i="9"/>
  <c r="T8" i="9"/>
  <c r="P8" i="9"/>
  <c r="L8" i="9"/>
  <c r="H8" i="9"/>
  <c r="D8" i="9"/>
  <c r="N8" i="9"/>
  <c r="S8" i="9"/>
  <c r="O8" i="9"/>
  <c r="K8" i="9"/>
  <c r="G8" i="9"/>
  <c r="C8" i="9"/>
  <c r="AL127" i="56" l="1"/>
  <c r="AF127" i="56"/>
  <c r="AH127" i="56"/>
  <c r="O127" i="56" s="1"/>
  <c r="AG127" i="56"/>
  <c r="M9" i="9"/>
  <c r="L9" i="9"/>
  <c r="G9" i="9"/>
  <c r="N9" i="9"/>
  <c r="B9" i="9"/>
  <c r="S9" i="9"/>
  <c r="M33" i="39"/>
  <c r="M29" i="39"/>
  <c r="M45" i="39"/>
  <c r="M37" i="39"/>
  <c r="Q9" i="9"/>
  <c r="J9" i="9"/>
  <c r="M35" i="39"/>
  <c r="M63" i="39"/>
  <c r="M59" i="39"/>
  <c r="M39" i="39"/>
  <c r="M65" i="39"/>
  <c r="M70" i="39"/>
  <c r="M10" i="39"/>
  <c r="M15" i="39"/>
  <c r="M31" i="39"/>
  <c r="M20" i="39"/>
  <c r="M51" i="39"/>
  <c r="M68" i="39"/>
  <c r="M64" i="39"/>
  <c r="M60" i="39"/>
  <c r="M22" i="39"/>
  <c r="M18" i="39"/>
  <c r="M16" i="39"/>
  <c r="M43" i="39"/>
  <c r="M46" i="39"/>
  <c r="M44" i="39"/>
  <c r="M42" i="39"/>
  <c r="M25" i="39"/>
  <c r="M23" i="39"/>
  <c r="M21" i="39"/>
  <c r="M40" i="39"/>
  <c r="M38" i="39"/>
  <c r="M36" i="39"/>
  <c r="M47" i="39"/>
  <c r="M67" i="39"/>
  <c r="M62" i="39"/>
  <c r="M58" i="39"/>
  <c r="M56" i="39"/>
  <c r="M54" i="39"/>
  <c r="M52" i="39"/>
  <c r="M50" i="39"/>
  <c r="M24" i="39"/>
  <c r="M17" i="39"/>
  <c r="M69" i="39"/>
  <c r="M61" i="39"/>
  <c r="M57" i="39"/>
  <c r="M53" i="39"/>
  <c r="AL126" i="56"/>
  <c r="AG126" i="56"/>
  <c r="AH126" i="56"/>
  <c r="O126" i="56" s="1"/>
  <c r="M12" i="39"/>
  <c r="M13" i="39"/>
  <c r="M26" i="39"/>
  <c r="M32" i="39"/>
  <c r="M48" i="39"/>
  <c r="M30" i="39"/>
  <c r="M28" i="39"/>
  <c r="M55" i="39"/>
  <c r="M66" i="39"/>
  <c r="P9" i="9"/>
  <c r="O9" i="9"/>
  <c r="C9" i="9"/>
  <c r="H9" i="9"/>
  <c r="R9" i="9"/>
  <c r="T9" i="9"/>
  <c r="D9" i="9"/>
  <c r="I9" i="9"/>
  <c r="E9" i="9"/>
  <c r="F9" i="9"/>
  <c r="K9" i="9"/>
  <c r="AI127" i="56" l="1"/>
  <c r="AJ127" i="56"/>
  <c r="AM127" i="56"/>
  <c r="AO127" i="56"/>
  <c r="AN127" i="56"/>
  <c r="AI126" i="56"/>
  <c r="AO126" i="56"/>
  <c r="N126" i="56" s="1"/>
  <c r="AM126" i="56"/>
  <c r="AN126" i="56"/>
  <c r="AJ126" i="56"/>
  <c r="E41" i="7"/>
  <c r="A8" i="6" s="1"/>
  <c r="AP127" i="56" l="1"/>
  <c r="AQ127" i="56"/>
  <c r="N127" i="56"/>
  <c r="AA127" i="56" s="1"/>
  <c r="AP126" i="56"/>
  <c r="AQ126" i="56"/>
  <c r="H44" i="32"/>
  <c r="I44" i="32"/>
  <c r="J44" i="32"/>
  <c r="K44" i="32"/>
  <c r="L44" i="32"/>
  <c r="M44" i="32"/>
  <c r="N44" i="32"/>
  <c r="O44" i="32"/>
  <c r="P44" i="32"/>
  <c r="E48" i="31"/>
  <c r="E50" i="31"/>
  <c r="E51" i="31"/>
  <c r="E53" i="31"/>
  <c r="E54" i="31"/>
  <c r="E55" i="31"/>
  <c r="E56" i="31"/>
  <c r="L48" i="31"/>
  <c r="L50" i="31"/>
  <c r="L51" i="31"/>
  <c r="N45" i="39" l="1"/>
  <c r="H68" i="27" l="1"/>
  <c r="I68" i="27"/>
  <c r="J68" i="27"/>
  <c r="K68" i="27"/>
  <c r="H69" i="27"/>
  <c r="I69" i="27"/>
  <c r="J69" i="27"/>
  <c r="K69" i="27"/>
  <c r="H70" i="27"/>
  <c r="I70" i="27"/>
  <c r="J70" i="27"/>
  <c r="K70" i="27"/>
  <c r="H71" i="27"/>
  <c r="I71" i="27"/>
  <c r="J71" i="27"/>
  <c r="K71" i="27"/>
  <c r="H72" i="27"/>
  <c r="I72" i="27"/>
  <c r="J72" i="27"/>
  <c r="K72" i="27"/>
  <c r="G69" i="27"/>
  <c r="G70" i="27"/>
  <c r="G71" i="27"/>
  <c r="G72" i="27"/>
  <c r="G68" i="27"/>
  <c r="AH125" i="56" l="1"/>
  <c r="O125" i="56" s="1"/>
  <c r="K99" i="45"/>
  <c r="K93" i="45"/>
  <c r="K36" i="45"/>
  <c r="K37" i="45"/>
  <c r="K29" i="45"/>
  <c r="AG125" i="56" l="1"/>
  <c r="AI125" i="56" s="1"/>
  <c r="AF125" i="56"/>
  <c r="AJ125" i="56" s="1"/>
  <c r="AL125" i="56"/>
  <c r="AM125" i="56" l="1"/>
  <c r="AN125" i="56"/>
  <c r="AO125" i="56"/>
  <c r="N125" i="56" s="1"/>
  <c r="P92" i="55"/>
  <c r="P93" i="55"/>
  <c r="P94" i="55"/>
  <c r="Q94" i="55" s="1"/>
  <c r="P95" i="55"/>
  <c r="P96" i="55"/>
  <c r="P97" i="55"/>
  <c r="P98" i="55"/>
  <c r="P99" i="55"/>
  <c r="P100" i="55"/>
  <c r="P101" i="55"/>
  <c r="P102" i="55"/>
  <c r="P103" i="55"/>
  <c r="P104" i="55"/>
  <c r="P105" i="55"/>
  <c r="P106" i="55"/>
  <c r="P107" i="55"/>
  <c r="P108" i="55"/>
  <c r="P109" i="55"/>
  <c r="P110" i="55"/>
  <c r="P111" i="55"/>
  <c r="P112" i="55"/>
  <c r="AP125" i="56" l="1"/>
  <c r="AA125" i="56"/>
  <c r="AQ125" i="56"/>
  <c r="AA126" i="56"/>
  <c r="N42" i="39" l="1"/>
  <c r="N43" i="39"/>
  <c r="N35" i="39"/>
  <c r="N36" i="39"/>
  <c r="H41" i="32"/>
  <c r="I41" i="32"/>
  <c r="J41" i="32"/>
  <c r="K41" i="32"/>
  <c r="L41" i="32"/>
  <c r="M41" i="32"/>
  <c r="N41" i="32"/>
  <c r="O41" i="32"/>
  <c r="P41" i="32"/>
  <c r="H42" i="32"/>
  <c r="I42" i="32"/>
  <c r="J42" i="32"/>
  <c r="K42" i="32"/>
  <c r="L42" i="32"/>
  <c r="M42" i="32"/>
  <c r="N42" i="32"/>
  <c r="O42" i="32"/>
  <c r="P42" i="32"/>
  <c r="L34" i="32"/>
  <c r="M34" i="32"/>
  <c r="N34" i="32"/>
  <c r="O34" i="32"/>
  <c r="P34" i="32"/>
  <c r="H34" i="32"/>
  <c r="I34" i="32"/>
  <c r="J34" i="32"/>
  <c r="K34" i="32"/>
  <c r="C53" i="31"/>
  <c r="D53" i="31"/>
  <c r="F53" i="31"/>
  <c r="G53" i="31"/>
  <c r="H53" i="31"/>
  <c r="C54" i="31"/>
  <c r="D54" i="31"/>
  <c r="F54" i="31"/>
  <c r="G54" i="31"/>
  <c r="H54" i="31"/>
  <c r="C55" i="31"/>
  <c r="D55" i="31"/>
  <c r="F55" i="31"/>
  <c r="G55" i="31"/>
  <c r="H55" i="31"/>
  <c r="C56" i="31"/>
  <c r="D56" i="31"/>
  <c r="F56" i="31"/>
  <c r="G56" i="31"/>
  <c r="H56" i="31"/>
  <c r="J50" i="31"/>
  <c r="K50" i="31"/>
  <c r="M50" i="31"/>
  <c r="N50" i="31"/>
  <c r="O50" i="31"/>
  <c r="J51" i="31"/>
  <c r="K51" i="31"/>
  <c r="M51" i="31"/>
  <c r="N51" i="31"/>
  <c r="O51" i="31"/>
  <c r="J48" i="31"/>
  <c r="K48" i="31"/>
  <c r="M48" i="31"/>
  <c r="N48" i="31"/>
  <c r="O48" i="31"/>
  <c r="C50" i="31"/>
  <c r="D50" i="31"/>
  <c r="F50" i="31"/>
  <c r="G50" i="31"/>
  <c r="H50" i="31"/>
  <c r="C51" i="31"/>
  <c r="D51" i="31"/>
  <c r="F51" i="31"/>
  <c r="G51" i="31"/>
  <c r="H51" i="31"/>
  <c r="C48" i="31"/>
  <c r="D48" i="31"/>
  <c r="F48" i="31"/>
  <c r="G48" i="31"/>
  <c r="H48" i="31"/>
  <c r="I54" i="30"/>
  <c r="J54" i="30"/>
  <c r="K54" i="30"/>
  <c r="L54" i="30"/>
  <c r="M54" i="30"/>
  <c r="I55" i="30"/>
  <c r="J55" i="30"/>
  <c r="K55" i="30"/>
  <c r="L55" i="30"/>
  <c r="M55" i="30"/>
  <c r="I56" i="30"/>
  <c r="J56" i="30"/>
  <c r="K56" i="30"/>
  <c r="L56" i="30"/>
  <c r="M56" i="30"/>
  <c r="I57" i="30"/>
  <c r="J57" i="30"/>
  <c r="K57" i="30"/>
  <c r="L57" i="30"/>
  <c r="M57" i="30"/>
  <c r="C54" i="30"/>
  <c r="D54" i="30"/>
  <c r="E54" i="30"/>
  <c r="F54" i="30"/>
  <c r="G54" i="30"/>
  <c r="C55" i="30"/>
  <c r="D55" i="30"/>
  <c r="E55" i="30"/>
  <c r="F55" i="30"/>
  <c r="G55" i="30"/>
  <c r="C56" i="30"/>
  <c r="D56" i="30"/>
  <c r="E56" i="30"/>
  <c r="F56" i="30"/>
  <c r="G56" i="30"/>
  <c r="C57" i="30"/>
  <c r="D57" i="30"/>
  <c r="E57" i="30"/>
  <c r="F57" i="30"/>
  <c r="G57" i="30"/>
  <c r="B55" i="30"/>
  <c r="B56" i="30"/>
  <c r="B57" i="30"/>
  <c r="I51" i="30"/>
  <c r="J51" i="30"/>
  <c r="K51" i="30"/>
  <c r="L51" i="30"/>
  <c r="M51" i="30"/>
  <c r="I52" i="30"/>
  <c r="J52" i="30"/>
  <c r="K52" i="30"/>
  <c r="L52" i="30"/>
  <c r="M52" i="30"/>
  <c r="C51" i="30"/>
  <c r="D51" i="30"/>
  <c r="E51" i="30"/>
  <c r="F51" i="30"/>
  <c r="G51" i="30"/>
  <c r="C52" i="30"/>
  <c r="D52" i="30"/>
  <c r="E52" i="30"/>
  <c r="F52" i="30"/>
  <c r="G52" i="30"/>
  <c r="I49" i="30"/>
  <c r="J49" i="30"/>
  <c r="K49" i="30"/>
  <c r="L49" i="30"/>
  <c r="M49" i="30"/>
  <c r="C49" i="30"/>
  <c r="D49" i="30"/>
  <c r="E49" i="30"/>
  <c r="F49" i="30"/>
  <c r="G49" i="30"/>
  <c r="C51" i="26" l="1"/>
  <c r="D51" i="26"/>
  <c r="E51" i="26"/>
  <c r="F51" i="26"/>
  <c r="G51" i="26"/>
  <c r="H51" i="26"/>
  <c r="B51" i="26"/>
  <c r="H50" i="26"/>
  <c r="C50" i="26"/>
  <c r="D50" i="26"/>
  <c r="E50" i="26"/>
  <c r="F50" i="26"/>
  <c r="G50" i="26"/>
  <c r="B50" i="26"/>
  <c r="K77" i="45" l="1"/>
  <c r="AK157" i="56" s="1"/>
  <c r="K72" i="45"/>
  <c r="K75" i="45"/>
  <c r="K74" i="45"/>
  <c r="AL124" i="56" l="1"/>
  <c r="AH124" i="56"/>
  <c r="O124" i="56" s="1"/>
  <c r="AF124" i="56"/>
  <c r="AG124" i="56"/>
  <c r="F27" i="45"/>
  <c r="AI124" i="56" l="1"/>
  <c r="AJ124" i="56"/>
  <c r="AM124" i="56"/>
  <c r="AO124" i="56"/>
  <c r="N124" i="56" s="1"/>
  <c r="AN124" i="56"/>
  <c r="K11" i="45"/>
  <c r="AP124" i="56" l="1"/>
  <c r="AQ124" i="56"/>
  <c r="AA124" i="56"/>
  <c r="N15" i="32" l="1"/>
  <c r="O16" i="32"/>
  <c r="O14" i="32"/>
  <c r="L46" i="32"/>
  <c r="N43" i="32"/>
  <c r="N37" i="32"/>
  <c r="P38" i="32"/>
  <c r="L28" i="32"/>
  <c r="N29" i="32"/>
  <c r="M31" i="32"/>
  <c r="O27" i="32"/>
  <c r="L21" i="32"/>
  <c r="O23" i="32"/>
  <c r="P24" i="32"/>
  <c r="O19" i="32"/>
  <c r="M12" i="32"/>
  <c r="N11" i="32"/>
  <c r="P9" i="32"/>
  <c r="H12" i="32"/>
  <c r="H14" i="32"/>
  <c r="H15" i="32"/>
  <c r="H16" i="32"/>
  <c r="H17" i="32"/>
  <c r="H19" i="32"/>
  <c r="H20" i="32"/>
  <c r="H21" i="32"/>
  <c r="H22" i="32"/>
  <c r="H23" i="32"/>
  <c r="H24" i="32"/>
  <c r="H27" i="32"/>
  <c r="H28" i="32"/>
  <c r="H29" i="32"/>
  <c r="H30" i="32"/>
  <c r="H31" i="32"/>
  <c r="H35" i="32"/>
  <c r="H36" i="32"/>
  <c r="H37" i="32"/>
  <c r="H38" i="32"/>
  <c r="I9" i="32"/>
  <c r="J9" i="32"/>
  <c r="K9" i="32"/>
  <c r="I11" i="32"/>
  <c r="J11" i="32"/>
  <c r="K11" i="32"/>
  <c r="I12" i="32"/>
  <c r="J12" i="32"/>
  <c r="K12" i="32"/>
  <c r="I14" i="32"/>
  <c r="J14" i="32"/>
  <c r="K14" i="32"/>
  <c r="I15" i="32"/>
  <c r="J15" i="32"/>
  <c r="K15" i="32"/>
  <c r="I16" i="32"/>
  <c r="J16" i="32"/>
  <c r="K16" i="32"/>
  <c r="L16" i="32"/>
  <c r="N16" i="32"/>
  <c r="P16" i="32"/>
  <c r="I17" i="32"/>
  <c r="J17" i="32"/>
  <c r="K17" i="32"/>
  <c r="L17" i="32"/>
  <c r="M17" i="32"/>
  <c r="N17" i="32"/>
  <c r="O17" i="32"/>
  <c r="P17" i="32"/>
  <c r="I19" i="32"/>
  <c r="J19" i="32"/>
  <c r="K19" i="32"/>
  <c r="M20" i="32"/>
  <c r="I20" i="32"/>
  <c r="J20" i="32"/>
  <c r="K20" i="32"/>
  <c r="L20" i="32"/>
  <c r="O20" i="32"/>
  <c r="P20" i="32"/>
  <c r="I21" i="32"/>
  <c r="J21" i="32"/>
  <c r="K21" i="32"/>
  <c r="N21" i="32"/>
  <c r="M22" i="32"/>
  <c r="I22" i="32"/>
  <c r="J22" i="32"/>
  <c r="K22" i="32"/>
  <c r="L22" i="32"/>
  <c r="O22" i="32"/>
  <c r="P22" i="32"/>
  <c r="I23" i="32"/>
  <c r="J23" i="32"/>
  <c r="K23" i="32"/>
  <c r="I24" i="32"/>
  <c r="J24" i="32"/>
  <c r="K24" i="32"/>
  <c r="I27" i="32"/>
  <c r="J27" i="32"/>
  <c r="K27" i="32"/>
  <c r="I28" i="32"/>
  <c r="J28" i="32"/>
  <c r="K28" i="32"/>
  <c r="I29" i="32"/>
  <c r="J29" i="32"/>
  <c r="K29" i="32"/>
  <c r="L30" i="32"/>
  <c r="I30" i="32"/>
  <c r="J30" i="32"/>
  <c r="K30" i="32"/>
  <c r="O30" i="32"/>
  <c r="I31" i="32"/>
  <c r="J31" i="32"/>
  <c r="K31" i="32"/>
  <c r="L31" i="32"/>
  <c r="N31" i="32"/>
  <c r="O31" i="32"/>
  <c r="P31" i="32"/>
  <c r="L35" i="32"/>
  <c r="I35" i="32"/>
  <c r="J35" i="32"/>
  <c r="K35" i="32"/>
  <c r="M35" i="32"/>
  <c r="N35" i="32"/>
  <c r="O35" i="32"/>
  <c r="M36" i="32"/>
  <c r="I36" i="32"/>
  <c r="J36" i="32"/>
  <c r="K36" i="32"/>
  <c r="L36" i="32"/>
  <c r="O36" i="32"/>
  <c r="P36" i="32"/>
  <c r="I37" i="32"/>
  <c r="J37" i="32"/>
  <c r="K37" i="32"/>
  <c r="I38" i="32"/>
  <c r="J38" i="32"/>
  <c r="K38" i="32"/>
  <c r="H43" i="32"/>
  <c r="I43" i="32"/>
  <c r="J43" i="32"/>
  <c r="K43" i="32"/>
  <c r="M43" i="32"/>
  <c r="O43" i="32"/>
  <c r="L45" i="32"/>
  <c r="H45" i="32"/>
  <c r="I45" i="32"/>
  <c r="J45" i="32"/>
  <c r="K45" i="32"/>
  <c r="O45" i="32"/>
  <c r="J51" i="26"/>
  <c r="K51" i="26"/>
  <c r="L51" i="26"/>
  <c r="M51" i="26"/>
  <c r="N51" i="26"/>
  <c r="O51" i="26"/>
  <c r="I51" i="26"/>
  <c r="J50" i="26"/>
  <c r="K50" i="26"/>
  <c r="L50" i="26"/>
  <c r="M50" i="26"/>
  <c r="N50" i="26"/>
  <c r="O50" i="26"/>
  <c r="I50" i="26"/>
  <c r="O9" i="32" l="1"/>
  <c r="O38" i="32"/>
  <c r="N27" i="32"/>
  <c r="M29" i="32"/>
  <c r="M15" i="32"/>
  <c r="O46" i="32"/>
  <c r="O37" i="32"/>
  <c r="P14" i="32"/>
  <c r="M37" i="32"/>
  <c r="L37" i="32"/>
  <c r="L14" i="32"/>
  <c r="N23" i="32"/>
  <c r="N19" i="32"/>
  <c r="N14" i="32"/>
  <c r="P43" i="32"/>
  <c r="L43" i="32"/>
  <c r="M23" i="32"/>
  <c r="L23" i="32"/>
  <c r="O21" i="32"/>
  <c r="M19" i="32"/>
  <c r="L19" i="32"/>
  <c r="M16" i="32"/>
  <c r="M14" i="32"/>
  <c r="M11" i="32"/>
  <c r="O28" i="32"/>
  <c r="M21" i="32"/>
  <c r="L38" i="32"/>
  <c r="M38" i="32"/>
  <c r="L29" i="32"/>
  <c r="M27" i="32"/>
  <c r="P15" i="32"/>
  <c r="L15" i="32"/>
  <c r="P12" i="32"/>
  <c r="P27" i="32"/>
  <c r="L27" i="32"/>
  <c r="O24" i="32"/>
  <c r="O15" i="32"/>
  <c r="O12" i="32"/>
  <c r="P29" i="32"/>
  <c r="L12" i="32"/>
  <c r="N46" i="32"/>
  <c r="M46" i="32"/>
  <c r="P46" i="32"/>
  <c r="O29" i="32"/>
  <c r="L24" i="32"/>
  <c r="M24" i="32"/>
  <c r="O11" i="32"/>
  <c r="L11" i="32"/>
  <c r="L9" i="32"/>
  <c r="M9" i="32"/>
  <c r="N30" i="32"/>
  <c r="M45" i="32"/>
  <c r="N38" i="32"/>
  <c r="P37" i="32"/>
  <c r="N36" i="32"/>
  <c r="P35" i="32"/>
  <c r="M30" i="32"/>
  <c r="M28" i="32"/>
  <c r="N24" i="32"/>
  <c r="P23" i="32"/>
  <c r="N22" i="32"/>
  <c r="P21" i="32"/>
  <c r="N20" i="32"/>
  <c r="P19" i="32"/>
  <c r="N12" i="32"/>
  <c r="P11" i="32"/>
  <c r="N9" i="32"/>
  <c r="N45" i="32"/>
  <c r="N28" i="32"/>
  <c r="P45" i="32"/>
  <c r="P30" i="32"/>
  <c r="P28" i="32"/>
  <c r="F9" i="45" l="1"/>
  <c r="F11" i="45"/>
  <c r="F12" i="45"/>
  <c r="K12" i="45"/>
  <c r="F14" i="45"/>
  <c r="K14" i="45"/>
  <c r="F15" i="45"/>
  <c r="K15" i="45"/>
  <c r="F16" i="45"/>
  <c r="K16" i="45"/>
  <c r="F17" i="45"/>
  <c r="K17" i="45"/>
  <c r="F18" i="45"/>
  <c r="K18" i="45"/>
  <c r="F19" i="45"/>
  <c r="K19" i="45"/>
  <c r="F20" i="45"/>
  <c r="K20" i="45"/>
  <c r="F22" i="45"/>
  <c r="K22" i="45"/>
  <c r="F23" i="45"/>
  <c r="K23" i="45"/>
  <c r="F24" i="45"/>
  <c r="K24" i="45"/>
  <c r="F25" i="45"/>
  <c r="K25" i="45"/>
  <c r="F26" i="45"/>
  <c r="K26" i="45"/>
  <c r="K27" i="45"/>
  <c r="F30" i="45"/>
  <c r="K30" i="45"/>
  <c r="F31" i="45"/>
  <c r="K31" i="45"/>
  <c r="F32" i="45"/>
  <c r="K32" i="45"/>
  <c r="F33" i="45"/>
  <c r="K33" i="45"/>
  <c r="F34" i="45"/>
  <c r="K34" i="45"/>
  <c r="K38" i="45"/>
  <c r="F40" i="45"/>
  <c r="F41" i="45"/>
  <c r="F42" i="45"/>
  <c r="K42" i="45"/>
  <c r="F44" i="45"/>
  <c r="K44" i="45"/>
  <c r="F45" i="45"/>
  <c r="K45" i="45"/>
  <c r="F46" i="45"/>
  <c r="K46" i="45"/>
  <c r="F47" i="45"/>
  <c r="K47" i="45"/>
  <c r="F48" i="45"/>
  <c r="K48" i="45"/>
  <c r="F49" i="45"/>
  <c r="K49" i="45"/>
  <c r="F50" i="45"/>
  <c r="K50" i="45"/>
  <c r="F51" i="45"/>
  <c r="K51" i="45"/>
  <c r="F52" i="45"/>
  <c r="K52" i="45"/>
  <c r="F53" i="45"/>
  <c r="K53" i="45"/>
  <c r="F54" i="45"/>
  <c r="K54" i="45"/>
  <c r="F55" i="45"/>
  <c r="K55" i="45"/>
  <c r="F56" i="45"/>
  <c r="K56" i="45"/>
  <c r="F57" i="45"/>
  <c r="K57" i="45"/>
  <c r="F58" i="45"/>
  <c r="K58" i="45"/>
  <c r="F59" i="45"/>
  <c r="K59" i="45"/>
  <c r="F60" i="45"/>
  <c r="K60" i="45"/>
  <c r="F61" i="45"/>
  <c r="K61" i="45"/>
  <c r="F62" i="45"/>
  <c r="K62" i="45"/>
  <c r="F63" i="45"/>
  <c r="K63" i="45"/>
  <c r="F64" i="45"/>
  <c r="K64" i="45"/>
  <c r="F72" i="45"/>
  <c r="O112" i="55" l="1"/>
  <c r="O111" i="55"/>
  <c r="Q111" i="55" s="1"/>
  <c r="O110" i="55"/>
  <c r="Q110" i="55" s="1"/>
  <c r="O109" i="55"/>
  <c r="Q109" i="55" s="1"/>
  <c r="O108" i="55"/>
  <c r="Q108" i="55" s="1"/>
  <c r="O107" i="55"/>
  <c r="Q107" i="55" s="1"/>
  <c r="O106" i="55"/>
  <c r="Q106" i="55" s="1"/>
  <c r="O105" i="55"/>
  <c r="Q105" i="55" s="1"/>
  <c r="O104" i="55"/>
  <c r="Q104" i="55" s="1"/>
  <c r="O103" i="55"/>
  <c r="Q103" i="55" s="1"/>
  <c r="O102" i="55"/>
  <c r="Q102" i="55" s="1"/>
  <c r="O101" i="55"/>
  <c r="Q101" i="55" s="1"/>
  <c r="O100" i="55"/>
  <c r="Q100" i="55" s="1"/>
  <c r="O99" i="55"/>
  <c r="O98" i="55"/>
  <c r="Q98" i="55" s="1"/>
  <c r="O97" i="55"/>
  <c r="Q97" i="55" s="1"/>
  <c r="O96" i="55"/>
  <c r="Q96" i="55" s="1"/>
  <c r="O95" i="55"/>
  <c r="Q95" i="55" s="1"/>
  <c r="O93" i="55"/>
  <c r="Q93" i="55" s="1"/>
  <c r="O92" i="55"/>
  <c r="Q92" i="55" s="1"/>
  <c r="K101" i="45"/>
  <c r="K100" i="45"/>
  <c r="K97" i="45"/>
  <c r="K96" i="45"/>
  <c r="K95" i="45"/>
  <c r="K94" i="45"/>
  <c r="K92" i="45"/>
  <c r="K90" i="45"/>
  <c r="K89" i="45"/>
  <c r="AK184" i="56" s="1"/>
  <c r="K88" i="45"/>
  <c r="AK183" i="56" s="1"/>
  <c r="K87" i="45"/>
  <c r="AK182" i="56" s="1"/>
  <c r="K86" i="45"/>
  <c r="AK181" i="56" s="1"/>
  <c r="K85" i="45"/>
  <c r="AK180" i="56" s="1"/>
  <c r="K83" i="45"/>
  <c r="AK163" i="56" s="1"/>
  <c r="K82" i="45"/>
  <c r="AK162" i="56" s="1"/>
  <c r="K81" i="45"/>
  <c r="AK161" i="56" s="1"/>
  <c r="K80" i="45"/>
  <c r="AK160" i="56" s="1"/>
  <c r="K79" i="45"/>
  <c r="AK159" i="56" s="1"/>
  <c r="K78" i="45"/>
  <c r="AK158" i="56" s="1"/>
  <c r="O84" i="55"/>
  <c r="O83" i="55"/>
  <c r="O82" i="55"/>
  <c r="O81" i="55"/>
  <c r="O80" i="55"/>
  <c r="O79" i="55"/>
  <c r="O78" i="55"/>
  <c r="O77" i="55"/>
  <c r="O76" i="55"/>
  <c r="O75" i="55"/>
  <c r="O74" i="55"/>
  <c r="O73" i="55"/>
  <c r="O72" i="55"/>
  <c r="O71" i="55"/>
  <c r="O70" i="55"/>
  <c r="O69" i="55"/>
  <c r="O68" i="55"/>
  <c r="O67" i="55"/>
  <c r="O66" i="55"/>
  <c r="O65" i="55"/>
  <c r="O64" i="55"/>
  <c r="AI41" i="56"/>
  <c r="N41" i="56" s="1"/>
  <c r="AG46" i="56"/>
  <c r="AH49" i="56"/>
  <c r="AG54" i="56"/>
  <c r="AI49" i="56"/>
  <c r="AI50" i="56"/>
  <c r="AG41" i="56"/>
  <c r="AG42" i="56"/>
  <c r="AI53" i="56"/>
  <c r="AI54" i="56"/>
  <c r="AI45" i="56"/>
  <c r="AI46" i="56"/>
  <c r="N46" i="56" s="1"/>
  <c r="AE136" i="56"/>
  <c r="AL136" i="56" s="1"/>
  <c r="B55" i="31"/>
  <c r="H56" i="30"/>
  <c r="H57" i="30"/>
  <c r="M57" i="29"/>
  <c r="L57" i="29"/>
  <c r="K57" i="29"/>
  <c r="J57" i="29"/>
  <c r="I57" i="29"/>
  <c r="H57" i="29"/>
  <c r="G57" i="29"/>
  <c r="F57" i="29"/>
  <c r="E57" i="29"/>
  <c r="D57" i="29"/>
  <c r="C57" i="29"/>
  <c r="B57" i="29"/>
  <c r="M56" i="29"/>
  <c r="L56" i="29"/>
  <c r="K56" i="29"/>
  <c r="J56" i="29"/>
  <c r="I56" i="29"/>
  <c r="H56" i="29"/>
  <c r="G56" i="29"/>
  <c r="F56" i="29"/>
  <c r="E56" i="29"/>
  <c r="D56" i="29"/>
  <c r="C56" i="29"/>
  <c r="B56" i="29"/>
  <c r="O56" i="26"/>
  <c r="N56" i="26"/>
  <c r="M56" i="26"/>
  <c r="L56" i="26"/>
  <c r="K56" i="26"/>
  <c r="J56" i="26"/>
  <c r="I56" i="26"/>
  <c r="H56" i="26"/>
  <c r="G56" i="26"/>
  <c r="F56" i="26"/>
  <c r="E56" i="26"/>
  <c r="D56" i="26"/>
  <c r="C56" i="26"/>
  <c r="B56" i="26"/>
  <c r="O55" i="26"/>
  <c r="N55" i="26"/>
  <c r="M55" i="26"/>
  <c r="L55" i="26"/>
  <c r="K55" i="26"/>
  <c r="J55" i="26"/>
  <c r="I55" i="26"/>
  <c r="H55" i="26"/>
  <c r="G55" i="26"/>
  <c r="F55" i="26"/>
  <c r="E55" i="26"/>
  <c r="D55" i="26"/>
  <c r="C55" i="26"/>
  <c r="B55" i="26"/>
  <c r="J66" i="27"/>
  <c r="I66" i="27"/>
  <c r="J65" i="27"/>
  <c r="I65" i="27"/>
  <c r="J64" i="27"/>
  <c r="I64" i="27"/>
  <c r="J63" i="27"/>
  <c r="I63" i="27"/>
  <c r="J62" i="27"/>
  <c r="I62" i="27"/>
  <c r="J60" i="27"/>
  <c r="I60" i="27"/>
  <c r="J59" i="27"/>
  <c r="I59" i="27"/>
  <c r="J58" i="27"/>
  <c r="I58" i="27"/>
  <c r="J57" i="27"/>
  <c r="I57" i="27"/>
  <c r="J56" i="27"/>
  <c r="I56" i="27"/>
  <c r="J55" i="27"/>
  <c r="I55" i="27"/>
  <c r="J53" i="27"/>
  <c r="I53" i="27"/>
  <c r="J52" i="27"/>
  <c r="I52" i="27"/>
  <c r="J50" i="27"/>
  <c r="I50" i="27"/>
  <c r="F66" i="27"/>
  <c r="E66" i="27"/>
  <c r="D66" i="27"/>
  <c r="F65" i="27"/>
  <c r="E65" i="27"/>
  <c r="D65" i="27"/>
  <c r="F64" i="27"/>
  <c r="E64" i="27"/>
  <c r="D64" i="27"/>
  <c r="F63" i="27"/>
  <c r="E63" i="27"/>
  <c r="D63" i="27"/>
  <c r="F62" i="27"/>
  <c r="E62" i="27"/>
  <c r="D62" i="27"/>
  <c r="F60" i="27"/>
  <c r="E60" i="27"/>
  <c r="D60" i="27"/>
  <c r="F59" i="27"/>
  <c r="E59" i="27"/>
  <c r="D59" i="27"/>
  <c r="F58" i="27"/>
  <c r="E58" i="27"/>
  <c r="D58" i="27"/>
  <c r="F57" i="27"/>
  <c r="E57" i="27"/>
  <c r="D57" i="27"/>
  <c r="F56" i="27"/>
  <c r="E56" i="27"/>
  <c r="D56" i="27"/>
  <c r="E55" i="27"/>
  <c r="D55" i="27"/>
  <c r="F50" i="27"/>
  <c r="E50" i="27"/>
  <c r="D50" i="27"/>
  <c r="E53" i="27"/>
  <c r="D53" i="27"/>
  <c r="E52" i="27"/>
  <c r="D52" i="27"/>
  <c r="AX13" i="35"/>
  <c r="AX12" i="35"/>
  <c r="AX17" i="35"/>
  <c r="AX16" i="35"/>
  <c r="Q99" i="55" l="1"/>
  <c r="AN99" i="55"/>
  <c r="AM99" i="55"/>
  <c r="O42" i="56"/>
  <c r="AJ49" i="56"/>
  <c r="O41" i="56"/>
  <c r="AG49" i="56"/>
  <c r="AK49" i="56" s="1"/>
  <c r="AH50" i="56"/>
  <c r="AJ50" i="56" s="1"/>
  <c r="AG50" i="56"/>
  <c r="AK50" i="56" s="1"/>
  <c r="AH41" i="56"/>
  <c r="AJ41" i="56" s="1"/>
  <c r="AH42" i="56"/>
  <c r="AI42" i="56"/>
  <c r="AK41" i="56"/>
  <c r="N18" i="39"/>
  <c r="AF136" i="56"/>
  <c r="AN136" i="56"/>
  <c r="AO136" i="56"/>
  <c r="AM136" i="56"/>
  <c r="AH136" i="56"/>
  <c r="N17" i="39"/>
  <c r="AE137" i="56"/>
  <c r="AH137" i="56" s="1"/>
  <c r="AG136" i="56"/>
  <c r="N45" i="56"/>
  <c r="O45" i="56"/>
  <c r="AK46" i="56"/>
  <c r="O46" i="56"/>
  <c r="AK54" i="56"/>
  <c r="AG53" i="56"/>
  <c r="AK53" i="56" s="1"/>
  <c r="AG45" i="56"/>
  <c r="AK45" i="56" s="1"/>
  <c r="AH54" i="56"/>
  <c r="AJ54" i="56" s="1"/>
  <c r="AH53" i="56"/>
  <c r="AJ53" i="56" s="1"/>
  <c r="AH46" i="56"/>
  <c r="AJ46" i="56" s="1"/>
  <c r="AH45" i="56"/>
  <c r="AJ45" i="56" s="1"/>
  <c r="E26" i="7"/>
  <c r="B6" i="56" s="1"/>
  <c r="AJ42" i="56" l="1"/>
  <c r="AK42" i="56"/>
  <c r="N42" i="56"/>
  <c r="AI136" i="56"/>
  <c r="O141" i="56"/>
  <c r="O140" i="56"/>
  <c r="AJ136" i="56"/>
  <c r="AL137" i="56"/>
  <c r="AF137" i="56"/>
  <c r="AJ137" i="56" s="1"/>
  <c r="N140" i="56"/>
  <c r="AQ136" i="56"/>
  <c r="AP136" i="56"/>
  <c r="AG137" i="56"/>
  <c r="AI137" i="56" s="1"/>
  <c r="E25" i="7" l="1"/>
  <c r="A68" i="45" s="1"/>
  <c r="B56" i="31"/>
  <c r="B54" i="31"/>
  <c r="B53" i="31"/>
  <c r="I51" i="31"/>
  <c r="B51" i="31"/>
  <c r="I50" i="31"/>
  <c r="B50" i="31"/>
  <c r="I48" i="31"/>
  <c r="B48" i="31"/>
  <c r="H55" i="30"/>
  <c r="H54" i="30"/>
  <c r="B54" i="30"/>
  <c r="H52" i="30"/>
  <c r="B52" i="30"/>
  <c r="H51" i="30"/>
  <c r="B51" i="30"/>
  <c r="H49" i="30"/>
  <c r="B49" i="30"/>
  <c r="M64" i="29"/>
  <c r="L64" i="29"/>
  <c r="K64" i="29"/>
  <c r="J64" i="29"/>
  <c r="I64" i="29"/>
  <c r="H64" i="29"/>
  <c r="M63" i="29"/>
  <c r="L63" i="29"/>
  <c r="K63" i="29"/>
  <c r="J63" i="29"/>
  <c r="I63" i="29"/>
  <c r="H63" i="29"/>
  <c r="M62" i="29"/>
  <c r="L62" i="29"/>
  <c r="K62" i="29"/>
  <c r="J62" i="29"/>
  <c r="I62" i="29"/>
  <c r="H62" i="29"/>
  <c r="M61" i="29"/>
  <c r="L61" i="29"/>
  <c r="K61" i="29"/>
  <c r="J61" i="29"/>
  <c r="I61" i="29"/>
  <c r="H61" i="29"/>
  <c r="M60" i="29"/>
  <c r="L60" i="29"/>
  <c r="K60" i="29"/>
  <c r="J60" i="29"/>
  <c r="I60" i="29"/>
  <c r="H60" i="29"/>
  <c r="M59" i="29"/>
  <c r="L59" i="29"/>
  <c r="K59" i="29"/>
  <c r="J59" i="29"/>
  <c r="I59" i="29"/>
  <c r="H59" i="29"/>
  <c r="M55" i="29"/>
  <c r="L55" i="29"/>
  <c r="K55" i="29"/>
  <c r="J55" i="29"/>
  <c r="I55" i="29"/>
  <c r="M54" i="29"/>
  <c r="L54" i="29"/>
  <c r="K54" i="29"/>
  <c r="J54" i="29"/>
  <c r="I54" i="29"/>
  <c r="H55" i="29"/>
  <c r="H54" i="29"/>
  <c r="M52" i="29"/>
  <c r="L52" i="29"/>
  <c r="K52" i="29"/>
  <c r="J52" i="29"/>
  <c r="I52" i="29"/>
  <c r="H52" i="29"/>
  <c r="M51" i="29"/>
  <c r="L51" i="29"/>
  <c r="K51" i="29"/>
  <c r="J51" i="29"/>
  <c r="I51" i="29"/>
  <c r="H51" i="29"/>
  <c r="M49" i="29"/>
  <c r="L49" i="29"/>
  <c r="K49" i="29"/>
  <c r="J49" i="29"/>
  <c r="I49" i="29"/>
  <c r="H49" i="29"/>
  <c r="G64" i="29"/>
  <c r="F64" i="29"/>
  <c r="E64" i="29"/>
  <c r="D64" i="29"/>
  <c r="C64" i="29"/>
  <c r="G63" i="29"/>
  <c r="F63" i="29"/>
  <c r="E63" i="29"/>
  <c r="D63" i="29"/>
  <c r="C63" i="29"/>
  <c r="G62" i="29"/>
  <c r="F62" i="29"/>
  <c r="E62" i="29"/>
  <c r="D62" i="29"/>
  <c r="C62" i="29"/>
  <c r="G61" i="29"/>
  <c r="F61" i="29"/>
  <c r="E61" i="29"/>
  <c r="D61" i="29"/>
  <c r="C61" i="29"/>
  <c r="G60" i="29"/>
  <c r="F60" i="29"/>
  <c r="E60" i="29"/>
  <c r="D60" i="29"/>
  <c r="C60" i="29"/>
  <c r="G59" i="29"/>
  <c r="F59" i="29"/>
  <c r="E59" i="29"/>
  <c r="D59" i="29"/>
  <c r="C59" i="29"/>
  <c r="G55" i="29"/>
  <c r="F55" i="29"/>
  <c r="E55" i="29"/>
  <c r="D55" i="29"/>
  <c r="C55" i="29"/>
  <c r="G54" i="29"/>
  <c r="F54" i="29"/>
  <c r="E54" i="29"/>
  <c r="D54" i="29"/>
  <c r="C54" i="29"/>
  <c r="B64" i="29"/>
  <c r="B63" i="29"/>
  <c r="B62" i="29"/>
  <c r="B61" i="29"/>
  <c r="B60" i="29"/>
  <c r="B59" i="29"/>
  <c r="B55" i="29"/>
  <c r="B54" i="29"/>
  <c r="G52" i="29"/>
  <c r="F52" i="29"/>
  <c r="E52" i="29"/>
  <c r="D52" i="29"/>
  <c r="C52" i="29"/>
  <c r="B52" i="29"/>
  <c r="G51" i="29"/>
  <c r="F51" i="29"/>
  <c r="E51" i="29"/>
  <c r="D51" i="29"/>
  <c r="C51" i="29"/>
  <c r="B51" i="29"/>
  <c r="G49" i="29"/>
  <c r="F49" i="29"/>
  <c r="E49" i="29"/>
  <c r="D49" i="29"/>
  <c r="C49" i="29"/>
  <c r="B49" i="29"/>
  <c r="O62" i="26"/>
  <c r="N62" i="26"/>
  <c r="M62" i="26"/>
  <c r="L62" i="26"/>
  <c r="K62" i="26"/>
  <c r="J62" i="26"/>
  <c r="O61" i="26"/>
  <c r="N61" i="26"/>
  <c r="M61" i="26"/>
  <c r="L61" i="26"/>
  <c r="K61" i="26"/>
  <c r="J61" i="26"/>
  <c r="O60" i="26"/>
  <c r="N60" i="26"/>
  <c r="M60" i="26"/>
  <c r="L60" i="26"/>
  <c r="K60" i="26"/>
  <c r="J60" i="26"/>
  <c r="O59" i="26"/>
  <c r="N59" i="26"/>
  <c r="M59" i="26"/>
  <c r="L59" i="26"/>
  <c r="K59" i="26"/>
  <c r="J59" i="26"/>
  <c r="O58" i="26"/>
  <c r="N58" i="26"/>
  <c r="M58" i="26"/>
  <c r="L58" i="26"/>
  <c r="K58" i="26"/>
  <c r="J58" i="26"/>
  <c r="I59" i="26"/>
  <c r="I60" i="26"/>
  <c r="I61" i="26"/>
  <c r="I62" i="26"/>
  <c r="I58" i="26"/>
  <c r="O54" i="26"/>
  <c r="N54" i="26"/>
  <c r="M54" i="26"/>
  <c r="L54" i="26"/>
  <c r="K54" i="26"/>
  <c r="J54" i="26"/>
  <c r="O53" i="26"/>
  <c r="N53" i="26"/>
  <c r="M53" i="26"/>
  <c r="L53" i="26"/>
  <c r="K53" i="26"/>
  <c r="J53" i="26"/>
  <c r="I54" i="26"/>
  <c r="I53" i="26"/>
  <c r="H62" i="26"/>
  <c r="G62" i="26"/>
  <c r="F62" i="26"/>
  <c r="E62" i="26"/>
  <c r="D62" i="26"/>
  <c r="C62" i="26"/>
  <c r="H61" i="26"/>
  <c r="G61" i="26"/>
  <c r="F61" i="26"/>
  <c r="E61" i="26"/>
  <c r="D61" i="26"/>
  <c r="C61" i="26"/>
  <c r="H60" i="26"/>
  <c r="G60" i="26"/>
  <c r="F60" i="26"/>
  <c r="E60" i="26"/>
  <c r="D60" i="26"/>
  <c r="C60" i="26"/>
  <c r="H59" i="26"/>
  <c r="G59" i="26"/>
  <c r="F59" i="26"/>
  <c r="E59" i="26"/>
  <c r="D59" i="26"/>
  <c r="C59" i="26"/>
  <c r="H58" i="26"/>
  <c r="G58" i="26"/>
  <c r="F58" i="26"/>
  <c r="E58" i="26"/>
  <c r="D58" i="26"/>
  <c r="C58" i="26"/>
  <c r="H54" i="26"/>
  <c r="G54" i="26"/>
  <c r="F54" i="26"/>
  <c r="E54" i="26"/>
  <c r="D54" i="26"/>
  <c r="C54" i="26"/>
  <c r="H53" i="26"/>
  <c r="G53" i="26"/>
  <c r="F53" i="26"/>
  <c r="E53" i="26"/>
  <c r="D53" i="26"/>
  <c r="C53" i="26"/>
  <c r="B62" i="26"/>
  <c r="B61" i="26"/>
  <c r="B60" i="26"/>
  <c r="B59" i="26"/>
  <c r="B58" i="26"/>
  <c r="B54" i="26"/>
  <c r="B53" i="26"/>
  <c r="O48" i="26"/>
  <c r="N48" i="26"/>
  <c r="M48" i="26"/>
  <c r="L48" i="26"/>
  <c r="K48" i="26"/>
  <c r="J48" i="26"/>
  <c r="I48" i="26"/>
  <c r="H48" i="26"/>
  <c r="G48" i="26"/>
  <c r="F48" i="26"/>
  <c r="E48" i="26"/>
  <c r="D48" i="26"/>
  <c r="C48" i="26"/>
  <c r="B48" i="26"/>
  <c r="K66" i="27"/>
  <c r="H66" i="27"/>
  <c r="G66" i="27"/>
  <c r="C66" i="27"/>
  <c r="B66" i="27"/>
  <c r="K65" i="27"/>
  <c r="H65" i="27"/>
  <c r="G65" i="27"/>
  <c r="C65" i="27"/>
  <c r="B65" i="27"/>
  <c r="K64" i="27"/>
  <c r="H64" i="27"/>
  <c r="G64" i="27"/>
  <c r="C64" i="27"/>
  <c r="B64" i="27"/>
  <c r="K63" i="27"/>
  <c r="H63" i="27"/>
  <c r="G63" i="27"/>
  <c r="C63" i="27"/>
  <c r="B63" i="27"/>
  <c r="H62" i="27"/>
  <c r="K62" i="27"/>
  <c r="C62" i="27"/>
  <c r="G62" i="27"/>
  <c r="B62" i="27"/>
  <c r="K60" i="27"/>
  <c r="H60" i="27"/>
  <c r="G60" i="27"/>
  <c r="C60" i="27"/>
  <c r="B60" i="27"/>
  <c r="K59" i="27"/>
  <c r="H59" i="27"/>
  <c r="G59" i="27"/>
  <c r="C59" i="27"/>
  <c r="B59" i="27"/>
  <c r="K58" i="27"/>
  <c r="H58" i="27"/>
  <c r="G58" i="27"/>
  <c r="C58" i="27"/>
  <c r="B58" i="27"/>
  <c r="K57" i="27"/>
  <c r="H57" i="27"/>
  <c r="G57" i="27"/>
  <c r="C57" i="27"/>
  <c r="B57" i="27"/>
  <c r="K56" i="27"/>
  <c r="H56" i="27"/>
  <c r="G56" i="27"/>
  <c r="C56" i="27"/>
  <c r="B56" i="27"/>
  <c r="H55" i="27"/>
  <c r="G55" i="27"/>
  <c r="C55" i="27"/>
  <c r="B55" i="27"/>
  <c r="K53" i="27"/>
  <c r="H53" i="27"/>
  <c r="G53" i="27"/>
  <c r="F53" i="27"/>
  <c r="C53" i="27"/>
  <c r="B53" i="27"/>
  <c r="K52" i="27"/>
  <c r="H52" i="27"/>
  <c r="G52" i="27"/>
  <c r="F52" i="27"/>
  <c r="C52" i="27"/>
  <c r="B52" i="27"/>
  <c r="H50" i="27"/>
  <c r="G50" i="27"/>
  <c r="C50" i="27"/>
  <c r="B50" i="27"/>
  <c r="AI40" i="56" l="1"/>
  <c r="AG40" i="56"/>
  <c r="AH40" i="56"/>
  <c r="AO137" i="56"/>
  <c r="AM137" i="56"/>
  <c r="AN137" i="56"/>
  <c r="AH51" i="56"/>
  <c r="AI51" i="56"/>
  <c r="AG51" i="56"/>
  <c r="AH43" i="56"/>
  <c r="AI43" i="56"/>
  <c r="AG43" i="56"/>
  <c r="AH52" i="56"/>
  <c r="AI52" i="56"/>
  <c r="AG52" i="56"/>
  <c r="AH44" i="56"/>
  <c r="AI44" i="56"/>
  <c r="AG44" i="56"/>
  <c r="N12" i="39"/>
  <c r="N15" i="39"/>
  <c r="N21" i="39"/>
  <c r="N23" i="39"/>
  <c r="N25" i="39"/>
  <c r="N28" i="39"/>
  <c r="N30" i="39"/>
  <c r="N32" i="39"/>
  <c r="N38" i="39"/>
  <c r="N46" i="39"/>
  <c r="N51" i="39"/>
  <c r="N53" i="39"/>
  <c r="N55" i="39"/>
  <c r="N57" i="39"/>
  <c r="N59" i="39"/>
  <c r="N61" i="39"/>
  <c r="N63" i="39"/>
  <c r="N65" i="39"/>
  <c r="N67" i="39"/>
  <c r="N69" i="39"/>
  <c r="AH123" i="56"/>
  <c r="O123" i="56" s="1"/>
  <c r="N10" i="39"/>
  <c r="N13" i="39"/>
  <c r="N16" i="39"/>
  <c r="N20" i="39"/>
  <c r="N22" i="39"/>
  <c r="N24" i="39"/>
  <c r="N29" i="39"/>
  <c r="N31" i="39"/>
  <c r="N37" i="39"/>
  <c r="N39" i="39"/>
  <c r="N44" i="39"/>
  <c r="N47" i="39"/>
  <c r="N50" i="39"/>
  <c r="N52" i="39"/>
  <c r="N54" i="39"/>
  <c r="N56" i="39"/>
  <c r="N58" i="39"/>
  <c r="N60" i="39"/>
  <c r="N62" i="39"/>
  <c r="N64" i="39"/>
  <c r="N66" i="39"/>
  <c r="N68" i="39"/>
  <c r="AG123" i="56"/>
  <c r="AF123" i="56"/>
  <c r="AL123" i="56"/>
  <c r="AN123" i="56" s="1"/>
  <c r="Z101" i="36"/>
  <c r="AX15" i="35"/>
  <c r="AX11" i="35"/>
  <c r="E28" i="7"/>
  <c r="BG7" i="35"/>
  <c r="BJ7" i="35"/>
  <c r="J7" i="35" s="1"/>
  <c r="P65" i="55"/>
  <c r="Q65" i="55" s="1"/>
  <c r="P66" i="55"/>
  <c r="Q66" i="55" s="1"/>
  <c r="P67" i="55"/>
  <c r="Q67" i="55" s="1"/>
  <c r="P68" i="55"/>
  <c r="Q68" i="55" s="1"/>
  <c r="P69" i="55"/>
  <c r="Q69" i="55" s="1"/>
  <c r="P70" i="55"/>
  <c r="Q70" i="55" s="1"/>
  <c r="P71" i="55"/>
  <c r="Q71" i="55" s="1"/>
  <c r="P72" i="55"/>
  <c r="Q72" i="55" s="1"/>
  <c r="P73" i="55"/>
  <c r="Q73" i="55" s="1"/>
  <c r="P74" i="55"/>
  <c r="Q74" i="55" s="1"/>
  <c r="P75" i="55"/>
  <c r="Q75" i="55" s="1"/>
  <c r="P76" i="55"/>
  <c r="Q76" i="55" s="1"/>
  <c r="P77" i="55"/>
  <c r="Q77" i="55" s="1"/>
  <c r="P78" i="55"/>
  <c r="Q78" i="55" s="1"/>
  <c r="P79" i="55"/>
  <c r="Q79" i="55" s="1"/>
  <c r="P80" i="55"/>
  <c r="Q80" i="55" s="1"/>
  <c r="P81" i="55"/>
  <c r="Q81" i="55" s="1"/>
  <c r="P82" i="55"/>
  <c r="Q82" i="55" s="1"/>
  <c r="P83" i="55"/>
  <c r="Q83" i="55" s="1"/>
  <c r="P84" i="55"/>
  <c r="P64" i="55"/>
  <c r="Q64" i="55" s="1"/>
  <c r="A7" i="35" l="1"/>
  <c r="BQ12" i="35"/>
  <c r="BQ14" i="35"/>
  <c r="BP12" i="35"/>
  <c r="BH12" i="35"/>
  <c r="BQ23" i="35"/>
  <c r="BQ27" i="35"/>
  <c r="BQ32" i="35"/>
  <c r="BQ36" i="35"/>
  <c r="BQ41" i="35"/>
  <c r="BQ46" i="35"/>
  <c r="BQ50" i="35"/>
  <c r="B49" i="35" s="1"/>
  <c r="BP19" i="35"/>
  <c r="BP24" i="35"/>
  <c r="BP28" i="35"/>
  <c r="BP33" i="35"/>
  <c r="BP38" i="35"/>
  <c r="BP42" i="35"/>
  <c r="BP47" i="35"/>
  <c r="E46" i="35" s="1"/>
  <c r="BP51" i="35"/>
  <c r="BP15" i="35"/>
  <c r="BH38" i="35"/>
  <c r="BH19" i="35"/>
  <c r="BH24" i="35"/>
  <c r="BH28" i="35"/>
  <c r="BH33" i="35"/>
  <c r="BH39" i="35"/>
  <c r="C38" i="35" s="1"/>
  <c r="BH43" i="35"/>
  <c r="C42" i="35" s="1"/>
  <c r="BH48" i="35"/>
  <c r="BH14" i="35"/>
  <c r="BQ26" i="35"/>
  <c r="BQ31" i="35"/>
  <c r="BQ40" i="35"/>
  <c r="BP18" i="35"/>
  <c r="BP32" i="35"/>
  <c r="BP46" i="35"/>
  <c r="E45" i="35" s="1"/>
  <c r="BH18" i="35"/>
  <c r="BH27" i="35"/>
  <c r="BH36" i="35"/>
  <c r="BH51" i="35"/>
  <c r="BQ19" i="35"/>
  <c r="B18" i="35" s="1"/>
  <c r="BQ24" i="35"/>
  <c r="BQ28" i="35"/>
  <c r="BQ33" i="35"/>
  <c r="BQ38" i="35"/>
  <c r="BQ42" i="35"/>
  <c r="BQ47" i="35"/>
  <c r="BQ51" i="35"/>
  <c r="B50" i="35" s="1"/>
  <c r="BP20" i="35"/>
  <c r="BP25" i="35"/>
  <c r="BP29" i="35"/>
  <c r="BP34" i="35"/>
  <c r="BP39" i="35"/>
  <c r="E38" i="35" s="1"/>
  <c r="BP43" i="35"/>
  <c r="E42" i="35" s="1"/>
  <c r="BP48" i="35"/>
  <c r="BQ16" i="35"/>
  <c r="BP16" i="35"/>
  <c r="BH15" i="35"/>
  <c r="BH20" i="35"/>
  <c r="BH25" i="35"/>
  <c r="BH29" i="35"/>
  <c r="BH34" i="35"/>
  <c r="BH40" i="35"/>
  <c r="BH45" i="35"/>
  <c r="BH49" i="35"/>
  <c r="BQ49" i="35"/>
  <c r="B48" i="35" s="1"/>
  <c r="BP36" i="35"/>
  <c r="BP50" i="35"/>
  <c r="BH23" i="35"/>
  <c r="BI23" i="35" s="1"/>
  <c r="BH47" i="35"/>
  <c r="BQ20" i="35"/>
  <c r="B19" i="35" s="1"/>
  <c r="BQ25" i="35"/>
  <c r="BQ29" i="35"/>
  <c r="BQ34" i="35"/>
  <c r="BQ39" i="35"/>
  <c r="BQ43" i="35"/>
  <c r="BQ48" i="35"/>
  <c r="BQ18" i="35"/>
  <c r="BP21" i="35"/>
  <c r="BP26" i="35"/>
  <c r="BP31" i="35"/>
  <c r="BP35" i="35"/>
  <c r="BP40" i="35"/>
  <c r="E39" i="35" s="1"/>
  <c r="BP45" i="35"/>
  <c r="BP49" i="35"/>
  <c r="BQ15" i="35"/>
  <c r="BP14" i="35"/>
  <c r="BH16" i="35"/>
  <c r="BH21" i="35"/>
  <c r="BH26" i="35"/>
  <c r="BH31" i="35"/>
  <c r="BH35" i="35"/>
  <c r="BH41" i="35"/>
  <c r="BH46" i="35"/>
  <c r="BH50" i="35"/>
  <c r="BQ21" i="35"/>
  <c r="B20" i="35" s="1"/>
  <c r="BQ35" i="35"/>
  <c r="BQ45" i="35"/>
  <c r="BP23" i="35"/>
  <c r="BP27" i="35"/>
  <c r="BP41" i="35"/>
  <c r="E40" i="35" s="1"/>
  <c r="BH32" i="35"/>
  <c r="BH42" i="35"/>
  <c r="AJ40" i="56"/>
  <c r="C37" i="35"/>
  <c r="AP137" i="56"/>
  <c r="AJ44" i="56"/>
  <c r="AK52" i="56"/>
  <c r="AK40" i="56"/>
  <c r="AQ137" i="56"/>
  <c r="N141" i="56"/>
  <c r="AJ51" i="56"/>
  <c r="AK51" i="56"/>
  <c r="AK44" i="56"/>
  <c r="AJ52" i="56"/>
  <c r="AJ43" i="56"/>
  <c r="AK43" i="56"/>
  <c r="AJ123" i="56"/>
  <c r="AI123" i="56"/>
  <c r="AM123" i="56"/>
  <c r="E41" i="35"/>
  <c r="AO123" i="56"/>
  <c r="N123" i="56" s="1"/>
  <c r="E31" i="7"/>
  <c r="BI49" i="35" l="1"/>
  <c r="BL49" i="35" s="1"/>
  <c r="BI26" i="35"/>
  <c r="BI27" i="35"/>
  <c r="BI14" i="35"/>
  <c r="BI12" i="35"/>
  <c r="BI50" i="35"/>
  <c r="BJ50" i="35" s="1"/>
  <c r="BI21" i="35"/>
  <c r="BL21" i="35" s="1"/>
  <c r="AU13" i="35" s="1"/>
  <c r="BI45" i="35"/>
  <c r="BL45" i="35" s="1"/>
  <c r="BI24" i="35"/>
  <c r="BI40" i="35"/>
  <c r="BI36" i="35"/>
  <c r="C39" i="35"/>
  <c r="BI25" i="35"/>
  <c r="C40" i="35"/>
  <c r="BI41" i="35"/>
  <c r="C41" i="35"/>
  <c r="BI42" i="35"/>
  <c r="BI31" i="35"/>
  <c r="BI20" i="35"/>
  <c r="BL20" i="35" s="1"/>
  <c r="BI39" i="35"/>
  <c r="BL39" i="35" s="1"/>
  <c r="BI19" i="35"/>
  <c r="BL19" i="35" s="1"/>
  <c r="BI35" i="35"/>
  <c r="BI16" i="35"/>
  <c r="BI51" i="35"/>
  <c r="BL51" i="35" s="1"/>
  <c r="BI43" i="35"/>
  <c r="BI32" i="35"/>
  <c r="C45" i="35"/>
  <c r="BI46" i="35"/>
  <c r="BL46" i="35" s="1"/>
  <c r="C46" i="35"/>
  <c r="BI47" i="35"/>
  <c r="BL47" i="35" s="1"/>
  <c r="BI34" i="35"/>
  <c r="BI15" i="35"/>
  <c r="BI33" i="35"/>
  <c r="BI38" i="35"/>
  <c r="BJ38" i="35" s="1"/>
  <c r="BI29" i="35"/>
  <c r="BI18" i="35"/>
  <c r="BI48" i="35"/>
  <c r="BK48" i="35" s="1"/>
  <c r="BI28" i="35"/>
  <c r="BS47" i="35"/>
  <c r="E47" i="35"/>
  <c r="BR48" i="35"/>
  <c r="BS48" i="35"/>
  <c r="E49" i="35"/>
  <c r="F49" i="35" s="1"/>
  <c r="BR50" i="35"/>
  <c r="BT50" i="35"/>
  <c r="BS50" i="35"/>
  <c r="E50" i="35"/>
  <c r="BR51" i="35"/>
  <c r="BS51" i="35"/>
  <c r="BT51" i="35"/>
  <c r="BT47" i="35"/>
  <c r="BR47" i="35"/>
  <c r="C48" i="35"/>
  <c r="D48" i="35" s="1"/>
  <c r="E48" i="35"/>
  <c r="F48" i="35" s="1"/>
  <c r="BT49" i="35"/>
  <c r="BS49" i="35"/>
  <c r="BR49" i="35"/>
  <c r="C47" i="35"/>
  <c r="C49" i="35"/>
  <c r="D49" i="35" s="1"/>
  <c r="C50" i="35"/>
  <c r="BT48" i="35"/>
  <c r="B47" i="35"/>
  <c r="BT45" i="35"/>
  <c r="B44" i="35"/>
  <c r="B37" i="35"/>
  <c r="C44" i="35"/>
  <c r="BR45" i="35"/>
  <c r="E44" i="35"/>
  <c r="BS45" i="35"/>
  <c r="BT38" i="35"/>
  <c r="E37" i="35"/>
  <c r="BS38" i="35"/>
  <c r="BR38" i="35"/>
  <c r="C18" i="35"/>
  <c r="D18" i="35" s="1"/>
  <c r="C19" i="35"/>
  <c r="D19" i="35" s="1"/>
  <c r="E18" i="35"/>
  <c r="F18" i="35" s="1"/>
  <c r="BR19" i="35"/>
  <c r="BT19" i="35"/>
  <c r="BS19" i="35"/>
  <c r="C20" i="35"/>
  <c r="D20" i="35" s="1"/>
  <c r="E19" i="35"/>
  <c r="F19" i="35" s="1"/>
  <c r="BS20" i="35"/>
  <c r="BR20" i="35"/>
  <c r="BT20" i="35"/>
  <c r="E20" i="35"/>
  <c r="F20" i="35" s="1"/>
  <c r="BS21" i="35"/>
  <c r="BT21" i="35"/>
  <c r="BR21" i="35"/>
  <c r="AQ123" i="56"/>
  <c r="AA123" i="56"/>
  <c r="AP123" i="56"/>
  <c r="E39" i="7"/>
  <c r="E29" i="7"/>
  <c r="E30" i="7"/>
  <c r="E32" i="7"/>
  <c r="E33" i="7"/>
  <c r="E27" i="7"/>
  <c r="E35" i="7"/>
  <c r="E36" i="7"/>
  <c r="E37" i="7"/>
  <c r="E34" i="7"/>
  <c r="AX52" i="35"/>
  <c r="AX51" i="35"/>
  <c r="AX50" i="35"/>
  <c r="AX49" i="35"/>
  <c r="AX48" i="35"/>
  <c r="AX32" i="35"/>
  <c r="AX33" i="35"/>
  <c r="AX34" i="35"/>
  <c r="AX35" i="35"/>
  <c r="AX36" i="35"/>
  <c r="AX31" i="35"/>
  <c r="AX14" i="35"/>
  <c r="AX44" i="35"/>
  <c r="AX46" i="35"/>
  <c r="AX47" i="35"/>
  <c r="AX43" i="35"/>
  <c r="AX26" i="35"/>
  <c r="AX27" i="35"/>
  <c r="AX28" i="35"/>
  <c r="AX29" i="35"/>
  <c r="AX30" i="35"/>
  <c r="AX25" i="35"/>
  <c r="AX10" i="35"/>
  <c r="M161" i="56"/>
  <c r="M162" i="56"/>
  <c r="M163" i="56"/>
  <c r="M164" i="56"/>
  <c r="M165" i="56"/>
  <c r="M166" i="56"/>
  <c r="AL121" i="56"/>
  <c r="AL120" i="56"/>
  <c r="AL119" i="56"/>
  <c r="AL118" i="56"/>
  <c r="AL117" i="56"/>
  <c r="AL116" i="56"/>
  <c r="AL115" i="56"/>
  <c r="AL114" i="56"/>
  <c r="AL113" i="56"/>
  <c r="AL112" i="56"/>
  <c r="AL122" i="56"/>
  <c r="F37" i="35" l="1"/>
  <c r="F47" i="35"/>
  <c r="D44" i="35"/>
  <c r="D37" i="35"/>
  <c r="F44" i="35"/>
  <c r="BV50" i="35"/>
  <c r="BJ49" i="35"/>
  <c r="BN49" i="35" s="1"/>
  <c r="BK49" i="35"/>
  <c r="BM49" i="35" s="1"/>
  <c r="D47" i="35"/>
  <c r="BV48" i="35"/>
  <c r="BJ48" i="35"/>
  <c r="BV51" i="35"/>
  <c r="BK50" i="35"/>
  <c r="BK47" i="35"/>
  <c r="BM47" i="35" s="1"/>
  <c r="BK51" i="35"/>
  <c r="BM51" i="35" s="1"/>
  <c r="BL50" i="35"/>
  <c r="BN50" i="35" s="1"/>
  <c r="BJ47" i="35"/>
  <c r="BN47" i="35" s="1"/>
  <c r="BV49" i="35"/>
  <c r="BL38" i="35"/>
  <c r="BN38" i="35" s="1"/>
  <c r="BU51" i="35"/>
  <c r="BU47" i="35"/>
  <c r="BV47" i="35"/>
  <c r="BK38" i="35"/>
  <c r="BJ51" i="35"/>
  <c r="BN51" i="35" s="1"/>
  <c r="BL48" i="35"/>
  <c r="BU50" i="35"/>
  <c r="BU48" i="35"/>
  <c r="BU49" i="35"/>
  <c r="BV38" i="35"/>
  <c r="BJ45" i="35"/>
  <c r="BN45" i="35" s="1"/>
  <c r="BU45" i="35"/>
  <c r="BK45" i="35"/>
  <c r="BM45" i="35" s="1"/>
  <c r="BV45" i="35"/>
  <c r="BU38" i="35"/>
  <c r="BU19" i="35"/>
  <c r="AV15" i="35" s="1"/>
  <c r="BK20" i="35"/>
  <c r="BM20" i="35" s="1"/>
  <c r="AV12" i="35" s="1"/>
  <c r="BK21" i="35"/>
  <c r="BM21" i="35" s="1"/>
  <c r="AV13" i="35" s="1"/>
  <c r="BJ21" i="35"/>
  <c r="BN21" i="35" s="1"/>
  <c r="AW13" i="35" s="1"/>
  <c r="BJ19" i="35"/>
  <c r="BN19" i="35" s="1"/>
  <c r="AW11" i="35" s="1"/>
  <c r="BK19" i="35"/>
  <c r="BM19" i="35" s="1"/>
  <c r="AV11" i="35" s="1"/>
  <c r="AU17" i="35"/>
  <c r="BV21" i="35"/>
  <c r="AW17" i="35" s="1"/>
  <c r="AU12" i="35"/>
  <c r="BU21" i="35"/>
  <c r="AV17" i="35" s="1"/>
  <c r="AU16" i="35"/>
  <c r="BV20" i="35"/>
  <c r="AW16" i="35" s="1"/>
  <c r="BU20" i="35"/>
  <c r="AV16" i="35" s="1"/>
  <c r="AU15" i="35"/>
  <c r="BV19" i="35"/>
  <c r="AW15" i="35" s="1"/>
  <c r="BJ20" i="35"/>
  <c r="BN20" i="35" s="1"/>
  <c r="AW12" i="35" s="1"/>
  <c r="AU11" i="35"/>
  <c r="AO117" i="56"/>
  <c r="N117" i="56" s="1"/>
  <c r="AH120" i="56"/>
  <c r="O120" i="56" s="1"/>
  <c r="AO113" i="56"/>
  <c r="N113" i="56" s="1"/>
  <c r="AO115" i="56"/>
  <c r="N115" i="56" s="1"/>
  <c r="AO119" i="56"/>
  <c r="N119" i="56" s="1"/>
  <c r="AO122" i="56"/>
  <c r="N122" i="56" s="1"/>
  <c r="AH112" i="56"/>
  <c r="O112" i="56" s="1"/>
  <c r="AH114" i="56"/>
  <c r="O114" i="56" s="1"/>
  <c r="AH116" i="56"/>
  <c r="O116" i="56" s="1"/>
  <c r="AH118" i="56"/>
  <c r="O118" i="56" s="1"/>
  <c r="AO121" i="56"/>
  <c r="N121" i="56" s="1"/>
  <c r="AG112" i="56"/>
  <c r="AF112" i="56"/>
  <c r="AG114" i="56"/>
  <c r="AF114" i="56"/>
  <c r="AG116" i="56"/>
  <c r="AF116" i="56"/>
  <c r="AJ116" i="56" s="1"/>
  <c r="AG118" i="56"/>
  <c r="AI118" i="56" s="1"/>
  <c r="AF118" i="56"/>
  <c r="AG120" i="56"/>
  <c r="AF120" i="56"/>
  <c r="AG122" i="56"/>
  <c r="AF122" i="56"/>
  <c r="AN112" i="56"/>
  <c r="AM112" i="56"/>
  <c r="AN114" i="56"/>
  <c r="AM114" i="56"/>
  <c r="AN116" i="56"/>
  <c r="AM116" i="56"/>
  <c r="AN118" i="56"/>
  <c r="AM118" i="56"/>
  <c r="AN120" i="56"/>
  <c r="AM120" i="56"/>
  <c r="AN122" i="56"/>
  <c r="AP122" i="56" s="1"/>
  <c r="AM122" i="56"/>
  <c r="AH111" i="56"/>
  <c r="O111" i="56" s="1"/>
  <c r="AG111" i="56"/>
  <c r="AF111" i="56"/>
  <c r="AG113" i="56"/>
  <c r="AF113" i="56"/>
  <c r="AG115" i="56"/>
  <c r="AF115" i="56"/>
  <c r="AG117" i="56"/>
  <c r="AF117" i="56"/>
  <c r="AG119" i="56"/>
  <c r="AF119" i="56"/>
  <c r="AG121" i="56"/>
  <c r="AF121" i="56"/>
  <c r="AN113" i="56"/>
  <c r="AM113" i="56"/>
  <c r="AN115" i="56"/>
  <c r="AM115" i="56"/>
  <c r="AQ115" i="56" s="1"/>
  <c r="AN117" i="56"/>
  <c r="AP117" i="56" s="1"/>
  <c r="AM117" i="56"/>
  <c r="AN119" i="56"/>
  <c r="AM119" i="56"/>
  <c r="AN121" i="56"/>
  <c r="AM121" i="56"/>
  <c r="AH113" i="56"/>
  <c r="AH115" i="56"/>
  <c r="AH117" i="56"/>
  <c r="O117" i="56" s="1"/>
  <c r="AH119" i="56"/>
  <c r="O119" i="56" s="1"/>
  <c r="AH122" i="56"/>
  <c r="O122" i="56" s="1"/>
  <c r="AH121" i="56"/>
  <c r="O121" i="56" s="1"/>
  <c r="AL111" i="56"/>
  <c r="AN111" i="56" s="1"/>
  <c r="AO112" i="56"/>
  <c r="N112" i="56" s="1"/>
  <c r="AO114" i="56"/>
  <c r="N114" i="56" s="1"/>
  <c r="AO116" i="56"/>
  <c r="N116" i="56" s="1"/>
  <c r="AO118" i="56"/>
  <c r="N118" i="56" s="1"/>
  <c r="AO120" i="56"/>
  <c r="N120" i="56" s="1"/>
  <c r="O93" i="56"/>
  <c r="O94" i="56"/>
  <c r="O96" i="56"/>
  <c r="O92" i="56"/>
  <c r="N93" i="56"/>
  <c r="N94" i="56"/>
  <c r="N95" i="56"/>
  <c r="N96" i="56"/>
  <c r="O95" i="56"/>
  <c r="AI72" i="56"/>
  <c r="O66" i="56" s="1"/>
  <c r="AI74" i="56"/>
  <c r="O68" i="56" s="1"/>
  <c r="AI75" i="56"/>
  <c r="O69" i="56" s="1"/>
  <c r="AI76" i="56"/>
  <c r="O70" i="56" s="1"/>
  <c r="AI77" i="56"/>
  <c r="O71" i="56" s="1"/>
  <c r="AI78" i="56"/>
  <c r="O72" i="56" s="1"/>
  <c r="AI79" i="56"/>
  <c r="O73" i="56" s="1"/>
  <c r="AI80" i="56"/>
  <c r="O74" i="56" s="1"/>
  <c r="AI64" i="56"/>
  <c r="N70" i="56" s="1"/>
  <c r="AI66" i="56"/>
  <c r="N72" i="56" s="1"/>
  <c r="AI67" i="56"/>
  <c r="N73" i="56" s="1"/>
  <c r="AI68" i="56"/>
  <c r="N74" i="56" s="1"/>
  <c r="AI63" i="56"/>
  <c r="N69" i="56" s="1"/>
  <c r="AI65" i="56"/>
  <c r="N71" i="56" s="1"/>
  <c r="B179" i="56"/>
  <c r="B156" i="56"/>
  <c r="B133" i="56"/>
  <c r="B108" i="56"/>
  <c r="B84" i="56"/>
  <c r="B60" i="56"/>
  <c r="B36" i="56"/>
  <c r="AE163" i="56"/>
  <c r="AL163" i="56" s="1"/>
  <c r="AE184" i="56"/>
  <c r="AL184" i="56" s="1"/>
  <c r="AE183" i="56"/>
  <c r="AL183" i="56" s="1"/>
  <c r="AE182" i="56"/>
  <c r="AL182" i="56" s="1"/>
  <c r="AE181" i="56"/>
  <c r="AL181" i="56" s="1"/>
  <c r="AE180" i="56"/>
  <c r="AL180" i="56" s="1"/>
  <c r="AE158" i="56"/>
  <c r="AL158" i="56" s="1"/>
  <c r="AE159" i="56"/>
  <c r="AE160" i="56"/>
  <c r="AL160" i="56" s="1"/>
  <c r="AM160" i="56" s="1"/>
  <c r="AE161" i="56"/>
  <c r="AE162" i="56"/>
  <c r="AL162" i="56" s="1"/>
  <c r="AM162" i="56" s="1"/>
  <c r="AE157" i="56"/>
  <c r="AL157" i="56" s="1"/>
  <c r="AO157" i="56" s="1"/>
  <c r="N161" i="56" s="1"/>
  <c r="AE135" i="56"/>
  <c r="AL135" i="56" s="1"/>
  <c r="AO135" i="56" s="1"/>
  <c r="AE134" i="56"/>
  <c r="AL134" i="56" s="1"/>
  <c r="AN134" i="56" s="1"/>
  <c r="B34" i="55"/>
  <c r="B62" i="55"/>
  <c r="B90" i="55"/>
  <c r="B6" i="55"/>
  <c r="AP119" i="56" l="1"/>
  <c r="O115" i="56"/>
  <c r="AA115" i="56" s="1"/>
  <c r="O113" i="56"/>
  <c r="AA113" i="56" s="1"/>
  <c r="AQ113" i="56"/>
  <c r="AQ117" i="56"/>
  <c r="AP118" i="56"/>
  <c r="AP114" i="56"/>
  <c r="BM38" i="35"/>
  <c r="AP116" i="56"/>
  <c r="AP120" i="56"/>
  <c r="AJ111" i="56"/>
  <c r="AI114" i="56"/>
  <c r="AP112" i="56"/>
  <c r="AI111" i="56"/>
  <c r="AI116" i="56"/>
  <c r="BM50" i="35"/>
  <c r="BN48" i="35"/>
  <c r="BM48" i="35"/>
  <c r="AQ119" i="56"/>
  <c r="AJ118" i="56"/>
  <c r="AJ120" i="56"/>
  <c r="AI120" i="56"/>
  <c r="AJ114" i="56"/>
  <c r="AI112" i="56"/>
  <c r="AG48" i="56"/>
  <c r="AI48" i="56"/>
  <c r="O40" i="56" s="1"/>
  <c r="AH48" i="56"/>
  <c r="AH47" i="56"/>
  <c r="AI47" i="56"/>
  <c r="O39" i="56" s="1"/>
  <c r="AQ121" i="56"/>
  <c r="AP121" i="56"/>
  <c r="AP113" i="56"/>
  <c r="AJ119" i="56"/>
  <c r="AJ112" i="56"/>
  <c r="N139" i="56"/>
  <c r="AP115" i="56"/>
  <c r="AQ122" i="56"/>
  <c r="AA122" i="56"/>
  <c r="AJ113" i="56"/>
  <c r="AI70" i="56"/>
  <c r="O64" i="56" s="1"/>
  <c r="AI62" i="56"/>
  <c r="N68" i="56" s="1"/>
  <c r="AI60" i="56"/>
  <c r="N66" i="56" s="1"/>
  <c r="AH58" i="56"/>
  <c r="AI61" i="56"/>
  <c r="N67" i="56" s="1"/>
  <c r="AG59" i="56"/>
  <c r="AH88" i="56"/>
  <c r="AH95" i="56"/>
  <c r="AO158" i="56"/>
  <c r="N162" i="56" s="1"/>
  <c r="AM158" i="56"/>
  <c r="AM135" i="56"/>
  <c r="AQ135" i="56" s="1"/>
  <c r="AO134" i="56"/>
  <c r="N138" i="56" s="1"/>
  <c r="AL159" i="56"/>
  <c r="AO160" i="56"/>
  <c r="N164" i="56" s="1"/>
  <c r="AO162" i="56"/>
  <c r="N166" i="56" s="1"/>
  <c r="AN160" i="56"/>
  <c r="AF161" i="56"/>
  <c r="AM134" i="56"/>
  <c r="AN162" i="56"/>
  <c r="AL161" i="56"/>
  <c r="AO180" i="56"/>
  <c r="N184" i="56" s="1"/>
  <c r="AO181" i="56"/>
  <c r="N185" i="56" s="1"/>
  <c r="AN183" i="56"/>
  <c r="AO184" i="56"/>
  <c r="AJ117" i="56"/>
  <c r="AI119" i="56"/>
  <c r="AM157" i="56"/>
  <c r="AQ157" i="56" s="1"/>
  <c r="AN157" i="56"/>
  <c r="AP157" i="56" s="1"/>
  <c r="AA117" i="56"/>
  <c r="AN158" i="56"/>
  <c r="AN135" i="56"/>
  <c r="AP135" i="56" s="1"/>
  <c r="Q26" i="55"/>
  <c r="Q24" i="55"/>
  <c r="Q22" i="55"/>
  <c r="Q20" i="55"/>
  <c r="Q18" i="55"/>
  <c r="Q16" i="55"/>
  <c r="Q14" i="55"/>
  <c r="AN12" i="55"/>
  <c r="AN10" i="55"/>
  <c r="AM36" i="55"/>
  <c r="AN36" i="55"/>
  <c r="AM55" i="55"/>
  <c r="AN55" i="55"/>
  <c r="AM53" i="55"/>
  <c r="AN53" i="55"/>
  <c r="AM51" i="55"/>
  <c r="AN51" i="55"/>
  <c r="AM49" i="55"/>
  <c r="AN49" i="55"/>
  <c r="AM47" i="55"/>
  <c r="AN47" i="55"/>
  <c r="AM45" i="55"/>
  <c r="AN45" i="55"/>
  <c r="AM43" i="55"/>
  <c r="AN43" i="55"/>
  <c r="AM41" i="55"/>
  <c r="AN41" i="55"/>
  <c r="AM39" i="55"/>
  <c r="AN39" i="55"/>
  <c r="AM37" i="55"/>
  <c r="AN37" i="55"/>
  <c r="AM83" i="55"/>
  <c r="AN83" i="55"/>
  <c r="AM81" i="55"/>
  <c r="AN81" i="55"/>
  <c r="AM79" i="55"/>
  <c r="AN79" i="55"/>
  <c r="AM77" i="55"/>
  <c r="AN77" i="55"/>
  <c r="AM75" i="55"/>
  <c r="AN75" i="55"/>
  <c r="AM73" i="55"/>
  <c r="AN73" i="55"/>
  <c r="AM71" i="55"/>
  <c r="AN71" i="55"/>
  <c r="AM69" i="55"/>
  <c r="AN69" i="55"/>
  <c r="AM67" i="55"/>
  <c r="AN67" i="55"/>
  <c r="AM65" i="55"/>
  <c r="AN65" i="55"/>
  <c r="AN110" i="55"/>
  <c r="AM110" i="55"/>
  <c r="AN108" i="55"/>
  <c r="AM108" i="55"/>
  <c r="AN106" i="55"/>
  <c r="AP106" i="55" s="1"/>
  <c r="AM106" i="55"/>
  <c r="AN104" i="55"/>
  <c r="AP104" i="55" s="1"/>
  <c r="AM104" i="55"/>
  <c r="AN102" i="55"/>
  <c r="AP102" i="55" s="1"/>
  <c r="AM102" i="55"/>
  <c r="AN100" i="55"/>
  <c r="AM100" i="55"/>
  <c r="AN98" i="55"/>
  <c r="AP98" i="55" s="1"/>
  <c r="AM98" i="55"/>
  <c r="AN96" i="55"/>
  <c r="AM96" i="55"/>
  <c r="AN94" i="55"/>
  <c r="AP94" i="55" s="1"/>
  <c r="AM94" i="55"/>
  <c r="Q27" i="55"/>
  <c r="Q25" i="55"/>
  <c r="Q23" i="55"/>
  <c r="Q21" i="55"/>
  <c r="Q19" i="55"/>
  <c r="Q17" i="55"/>
  <c r="Q15" i="55"/>
  <c r="Q13" i="55"/>
  <c r="Q9" i="55"/>
  <c r="AM54" i="55"/>
  <c r="AN54" i="55"/>
  <c r="AM52" i="55"/>
  <c r="AN52" i="55"/>
  <c r="AM50" i="55"/>
  <c r="AN50" i="55"/>
  <c r="AM48" i="55"/>
  <c r="AN48" i="55"/>
  <c r="AM46" i="55"/>
  <c r="AN46" i="55"/>
  <c r="AM44" i="55"/>
  <c r="AN44" i="55"/>
  <c r="AM42" i="55"/>
  <c r="AN42" i="55"/>
  <c r="AM40" i="55"/>
  <c r="AN40" i="55"/>
  <c r="AM38" i="55"/>
  <c r="AN38" i="55"/>
  <c r="AM64" i="55"/>
  <c r="AN64" i="55"/>
  <c r="AM82" i="55"/>
  <c r="AN82" i="55"/>
  <c r="AM80" i="55"/>
  <c r="AN80" i="55"/>
  <c r="AM78" i="55"/>
  <c r="AN78" i="55"/>
  <c r="AM76" i="55"/>
  <c r="AN76" i="55"/>
  <c r="AM74" i="55"/>
  <c r="AN74" i="55"/>
  <c r="AM72" i="55"/>
  <c r="AN72" i="55"/>
  <c r="AM70" i="55"/>
  <c r="AN70" i="55"/>
  <c r="AM68" i="55"/>
  <c r="AN68" i="55"/>
  <c r="AM66" i="55"/>
  <c r="AN66" i="55"/>
  <c r="AN92" i="55"/>
  <c r="AM92" i="55"/>
  <c r="AN111" i="55"/>
  <c r="AM111" i="55"/>
  <c r="AN109" i="55"/>
  <c r="AM109" i="55"/>
  <c r="AN107" i="55"/>
  <c r="AM107" i="55"/>
  <c r="AN105" i="55"/>
  <c r="AM105" i="55"/>
  <c r="AN103" i="55"/>
  <c r="AM103" i="55"/>
  <c r="AN101" i="55"/>
  <c r="AM101" i="55"/>
  <c r="AN97" i="55"/>
  <c r="AM97" i="55"/>
  <c r="AM95" i="55"/>
  <c r="AN95" i="55"/>
  <c r="AN93" i="55"/>
  <c r="AM93" i="55"/>
  <c r="AO93" i="55" s="1"/>
  <c r="AM111" i="56"/>
  <c r="AI115" i="56"/>
  <c r="AJ115" i="56"/>
  <c r="AO111" i="56"/>
  <c r="AI73" i="56"/>
  <c r="O67" i="56" s="1"/>
  <c r="AI71" i="56"/>
  <c r="O65" i="56" s="1"/>
  <c r="O43" i="56"/>
  <c r="AH75" i="56"/>
  <c r="AJ75" i="56" s="1"/>
  <c r="AG75" i="56"/>
  <c r="AK75" i="56" s="1"/>
  <c r="AH67" i="56"/>
  <c r="AJ67" i="56" s="1"/>
  <c r="AG67" i="56"/>
  <c r="AK67" i="56" s="1"/>
  <c r="AH65" i="56"/>
  <c r="AJ65" i="56" s="1"/>
  <c r="AG65" i="56"/>
  <c r="AH80" i="56"/>
  <c r="AJ80" i="56" s="1"/>
  <c r="AG80" i="56"/>
  <c r="AK80" i="56" s="1"/>
  <c r="AH78" i="56"/>
  <c r="AJ78" i="56" s="1"/>
  <c r="AG78" i="56"/>
  <c r="AK78" i="56" s="1"/>
  <c r="AH76" i="56"/>
  <c r="AJ76" i="56" s="1"/>
  <c r="AG76" i="56"/>
  <c r="AK76" i="56" s="1"/>
  <c r="AH74" i="56"/>
  <c r="AJ74" i="56" s="1"/>
  <c r="AG74" i="56"/>
  <c r="AK74" i="56" s="1"/>
  <c r="AH72" i="56"/>
  <c r="AJ72" i="56" s="1"/>
  <c r="AG72" i="56"/>
  <c r="AK72" i="56" s="1"/>
  <c r="AH70" i="56"/>
  <c r="AG70" i="56"/>
  <c r="AH93" i="56"/>
  <c r="AJ93" i="56" s="1"/>
  <c r="AG93" i="56"/>
  <c r="AK93" i="56" s="1"/>
  <c r="AH91" i="56"/>
  <c r="AJ91" i="56" s="1"/>
  <c r="AG91" i="56"/>
  <c r="AK91" i="56" s="1"/>
  <c r="AH99" i="56"/>
  <c r="AJ99" i="56" s="1"/>
  <c r="AG99" i="56"/>
  <c r="AK99" i="56" s="1"/>
  <c r="AH102" i="56"/>
  <c r="AJ102" i="56" s="1"/>
  <c r="AG102" i="56"/>
  <c r="AK102" i="56" s="1"/>
  <c r="AH100" i="56"/>
  <c r="AJ100" i="56" s="1"/>
  <c r="AG100" i="56"/>
  <c r="AK100" i="56" s="1"/>
  <c r="AH86" i="56"/>
  <c r="AG86" i="56"/>
  <c r="AH94" i="56"/>
  <c r="AG94" i="56"/>
  <c r="AH97" i="56"/>
  <c r="AG97" i="56"/>
  <c r="AI117" i="56"/>
  <c r="AI113" i="56"/>
  <c r="N43" i="56"/>
  <c r="AH63" i="56"/>
  <c r="AJ63" i="56" s="1"/>
  <c r="AG63" i="56"/>
  <c r="AK63" i="56" s="1"/>
  <c r="AH68" i="56"/>
  <c r="AJ68" i="56" s="1"/>
  <c r="AG68" i="56"/>
  <c r="AK68" i="56" s="1"/>
  <c r="AH66" i="56"/>
  <c r="AJ66" i="56" s="1"/>
  <c r="AG66" i="56"/>
  <c r="AK66" i="56" s="1"/>
  <c r="AH64" i="56"/>
  <c r="AJ64" i="56" s="1"/>
  <c r="AG64" i="56"/>
  <c r="AH79" i="56"/>
  <c r="AJ79" i="56" s="1"/>
  <c r="AG79" i="56"/>
  <c r="AK79" i="56" s="1"/>
  <c r="AH77" i="56"/>
  <c r="AJ77" i="56" s="1"/>
  <c r="AG77" i="56"/>
  <c r="AK77" i="56" s="1"/>
  <c r="AH57" i="56"/>
  <c r="AG57" i="56"/>
  <c r="AH73" i="56"/>
  <c r="AG73" i="56"/>
  <c r="AH71" i="56"/>
  <c r="AG71" i="56"/>
  <c r="AH89" i="56"/>
  <c r="AG89" i="56"/>
  <c r="AH92" i="56"/>
  <c r="AJ92" i="56" s="1"/>
  <c r="AG92" i="56"/>
  <c r="AK92" i="56" s="1"/>
  <c r="AH90" i="56"/>
  <c r="AJ90" i="56" s="1"/>
  <c r="AG90" i="56"/>
  <c r="AK90" i="56" s="1"/>
  <c r="AH103" i="56"/>
  <c r="AJ103" i="56" s="1"/>
  <c r="AG103" i="56"/>
  <c r="AK103" i="56" s="1"/>
  <c r="AH101" i="56"/>
  <c r="AJ101" i="56" s="1"/>
  <c r="AG101" i="56"/>
  <c r="AK101" i="56" s="1"/>
  <c r="AH84" i="56"/>
  <c r="AG84" i="56"/>
  <c r="AH87" i="56"/>
  <c r="AG87" i="56"/>
  <c r="AH85" i="56"/>
  <c r="AG85" i="56"/>
  <c r="AH98" i="56"/>
  <c r="AG98" i="56"/>
  <c r="AH96" i="56"/>
  <c r="AG96" i="56"/>
  <c r="AA119" i="56"/>
  <c r="AI121" i="56"/>
  <c r="AJ122" i="56"/>
  <c r="AI122" i="56"/>
  <c r="AJ121" i="56"/>
  <c r="AQ118" i="56"/>
  <c r="AA118" i="56"/>
  <c r="AQ114" i="56"/>
  <c r="AA114" i="56"/>
  <c r="AQ120" i="56"/>
  <c r="AA120" i="56"/>
  <c r="AQ116" i="56"/>
  <c r="AA116" i="56"/>
  <c r="AQ112" i="56"/>
  <c r="O90" i="56"/>
  <c r="N88" i="56"/>
  <c r="N90" i="56"/>
  <c r="N92" i="56"/>
  <c r="N87" i="56"/>
  <c r="N89" i="56"/>
  <c r="O87" i="56"/>
  <c r="O89" i="56"/>
  <c r="O91" i="56"/>
  <c r="O44" i="56"/>
  <c r="AH69" i="56"/>
  <c r="AI57" i="56"/>
  <c r="N63" i="56" s="1"/>
  <c r="N44" i="56"/>
  <c r="AI39" i="56"/>
  <c r="N39" i="56" s="1"/>
  <c r="N40" i="56"/>
  <c r="Q48" i="55"/>
  <c r="O57" i="55"/>
  <c r="P85" i="55"/>
  <c r="AN8" i="55"/>
  <c r="Q50" i="55"/>
  <c r="Q46" i="55"/>
  <c r="P113" i="55"/>
  <c r="O85" i="55"/>
  <c r="O113" i="55"/>
  <c r="Q12" i="55"/>
  <c r="Q10" i="55"/>
  <c r="Q54" i="55"/>
  <c r="Q42" i="55"/>
  <c r="Q38" i="55"/>
  <c r="Q52" i="55"/>
  <c r="Q44" i="55"/>
  <c r="Q40" i="55"/>
  <c r="P57" i="55"/>
  <c r="Q37" i="55"/>
  <c r="Q41" i="55"/>
  <c r="Q43" i="55"/>
  <c r="Q45" i="55"/>
  <c r="Q47" i="55"/>
  <c r="Q49" i="55"/>
  <c r="Q51" i="55"/>
  <c r="Q53" i="55"/>
  <c r="Q55" i="55"/>
  <c r="Q36" i="55"/>
  <c r="Q113" i="55" l="1"/>
  <c r="AA112" i="56"/>
  <c r="N111" i="56"/>
  <c r="AA111" i="56" s="1"/>
  <c r="AJ71" i="56"/>
  <c r="AP41" i="55"/>
  <c r="AG60" i="56"/>
  <c r="AK60" i="56" s="1"/>
  <c r="AH60" i="56"/>
  <c r="AJ60" i="56" s="1"/>
  <c r="AJ48" i="56"/>
  <c r="AG61" i="56"/>
  <c r="AK61" i="56" s="1"/>
  <c r="AH61" i="56"/>
  <c r="AJ61" i="56" s="1"/>
  <c r="AM183" i="56"/>
  <c r="AG95" i="56"/>
  <c r="O88" i="56"/>
  <c r="AJ84" i="56"/>
  <c r="N91" i="56"/>
  <c r="AK71" i="56"/>
  <c r="AK48" i="56"/>
  <c r="AJ47" i="56"/>
  <c r="AK47" i="56"/>
  <c r="AP162" i="56"/>
  <c r="AP160" i="56"/>
  <c r="AQ162" i="56"/>
  <c r="AQ158" i="56"/>
  <c r="AQ111" i="56"/>
  <c r="AJ70" i="56"/>
  <c r="AH59" i="56"/>
  <c r="AK70" i="56"/>
  <c r="AG58" i="56"/>
  <c r="AP158" i="56"/>
  <c r="AG88" i="56"/>
  <c r="AG62" i="56"/>
  <c r="AK62" i="56" s="1"/>
  <c r="AI59" i="56"/>
  <c r="N65" i="56" s="1"/>
  <c r="AI58" i="56"/>
  <c r="N64" i="56" s="1"/>
  <c r="AK73" i="56"/>
  <c r="AH62" i="56"/>
  <c r="AJ62" i="56" s="1"/>
  <c r="AA121" i="56"/>
  <c r="AO50" i="55"/>
  <c r="AO48" i="55"/>
  <c r="Q85" i="55"/>
  <c r="AQ67" i="55" s="1"/>
  <c r="AM25" i="55"/>
  <c r="AO25" i="55" s="1"/>
  <c r="AP134" i="56"/>
  <c r="AQ134" i="56"/>
  <c r="Q8" i="55"/>
  <c r="AP8" i="55" s="1"/>
  <c r="AP96" i="55"/>
  <c r="AP100" i="55"/>
  <c r="AM10" i="55"/>
  <c r="AO10" i="55" s="1"/>
  <c r="AM12" i="55"/>
  <c r="AO12" i="55" s="1"/>
  <c r="AM22" i="55"/>
  <c r="AO22" i="55" s="1"/>
  <c r="AO97" i="55"/>
  <c r="AO74" i="55"/>
  <c r="AO99" i="55"/>
  <c r="AO103" i="55"/>
  <c r="AM21" i="55"/>
  <c r="AO21" i="55" s="1"/>
  <c r="AN25" i="55"/>
  <c r="AP25" i="55" s="1"/>
  <c r="AM27" i="55"/>
  <c r="AO27" i="55" s="1"/>
  <c r="AM14" i="55"/>
  <c r="AO14" i="55" s="1"/>
  <c r="AQ160" i="56"/>
  <c r="AN181" i="56"/>
  <c r="AP181" i="56" s="1"/>
  <c r="AM181" i="56"/>
  <c r="AQ181" i="56" s="1"/>
  <c r="AO183" i="56"/>
  <c r="AN184" i="56"/>
  <c r="AP184" i="56" s="1"/>
  <c r="AM184" i="56"/>
  <c r="AQ184" i="56" s="1"/>
  <c r="AJ86" i="56"/>
  <c r="AO66" i="55"/>
  <c r="AG160" i="56"/>
  <c r="AF160" i="56"/>
  <c r="AH160" i="56"/>
  <c r="AF162" i="56"/>
  <c r="AG162" i="56"/>
  <c r="AH162" i="56"/>
  <c r="O166" i="56" s="1"/>
  <c r="AH158" i="56"/>
  <c r="O162" i="56" s="1"/>
  <c r="AG158" i="56"/>
  <c r="AF158" i="56"/>
  <c r="AH135" i="56"/>
  <c r="O139" i="56" s="1"/>
  <c r="AG135" i="56"/>
  <c r="AF135" i="56"/>
  <c r="AM161" i="56"/>
  <c r="AN161" i="56"/>
  <c r="AO161" i="56"/>
  <c r="AG159" i="56"/>
  <c r="AF159" i="56"/>
  <c r="AH161" i="56"/>
  <c r="AG161" i="56"/>
  <c r="AH157" i="56"/>
  <c r="O161" i="56" s="1"/>
  <c r="AG157" i="56"/>
  <c r="AF157" i="56"/>
  <c r="AG134" i="56"/>
  <c r="AH134" i="56"/>
  <c r="O138" i="56" s="1"/>
  <c r="AF134" i="56"/>
  <c r="AO159" i="56"/>
  <c r="AN159" i="56"/>
  <c r="AM159" i="56"/>
  <c r="AH159" i="56"/>
  <c r="O163" i="56" s="1"/>
  <c r="AG181" i="56"/>
  <c r="AH181" i="56"/>
  <c r="O185" i="56" s="1"/>
  <c r="AF181" i="56"/>
  <c r="AG182" i="56"/>
  <c r="AH182" i="56"/>
  <c r="O186" i="56" s="1"/>
  <c r="AF182" i="56"/>
  <c r="AG183" i="56"/>
  <c r="AH183" i="56"/>
  <c r="O187" i="56" s="1"/>
  <c r="AF183" i="56"/>
  <c r="AG184" i="56"/>
  <c r="AH184" i="56"/>
  <c r="O188" i="56" s="1"/>
  <c r="AF184" i="56"/>
  <c r="AH180" i="56"/>
  <c r="O184" i="56" s="1"/>
  <c r="AG180" i="56"/>
  <c r="AF180" i="56"/>
  <c r="N188" i="56"/>
  <c r="AN182" i="56"/>
  <c r="AM182" i="56"/>
  <c r="AN180" i="56"/>
  <c r="AP180" i="56" s="1"/>
  <c r="AM180" i="56"/>
  <c r="AQ180" i="56" s="1"/>
  <c r="AO182" i="56"/>
  <c r="AO70" i="55"/>
  <c r="AO78" i="55"/>
  <c r="AJ85" i="56"/>
  <c r="AM13" i="55"/>
  <c r="AO13" i="55" s="1"/>
  <c r="P29" i="55"/>
  <c r="AN29" i="55" s="1"/>
  <c r="AJ73" i="56"/>
  <c r="AM9" i="55"/>
  <c r="AO9" i="55" s="1"/>
  <c r="AN13" i="55"/>
  <c r="AP13" i="55" s="1"/>
  <c r="AM15" i="55"/>
  <c r="AO15" i="55" s="1"/>
  <c r="AM17" i="55"/>
  <c r="AO17" i="55" s="1"/>
  <c r="AN21" i="55"/>
  <c r="AP21" i="55" s="1"/>
  <c r="AM23" i="55"/>
  <c r="AO23" i="55" s="1"/>
  <c r="AN14" i="55"/>
  <c r="AP14" i="55" s="1"/>
  <c r="AM16" i="55"/>
  <c r="AO16" i="55" s="1"/>
  <c r="AM18" i="55"/>
  <c r="AO18" i="55" s="1"/>
  <c r="AN22" i="55"/>
  <c r="AP22" i="55" s="1"/>
  <c r="AM24" i="55"/>
  <c r="AO24" i="55" s="1"/>
  <c r="AN9" i="55"/>
  <c r="AP9" i="55" s="1"/>
  <c r="AM11" i="55"/>
  <c r="AO11" i="55" s="1"/>
  <c r="AN17" i="55"/>
  <c r="AP17" i="55" s="1"/>
  <c r="AM19" i="55"/>
  <c r="AO19" i="55" s="1"/>
  <c r="AN18" i="55"/>
  <c r="AP18" i="55" s="1"/>
  <c r="AM20" i="55"/>
  <c r="AO20" i="55" s="1"/>
  <c r="AN24" i="55"/>
  <c r="AP24" i="55" s="1"/>
  <c r="AM26" i="55"/>
  <c r="AO26" i="55" s="1"/>
  <c r="AJ94" i="56"/>
  <c r="AK87" i="56"/>
  <c r="AJ87" i="56"/>
  <c r="AJ98" i="56"/>
  <c r="AM8" i="55"/>
  <c r="AN26" i="55"/>
  <c r="AP26" i="55" s="1"/>
  <c r="AN113" i="55"/>
  <c r="AM113" i="55"/>
  <c r="AM85" i="55"/>
  <c r="AN85" i="55"/>
  <c r="AS65" i="55" s="1"/>
  <c r="AO98" i="55"/>
  <c r="AM57" i="55"/>
  <c r="AN57" i="55"/>
  <c r="AN11" i="55"/>
  <c r="AP11" i="55" s="1"/>
  <c r="AN15" i="55"/>
  <c r="AP15" i="55" s="1"/>
  <c r="AN19" i="55"/>
  <c r="AP19" i="55" s="1"/>
  <c r="AN23" i="55"/>
  <c r="AP23" i="55" s="1"/>
  <c r="AN27" i="55"/>
  <c r="AP27" i="55" s="1"/>
  <c r="AN16" i="55"/>
  <c r="AP16" i="55" s="1"/>
  <c r="AN20" i="55"/>
  <c r="AP20" i="55" s="1"/>
  <c r="AJ95" i="56"/>
  <c r="AK85" i="56"/>
  <c r="AG69" i="56"/>
  <c r="AG39" i="56"/>
  <c r="AK39" i="56" s="1"/>
  <c r="AP111" i="56"/>
  <c r="AJ57" i="56"/>
  <c r="AJ97" i="56"/>
  <c r="AJ96" i="56"/>
  <c r="AH39" i="56"/>
  <c r="AJ39" i="56" s="1"/>
  <c r="AK65" i="56"/>
  <c r="AJ89" i="56"/>
  <c r="AK97" i="56"/>
  <c r="AK98" i="56"/>
  <c r="AK96" i="56"/>
  <c r="AK94" i="56"/>
  <c r="AK86" i="56"/>
  <c r="AK84" i="56"/>
  <c r="AK89" i="56"/>
  <c r="AI69" i="56"/>
  <c r="O63" i="56" s="1"/>
  <c r="AK64" i="56"/>
  <c r="AK57" i="56"/>
  <c r="AP45" i="55"/>
  <c r="AP53" i="55"/>
  <c r="AO102" i="55"/>
  <c r="AO94" i="55"/>
  <c r="AP47" i="55"/>
  <c r="AP37" i="55"/>
  <c r="AO110" i="55"/>
  <c r="AO108" i="55"/>
  <c r="AO106" i="55"/>
  <c r="AO104" i="55"/>
  <c r="AO100" i="55"/>
  <c r="AO96" i="55"/>
  <c r="AO92" i="55"/>
  <c r="AO36" i="55"/>
  <c r="AO46" i="55"/>
  <c r="AP83" i="55"/>
  <c r="AP79" i="55"/>
  <c r="AP75" i="55"/>
  <c r="AP71" i="55"/>
  <c r="AP67" i="55"/>
  <c r="AO64" i="55"/>
  <c r="AP82" i="55"/>
  <c r="AO80" i="55"/>
  <c r="AO76" i="55"/>
  <c r="AO72" i="55"/>
  <c r="AO68" i="55"/>
  <c r="AP111" i="55"/>
  <c r="AP109" i="55"/>
  <c r="AP107" i="55"/>
  <c r="AO101" i="55"/>
  <c r="AO95" i="55"/>
  <c r="AP110" i="55"/>
  <c r="AP108" i="55"/>
  <c r="AP92" i="55"/>
  <c r="AP49" i="55"/>
  <c r="AP103" i="55"/>
  <c r="AP99" i="55"/>
  <c r="AP95" i="55"/>
  <c r="AO111" i="55"/>
  <c r="AO109" i="55"/>
  <c r="AO107" i="55"/>
  <c r="AO105" i="55"/>
  <c r="AP105" i="55"/>
  <c r="AP101" i="55"/>
  <c r="AP97" i="55"/>
  <c r="AP93" i="55"/>
  <c r="AP10" i="55"/>
  <c r="AP12" i="55"/>
  <c r="AO82" i="55"/>
  <c r="AP81" i="55"/>
  <c r="AP80" i="55"/>
  <c r="AO83" i="55"/>
  <c r="AO81" i="55"/>
  <c r="AO79" i="55"/>
  <c r="AO77" i="55"/>
  <c r="AO75" i="55"/>
  <c r="AO73" i="55"/>
  <c r="AO69" i="55"/>
  <c r="AO67" i="55"/>
  <c r="AO65" i="55"/>
  <c r="AP64" i="55"/>
  <c r="AP77" i="55"/>
  <c r="AP73" i="55"/>
  <c r="AP69" i="55"/>
  <c r="AP65" i="55"/>
  <c r="AP76" i="55"/>
  <c r="AP72" i="55"/>
  <c r="AP68" i="55"/>
  <c r="AO71" i="55"/>
  <c r="AP78" i="55"/>
  <c r="AP74" i="55"/>
  <c r="AP70" i="55"/>
  <c r="AP66" i="55"/>
  <c r="AP51" i="55"/>
  <c r="AP43" i="55"/>
  <c r="AP39" i="55"/>
  <c r="AP54" i="55"/>
  <c r="AO52" i="55"/>
  <c r="AO44" i="55"/>
  <c r="AO42" i="55"/>
  <c r="AO40" i="55"/>
  <c r="AO38" i="55"/>
  <c r="Q57" i="55"/>
  <c r="AO55" i="55"/>
  <c r="AO43" i="55"/>
  <c r="AO41" i="55"/>
  <c r="AO39" i="55"/>
  <c r="AP36" i="55"/>
  <c r="AP55" i="55"/>
  <c r="AP48" i="55"/>
  <c r="AP40" i="55"/>
  <c r="AP50" i="55"/>
  <c r="AP42" i="55"/>
  <c r="AO49" i="55"/>
  <c r="AO54" i="55"/>
  <c r="AO53" i="55"/>
  <c r="AO51" i="55"/>
  <c r="AO47" i="55"/>
  <c r="AO45" i="55"/>
  <c r="AO37" i="55"/>
  <c r="AP52" i="55"/>
  <c r="AP44" i="55"/>
  <c r="AP46" i="55"/>
  <c r="AP38" i="55"/>
  <c r="AO8" i="55" l="1"/>
  <c r="AJ88" i="56"/>
  <c r="AK88" i="56"/>
  <c r="AK58" i="56"/>
  <c r="AK59" i="56"/>
  <c r="AK95" i="56"/>
  <c r="AJ59" i="56"/>
  <c r="AQ183" i="56"/>
  <c r="AM29" i="55"/>
  <c r="AR14" i="55" s="1"/>
  <c r="AJ58" i="56"/>
  <c r="AJ157" i="56"/>
  <c r="N187" i="56"/>
  <c r="AQ73" i="55"/>
  <c r="AP183" i="56"/>
  <c r="AQ78" i="55"/>
  <c r="AQ65" i="55"/>
  <c r="AQ70" i="55"/>
  <c r="AQ81" i="55"/>
  <c r="AQ64" i="55"/>
  <c r="AQ76" i="55"/>
  <c r="AQ68" i="55"/>
  <c r="AQ79" i="55"/>
  <c r="AQ71" i="55"/>
  <c r="AP85" i="55"/>
  <c r="AJ158" i="56"/>
  <c r="AQ82" i="55"/>
  <c r="AQ74" i="55"/>
  <c r="AQ66" i="55"/>
  <c r="AQ77" i="55"/>
  <c r="AQ69" i="55"/>
  <c r="AQ80" i="55"/>
  <c r="AQ72" i="55"/>
  <c r="AQ83" i="55"/>
  <c r="AQ75" i="55"/>
  <c r="AJ180" i="56"/>
  <c r="AJ135" i="56"/>
  <c r="AS76" i="55"/>
  <c r="AS79" i="55"/>
  <c r="AS64" i="55"/>
  <c r="AS68" i="55"/>
  <c r="AS71" i="55"/>
  <c r="AS80" i="55"/>
  <c r="AS72" i="55"/>
  <c r="AS83" i="55"/>
  <c r="AS75" i="55"/>
  <c r="AS67" i="55"/>
  <c r="AS82" i="55"/>
  <c r="AS78" i="55"/>
  <c r="AS74" i="55"/>
  <c r="AS70" i="55"/>
  <c r="AS66" i="55"/>
  <c r="AS81" i="55"/>
  <c r="AS77" i="55"/>
  <c r="AS73" i="55"/>
  <c r="AS69" i="55"/>
  <c r="Q29" i="55"/>
  <c r="AQ21" i="55" s="1"/>
  <c r="AS8" i="55"/>
  <c r="AS18" i="55"/>
  <c r="AS13" i="55"/>
  <c r="AS10" i="55"/>
  <c r="AS26" i="55"/>
  <c r="AS21" i="55"/>
  <c r="AJ181" i="56"/>
  <c r="AI181" i="56"/>
  <c r="AI158" i="56"/>
  <c r="AI159" i="56"/>
  <c r="AP161" i="56"/>
  <c r="AI180" i="56"/>
  <c r="AJ184" i="56"/>
  <c r="AI184" i="56"/>
  <c r="AJ182" i="56"/>
  <c r="AP159" i="56"/>
  <c r="AJ134" i="56"/>
  <c r="AI134" i="56"/>
  <c r="AI157" i="56"/>
  <c r="AI161" i="56"/>
  <c r="AJ159" i="56"/>
  <c r="N165" i="56"/>
  <c r="AQ161" i="56"/>
  <c r="AI135" i="56"/>
  <c r="AI162" i="56"/>
  <c r="AJ160" i="56"/>
  <c r="O164" i="56"/>
  <c r="AI160" i="56"/>
  <c r="AQ159" i="56"/>
  <c r="N163" i="56"/>
  <c r="O165" i="56"/>
  <c r="AJ161" i="56"/>
  <c r="AJ162" i="56"/>
  <c r="AI182" i="56"/>
  <c r="AJ183" i="56"/>
  <c r="AI183" i="56"/>
  <c r="AQ182" i="56"/>
  <c r="N186" i="56"/>
  <c r="AP182" i="56"/>
  <c r="AS25" i="55"/>
  <c r="AS17" i="55"/>
  <c r="AS9" i="55"/>
  <c r="AS22" i="55"/>
  <c r="AS14" i="55"/>
  <c r="AS27" i="55"/>
  <c r="AS23" i="55"/>
  <c r="AS19" i="55"/>
  <c r="AS15" i="55"/>
  <c r="AS11" i="55"/>
  <c r="AS24" i="55"/>
  <c r="AS20" i="55"/>
  <c r="AS16" i="55"/>
  <c r="AS12" i="55"/>
  <c r="AJ69" i="56"/>
  <c r="AK69" i="56"/>
  <c r="AQ38" i="55"/>
  <c r="AQ40" i="55"/>
  <c r="AQ42" i="55"/>
  <c r="AQ44" i="55"/>
  <c r="AQ46" i="55"/>
  <c r="AQ48" i="55"/>
  <c r="AQ50" i="55"/>
  <c r="AQ52" i="55"/>
  <c r="AQ54" i="55"/>
  <c r="AQ37" i="55"/>
  <c r="AQ41" i="55"/>
  <c r="AQ45" i="55"/>
  <c r="AQ49" i="55"/>
  <c r="AQ53" i="55"/>
  <c r="AQ39" i="55"/>
  <c r="AQ43" i="55"/>
  <c r="AQ47" i="55"/>
  <c r="AQ51" i="55"/>
  <c r="AQ55" i="55"/>
  <c r="AQ36" i="55"/>
  <c r="AQ93" i="55"/>
  <c r="AQ95" i="55"/>
  <c r="AQ97" i="55"/>
  <c r="AQ99" i="55"/>
  <c r="AQ101" i="55"/>
  <c r="AQ103" i="55"/>
  <c r="AQ105" i="55"/>
  <c r="AQ107" i="55"/>
  <c r="AQ109" i="55"/>
  <c r="AQ111" i="55"/>
  <c r="AQ96" i="55"/>
  <c r="AQ100" i="55"/>
  <c r="AQ104" i="55"/>
  <c r="AQ108" i="55"/>
  <c r="AQ94" i="55"/>
  <c r="AQ98" i="55"/>
  <c r="AQ102" i="55"/>
  <c r="AQ106" i="55"/>
  <c r="AQ110" i="55"/>
  <c r="AQ92" i="55"/>
  <c r="AP113" i="55"/>
  <c r="AS93" i="55"/>
  <c r="AS95" i="55"/>
  <c r="AS97" i="55"/>
  <c r="AS99" i="55"/>
  <c r="AS101" i="55"/>
  <c r="AS103" i="55"/>
  <c r="AS105" i="55"/>
  <c r="AS107" i="55"/>
  <c r="AS109" i="55"/>
  <c r="AS111" i="55"/>
  <c r="AS94" i="55"/>
  <c r="AS98" i="55"/>
  <c r="AS102" i="55"/>
  <c r="AS106" i="55"/>
  <c r="AS110" i="55"/>
  <c r="AS92" i="55"/>
  <c r="AS96" i="55"/>
  <c r="AS100" i="55"/>
  <c r="AS104" i="55"/>
  <c r="AS108" i="55"/>
  <c r="AO85" i="55"/>
  <c r="AR66" i="55"/>
  <c r="AR68" i="55"/>
  <c r="AR70" i="55"/>
  <c r="AR72" i="55"/>
  <c r="AR74" i="55"/>
  <c r="AR76" i="55"/>
  <c r="AR78" i="55"/>
  <c r="AR80" i="55"/>
  <c r="AR82" i="55"/>
  <c r="AR64" i="55"/>
  <c r="AR65" i="55"/>
  <c r="AR67" i="55"/>
  <c r="AR69" i="55"/>
  <c r="AR71" i="55"/>
  <c r="AR73" i="55"/>
  <c r="AR75" i="55"/>
  <c r="AR77" i="55"/>
  <c r="AR79" i="55"/>
  <c r="AR81" i="55"/>
  <c r="AR83" i="55"/>
  <c r="AR24" i="55" l="1"/>
  <c r="AR23" i="55"/>
  <c r="AR21" i="55"/>
  <c r="AR15" i="55"/>
  <c r="AR13" i="55"/>
  <c r="AR26" i="55"/>
  <c r="AQ14" i="55"/>
  <c r="AR16" i="55"/>
  <c r="AR8" i="55"/>
  <c r="AR19" i="55"/>
  <c r="AR11" i="55"/>
  <c r="AR22" i="55"/>
  <c r="AR25" i="55"/>
  <c r="AR17" i="55"/>
  <c r="AR9" i="55"/>
  <c r="AR18" i="55"/>
  <c r="AR27" i="55"/>
  <c r="AR12" i="55"/>
  <c r="AR20" i="55"/>
  <c r="AR10" i="55"/>
  <c r="AQ15" i="55"/>
  <c r="AQ23" i="55"/>
  <c r="AQ12" i="55"/>
  <c r="AQ8" i="55"/>
  <c r="AP29" i="55"/>
  <c r="AQ19" i="55"/>
  <c r="AQ27" i="55"/>
  <c r="AQ20" i="55"/>
  <c r="AQ17" i="55"/>
  <c r="AO29" i="55"/>
  <c r="AQ16" i="55"/>
  <c r="AQ24" i="55"/>
  <c r="AQ9" i="55"/>
  <c r="AQ25" i="55"/>
  <c r="AQ22" i="55"/>
  <c r="AQ13" i="55"/>
  <c r="AQ10" i="55"/>
  <c r="AQ26" i="55"/>
  <c r="AQ11" i="55"/>
  <c r="AQ18" i="55"/>
  <c r="AO57" i="55"/>
  <c r="AR37" i="55"/>
  <c r="AR39" i="55"/>
  <c r="AR41" i="55"/>
  <c r="AR43" i="55"/>
  <c r="AR45" i="55"/>
  <c r="AR47" i="55"/>
  <c r="AR49" i="55"/>
  <c r="AR51" i="55"/>
  <c r="AR53" i="55"/>
  <c r="AR55" i="55"/>
  <c r="AR36" i="55"/>
  <c r="AR38" i="55"/>
  <c r="AR42" i="55"/>
  <c r="AR46" i="55"/>
  <c r="AR50" i="55"/>
  <c r="AR54" i="55"/>
  <c r="AR40" i="55"/>
  <c r="AR44" i="55"/>
  <c r="AR48" i="55"/>
  <c r="AR52" i="55"/>
  <c r="AO113" i="55"/>
  <c r="AR94" i="55"/>
  <c r="AR96" i="55"/>
  <c r="AR98" i="55"/>
  <c r="AR100" i="55"/>
  <c r="AR102" i="55"/>
  <c r="AR104" i="55"/>
  <c r="AR106" i="55"/>
  <c r="AR108" i="55"/>
  <c r="AR110" i="55"/>
  <c r="AR92" i="55"/>
  <c r="AR93" i="55"/>
  <c r="AR97" i="55"/>
  <c r="AR101" i="55"/>
  <c r="AR105" i="55"/>
  <c r="AR109" i="55"/>
  <c r="AR95" i="55"/>
  <c r="AR99" i="55"/>
  <c r="AR103" i="55"/>
  <c r="AR107" i="55"/>
  <c r="AR111" i="55"/>
  <c r="AP57" i="55"/>
  <c r="AS38" i="55"/>
  <c r="AS40" i="55"/>
  <c r="AS42" i="55"/>
  <c r="AS44" i="55"/>
  <c r="AS46" i="55"/>
  <c r="AS48" i="55"/>
  <c r="AS50" i="55"/>
  <c r="AS52" i="55"/>
  <c r="AS54" i="55"/>
  <c r="AS36" i="55"/>
  <c r="AS39" i="55"/>
  <c r="AS43" i="55"/>
  <c r="AS47" i="55"/>
  <c r="AS51" i="55"/>
  <c r="AS55" i="55"/>
  <c r="AS37" i="55"/>
  <c r="AS41" i="55"/>
  <c r="AS45" i="55"/>
  <c r="AS49" i="55"/>
  <c r="AS53" i="55"/>
  <c r="E21" i="7" l="1"/>
  <c r="A22" i="59" s="1"/>
  <c r="E22" i="7"/>
  <c r="A5" i="60" s="1"/>
  <c r="E24" i="7" l="1"/>
  <c r="A5" i="45" s="1"/>
  <c r="AU42" i="35" l="1"/>
  <c r="AU24" i="35"/>
  <c r="AU9" i="35"/>
  <c r="A5" i="39" l="1"/>
  <c r="E38" i="7"/>
  <c r="E19" i="7"/>
  <c r="A5" i="32" s="1"/>
  <c r="B11" i="35" l="1"/>
  <c r="E15" i="35"/>
  <c r="B22" i="35"/>
  <c r="E28" i="35"/>
  <c r="E35" i="35"/>
  <c r="B39" i="35"/>
  <c r="B41" i="35"/>
  <c r="B45" i="35"/>
  <c r="C15" i="35"/>
  <c r="C28" i="35"/>
  <c r="C35" i="35"/>
  <c r="B38" i="35"/>
  <c r="F38" i="35" s="1"/>
  <c r="B40" i="35"/>
  <c r="B42" i="35"/>
  <c r="B46" i="35"/>
  <c r="E18" i="7"/>
  <c r="A44" i="31" s="1"/>
  <c r="E17" i="7"/>
  <c r="A5" i="31" s="1"/>
  <c r="E16" i="7"/>
  <c r="A45" i="30" s="1"/>
  <c r="E15" i="7"/>
  <c r="A5" i="30" s="1"/>
  <c r="E5" i="7"/>
  <c r="A5" i="9" s="1"/>
  <c r="E20" i="7"/>
  <c r="A5" i="59" s="1"/>
  <c r="E14" i="7"/>
  <c r="A45" i="29" s="1"/>
  <c r="E13" i="7"/>
  <c r="A5" i="29" s="1"/>
  <c r="D38" i="35" l="1"/>
  <c r="D45" i="35"/>
  <c r="F45" i="35"/>
  <c r="D46" i="35"/>
  <c r="F46" i="35"/>
  <c r="F41" i="35"/>
  <c r="D41" i="35"/>
  <c r="D39" i="35"/>
  <c r="F39" i="35"/>
  <c r="F40" i="35"/>
  <c r="D40" i="35"/>
  <c r="BK41" i="35"/>
  <c r="BT41" i="35"/>
  <c r="BS41" i="35"/>
  <c r="BR41" i="35"/>
  <c r="BK33" i="35"/>
  <c r="BT33" i="35"/>
  <c r="AU50" i="35" s="1"/>
  <c r="BS33" i="35"/>
  <c r="BR33" i="35"/>
  <c r="BK26" i="35"/>
  <c r="BR26" i="35"/>
  <c r="BT26" i="35"/>
  <c r="AU34" i="35" s="1"/>
  <c r="BS26" i="35"/>
  <c r="BS40" i="35"/>
  <c r="BR40" i="35"/>
  <c r="BT40" i="35"/>
  <c r="BT32" i="35"/>
  <c r="AU49" i="35" s="1"/>
  <c r="BS32" i="35"/>
  <c r="BR32" i="35"/>
  <c r="BS25" i="35"/>
  <c r="BR25" i="35"/>
  <c r="BT25" i="35"/>
  <c r="BT12" i="35"/>
  <c r="BS12" i="35"/>
  <c r="BR12" i="35"/>
  <c r="BK39" i="35"/>
  <c r="BT39" i="35"/>
  <c r="BS39" i="35"/>
  <c r="BR39" i="35"/>
  <c r="BL35" i="35"/>
  <c r="AU47" i="35" s="1"/>
  <c r="BT35" i="35"/>
  <c r="AU52" i="35" s="1"/>
  <c r="BS35" i="35"/>
  <c r="BR35" i="35"/>
  <c r="BJ31" i="35"/>
  <c r="BS31" i="35"/>
  <c r="BR31" i="35"/>
  <c r="BT31" i="35"/>
  <c r="BK28" i="35"/>
  <c r="BT28" i="35"/>
  <c r="AU36" i="35" s="1"/>
  <c r="BS28" i="35"/>
  <c r="BR28" i="35"/>
  <c r="BL24" i="35"/>
  <c r="AU26" i="35" s="1"/>
  <c r="BR24" i="35"/>
  <c r="BT24" i="35"/>
  <c r="AU32" i="35" s="1"/>
  <c r="BS24" i="35"/>
  <c r="BJ18" i="35"/>
  <c r="BT18" i="35"/>
  <c r="AU14" i="35" s="1"/>
  <c r="BS18" i="35"/>
  <c r="BR18" i="35"/>
  <c r="BK15" i="35"/>
  <c r="BT15" i="35"/>
  <c r="BS15" i="35"/>
  <c r="BR15" i="35"/>
  <c r="BR46" i="35"/>
  <c r="BT46" i="35"/>
  <c r="BS46" i="35"/>
  <c r="BT42" i="35"/>
  <c r="BS42" i="35"/>
  <c r="BR42" i="35"/>
  <c r="BR34" i="35"/>
  <c r="BT34" i="35"/>
  <c r="AU51" i="35" s="1"/>
  <c r="BS34" i="35"/>
  <c r="BT27" i="35"/>
  <c r="AU35" i="35" s="1"/>
  <c r="BS27" i="35"/>
  <c r="BR27" i="35"/>
  <c r="BS23" i="35"/>
  <c r="BR23" i="35"/>
  <c r="BT23" i="35"/>
  <c r="BT14" i="35"/>
  <c r="BS14" i="35"/>
  <c r="BR14" i="35"/>
  <c r="B28" i="35"/>
  <c r="B35" i="35"/>
  <c r="B15" i="35"/>
  <c r="E32" i="35"/>
  <c r="E27" i="35"/>
  <c r="E23" i="35"/>
  <c r="E17" i="35"/>
  <c r="E33" i="35"/>
  <c r="E24" i="35"/>
  <c r="E13" i="35"/>
  <c r="E34" i="35"/>
  <c r="E30" i="35"/>
  <c r="E25" i="35"/>
  <c r="E14" i="35"/>
  <c r="E31" i="35"/>
  <c r="E26" i="35"/>
  <c r="E22" i="35"/>
  <c r="E11" i="35"/>
  <c r="B34" i="35"/>
  <c r="C31" i="35"/>
  <c r="B30" i="35"/>
  <c r="C26" i="35"/>
  <c r="B25" i="35"/>
  <c r="C22" i="35"/>
  <c r="B14" i="35"/>
  <c r="C11" i="35"/>
  <c r="C32" i="35"/>
  <c r="B31" i="35"/>
  <c r="C27" i="35"/>
  <c r="B26" i="35"/>
  <c r="C23" i="35"/>
  <c r="C17" i="35"/>
  <c r="C33" i="35"/>
  <c r="B32" i="35"/>
  <c r="B27" i="35"/>
  <c r="C24" i="35"/>
  <c r="B23" i="35"/>
  <c r="B17" i="35"/>
  <c r="C13" i="35"/>
  <c r="C34" i="35"/>
  <c r="B33" i="35"/>
  <c r="C30" i="35"/>
  <c r="C25" i="35"/>
  <c r="B24" i="35"/>
  <c r="C14" i="35"/>
  <c r="B13" i="35"/>
  <c r="BL33" i="35" l="1"/>
  <c r="BJ41" i="35"/>
  <c r="BL31" i="35"/>
  <c r="AU43" i="35" s="1"/>
  <c r="D25" i="35"/>
  <c r="BL26" i="35"/>
  <c r="AU28" i="35" s="1"/>
  <c r="BK24" i="35"/>
  <c r="BM24" i="35" s="1"/>
  <c r="AV26" i="35" s="1"/>
  <c r="BJ39" i="35"/>
  <c r="BJ15" i="35"/>
  <c r="BK18" i="35"/>
  <c r="BJ26" i="35"/>
  <c r="BJ28" i="35"/>
  <c r="BM39" i="35"/>
  <c r="BL15" i="35"/>
  <c r="BM15" i="35" s="1"/>
  <c r="BJ33" i="35"/>
  <c r="BK35" i="35"/>
  <c r="BM35" i="35" s="1"/>
  <c r="AV47" i="35" s="1"/>
  <c r="BL18" i="35"/>
  <c r="AU10" i="35" s="1"/>
  <c r="BJ24" i="35"/>
  <c r="BN24" i="35" s="1"/>
  <c r="AW26" i="35" s="1"/>
  <c r="BL28" i="35"/>
  <c r="AU30" i="35" s="1"/>
  <c r="BL41" i="35"/>
  <c r="BM41" i="35" s="1"/>
  <c r="BK31" i="35"/>
  <c r="BJ35" i="35"/>
  <c r="BN35" i="35" s="1"/>
  <c r="AW47" i="35" s="1"/>
  <c r="F23" i="35"/>
  <c r="F22" i="35"/>
  <c r="F31" i="35"/>
  <c r="F30" i="35"/>
  <c r="BU14" i="35"/>
  <c r="BU27" i="35"/>
  <c r="AV35" i="35" s="1"/>
  <c r="BU34" i="35"/>
  <c r="AV51" i="35" s="1"/>
  <c r="BU42" i="35"/>
  <c r="BU46" i="35"/>
  <c r="BU24" i="35"/>
  <c r="AV32" i="35" s="1"/>
  <c r="F14" i="35"/>
  <c r="BU32" i="35"/>
  <c r="AV49" i="35" s="1"/>
  <c r="BV40" i="35"/>
  <c r="BU26" i="35"/>
  <c r="AV34" i="35" s="1"/>
  <c r="BV31" i="35"/>
  <c r="AW48" i="35" s="1"/>
  <c r="AU48" i="35"/>
  <c r="BV25" i="35"/>
  <c r="AW33" i="35" s="1"/>
  <c r="AU33" i="35"/>
  <c r="BV23" i="35"/>
  <c r="AW31" i="35" s="1"/>
  <c r="AU31" i="35"/>
  <c r="BU41" i="35"/>
  <c r="BV28" i="35"/>
  <c r="AW36" i="35" s="1"/>
  <c r="BU31" i="35"/>
  <c r="AV48" i="35" s="1"/>
  <c r="BV39" i="35"/>
  <c r="BV12" i="35"/>
  <c r="BU25" i="35"/>
  <c r="AV33" i="35" s="1"/>
  <c r="BU40" i="35"/>
  <c r="BV33" i="35"/>
  <c r="AW50" i="35" s="1"/>
  <c r="BV41" i="35"/>
  <c r="BU23" i="35"/>
  <c r="AV31" i="35" s="1"/>
  <c r="BV15" i="35"/>
  <c r="BV18" i="35"/>
  <c r="AW14" i="35" s="1"/>
  <c r="BV35" i="35"/>
  <c r="AW52" i="35" s="1"/>
  <c r="BV14" i="35"/>
  <c r="BV27" i="35"/>
  <c r="AW35" i="35" s="1"/>
  <c r="BV34" i="35"/>
  <c r="AW51" i="35" s="1"/>
  <c r="BV42" i="35"/>
  <c r="BV46" i="35"/>
  <c r="BU15" i="35"/>
  <c r="BU18" i="35"/>
  <c r="AV14" i="35" s="1"/>
  <c r="BV24" i="35"/>
  <c r="AW32" i="35" s="1"/>
  <c r="BU28" i="35"/>
  <c r="AV36" i="35" s="1"/>
  <c r="BU35" i="35"/>
  <c r="AV52" i="35" s="1"/>
  <c r="BU39" i="35"/>
  <c r="BU12" i="35"/>
  <c r="BV32" i="35"/>
  <c r="AW49" i="35" s="1"/>
  <c r="BV26" i="35"/>
  <c r="AW34" i="35" s="1"/>
  <c r="BU33" i="35"/>
  <c r="AV50" i="35" s="1"/>
  <c r="BJ23" i="35"/>
  <c r="BL23" i="35"/>
  <c r="AU25" i="35" s="1"/>
  <c r="BK23" i="35"/>
  <c r="BL32" i="35"/>
  <c r="AU44" i="35" s="1"/>
  <c r="BK32" i="35"/>
  <c r="BJ32" i="35"/>
  <c r="BK34" i="35"/>
  <c r="BJ34" i="35"/>
  <c r="BL34" i="35"/>
  <c r="AU46" i="35" s="1"/>
  <c r="BK46" i="35"/>
  <c r="BJ46" i="35"/>
  <c r="F34" i="35"/>
  <c r="BK12" i="35"/>
  <c r="BJ12" i="35"/>
  <c r="BL12" i="35"/>
  <c r="BL27" i="35"/>
  <c r="AU29" i="35" s="1"/>
  <c r="BK27" i="35"/>
  <c r="BJ27" i="35"/>
  <c r="BL42" i="35"/>
  <c r="BK42" i="35"/>
  <c r="BJ42" i="35"/>
  <c r="BL14" i="35"/>
  <c r="BK14" i="35"/>
  <c r="BJ14" i="35"/>
  <c r="BJ25" i="35"/>
  <c r="BL25" i="35"/>
  <c r="BK25" i="35"/>
  <c r="BJ40" i="35"/>
  <c r="BL40" i="35"/>
  <c r="BK40" i="35"/>
  <c r="F33" i="35"/>
  <c r="F17" i="35"/>
  <c r="F27" i="35"/>
  <c r="F11" i="35"/>
  <c r="F26" i="35"/>
  <c r="F25" i="35"/>
  <c r="D14" i="35"/>
  <c r="F13" i="35"/>
  <c r="F24" i="35"/>
  <c r="D30" i="35"/>
  <c r="D34" i="35"/>
  <c r="F32" i="35"/>
  <c r="D32" i="35"/>
  <c r="D23" i="35"/>
  <c r="D17" i="35"/>
  <c r="D27" i="35"/>
  <c r="D13" i="35"/>
  <c r="D24" i="35"/>
  <c r="D33" i="35"/>
  <c r="D11" i="35"/>
  <c r="D22" i="35"/>
  <c r="D26" i="35"/>
  <c r="D31" i="35"/>
  <c r="E10" i="7"/>
  <c r="A46" i="27" s="1"/>
  <c r="E9" i="7"/>
  <c r="A5" i="27" s="1"/>
  <c r="BM33" i="35" l="1"/>
  <c r="AV45" i="35" s="1"/>
  <c r="AU45" i="35"/>
  <c r="BN33" i="35"/>
  <c r="AW45" i="35" s="1"/>
  <c r="BN26" i="35"/>
  <c r="AW28" i="35" s="1"/>
  <c r="BM26" i="35"/>
  <c r="AV28" i="35" s="1"/>
  <c r="BM31" i="35"/>
  <c r="AV43" i="35" s="1"/>
  <c r="BN31" i="35"/>
  <c r="AW43" i="35" s="1"/>
  <c r="BM28" i="35"/>
  <c r="AV30" i="35" s="1"/>
  <c r="BN39" i="35"/>
  <c r="BN15" i="35"/>
  <c r="BN18" i="35"/>
  <c r="AW10" i="35" s="1"/>
  <c r="BN28" i="35"/>
  <c r="AW30" i="35" s="1"/>
  <c r="BN41" i="35"/>
  <c r="BM18" i="35"/>
  <c r="AV10" i="35" s="1"/>
  <c r="BM42" i="35"/>
  <c r="BM32" i="35"/>
  <c r="AV44" i="35" s="1"/>
  <c r="BM23" i="35"/>
  <c r="AV25" i="35" s="1"/>
  <c r="BM40" i="35"/>
  <c r="BN25" i="35"/>
  <c r="AW27" i="35" s="1"/>
  <c r="AU27" i="35"/>
  <c r="BN14" i="35"/>
  <c r="BN27" i="35"/>
  <c r="AW29" i="35" s="1"/>
  <c r="BN40" i="35"/>
  <c r="BM25" i="35"/>
  <c r="AV27" i="35" s="1"/>
  <c r="BM14" i="35"/>
  <c r="BN42" i="35"/>
  <c r="BM27" i="35"/>
  <c r="AV29" i="35" s="1"/>
  <c r="BN12" i="35"/>
  <c r="BM12" i="35"/>
  <c r="BN46" i="35"/>
  <c r="BM46" i="35"/>
  <c r="BN32" i="35"/>
  <c r="AW44" i="35" s="1"/>
  <c r="BN23" i="35"/>
  <c r="AW25" i="35" s="1"/>
  <c r="BN34" i="35"/>
  <c r="AW46" i="35" s="1"/>
  <c r="BM34" i="35"/>
  <c r="AV46" i="35" s="1"/>
  <c r="E12" i="7"/>
  <c r="A44" i="26" s="1"/>
  <c r="E11" i="7"/>
  <c r="A5" i="26" s="1"/>
  <c r="E8" i="7"/>
  <c r="A5" i="22" s="1"/>
  <c r="E7" i="7"/>
  <c r="A73" i="58" s="1"/>
  <c r="E6" i="7"/>
  <c r="A6" i="58" s="1"/>
  <c r="F55" i="27"/>
  <c r="K55" i="27"/>
</calcChain>
</file>

<file path=xl/sharedStrings.xml><?xml version="1.0" encoding="utf-8"?>
<sst xmlns="http://schemas.openxmlformats.org/spreadsheetml/2006/main" count="55799" uniqueCount="672">
  <si>
    <t>Sudden infant death syndrome (SIDS)</t>
  </si>
  <si>
    <t>Birthweight</t>
  </si>
  <si>
    <t>Gestational age</t>
  </si>
  <si>
    <t>Cause of death</t>
  </si>
  <si>
    <t xml:space="preserve">Title: </t>
  </si>
  <si>
    <t>Summary:</t>
  </si>
  <si>
    <t>Series:</t>
  </si>
  <si>
    <t>Source:</t>
  </si>
  <si>
    <t>Published:</t>
  </si>
  <si>
    <t>Additional information:</t>
  </si>
  <si>
    <t>If you require information not included in this file, the Ministry of Health is able to provide customised data extracts tailored to your needs. These may incur a charge (at Official Information Act rates).</t>
  </si>
  <si>
    <t>See below for contact details.</t>
  </si>
  <si>
    <t>Postal address:</t>
  </si>
  <si>
    <t>Ministry of Health</t>
  </si>
  <si>
    <t>PO Box 5013</t>
  </si>
  <si>
    <t>Wellington</t>
  </si>
  <si>
    <t>New Zealand</t>
  </si>
  <si>
    <t>Email:</t>
  </si>
  <si>
    <t>Phone:</t>
  </si>
  <si>
    <t>(04) 496 2000</t>
  </si>
  <si>
    <t xml:space="preserve">Fax: </t>
  </si>
  <si>
    <t>(04) 816 2898</t>
  </si>
  <si>
    <t>Fetal and Infant Deaths</t>
  </si>
  <si>
    <t>Fetal and infant death data and stats</t>
  </si>
  <si>
    <t>Mortality Collection</t>
  </si>
  <si>
    <t>Term</t>
  </si>
  <si>
    <t>Description</t>
  </si>
  <si>
    <t>Live birth</t>
  </si>
  <si>
    <t xml:space="preserve">Fetal death </t>
  </si>
  <si>
    <t>Fetal death rate</t>
  </si>
  <si>
    <t>Infant death rate</t>
  </si>
  <si>
    <t>SIDS rate</t>
  </si>
  <si>
    <t>SIDS</t>
  </si>
  <si>
    <t>SUDI</t>
  </si>
  <si>
    <t>SUDI rate</t>
  </si>
  <si>
    <t>Preterm birth</t>
  </si>
  <si>
    <t>Very preterm birth</t>
  </si>
  <si>
    <t>Term birth</t>
  </si>
  <si>
    <t xml:space="preserve">Death of a live-born infant after seven days and before 28 completed days after birth (World Health Organization, 1977).
</t>
  </si>
  <si>
    <r>
      <t xml:space="preserve">See </t>
    </r>
    <r>
      <rPr>
        <i/>
        <sz val="10"/>
        <rFont val="Arial"/>
        <family val="2"/>
      </rPr>
      <t>Gestational age</t>
    </r>
    <r>
      <rPr>
        <sz val="10"/>
        <rFont val="Arial"/>
        <family val="2"/>
      </rPr>
      <t xml:space="preserve">.
</t>
    </r>
  </si>
  <si>
    <r>
      <t xml:space="preserve">See </t>
    </r>
    <r>
      <rPr>
        <i/>
        <sz val="10"/>
        <color theme="1"/>
        <rFont val="Arial"/>
        <family val="2"/>
      </rPr>
      <t xml:space="preserve">Sudden infant death syndrome (SIDS).
</t>
    </r>
  </si>
  <si>
    <t>Early neonatal</t>
  </si>
  <si>
    <t>Late neonatal</t>
  </si>
  <si>
    <t>Post-neonatal</t>
  </si>
  <si>
    <t>Total</t>
  </si>
  <si>
    <t>Rate</t>
  </si>
  <si>
    <t>Births</t>
  </si>
  <si>
    <t>Fetal</t>
  </si>
  <si>
    <t>Infant</t>
  </si>
  <si>
    <t>Perinatal</t>
  </si>
  <si>
    <t>Neonatal</t>
  </si>
  <si>
    <t>Live</t>
  </si>
  <si>
    <t>Fetal deaths</t>
  </si>
  <si>
    <t>C00–D48 Neoplasms</t>
  </si>
  <si>
    <t>P00–P96 Certain conditions originating in the perinatal period</t>
  </si>
  <si>
    <t>Infant deaths</t>
  </si>
  <si>
    <t>A00–B99 Certain infectious and parasitic diseases</t>
  </si>
  <si>
    <t>E00–E89 Endocrine, nutritional and metabolic diseases</t>
  </si>
  <si>
    <t>G00–G99 Diseases of the nervous system</t>
  </si>
  <si>
    <t>I00–I99 Diseases of the circulatory system</t>
  </si>
  <si>
    <t>J00–J99 Diseases of the respiratory system</t>
  </si>
  <si>
    <t>K00–K93 Diseases of the digestive system</t>
  </si>
  <si>
    <t>R00–R99 Symptoms, signs and abnormal clinical and laboratory findings, not elsewhere classified</t>
  </si>
  <si>
    <t>Unknown</t>
  </si>
  <si>
    <t>32−36</t>
  </si>
  <si>
    <t>37−41</t>
  </si>
  <si>
    <t>≥42</t>
  </si>
  <si>
    <t>Live births</t>
  </si>
  <si>
    <t>Category</t>
  </si>
  <si>
    <t>Sex</t>
  </si>
  <si>
    <t>Male</t>
  </si>
  <si>
    <t>Female</t>
  </si>
  <si>
    <t>Indeterminate/Unknown</t>
  </si>
  <si>
    <t>Ethnic group</t>
  </si>
  <si>
    <t>Māori</t>
  </si>
  <si>
    <t>Deprivation quintile</t>
  </si>
  <si>
    <t xml:space="preserve"> &lt;20</t>
  </si>
  <si>
    <t>20−24</t>
  </si>
  <si>
    <t>25−29</t>
  </si>
  <si>
    <t>30−34</t>
  </si>
  <si>
    <t>35−39</t>
  </si>
  <si>
    <t>≥40</t>
  </si>
  <si>
    <t xml:space="preserve">Deprivation quintile </t>
  </si>
  <si>
    <t>1 (least deprived)</t>
  </si>
  <si>
    <t>5 (most deprived)</t>
  </si>
  <si>
    <t>Northland</t>
  </si>
  <si>
    <t>Waitemata</t>
  </si>
  <si>
    <t>Auckland</t>
  </si>
  <si>
    <t>Counties Manukau</t>
  </si>
  <si>
    <t>Waikato</t>
  </si>
  <si>
    <t>Lakes</t>
  </si>
  <si>
    <t>Bay of Plenty</t>
  </si>
  <si>
    <t>Hawke's Bay</t>
  </si>
  <si>
    <t>Taranaki</t>
  </si>
  <si>
    <t>MidCentral</t>
  </si>
  <si>
    <t>Whanganui</t>
  </si>
  <si>
    <t>Capital &amp; Coast</t>
  </si>
  <si>
    <t>Hutt Valley</t>
  </si>
  <si>
    <t>Wairarapa</t>
  </si>
  <si>
    <t>Nelson Marlborough</t>
  </si>
  <si>
    <t>West Coast</t>
  </si>
  <si>
    <t>Canterbury</t>
  </si>
  <si>
    <t>South Canterbury</t>
  </si>
  <si>
    <t>Southern</t>
  </si>
  <si>
    <t>Overall</t>
  </si>
  <si>
    <t>Gestation (weeks)</t>
  </si>
  <si>
    <t>Overview</t>
  </si>
  <si>
    <t>Live births: time trends</t>
  </si>
  <si>
    <t>1 (least)</t>
  </si>
  <si>
    <t>5 (most)</t>
  </si>
  <si>
    <t>Fetal deaths by deprivation quintile</t>
  </si>
  <si>
    <t>Infant deaths by deprivation quintile</t>
  </si>
  <si>
    <t>Live births by deprivation quintile</t>
  </si>
  <si>
    <t>Gestation</t>
  </si>
  <si>
    <t>Data sources</t>
  </si>
  <si>
    <t>Glossary</t>
  </si>
  <si>
    <t xml:space="preserve"> &lt;1 day</t>
  </si>
  <si>
    <t>28+ days</t>
  </si>
  <si>
    <t>Age at death</t>
  </si>
  <si>
    <t>-</t>
  </si>
  <si>
    <t>Sheet</t>
  </si>
  <si>
    <t>BirthsTrend</t>
  </si>
  <si>
    <t>MatAge</t>
  </si>
  <si>
    <t>Ethnic</t>
  </si>
  <si>
    <t>DepQuin</t>
  </si>
  <si>
    <t>AgeAtDth</t>
  </si>
  <si>
    <t>TableNo</t>
  </si>
  <si>
    <t>TableDesc</t>
  </si>
  <si>
    <t>Number</t>
  </si>
  <si>
    <t>Maori</t>
  </si>
  <si>
    <t>20-24</t>
  </si>
  <si>
    <t>25-29</t>
  </si>
  <si>
    <t>30-34</t>
  </si>
  <si>
    <t>35-39</t>
  </si>
  <si>
    <t>40+</t>
  </si>
  <si>
    <t>Gest</t>
  </si>
  <si>
    <t>32-36</t>
  </si>
  <si>
    <t>37-41</t>
  </si>
  <si>
    <t>42+</t>
  </si>
  <si>
    <t>DHB</t>
  </si>
  <si>
    <t>Column</t>
  </si>
  <si>
    <t>DthTypeFI</t>
  </si>
  <si>
    <t>District health board</t>
  </si>
  <si>
    <t>Fetal deaths by ethnic group</t>
  </si>
  <si>
    <t>Infant deaths by ethnic group</t>
  </si>
  <si>
    <t>Live births by ethnic group</t>
  </si>
  <si>
    <t>Date of birth or death</t>
  </si>
  <si>
    <t xml:space="preserve">The data presented in this publication refers to the year in which the birth or death was registered, not the actual year of birth or death.
</t>
  </si>
  <si>
    <t>Stillbirth</t>
  </si>
  <si>
    <t>Fetal deaths by maternal age group (years)</t>
  </si>
  <si>
    <t>Infant deaths by maternal age group (years)</t>
  </si>
  <si>
    <t>Live births by maternal age group (years)</t>
  </si>
  <si>
    <t>Maternal age group (years)</t>
  </si>
  <si>
    <r>
      <t>Fetal death rate by maternal age group (years)</t>
    </r>
    <r>
      <rPr>
        <b/>
        <vertAlign val="superscript"/>
        <sz val="10"/>
        <color theme="0"/>
        <rFont val="Arial"/>
        <family val="2"/>
      </rPr>
      <t>1</t>
    </r>
  </si>
  <si>
    <r>
      <t>Infant death rate by maternal age group (years)</t>
    </r>
    <r>
      <rPr>
        <b/>
        <vertAlign val="superscript"/>
        <sz val="10"/>
        <color theme="0"/>
        <rFont val="Arial"/>
        <family val="2"/>
      </rPr>
      <t>2</t>
    </r>
  </si>
  <si>
    <r>
      <t>Fetal death rate by deprivation quintile</t>
    </r>
    <r>
      <rPr>
        <b/>
        <vertAlign val="superscript"/>
        <sz val="10"/>
        <color theme="0"/>
        <rFont val="Arial"/>
        <family val="2"/>
      </rPr>
      <t>1</t>
    </r>
  </si>
  <si>
    <r>
      <t>Infant death rate by deprivation quintile</t>
    </r>
    <r>
      <rPr>
        <b/>
        <vertAlign val="superscript"/>
        <sz val="10"/>
        <color theme="0"/>
        <rFont val="Arial"/>
        <family val="2"/>
      </rPr>
      <t>2</t>
    </r>
  </si>
  <si>
    <t>Deprivation quintile of residence</t>
  </si>
  <si>
    <t>Table of contents</t>
  </si>
  <si>
    <t>Maternal age group</t>
  </si>
  <si>
    <t>Fetal deaths by gestation (weeks)</t>
  </si>
  <si>
    <t>Infant deaths by gestation (weeks)</t>
  </si>
  <si>
    <t>Live births by gestation (weeks)</t>
  </si>
  <si>
    <r>
      <t>Fetal death rate by gestation (weeks)</t>
    </r>
    <r>
      <rPr>
        <b/>
        <vertAlign val="superscript"/>
        <sz val="10"/>
        <color theme="0"/>
        <rFont val="Arial"/>
        <family val="2"/>
      </rPr>
      <t>1</t>
    </r>
  </si>
  <si>
    <r>
      <t>Infant death rate by gestation (weeks)</t>
    </r>
    <r>
      <rPr>
        <b/>
        <vertAlign val="superscript"/>
        <sz val="10"/>
        <color theme="0"/>
        <rFont val="Arial"/>
        <family val="2"/>
      </rPr>
      <t>2</t>
    </r>
  </si>
  <si>
    <t>Fetal deaths by birthweight</t>
  </si>
  <si>
    <t>Infant deaths by birthweight</t>
  </si>
  <si>
    <t>Live births by birthweight</t>
  </si>
  <si>
    <r>
      <t>Fetal death rate by birthweight</t>
    </r>
    <r>
      <rPr>
        <b/>
        <vertAlign val="superscript"/>
        <sz val="10"/>
        <color theme="0"/>
        <rFont val="Arial"/>
        <family val="2"/>
      </rPr>
      <t>1</t>
    </r>
  </si>
  <si>
    <r>
      <t>Infant death rate by birthweight</t>
    </r>
    <r>
      <rPr>
        <b/>
        <vertAlign val="superscript"/>
        <sz val="10"/>
        <color theme="0"/>
        <rFont val="Arial"/>
        <family val="2"/>
      </rPr>
      <t>2</t>
    </r>
  </si>
  <si>
    <r>
      <t>Infant death rate by age at death</t>
    </r>
    <r>
      <rPr>
        <b/>
        <vertAlign val="superscript"/>
        <sz val="10"/>
        <color theme="0"/>
        <rFont val="Arial"/>
        <family val="2"/>
      </rPr>
      <t>1</t>
    </r>
  </si>
  <si>
    <t>Contents</t>
  </si>
  <si>
    <t>Section</t>
  </si>
  <si>
    <t>About the publication</t>
  </si>
  <si>
    <t>Time periods for fetal and infant deaths</t>
  </si>
  <si>
    <t>Stages for processing cause of death data</t>
  </si>
  <si>
    <t>Stages for processing stillbirth data</t>
  </si>
  <si>
    <t>About</t>
  </si>
  <si>
    <t>Flowcharts</t>
  </si>
  <si>
    <t>DHBRpt</t>
  </si>
  <si>
    <t>Northland DHB</t>
  </si>
  <si>
    <t>Waitemata DHB</t>
  </si>
  <si>
    <t>Auckland DHB</t>
  </si>
  <si>
    <t>Counties Manukau DHB</t>
  </si>
  <si>
    <t>Waikato DHB</t>
  </si>
  <si>
    <t>Lakes DHB</t>
  </si>
  <si>
    <t>Bay of Plenty DHB</t>
  </si>
  <si>
    <t>Hawke's Bay DHB</t>
  </si>
  <si>
    <t>Taranaki DHB</t>
  </si>
  <si>
    <t>MidCentral DHB</t>
  </si>
  <si>
    <t>Whanganui DHB</t>
  </si>
  <si>
    <t>Capital &amp; Coast DHB</t>
  </si>
  <si>
    <t>Hutt Valley DHB</t>
  </si>
  <si>
    <t>Wairarapa DHB</t>
  </si>
  <si>
    <t>Nelson Marlborough DHB</t>
  </si>
  <si>
    <t>West Coast DHB</t>
  </si>
  <si>
    <t>Canterbury DHB</t>
  </si>
  <si>
    <t>South Canterbury DHB</t>
  </si>
  <si>
    <t>Southern DHB</t>
  </si>
  <si>
    <t>DHBID</t>
  </si>
  <si>
    <t>SIDS deaths by ethnic group</t>
  </si>
  <si>
    <t>SUDI deaths by ethnic group</t>
  </si>
  <si>
    <t>SidsSudiEth</t>
  </si>
  <si>
    <r>
      <t xml:space="preserve">
See </t>
    </r>
    <r>
      <rPr>
        <i/>
        <sz val="10"/>
        <color theme="1"/>
        <rFont val="Arial"/>
        <family val="2"/>
      </rPr>
      <t xml:space="preserve">Sudden infant death syndrome (SIDS) </t>
    </r>
    <r>
      <rPr>
        <sz val="10"/>
        <color theme="1"/>
        <rFont val="Arial"/>
        <family val="2"/>
      </rPr>
      <t xml:space="preserve">for more information. 
</t>
    </r>
  </si>
  <si>
    <t>Neonatal death rate</t>
  </si>
  <si>
    <t>Late neonatal death</t>
  </si>
  <si>
    <t>Neonatal death</t>
  </si>
  <si>
    <r>
      <t xml:space="preserve">
See </t>
    </r>
    <r>
      <rPr>
        <i/>
        <sz val="10"/>
        <color theme="1"/>
        <rFont val="Arial"/>
        <family val="2"/>
      </rPr>
      <t xml:space="preserve">Neonatal death </t>
    </r>
    <r>
      <rPr>
        <sz val="10"/>
        <color theme="1"/>
        <rFont val="Arial"/>
        <family val="2"/>
      </rPr>
      <t xml:space="preserve">for more information. 
</t>
    </r>
  </si>
  <si>
    <t>Perinatal death</t>
  </si>
  <si>
    <t>Perinatal death rate</t>
  </si>
  <si>
    <r>
      <t xml:space="preserve">
See </t>
    </r>
    <r>
      <rPr>
        <i/>
        <sz val="10"/>
        <color theme="1"/>
        <rFont val="Arial"/>
        <family val="2"/>
      </rPr>
      <t xml:space="preserve">Perinatal death </t>
    </r>
    <r>
      <rPr>
        <sz val="10"/>
        <color theme="1"/>
        <rFont val="Arial"/>
        <family val="2"/>
      </rPr>
      <t xml:space="preserve">for more information. 
</t>
    </r>
  </si>
  <si>
    <r>
      <t xml:space="preserve">
See </t>
    </r>
    <r>
      <rPr>
        <i/>
        <sz val="10"/>
        <color theme="1"/>
        <rFont val="Arial"/>
        <family val="2"/>
      </rPr>
      <t xml:space="preserve">Fetal death </t>
    </r>
    <r>
      <rPr>
        <sz val="10"/>
        <color theme="1"/>
        <rFont val="Arial"/>
        <family val="2"/>
      </rPr>
      <t xml:space="preserve">for more information. 
</t>
    </r>
  </si>
  <si>
    <r>
      <t xml:space="preserve">
See </t>
    </r>
    <r>
      <rPr>
        <i/>
        <sz val="10"/>
        <color theme="1"/>
        <rFont val="Arial"/>
        <family val="2"/>
      </rPr>
      <t xml:space="preserve">Infant death </t>
    </r>
    <r>
      <rPr>
        <sz val="10"/>
        <color theme="1"/>
        <rFont val="Arial"/>
        <family val="2"/>
      </rPr>
      <t xml:space="preserve">for more information. 
</t>
    </r>
  </si>
  <si>
    <t>Total births</t>
  </si>
  <si>
    <t>Post-neonatal death rate</t>
  </si>
  <si>
    <t>D50–D89 Diseases of the blood and blood-forming organs and certain disorders involving the immune mechanism</t>
  </si>
  <si>
    <t>Infant death</t>
  </si>
  <si>
    <t xml:space="preserve">Death of a live-born infant before 168 completed hours (seven days) after birth (World Health Organization, 1977).
See flowchart showing time periods for fetal and infant deaths (About the publication). 
</t>
  </si>
  <si>
    <t xml:space="preserve">Death of a live-born infant before 28 completed days after birth; includes early neonatal deaths and late neonatal deaths.
See flowchart showing time periods for fetal and infant deaths (About the publication). 
</t>
  </si>
  <si>
    <t xml:space="preserve">Fetal deaths and early neonatal deaths.
See flowchart showing time periods for fetal and infant deaths (About the publication). 
</t>
  </si>
  <si>
    <r>
      <t>Rate</t>
    </r>
    <r>
      <rPr>
        <b/>
        <vertAlign val="superscript"/>
        <sz val="10"/>
        <color theme="0"/>
        <rFont val="Arial"/>
        <family val="2"/>
      </rPr>
      <t>1</t>
    </r>
  </si>
  <si>
    <r>
      <t>Rate</t>
    </r>
    <r>
      <rPr>
        <b/>
        <vertAlign val="superscript"/>
        <sz val="10"/>
        <color theme="0"/>
        <rFont val="Arial"/>
        <family val="2"/>
      </rPr>
      <t>2</t>
    </r>
  </si>
  <si>
    <t>P05 Slow fetal growth and fetal malnutrition</t>
  </si>
  <si>
    <t>P07 Disorders related to short gestation and low birth weight, not elsewhere classified</t>
  </si>
  <si>
    <t>P20 Intrauterine hypoxia</t>
  </si>
  <si>
    <t>P23 Congenital pneumonia</t>
  </si>
  <si>
    <t>P24 Neonatal aspiration syndromes</t>
  </si>
  <si>
    <t>P26 Pulmonary haemorrhage originating in the perinatal period</t>
  </si>
  <si>
    <t>P36 Bacterial sepsis of newborn</t>
  </si>
  <si>
    <t>P50 Fetal blood loss</t>
  </si>
  <si>
    <t>P52 Intracranial nontraumatic haemorrhage of fetus and newborn</t>
  </si>
  <si>
    <t>P83 Other conditions of integument specific to fetus and newborn</t>
  </si>
  <si>
    <t>P91 Other disturbances of cerebral status of newborn</t>
  </si>
  <si>
    <t>P95 Fetal death of unspecified cause</t>
  </si>
  <si>
    <t>P96 Other conditions originating in the perinatal period</t>
  </si>
  <si>
    <t>Q00 Anencephaly and similar malformations</t>
  </si>
  <si>
    <t>Q03 Congenital hydrocephalus</t>
  </si>
  <si>
    <t>Q04 Other congenital malformations of brain</t>
  </si>
  <si>
    <t>Q05 Spina bifida</t>
  </si>
  <si>
    <t>Q07 Other congenital malformations of nervous system</t>
  </si>
  <si>
    <t>Q20 Congenital malformations of cardiac chambers and connections</t>
  </si>
  <si>
    <t>Q22 Congenital malformations of pulmonary and tricuspid valves</t>
  </si>
  <si>
    <t>Q23 Congenital malformations of aortic and mitral valves</t>
  </si>
  <si>
    <t>Q24 Other congenital malformations of heart</t>
  </si>
  <si>
    <t>Q25 Congenital malformations of great arteries</t>
  </si>
  <si>
    <t>Q60 Renal agenesis and other reduction defects of kidney</t>
  </si>
  <si>
    <t>Q61 Cystic kidney disease</t>
  </si>
  <si>
    <t>Q64 Other congenital malformations of urinary system</t>
  </si>
  <si>
    <t>Q79 Congenital malformations of the musculoskeletal system, not elsewhere classified</t>
  </si>
  <si>
    <t>Q87 Other specified congenital malformation syndromes affecting multiple systems</t>
  </si>
  <si>
    <t>Q89 Other congenital malformations, not elsewhere classified</t>
  </si>
  <si>
    <t>Q90 Down's syndrome</t>
  </si>
  <si>
    <t>Q91 Edwards' syndrome and Patau's syndrome</t>
  </si>
  <si>
    <t>Q99 Other chromosome abnormalities, not elsewhere classified</t>
  </si>
  <si>
    <t>I42 Cardiomyopathy</t>
  </si>
  <si>
    <t>P22 Respiratory distress of newborn</t>
  </si>
  <si>
    <t>P27 Chronic respiratory disease originating in the perinatal period</t>
  </si>
  <si>
    <t>P28 Other respiratory conditions originating in the perinatal period</t>
  </si>
  <si>
    <t>P77 Necrotising enterocolitis of fetus and newborn</t>
  </si>
  <si>
    <t>Q21 Congenital malformations of cardiac septa</t>
  </si>
  <si>
    <t>Q93 Monosomies and deletions from the autosomes, not elsewhere classified</t>
  </si>
  <si>
    <t>R95 Sudden infant death syndrome</t>
  </si>
  <si>
    <t>R99 Other ill-defined and unspecified causes of mortality</t>
  </si>
  <si>
    <t>W75 Accidental suffocation and strangulation in bed</t>
  </si>
  <si>
    <t>Percentage of infant deaths (%)</t>
  </si>
  <si>
    <t>Infant deaths by year</t>
  </si>
  <si>
    <t>Fetal deaths by year</t>
  </si>
  <si>
    <t>Percentage of fetal deaths (%)</t>
  </si>
  <si>
    <t xml:space="preserve">Data sources
</t>
  </si>
  <si>
    <t>Note: flowcharts showing time periods for fetal and infant deaths, and how cause of death and stillbirth data is processed are displayed below.</t>
  </si>
  <si>
    <t>Cause of death: time trends</t>
  </si>
  <si>
    <t>Cause of death by ethnic group</t>
  </si>
  <si>
    <t>SIDS and SUDI deaths by ethnic group</t>
  </si>
  <si>
    <t>CoDTrend</t>
  </si>
  <si>
    <t>CoDEth</t>
  </si>
  <si>
    <t>KeyFindings</t>
  </si>
  <si>
    <t>NZRate</t>
  </si>
  <si>
    <r>
      <t>1998</t>
    </r>
    <r>
      <rPr>
        <b/>
        <vertAlign val="superscript"/>
        <sz val="10"/>
        <color theme="0"/>
        <rFont val="Arial"/>
        <family val="2"/>
      </rPr>
      <t xml:space="preserve"> 1</t>
    </r>
  </si>
  <si>
    <r>
      <t>Deaths</t>
    </r>
    <r>
      <rPr>
        <b/>
        <vertAlign val="superscript"/>
        <sz val="10"/>
        <color theme="1"/>
        <rFont val="Arial"/>
        <family val="2"/>
      </rPr>
      <t>2</t>
    </r>
  </si>
  <si>
    <r>
      <t>Fetal</t>
    </r>
    <r>
      <rPr>
        <vertAlign val="superscript"/>
        <sz val="10"/>
        <color theme="1"/>
        <rFont val="Arial"/>
        <family val="2"/>
      </rPr>
      <t>3</t>
    </r>
  </si>
  <si>
    <r>
      <t>Perinatal</t>
    </r>
    <r>
      <rPr>
        <vertAlign val="superscript"/>
        <sz val="10"/>
        <color theme="1"/>
        <rFont val="Arial"/>
        <family val="2"/>
      </rPr>
      <t>3</t>
    </r>
  </si>
  <si>
    <r>
      <t>Neonatal</t>
    </r>
    <r>
      <rPr>
        <vertAlign val="superscript"/>
        <sz val="10"/>
        <color theme="1"/>
        <rFont val="Arial"/>
        <family val="2"/>
      </rPr>
      <t>4</t>
    </r>
  </si>
  <si>
    <r>
      <t>Post-neonatal</t>
    </r>
    <r>
      <rPr>
        <vertAlign val="superscript"/>
        <sz val="10"/>
        <color theme="1"/>
        <rFont val="Arial"/>
        <family val="2"/>
      </rPr>
      <t>4</t>
    </r>
  </si>
  <si>
    <r>
      <t>Infant</t>
    </r>
    <r>
      <rPr>
        <vertAlign val="superscript"/>
        <sz val="10"/>
        <color theme="1"/>
        <rFont val="Arial"/>
        <family val="2"/>
      </rPr>
      <t>4</t>
    </r>
  </si>
  <si>
    <t>Analytical methods</t>
  </si>
  <si>
    <t>Numbers and rates</t>
  </si>
  <si>
    <t>Confidence intervals</t>
  </si>
  <si>
    <t>Confidence interval</t>
  </si>
  <si>
    <t>NZ</t>
  </si>
  <si>
    <t>LowerInt</t>
  </si>
  <si>
    <t>UpperInt</t>
  </si>
  <si>
    <t>Graphs by DHB</t>
  </si>
  <si>
    <t>GraphsDHB</t>
  </si>
  <si>
    <t>GraphsNZ</t>
  </si>
  <si>
    <t>National graphs</t>
  </si>
  <si>
    <t>LowerLimit</t>
  </si>
  <si>
    <t>UpperLimit</t>
  </si>
  <si>
    <t>NZLowerInt</t>
  </si>
  <si>
    <t>NZUpperInt</t>
  </si>
  <si>
    <t>Deaths</t>
  </si>
  <si>
    <t>LowerLim</t>
  </si>
  <si>
    <t>UppperLim</t>
  </si>
  <si>
    <t>Year</t>
  </si>
  <si>
    <t>Fetal death rate (per 1000 total births)</t>
  </si>
  <si>
    <t>Infant death rate (per 1000 live births)</t>
  </si>
  <si>
    <t>Age group</t>
  </si>
  <si>
    <t>ConfLevel</t>
  </si>
  <si>
    <t>DHBUpperInt</t>
  </si>
  <si>
    <t>DHBLowerInt</t>
  </si>
  <si>
    <t>National</t>
  </si>
  <si>
    <t xml:space="preserve">List of common terms and descriptions
</t>
  </si>
  <si>
    <t xml:space="preserve">Flowcharts detailing time periods for each type of death and stages for processing cause(s) of death and stillbirth data
</t>
  </si>
  <si>
    <t xml:space="preserve">Analytical methods: numbers and rates, confidence intervals
</t>
  </si>
  <si>
    <t>Sudden unexpected death in infancy (SUDI)</t>
  </si>
  <si>
    <r>
      <t xml:space="preserve">See </t>
    </r>
    <r>
      <rPr>
        <i/>
        <sz val="10"/>
        <color theme="1"/>
        <rFont val="Arial"/>
        <family val="2"/>
      </rPr>
      <t xml:space="preserve">Sudden unexpected death in infancy (SUDI).
</t>
    </r>
  </si>
  <si>
    <r>
      <t xml:space="preserve">
See </t>
    </r>
    <r>
      <rPr>
        <i/>
        <sz val="10"/>
        <color theme="1"/>
        <rFont val="Arial"/>
        <family val="2"/>
      </rPr>
      <t xml:space="preserve">Sudden unexpected death in infancy (SUDI) </t>
    </r>
    <r>
      <rPr>
        <sz val="10"/>
        <color theme="1"/>
        <rFont val="Arial"/>
        <family val="2"/>
      </rPr>
      <t xml:space="preserve">for more information. 
</t>
    </r>
  </si>
  <si>
    <r>
      <t xml:space="preserve">
See </t>
    </r>
    <r>
      <rPr>
        <i/>
        <sz val="10"/>
        <color theme="1"/>
        <rFont val="Arial"/>
        <family val="2"/>
      </rPr>
      <t xml:space="preserve">Post-neonatal deaths </t>
    </r>
    <r>
      <rPr>
        <sz val="10"/>
        <color theme="1"/>
        <rFont val="Arial"/>
        <family val="2"/>
      </rPr>
      <t xml:space="preserve">for more information. 
</t>
    </r>
  </si>
  <si>
    <t>DHBName</t>
  </si>
  <si>
    <t>Select DHB:</t>
  </si>
  <si>
    <t>Underlying cause of death</t>
  </si>
  <si>
    <t>Pacific peoples</t>
  </si>
  <si>
    <t>Fetal and infant death publication series</t>
  </si>
  <si>
    <t>District Health Board</t>
  </si>
  <si>
    <t>Type</t>
  </si>
  <si>
    <t>Denom</t>
  </si>
  <si>
    <t>District health board (DHB)</t>
  </si>
  <si>
    <t>ICD</t>
  </si>
  <si>
    <r>
      <t>ICD Chapter</t>
    </r>
    <r>
      <rPr>
        <b/>
        <vertAlign val="superscript"/>
        <sz val="10"/>
        <color theme="0"/>
        <rFont val="Arial"/>
        <family val="2"/>
      </rPr>
      <t>1</t>
    </r>
  </si>
  <si>
    <r>
      <t>Fetal death rate by year</t>
    </r>
    <r>
      <rPr>
        <b/>
        <vertAlign val="superscript"/>
        <sz val="10"/>
        <color theme="0"/>
        <rFont val="Arial"/>
        <family val="2"/>
      </rPr>
      <t>2</t>
    </r>
  </si>
  <si>
    <r>
      <t>Infant death rate by year</t>
    </r>
    <r>
      <rPr>
        <b/>
        <vertAlign val="superscript"/>
        <sz val="10"/>
        <color theme="0"/>
        <rFont val="Arial"/>
        <family val="2"/>
      </rPr>
      <t>2</t>
    </r>
  </si>
  <si>
    <r>
      <t>ICD Chapter / 3-character code and description</t>
    </r>
    <r>
      <rPr>
        <b/>
        <vertAlign val="superscript"/>
        <sz val="10"/>
        <color theme="0"/>
        <rFont val="Arial"/>
        <family val="2"/>
      </rPr>
      <t>1</t>
    </r>
  </si>
  <si>
    <t>Termination of pregnancy</t>
  </si>
  <si>
    <t>Early neonatal death</t>
  </si>
  <si>
    <t>Post-neonatal death</t>
  </si>
  <si>
    <t>BDM</t>
  </si>
  <si>
    <t xml:space="preserve">Range of values describing the uncertainty around a single value used to estimate the true value in a population (eg, underlying or true rate). Confidence intervals describe how different the estimate could have been if chance had led to a different set of data, and can be used to compare groups of data. If the confidence intervals of two different groups do not overlap, then it is likely that their rates are different. If they overlap, it is not possible to draw any statistical conclusions about the difference between them. 
See Analytical Methods for more information about methods used to calculate confidence intervals in this publication (About the publication).
</t>
  </si>
  <si>
    <t xml:space="preserve">Live birth is the complete expulsion or extraction from its mother of a product of conception, irrespective of the duration of the pregnancy, which, after such separation, breathes or shows any other evidence of life, such as beating of the heart, pulsation of the umbilical cord, or definite movement of voluntary muscles, whether or not the umbilical cord has been cut or the placenta is attached; each product of such a birth is considered liveborn (World Health Organization, 1977).
</t>
  </si>
  <si>
    <t xml:space="preserve">The (a) disease or injury which initiated the train of morbid events leading directly to death, or (b) the circumstances of the accident or violence which produced the fatal injury (World Health Organization, 1979).
</t>
  </si>
  <si>
    <t>The Mortality Collection (MORT)</t>
  </si>
  <si>
    <t>&lt;20</t>
  </si>
  <si>
    <t>Live
births</t>
  </si>
  <si>
    <t>Q78 Other osteochondrodysplasias</t>
  </si>
  <si>
    <r>
      <t>Total</t>
    </r>
    <r>
      <rPr>
        <b/>
        <vertAlign val="superscript"/>
        <sz val="10"/>
        <color theme="0"/>
        <rFont val="Arial"/>
        <family val="2"/>
      </rPr>
      <t>1</t>
    </r>
  </si>
  <si>
    <t>2 Rate is expressed as per 1000 live births.</t>
  </si>
  <si>
    <t>1 Rate is expressed as per 1000 total births.</t>
  </si>
  <si>
    <t>1 Rate is expressed as per 1000 live births.</t>
  </si>
  <si>
    <t>2 Rate is expressed as per 1000 total births.</t>
  </si>
  <si>
    <r>
      <t>Note: Infant deaths in this table may include those resulting from terminations of pregnancy. In cases of infant deaths resulting from terminations of pregnancy, the ICD-10 code, 'Termination of pregnancy, affecting fetus and newborn (P96.4)' is usually recorded as a</t>
    </r>
    <r>
      <rPr>
        <i/>
        <sz val="9"/>
        <color theme="1"/>
        <rFont val="Arial"/>
        <family val="2"/>
      </rPr>
      <t xml:space="preserve"> contributing cause of death</t>
    </r>
    <r>
      <rPr>
        <sz val="9"/>
        <color theme="1"/>
        <rFont val="Arial"/>
        <family val="2"/>
      </rPr>
      <t xml:space="preserve"> (as opposed to the underlying cause of death). For example, in the case of a death resulting from termination of pregnancy for congenital anomaly, the ICD-10 code for the specific congenital anomaly (Q00−Q99) is assigned as the </t>
    </r>
    <r>
      <rPr>
        <i/>
        <sz val="9"/>
        <color theme="1"/>
        <rFont val="Arial"/>
        <family val="2"/>
      </rPr>
      <t>underlying cause of death</t>
    </r>
    <r>
      <rPr>
        <sz val="9"/>
        <color theme="1"/>
        <rFont val="Arial"/>
        <family val="2"/>
      </rPr>
      <t xml:space="preserve">, and 'Termination of pregnancy, affecting fetus and newborn (P96.4)' is recorded as the </t>
    </r>
    <r>
      <rPr>
        <i/>
        <sz val="9"/>
        <color theme="1"/>
        <rFont val="Arial"/>
        <family val="2"/>
      </rPr>
      <t>contributing cause of death</t>
    </r>
    <r>
      <rPr>
        <sz val="9"/>
        <color theme="1"/>
        <rFont val="Arial"/>
        <family val="2"/>
      </rPr>
      <t>.</t>
    </r>
  </si>
  <si>
    <t>Socioeconomic deprivation</t>
  </si>
  <si>
    <t>3 Rate is expressed as per 1000 total births.</t>
  </si>
  <si>
    <t>4 Rate is expressed as per 1000 live births.</t>
  </si>
  <si>
    <t xml:space="preserve">Note: Only infants aged &lt;1 year are included in this table. SUDI deaths are those with ICD code R95 (sudden infant death syndrome, SIDS) recorded as the underlying cause of death, as well as deaths recorded as R96, R98, R99, W75, W78 and W79. </t>
  </si>
  <si>
    <t xml:space="preserve">Death of a live-born infant after 28 completed days and before the first year of life is completed.
</t>
  </si>
  <si>
    <t>Key findings</t>
  </si>
  <si>
    <r>
      <t>M</t>
    </r>
    <r>
      <rPr>
        <b/>
        <sz val="9"/>
        <color theme="0"/>
        <rFont val="Calibri"/>
        <family val="2"/>
      </rPr>
      <t>ā</t>
    </r>
    <r>
      <rPr>
        <b/>
        <sz val="9"/>
        <color theme="0"/>
        <rFont val="Arial"/>
        <family val="2"/>
      </rPr>
      <t>ori</t>
    </r>
  </si>
  <si>
    <t>Asian</t>
  </si>
  <si>
    <t>European or Other</t>
  </si>
  <si>
    <t xml:space="preserve">Births, Deaths and Marriages Registry.
</t>
  </si>
  <si>
    <t>The Births, Deaths and Marriages Registry</t>
  </si>
  <si>
    <t>1–6 days</t>
  </si>
  <si>
    <t>7–27 days</t>
  </si>
  <si>
    <r>
      <t xml:space="preserve">A 'stillborn child' means a dead fetus that a) weighed 400g or more when it issued from its mother, or b) issued from its mother after the 20th week of pregnancy (Births, Deaths, Marriages &amp; Relationships Registration Act 1995). 
See </t>
    </r>
    <r>
      <rPr>
        <i/>
        <sz val="10"/>
        <color theme="1"/>
        <rFont val="Arial"/>
        <family val="2"/>
      </rPr>
      <t>Fetal death</t>
    </r>
    <r>
      <rPr>
        <sz val="10"/>
        <color theme="1"/>
        <rFont val="Arial"/>
        <family val="2"/>
      </rPr>
      <t xml:space="preserve"> for more information.
</t>
    </r>
  </si>
  <si>
    <t>G71 Primary disorders of muscles</t>
  </si>
  <si>
    <t>J12 Viral pneumonia, not elsewhere classified</t>
  </si>
  <si>
    <t>lowerInt</t>
  </si>
  <si>
    <r>
      <t>M</t>
    </r>
    <r>
      <rPr>
        <sz val="10"/>
        <color theme="1"/>
        <rFont val="Arial"/>
        <family val="2"/>
      </rPr>
      <t>āori</t>
    </r>
  </si>
  <si>
    <t>Tairāwhiti</t>
  </si>
  <si>
    <t>Tairāwhiti DHB</t>
  </si>
  <si>
    <r>
      <t>Total</t>
    </r>
    <r>
      <rPr>
        <b/>
        <vertAlign val="superscript"/>
        <sz val="9"/>
        <color theme="0"/>
        <rFont val="Arial"/>
        <family val="2"/>
      </rPr>
      <t>1</t>
    </r>
  </si>
  <si>
    <r>
      <t>Fetal death rate by ethnic group</t>
    </r>
    <r>
      <rPr>
        <b/>
        <vertAlign val="superscript"/>
        <sz val="10"/>
        <color theme="0"/>
        <rFont val="Arial"/>
        <family val="2"/>
      </rPr>
      <t>1</t>
    </r>
  </si>
  <si>
    <r>
      <t>Infant death rate by ethnic group</t>
    </r>
    <r>
      <rPr>
        <b/>
        <vertAlign val="superscript"/>
        <sz val="10"/>
        <color theme="0"/>
        <rFont val="Arial"/>
        <family val="2"/>
      </rPr>
      <t>2</t>
    </r>
  </si>
  <si>
    <t xml:space="preserve">Total number of live births plus fetal deaths. 
</t>
  </si>
  <si>
    <t>Note: Fetal deaths in this table include those resulting from terminations of pregnancy that meet the definition for a stillbirth. In cases of fetal deaths resulting from terminations of pregnancy, the ICD-10 code, 'Termination of pregnancy, affecting fetus and newborn (P96.4)' is usually recorded as a contributing cause of death (as opposed to the underlying cause of death). For example, in the case of a death resulting from termination of pregnancy for congenital anomaly, the ICD-10 code for the specific congenital anomaly (Q00−Q99) is assigned as the underlying cause of death, and 'Termination of pregnancy, affecting fetus and newborn (P96.4)' is recorded as the contributing cause of death.</t>
  </si>
  <si>
    <r>
      <t xml:space="preserve">Note: Fetal and infant death numbers presented in this table include those resulting from terminations of pregnancy that meet the definition of a stillbirth. In cases of fetal and infant deaths resulting from terminations of pregnancy, the ICD-10 code, 'Termination of pregnancy, affecting fetus and newborn (P96.4)' is usually recorded as a </t>
    </r>
    <r>
      <rPr>
        <i/>
        <sz val="9"/>
        <color theme="1"/>
        <rFont val="Arial"/>
        <family val="2"/>
      </rPr>
      <t xml:space="preserve">contributing cause of death </t>
    </r>
    <r>
      <rPr>
        <sz val="9"/>
        <color theme="1"/>
        <rFont val="Arial"/>
        <family val="2"/>
      </rPr>
      <t xml:space="preserve">(as opposed to the underlying cause of death). For example, in the case of a death resulting from termination of pregnancy for congenital anomaly, the ICD-10 code for the specific congenital anomaly (Q00−Q99) is assigned as the </t>
    </r>
    <r>
      <rPr>
        <i/>
        <sz val="9"/>
        <color theme="1"/>
        <rFont val="Arial"/>
        <family val="2"/>
      </rPr>
      <t>underlying cause of death</t>
    </r>
    <r>
      <rPr>
        <sz val="9"/>
        <color theme="1"/>
        <rFont val="Arial"/>
        <family val="2"/>
      </rPr>
      <t xml:space="preserve">, and 'Termination of pregnancy, affecting fetus and newborn (P96.4)' is recorded as the </t>
    </r>
    <r>
      <rPr>
        <i/>
        <sz val="9"/>
        <color theme="1"/>
        <rFont val="Arial"/>
        <family val="2"/>
      </rPr>
      <t>contributing cause of death</t>
    </r>
    <r>
      <rPr>
        <sz val="9"/>
        <color theme="1"/>
        <rFont val="Arial"/>
        <family val="2"/>
      </rPr>
      <t>.</t>
    </r>
  </si>
  <si>
    <r>
      <t xml:space="preserve">Fetal deaths (that meet the definition of a stillbirth) and infant death numbers presented in this publication include those resulting from terminations of pregnancy. In cases of fetal and infant deaths resulting from terminations of pregnancy, the ICD-10 code, 'Termination of pregnancy, affecting fetus and newborn (P96.4)' is usually recorded as a </t>
    </r>
    <r>
      <rPr>
        <i/>
        <sz val="10"/>
        <rFont val="Arial"/>
        <family val="2"/>
      </rPr>
      <t>contributing cause of death</t>
    </r>
    <r>
      <rPr>
        <sz val="10"/>
        <rFont val="Arial"/>
        <family val="2"/>
      </rPr>
      <t xml:space="preserve"> (as opposed to the underlying cause of death) in the Mortality Collection. For example, in the case of a death resulting from termination of pregnancy for congenital anomaly, the ICD-10 code for the specific congenital anomaly (Q00</t>
    </r>
    <r>
      <rPr>
        <sz val="10"/>
        <rFont val="Calibri"/>
        <family val="2"/>
      </rPr>
      <t>−</t>
    </r>
    <r>
      <rPr>
        <sz val="10"/>
        <rFont val="Arial"/>
        <family val="2"/>
      </rPr>
      <t xml:space="preserve">Q99) is assigned as the </t>
    </r>
    <r>
      <rPr>
        <i/>
        <sz val="10"/>
        <rFont val="Arial"/>
        <family val="2"/>
      </rPr>
      <t>underlying cause of death</t>
    </r>
    <r>
      <rPr>
        <sz val="10"/>
        <rFont val="Arial"/>
        <family val="2"/>
      </rPr>
      <t xml:space="preserve">, and 'Termination of pregnancy, affecting fetus and newborn (P96.4)' is recorded as the </t>
    </r>
    <r>
      <rPr>
        <i/>
        <sz val="10"/>
        <rFont val="Arial"/>
        <family val="2"/>
      </rPr>
      <t>contributing cause of death.</t>
    </r>
    <r>
      <rPr>
        <sz val="10"/>
        <rFont val="Arial"/>
        <family val="2"/>
      </rPr>
      <t xml:space="preserve">
National statistics on terminations of pregnancy are produced and published by Statistics New Zealand on behalf on the Abortion Supervisory Committee. These statistics can be found on http://www.stats.govt.nz/browse_for_stats/health/abortion.aspx.
</t>
    </r>
  </si>
  <si>
    <t>&lt;28</t>
  </si>
  <si>
    <t>28−31</t>
  </si>
  <si>
    <t>500g−999g</t>
  </si>
  <si>
    <t>&lt;500g</t>
  </si>
  <si>
    <t>500g−
999g</t>
  </si>
  <si>
    <t>1000g−1499g</t>
  </si>
  <si>
    <t>1500g−2499g</t>
  </si>
  <si>
    <t>2500g−4499g</t>
  </si>
  <si>
    <t>≥4500g</t>
  </si>
  <si>
    <t>1000g−
1499g</t>
  </si>
  <si>
    <t>2500g−
4499g</t>
  </si>
  <si>
    <t>500–999g</t>
  </si>
  <si>
    <t>1000–1499g</t>
  </si>
  <si>
    <t>2500–4499g</t>
  </si>
  <si>
    <t>P08 Disorders related to long gestation and high birth weight</t>
  </si>
  <si>
    <t>Q96 Turner's syndrome</t>
  </si>
  <si>
    <t>Q97 Other female sex chromosome abnormalities, not elsewhere classified</t>
  </si>
  <si>
    <t>Q33 Congenital malformations of lung</t>
  </si>
  <si>
    <t>Q43 Other congenital malformations of intestine</t>
  </si>
  <si>
    <t>Y07 Other maltreatment</t>
  </si>
  <si>
    <t>28-31</t>
  </si>
  <si>
    <t>1500–2499g</t>
  </si>
  <si>
    <t>1500g−
2499g</t>
  </si>
  <si>
    <t xml:space="preserve">2 Rate is expressed as per 1000 live births. </t>
  </si>
  <si>
    <t>Q00–Q99 Congenital malformations, deformations and chromosomal abnormalities</t>
  </si>
  <si>
    <t xml:space="preserve">The first weight of the baby obtained after birth (obtained within an hour of birth). Birthweights are categorised as follows: &lt;500g, 500g−999g, 1000g−1499g, 1500g−2499g, 2500g−4499g and ≥4500g.
</t>
  </si>
  <si>
    <t>1 Number of births from 1997 has been used as the denominator for the 1998 rate. This is because there was a large undercount in birth registrations in 1998, as well as notable issues with birthweight and gestation data completeness.</t>
  </si>
  <si>
    <t>In editions of this series prior to 2012, individuals who were not identified as Māori or Pacific were presented as being part of the 'Other' ethnic group (eg, NZ European, Chinese, Indian, Middle Eastern, Unknown). Since 2012, individuals of Asian ethnicity (but not Māori or Pacific) are grouped as 'Asian' and all other individuals are grouped as 'European and Other'.</t>
  </si>
  <si>
    <t xml:space="preserve">Includes deaths with the following ICD-10 codes recorded as the underlying cause of death: R95 (sudden infant death syndrome), R96 (other sudden death, cause unknown), R98 (unattended death), R99 (other ill-defined and unspecified causes of mortality), W75 (accidental suffocation and strangulation in bed), W78 (inhalation of gastric contents), and W79 (inhalation and ingestion of food causing obstruction of respiratory tract). SUDI data presented in these tables is limited to deaths in those aged &lt;1 year.
</t>
  </si>
  <si>
    <r>
      <t xml:space="preserve">Includes all deaths with ICD-10 code R95 (Sudden Infant Death Syndrome) recorded either as the underlying cause of death or as a contributing cause. See </t>
    </r>
    <r>
      <rPr>
        <i/>
        <sz val="10"/>
        <color theme="1"/>
        <rFont val="Arial"/>
        <family val="2"/>
      </rPr>
      <t xml:space="preserve">SIDS rate </t>
    </r>
    <r>
      <rPr>
        <sz val="10"/>
        <color theme="1"/>
        <rFont val="Arial"/>
        <family val="2"/>
      </rPr>
      <t xml:space="preserve">for more information. SIDS data presented in these tables is limited to deaths in those aged &lt;1 year.
</t>
    </r>
  </si>
  <si>
    <t>Graphs by district health board (DHB) of domicile</t>
  </si>
  <si>
    <t>District Health Board (DHB) of domicile</t>
  </si>
  <si>
    <t xml:space="preserve">Live-born infant dying before the first year of life is completed (World Health Organization, 1977). Infant deaths comprise early neonatal deaths, late neonatal deaths and post-neonatal deaths. 
See flowchart showing time periods for fetal and infant deaths (About the publication). 
</t>
  </si>
  <si>
    <t>http://datainfoplus.stats.govt.nz/Item/nz.govt.stats/24c7f58a-7a19-4ac5-b66f-374c563932bf</t>
  </si>
  <si>
    <t xml:space="preserve">The duration of pregnancy in completed weeks. This is calculated from the date of the first day of a woman's last menstrual period and her infant's date of birth. It can also be derived from clinical assessment during pregnancy or from examination of the infant after birth. Gestational age is categorised as follows: &lt;28 weeks (very preterm birth), 28−31 weeks (preterm birth), 32−36 weeks (preterm birth), 37−41 weeks (term birth) and 42+ weeks.
</t>
  </si>
  <si>
    <t>District health board region</t>
  </si>
  <si>
    <t xml:space="preserve">Fetal death is death prior to the complete expulsion or extraction from its mother of a product of conception, irrespective of the duration of pregnancy; the death is indicated by the fact that after such separation the fetus does not breathe or show any other evidence of life such as beating of the heart, pulsation of the umbilical cord or definite movement of voluntary muscles (World Health Organization, 1977). 
Fetal deaths presented in this publication only include those meeting the definition of a stillbirth (weighing ≥400g birthweight or who were ≥20 weeks gestation at birth - see Stillbirth). This includes deaths resulting from terminations of pregnancy (that meet the definition of a stillbirth). Fetal death data was primarily sourced from the Births, Deaths and Marriages Registry (BDM). However, it should be noted that some fetal deaths included in these tables had not been registered at BDM at the time these data were extracted (approximately one percent in 2014). This occurs when the Ministry of Health receives a medical certificate of cause of death and/or post-mortem report prior to the registration of the stillbirth at BDM.
See flowchart showing time periods for fetal and infant deaths (About the publication).
</t>
  </si>
  <si>
    <t xml:space="preserve">In this publication, values for two groups or time periods are considered to be statistically significantly different if the confidence intervals do not overlap. Significance testing has not been applied to most of the data in this publication so differences discussed in the Key Findings section are not necessarily statistically significant, unless otherwise stated. </t>
  </si>
  <si>
    <t>For further guidance on interpreting confidence intervals, please refer to the technical document referenced above.</t>
  </si>
  <si>
    <t>year</t>
  </si>
  <si>
    <t>category</t>
  </si>
  <si>
    <t>num</t>
  </si>
  <si>
    <t>denom</t>
  </si>
  <si>
    <t>rate</t>
  </si>
  <si>
    <t>dthtype</t>
  </si>
  <si>
    <t>fetal</t>
  </si>
  <si>
    <t>Quin 1</t>
  </si>
  <si>
    <t>Quin 2</t>
  </si>
  <si>
    <t>Quin 3</t>
  </si>
  <si>
    <t>Quin 4</t>
  </si>
  <si>
    <t>Quin 5</t>
  </si>
  <si>
    <t>Quin 9</t>
  </si>
  <si>
    <t>&lt;500</t>
  </si>
  <si>
    <t>500-999</t>
  </si>
  <si>
    <t>1000-1499</t>
  </si>
  <si>
    <t>1500-2499</t>
  </si>
  <si>
    <t>2500-4499</t>
  </si>
  <si>
    <t>4500+</t>
  </si>
  <si>
    <t>Tairawhiti</t>
  </si>
  <si>
    <t>peri</t>
  </si>
  <si>
    <t>neo</t>
  </si>
  <si>
    <t>PN</t>
  </si>
  <si>
    <t>infant</t>
  </si>
  <si>
    <t>comb</t>
  </si>
  <si>
    <t>Dthtype</t>
  </si>
  <si>
    <t>Dthcode</t>
  </si>
  <si>
    <t>Column1</t>
  </si>
  <si>
    <t>Counts</t>
  </si>
  <si>
    <t>Deaths: time trends</t>
  </si>
  <si>
    <t>DeathTrends</t>
  </si>
  <si>
    <t>births</t>
  </si>
  <si>
    <t>type</t>
  </si>
  <si>
    <t>bwt</t>
  </si>
  <si>
    <t>dhb</t>
  </si>
  <si>
    <t>eth</t>
  </si>
  <si>
    <t>gest</t>
  </si>
  <si>
    <t>sex</t>
  </si>
  <si>
    <t>category1</t>
  </si>
  <si>
    <t>age</t>
  </si>
  <si>
    <t>dep</t>
  </si>
  <si>
    <t>type1</t>
  </si>
  <si>
    <t>type2</t>
  </si>
  <si>
    <t>category2</t>
  </si>
  <si>
    <t>Ind/Unk</t>
  </si>
  <si>
    <t>Maternal age</t>
  </si>
  <si>
    <t>Ref year</t>
  </si>
  <si>
    <t>Eth</t>
  </si>
  <si>
    <t>Age</t>
  </si>
  <si>
    <t>Dep</t>
  </si>
  <si>
    <t>Bwt</t>
  </si>
  <si>
    <t>female</t>
  </si>
  <si>
    <t>TotalOverall</t>
  </si>
  <si>
    <t>Trend years</t>
  </si>
  <si>
    <t xml:space="preserve">num </t>
  </si>
  <si>
    <t>&lt;1 day</t>
  </si>
  <si>
    <t>1-6 days</t>
  </si>
  <si>
    <t>7-27 days</t>
  </si>
  <si>
    <t>cat</t>
  </si>
  <si>
    <t>coddesc</t>
  </si>
  <si>
    <t>codcode</t>
  </si>
  <si>
    <t>5years</t>
  </si>
  <si>
    <t>years</t>
  </si>
  <si>
    <t>1500−2499g</t>
  </si>
  <si>
    <t>500−999g</t>
  </si>
  <si>
    <t>1000−1499g</t>
  </si>
  <si>
    <t>2500−4499g</t>
  </si>
  <si>
    <t>Sudden infant death syndrome (SIDS) and Sudden unexpected death in infancy (SUDI): time trends</t>
  </si>
  <si>
    <t>SidsSudiTrend</t>
  </si>
  <si>
    <t>Peri</t>
  </si>
  <si>
    <t>Neo</t>
  </si>
  <si>
    <t>vw.overview</t>
  </si>
  <si>
    <t>vw.deaths</t>
  </si>
  <si>
    <t>vw.births</t>
  </si>
  <si>
    <t>vw.deaths.demo</t>
  </si>
  <si>
    <t>vw.births.demo</t>
  </si>
  <si>
    <t>vw.deaths.dhb</t>
  </si>
  <si>
    <t>vw.births.dhb</t>
  </si>
  <si>
    <t>vw.deaths.trend</t>
  </si>
  <si>
    <t>vw.agedeath</t>
  </si>
  <si>
    <t>vw.sidssudi.trend</t>
  </si>
  <si>
    <t>vw.sidssudi.eth</t>
  </si>
  <si>
    <t>deaths</t>
  </si>
  <si>
    <t>perc</t>
  </si>
  <si>
    <t>A00–B99</t>
  </si>
  <si>
    <t>C00–D48</t>
  </si>
  <si>
    <t>D50–D89</t>
  </si>
  <si>
    <t>E00–E89</t>
  </si>
  <si>
    <t>F00–F99</t>
  </si>
  <si>
    <t>G00–G99</t>
  </si>
  <si>
    <t>H00–H59</t>
  </si>
  <si>
    <t>H60–H95</t>
  </si>
  <si>
    <t>I00–I99</t>
  </si>
  <si>
    <t>J00–J99</t>
  </si>
  <si>
    <t>K00–K93</t>
  </si>
  <si>
    <t>L00–L99</t>
  </si>
  <si>
    <t>M00–M99</t>
  </si>
  <si>
    <t>N00–N99</t>
  </si>
  <si>
    <t>O00–O99</t>
  </si>
  <si>
    <t>P00–P96</t>
  </si>
  <si>
    <t>Q00–Q99</t>
  </si>
  <si>
    <t>R00–R99</t>
  </si>
  <si>
    <t>S00–T98</t>
  </si>
  <si>
    <t>Z00–Z99</t>
  </si>
  <si>
    <t>AllChptrs</t>
  </si>
  <si>
    <t>Ref years long</t>
  </si>
  <si>
    <t>ChapterCode</t>
  </si>
  <si>
    <t>vw.cod.trend</t>
  </si>
  <si>
    <t>Dhb</t>
  </si>
  <si>
    <t>V00–Y98</t>
  </si>
  <si>
    <t>Rates for district health boards (DHBs) are graphed with error bars that represent 99% confidence intervals. Caution is advised when comparing these results with editions prior to 2014, which provided 95% confidence intervals.</t>
  </si>
  <si>
    <t>overalltotal</t>
  </si>
  <si>
    <t>totaloverall</t>
  </si>
  <si>
    <t xml:space="preserve">The New Zealand Social Deprivation Index (NZDep) is a measure of socioeconomic status calculated for small geographic areas. It is calculated at the level of meshblocks (geographical units containing a median of 90 people), and the Ministry of Health maps these to domicile codes, which are built up to the relevant geographic scale using weighted average 'usually resident population' counts from the Census. This publication presents fetal and infant death rates by deprivation quintile of residence, ranging from 1 (least deprived) to 5 (most deprived), according to NZDep2006 for years prior to 2010 and NZDep2013 for 2010 and onwards. Approximately equal numbers of people reside in areas associated with each of the five deprivation areas.
</t>
  </si>
  <si>
    <r>
      <rPr>
        <sz val="10"/>
        <rFont val="Arial"/>
        <family val="2"/>
      </rPr>
      <t>Over the same time period, the fetal death rate fluctuated between 6.0 and 8.5 per 1000 total births (Figure 1).</t>
    </r>
    <r>
      <rPr>
        <sz val="10"/>
        <color theme="0" tint="-0.499984740745262"/>
        <rFont val="Arial"/>
        <family val="2"/>
      </rPr>
      <t xml:space="preserve">
</t>
    </r>
  </si>
  <si>
    <t>G12 Spinal muscular atrophy and related syndromes</t>
  </si>
  <si>
    <t>P15 Other birth trauma</t>
  </si>
  <si>
    <t>P29 Cardiovascular disorders originating in the perinatal period</t>
  </si>
  <si>
    <t>P35 Congenital viral diseases</t>
  </si>
  <si>
    <t>P55 Immune haemolytic disease of fetus and newborn</t>
  </si>
  <si>
    <t>Q31 Congenital malformations of larynx</t>
  </si>
  <si>
    <t>Q66 Congenital deformities of feet</t>
  </si>
  <si>
    <t>Q74 Other congenital malformations of limb(s)</t>
  </si>
  <si>
    <t>Q92 Other trisomies and partial trisomies of the autosomes, not elsewhere classified</t>
  </si>
  <si>
    <t>D76 Other specified diseases with participation of lymphoreticular and reticulohistiocytic tissue</t>
  </si>
  <si>
    <t>Sudden infant death syndrome (SIDS) and sudden unexpected death in infancy (SUDI): time trends</t>
  </si>
  <si>
    <t>Neonatal, post-neonatal and infant rates are expressed as per 1000 live births.</t>
  </si>
  <si>
    <t xml:space="preserve">Note: Fetal and perinatal rates are expressed as per 1000 total births. </t>
  </si>
  <si>
    <t>Select a death type:</t>
  </si>
  <si>
    <t xml:space="preserve">Sudden unexpected death in infancy (SUDI) </t>
  </si>
  <si>
    <t xml:space="preserve">An organisation established as such by or under section 19 of the New Zealand Public Health and Disability Act 2000. In this publication, numbers and rates are presented by district health board (DHB) region of residence (derived from domicile). 2015 DHB boundaries have been applied for all analysis in this publication. 'Unknown' includes persons residing in an area outside the DHB and those from overseas. 
</t>
  </si>
  <si>
    <r>
      <t>These tables use prioritised ethnicity, by which each person represented in the data is allocated to a single ethnic group using the priority system M</t>
    </r>
    <r>
      <rPr>
        <sz val="10"/>
        <rFont val="Calibri"/>
        <family val="2"/>
      </rPr>
      <t>ā</t>
    </r>
    <r>
      <rPr>
        <sz val="10"/>
        <rFont val="Arial"/>
        <family val="2"/>
      </rPr>
      <t xml:space="preserve">ori &gt; Pacific peoples &gt; Asian &gt; European or Other.  The 'European or Other' ethnic group includes persons of the following ethnicities: European (including New Zealander), MELAA (Middle Eastern, Latin American and African), Other and Unknown. The aim of prioritisation is to ensure that where it is necessary to assign people to a single ethnic group, those groups that are small or important in terms of policy, are not swamped by the European ethnic group (Ministry of Health, 2004). 
</t>
    </r>
  </si>
  <si>
    <t xml:space="preserve">2 See sections 'Glossary' and 'About the publication' for further detail on aggregated groups, eg, perinatal, neonatal and infant. </t>
  </si>
  <si>
    <t>The most common specified cause of fetal death was ‘Slow fetal growth and fetal malnutrition (P05)’, followed by ‘Disorders related to short gestation and low birth weight, not elsewhere classified (P07)’ (Tables 16 and 18).</t>
  </si>
  <si>
    <t xml:space="preserve">Number and rate of deaths, by death type, 1996−2016
</t>
  </si>
  <si>
    <t xml:space="preserve">Number of fetal deaths, infant deaths and live births for each ethnic group, by sex, maternal age group, deprivation quintile of residence, gestational age and birthweight, 2016
</t>
  </si>
  <si>
    <t xml:space="preserve">Rate of fetal deaths and infant deaths for each ethnic group, by sex, maternal age group, deprivation quintile of residence, gestational age and birthweight, 2016
</t>
  </si>
  <si>
    <t xml:space="preserve">Number of fetal deaths, infant deaths and live births for each maternal age group, by sex, ethnic group, deprivation quintile of residence, gestational age and birthweight, 2016
</t>
  </si>
  <si>
    <t xml:space="preserve">Rate of fetal deaths and infant deaths for each maternal age group, by sex, ethnic group, deprivation quintile of residence, gestational age and birthweight, 2016
</t>
  </si>
  <si>
    <t xml:space="preserve">Number of fetal deaths, infant deaths and live births for each deprivation quintile of residence, by sex, ethnic group, maternal age group, gestational age and birthweight, 2016
</t>
  </si>
  <si>
    <t xml:space="preserve">Rate of fetal deaths and infant deaths for each deprivation quintile of residence, by sex, ethnic group, maternal age group, gestational age and birthweight, 2016
</t>
  </si>
  <si>
    <t xml:space="preserve">Number of fetal deaths, infant deaths and live births for each gestational age, by sex, ethnic group, maternal age group, deprivation quintile of residence and birthweight, 2016
</t>
  </si>
  <si>
    <t xml:space="preserve">Rate of fetal deaths and infant deaths for each gestational age, by sex, ethnic group, maternal age group, deprivation quintile of residence and birthweight, 2016
</t>
  </si>
  <si>
    <t xml:space="preserve">Number of fetal deaths, infant deaths and live births, for each birthweight, by sex, ethnic group, maternal age group, deprivation quintile of residence and gestational age, 2016
</t>
  </si>
  <si>
    <t xml:space="preserve">Rate of fetal deaths and infant deaths for each birthweight, by sex, ethnic group, maternal age group, deprivation quintile of residence and gestational age, 2016
</t>
  </si>
  <si>
    <t xml:space="preserve">Number and rate of infant deaths, by age at death, sex, ethnic group, maternal age group, deprivation quintile of residence, gestational age and birthweight, 2016
</t>
  </si>
  <si>
    <t xml:space="preserve">Number of fetal and infant deaths for each ethnic group, by ICD chapter and 3-character-code of underlying cause of death, 2016
</t>
  </si>
  <si>
    <t xml:space="preserve">Number of infant deaths classified as sudden infant death syndrome (SIDS) and sudden unexpected death in infancy (SUDI) in those aged &lt;1 year, for each ethnic group, by sex, maternal age group, deprivation quintile of residence, gestational age, birthweight and DHB of domicile, 2016
</t>
  </si>
  <si>
    <t xml:space="preserve">Number and rate of fetal and infant deaths, 1996−2016
</t>
  </si>
  <si>
    <t xml:space="preserve">Rates of sudden unexpected death in infancy (SUDI) and sudden infant death syndrome (SIDS) in those aged &lt;1 year, 2000−2016
</t>
  </si>
  <si>
    <t xml:space="preserve">Fetal death rate by DHB of domicile, 2016
</t>
  </si>
  <si>
    <t xml:space="preserve">Infant death rate by DHB of domicile, 2016
</t>
  </si>
  <si>
    <t xml:space="preserve">Number and rate of fetal deaths and infant deaths for selected DHB, by sex, ethnic group, maternal age group, deprivation quintile of residence, gestational age and birthweight, 2016
</t>
  </si>
  <si>
    <t xml:space="preserve">Rate of fetal and infant deaths for selected DHB, by ethnic group, maternal age group and deprivation quintile of residence, 2016
</t>
  </si>
  <si>
    <t xml:space="preserve">Number, percentage and rate of fetal deaths by ICD chapter of underlying cause of death, 2012–2016
</t>
  </si>
  <si>
    <t xml:space="preserve">Number, percentage and rate of infant deaths by ICD chapter of underlying cause of death, 2012–2016
</t>
  </si>
  <si>
    <t xml:space="preserve">Rates of sudden unexpected death in infancy (SUDI) and sudden infant death syndrome (SIDS) in those aged &lt;1 year, by ethnic group, 2012−2016
</t>
  </si>
  <si>
    <t xml:space="preserve">Rates of sudden unexpected death in infancy (SUDI) and sudden infant death syndrome (SIDS) in those aged &lt;1 year, by maternal age group, 2012−2016
</t>
  </si>
  <si>
    <t xml:space="preserve">Rates of sudden unexpected death in infancy (SUDI) and sudden infant death syndrome (SIDS) in those aged &lt;1 year, by deprivation quintile of residence, 2012−2016
</t>
  </si>
  <si>
    <t xml:space="preserve">Rate of sudden infant death syndrome (SIDS) in those aged &lt;1 year, by DHB of domicile, 2012−2016
</t>
  </si>
  <si>
    <t xml:space="preserve">Rate of sudden unexpected death in infancy (SUDI) in those aged &lt;1 year, by DHB of domicile, 2012−2016
</t>
  </si>
  <si>
    <t>Number of deaths registered in the year that occurred in a year prior, 2012−2016</t>
  </si>
  <si>
    <t xml:space="preserve">Number of infant deaths classified as sudden infant death syndrome (SIDS) and sudden unexpected death in infancy (SUDI) in those aged &lt;1 year, for each ethnic group, by sex, maternal age group, deprivation quintile of residence, gestational age, birthweight and DHB of domicile, 2012–2016
</t>
  </si>
  <si>
    <t xml:space="preserve">Fetal and infant death rates by ethnic group, 2011−2015 and 2016
</t>
  </si>
  <si>
    <t xml:space="preserve">Fetal and infant death rates by deprivation quintile of residence, 2011−2015 and 2016
</t>
  </si>
  <si>
    <t xml:space="preserve">Fetal and infant death rates by maternal age group, 2011−2015 and 2016
</t>
  </si>
  <si>
    <t>2011-2015</t>
  </si>
  <si>
    <t xml:space="preserve">Number of infant deaths classified as sudden infant death syndrome (SIDS) and sudden unexpected death in infancy (SUDI) in those aged &lt;1 year, by sex, ethnic group, maternal age group, deprivation quintile of residence, gestational age, birthweight and DHB of domicile during 2007−2016, and rates for the aggregate period 2012−2016
</t>
  </si>
  <si>
    <t>Aggregate (2012−2016)</t>
  </si>
  <si>
    <t>Rates of SIDS and SUDI by year (2000–2016)</t>
  </si>
  <si>
    <t>Notes: 
Only infants aged &lt;1 year are included in this table. 
Rates of SIDS by year (2000–2016) are shown in Figure 5, GraphsNZ worksheet</t>
  </si>
  <si>
    <t xml:space="preserve">Number of deaths, by sex, ethnic group, maternal age group, deprivation quintile of residence, gestational age, birthweight and DHB of domicile, 2007−2016
</t>
  </si>
  <si>
    <t xml:space="preserve">Death rates, by sex, ethnic group, maternal age group, deprivation quintile of residence, gestational age, birthweight and DHB of domicile, 2007−2016
</t>
  </si>
  <si>
    <t xml:space="preserve">Number of live births, by sex, ethnic group, maternal age group, deprivation quintile of residence, gestational age, birthweight and DHB of domicile, 2007−2016
</t>
  </si>
  <si>
    <t>A08 Viral and other specified intestinal infections</t>
  </si>
  <si>
    <t>A50 Congenital syphilis</t>
  </si>
  <si>
    <t>C72 Malignant neoplasm of spinal cord, cranial nerves and other parts of central nervous system</t>
  </si>
  <si>
    <t>D15 Benign neoplasm of other and unspecified intrathoracic organs</t>
  </si>
  <si>
    <t>D82 Immunodeficiency associated with other major defects</t>
  </si>
  <si>
    <t>E03 Other hypothyroidism</t>
  </si>
  <si>
    <t>E83 Disorders of mineral metabolism</t>
  </si>
  <si>
    <t>E86 Volume depletion</t>
  </si>
  <si>
    <t>E88 Other metabolic disorders</t>
  </si>
  <si>
    <t>I62 Other nontraumatic intracranial haemorrhage</t>
  </si>
  <si>
    <t>J18 Pneumonia, organism unspecified</t>
  </si>
  <si>
    <t>J21 Acute bronchiolitis</t>
  </si>
  <si>
    <t>K65 Peritonitis</t>
  </si>
  <si>
    <t>P53 Haemorrhagic disease of fetus and newborn</t>
  </si>
  <si>
    <t>P61 Other perinatal haematological disorders</t>
  </si>
  <si>
    <t>P70 Transitory disorders of carbohydrate metabolism specific to fetus and newborn</t>
  </si>
  <si>
    <t>Q27 Other congenital malformations of peripheral vascular system</t>
  </si>
  <si>
    <t>Q32 Congenital malformations of trachea and bronchus</t>
  </si>
  <si>
    <t>Q39 Congenital malformations of oesophagus</t>
  </si>
  <si>
    <t>Q63 Other congenital malformations of kidney</t>
  </si>
  <si>
    <t>Q77 Osteochondrodysplasia with defects of growth of tubular bones and spine</t>
  </si>
  <si>
    <t>V43 Car occupant injured in collision with car, pick-up truck or van</t>
  </si>
  <si>
    <t>W23 Caught, crushed, jammed or pinched in or between objects</t>
  </si>
  <si>
    <t>Q00−Q99 Congenital malformations, deformations and chromosomal abnormalities</t>
  </si>
  <si>
    <r>
      <t>2011</t>
    </r>
    <r>
      <rPr>
        <b/>
        <sz val="10"/>
        <color theme="1"/>
        <rFont val="Calibri"/>
        <family val="2"/>
      </rPr>
      <t>–</t>
    </r>
    <r>
      <rPr>
        <b/>
        <sz val="10"/>
        <color theme="1"/>
        <rFont val="Arial"/>
        <family val="2"/>
      </rPr>
      <t>2015</t>
    </r>
  </si>
  <si>
    <t>1 Total includes deaths/births where gestational age was unknown. In 2016, gestational age was unknown for 8 fetal and 13 infant deaths.</t>
  </si>
  <si>
    <t>1 Total includes deaths/births where birthweight was unknown. In 2016, birthweight was unknown for 27 fetal and 9 infant deaths.</t>
  </si>
  <si>
    <t xml:space="preserve">ICD-10 chapter groups ‘Certain conditions originating in the perinatal period (P00–P96)’ and ‘Congenital malformations, deformations and chromosomal abnormalities (Q00–Q99) accounted for 52% and 22%, respectively, of infant deaths (Table 17).
</t>
  </si>
  <si>
    <t xml:space="preserve">The most common specified cause of infant death was ‘Disorders related to short gestation and low birthweight (P07)’ (19%) (Table 18).
</t>
  </si>
  <si>
    <t xml:space="preserve">There were 42 sudden unexpected death in infancy (SUDI) deaths in 2016, including 23 sudden infant death syndrome (SIDS) deaths. The SUDI deaths included 22 males and 20 females (Table 19).
</t>
  </si>
  <si>
    <t>Key findings for 2016</t>
  </si>
  <si>
    <t>20 November 2019</t>
  </si>
  <si>
    <t>Fetal and Infant Deaths 2016</t>
  </si>
  <si>
    <t>These tables present a summary of fetal and infant deaths, with a focus on deaths and stillbirths registered in 2016. Information presented includes demographic information (eg, ethnicity and sex), cause of death, gestation and birthweight, as well as deaths classified as sudden infant death syndrome (SIDS) and sudden unexpected death in infancy (SUDI).</t>
  </si>
  <si>
    <t xml:space="preserve">Causes of death for 2014, 2015 and 2016 were coded using the International Statistical Classification of Diseases and Related Health Problems, Tenth Revision, Australian Modification (ICD-10-AM), 8th Edition in conjunction with the World Health Organization ICD-10 rules and guidelines for the selection of the underlying cause of death. In the 5-year trend analysis, deaths prior to 2014 were coded using the 6th Edition, but chapter descriptions presented are from the 8th Edition.
</t>
  </si>
  <si>
    <r>
      <t xml:space="preserve">The error bars on the charts in this publication represent 95% confidence intervals for the rate, except where DHBs are compared, and error bars represent 99% confidence intervals. Confidence intervals have been calculated using Byar's method (Association of Public Health Observatories. 2008. </t>
    </r>
    <r>
      <rPr>
        <i/>
        <sz val="10"/>
        <color theme="1"/>
        <rFont val="Arial"/>
        <family val="2"/>
      </rPr>
      <t>Technical Briefing 3: Commonly used public health statistics and their confidence intervals</t>
    </r>
    <r>
      <rPr>
        <sz val="10"/>
        <color theme="1"/>
        <rFont val="Arial"/>
        <family val="2"/>
      </rPr>
      <t>. URL: 
https://fingertips.phe.org.uk/documents/APHO Tech Briefing 3 Common PH Stats and CIs.pdf. (Accessed August 2019)</t>
    </r>
  </si>
  <si>
    <t xml:space="preserve">Key findings for 2016
</t>
  </si>
  <si>
    <t>1 International Statistical Classification of Diseases and Related Health Problems, Tenth Revision, Australian Modification, Eighth Edition (Source: Independent Hospital Pricing Authority).</t>
  </si>
  <si>
    <t xml:space="preserve">The Mortality Collection (MORT) contains the underlying cause of death for all deaths registered in New Zealand, and all registerable stillbirths (fetal deaths). 
Each month, BDM sends electronic death and stillbirth registration data to the National Collections Team at the Ministry of Health. Medical certificates of causes of death (HP4720 and HP4721 certificates) completed by certifying doctors or midwives (stillbirths only), and coronial findings relating to infant deaths from Coronial Services (Ministry of Justice) are also received by the Ministry of Health. It should be noted that for some fetal deaths the Ministry of Health received a medical certificate of cause of death and/or post-mortem report prior to the registration of the stillbirth at BDM. With this information, the Ministry of Health assigns underlying cause of death codes in accordance with the guidelines contained in the World Health Organization's International Statistical Classification of Diseases and Related Health Problems, Tenth Revision, Australian Modification, Eighth Edition 
(Source: Independent Hospital Pricing Authority). Clinical codes are also assigned for diagnoses considered to have contributed to the death. These cause-of-death codes are then stored in MORT. The codes presented in this publication are based on ICD 10th Revision, Australian Modification (ICD-10-AM), 6th Edition (for 5-year trend data prior to 2014) and 8th Edition (for 2014̶ 2016 data).
Additional information on underlying cause of death is obtained from electronic hospital discharge data from the National Minimum Dataset (NMDS) and private hospital discharge returns, the New Zealand Cancer Registry (NZCR), the Coronial Services, the NZ Transport Agency, Water Safety NZ, the internet, and from writing letters to certifying doctors, coroners, and medical records officers in public hospitals.
</t>
  </si>
  <si>
    <t xml:space="preserve">International Statistical Classification of Diseases and Related Health Problems, Tenth Revision, Australian Modification, Eighth Edition 
(Source: Independent Hospital Pricing Authority).
In this publication, causes of death were coded using ICD Tenth Revision, Australian Modification (ICD-10-AM), 6th and 8th Editions, in conjunction with the WHO's ICD-10 rules and guidelines for the selection of the underlying cause of death. 
</t>
  </si>
  <si>
    <t>Q72 Reduction defects of lower limb</t>
  </si>
  <si>
    <t>W65 Drowning and submersion while in bath-tub</t>
  </si>
  <si>
    <t>U50–Y98 External causes of morbidity and mortality</t>
  </si>
  <si>
    <t>Note: Because the births and deaths datasets are collected independently, there may be instances where the numerator is greater than the denominator and the rate calculated is greater than 1000. These rates are shown as "-". Where there are no deaths and births for a category, the rate is also shown as "-".</t>
  </si>
  <si>
    <t>data-enquiries@health.govt.nz</t>
  </si>
  <si>
    <t xml:space="preserve">There were 413 fetal deaths and 241 infant deaths registered in 2016.
</t>
  </si>
  <si>
    <t xml:space="preserve">This equates to a fetal death rate of 6.8 per 1000 total births and an infant death rate of 4.0 per 1000 live births.
</t>
  </si>
  <si>
    <t xml:space="preserve">Approximately 78% of fetal deaths and 55% of infant deaths registered in 2016 were preterm (&lt;37 weeks’ gestation), the majority of which were very preterm (&lt;28 weeks’ gestation) (Table 11). 
</t>
  </si>
  <si>
    <t xml:space="preserve">Approximately 58% of fetal deaths registered in 2016 had a birthweight of less than 1000g. Of these, about 60% had a birthweight of less than 500g. Approximately 39% of infant deaths had a birthweight of less than 1000g, and of these over half (61%) were in the 500–999g birthweight group (Table 13).
</t>
  </si>
  <si>
    <t xml:space="preserve">‘Fetal death of unspecified cause (P95)’ accounted for 39% of all fetal deaths.
</t>
  </si>
  <si>
    <t>In 2014, the Department of Internal Affairs registered a significant number of neonatal deaths that had occurred in 2011 and 2012. Therefore, neonatal and infant deaths in 2011 and 2012 are lower than they would have been if these deaths were registered at the time they occurred. For further information please visit DataInfo+</t>
  </si>
  <si>
    <t>Data Services</t>
  </si>
  <si>
    <t>Approximately 70% of fetal deaths had a cause of death in the ICD-10 chapter group ‘Certain conditions originating in the perinatal period (P00–P96)'.</t>
  </si>
  <si>
    <t>1 Total includes deaths/births where deprivation quintile was unknown. In 2016, deprivation quintile was unknown for 22 fetal and two infant deaths.</t>
  </si>
  <si>
    <t>The use of the term 'significant' indicates the result was statistically significant. Confidence intervals have been used to assist in comparing rates between different groups with a stated level of probability, typically 95%.</t>
  </si>
  <si>
    <t xml:space="preserve">Notes: </t>
  </si>
  <si>
    <t xml:space="preserve">Between 1996 and 2016, there was a significant decrease in the infant death rate. The rate fell by 45%, from 7.3 to 4.0 per 1000 live births. This decrease was primarily due to a notable decrease in post-neonatal deaths (Figure 1). 
</t>
  </si>
  <si>
    <t>As with the previous five-year period (2011–2015), the highest infant death rates in 2016 were for the most deprived areas (Quintile 5). In the most deprived areas, the infant death rate was more than twice the rate of the least deprived areas (quintile 5, 6.3 per 1000 live births and quintile 1, 2.6 per 1000 live births) (Figure 4).</t>
  </si>
  <si>
    <t>Births trend</t>
  </si>
  <si>
    <t>In 2016, the fetal death rate was significantly higher among mothers aged less than 20 years (13.9 per 1000 total births), than among those mothers aged 20–39 years (Figure 3).</t>
  </si>
  <si>
    <t xml:space="preserve">In the previous five-year period (2011–2015) the infant death rate for babies of women aged less than 20 years was significantly higher than for babies of women in all other age groups (Figure 3).
</t>
  </si>
  <si>
    <t>In 2016, there were no significant differences between fetal death rate and levels of deprivation.</t>
  </si>
  <si>
    <t xml:space="preserve">Fetal death rates for all the ethnic groups were similar in 2016 compared to the rate for the previous five-year period (2011–2015) (Figure 2).
</t>
  </si>
  <si>
    <r>
      <rPr>
        <sz val="10"/>
        <rFont val="Arial"/>
        <family val="2"/>
      </rPr>
      <t>Fetal death rates were similar across all the ethnic groups in 2016 (between 6.6 and 7.5 per 1000 total births respectively).</t>
    </r>
    <r>
      <rPr>
        <sz val="10"/>
        <color theme="0" tint="-0.499984740745262"/>
        <rFont val="Arial"/>
        <family val="2"/>
      </rPr>
      <t xml:space="preserve">
</t>
    </r>
  </si>
  <si>
    <t>1. The use of the term 'significant' indicates the result was statistically significant. Confidence intervals have been used to assist in comparing rates between different groups with a stated level of probability, typically 95%.</t>
  </si>
  <si>
    <t xml:space="preserve">2. The number of fetal and and infant deaths in New Zealand is small and may cause rates to fluctuate markedly from year to year. Rates derived from small numbers should be interpreted with caution. </t>
  </si>
  <si>
    <t>3. The denominator for percentage calculations is the total for each variable for which the information was recorded and excludes 'Unknown' categories.</t>
  </si>
  <si>
    <t xml:space="preserve">There were a wide range of fetal and infant death rates across district health board regions (DHBs) in 2016 (Figure 9 and 10). Rates of death were influenced by the maternal population and demographics, which can differ widely between DHBs. Some rates were based on low numbers, please refer to note 2 below.
</t>
  </si>
  <si>
    <t>In the five-year period, 2012–2016, SUDI rates for babies in the Māori and Pacific peoples ethnic groups were significantly higher than the rates for babies in the Asian and European or Other ethnic groups (Figure 6). SUDI rates for babies of mothers aged less than 25 years were significantly higher than for those mothers in all other age groups (Figure 7). The SUDI rate for babies born in the most deprived areas (quintile 5) was significantly higher than the rate for all other deprivation quintiles (Figure 8).</t>
  </si>
  <si>
    <t>Infant death rates in 2016 were highest for the Pacific peoples and Māori ethnic groups (6.2 and 5.9 per 1000 live births, respectively). These rates were significantly higher than rates for the European or Other and Asian ethnic groups (2.8 and 2.5 per 1000 live births, respectively). The same trend was seen over the previous five years.</t>
  </si>
  <si>
    <t xml:space="preserve">Babies of young women (less than 20 years) had the highest infant death rate in 2016 (10.6 per 1000 live births). This rate was significantly higher than babies of women aged between 25 and 39 years.
</t>
  </si>
  <si>
    <t xml:space="preserve">For each year from 2012 to 2016 the SUDI rate was significantly lower than in 2000. The SUDI rate in 2016 (0.7 per 1000 live births) was half the rate in 2000 (1.4 per 1000 live births) (Figure 5). 
</t>
  </si>
  <si>
    <t>As the number of births is used to calculate the rate of fetal and infant deaths, changes in the number of births over time can influence the calculated rate of death; for any two years where the number of deaths is the same, a lower number of births in a year will produce a higher rate. Therefore an relatively small increase in deaths may result in a large increase in rate if the number of births is lower in that year compared to previous years.</t>
  </si>
  <si>
    <t xml:space="preserve">Between 2007 and 2016 the number of births birth decreased by around 7%. The number of births each year can influence the rate of fetal and infant deaths. Please refer to the About tab - 'Analytical methods' section for more information.
</t>
  </si>
  <si>
    <t xml:space="preserve">During this same period, 2012–2016, SUDI rates for babies born with a low birthweight were 1.2 and 2.0 per 1000 live births (for those with a birthweight between 1000g–1499g and 1500g–2499g respectively). In comparison babies born with a higher birthweight (2500g–4499g) had a SUDI rate of 0.6 per 1000 live births. For babies born at 28–31 and 32–36 weeks’ gestation SUDI rates were 1.3 and 2.0 per 1000 live births respectively, compared to a SUDI rate of 0.6 per 1000 live births for babies born at 37–41 weeks (Table 19). </t>
  </si>
  <si>
    <t xml:space="preserve">Some tables included in this publication present death rates by various subgroups of the total population, defined by ethnic group, maternal age, socioeconomic deprivation, sex of infant or district health board (DHB). These rates have been calculated using the relevant population for each subgroup. For example, the infant death rate for Māori was calculated using the number of Māori live births as the denominator. Values used for calculating rates are usually included within the table or can be derived from the sheet 'BirthsTrend'. 
Rates for 1998 have been calculated using live births registered in 1997. This is because there was a large undercount in birth registrations in 1998, as well as notable issues with birthweight and gestation data completeness.
It is important to note that the number of fetal and infant deaths in New Zealand is small and may cause rates to fluctuate markedly from year to year. Rates derived from small numbers should therefore be interpreted with caution. 
The number of births each year is used to calculate the rate of fetal and infant deaths. Changes in the number of births over time can influence the calculated rate of death; for any two years where the number of deaths is the same, a lower number of births in a year will produce a higher rate. Therefore a relatively small increase in deaths may result in a large increase in rate if the number of births is lower in a year compared to previous years.
</t>
  </si>
  <si>
    <t xml:space="preserve">Every death occurring in New Zealand must be registered with Births, Deaths and Marriages (BDM). Deaths should be registered within three working days of burial or cremation, although the law does not impose any limit on the time after which a death may not be registered.  
This information, along with stillbirth registration data, is supplied to the Ministry of Heath. The Ministry of Health then matches death and stillbirth registrations from the Registry with individuals' National Health Index (NHI) numbers. This combined information comprises the core death data held in the National Mortality Collection (MORT). 
This publication uses the year in which a death or stillbirth is registered rather than the actual year of death. Approximately 7% of fetal deaths and 4% of infant deaths registered in 2016 occurred prior to 2016 (Table 23).
</t>
  </si>
  <si>
    <t>Data presented in these tables was extracted from the Ministry of Health's Mortality Collection (MORT) on 07 June 2019.</t>
  </si>
  <si>
    <t>Data extraction date:</t>
  </si>
  <si>
    <t>MORT contains data on all deaths registered in New Zealand and all registerable stillbirths (fetal deaths). Death and stillbirth registration data is sent electronically to MORT from Births, Deaths and Marriages each month. In addition, the Ministry of Health receives medical certificates of causes of death (completed by certifying doctors, and by midwives for stillbirths) from funeral directors, as well as coronial findings relating to infant deaths from Coronial Services (Ministry of Justice). Each death is then assigned an underlying cause of death code by the Ministry of Health, using the International Statistical Classification of Diseases and Related Health Problems, 10th Revision, Australian Modification (ICD-10-AM), 6th Edition (for five-year trend data for years prior to 2014) and 8th Edition (for 2014̶ 2016 data). ICD chapter descriptions provided are from the 8th Edition (Source: Independent Hospital Pricing Authority). The underlying cause of death is selected in accordance with the World Health Organization (WHO) ICD-10 Rules and Guidelines for Mortality Coding.</t>
  </si>
  <si>
    <t xml:space="preserve">Over the ten-year period (2007–2016) notable changes in the number of births were for babies born to mothers aged less than 20 years (decreased by around 50%), babies of Asian ethnicity (increased by 70%), babies in the other ethnic groups (decreased by 10–20%),  babies born with a birth weight of 4500g or more (decreased by 22%), babies born with a birthweight of  500g–1499g (decreased by around 18%), and babies born within 31 weeks gestation (decreased by around 16%).
</t>
  </si>
  <si>
    <t>Series notes:</t>
  </si>
  <si>
    <t>At the time the data was extracted there were 15 infant deaths awaiting coroners' findings. For four of these deaths the Ministry had not yet received any cause of death information; the remaining 11 deaths were provisionally coded (ie, yet to be confirmed). Infant deaths with no known cause awaiting coroners' findings are coded to R99, 'Other ill-defined and unspecified causes of mortality'. Some deaths are assigned a provisional code based on limited information available at the time. Deaths for which a cause is still to be determined or confirmed will be updated in the next edition of Fetal and Infant deaths as the coroners complete their findings.</t>
  </si>
  <si>
    <t>This dataset is a continuation of the Fetal and Infant Death series. In this edition, 81 fetal deaths that occurred in 2014 were registered to 2014 for the first time. Therefore, numbers of fetal deaths for 2014 will differ from previous editions.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</si>
</sst>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4" formatCode="_-&quot;$&quot;* #,##0.00_-;\-&quot;$&quot;* #,##0.00_-;_-&quot;$&quot;* &quot;-&quot;??_-;_-@_-"/>
    <numFmt numFmtId="43" formatCode="_-* #,##0.00_-;\-* #,##0.00_-;_-* &quot;-&quot;??_-;_-@_-"/>
    <numFmt numFmtId="164" formatCode="#,##0_ ;\-#,##0\ "/>
    <numFmt numFmtId="165" formatCode="_(* #,##0.00_);_(* \(#,##0.00\);_(* &quot;-&quot;??_);_(@_)"/>
    <numFmt numFmtId="166" formatCode="0.0"/>
    <numFmt numFmtId="167" formatCode="0.00000"/>
    <numFmt numFmtId="168" formatCode="0.0000"/>
  </numFmts>
  <fonts count="130">
    <font>
      <sz val="11"/>
      <color theme="1"/>
      <name val="Calibri"/>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9"/>
      <color theme="1"/>
      <name val="Arial"/>
      <family val="2"/>
    </font>
    <font>
      <sz val="9"/>
      <color theme="1"/>
      <name val="Arial"/>
      <family val="2"/>
    </font>
    <font>
      <sz val="10"/>
      <color theme="1"/>
      <name val="Arial"/>
      <family val="2"/>
    </font>
    <font>
      <sz val="10"/>
      <name val="Arial Narrow"/>
      <family val="2"/>
    </font>
    <font>
      <sz val="10"/>
      <name val="Times New Roman"/>
      <family val="1"/>
    </font>
    <font>
      <sz val="10"/>
      <color theme="1"/>
      <name val="Arial Narrow"/>
      <family val="2"/>
    </font>
    <font>
      <u/>
      <sz val="10"/>
      <color theme="10"/>
      <name val="Arial Narrow"/>
      <family val="2"/>
    </font>
    <font>
      <sz val="11"/>
      <color theme="1"/>
      <name val="Calibri"/>
      <family val="2"/>
      <scheme val="minor"/>
    </font>
    <font>
      <sz val="10"/>
      <name val="Arial"/>
      <family val="2"/>
    </font>
    <font>
      <sz val="10"/>
      <name val="MS Sans Serif"/>
      <family val="2"/>
    </font>
    <font>
      <sz val="10"/>
      <color theme="1"/>
      <name val="Arial"/>
      <family val="2"/>
    </font>
    <font>
      <sz val="11"/>
      <color rgb="FF3F3F76"/>
      <name val="Calibri"/>
      <family val="2"/>
      <scheme val="minor"/>
    </font>
    <font>
      <sz val="10"/>
      <color theme="1"/>
      <name val="Arial Unicode MS"/>
      <family val="2"/>
    </font>
    <font>
      <u/>
      <sz val="11"/>
      <color theme="10"/>
      <name val="Calibri"/>
      <family val="2"/>
      <scheme val="minor"/>
    </font>
    <font>
      <sz val="10"/>
      <color theme="1"/>
      <name val="Arial Mäori"/>
      <family val="2"/>
    </font>
    <font>
      <sz val="11"/>
      <color theme="1"/>
      <name val="Arial"/>
      <family val="2"/>
    </font>
    <font>
      <u/>
      <sz val="10"/>
      <color theme="10"/>
      <name val="Arial"/>
      <family val="2"/>
    </font>
    <font>
      <b/>
      <sz val="10"/>
      <color theme="0"/>
      <name val="Arial"/>
      <family val="2"/>
    </font>
    <font>
      <b/>
      <sz val="16"/>
      <color theme="1" tint="0.24994659260841701"/>
      <name val="Arial"/>
      <family val="2"/>
    </font>
    <font>
      <i/>
      <sz val="10"/>
      <color theme="1"/>
      <name val="Arial"/>
      <family val="2"/>
    </font>
    <font>
      <sz val="10"/>
      <name val="Calibri"/>
      <family val="2"/>
    </font>
    <font>
      <i/>
      <sz val="10"/>
      <name val="Arial"/>
      <family val="2"/>
    </font>
    <font>
      <b/>
      <sz val="11"/>
      <color theme="1" tint="0.24994659260841701"/>
      <name val="Arial"/>
      <family val="2"/>
    </font>
    <font>
      <b/>
      <sz val="10"/>
      <color theme="1" tint="0.24994659260841701"/>
      <name val="Arial"/>
      <family val="2"/>
    </font>
    <font>
      <b/>
      <sz val="10"/>
      <color theme="1"/>
      <name val="Arial"/>
      <family val="2"/>
    </font>
    <font>
      <b/>
      <sz val="11"/>
      <color theme="1"/>
      <name val="Calibri"/>
      <family val="2"/>
    </font>
    <font>
      <sz val="10"/>
      <color theme="1"/>
      <name val="Calibri"/>
      <family val="2"/>
    </font>
    <font>
      <b/>
      <sz val="9"/>
      <color theme="0"/>
      <name val="Arial"/>
      <family val="2"/>
    </font>
    <font>
      <u/>
      <sz val="9"/>
      <color rgb="FF0070C0"/>
      <name val="Arial"/>
      <family val="2"/>
    </font>
    <font>
      <u/>
      <sz val="10"/>
      <color rgb="FF0070C0"/>
      <name val="Arial"/>
      <family val="2"/>
    </font>
    <font>
      <b/>
      <sz val="18"/>
      <color theme="3"/>
      <name val="Arial"/>
      <family val="2"/>
    </font>
    <font>
      <u/>
      <sz val="10"/>
      <color theme="4" tint="-0.24994659260841701"/>
      <name val="Arial"/>
      <family val="2"/>
    </font>
    <font>
      <b/>
      <sz val="11"/>
      <color theme="3"/>
      <name val="Arial"/>
      <family val="2"/>
    </font>
    <font>
      <b/>
      <sz val="11"/>
      <color theme="0" tint="-0.249977111117893"/>
      <name val="Calibri"/>
      <family val="2"/>
    </font>
    <font>
      <sz val="11"/>
      <color theme="0" tint="-0.249977111117893"/>
      <name val="Calibri"/>
      <family val="2"/>
    </font>
    <font>
      <sz val="11"/>
      <color theme="1"/>
      <name val="Calibri"/>
      <family val="2"/>
    </font>
    <font>
      <b/>
      <vertAlign val="superscript"/>
      <sz val="10"/>
      <color theme="0"/>
      <name val="Arial"/>
      <family val="2"/>
    </font>
    <font>
      <sz val="9"/>
      <color theme="1"/>
      <name val="Arial"/>
      <family val="2"/>
    </font>
    <font>
      <vertAlign val="superscript"/>
      <sz val="10"/>
      <color theme="1"/>
      <name val="Arial"/>
      <family val="2"/>
    </font>
    <font>
      <sz val="11"/>
      <color theme="0"/>
      <name val="Calibri"/>
      <family val="2"/>
    </font>
    <font>
      <b/>
      <vertAlign val="superscript"/>
      <sz val="10"/>
      <color theme="1"/>
      <name val="Arial"/>
      <family val="2"/>
    </font>
    <font>
      <b/>
      <sz val="18"/>
      <color theme="3"/>
      <name val="Cambria"/>
      <family val="2"/>
      <scheme val="major"/>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5"/>
      <color theme="3"/>
      <name val="Calibri"/>
      <family val="2"/>
    </font>
    <font>
      <b/>
      <sz val="13"/>
      <color theme="3"/>
      <name val="Calibri"/>
      <family val="2"/>
    </font>
    <font>
      <sz val="11"/>
      <name val="Calibri"/>
      <family val="2"/>
    </font>
    <font>
      <sz val="10"/>
      <color theme="1" tint="0.249977111117893"/>
      <name val="Arial"/>
      <family val="2"/>
    </font>
    <font>
      <sz val="10"/>
      <color theme="0"/>
      <name val="Arial"/>
      <family val="2"/>
    </font>
    <font>
      <b/>
      <sz val="10"/>
      <color theme="1"/>
      <name val="Calibri"/>
      <family val="2"/>
    </font>
    <font>
      <b/>
      <sz val="11"/>
      <name val="Calibri"/>
      <family val="2"/>
    </font>
    <font>
      <i/>
      <sz val="9"/>
      <color theme="1"/>
      <name val="Arial"/>
      <family val="2"/>
    </font>
    <font>
      <b/>
      <sz val="10"/>
      <name val="Arial"/>
      <family val="2"/>
    </font>
    <font>
      <b/>
      <sz val="9"/>
      <color theme="1"/>
      <name val="Arial"/>
      <family val="2"/>
    </font>
    <font>
      <b/>
      <sz val="16"/>
      <color theme="1" tint="0.249977111117893"/>
      <name val="Arial"/>
      <family val="2"/>
    </font>
    <font>
      <b/>
      <sz val="11"/>
      <color theme="1" tint="0.249977111117893"/>
      <name val="Arial"/>
      <family val="2"/>
    </font>
    <font>
      <sz val="8"/>
      <color theme="1"/>
      <name val="Arial"/>
      <family val="2"/>
    </font>
    <font>
      <b/>
      <sz val="9"/>
      <color theme="0"/>
      <name val="Calibri"/>
      <family val="2"/>
    </font>
    <font>
      <b/>
      <vertAlign val="superscript"/>
      <sz val="9"/>
      <color theme="0"/>
      <name val="Arial"/>
      <family val="2"/>
    </font>
    <font>
      <sz val="10"/>
      <color theme="0" tint="-0.499984740745262"/>
      <name val="Arial"/>
      <family val="2"/>
    </font>
    <font>
      <b/>
      <sz val="11"/>
      <name val="Arial"/>
      <family val="2"/>
    </font>
    <font>
      <b/>
      <u/>
      <sz val="9"/>
      <color rgb="FF0070C0"/>
      <name val="Arial"/>
      <family val="2"/>
    </font>
    <font>
      <u/>
      <sz val="9"/>
      <name val="Arial"/>
      <family val="2"/>
    </font>
    <font>
      <sz val="9"/>
      <name val="Arial"/>
      <family val="2"/>
    </font>
    <font>
      <sz val="10"/>
      <color rgb="FFFF0000"/>
      <name val="Arial"/>
      <family val="2"/>
    </font>
    <font>
      <sz val="11"/>
      <name val="Arial"/>
      <family val="2"/>
    </font>
    <font>
      <sz val="11"/>
      <color theme="0"/>
      <name val="Calibri"/>
      <family val="2"/>
      <scheme val="minor"/>
    </font>
    <font>
      <u/>
      <sz val="9"/>
      <color theme="0"/>
      <name val="Arial"/>
      <family val="2"/>
    </font>
    <font>
      <b/>
      <sz val="11"/>
      <color theme="0"/>
      <name val="Calibri"/>
      <family val="2"/>
      <scheme val="minor"/>
    </font>
  </fonts>
  <fills count="42">
    <fill>
      <patternFill patternType="none"/>
    </fill>
    <fill>
      <patternFill patternType="gray125"/>
    </fill>
    <fill>
      <patternFill patternType="solid">
        <fgColor rgb="FFFFCC99"/>
      </patternFill>
    </fill>
    <fill>
      <patternFill patternType="solid">
        <fgColor theme="0"/>
        <bgColor indexed="64"/>
      </patternFill>
    </fill>
    <fill>
      <patternFill patternType="solid">
        <fgColor theme="1" tint="0.24994659260841701"/>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AEAEA"/>
        <bgColor indexed="64"/>
      </patternFill>
    </fill>
    <fill>
      <patternFill patternType="solid">
        <fgColor theme="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theme="0" tint="-0.14999847407452621"/>
      </patternFill>
    </fill>
  </fills>
  <borders count="46">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right/>
      <top style="thin">
        <color theme="0" tint="-0.499984740745262"/>
      </top>
      <bottom style="thin">
        <color theme="0" tint="-0.499984740745262"/>
      </bottom>
      <diagonal/>
    </border>
    <border>
      <left/>
      <right/>
      <top/>
      <bottom style="thin">
        <color theme="0" tint="-0.499984740745262"/>
      </bottom>
      <diagonal/>
    </border>
    <border>
      <left/>
      <right/>
      <top style="thin">
        <color theme="1" tint="0.499984740745262"/>
      </top>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top style="thin">
        <color theme="1" tint="0.499984740745262"/>
      </top>
      <bottom style="thin">
        <color theme="0" tint="-0.499984740745262"/>
      </bottom>
      <diagonal/>
    </border>
    <border>
      <left/>
      <right style="thin">
        <color theme="1" tint="0.499984740745262"/>
      </right>
      <top style="thin">
        <color theme="1" tint="0.499984740745262"/>
      </top>
      <bottom style="thin">
        <color theme="0" tint="-0.499984740745262"/>
      </bottom>
      <diagonal/>
    </border>
    <border>
      <left style="thin">
        <color theme="1" tint="0.499984740745262"/>
      </left>
      <right/>
      <top style="thin">
        <color theme="0" tint="-0.499984740745262"/>
      </top>
      <bottom style="thin">
        <color theme="0" tint="-0.499984740745262"/>
      </bottom>
      <diagonal/>
    </border>
    <border>
      <left/>
      <right style="thin">
        <color theme="1" tint="0.499984740745262"/>
      </right>
      <top style="thin">
        <color theme="0" tint="-0.499984740745262"/>
      </top>
      <bottom style="thin">
        <color theme="0"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right/>
      <top style="thin">
        <color theme="0" tint="-0.499984740745262"/>
      </top>
      <bottom/>
      <diagonal/>
    </border>
    <border>
      <left/>
      <right style="thin">
        <color theme="1" tint="0.499984740745262"/>
      </right>
      <top style="thin">
        <color theme="0" tint="-0.499984740745262"/>
      </top>
      <bottom/>
      <diagonal/>
    </border>
    <border>
      <left style="thin">
        <color theme="1" tint="0.499984740745262"/>
      </left>
      <right/>
      <top style="thin">
        <color theme="0" tint="-0.499984740745262"/>
      </top>
      <bottom style="thin">
        <color theme="1" tint="0.499984740745262"/>
      </bottom>
      <diagonal/>
    </border>
    <border>
      <left/>
      <right/>
      <top style="thin">
        <color theme="0" tint="-0.499984740745262"/>
      </top>
      <bottom style="thin">
        <color theme="1" tint="0.499984740745262"/>
      </bottom>
      <diagonal/>
    </border>
    <border>
      <left/>
      <right/>
      <top/>
      <bottom style="thick">
        <color theme="4" tint="0.499984740745262"/>
      </bottom>
      <diagonal/>
    </border>
    <border>
      <left/>
      <right style="thin">
        <color theme="0" tint="-0.499984740745262"/>
      </right>
      <top/>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1" tint="0.499984740745262"/>
      </top>
      <bottom/>
      <diagonal/>
    </border>
    <border>
      <left/>
      <right style="thin">
        <color theme="0" tint="-0.499984740745262"/>
      </right>
      <top/>
      <bottom style="thin">
        <color theme="1" tint="0.499984740745262"/>
      </bottom>
      <diagonal/>
    </border>
    <border>
      <left/>
      <right style="thin">
        <color theme="0" tint="-0.499984740745262"/>
      </right>
      <top style="thin">
        <color theme="1"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1" tint="0.499984740745262"/>
      </top>
      <bottom style="thin">
        <color theme="1" tint="0.499984740745262"/>
      </bottom>
      <diagonal/>
    </border>
    <border>
      <left/>
      <right/>
      <top/>
      <bottom style="thin">
        <color indexed="64"/>
      </bottom>
      <diagonal/>
    </border>
    <border>
      <left/>
      <right/>
      <top style="thin">
        <color theme="0" tint="-0.14999847407452621"/>
      </top>
      <bottom/>
      <diagonal/>
    </border>
    <border>
      <left/>
      <right/>
      <top/>
      <bottom style="thin">
        <color theme="0" tint="-0.34998626667073579"/>
      </bottom>
      <diagonal/>
    </border>
    <border>
      <left style="thin">
        <color indexed="64"/>
      </left>
      <right style="thin">
        <color indexed="64"/>
      </right>
      <top/>
      <bottom style="thin">
        <color indexed="64"/>
      </bottom>
      <diagonal/>
    </border>
  </borders>
  <cellStyleXfs count="132">
    <xf numFmtId="0" fontId="0" fillId="0" borderId="0"/>
    <xf numFmtId="0" fontId="70" fillId="0" borderId="1" applyNumberFormat="0" applyFill="0" applyBorder="0" applyProtection="0">
      <alignment vertical="center"/>
    </xf>
    <xf numFmtId="0" fontId="55" fillId="0" borderId="0"/>
    <xf numFmtId="0" fontId="80" fillId="0" borderId="0" applyNumberFormat="0" applyFill="0" applyBorder="0" applyAlignment="0" applyProtection="0"/>
    <xf numFmtId="0" fontId="57" fillId="0" borderId="0"/>
    <xf numFmtId="0" fontId="59" fillId="0" borderId="0"/>
    <xf numFmtId="43" fontId="59"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3" fillId="2" borderId="2" applyNumberFormat="0" applyAlignment="0" applyProtection="0"/>
    <xf numFmtId="0" fontId="62" fillId="0" borderId="0"/>
    <xf numFmtId="0" fontId="62" fillId="0" borderId="0"/>
    <xf numFmtId="0" fontId="55" fillId="0" borderId="0"/>
    <xf numFmtId="0" fontId="55" fillId="0" borderId="0"/>
    <xf numFmtId="0" fontId="59" fillId="0" borderId="0"/>
    <xf numFmtId="0" fontId="61" fillId="0" borderId="0"/>
    <xf numFmtId="0" fontId="6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2" fillId="0" borderId="0"/>
    <xf numFmtId="0" fontId="61" fillId="0" borderId="0"/>
    <xf numFmtId="0" fontId="60" fillId="0" borderId="0"/>
    <xf numFmtId="0" fontId="60" fillId="0" borderId="0"/>
    <xf numFmtId="0" fontId="60" fillId="0" borderId="0"/>
    <xf numFmtId="0" fontId="62"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2" fillId="0" borderId="0"/>
    <xf numFmtId="41" fontId="59" fillId="0" borderId="3"/>
    <xf numFmtId="164" fontId="64" fillId="3" borderId="0"/>
    <xf numFmtId="0" fontId="65" fillId="0" borderId="0" applyNumberFormat="0" applyFill="0" applyBorder="0" applyAlignment="0" applyProtection="0"/>
    <xf numFmtId="44" fontId="62" fillId="0" borderId="0" applyFont="0" applyFill="0" applyBorder="0" applyAlignment="0" applyProtection="0"/>
    <xf numFmtId="0" fontId="61" fillId="0" borderId="0"/>
    <xf numFmtId="0" fontId="60" fillId="0" borderId="0"/>
    <xf numFmtId="0" fontId="62" fillId="0" borderId="0"/>
    <xf numFmtId="0" fontId="62" fillId="0" borderId="0"/>
    <xf numFmtId="0" fontId="62" fillId="0" borderId="0"/>
    <xf numFmtId="43"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68" fillId="0" borderId="0" applyNumberForma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57" fillId="0" borderId="0"/>
    <xf numFmtId="0" fontId="60" fillId="0" borderId="0"/>
    <xf numFmtId="0" fontId="55" fillId="0" borderId="0"/>
    <xf numFmtId="0" fontId="56" fillId="0" borderId="0"/>
    <xf numFmtId="165" fontId="56" fillId="0" borderId="0" applyFont="0" applyFill="0" applyBorder="0" applyAlignment="0" applyProtection="0"/>
    <xf numFmtId="0" fontId="60" fillId="0" borderId="0"/>
    <xf numFmtId="0" fontId="66" fillId="0" borderId="0"/>
    <xf numFmtId="0" fontId="69" fillId="4" borderId="4" applyNumberFormat="0" applyProtection="0">
      <alignment vertical="center"/>
    </xf>
    <xf numFmtId="0" fontId="75" fillId="0" borderId="0">
      <alignment vertical="center"/>
      <protection locked="0"/>
    </xf>
    <xf numFmtId="0" fontId="74" fillId="0" borderId="0" applyNumberFormat="0" applyFill="0" applyAlignment="0" applyProtection="0"/>
    <xf numFmtId="0" fontId="76" fillId="5" borderId="6"/>
    <xf numFmtId="0" fontId="58" fillId="0" borderId="0" applyNumberFormat="0" applyFont="0" applyFill="0" applyBorder="0" applyAlignment="0" applyProtection="0"/>
    <xf numFmtId="0" fontId="75" fillId="3" borderId="0">
      <alignment vertical="center"/>
      <protection locked="0"/>
    </xf>
    <xf numFmtId="0" fontId="82" fillId="0" borderId="1" applyNumberFormat="0" applyFill="0" applyBorder="0" applyAlignment="0" applyProtection="0"/>
    <xf numFmtId="0" fontId="84" fillId="0" borderId="23" applyNumberFormat="0" applyFill="0" applyBorder="0" applyAlignment="0" applyProtection="0"/>
    <xf numFmtId="0" fontId="83" fillId="0" borderId="0" applyNumberFormat="0" applyFill="0" applyBorder="0" applyAlignment="0" applyProtection="0"/>
    <xf numFmtId="0" fontId="80" fillId="0" borderId="0" applyNumberFormat="0" applyFill="0" applyBorder="0" applyAlignment="0" applyProtection="0"/>
    <xf numFmtId="0" fontId="75" fillId="0" borderId="0">
      <alignment vertical="center"/>
      <protection locked="0"/>
    </xf>
    <xf numFmtId="0" fontId="58" fillId="0" borderId="0" applyNumberFormat="0" applyFill="0" applyBorder="0" applyAlignment="0" applyProtection="0"/>
    <xf numFmtId="0" fontId="89" fillId="0" borderId="0" applyNumberFormat="0" applyFill="0" applyBorder="0" applyAlignment="0" applyProtection="0"/>
    <xf numFmtId="0" fontId="80" fillId="0" borderId="0" applyNumberFormat="0" applyFill="0" applyBorder="0" applyAlignment="0" applyProtection="0"/>
    <xf numFmtId="0" fontId="93" fillId="0" borderId="0" applyNumberFormat="0" applyFill="0" applyBorder="0" applyAlignment="0" applyProtection="0"/>
    <xf numFmtId="0" fontId="94" fillId="0" borderId="35" applyNumberFormat="0" applyFill="0" applyAlignment="0" applyProtection="0"/>
    <xf numFmtId="0" fontId="94" fillId="0" borderId="0" applyNumberFormat="0" applyFill="0" applyBorder="0" applyAlignment="0" applyProtection="0"/>
    <xf numFmtId="0" fontId="95" fillId="6" borderId="0" applyNumberFormat="0" applyBorder="0" applyAlignment="0" applyProtection="0"/>
    <xf numFmtId="0" fontId="96" fillId="7" borderId="0" applyNumberFormat="0" applyBorder="0" applyAlignment="0" applyProtection="0"/>
    <xf numFmtId="0" fontId="97" fillId="8" borderId="0" applyNumberFormat="0" applyBorder="0" applyAlignment="0" applyProtection="0"/>
    <xf numFmtId="0" fontId="98" fillId="2" borderId="2" applyNumberFormat="0" applyAlignment="0" applyProtection="0"/>
    <xf numFmtId="0" fontId="99" fillId="9" borderId="36" applyNumberFormat="0" applyAlignment="0" applyProtection="0"/>
    <xf numFmtId="0" fontId="100" fillId="9" borderId="2" applyNumberFormat="0" applyAlignment="0" applyProtection="0"/>
    <xf numFmtId="0" fontId="101" fillId="0" borderId="37" applyNumberFormat="0" applyFill="0" applyAlignment="0" applyProtection="0"/>
    <xf numFmtId="0" fontId="102" fillId="10" borderId="38" applyNumberFormat="0" applyAlignment="0" applyProtection="0"/>
    <xf numFmtId="0" fontId="103" fillId="0" borderId="0" applyNumberFormat="0" applyFill="0" applyBorder="0" applyAlignment="0" applyProtection="0"/>
    <xf numFmtId="0" fontId="87" fillId="11" borderId="39" applyNumberFormat="0" applyFont="0" applyAlignment="0" applyProtection="0"/>
    <xf numFmtId="0" fontId="104" fillId="0" borderId="0" applyNumberFormat="0" applyFill="0" applyBorder="0" applyAlignment="0" applyProtection="0"/>
    <xf numFmtId="0" fontId="77" fillId="0" borderId="40" applyNumberFormat="0" applyFill="0" applyAlignment="0" applyProtection="0"/>
    <xf numFmtId="0" fontId="91" fillId="12"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91" fillId="15" borderId="0" applyNumberFormat="0" applyBorder="0" applyAlignment="0" applyProtection="0"/>
    <xf numFmtId="0" fontId="91" fillId="16"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91" fillId="19" borderId="0" applyNumberFormat="0" applyBorder="0" applyAlignment="0" applyProtection="0"/>
    <xf numFmtId="0" fontId="91" fillId="20"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91" fillId="23" borderId="0" applyNumberFormat="0" applyBorder="0" applyAlignment="0" applyProtection="0"/>
    <xf numFmtId="0" fontId="91" fillId="24"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91" fillId="27" borderId="0" applyNumberFormat="0" applyBorder="0" applyAlignment="0" applyProtection="0"/>
    <xf numFmtId="0" fontId="91" fillId="28"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91" fillId="31" borderId="0" applyNumberFormat="0" applyBorder="0" applyAlignment="0" applyProtection="0"/>
    <xf numFmtId="0" fontId="91"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91" fillId="35" borderId="0" applyNumberFormat="0" applyBorder="0" applyAlignment="0" applyProtection="0"/>
    <xf numFmtId="0" fontId="105" fillId="0" borderId="1" applyNumberFormat="0" applyFill="0" applyAlignment="0" applyProtection="0"/>
    <xf numFmtId="0" fontId="106" fillId="0" borderId="23" applyNumberFormat="0" applyFill="0" applyAlignment="0" applyProtection="0"/>
    <xf numFmtId="0" fontId="70" fillId="0" borderId="1" applyNumberFormat="0" applyFill="0" applyBorder="0" applyProtection="0">
      <alignment vertical="center"/>
    </xf>
    <xf numFmtId="0" fontId="74" fillId="0" borderId="0" applyNumberFormat="0" applyFill="0" applyAlignment="0" applyProtection="0"/>
    <xf numFmtId="0" fontId="57" fillId="0" borderId="0"/>
    <xf numFmtId="0" fontId="81" fillId="0" borderId="0" applyNumberFormat="0" applyFill="0" applyBorder="0" applyAlignment="0" applyProtection="0"/>
    <xf numFmtId="0" fontId="81" fillId="0" borderId="0" applyNumberFormat="0" applyFill="0" applyBorder="0" applyAlignment="0" applyProtection="0"/>
    <xf numFmtId="9" fontId="87" fillId="0" borderId="0" applyFont="0" applyFill="0" applyBorder="0" applyAlignment="0" applyProtection="0"/>
    <xf numFmtId="0" fontId="52" fillId="0" borderId="0" applyNumberFormat="0" applyFill="0" applyBorder="0" applyAlignment="0" applyProtection="0"/>
    <xf numFmtId="0" fontId="20" fillId="0" borderId="0"/>
  </cellStyleXfs>
  <cellXfs count="1004">
    <xf numFmtId="0" fontId="0" fillId="0" borderId="0" xfId="0"/>
    <xf numFmtId="0" fontId="0" fillId="3" borderId="0" xfId="0" applyFill="1" applyAlignment="1"/>
    <xf numFmtId="0" fontId="67" fillId="3" borderId="0" xfId="0" applyFont="1" applyFill="1" applyBorder="1" applyAlignment="1"/>
    <xf numFmtId="0" fontId="62" fillId="0" borderId="0" xfId="12"/>
    <xf numFmtId="0" fontId="70" fillId="3" borderId="0" xfId="1" applyFill="1" applyBorder="1">
      <alignment vertical="center"/>
    </xf>
    <xf numFmtId="0" fontId="0" fillId="3" borderId="0" xfId="0" applyFill="1"/>
    <xf numFmtId="0" fontId="62" fillId="3" borderId="0" xfId="12" applyFill="1" applyAlignment="1">
      <alignment wrapText="1"/>
    </xf>
    <xf numFmtId="0" fontId="62" fillId="3" borderId="0" xfId="12" applyFill="1"/>
    <xf numFmtId="0" fontId="69" fillId="4" borderId="4" xfId="69" applyAlignment="1">
      <alignment horizontal="center" vertical="center"/>
    </xf>
    <xf numFmtId="0" fontId="77" fillId="0" borderId="0" xfId="0" applyFont="1"/>
    <xf numFmtId="0" fontId="69" fillId="4" borderId="4" xfId="69">
      <alignment vertical="center"/>
    </xf>
    <xf numFmtId="0" fontId="62" fillId="0" borderId="0" xfId="36"/>
    <xf numFmtId="0" fontId="62" fillId="0" borderId="0" xfId="0" applyFont="1" applyBorder="1"/>
    <xf numFmtId="0" fontId="62" fillId="0" borderId="0" xfId="0" applyFont="1" applyBorder="1" applyAlignment="1">
      <alignment horizontal="left"/>
    </xf>
    <xf numFmtId="0" fontId="62" fillId="0" borderId="5" xfId="0" applyFont="1" applyBorder="1"/>
    <xf numFmtId="0" fontId="76" fillId="5" borderId="6" xfId="72"/>
    <xf numFmtId="0" fontId="62" fillId="0" borderId="7" xfId="0" applyFont="1" applyBorder="1"/>
    <xf numFmtId="166" fontId="62" fillId="0" borderId="0" xfId="0" applyNumberFormat="1" applyFont="1" applyBorder="1"/>
    <xf numFmtId="0" fontId="69" fillId="4" borderId="4" xfId="69" applyBorder="1" applyAlignment="1">
      <alignment horizontal="center" vertical="center"/>
    </xf>
    <xf numFmtId="0" fontId="69" fillId="4" borderId="12" xfId="69" applyBorder="1" applyAlignment="1">
      <alignment horizontal="center" vertical="center"/>
    </xf>
    <xf numFmtId="0" fontId="76" fillId="5" borderId="6" xfId="72" applyBorder="1"/>
    <xf numFmtId="0" fontId="76" fillId="5" borderId="14" xfId="72" applyFont="1" applyBorder="1"/>
    <xf numFmtId="0" fontId="76" fillId="5" borderId="6" xfId="72" applyFont="1" applyBorder="1"/>
    <xf numFmtId="0" fontId="76" fillId="5" borderId="0" xfId="72" applyFont="1" applyBorder="1"/>
    <xf numFmtId="0" fontId="62" fillId="5" borderId="6" xfId="72" applyFont="1" applyBorder="1"/>
    <xf numFmtId="166" fontId="62" fillId="0" borderId="15" xfId="0" applyNumberFormat="1" applyFont="1" applyBorder="1"/>
    <xf numFmtId="0" fontId="79" fillId="4" borderId="4" xfId="69" applyFont="1" applyAlignment="1">
      <alignment horizontal="center" vertical="center" wrapText="1"/>
    </xf>
    <xf numFmtId="0" fontId="79" fillId="4" borderId="12" xfId="69" applyFont="1" applyBorder="1" applyAlignment="1">
      <alignment horizontal="center" vertical="center"/>
    </xf>
    <xf numFmtId="0" fontId="69" fillId="4" borderId="4" xfId="69" applyBorder="1" applyAlignment="1">
      <alignment vertical="center"/>
    </xf>
    <xf numFmtId="0" fontId="62" fillId="0" borderId="0" xfId="12" applyBorder="1" applyAlignment="1">
      <alignment vertical="center"/>
    </xf>
    <xf numFmtId="0" fontId="76" fillId="5" borderId="6" xfId="72" applyBorder="1" applyAlignment="1">
      <alignment vertical="center"/>
    </xf>
    <xf numFmtId="0" fontId="62" fillId="0" borderId="0" xfId="12" applyFont="1" applyFill="1" applyBorder="1" applyAlignment="1">
      <alignment vertical="center"/>
    </xf>
    <xf numFmtId="0" fontId="62" fillId="0" borderId="0" xfId="0" applyFont="1" applyBorder="1" applyAlignment="1">
      <alignment vertical="center"/>
    </xf>
    <xf numFmtId="0" fontId="62" fillId="0" borderId="7" xfId="0" applyFont="1" applyBorder="1" applyAlignment="1">
      <alignment vertical="center"/>
    </xf>
    <xf numFmtId="0" fontId="76" fillId="5" borderId="6" xfId="72" applyBorder="1" applyAlignment="1">
      <alignment horizontal="right" vertical="center"/>
    </xf>
    <xf numFmtId="166" fontId="76" fillId="5" borderId="6" xfId="72" applyNumberFormat="1" applyFont="1" applyBorder="1"/>
    <xf numFmtId="0" fontId="80" fillId="0" borderId="0" xfId="3"/>
    <xf numFmtId="0" fontId="0" fillId="0" borderId="0" xfId="0" applyBorder="1" applyAlignment="1"/>
    <xf numFmtId="0" fontId="77" fillId="0" borderId="0" xfId="0" applyFont="1" applyFill="1" applyBorder="1"/>
    <xf numFmtId="0" fontId="0" fillId="0" borderId="0" xfId="0"/>
    <xf numFmtId="0" fontId="62" fillId="0" borderId="0" xfId="12"/>
    <xf numFmtId="166" fontId="62" fillId="0" borderId="0" xfId="12" applyNumberFormat="1"/>
    <xf numFmtId="0" fontId="77" fillId="0" borderId="0" xfId="0" applyFont="1"/>
    <xf numFmtId="0" fontId="69" fillId="4" borderId="4" xfId="69" applyAlignment="1">
      <alignment horizontal="center" vertical="center"/>
    </xf>
    <xf numFmtId="0" fontId="85" fillId="0" borderId="0" xfId="0" applyFont="1"/>
    <xf numFmtId="0" fontId="86" fillId="0" borderId="0" xfId="0" applyFont="1"/>
    <xf numFmtId="0" fontId="0" fillId="0" borderId="0" xfId="0" applyFill="1" applyBorder="1"/>
    <xf numFmtId="0" fontId="0" fillId="0" borderId="0" xfId="0" applyBorder="1"/>
    <xf numFmtId="0" fontId="0" fillId="0" borderId="0" xfId="0" applyAlignment="1">
      <alignment horizontal="left"/>
    </xf>
    <xf numFmtId="0" fontId="62" fillId="0" borderId="0" xfId="0" applyFont="1" applyBorder="1"/>
    <xf numFmtId="0" fontId="76" fillId="5" borderId="6" xfId="72"/>
    <xf numFmtId="166" fontId="62" fillId="0" borderId="0" xfId="0" applyNumberFormat="1" applyFont="1" applyBorder="1"/>
    <xf numFmtId="0" fontId="62" fillId="0" borderId="0" xfId="0" applyFont="1" applyFill="1" applyBorder="1"/>
    <xf numFmtId="3" fontId="0" fillId="0" borderId="0" xfId="0" applyNumberFormat="1"/>
    <xf numFmtId="3" fontId="62" fillId="0" borderId="0" xfId="12" applyNumberFormat="1"/>
    <xf numFmtId="0" fontId="62" fillId="0" borderId="0" xfId="12" applyFill="1" applyBorder="1" applyAlignment="1">
      <alignment horizontal="right" vertical="center"/>
    </xf>
    <xf numFmtId="0" fontId="62" fillId="0" borderId="0" xfId="0" applyFont="1" applyFill="1" applyBorder="1" applyAlignment="1">
      <alignment horizontal="right" vertical="center"/>
    </xf>
    <xf numFmtId="0" fontId="62" fillId="0" borderId="0" xfId="12" applyFill="1"/>
    <xf numFmtId="0" fontId="62" fillId="0" borderId="5" xfId="0" applyFont="1" applyFill="1" applyBorder="1"/>
    <xf numFmtId="0" fontId="89" fillId="0" borderId="0" xfId="81"/>
    <xf numFmtId="0" fontId="80" fillId="3" borderId="0" xfId="3" applyFill="1"/>
    <xf numFmtId="0" fontId="62" fillId="3" borderId="0" xfId="0" applyFont="1" applyFill="1" applyBorder="1"/>
    <xf numFmtId="0" fontId="89" fillId="3" borderId="0" xfId="81" applyFill="1"/>
    <xf numFmtId="0" fontId="0" fillId="0" borderId="0" xfId="0" applyAlignment="1"/>
    <xf numFmtId="0" fontId="80" fillId="3" borderId="0" xfId="3" applyFill="1" applyBorder="1"/>
    <xf numFmtId="0" fontId="0" fillId="3" borderId="0" xfId="0" applyFill="1" applyBorder="1"/>
    <xf numFmtId="0" fontId="89" fillId="3" borderId="0" xfId="81" applyFill="1" applyBorder="1"/>
    <xf numFmtId="0" fontId="67" fillId="3" borderId="0" xfId="0" applyFont="1" applyFill="1" applyBorder="1" applyAlignment="1">
      <alignment vertical="top"/>
    </xf>
    <xf numFmtId="0" fontId="67" fillId="3" borderId="0" xfId="0" applyFont="1" applyFill="1" applyBorder="1"/>
    <xf numFmtId="0" fontId="77" fillId="3" borderId="0" xfId="0" applyFont="1" applyFill="1" applyBorder="1"/>
    <xf numFmtId="0" fontId="89" fillId="3" borderId="0" xfId="81" applyFill="1" applyBorder="1" applyAlignment="1">
      <alignment vertical="center"/>
    </xf>
    <xf numFmtId="0" fontId="69" fillId="4" borderId="4" xfId="69" applyProtection="1">
      <alignment vertical="center"/>
      <protection locked="0"/>
    </xf>
    <xf numFmtId="0" fontId="0" fillId="0" borderId="0" xfId="0" applyAlignment="1">
      <alignment vertical="top"/>
    </xf>
    <xf numFmtId="0" fontId="77" fillId="3" borderId="0" xfId="0" applyFont="1" applyFill="1"/>
    <xf numFmtId="0" fontId="0" fillId="0" borderId="0" xfId="0"/>
    <xf numFmtId="0" fontId="0" fillId="3" borderId="0" xfId="0" applyFill="1" applyAlignment="1"/>
    <xf numFmtId="0" fontId="70" fillId="3" borderId="0" xfId="1" applyFill="1" applyBorder="1">
      <alignment vertical="center"/>
    </xf>
    <xf numFmtId="0" fontId="0" fillId="0" borderId="0" xfId="0" applyFill="1"/>
    <xf numFmtId="0" fontId="69" fillId="4" borderId="4" xfId="69" applyBorder="1" applyAlignment="1">
      <alignment horizontal="center" vertical="center"/>
    </xf>
    <xf numFmtId="0" fontId="69" fillId="4" borderId="12" xfId="69" applyBorder="1" applyAlignment="1">
      <alignment horizontal="center" vertical="center"/>
    </xf>
    <xf numFmtId="0" fontId="76" fillId="5" borderId="6" xfId="72" applyBorder="1"/>
    <xf numFmtId="0" fontId="76" fillId="5" borderId="6" xfId="72" applyFont="1" applyBorder="1"/>
    <xf numFmtId="0" fontId="62" fillId="0" borderId="0" xfId="0" applyFont="1" applyFill="1" applyBorder="1"/>
    <xf numFmtId="0" fontId="62" fillId="0" borderId="7" xfId="0" applyFont="1" applyFill="1" applyBorder="1"/>
    <xf numFmtId="166" fontId="62" fillId="0" borderId="0" xfId="0" applyNumberFormat="1" applyFont="1" applyFill="1" applyBorder="1"/>
    <xf numFmtId="0" fontId="0" fillId="0" borderId="0" xfId="0" applyFill="1" applyBorder="1"/>
    <xf numFmtId="0" fontId="0" fillId="0" borderId="0" xfId="0" applyBorder="1"/>
    <xf numFmtId="0" fontId="62" fillId="0" borderId="0" xfId="72" applyFont="1" applyFill="1" applyBorder="1"/>
    <xf numFmtId="0" fontId="80" fillId="3" borderId="0" xfId="3" applyFill="1"/>
    <xf numFmtId="0" fontId="62" fillId="3" borderId="0" xfId="0" applyFont="1" applyFill="1" applyBorder="1"/>
    <xf numFmtId="0" fontId="76" fillId="5" borderId="6" xfId="72"/>
    <xf numFmtId="166" fontId="62" fillId="0" borderId="7" xfId="0" applyNumberFormat="1" applyFont="1" applyFill="1" applyBorder="1"/>
    <xf numFmtId="0" fontId="62" fillId="5" borderId="0" xfId="72" applyFont="1" applyBorder="1"/>
    <xf numFmtId="166" fontId="62" fillId="0" borderId="24" xfId="0" applyNumberFormat="1" applyFont="1" applyBorder="1"/>
    <xf numFmtId="0" fontId="62" fillId="3" borderId="0" xfId="12" applyNumberFormat="1" applyFont="1" applyFill="1" applyBorder="1" applyAlignment="1">
      <alignment vertical="top" wrapText="1"/>
    </xf>
    <xf numFmtId="0" fontId="69" fillId="4" borderId="4" xfId="69" applyFont="1" applyFill="1" applyBorder="1" applyAlignment="1">
      <alignment vertical="center"/>
    </xf>
    <xf numFmtId="0" fontId="60" fillId="3" borderId="0" xfId="2" applyNumberFormat="1" applyFont="1" applyFill="1" applyBorder="1" applyAlignment="1">
      <alignment vertical="top" wrapText="1"/>
    </xf>
    <xf numFmtId="0" fontId="79" fillId="4" borderId="4" xfId="69" applyFont="1" applyBorder="1" applyAlignment="1">
      <alignment horizontal="center" vertical="center"/>
    </xf>
    <xf numFmtId="0" fontId="77" fillId="0" borderId="0" xfId="0" applyFont="1"/>
    <xf numFmtId="0" fontId="80" fillId="3" borderId="0" xfId="3" applyFill="1" applyAlignment="1">
      <alignment vertical="top" wrapText="1"/>
    </xf>
    <xf numFmtId="0" fontId="70" fillId="3" borderId="0" xfId="1" applyFill="1" applyBorder="1" applyAlignment="1">
      <alignment vertical="top" wrapText="1"/>
    </xf>
    <xf numFmtId="0" fontId="0" fillId="0" borderId="0" xfId="0" applyAlignment="1">
      <alignment vertical="top" wrapText="1"/>
    </xf>
    <xf numFmtId="0" fontId="0" fillId="0" borderId="0" xfId="0"/>
    <xf numFmtId="0" fontId="0" fillId="3" borderId="0" xfId="0" applyFill="1"/>
    <xf numFmtId="0" fontId="81" fillId="3" borderId="0" xfId="3" applyFont="1" applyFill="1" applyBorder="1" applyAlignment="1">
      <alignment vertical="top" wrapText="1"/>
    </xf>
    <xf numFmtId="0" fontId="62" fillId="3" borderId="0" xfId="0" applyFont="1" applyFill="1" applyBorder="1" applyAlignment="1">
      <alignment vertical="top" wrapText="1"/>
    </xf>
    <xf numFmtId="0" fontId="62" fillId="3" borderId="0" xfId="0" applyFont="1" applyFill="1" applyBorder="1" applyAlignment="1">
      <alignment vertical="top"/>
    </xf>
    <xf numFmtId="0" fontId="0" fillId="0" borderId="0" xfId="0" applyBorder="1"/>
    <xf numFmtId="0" fontId="76" fillId="5" borderId="6" xfId="72"/>
    <xf numFmtId="0" fontId="0" fillId="0" borderId="0" xfId="0" applyBorder="1" applyAlignment="1">
      <alignment vertical="top"/>
    </xf>
    <xf numFmtId="0" fontId="79" fillId="4" borderId="4" xfId="69" applyFont="1" applyAlignment="1">
      <alignment horizontal="center" vertical="center"/>
    </xf>
    <xf numFmtId="0" fontId="79" fillId="4" borderId="21" xfId="69" applyFont="1" applyBorder="1" applyAlignment="1">
      <alignment horizontal="center" vertical="center"/>
    </xf>
    <xf numFmtId="0" fontId="79" fillId="4" borderId="22" xfId="69" applyFont="1" applyBorder="1" applyAlignment="1">
      <alignment horizontal="center" vertical="center"/>
    </xf>
    <xf numFmtId="0" fontId="0" fillId="3" borderId="0" xfId="0" applyFill="1" applyBorder="1" applyAlignment="1"/>
    <xf numFmtId="0" fontId="62" fillId="3" borderId="0" xfId="12" applyFill="1" applyBorder="1" applyAlignment="1">
      <alignment vertical="top" wrapText="1"/>
    </xf>
    <xf numFmtId="0" fontId="0" fillId="0" borderId="0" xfId="0" applyBorder="1" applyAlignment="1">
      <alignment horizontal="left" vertical="top"/>
    </xf>
    <xf numFmtId="0" fontId="62" fillId="0" borderId="0" xfId="12" applyBorder="1"/>
    <xf numFmtId="0" fontId="69" fillId="4" borderId="4" xfId="69" applyAlignment="1">
      <alignment horizontal="center" vertical="center"/>
    </xf>
    <xf numFmtId="2" fontId="0" fillId="0" borderId="0" xfId="0" applyNumberFormat="1"/>
    <xf numFmtId="0" fontId="77" fillId="0" borderId="0" xfId="0" applyFont="1" applyBorder="1"/>
    <xf numFmtId="0" fontId="62" fillId="3" borderId="0" xfId="12" applyNumberFormat="1" applyFont="1" applyFill="1" applyBorder="1" applyAlignment="1">
      <alignment vertical="top"/>
    </xf>
    <xf numFmtId="0" fontId="0" fillId="0" borderId="0" xfId="0" applyBorder="1"/>
    <xf numFmtId="0" fontId="0" fillId="0" borderId="0" xfId="0"/>
    <xf numFmtId="166" fontId="0" fillId="0" borderId="0" xfId="0" applyNumberFormat="1"/>
    <xf numFmtId="0" fontId="0" fillId="0" borderId="0" xfId="0" applyProtection="1"/>
    <xf numFmtId="0" fontId="0" fillId="0" borderId="0" xfId="0" applyAlignment="1" applyProtection="1">
      <alignment vertical="top" wrapText="1"/>
    </xf>
    <xf numFmtId="0" fontId="62" fillId="0" borderId="0" xfId="0" applyFont="1" applyProtection="1"/>
    <xf numFmtId="0" fontId="0" fillId="0" borderId="0" xfId="0" applyFill="1" applyBorder="1" applyProtection="1"/>
    <xf numFmtId="0" fontId="62" fillId="0" borderId="0" xfId="0" applyFont="1" applyFill="1" applyBorder="1" applyProtection="1"/>
    <xf numFmtId="0" fontId="0" fillId="0" borderId="0" xfId="0" applyFill="1" applyProtection="1"/>
    <xf numFmtId="0" fontId="0" fillId="3" borderId="13" xfId="0" applyFill="1" applyBorder="1" applyProtection="1">
      <protection locked="0"/>
    </xf>
    <xf numFmtId="0" fontId="0" fillId="3" borderId="6" xfId="0" applyFill="1" applyBorder="1" applyProtection="1">
      <protection locked="0"/>
    </xf>
    <xf numFmtId="0" fontId="62" fillId="3" borderId="6" xfId="0" applyFont="1" applyFill="1" applyBorder="1" applyProtection="1">
      <protection locked="0"/>
    </xf>
    <xf numFmtId="0" fontId="0" fillId="3" borderId="14" xfId="0" applyFill="1" applyBorder="1" applyProtection="1">
      <protection locked="0"/>
    </xf>
    <xf numFmtId="0" fontId="0" fillId="3" borderId="15" xfId="0" applyFill="1" applyBorder="1" applyProtection="1">
      <protection locked="0"/>
    </xf>
    <xf numFmtId="0" fontId="0" fillId="3" borderId="16" xfId="0" applyFill="1" applyBorder="1" applyProtection="1">
      <protection locked="0"/>
    </xf>
    <xf numFmtId="0" fontId="0" fillId="3" borderId="0" xfId="0" applyFill="1" applyBorder="1" applyProtection="1">
      <protection locked="0"/>
    </xf>
    <xf numFmtId="0" fontId="76" fillId="3" borderId="0" xfId="0" applyFont="1" applyFill="1" applyBorder="1" applyProtection="1">
      <protection locked="0"/>
    </xf>
    <xf numFmtId="0" fontId="76" fillId="3" borderId="0" xfId="0" applyFont="1" applyFill="1" applyBorder="1" applyAlignment="1" applyProtection="1">
      <alignment horizontal="center"/>
      <protection locked="0"/>
    </xf>
    <xf numFmtId="0" fontId="62" fillId="36" borderId="6" xfId="0" applyFont="1" applyFill="1" applyBorder="1" applyAlignment="1" applyProtection="1">
      <alignment horizontal="left"/>
      <protection locked="0"/>
    </xf>
    <xf numFmtId="0" fontId="62" fillId="36" borderId="6" xfId="0" applyFont="1" applyFill="1" applyBorder="1" applyProtection="1">
      <protection locked="0"/>
    </xf>
    <xf numFmtId="166" fontId="62" fillId="36" borderId="6" xfId="0" applyNumberFormat="1" applyFont="1" applyFill="1" applyBorder="1" applyProtection="1">
      <protection locked="0"/>
    </xf>
    <xf numFmtId="0" fontId="62" fillId="3" borderId="0" xfId="0" applyFont="1" applyFill="1" applyBorder="1" applyAlignment="1" applyProtection="1">
      <alignment horizontal="left"/>
      <protection locked="0"/>
    </xf>
    <xf numFmtId="0" fontId="62" fillId="3" borderId="0" xfId="0" applyFont="1" applyFill="1" applyBorder="1" applyProtection="1">
      <protection locked="0"/>
    </xf>
    <xf numFmtId="166" fontId="62" fillId="3" borderId="0" xfId="0" applyNumberFormat="1" applyFont="1" applyFill="1" applyBorder="1" applyProtection="1">
      <protection locked="0"/>
    </xf>
    <xf numFmtId="0" fontId="62" fillId="36" borderId="0" xfId="0" applyFont="1" applyFill="1" applyBorder="1" applyAlignment="1" applyProtection="1">
      <alignment horizontal="left"/>
      <protection locked="0"/>
    </xf>
    <xf numFmtId="0" fontId="62" fillId="36" borderId="0" xfId="0" applyFont="1" applyFill="1" applyBorder="1" applyProtection="1">
      <protection locked="0"/>
    </xf>
    <xf numFmtId="166" fontId="62" fillId="36" borderId="0" xfId="0" applyNumberFormat="1" applyFont="1" applyFill="1" applyBorder="1" applyProtection="1">
      <protection locked="0"/>
    </xf>
    <xf numFmtId="0" fontId="62" fillId="36" borderId="7" xfId="0" applyFont="1" applyFill="1" applyBorder="1" applyAlignment="1" applyProtection="1">
      <alignment horizontal="left"/>
      <protection locked="0"/>
    </xf>
    <xf numFmtId="0" fontId="62" fillId="36" borderId="7" xfId="0" applyFont="1" applyFill="1" applyBorder="1" applyProtection="1">
      <protection locked="0"/>
    </xf>
    <xf numFmtId="0" fontId="76" fillId="3" borderId="41" xfId="0" applyFont="1" applyFill="1" applyBorder="1" applyAlignment="1" applyProtection="1">
      <alignment horizontal="left"/>
      <protection locked="0"/>
    </xf>
    <xf numFmtId="0" fontId="76" fillId="3" borderId="41" xfId="0" applyFont="1" applyFill="1" applyBorder="1" applyProtection="1">
      <protection locked="0"/>
    </xf>
    <xf numFmtId="166" fontId="76" fillId="3" borderId="41" xfId="0" applyNumberFormat="1" applyFont="1" applyFill="1" applyBorder="1" applyProtection="1">
      <protection locked="0"/>
    </xf>
    <xf numFmtId="0" fontId="0" fillId="3" borderId="17" xfId="0" applyFill="1" applyBorder="1" applyProtection="1">
      <protection locked="0"/>
    </xf>
    <xf numFmtId="0" fontId="0" fillId="3" borderId="7" xfId="0" applyFill="1" applyBorder="1" applyProtection="1">
      <protection locked="0"/>
    </xf>
    <xf numFmtId="0" fontId="0" fillId="3" borderId="18" xfId="0" applyFill="1" applyBorder="1" applyProtection="1">
      <protection locked="0"/>
    </xf>
    <xf numFmtId="0" fontId="62" fillId="3" borderId="7" xfId="0" applyFont="1" applyFill="1" applyBorder="1" applyProtection="1">
      <protection locked="0"/>
    </xf>
    <xf numFmtId="0" fontId="0" fillId="3" borderId="15" xfId="0" applyFill="1" applyBorder="1" applyAlignment="1" applyProtection="1">
      <alignment vertical="top" wrapText="1"/>
      <protection locked="0"/>
    </xf>
    <xf numFmtId="0" fontId="0" fillId="3" borderId="16" xfId="0" applyFill="1" applyBorder="1" applyAlignment="1" applyProtection="1">
      <alignment vertical="top" wrapText="1"/>
      <protection locked="0"/>
    </xf>
    <xf numFmtId="0" fontId="80" fillId="3" borderId="0" xfId="3" applyFill="1" applyProtection="1">
      <protection locked="0"/>
    </xf>
    <xf numFmtId="0" fontId="89" fillId="3" borderId="0" xfId="81" applyFill="1" applyProtection="1">
      <protection locked="0"/>
    </xf>
    <xf numFmtId="0" fontId="70" fillId="3" borderId="0" xfId="1" applyFill="1" applyBorder="1" applyProtection="1">
      <alignment vertical="center"/>
      <protection locked="0"/>
    </xf>
    <xf numFmtId="0" fontId="0" fillId="3" borderId="0" xfId="0" applyFill="1" applyProtection="1">
      <protection locked="0"/>
    </xf>
    <xf numFmtId="0" fontId="75" fillId="0" borderId="0" xfId="70" applyFill="1" applyBorder="1" applyAlignment="1">
      <alignment vertical="top" wrapText="1"/>
      <protection locked="0"/>
    </xf>
    <xf numFmtId="0" fontId="76" fillId="0" borderId="0" xfId="0" applyFont="1" applyFill="1" applyBorder="1" applyAlignment="1">
      <alignment wrapText="1"/>
    </xf>
    <xf numFmtId="0" fontId="76" fillId="3" borderId="0" xfId="0" applyFont="1" applyFill="1" applyBorder="1" applyAlignment="1" applyProtection="1">
      <alignment horizontal="center" wrapText="1"/>
      <protection locked="0"/>
    </xf>
    <xf numFmtId="0" fontId="0" fillId="0" borderId="0" xfId="0" applyBorder="1"/>
    <xf numFmtId="0" fontId="0" fillId="0" borderId="0" xfId="0"/>
    <xf numFmtId="0" fontId="0" fillId="0" borderId="0" xfId="0" applyBorder="1"/>
    <xf numFmtId="0" fontId="0" fillId="0" borderId="0" xfId="0"/>
    <xf numFmtId="166" fontId="62" fillId="0" borderId="24" xfId="0" applyNumberFormat="1" applyFont="1" applyFill="1" applyBorder="1"/>
    <xf numFmtId="0" fontId="62" fillId="0" borderId="15" xfId="12" applyBorder="1" applyAlignment="1"/>
    <xf numFmtId="166" fontId="62" fillId="0" borderId="15" xfId="0" applyNumberFormat="1" applyFont="1" applyFill="1" applyBorder="1"/>
    <xf numFmtId="0" fontId="0" fillId="0" borderId="0" xfId="0" applyNumberFormat="1"/>
    <xf numFmtId="0" fontId="89" fillId="3" borderId="0" xfId="81" applyFill="1" applyBorder="1" applyAlignment="1"/>
    <xf numFmtId="0" fontId="62" fillId="36" borderId="0" xfId="12" applyNumberFormat="1" applyFont="1" applyFill="1" applyBorder="1" applyAlignment="1">
      <alignment vertical="top" wrapText="1"/>
    </xf>
    <xf numFmtId="0" fontId="60" fillId="36" borderId="0" xfId="2" applyNumberFormat="1" applyFont="1" applyFill="1" applyBorder="1" applyAlignment="1">
      <alignment vertical="top" wrapText="1"/>
    </xf>
    <xf numFmtId="0" fontId="54" fillId="36" borderId="0" xfId="12" applyNumberFormat="1" applyFont="1" applyFill="1" applyBorder="1" applyAlignment="1">
      <alignment vertical="top" wrapText="1"/>
    </xf>
    <xf numFmtId="0" fontId="62" fillId="3" borderId="0" xfId="0" applyFont="1" applyFill="1"/>
    <xf numFmtId="0" fontId="0" fillId="3" borderId="33" xfId="0" applyFill="1" applyBorder="1" applyProtection="1">
      <protection locked="0"/>
    </xf>
    <xf numFmtId="0" fontId="0" fillId="3" borderId="19" xfId="0" applyFill="1" applyBorder="1" applyProtection="1">
      <protection locked="0"/>
    </xf>
    <xf numFmtId="0" fontId="0" fillId="3" borderId="31" xfId="0" applyFill="1" applyBorder="1" applyProtection="1">
      <protection locked="0"/>
    </xf>
    <xf numFmtId="0" fontId="0" fillId="3" borderId="34" xfId="0" applyFill="1" applyBorder="1" applyProtection="1">
      <protection locked="0"/>
    </xf>
    <xf numFmtId="0" fontId="0" fillId="3" borderId="24" xfId="0" applyFill="1" applyBorder="1" applyProtection="1">
      <protection locked="0"/>
    </xf>
    <xf numFmtId="0" fontId="62" fillId="3" borderId="5" xfId="0" applyFont="1" applyFill="1" applyBorder="1" applyProtection="1">
      <protection locked="0"/>
    </xf>
    <xf numFmtId="166" fontId="62" fillId="3" borderId="5" xfId="0" applyNumberFormat="1" applyFont="1" applyFill="1" applyBorder="1" applyProtection="1">
      <protection locked="0"/>
    </xf>
    <xf numFmtId="166" fontId="108" fillId="3" borderId="0" xfId="0" applyNumberFormat="1" applyFont="1" applyFill="1" applyBorder="1" applyProtection="1">
      <protection locked="0"/>
    </xf>
    <xf numFmtId="166" fontId="91" fillId="3" borderId="0" xfId="0" applyNumberFormat="1" applyFont="1" applyFill="1" applyBorder="1" applyProtection="1">
      <protection locked="0"/>
    </xf>
    <xf numFmtId="0" fontId="62" fillId="3" borderId="0" xfId="0" applyFont="1" applyFill="1" applyBorder="1" applyAlignment="1" applyProtection="1">
      <alignment horizontal="center"/>
      <protection locked="0"/>
    </xf>
    <xf numFmtId="0" fontId="91" fillId="3" borderId="0" xfId="0" applyFont="1" applyFill="1" applyBorder="1" applyProtection="1">
      <protection locked="0"/>
    </xf>
    <xf numFmtId="166" fontId="108" fillId="3" borderId="0" xfId="0" applyNumberFormat="1" applyFont="1" applyFill="1" applyProtection="1">
      <protection locked="0"/>
    </xf>
    <xf numFmtId="166" fontId="108" fillId="3" borderId="5" xfId="0" applyNumberFormat="1" applyFont="1" applyFill="1" applyBorder="1" applyProtection="1">
      <protection locked="0"/>
    </xf>
    <xf numFmtId="166" fontId="91" fillId="3" borderId="0" xfId="0" applyNumberFormat="1" applyFont="1" applyFill="1" applyProtection="1">
      <protection locked="0"/>
    </xf>
    <xf numFmtId="0" fontId="0" fillId="3" borderId="30" xfId="0" applyFill="1" applyBorder="1" applyProtection="1">
      <protection locked="0"/>
    </xf>
    <xf numFmtId="0" fontId="0" fillId="3" borderId="5" xfId="0" applyFill="1" applyBorder="1" applyProtection="1">
      <protection locked="0"/>
    </xf>
    <xf numFmtId="0" fontId="0" fillId="3" borderId="29" xfId="0" applyFill="1" applyBorder="1" applyProtection="1">
      <protection locked="0"/>
    </xf>
    <xf numFmtId="0" fontId="0" fillId="0" borderId="0" xfId="0" applyProtection="1">
      <protection locked="0"/>
    </xf>
    <xf numFmtId="0" fontId="62" fillId="3" borderId="0" xfId="0" applyFont="1" applyFill="1" applyAlignment="1" applyProtection="1">
      <alignment horizontal="left"/>
      <protection locked="0"/>
    </xf>
    <xf numFmtId="0" fontId="62" fillId="3" borderId="5" xfId="0" applyFont="1" applyFill="1" applyBorder="1" applyAlignment="1" applyProtection="1">
      <alignment horizontal="left"/>
      <protection locked="0"/>
    </xf>
    <xf numFmtId="0" fontId="62" fillId="3" borderId="0" xfId="0" applyFont="1" applyFill="1" applyAlignment="1" applyProtection="1">
      <alignment horizontal="center"/>
      <protection locked="0"/>
    </xf>
    <xf numFmtId="166" fontId="62" fillId="3" borderId="6" xfId="0" applyNumberFormat="1" applyFont="1" applyFill="1" applyBorder="1" applyProtection="1">
      <protection locked="0"/>
    </xf>
    <xf numFmtId="166" fontId="62" fillId="3" borderId="7" xfId="0" applyNumberFormat="1" applyFont="1" applyFill="1" applyBorder="1" applyProtection="1">
      <protection locked="0"/>
    </xf>
    <xf numFmtId="0" fontId="0" fillId="0" borderId="7" xfId="0" applyBorder="1" applyProtection="1">
      <protection locked="0"/>
    </xf>
    <xf numFmtId="0" fontId="91" fillId="3" borderId="0" xfId="0" applyFont="1" applyFill="1" applyProtection="1">
      <protection locked="0"/>
    </xf>
    <xf numFmtId="0" fontId="77" fillId="3" borderId="0" xfId="0" applyFont="1" applyFill="1" applyProtection="1">
      <protection locked="0"/>
    </xf>
    <xf numFmtId="0" fontId="0" fillId="0" borderId="0" xfId="0" applyAlignment="1" applyProtection="1">
      <alignment vertical="top"/>
    </xf>
    <xf numFmtId="0" fontId="77" fillId="0" borderId="0" xfId="0" applyFont="1" applyProtection="1">
      <protection locked="0"/>
    </xf>
    <xf numFmtId="0" fontId="0" fillId="0" borderId="0" xfId="0" applyFill="1" applyBorder="1" applyProtection="1">
      <protection locked="0"/>
    </xf>
    <xf numFmtId="0" fontId="75" fillId="3" borderId="33" xfId="70" applyFill="1" applyBorder="1" applyAlignment="1" applyProtection="1">
      <alignment vertical="top" wrapText="1"/>
      <protection locked="0"/>
    </xf>
    <xf numFmtId="0" fontId="75" fillId="3" borderId="31" xfId="70" applyFill="1" applyBorder="1" applyAlignment="1" applyProtection="1">
      <alignment vertical="top" wrapText="1"/>
      <protection locked="0"/>
    </xf>
    <xf numFmtId="0" fontId="75" fillId="3" borderId="24" xfId="70" applyFill="1" applyBorder="1" applyAlignment="1" applyProtection="1">
      <alignment vertical="top" wrapText="1"/>
      <protection locked="0"/>
    </xf>
    <xf numFmtId="0" fontId="62" fillId="3" borderId="24" xfId="0" applyFont="1" applyFill="1" applyBorder="1" applyAlignment="1" applyProtection="1">
      <alignment horizontal="left"/>
      <protection locked="0"/>
    </xf>
    <xf numFmtId="0" fontId="69" fillId="4" borderId="19" xfId="69" applyBorder="1" applyAlignment="1" applyProtection="1">
      <alignment horizontal="center" vertical="center"/>
      <protection locked="0"/>
    </xf>
    <xf numFmtId="0" fontId="69" fillId="4" borderId="20" xfId="69" applyBorder="1" applyAlignment="1" applyProtection="1">
      <alignment horizontal="center" vertical="center"/>
      <protection locked="0"/>
    </xf>
    <xf numFmtId="0" fontId="76" fillId="5" borderId="6" xfId="72" applyBorder="1" applyProtection="1">
      <protection locked="0"/>
    </xf>
    <xf numFmtId="0" fontId="76" fillId="5" borderId="6" xfId="72" applyFont="1" applyBorder="1" applyProtection="1">
      <protection locked="0"/>
    </xf>
    <xf numFmtId="0" fontId="76" fillId="5" borderId="14" xfId="72" applyFont="1" applyBorder="1" applyProtection="1">
      <protection locked="0"/>
    </xf>
    <xf numFmtId="0" fontId="62" fillId="0" borderId="0" xfId="0" applyFont="1" applyBorder="1" applyProtection="1">
      <protection locked="0"/>
    </xf>
    <xf numFmtId="166" fontId="62" fillId="0" borderId="16" xfId="0" applyNumberFormat="1" applyFont="1" applyBorder="1" applyProtection="1">
      <protection locked="0"/>
    </xf>
    <xf numFmtId="166" fontId="62" fillId="0" borderId="0" xfId="0" applyNumberFormat="1" applyFont="1" applyBorder="1" applyProtection="1">
      <protection locked="0"/>
    </xf>
    <xf numFmtId="0" fontId="76" fillId="5" borderId="14" xfId="72" applyBorder="1" applyProtection="1">
      <protection locked="0"/>
    </xf>
    <xf numFmtId="166" fontId="62" fillId="0" borderId="16" xfId="0" quotePrefix="1" applyNumberFormat="1" applyFont="1" applyBorder="1" applyAlignment="1" applyProtection="1">
      <alignment horizontal="right"/>
      <protection locked="0"/>
    </xf>
    <xf numFmtId="166" fontId="62" fillId="0" borderId="0" xfId="0" quotePrefix="1" applyNumberFormat="1" applyFont="1" applyBorder="1" applyAlignment="1" applyProtection="1">
      <alignment horizontal="right"/>
      <protection locked="0"/>
    </xf>
    <xf numFmtId="0" fontId="62" fillId="0" borderId="0" xfId="0" applyFont="1" applyBorder="1" applyAlignment="1" applyProtection="1">
      <alignment horizontal="left"/>
      <protection locked="0"/>
    </xf>
    <xf numFmtId="0" fontId="62" fillId="0" borderId="7" xfId="0" applyFont="1" applyBorder="1" applyProtection="1">
      <protection locked="0"/>
    </xf>
    <xf numFmtId="0" fontId="80" fillId="3" borderId="0" xfId="3" applyFill="1" applyBorder="1" applyProtection="1">
      <protection locked="0"/>
    </xf>
    <xf numFmtId="0" fontId="107" fillId="3" borderId="0" xfId="0" applyFont="1" applyFill="1" applyProtection="1">
      <protection locked="0"/>
    </xf>
    <xf numFmtId="0" fontId="67" fillId="3" borderId="0" xfId="0" applyFont="1" applyFill="1" applyAlignment="1" applyProtection="1">
      <protection locked="0"/>
    </xf>
    <xf numFmtId="0" fontId="54" fillId="36" borderId="7" xfId="0" quotePrefix="1" applyFont="1" applyFill="1" applyBorder="1" applyAlignment="1" applyProtection="1">
      <alignment horizontal="right"/>
      <protection locked="0"/>
    </xf>
    <xf numFmtId="0" fontId="0" fillId="0" borderId="0" xfId="0"/>
    <xf numFmtId="0" fontId="55" fillId="0" borderId="0" xfId="15" applyFont="1" applyFill="1" applyAlignment="1">
      <alignment horizontal="center"/>
    </xf>
    <xf numFmtId="0" fontId="60" fillId="0" borderId="0" xfId="15" applyFont="1" applyFill="1" applyAlignment="1">
      <alignment horizontal="center"/>
    </xf>
    <xf numFmtId="0" fontId="76" fillId="0" borderId="0" xfId="0" applyFont="1" applyProtection="1">
      <protection locked="0"/>
    </xf>
    <xf numFmtId="0" fontId="54" fillId="3" borderId="0" xfId="0" applyFont="1" applyFill="1" applyAlignment="1" applyProtection="1">
      <alignment vertical="top"/>
      <protection locked="0"/>
    </xf>
    <xf numFmtId="0" fontId="0" fillId="0" borderId="0" xfId="0" applyBorder="1" applyProtection="1">
      <protection locked="0"/>
    </xf>
    <xf numFmtId="0" fontId="69" fillId="4" borderId="4" xfId="69" applyAlignment="1">
      <alignment vertical="center" wrapText="1"/>
    </xf>
    <xf numFmtId="0" fontId="69" fillId="4" borderId="4" xfId="69" applyAlignment="1">
      <alignment vertical="center"/>
    </xf>
    <xf numFmtId="0" fontId="0" fillId="0" borderId="0" xfId="0" applyAlignment="1">
      <alignment vertical="center"/>
    </xf>
    <xf numFmtId="0" fontId="75" fillId="0" borderId="0" xfId="70" applyAlignment="1" applyProtection="1">
      <alignment vertical="top" wrapText="1"/>
      <protection locked="0"/>
    </xf>
    <xf numFmtId="0" fontId="75" fillId="0" borderId="0" xfId="70" applyFill="1" applyBorder="1" applyAlignment="1" applyProtection="1">
      <alignment vertical="top" wrapText="1"/>
      <protection locked="0"/>
    </xf>
    <xf numFmtId="0" fontId="75" fillId="0" borderId="0" xfId="70" applyFill="1" applyBorder="1" applyAlignment="1" applyProtection="1">
      <alignment vertical="top" wrapText="1"/>
    </xf>
    <xf numFmtId="0" fontId="0" fillId="3" borderId="0" xfId="0" applyFill="1" applyAlignment="1">
      <alignment wrapText="1"/>
    </xf>
    <xf numFmtId="0" fontId="0" fillId="0" borderId="0" xfId="0"/>
    <xf numFmtId="0" fontId="107" fillId="0" borderId="0" xfId="0" applyFont="1" applyFill="1"/>
    <xf numFmtId="0" fontId="111" fillId="0" borderId="0" xfId="0" applyFont="1" applyFill="1"/>
    <xf numFmtId="0" fontId="107" fillId="0" borderId="0" xfId="0" applyFont="1"/>
    <xf numFmtId="0" fontId="54" fillId="3" borderId="0" xfId="0" applyFont="1" applyFill="1" applyBorder="1" applyAlignment="1" applyProtection="1">
      <alignment horizontal="left"/>
      <protection locked="0"/>
    </xf>
    <xf numFmtId="0" fontId="54" fillId="3" borderId="6" xfId="0" applyFont="1" applyFill="1" applyBorder="1" applyAlignment="1" applyProtection="1">
      <alignment horizontal="left"/>
      <protection locked="0"/>
    </xf>
    <xf numFmtId="0" fontId="54" fillId="3" borderId="0" xfId="12" applyNumberFormat="1" applyFont="1" applyFill="1" applyBorder="1" applyAlignment="1">
      <alignment vertical="top" wrapText="1"/>
    </xf>
    <xf numFmtId="0" fontId="54" fillId="0" borderId="7" xfId="0" applyFont="1" applyBorder="1"/>
    <xf numFmtId="0" fontId="62" fillId="36" borderId="0" xfId="12" applyNumberFormat="1" applyFont="1" applyFill="1" applyBorder="1" applyAlignment="1">
      <alignment vertical="top"/>
    </xf>
    <xf numFmtId="0" fontId="0" fillId="0" borderId="0" xfId="0"/>
    <xf numFmtId="0" fontId="62" fillId="3" borderId="5" xfId="12" applyNumberFormat="1" applyFont="1" applyFill="1" applyBorder="1" applyAlignment="1">
      <alignment vertical="top"/>
    </xf>
    <xf numFmtId="0" fontId="60" fillId="3" borderId="5" xfId="2" applyNumberFormat="1" applyFont="1" applyFill="1" applyBorder="1" applyAlignment="1">
      <alignment vertical="top" wrapText="1"/>
    </xf>
    <xf numFmtId="0" fontId="81" fillId="3" borderId="0" xfId="3" applyFont="1" applyFill="1" applyBorder="1" applyAlignment="1">
      <alignment vertical="top"/>
    </xf>
    <xf numFmtId="0" fontId="81" fillId="3" borderId="0" xfId="3" applyFont="1" applyFill="1" applyBorder="1" applyAlignment="1">
      <alignment horizontal="left" vertical="top" wrapText="1"/>
    </xf>
    <xf numFmtId="0" fontId="0" fillId="0" borderId="0" xfId="0"/>
    <xf numFmtId="0" fontId="69" fillId="4" borderId="4" xfId="69" applyBorder="1" applyAlignment="1">
      <alignment horizontal="center" vertical="center"/>
    </xf>
    <xf numFmtId="0" fontId="69" fillId="4" borderId="4" xfId="69" applyAlignment="1">
      <alignment horizontal="center" vertical="center"/>
    </xf>
    <xf numFmtId="0" fontId="107" fillId="0" borderId="0" xfId="0" applyFont="1" applyProtection="1"/>
    <xf numFmtId="0" fontId="107" fillId="0" borderId="0" xfId="0" applyFont="1" applyAlignment="1" applyProtection="1">
      <alignment vertical="top" wrapText="1"/>
    </xf>
    <xf numFmtId="0" fontId="107" fillId="0" borderId="0" xfId="0" applyFont="1" applyFill="1" applyBorder="1" applyAlignment="1" applyProtection="1">
      <alignment vertical="top"/>
    </xf>
    <xf numFmtId="0" fontId="54" fillId="3" borderId="0" xfId="81" applyFont="1" applyFill="1" applyProtection="1">
      <protection locked="0"/>
    </xf>
    <xf numFmtId="0" fontId="54" fillId="0" borderId="0" xfId="0" applyFont="1" applyFill="1" applyAlignment="1" applyProtection="1">
      <alignment vertical="center"/>
      <protection locked="0"/>
    </xf>
    <xf numFmtId="0" fontId="0" fillId="0" borderId="0" xfId="0"/>
    <xf numFmtId="0" fontId="0" fillId="0" borderId="0" xfId="0"/>
    <xf numFmtId="0" fontId="0" fillId="0" borderId="0" xfId="0"/>
    <xf numFmtId="166" fontId="62" fillId="0" borderId="0" xfId="12" applyNumberFormat="1" applyFill="1"/>
    <xf numFmtId="166" fontId="62" fillId="0" borderId="7" xfId="0" applyNumberFormat="1" applyFont="1" applyFill="1" applyBorder="1" applyAlignment="1">
      <alignment horizontal="right"/>
    </xf>
    <xf numFmtId="0" fontId="62" fillId="0" borderId="0" xfId="0" applyFont="1" applyFill="1" applyBorder="1" applyAlignment="1">
      <alignment horizontal="left"/>
    </xf>
    <xf numFmtId="166" fontId="62" fillId="0" borderId="17" xfId="0" applyNumberFormat="1" applyFont="1" applyFill="1" applyBorder="1"/>
    <xf numFmtId="0" fontId="54" fillId="0" borderId="7" xfId="0" applyFont="1" applyFill="1" applyBorder="1"/>
    <xf numFmtId="166" fontId="62" fillId="0" borderId="27" xfId="12" applyNumberFormat="1" applyFill="1" applyBorder="1"/>
    <xf numFmtId="0" fontId="89" fillId="0" borderId="0" xfId="81" applyFont="1"/>
    <xf numFmtId="0" fontId="77" fillId="0" borderId="0" xfId="0" applyFont="1" applyFill="1"/>
    <xf numFmtId="0" fontId="0" fillId="0" borderId="0" xfId="0" applyBorder="1" applyAlignment="1">
      <alignment vertical="center"/>
    </xf>
    <xf numFmtId="0" fontId="60" fillId="3" borderId="0" xfId="12" applyFont="1" applyFill="1" applyBorder="1" applyAlignment="1">
      <alignment vertical="top" wrapText="1"/>
    </xf>
    <xf numFmtId="0" fontId="76" fillId="3" borderId="5" xfId="0" applyFont="1" applyFill="1" applyBorder="1" applyAlignment="1" applyProtection="1">
      <alignment horizontal="center"/>
      <protection locked="0"/>
    </xf>
    <xf numFmtId="0" fontId="76" fillId="3" borderId="5" xfId="0" applyFont="1" applyFill="1" applyBorder="1" applyAlignment="1" applyProtection="1">
      <alignment horizontal="center" wrapText="1"/>
      <protection locked="0"/>
    </xf>
    <xf numFmtId="0" fontId="0" fillId="0" borderId="0" xfId="0"/>
    <xf numFmtId="0" fontId="113" fillId="3" borderId="0" xfId="1" applyFont="1" applyFill="1" applyBorder="1">
      <alignment vertical="center"/>
    </xf>
    <xf numFmtId="0" fontId="76" fillId="3" borderId="0" xfId="0" applyFont="1" applyFill="1" applyBorder="1" applyAlignment="1" applyProtection="1">
      <alignment wrapText="1"/>
      <protection locked="0"/>
    </xf>
    <xf numFmtId="0" fontId="0" fillId="3" borderId="19" xfId="0" applyFill="1" applyBorder="1"/>
    <xf numFmtId="0" fontId="0" fillId="3" borderId="5" xfId="0" applyFill="1" applyBorder="1"/>
    <xf numFmtId="0" fontId="0" fillId="3" borderId="0" xfId="0" applyFill="1" applyBorder="1" applyAlignment="1">
      <alignment horizontal="center"/>
    </xf>
    <xf numFmtId="0" fontId="0" fillId="3" borderId="5" xfId="0" applyFill="1" applyBorder="1" applyAlignment="1">
      <alignment horizontal="center"/>
    </xf>
    <xf numFmtId="0" fontId="0" fillId="3" borderId="34" xfId="0" applyFill="1" applyBorder="1"/>
    <xf numFmtId="0" fontId="54" fillId="3" borderId="0" xfId="0" applyFont="1" applyFill="1" applyBorder="1" applyAlignment="1" applyProtection="1">
      <alignment horizontal="center"/>
      <protection locked="0"/>
    </xf>
    <xf numFmtId="0" fontId="0" fillId="0" borderId="0" xfId="0" applyFill="1" applyBorder="1" applyAlignment="1">
      <alignment vertical="top" wrapText="1"/>
    </xf>
    <xf numFmtId="0" fontId="91" fillId="0" borderId="0" xfId="0" applyFont="1"/>
    <xf numFmtId="0" fontId="53" fillId="0" borderId="0" xfId="81" applyFont="1"/>
    <xf numFmtId="0" fontId="53" fillId="0" borderId="0" xfId="81" applyFont="1" applyProtection="1">
      <protection locked="0"/>
    </xf>
    <xf numFmtId="0" fontId="79" fillId="4" borderId="5" xfId="69" applyFont="1" applyBorder="1" applyAlignment="1">
      <alignment horizontal="center" vertical="center" wrapText="1"/>
    </xf>
    <xf numFmtId="0" fontId="79" fillId="4" borderId="29" xfId="69" applyFont="1" applyBorder="1" applyAlignment="1">
      <alignment horizontal="center" vertical="center" wrapText="1"/>
    </xf>
    <xf numFmtId="0" fontId="79" fillId="4" borderId="4" xfId="69" applyFont="1" applyBorder="1" applyAlignment="1">
      <alignment horizontal="center" vertical="center" wrapText="1"/>
    </xf>
    <xf numFmtId="0" fontId="79" fillId="4" borderId="25" xfId="69" applyFont="1" applyBorder="1" applyAlignment="1">
      <alignment horizontal="center" vertical="center" wrapText="1"/>
    </xf>
    <xf numFmtId="0" fontId="79" fillId="4" borderId="12" xfId="69" applyFont="1" applyBorder="1" applyAlignment="1">
      <alignment horizontal="center" vertical="center" wrapText="1"/>
    </xf>
    <xf numFmtId="0" fontId="76" fillId="3" borderId="0" xfId="0" applyFont="1" applyFill="1" applyAlignment="1"/>
    <xf numFmtId="0" fontId="54" fillId="3" borderId="0" xfId="0" applyFont="1" applyFill="1" applyAlignment="1"/>
    <xf numFmtId="0" fontId="78" fillId="3" borderId="0" xfId="0" applyFont="1" applyFill="1" applyAlignment="1"/>
    <xf numFmtId="0" fontId="76" fillId="3" borderId="0" xfId="0" applyFont="1" applyFill="1" applyAlignment="1">
      <alignment vertical="top" wrapText="1"/>
    </xf>
    <xf numFmtId="0" fontId="54" fillId="3" borderId="0" xfId="0" applyFont="1" applyFill="1" applyBorder="1" applyAlignment="1"/>
    <xf numFmtId="0" fontId="76" fillId="3" borderId="0" xfId="0" applyFont="1" applyFill="1" applyAlignment="1">
      <alignment vertical="top"/>
    </xf>
    <xf numFmtId="0" fontId="68" fillId="3" borderId="0" xfId="57" applyFont="1" applyFill="1" applyAlignment="1"/>
    <xf numFmtId="0" fontId="68" fillId="3" borderId="0" xfId="57" applyFont="1" applyFill="1" applyAlignment="1">
      <alignment horizontal="left"/>
    </xf>
    <xf numFmtId="0" fontId="81" fillId="3" borderId="0" xfId="3" applyFont="1" applyFill="1" applyAlignment="1">
      <alignment horizontal="left"/>
    </xf>
    <xf numFmtId="0" fontId="60" fillId="3" borderId="0" xfId="0" applyFont="1" applyFill="1" applyAlignment="1"/>
    <xf numFmtId="0" fontId="91" fillId="0" borderId="0" xfId="0" applyFont="1" applyProtection="1"/>
    <xf numFmtId="0" fontId="0" fillId="0" borderId="0" xfId="0"/>
    <xf numFmtId="0" fontId="54" fillId="0" borderId="0" xfId="0" applyFont="1" applyBorder="1"/>
    <xf numFmtId="0" fontId="54" fillId="0" borderId="0" xfId="0" applyFont="1" applyFill="1" applyBorder="1"/>
    <xf numFmtId="0" fontId="107" fillId="0" borderId="0" xfId="0" applyFont="1" applyFill="1" applyBorder="1"/>
    <xf numFmtId="0" fontId="111" fillId="0" borderId="0" xfId="0" applyFont="1" applyFill="1" applyBorder="1"/>
    <xf numFmtId="0" fontId="54" fillId="3" borderId="5" xfId="0" applyFont="1" applyFill="1" applyBorder="1" applyProtection="1">
      <protection locked="0"/>
    </xf>
    <xf numFmtId="0" fontId="54" fillId="3" borderId="0" xfId="0" applyFont="1" applyFill="1" applyBorder="1" applyProtection="1">
      <protection locked="0"/>
    </xf>
    <xf numFmtId="0" fontId="0" fillId="0" borderId="5" xfId="0" applyBorder="1"/>
    <xf numFmtId="0" fontId="54" fillId="3" borderId="0" xfId="0" applyFont="1" applyFill="1" applyAlignment="1" applyProtection="1">
      <alignment horizontal="left"/>
      <protection locked="0"/>
    </xf>
    <xf numFmtId="0" fontId="54" fillId="3" borderId="5" xfId="0" applyFont="1" applyFill="1" applyBorder="1" applyAlignment="1" applyProtection="1">
      <alignment horizontal="left"/>
      <protection locked="0"/>
    </xf>
    <xf numFmtId="0" fontId="54" fillId="0" borderId="0" xfId="0" applyFont="1" applyBorder="1" applyProtection="1">
      <protection locked="0"/>
    </xf>
    <xf numFmtId="166" fontId="0" fillId="0" borderId="0" xfId="0" applyNumberFormat="1" applyFill="1" applyBorder="1"/>
    <xf numFmtId="166" fontId="0" fillId="0" borderId="0" xfId="0" applyNumberFormat="1" applyFill="1"/>
    <xf numFmtId="166" fontId="0" fillId="0" borderId="0" xfId="0" applyNumberFormat="1" applyBorder="1"/>
    <xf numFmtId="0" fontId="0" fillId="0" borderId="0" xfId="0"/>
    <xf numFmtId="0" fontId="67" fillId="0" borderId="0" xfId="0" applyFont="1"/>
    <xf numFmtId="0" fontId="91" fillId="0" borderId="0" xfId="0" applyFont="1" applyFill="1" applyBorder="1" applyProtection="1"/>
    <xf numFmtId="0" fontId="60" fillId="0" borderId="0" xfId="72" applyFont="1" applyFill="1" applyBorder="1"/>
    <xf numFmtId="0" fontId="69" fillId="4" borderId="4" xfId="69" applyBorder="1" applyAlignment="1">
      <alignment horizontal="center" vertical="center"/>
    </xf>
    <xf numFmtId="0" fontId="52" fillId="0" borderId="0" xfId="81" applyFont="1"/>
    <xf numFmtId="0" fontId="76" fillId="5" borderId="6" xfId="72" applyFont="1"/>
    <xf numFmtId="0" fontId="69" fillId="4" borderId="4" xfId="69" applyFont="1" applyAlignment="1">
      <alignment horizontal="center" vertical="center"/>
    </xf>
    <xf numFmtId="0" fontId="51" fillId="3" borderId="0" xfId="12" applyFont="1" applyFill="1"/>
    <xf numFmtId="0" fontId="51" fillId="0" borderId="0" xfId="12" applyFont="1"/>
    <xf numFmtId="0" fontId="50" fillId="0" borderId="0" xfId="0" applyFont="1" applyFill="1" applyBorder="1"/>
    <xf numFmtId="0" fontId="50" fillId="0" borderId="0" xfId="0" applyNumberFormat="1" applyFont="1"/>
    <xf numFmtId="0" fontId="50" fillId="0" borderId="5" xfId="0" applyFont="1" applyFill="1" applyBorder="1"/>
    <xf numFmtId="0" fontId="50" fillId="5" borderId="6" xfId="72" applyFont="1" applyBorder="1"/>
    <xf numFmtId="0" fontId="76" fillId="5" borderId="6" xfId="72" applyFont="1" applyBorder="1" applyAlignment="1">
      <alignment vertical="top"/>
    </xf>
    <xf numFmtId="0" fontId="76" fillId="5" borderId="26" xfId="72" applyFont="1" applyBorder="1" applyAlignment="1">
      <alignment vertical="top"/>
    </xf>
    <xf numFmtId="0" fontId="76" fillId="5" borderId="6" xfId="72" applyFont="1" applyAlignment="1">
      <alignment vertical="top"/>
    </xf>
    <xf numFmtId="0" fontId="76" fillId="5" borderId="6" xfId="72" applyFont="1" applyAlignment="1">
      <alignment vertical="top" wrapText="1"/>
    </xf>
    <xf numFmtId="0" fontId="76" fillId="5" borderId="6" xfId="72" applyFont="1" applyBorder="1" applyAlignment="1">
      <alignment vertical="center"/>
    </xf>
    <xf numFmtId="0" fontId="76" fillId="5" borderId="6" xfId="72" applyFont="1" applyAlignment="1">
      <alignment vertical="center"/>
    </xf>
    <xf numFmtId="0" fontId="76" fillId="5" borderId="9" xfId="72" applyFont="1" applyBorder="1" applyAlignment="1">
      <alignment vertical="center"/>
    </xf>
    <xf numFmtId="0" fontId="76" fillId="5" borderId="28" xfId="72" applyFont="1" applyBorder="1" applyAlignment="1">
      <alignment vertical="center"/>
    </xf>
    <xf numFmtId="1" fontId="62" fillId="3" borderId="0" xfId="0" applyNumberFormat="1" applyFont="1" applyFill="1" applyBorder="1" applyProtection="1">
      <protection locked="0"/>
    </xf>
    <xf numFmtId="0" fontId="76" fillId="3" borderId="7" xfId="0" applyFont="1" applyFill="1" applyBorder="1" applyAlignment="1" applyProtection="1">
      <alignment horizontal="left"/>
      <protection locked="0"/>
    </xf>
    <xf numFmtId="0" fontId="76" fillId="3" borderId="7" xfId="0" applyFont="1" applyFill="1" applyBorder="1" applyProtection="1">
      <protection locked="0"/>
    </xf>
    <xf numFmtId="166" fontId="76" fillId="3" borderId="7" xfId="0" applyNumberFormat="1" applyFont="1" applyFill="1" applyBorder="1" applyProtection="1">
      <protection locked="0"/>
    </xf>
    <xf numFmtId="0" fontId="62" fillId="36" borderId="42" xfId="0" applyFont="1" applyFill="1" applyBorder="1" applyAlignment="1" applyProtection="1">
      <alignment horizontal="left"/>
      <protection locked="0"/>
    </xf>
    <xf numFmtId="0" fontId="62" fillId="36" borderId="42" xfId="0" applyFont="1" applyFill="1" applyBorder="1" applyProtection="1">
      <protection locked="0"/>
    </xf>
    <xf numFmtId="0" fontId="54" fillId="36" borderId="42" xfId="0" quotePrefix="1" applyFont="1" applyFill="1" applyBorder="1" applyAlignment="1" applyProtection="1">
      <alignment horizontal="right"/>
      <protection locked="0"/>
    </xf>
    <xf numFmtId="0" fontId="50" fillId="0" borderId="16" xfId="0" applyNumberFormat="1" applyFont="1" applyBorder="1"/>
    <xf numFmtId="0" fontId="49" fillId="0" borderId="0" xfId="0" applyFont="1" applyFill="1" applyBorder="1"/>
    <xf numFmtId="0" fontId="49" fillId="0" borderId="0" xfId="0" applyNumberFormat="1" applyFont="1"/>
    <xf numFmtId="0" fontId="49" fillId="0" borderId="16" xfId="0" applyNumberFormat="1" applyFont="1" applyBorder="1"/>
    <xf numFmtId="0" fontId="49" fillId="5" borderId="6" xfId="72" applyFont="1" applyBorder="1"/>
    <xf numFmtId="0" fontId="48" fillId="3" borderId="0" xfId="0" applyFont="1" applyFill="1" applyBorder="1" applyProtection="1">
      <protection locked="0"/>
    </xf>
    <xf numFmtId="1" fontId="62" fillId="36" borderId="6" xfId="0" applyNumberFormat="1" applyFont="1" applyFill="1" applyBorder="1" applyProtection="1">
      <protection locked="0"/>
    </xf>
    <xf numFmtId="1" fontId="62" fillId="36" borderId="0" xfId="0" applyNumberFormat="1" applyFont="1" applyFill="1" applyBorder="1" applyProtection="1">
      <protection locked="0"/>
    </xf>
    <xf numFmtId="1" fontId="62" fillId="36" borderId="42" xfId="0" applyNumberFormat="1" applyFont="1" applyFill="1" applyBorder="1" applyProtection="1">
      <protection locked="0"/>
    </xf>
    <xf numFmtId="0" fontId="48" fillId="0" borderId="0" xfId="0" applyFont="1" applyBorder="1" applyProtection="1">
      <protection locked="0"/>
    </xf>
    <xf numFmtId="0" fontId="75" fillId="0" borderId="0" xfId="70" applyAlignment="1">
      <alignment horizontal="left" vertical="top" wrapText="1"/>
      <protection locked="0"/>
    </xf>
    <xf numFmtId="0" fontId="53" fillId="0" borderId="0" xfId="81" applyFont="1" applyAlignment="1">
      <alignment horizontal="left" vertical="top" wrapText="1"/>
    </xf>
    <xf numFmtId="0" fontId="69" fillId="4" borderId="12" xfId="69" applyFont="1" applyBorder="1" applyAlignment="1">
      <alignment horizontal="center" vertical="center"/>
    </xf>
    <xf numFmtId="0" fontId="47" fillId="0" borderId="0" xfId="0" applyFont="1" applyFill="1" applyBorder="1"/>
    <xf numFmtId="0" fontId="47" fillId="0" borderId="0" xfId="0" applyNumberFormat="1" applyFont="1"/>
    <xf numFmtId="0" fontId="47" fillId="0" borderId="18" xfId="0" applyNumberFormat="1" applyFont="1" applyBorder="1"/>
    <xf numFmtId="0" fontId="47" fillId="0" borderId="0" xfId="0" applyFont="1" applyBorder="1"/>
    <xf numFmtId="0" fontId="47" fillId="0" borderId="16" xfId="0" applyNumberFormat="1" applyFont="1" applyBorder="1"/>
    <xf numFmtId="0" fontId="47" fillId="5" borderId="6" xfId="72" applyFont="1" applyBorder="1"/>
    <xf numFmtId="0" fontId="47" fillId="0" borderId="18" xfId="0" applyFont="1" applyFill="1" applyBorder="1"/>
    <xf numFmtId="0" fontId="47" fillId="0" borderId="0" xfId="0" applyFont="1" applyFill="1" applyBorder="1" applyAlignment="1">
      <alignment horizontal="left"/>
    </xf>
    <xf numFmtId="0" fontId="47" fillId="0" borderId="7" xfId="0" applyFont="1" applyBorder="1"/>
    <xf numFmtId="166" fontId="47" fillId="0" borderId="0" xfId="0" applyNumberFormat="1" applyFont="1" applyFill="1" applyBorder="1"/>
    <xf numFmtId="166" fontId="47" fillId="0" borderId="15" xfId="0" applyNumberFormat="1" applyFont="1" applyFill="1" applyBorder="1"/>
    <xf numFmtId="0" fontId="47" fillId="0" borderId="16" xfId="0" applyFont="1" applyFill="1" applyBorder="1"/>
    <xf numFmtId="166" fontId="47" fillId="5" borderId="6" xfId="72" applyNumberFormat="1" applyFont="1" applyBorder="1"/>
    <xf numFmtId="0" fontId="47" fillId="0" borderId="16" xfId="0" applyFont="1" applyBorder="1"/>
    <xf numFmtId="166" fontId="47" fillId="0" borderId="0" xfId="0" applyNumberFormat="1" applyFont="1" applyBorder="1"/>
    <xf numFmtId="166" fontId="47" fillId="0" borderId="15" xfId="0" applyNumberFormat="1" applyFont="1" applyBorder="1"/>
    <xf numFmtId="0" fontId="47" fillId="0" borderId="18" xfId="0" applyFont="1" applyBorder="1"/>
    <xf numFmtId="166" fontId="47" fillId="0" borderId="15" xfId="0" quotePrefix="1" applyNumberFormat="1" applyFont="1" applyBorder="1" applyAlignment="1">
      <alignment horizontal="right"/>
    </xf>
    <xf numFmtId="166" fontId="47" fillId="0" borderId="0" xfId="0" quotePrefix="1" applyNumberFormat="1" applyFont="1" applyBorder="1" applyAlignment="1">
      <alignment horizontal="right"/>
    </xf>
    <xf numFmtId="166" fontId="47" fillId="0" borderId="0" xfId="0" applyNumberFormat="1" applyFont="1" applyBorder="1" applyAlignment="1">
      <alignment horizontal="right"/>
    </xf>
    <xf numFmtId="0" fontId="47" fillId="0" borderId="0" xfId="0" applyFont="1" applyBorder="1" applyAlignment="1">
      <alignment horizontal="left"/>
    </xf>
    <xf numFmtId="0" fontId="75" fillId="0" borderId="0" xfId="70" applyAlignment="1">
      <alignment horizontal="center" vertical="top" wrapText="1"/>
      <protection locked="0"/>
    </xf>
    <xf numFmtId="0" fontId="75" fillId="0" borderId="0" xfId="70" applyAlignment="1">
      <alignment horizontal="left" vertical="top"/>
      <protection locked="0"/>
    </xf>
    <xf numFmtId="0" fontId="91" fillId="0" borderId="0" xfId="0" applyFont="1" applyFill="1" applyBorder="1" applyAlignment="1" applyProtection="1">
      <alignment vertical="top"/>
    </xf>
    <xf numFmtId="0" fontId="46" fillId="0" borderId="0" xfId="0" applyNumberFormat="1" applyFont="1"/>
    <xf numFmtId="0" fontId="46" fillId="0" borderId="16" xfId="0" applyFont="1" applyFill="1" applyBorder="1"/>
    <xf numFmtId="0" fontId="46" fillId="0" borderId="0" xfId="0" applyFont="1" applyFill="1" applyBorder="1"/>
    <xf numFmtId="0" fontId="46" fillId="5" borderId="6" xfId="72" applyFont="1" applyBorder="1"/>
    <xf numFmtId="0" fontId="46" fillId="0" borderId="18" xfId="0" applyFont="1" applyFill="1" applyBorder="1"/>
    <xf numFmtId="0" fontId="46" fillId="0" borderId="7" xfId="0" applyFont="1" applyFill="1" applyBorder="1"/>
    <xf numFmtId="0" fontId="45" fillId="3" borderId="0" xfId="12" applyNumberFormat="1" applyFont="1" applyFill="1" applyBorder="1" applyAlignment="1">
      <alignment vertical="top" wrapText="1"/>
    </xf>
    <xf numFmtId="0" fontId="60" fillId="3" borderId="0" xfId="12" applyNumberFormat="1" applyFont="1" applyFill="1" applyBorder="1" applyAlignment="1">
      <alignment vertical="top" wrapText="1"/>
    </xf>
    <xf numFmtId="0" fontId="75" fillId="0" borderId="0" xfId="70" applyAlignment="1">
      <alignment horizontal="left" vertical="top" wrapText="1"/>
      <protection locked="0"/>
    </xf>
    <xf numFmtId="0" fontId="0" fillId="0" borderId="0" xfId="0"/>
    <xf numFmtId="0" fontId="69" fillId="4" borderId="4" xfId="69" applyBorder="1" applyAlignment="1">
      <alignment horizontal="center" vertical="center"/>
    </xf>
    <xf numFmtId="0" fontId="69" fillId="4" borderId="4" xfId="69" applyAlignment="1">
      <alignment horizontal="center" vertical="center"/>
    </xf>
    <xf numFmtId="0" fontId="0" fillId="0" borderId="0" xfId="0"/>
    <xf numFmtId="0" fontId="44" fillId="3" borderId="0" xfId="0" applyFont="1" applyFill="1" applyBorder="1" applyAlignment="1">
      <alignment vertical="top" wrapText="1"/>
    </xf>
    <xf numFmtId="0" fontId="76" fillId="5" borderId="0" xfId="72" applyBorder="1" applyAlignment="1">
      <alignment horizontal="right" vertical="center"/>
    </xf>
    <xf numFmtId="0" fontId="89" fillId="0" borderId="0" xfId="81" applyFill="1"/>
    <xf numFmtId="0" fontId="44" fillId="0" borderId="0" xfId="0" applyFont="1" applyBorder="1"/>
    <xf numFmtId="1" fontId="62" fillId="3" borderId="5" xfId="0" applyNumberFormat="1" applyFont="1" applyFill="1" applyBorder="1" applyAlignment="1" applyProtection="1">
      <alignment horizontal="center"/>
      <protection locked="0"/>
    </xf>
    <xf numFmtId="0" fontId="43" fillId="0" borderId="0" xfId="0" applyFont="1" applyFill="1" applyBorder="1"/>
    <xf numFmtId="0" fontId="43" fillId="0" borderId="0" xfId="0" applyFont="1" applyBorder="1"/>
    <xf numFmtId="0" fontId="43" fillId="0" borderId="7" xfId="0" applyFont="1" applyBorder="1"/>
    <xf numFmtId="166" fontId="62" fillId="0" borderId="0" xfId="0" applyNumberFormat="1" applyFont="1" applyFill="1" applyBorder="1" applyAlignment="1">
      <alignment horizontal="right" vertical="center"/>
    </xf>
    <xf numFmtId="0" fontId="42" fillId="0" borderId="0" xfId="0" applyFont="1" applyFill="1" applyBorder="1"/>
    <xf numFmtId="0" fontId="76" fillId="0" borderId="6" xfId="72" applyFont="1" applyFill="1"/>
    <xf numFmtId="166" fontId="42" fillId="0" borderId="0" xfId="0" applyNumberFormat="1" applyFont="1" applyFill="1" applyBorder="1"/>
    <xf numFmtId="0" fontId="76" fillId="0" borderId="6" xfId="72" applyFill="1"/>
    <xf numFmtId="0" fontId="42" fillId="0" borderId="0" xfId="0" applyNumberFormat="1" applyFont="1"/>
    <xf numFmtId="0" fontId="42" fillId="0" borderId="0" xfId="0" applyFont="1" applyFill="1"/>
    <xf numFmtId="0" fontId="42" fillId="0" borderId="15" xfId="0" applyFont="1" applyFill="1" applyBorder="1"/>
    <xf numFmtId="0" fontId="42" fillId="0" borderId="0" xfId="0" applyFont="1"/>
    <xf numFmtId="166" fontId="42" fillId="0" borderId="0" xfId="0" applyNumberFormat="1" applyFont="1" applyFill="1" applyBorder="1" applyAlignment="1">
      <alignment horizontal="right"/>
    </xf>
    <xf numFmtId="166" fontId="62" fillId="0" borderId="0" xfId="0" applyNumberFormat="1" applyFont="1" applyBorder="1" applyAlignment="1">
      <alignment horizontal="right"/>
    </xf>
    <xf numFmtId="166" fontId="47" fillId="0" borderId="16" xfId="0" applyNumberFormat="1" applyFont="1" applyBorder="1"/>
    <xf numFmtId="0" fontId="76" fillId="0" borderId="6" xfId="72" applyFont="1" applyFill="1" applyBorder="1"/>
    <xf numFmtId="0" fontId="41" fillId="0" borderId="0" xfId="0" applyFont="1" applyBorder="1"/>
    <xf numFmtId="0" fontId="41" fillId="0" borderId="0" xfId="0" applyFont="1" applyFill="1" applyBorder="1"/>
    <xf numFmtId="0" fontId="40" fillId="0" borderId="0" xfId="0" applyFont="1" applyFill="1" applyBorder="1"/>
    <xf numFmtId="0" fontId="40" fillId="0" borderId="0" xfId="0" applyFont="1" applyFill="1"/>
    <xf numFmtId="0" fontId="40" fillId="0" borderId="7" xfId="0" applyFont="1" applyFill="1" applyBorder="1"/>
    <xf numFmtId="0" fontId="0" fillId="0" borderId="0" xfId="0"/>
    <xf numFmtId="0" fontId="76" fillId="3" borderId="0" xfId="0" applyFont="1" applyFill="1" applyBorder="1" applyAlignment="1" applyProtection="1">
      <alignment horizontal="center"/>
      <protection locked="0"/>
    </xf>
    <xf numFmtId="0" fontId="39" fillId="0" borderId="0" xfId="0" applyFont="1" applyFill="1"/>
    <xf numFmtId="0" fontId="39" fillId="0" borderId="0" xfId="0" applyFont="1" applyBorder="1"/>
    <xf numFmtId="0" fontId="62" fillId="0" borderId="0" xfId="36" applyFill="1"/>
    <xf numFmtId="0" fontId="62" fillId="0" borderId="0" xfId="12" applyFill="1" applyBorder="1"/>
    <xf numFmtId="166" fontId="54" fillId="0" borderId="0" xfId="12" quotePrefix="1" applyNumberFormat="1" applyFont="1" applyFill="1" applyAlignment="1">
      <alignment horizontal="right"/>
    </xf>
    <xf numFmtId="0" fontId="44" fillId="0" borderId="0" xfId="0" applyFont="1" applyFill="1" applyBorder="1"/>
    <xf numFmtId="0" fontId="53" fillId="0" borderId="0" xfId="81" applyFont="1" applyFill="1"/>
    <xf numFmtId="0" fontId="0" fillId="0" borderId="43" xfId="0" applyFill="1" applyBorder="1"/>
    <xf numFmtId="0" fontId="69" fillId="37" borderId="4" xfId="69" applyFill="1" applyBorder="1" applyAlignment="1">
      <alignment horizontal="center" vertical="center"/>
    </xf>
    <xf numFmtId="0" fontId="69" fillId="37" borderId="4" xfId="69" applyFill="1" applyAlignment="1">
      <alignment horizontal="center" vertical="center"/>
    </xf>
    <xf numFmtId="1" fontId="62" fillId="0" borderId="7" xfId="0" applyNumberFormat="1" applyFont="1" applyFill="1" applyBorder="1" applyAlignment="1">
      <alignment horizontal="right"/>
    </xf>
    <xf numFmtId="0" fontId="38" fillId="0" borderId="0" xfId="0" applyFont="1" applyFill="1" applyBorder="1"/>
    <xf numFmtId="0" fontId="50" fillId="0" borderId="0" xfId="0" applyNumberFormat="1" applyFont="1" applyFill="1"/>
    <xf numFmtId="0" fontId="38" fillId="0" borderId="0" xfId="0" applyFont="1" applyBorder="1"/>
    <xf numFmtId="0" fontId="38" fillId="0" borderId="0" xfId="0" applyNumberFormat="1" applyFont="1" applyFill="1"/>
    <xf numFmtId="0" fontId="38" fillId="0" borderId="0" xfId="0" applyFont="1"/>
    <xf numFmtId="0" fontId="38" fillId="0" borderId="0" xfId="0" applyNumberFormat="1" applyFont="1" applyFill="1" applyBorder="1"/>
    <xf numFmtId="1" fontId="62" fillId="0" borderId="0" xfId="0" applyNumberFormat="1" applyFont="1" applyFill="1" applyBorder="1" applyProtection="1">
      <protection locked="0"/>
    </xf>
    <xf numFmtId="0" fontId="107" fillId="0" borderId="0" xfId="0" applyFont="1" applyFill="1" applyProtection="1"/>
    <xf numFmtId="0" fontId="60" fillId="0" borderId="0" xfId="0" applyFont="1" applyProtection="1"/>
    <xf numFmtId="0" fontId="0" fillId="38" borderId="0" xfId="0" applyFill="1"/>
    <xf numFmtId="0" fontId="38" fillId="0" borderId="0" xfId="0" applyFont="1" applyBorder="1" applyProtection="1">
      <protection locked="0"/>
    </xf>
    <xf numFmtId="166" fontId="38" fillId="0" borderId="16" xfId="0" applyNumberFormat="1" applyFont="1" applyBorder="1" applyAlignment="1" applyProtection="1">
      <alignment horizontal="right"/>
      <protection locked="0"/>
    </xf>
    <xf numFmtId="0" fontId="75" fillId="0" borderId="0" xfId="70" applyAlignment="1">
      <alignment horizontal="left" vertical="top" wrapText="1"/>
      <protection locked="0"/>
    </xf>
    <xf numFmtId="0" fontId="0" fillId="0" borderId="0" xfId="0"/>
    <xf numFmtId="0" fontId="0" fillId="0" borderId="0" xfId="0" applyFill="1"/>
    <xf numFmtId="0" fontId="62" fillId="0" borderId="0" xfId="12" applyNumberFormat="1" applyFont="1" applyFill="1" applyBorder="1" applyAlignment="1">
      <alignment vertical="top" wrapText="1"/>
    </xf>
    <xf numFmtId="0" fontId="52" fillId="0" borderId="0" xfId="0" applyFont="1" applyFill="1" applyBorder="1"/>
    <xf numFmtId="0" fontId="37" fillId="0" borderId="0" xfId="0" applyFont="1" applyBorder="1" applyProtection="1">
      <protection locked="0"/>
    </xf>
    <xf numFmtId="0" fontId="76" fillId="0" borderId="6" xfId="72" applyFill="1" applyBorder="1" applyProtection="1">
      <protection locked="0"/>
    </xf>
    <xf numFmtId="0" fontId="91" fillId="0" borderId="0" xfId="0" applyFont="1" applyFill="1" applyProtection="1"/>
    <xf numFmtId="0" fontId="91" fillId="0" borderId="0" xfId="0" applyFont="1" applyAlignment="1" applyProtection="1">
      <alignment vertical="top" wrapText="1"/>
    </xf>
    <xf numFmtId="0" fontId="109" fillId="0" borderId="0" xfId="0" applyFont="1" applyProtection="1"/>
    <xf numFmtId="0" fontId="91" fillId="0" borderId="0" xfId="0" applyFont="1" applyFill="1" applyProtection="1">
      <protection locked="0"/>
    </xf>
    <xf numFmtId="0" fontId="107" fillId="0" borderId="0" xfId="0" applyFont="1" applyFill="1" applyProtection="1">
      <protection locked="0"/>
    </xf>
    <xf numFmtId="0" fontId="36" fillId="0" borderId="0" xfId="0" applyFont="1" applyBorder="1"/>
    <xf numFmtId="0" fontId="47" fillId="0" borderId="7" xfId="0" applyFont="1" applyBorder="1" applyAlignment="1">
      <alignment horizontal="right"/>
    </xf>
    <xf numFmtId="0" fontId="47" fillId="0" borderId="18" xfId="0" applyFont="1" applyBorder="1" applyAlignment="1">
      <alignment horizontal="right"/>
    </xf>
    <xf numFmtId="0" fontId="60" fillId="3" borderId="0" xfId="0" applyFont="1" applyFill="1" applyBorder="1" applyAlignment="1" applyProtection="1">
      <alignment horizontal="left"/>
      <protection locked="0"/>
    </xf>
    <xf numFmtId="0" fontId="107" fillId="3" borderId="19" xfId="0" applyFont="1" applyFill="1" applyBorder="1"/>
    <xf numFmtId="0" fontId="107" fillId="3" borderId="0" xfId="0" applyFont="1" applyFill="1" applyBorder="1"/>
    <xf numFmtId="0" fontId="113" fillId="3" borderId="5" xfId="0" applyFont="1" applyFill="1" applyBorder="1" applyAlignment="1" applyProtection="1">
      <alignment horizontal="center"/>
      <protection locked="0"/>
    </xf>
    <xf numFmtId="0" fontId="107" fillId="3" borderId="5" xfId="0" applyFont="1" applyFill="1" applyBorder="1"/>
    <xf numFmtId="166" fontId="107" fillId="0" borderId="0" xfId="0" applyNumberFormat="1" applyFont="1"/>
    <xf numFmtId="166" fontId="36" fillId="0" borderId="16" xfId="0" applyNumberFormat="1" applyFont="1" applyBorder="1" applyAlignment="1" applyProtection="1">
      <alignment horizontal="right"/>
      <protection locked="0"/>
    </xf>
    <xf numFmtId="0" fontId="62" fillId="0" borderId="0" xfId="0" applyFont="1" applyBorder="1" applyAlignment="1" applyProtection="1">
      <alignment horizontal="right"/>
      <protection locked="0"/>
    </xf>
    <xf numFmtId="166" fontId="36" fillId="0" borderId="0" xfId="0" applyNumberFormat="1" applyFont="1" applyBorder="1" applyAlignment="1" applyProtection="1">
      <alignment horizontal="right"/>
      <protection locked="0"/>
    </xf>
    <xf numFmtId="0" fontId="60" fillId="0" borderId="0" xfId="0" applyFont="1" applyFill="1" applyBorder="1"/>
    <xf numFmtId="166" fontId="62" fillId="0" borderId="0" xfId="0" applyNumberFormat="1" applyFont="1" applyBorder="1" applyAlignment="1" applyProtection="1">
      <alignment horizontal="right"/>
      <protection locked="0"/>
    </xf>
    <xf numFmtId="0" fontId="0" fillId="0" borderId="0" xfId="0"/>
    <xf numFmtId="0" fontId="0" fillId="3" borderId="42" xfId="0" applyFill="1" applyBorder="1"/>
    <xf numFmtId="0" fontId="70" fillId="3" borderId="30" xfId="1" applyFill="1" applyBorder="1" applyAlignment="1">
      <alignment vertical="top" wrapText="1"/>
    </xf>
    <xf numFmtId="0" fontId="80" fillId="3" borderId="0" xfId="3" applyFill="1" applyBorder="1" applyAlignment="1">
      <alignment vertical="top" wrapText="1"/>
    </xf>
    <xf numFmtId="0" fontId="77" fillId="3" borderId="5" xfId="0" applyFont="1" applyFill="1" applyBorder="1"/>
    <xf numFmtId="0" fontId="62" fillId="3" borderId="0" xfId="36" applyFill="1"/>
    <xf numFmtId="0" fontId="52" fillId="0" borderId="6" xfId="72" applyFont="1" applyFill="1"/>
    <xf numFmtId="0" fontId="60" fillId="0" borderId="0" xfId="0" applyFont="1" applyFill="1" applyBorder="1" applyAlignment="1">
      <alignment horizontal="left" vertical="top" wrapText="1"/>
    </xf>
    <xf numFmtId="0" fontId="76" fillId="3" borderId="6" xfId="72" applyFont="1" applyFill="1" applyAlignment="1">
      <alignment vertical="top" wrapText="1"/>
    </xf>
    <xf numFmtId="0" fontId="0" fillId="0" borderId="0" xfId="0" applyFill="1"/>
    <xf numFmtId="0" fontId="69" fillId="37" borderId="4" xfId="69" applyFill="1" applyAlignment="1">
      <alignment horizontal="center" vertical="center"/>
    </xf>
    <xf numFmtId="0" fontId="69" fillId="37" borderId="4" xfId="69" applyFill="1" applyAlignment="1">
      <alignment horizontal="left" vertical="center"/>
    </xf>
    <xf numFmtId="0" fontId="52" fillId="0" borderId="0" xfId="81" applyFont="1" applyFill="1" applyBorder="1"/>
    <xf numFmtId="0" fontId="35" fillId="0" borderId="0" xfId="12" applyNumberFormat="1" applyFont="1" applyFill="1" applyBorder="1" applyAlignment="1">
      <alignment vertical="top" wrapText="1"/>
    </xf>
    <xf numFmtId="0" fontId="60" fillId="0" borderId="0" xfId="2" applyNumberFormat="1" applyFont="1" applyFill="1" applyBorder="1" applyAlignment="1">
      <alignment vertical="top" wrapText="1"/>
    </xf>
    <xf numFmtId="0" fontId="34" fillId="36" borderId="0" xfId="12" applyNumberFormat="1" applyFont="1" applyFill="1" applyBorder="1" applyAlignment="1">
      <alignment vertical="top" wrapText="1"/>
    </xf>
    <xf numFmtId="0" fontId="34" fillId="3" borderId="0" xfId="12" applyNumberFormat="1" applyFont="1" applyFill="1" applyBorder="1" applyAlignment="1">
      <alignment vertical="top" wrapText="1"/>
    </xf>
    <xf numFmtId="0" fontId="33" fillId="3" borderId="0" xfId="0" applyFont="1" applyFill="1" applyBorder="1" applyAlignment="1">
      <alignment vertical="top" wrapText="1"/>
    </xf>
    <xf numFmtId="0" fontId="81" fillId="3" borderId="0" xfId="3" applyFont="1" applyFill="1" applyAlignment="1"/>
    <xf numFmtId="0" fontId="31" fillId="3" borderId="0" xfId="81" applyFont="1" applyFill="1" applyBorder="1" applyAlignment="1">
      <alignment vertical="center"/>
    </xf>
    <xf numFmtId="0" fontId="75" fillId="0" borderId="0" xfId="70" applyAlignment="1">
      <alignment vertical="top" wrapText="1"/>
      <protection locked="0"/>
    </xf>
    <xf numFmtId="0" fontId="0" fillId="0" borderId="0" xfId="0"/>
    <xf numFmtId="0" fontId="69" fillId="4" borderId="4" xfId="69" applyAlignment="1">
      <alignment horizontal="center" vertical="center"/>
    </xf>
    <xf numFmtId="0" fontId="80" fillId="0" borderId="0" xfId="3"/>
    <xf numFmtId="0" fontId="0" fillId="0" borderId="0" xfId="0"/>
    <xf numFmtId="0" fontId="91" fillId="0" borderId="0" xfId="0" applyFont="1" applyFill="1" applyBorder="1" applyProtection="1">
      <protection locked="0"/>
    </xf>
    <xf numFmtId="0" fontId="82" fillId="0" borderId="0" xfId="75" applyBorder="1"/>
    <xf numFmtId="0" fontId="77" fillId="0" borderId="42" xfId="0" applyFont="1" applyBorder="1"/>
    <xf numFmtId="0" fontId="29" fillId="0" borderId="0" xfId="36" applyFont="1"/>
    <xf numFmtId="0" fontId="29" fillId="0" borderId="0" xfId="0" applyFont="1" applyBorder="1"/>
    <xf numFmtId="0" fontId="29" fillId="0" borderId="0" xfId="12" applyFont="1" applyBorder="1" applyAlignment="1">
      <alignment vertical="center"/>
    </xf>
    <xf numFmtId="0" fontId="29" fillId="0" borderId="0" xfId="12" applyFont="1" applyFill="1" applyBorder="1" applyAlignment="1">
      <alignment vertical="center"/>
    </xf>
    <xf numFmtId="0" fontId="76" fillId="0" borderId="0" xfId="0" applyFont="1"/>
    <xf numFmtId="0" fontId="29" fillId="0" borderId="0" xfId="0" applyFont="1"/>
    <xf numFmtId="0" fontId="111" fillId="0" borderId="0" xfId="0" applyFont="1" applyFill="1" applyBorder="1" applyProtection="1">
      <protection locked="0"/>
    </xf>
    <xf numFmtId="0" fontId="28" fillId="0" borderId="0" xfId="12" applyFont="1" applyBorder="1" applyAlignment="1">
      <alignment vertical="center"/>
    </xf>
    <xf numFmtId="0" fontId="28" fillId="0" borderId="0" xfId="12" applyFont="1" applyFill="1" applyAlignment="1">
      <alignment vertical="center"/>
    </xf>
    <xf numFmtId="0" fontId="91" fillId="3" borderId="0" xfId="0" applyFont="1" applyFill="1"/>
    <xf numFmtId="0" fontId="107" fillId="3" borderId="0" xfId="0" applyFont="1" applyFill="1"/>
    <xf numFmtId="0" fontId="60" fillId="0" borderId="0" xfId="36" applyFont="1"/>
    <xf numFmtId="0" fontId="111" fillId="0" borderId="0" xfId="0" applyFont="1"/>
    <xf numFmtId="0" fontId="62" fillId="0" borderId="0" xfId="12" applyFill="1" applyAlignment="1">
      <alignment horizontal="right"/>
    </xf>
    <xf numFmtId="0" fontId="76" fillId="5" borderId="6" xfId="72" applyAlignment="1">
      <alignment horizontal="right"/>
    </xf>
    <xf numFmtId="0" fontId="62" fillId="0" borderId="0" xfId="0" applyFont="1" applyFill="1" applyBorder="1" applyAlignment="1">
      <alignment horizontal="right"/>
    </xf>
    <xf numFmtId="0" fontId="54" fillId="0" borderId="7" xfId="0" applyFont="1" applyBorder="1" applyAlignment="1">
      <alignment horizontal="right"/>
    </xf>
    <xf numFmtId="166" fontId="62" fillId="0" borderId="0" xfId="12" applyNumberFormat="1" applyAlignment="1">
      <alignment horizontal="right"/>
    </xf>
    <xf numFmtId="0" fontId="28" fillId="3" borderId="0" xfId="12" applyFont="1" applyFill="1" applyBorder="1" applyAlignment="1">
      <alignment vertical="top" wrapText="1"/>
    </xf>
    <xf numFmtId="166" fontId="62" fillId="0" borderId="7" xfId="0" applyNumberFormat="1" applyFont="1" applyBorder="1" applyAlignment="1">
      <alignment vertical="center"/>
    </xf>
    <xf numFmtId="0" fontId="60" fillId="0" borderId="0" xfId="12" applyFont="1"/>
    <xf numFmtId="0" fontId="0" fillId="0" borderId="0" xfId="0"/>
    <xf numFmtId="0" fontId="0" fillId="0" borderId="0" xfId="0" applyAlignment="1">
      <alignment wrapText="1"/>
    </xf>
    <xf numFmtId="0" fontId="0" fillId="0" borderId="0" xfId="0" applyFill="1"/>
    <xf numFmtId="0" fontId="27" fillId="0" borderId="0" xfId="0" applyFont="1"/>
    <xf numFmtId="0" fontId="27" fillId="0" borderId="0" xfId="0" applyFont="1" applyFill="1"/>
    <xf numFmtId="0" fontId="29" fillId="0" borderId="0" xfId="0" applyFont="1" applyAlignment="1">
      <alignment horizontal="left"/>
    </xf>
    <xf numFmtId="166" fontId="62" fillId="0" borderId="0" xfId="0" applyNumberFormat="1" applyFont="1" applyFill="1" applyBorder="1" applyAlignment="1">
      <alignment horizontal="right"/>
    </xf>
    <xf numFmtId="0" fontId="0" fillId="0" borderId="0" xfId="0" applyFill="1" applyAlignment="1">
      <alignment vertical="top"/>
    </xf>
    <xf numFmtId="0" fontId="0" fillId="0" borderId="0" xfId="0"/>
    <xf numFmtId="0" fontId="0" fillId="0" borderId="0" xfId="0"/>
    <xf numFmtId="0" fontId="0" fillId="0" borderId="0" xfId="0" applyFill="1"/>
    <xf numFmtId="0" fontId="0" fillId="0" borderId="0" xfId="0"/>
    <xf numFmtId="0" fontId="60" fillId="3" borderId="0" xfId="12" applyFont="1" applyFill="1"/>
    <xf numFmtId="0" fontId="107" fillId="0" borderId="0" xfId="0" applyFont="1" applyFill="1" applyAlignment="1">
      <alignment vertical="top"/>
    </xf>
    <xf numFmtId="0" fontId="26" fillId="0" borderId="0" xfId="0" applyFont="1" applyBorder="1"/>
    <xf numFmtId="0" fontId="0" fillId="0" borderId="0" xfId="0"/>
    <xf numFmtId="0" fontId="107" fillId="0" borderId="0" xfId="0" applyFont="1" applyBorder="1"/>
    <xf numFmtId="0" fontId="60" fillId="3" borderId="0" xfId="0" applyFont="1" applyFill="1" applyBorder="1" applyAlignment="1" applyProtection="1">
      <alignment horizontal="left"/>
    </xf>
    <xf numFmtId="0" fontId="25" fillId="0" borderId="0" xfId="0" applyFont="1"/>
    <xf numFmtId="0" fontId="107" fillId="0" borderId="0" xfId="0" applyFont="1" applyAlignment="1">
      <alignment vertical="top"/>
    </xf>
    <xf numFmtId="0" fontId="0" fillId="0" borderId="0" xfId="0"/>
    <xf numFmtId="0" fontId="0" fillId="0" borderId="0" xfId="0" applyFill="1"/>
    <xf numFmtId="0" fontId="75" fillId="0" borderId="0" xfId="70" applyFill="1" applyBorder="1" applyAlignment="1">
      <alignment horizontal="left" vertical="top" wrapText="1"/>
      <protection locked="0"/>
    </xf>
    <xf numFmtId="0" fontId="24" fillId="0" borderId="0" xfId="0" applyFont="1"/>
    <xf numFmtId="0" fontId="23" fillId="0" borderId="0" xfId="0" applyFont="1"/>
    <xf numFmtId="0" fontId="76" fillId="0" borderId="6" xfId="72" applyFill="1" applyBorder="1"/>
    <xf numFmtId="0" fontId="0" fillId="0" borderId="0" xfId="0"/>
    <xf numFmtId="0" fontId="0" fillId="0" borderId="0" xfId="0"/>
    <xf numFmtId="0" fontId="111" fillId="3" borderId="0" xfId="0" applyFont="1" applyFill="1"/>
    <xf numFmtId="0" fontId="113" fillId="0" borderId="0" xfId="70" applyFont="1" applyAlignment="1">
      <alignment horizontal="left" vertical="top" wrapText="1"/>
      <protection locked="0"/>
    </xf>
    <xf numFmtId="0" fontId="123" fillId="0" borderId="0" xfId="3" applyFont="1"/>
    <xf numFmtId="0" fontId="124" fillId="0" borderId="0" xfId="81" applyFont="1" applyAlignment="1">
      <alignment horizontal="left" vertical="top" wrapText="1"/>
    </xf>
    <xf numFmtId="0" fontId="0" fillId="0" borderId="0" xfId="0"/>
    <xf numFmtId="0" fontId="69" fillId="4" borderId="4" xfId="69" applyBorder="1" applyAlignment="1">
      <alignment horizontal="center" vertical="center"/>
    </xf>
    <xf numFmtId="0" fontId="69" fillId="4" borderId="4" xfId="69" applyAlignment="1">
      <alignment horizontal="center" vertical="center"/>
    </xf>
    <xf numFmtId="0" fontId="75" fillId="0" borderId="0" xfId="70" applyFill="1" applyBorder="1" applyAlignment="1">
      <alignment horizontal="left" vertical="top" wrapText="1"/>
      <protection locked="0"/>
    </xf>
    <xf numFmtId="0" fontId="22" fillId="0" borderId="0" xfId="0" applyFont="1" applyBorder="1"/>
    <xf numFmtId="0" fontId="22" fillId="0" borderId="0" xfId="0" applyFont="1" applyFill="1" applyBorder="1"/>
    <xf numFmtId="0" fontId="22" fillId="0" borderId="0" xfId="0" applyFont="1" applyBorder="1" applyProtection="1">
      <protection locked="0"/>
    </xf>
    <xf numFmtId="0" fontId="62" fillId="3" borderId="0" xfId="0" applyFont="1" applyFill="1" applyBorder="1" applyAlignment="1" applyProtection="1">
      <alignment horizontal="right"/>
      <protection locked="0"/>
    </xf>
    <xf numFmtId="0" fontId="62" fillId="36" borderId="0" xfId="0" applyFont="1" applyFill="1" applyBorder="1" applyAlignment="1" applyProtection="1">
      <alignment horizontal="right"/>
      <protection locked="0"/>
    </xf>
    <xf numFmtId="166" fontId="62" fillId="36" borderId="0" xfId="0" applyNumberFormat="1" applyFont="1" applyFill="1" applyBorder="1" applyAlignment="1" applyProtection="1">
      <alignment horizontal="right"/>
      <protection locked="0"/>
    </xf>
    <xf numFmtId="166" fontId="62" fillId="3" borderId="0" xfId="0" applyNumberFormat="1" applyFont="1" applyFill="1" applyBorder="1" applyAlignment="1" applyProtection="1">
      <alignment horizontal="right"/>
      <protection locked="0"/>
    </xf>
    <xf numFmtId="166" fontId="62" fillId="0" borderId="16" xfId="0" applyNumberFormat="1" applyFont="1" applyBorder="1" applyAlignment="1" applyProtection="1">
      <alignment horizontal="right"/>
      <protection locked="0"/>
    </xf>
    <xf numFmtId="0" fontId="69" fillId="37" borderId="12" xfId="69" applyFont="1" applyFill="1" applyBorder="1" applyAlignment="1">
      <alignment horizontal="center" vertical="center" wrapText="1"/>
    </xf>
    <xf numFmtId="1" fontId="62" fillId="3" borderId="0" xfId="0" applyNumberFormat="1" applyFont="1" applyFill="1" applyBorder="1" applyAlignment="1" applyProtection="1">
      <alignment horizontal="center"/>
      <protection locked="0"/>
    </xf>
    <xf numFmtId="0" fontId="107" fillId="0" borderId="0" xfId="0" applyFont="1" applyAlignment="1"/>
    <xf numFmtId="0" fontId="80" fillId="0" borderId="0" xfId="3" applyAlignment="1">
      <alignment vertical="top"/>
    </xf>
    <xf numFmtId="0" fontId="0" fillId="0" borderId="0" xfId="0"/>
    <xf numFmtId="0" fontId="69" fillId="4" borderId="4" xfId="69" applyBorder="1" applyAlignment="1">
      <alignment horizontal="center" vertical="center"/>
    </xf>
    <xf numFmtId="0" fontId="69" fillId="4" borderId="25" xfId="69" applyBorder="1" applyAlignment="1">
      <alignment horizontal="center" vertical="center"/>
    </xf>
    <xf numFmtId="0" fontId="0" fillId="0" borderId="0" xfId="0"/>
    <xf numFmtId="0" fontId="107" fillId="0" borderId="0" xfId="0" applyFont="1" applyAlignment="1">
      <alignment vertical="center"/>
    </xf>
    <xf numFmtId="0" fontId="107" fillId="3" borderId="42" xfId="0" applyFont="1" applyFill="1" applyBorder="1"/>
    <xf numFmtId="0" fontId="52" fillId="3" borderId="0" xfId="130" applyFill="1"/>
    <xf numFmtId="0" fontId="20" fillId="3" borderId="0" xfId="0" applyFont="1" applyFill="1" applyBorder="1"/>
    <xf numFmtId="0" fontId="20" fillId="0" borderId="0" xfId="0" applyFont="1" applyFill="1" applyAlignment="1">
      <alignment vertical="top" wrapText="1"/>
    </xf>
    <xf numFmtId="0" fontId="20" fillId="0" borderId="0" xfId="0" applyFont="1" applyBorder="1" applyAlignment="1">
      <alignment vertical="top"/>
    </xf>
    <xf numFmtId="1" fontId="20" fillId="0" borderId="16" xfId="0" applyNumberFormat="1" applyFont="1" applyBorder="1" applyAlignment="1">
      <alignment vertical="top"/>
    </xf>
    <xf numFmtId="166" fontId="20" fillId="0" borderId="0" xfId="0" applyNumberFormat="1" applyFont="1" applyBorder="1" applyAlignment="1">
      <alignment vertical="top"/>
    </xf>
    <xf numFmtId="166" fontId="20" fillId="0" borderId="16" xfId="0" applyNumberFormat="1" applyFont="1" applyBorder="1" applyAlignment="1">
      <alignment vertical="top"/>
    </xf>
    <xf numFmtId="0" fontId="52" fillId="0" borderId="0" xfId="130"/>
    <xf numFmtId="0" fontId="107" fillId="0" borderId="0" xfId="0" applyFont="1" applyAlignment="1">
      <alignment vertical="top" wrapText="1"/>
    </xf>
    <xf numFmtId="0" fontId="52" fillId="0" borderId="0" xfId="130" applyFont="1"/>
    <xf numFmtId="0" fontId="52" fillId="3" borderId="0" xfId="130" applyFill="1" applyBorder="1"/>
    <xf numFmtId="0" fontId="20" fillId="0" borderId="0" xfId="0" applyFont="1" applyAlignment="1">
      <alignment horizontal="left" vertical="top" wrapText="1"/>
    </xf>
    <xf numFmtId="0" fontId="20" fillId="0" borderId="0" xfId="0" applyNumberFormat="1" applyFont="1" applyBorder="1" applyAlignment="1">
      <alignment vertical="top"/>
    </xf>
    <xf numFmtId="0" fontId="20" fillId="0" borderId="0" xfId="0" applyNumberFormat="1" applyFont="1" applyAlignment="1">
      <alignment vertical="top"/>
    </xf>
    <xf numFmtId="0" fontId="20" fillId="0" borderId="0" xfId="0" applyFont="1"/>
    <xf numFmtId="166" fontId="62" fillId="0" borderId="7" xfId="0" applyNumberFormat="1" applyFont="1" applyBorder="1"/>
    <xf numFmtId="0" fontId="19" fillId="3" borderId="0" xfId="0" applyFont="1" applyFill="1" applyAlignment="1"/>
    <xf numFmtId="166" fontId="91" fillId="0" borderId="0" xfId="0" applyNumberFormat="1" applyFont="1" applyFill="1" applyBorder="1" applyAlignment="1" applyProtection="1">
      <alignment horizontal="right"/>
      <protection locked="0"/>
    </xf>
    <xf numFmtId="166" fontId="91" fillId="0" borderId="0" xfId="0" applyNumberFormat="1" applyFont="1" applyFill="1" applyBorder="1" applyProtection="1">
      <protection locked="0"/>
    </xf>
    <xf numFmtId="0" fontId="91" fillId="0" borderId="0" xfId="0" applyFont="1" applyFill="1" applyAlignment="1" applyProtection="1">
      <alignment vertical="top"/>
    </xf>
    <xf numFmtId="0" fontId="102" fillId="0" borderId="0" xfId="0" applyFont="1" applyFill="1" applyBorder="1" applyProtection="1">
      <protection locked="0"/>
    </xf>
    <xf numFmtId="0" fontId="91" fillId="0" borderId="0" xfId="0" applyFont="1" applyFill="1" applyBorder="1" applyAlignment="1" applyProtection="1">
      <alignment horizontal="center"/>
    </xf>
    <xf numFmtId="2" fontId="91" fillId="0" borderId="0" xfId="0" applyNumberFormat="1" applyFont="1" applyFill="1" applyProtection="1"/>
    <xf numFmtId="0" fontId="0" fillId="39" borderId="0" xfId="0" applyFill="1"/>
    <xf numFmtId="0" fontId="77" fillId="39" borderId="42" xfId="0" applyFont="1" applyFill="1" applyBorder="1"/>
    <xf numFmtId="0" fontId="0" fillId="39" borderId="0" xfId="0" applyFill="1" applyAlignment="1">
      <alignment horizontal="right"/>
    </xf>
    <xf numFmtId="0" fontId="77" fillId="39" borderId="42" xfId="0" applyFont="1" applyFill="1" applyBorder="1" applyAlignment="1">
      <alignment horizontal="left"/>
    </xf>
    <xf numFmtId="0" fontId="62" fillId="0" borderId="0" xfId="36" applyBorder="1"/>
    <xf numFmtId="0" fontId="107" fillId="0" borderId="0" xfId="0" applyFont="1" applyFill="1" applyBorder="1" applyAlignment="1">
      <alignment vertical="top" wrapText="1"/>
    </xf>
    <xf numFmtId="0" fontId="60" fillId="0" borderId="0" xfId="36" applyFont="1" applyFill="1"/>
    <xf numFmtId="1" fontId="54" fillId="3" borderId="0" xfId="0" applyNumberFormat="1" applyFont="1" applyFill="1" applyBorder="1" applyProtection="1">
      <protection locked="0"/>
    </xf>
    <xf numFmtId="166" fontId="54" fillId="3" borderId="0" xfId="0" applyNumberFormat="1" applyFont="1" applyFill="1" applyBorder="1" applyProtection="1">
      <protection locked="0"/>
    </xf>
    <xf numFmtId="0" fontId="54" fillId="3" borderId="0" xfId="0" applyFont="1" applyFill="1" applyBorder="1"/>
    <xf numFmtId="0" fontId="18" fillId="36" borderId="0" xfId="12" applyNumberFormat="1" applyFont="1" applyFill="1" applyBorder="1" applyAlignment="1">
      <alignment vertical="top" wrapText="1"/>
    </xf>
    <xf numFmtId="0" fontId="60" fillId="0" borderId="0" xfId="0" applyFont="1" applyFill="1" applyBorder="1" applyAlignment="1">
      <alignment horizontal="center"/>
    </xf>
    <xf numFmtId="9" fontId="107" fillId="0" borderId="0" xfId="129" applyFont="1"/>
    <xf numFmtId="0" fontId="103" fillId="0" borderId="0" xfId="0" applyFont="1"/>
    <xf numFmtId="1" fontId="103" fillId="0" borderId="0" xfId="0" applyNumberFormat="1" applyFont="1"/>
    <xf numFmtId="0" fontId="125" fillId="0" borderId="0" xfId="0" applyNumberFormat="1" applyFont="1"/>
    <xf numFmtId="1" fontId="103" fillId="0" borderId="0" xfId="0" applyNumberFormat="1" applyFont="1" applyBorder="1"/>
    <xf numFmtId="0" fontId="18" fillId="0" borderId="0" xfId="0" applyFont="1" applyBorder="1"/>
    <xf numFmtId="1" fontId="125" fillId="0" borderId="0" xfId="0" applyNumberFormat="1" applyFont="1" applyFill="1" applyBorder="1" applyAlignment="1">
      <alignment vertical="top"/>
    </xf>
    <xf numFmtId="0" fontId="17" fillId="3" borderId="0" xfId="0" applyFont="1" applyFill="1" applyBorder="1" applyAlignment="1">
      <alignment vertical="top" wrapText="1"/>
    </xf>
    <xf numFmtId="0" fontId="81" fillId="40" borderId="0" xfId="3" applyFont="1" applyFill="1" applyBorder="1" applyAlignment="1">
      <alignment horizontal="left" vertical="top" wrapText="1"/>
    </xf>
    <xf numFmtId="0" fontId="62" fillId="40" borderId="0" xfId="0" applyFont="1" applyFill="1" applyBorder="1" applyAlignment="1">
      <alignment vertical="top"/>
    </xf>
    <xf numFmtId="0" fontId="30" fillId="40" borderId="0" xfId="0" applyFont="1" applyFill="1" applyBorder="1" applyAlignment="1">
      <alignment vertical="top" wrapText="1"/>
    </xf>
    <xf numFmtId="0" fontId="62" fillId="40" borderId="0" xfId="0" applyFont="1" applyFill="1" applyBorder="1" applyAlignment="1">
      <alignment vertical="top" wrapText="1"/>
    </xf>
    <xf numFmtId="0" fontId="17" fillId="40" borderId="0" xfId="0" applyFont="1" applyFill="1" applyBorder="1" applyAlignment="1">
      <alignment vertical="top" wrapText="1"/>
    </xf>
    <xf numFmtId="0" fontId="34" fillId="3" borderId="0" xfId="0" applyFont="1" applyFill="1" applyBorder="1" applyAlignment="1">
      <alignment vertical="top" wrapText="1"/>
    </xf>
    <xf numFmtId="0" fontId="33" fillId="40" borderId="0" xfId="0" applyFont="1" applyFill="1" applyBorder="1" applyAlignment="1">
      <alignment vertical="top" wrapText="1"/>
    </xf>
    <xf numFmtId="0" fontId="81" fillId="40" borderId="0" xfId="3" applyFont="1" applyFill="1" applyBorder="1" applyAlignment="1">
      <alignment vertical="top"/>
    </xf>
    <xf numFmtId="0" fontId="0" fillId="40" borderId="0" xfId="0" applyFill="1" applyAlignment="1"/>
    <xf numFmtId="0" fontId="62" fillId="40" borderId="0" xfId="12" applyFill="1" applyBorder="1" applyAlignment="1">
      <alignment wrapText="1"/>
    </xf>
    <xf numFmtId="0" fontId="17" fillId="40" borderId="0" xfId="0" applyFont="1" applyFill="1" applyBorder="1" applyAlignment="1">
      <alignment vertical="top"/>
    </xf>
    <xf numFmtId="0" fontId="0" fillId="40" borderId="0" xfId="0" applyFill="1" applyBorder="1" applyAlignment="1"/>
    <xf numFmtId="0" fontId="62" fillId="3" borderId="42" xfId="12" applyFill="1" applyBorder="1" applyAlignment="1">
      <alignment vertical="top" wrapText="1"/>
    </xf>
    <xf numFmtId="0" fontId="81" fillId="3" borderId="42" xfId="3" applyFont="1" applyFill="1" applyBorder="1" applyAlignment="1">
      <alignment horizontal="left" vertical="top"/>
    </xf>
    <xf numFmtId="0" fontId="0" fillId="3" borderId="42" xfId="0" applyFill="1" applyBorder="1" applyAlignment="1"/>
    <xf numFmtId="0" fontId="62" fillId="3" borderId="42" xfId="12" applyFill="1" applyBorder="1" applyAlignment="1">
      <alignment wrapText="1"/>
    </xf>
    <xf numFmtId="0" fontId="62" fillId="40" borderId="0" xfId="12" applyFill="1" applyBorder="1" applyAlignment="1">
      <alignment vertical="top" wrapText="1"/>
    </xf>
    <xf numFmtId="0" fontId="54" fillId="40" borderId="0" xfId="12" applyFont="1" applyFill="1" applyBorder="1" applyAlignment="1">
      <alignment horizontal="left" vertical="top" wrapText="1"/>
    </xf>
    <xf numFmtId="0" fontId="81" fillId="40" borderId="0" xfId="3" applyFont="1" applyFill="1" applyBorder="1" applyAlignment="1">
      <alignment vertical="top" wrapText="1"/>
    </xf>
    <xf numFmtId="0" fontId="44" fillId="40" borderId="0" xfId="0" applyFont="1" applyFill="1" applyBorder="1" applyAlignment="1">
      <alignment vertical="top" wrapText="1"/>
    </xf>
    <xf numFmtId="0" fontId="54" fillId="40" borderId="0" xfId="12" applyFont="1" applyFill="1" applyBorder="1" applyAlignment="1">
      <alignment vertical="top" wrapText="1"/>
    </xf>
    <xf numFmtId="0" fontId="81" fillId="40" borderId="0" xfId="3" applyFont="1" applyFill="1" applyBorder="1" applyAlignment="1">
      <alignment horizontal="left" vertical="top"/>
    </xf>
    <xf numFmtId="0" fontId="21" fillId="40" borderId="0" xfId="0" applyFont="1" applyFill="1" applyBorder="1" applyAlignment="1">
      <alignment vertical="top" wrapText="1"/>
    </xf>
    <xf numFmtId="0" fontId="17" fillId="3" borderId="0" xfId="12" applyFont="1" applyFill="1" applyBorder="1" applyAlignment="1">
      <alignment vertical="top" wrapText="1"/>
    </xf>
    <xf numFmtId="0" fontId="102" fillId="0" borderId="0" xfId="0" applyFont="1" applyFill="1"/>
    <xf numFmtId="0" fontId="113" fillId="0" borderId="0" xfId="70" applyFont="1" applyFill="1" applyBorder="1" applyAlignment="1" applyProtection="1">
      <alignment vertical="top" wrapText="1"/>
    </xf>
    <xf numFmtId="0" fontId="113" fillId="0" borderId="0" xfId="70" applyFont="1" applyFill="1" applyBorder="1" applyAlignment="1">
      <alignment vertical="top" wrapText="1"/>
      <protection locked="0"/>
    </xf>
    <xf numFmtId="0" fontId="113" fillId="0" borderId="0" xfId="0" applyFont="1" applyFill="1" applyBorder="1" applyAlignment="1">
      <alignment wrapText="1"/>
    </xf>
    <xf numFmtId="0" fontId="76" fillId="0" borderId="5" xfId="0" applyFont="1" applyFill="1" applyBorder="1" applyAlignment="1">
      <alignment wrapText="1"/>
    </xf>
    <xf numFmtId="0" fontId="76" fillId="0" borderId="18" xfId="0" applyNumberFormat="1" applyFont="1" applyBorder="1" applyAlignment="1"/>
    <xf numFmtId="166" fontId="76" fillId="0" borderId="18" xfId="0" applyNumberFormat="1" applyFont="1" applyBorder="1" applyAlignment="1"/>
    <xf numFmtId="0" fontId="76" fillId="0" borderId="5" xfId="0" applyFont="1" applyBorder="1" applyAlignment="1"/>
    <xf numFmtId="166" fontId="76" fillId="0" borderId="5" xfId="0" applyNumberFormat="1" applyFont="1" applyBorder="1" applyAlignment="1"/>
    <xf numFmtId="0" fontId="75" fillId="0" borderId="0" xfId="70" applyAlignment="1">
      <alignment vertical="top" wrapText="1"/>
      <protection locked="0"/>
    </xf>
    <xf numFmtId="0" fontId="16" fillId="3" borderId="0" xfId="0" applyFont="1" applyFill="1" applyBorder="1" applyAlignment="1">
      <alignment vertical="top" wrapText="1"/>
    </xf>
    <xf numFmtId="0" fontId="80" fillId="3" borderId="0" xfId="3" applyFill="1" applyBorder="1" applyAlignment="1">
      <alignment horizontal="left"/>
    </xf>
    <xf numFmtId="166" fontId="62" fillId="0" borderId="15" xfId="0" applyNumberFormat="1" applyFont="1" applyBorder="1" applyAlignment="1">
      <alignment horizontal="right"/>
    </xf>
    <xf numFmtId="0" fontId="126" fillId="0" borderId="0" xfId="0" applyFont="1"/>
    <xf numFmtId="0" fontId="76" fillId="3" borderId="0" xfId="0" applyFont="1" applyFill="1"/>
    <xf numFmtId="0" fontId="15" fillId="3" borderId="0" xfId="12" applyNumberFormat="1" applyFont="1" applyFill="1" applyBorder="1" applyAlignment="1">
      <alignment vertical="top" wrapText="1"/>
    </xf>
    <xf numFmtId="0" fontId="15" fillId="0" borderId="0" xfId="0" applyFont="1" applyBorder="1"/>
    <xf numFmtId="0" fontId="76" fillId="0" borderId="5" xfId="0" applyFont="1" applyFill="1" applyBorder="1" applyAlignment="1">
      <alignment vertical="top" wrapText="1"/>
    </xf>
    <xf numFmtId="0" fontId="76" fillId="0" borderId="18" xfId="0" applyNumberFormat="1" applyFont="1" applyBorder="1" applyAlignment="1">
      <alignment vertical="top"/>
    </xf>
    <xf numFmtId="166" fontId="76" fillId="0" borderId="5" xfId="0" applyNumberFormat="1" applyFont="1" applyFill="1" applyBorder="1" applyAlignment="1">
      <alignment vertical="top" wrapText="1"/>
    </xf>
    <xf numFmtId="166" fontId="76" fillId="0" borderId="18" xfId="0" applyNumberFormat="1" applyFont="1" applyBorder="1" applyAlignment="1">
      <alignment vertical="top"/>
    </xf>
    <xf numFmtId="0" fontId="60" fillId="0" borderId="0" xfId="12" applyFont="1" applyFill="1" applyBorder="1"/>
    <xf numFmtId="0" fontId="69" fillId="0" borderId="0" xfId="69" applyFill="1" applyBorder="1" applyAlignment="1">
      <alignment horizontal="center" vertical="center"/>
    </xf>
    <xf numFmtId="0" fontId="69" fillId="0" borderId="0" xfId="69" applyFont="1" applyFill="1" applyBorder="1" applyAlignment="1">
      <alignment horizontal="center" vertical="center"/>
    </xf>
    <xf numFmtId="166" fontId="62" fillId="0" borderId="0" xfId="12" applyNumberFormat="1" applyFill="1" applyBorder="1"/>
    <xf numFmtId="0" fontId="70" fillId="3" borderId="44" xfId="1" applyFill="1" applyBorder="1">
      <alignment vertical="center"/>
    </xf>
    <xf numFmtId="0" fontId="0" fillId="3" borderId="44" xfId="0" applyFill="1" applyBorder="1"/>
    <xf numFmtId="0" fontId="77" fillId="3" borderId="44" xfId="0" applyFont="1" applyFill="1" applyBorder="1"/>
    <xf numFmtId="0" fontId="107" fillId="3" borderId="44" xfId="0" applyFont="1" applyFill="1" applyBorder="1"/>
    <xf numFmtId="49" fontId="60" fillId="0" borderId="0" xfId="0" quotePrefix="1" applyNumberFormat="1" applyFont="1" applyFill="1" applyAlignment="1"/>
    <xf numFmtId="0" fontId="14" fillId="3" borderId="0" xfId="12" applyFont="1" applyFill="1"/>
    <xf numFmtId="0" fontId="13" fillId="0" borderId="0" xfId="0" applyNumberFormat="1" applyFont="1" applyFill="1"/>
    <xf numFmtId="0" fontId="52" fillId="0" borderId="0" xfId="130" applyAlignment="1"/>
    <xf numFmtId="0" fontId="52" fillId="0" borderId="0" xfId="130" applyBorder="1" applyAlignment="1"/>
    <xf numFmtId="0" fontId="52" fillId="0" borderId="0" xfId="130" applyFill="1" applyBorder="1"/>
    <xf numFmtId="0" fontId="52" fillId="0" borderId="0" xfId="130" applyFont="1" applyAlignment="1">
      <alignment horizontal="left"/>
    </xf>
    <xf numFmtId="0" fontId="91" fillId="0" borderId="0" xfId="0" applyFont="1" applyFill="1" applyAlignment="1" applyProtection="1">
      <alignment vertical="top" wrapText="1"/>
    </xf>
    <xf numFmtId="0" fontId="69" fillId="0" borderId="0" xfId="0" applyFont="1" applyFill="1" applyAlignment="1" applyProtection="1">
      <alignment horizontal="center"/>
    </xf>
    <xf numFmtId="0" fontId="91" fillId="0" borderId="0" xfId="0" applyFont="1" applyAlignment="1" applyProtection="1">
      <alignment horizontal="right"/>
    </xf>
    <xf numFmtId="167" fontId="109" fillId="0" borderId="0" xfId="0" applyNumberFormat="1" applyFont="1" applyFill="1" applyProtection="1"/>
    <xf numFmtId="2" fontId="109" fillId="0" borderId="0" xfId="0" applyNumberFormat="1" applyFont="1" applyFill="1" applyProtection="1"/>
    <xf numFmtId="166" fontId="109" fillId="0" borderId="0" xfId="0" applyNumberFormat="1" applyFont="1" applyFill="1" applyProtection="1"/>
    <xf numFmtId="0" fontId="109" fillId="0" borderId="0" xfId="0" applyFont="1" applyFill="1" applyBorder="1"/>
    <xf numFmtId="0" fontId="91" fillId="0" borderId="0" xfId="0" applyFont="1" applyBorder="1" applyProtection="1"/>
    <xf numFmtId="0" fontId="109" fillId="0" borderId="0" xfId="0" applyFont="1" applyFill="1" applyProtection="1"/>
    <xf numFmtId="167" fontId="69" fillId="0" borderId="0" xfId="0" applyNumberFormat="1" applyFont="1" applyFill="1" applyProtection="1"/>
    <xf numFmtId="2" fontId="69" fillId="0" borderId="0" xfId="0" applyNumberFormat="1" applyFont="1" applyFill="1" applyProtection="1"/>
    <xf numFmtId="0" fontId="12" fillId="36" borderId="0" xfId="12" applyNumberFormat="1" applyFont="1" applyFill="1" applyBorder="1" applyAlignment="1">
      <alignment vertical="top" wrapText="1"/>
    </xf>
    <xf numFmtId="0" fontId="0" fillId="0" borderId="0" xfId="0"/>
    <xf numFmtId="0" fontId="69" fillId="4" borderId="4" xfId="69" applyBorder="1" applyAlignment="1">
      <alignment horizontal="center" vertical="center"/>
    </xf>
    <xf numFmtId="0" fontId="0" fillId="0" borderId="0" xfId="0"/>
    <xf numFmtId="0" fontId="11" fillId="3" borderId="0" xfId="0" applyFont="1" applyFill="1" applyBorder="1" applyAlignment="1">
      <alignment vertical="top" wrapText="1"/>
    </xf>
    <xf numFmtId="0" fontId="107" fillId="0" borderId="0" xfId="0" applyFont="1" applyFill="1" applyBorder="1" applyProtection="1"/>
    <xf numFmtId="0" fontId="107" fillId="0" borderId="0" xfId="0" applyFont="1" applyFill="1" applyBorder="1" applyProtection="1">
      <protection locked="0"/>
    </xf>
    <xf numFmtId="0" fontId="107" fillId="0" borderId="0" xfId="0" applyNumberFormat="1" applyFont="1"/>
    <xf numFmtId="0" fontId="113" fillId="0" borderId="0" xfId="72" applyFont="1" applyFill="1" applyBorder="1" applyProtection="1">
      <protection locked="0"/>
    </xf>
    <xf numFmtId="0" fontId="11" fillId="0" borderId="0" xfId="0" applyFont="1"/>
    <xf numFmtId="0" fontId="113" fillId="0" borderId="0" xfId="69" applyFont="1" applyFill="1" applyBorder="1" applyAlignment="1">
      <alignment horizontal="center" vertical="center"/>
    </xf>
    <xf numFmtId="166" fontId="60" fillId="0" borderId="0" xfId="12" applyNumberFormat="1" applyFont="1" applyFill="1" applyBorder="1"/>
    <xf numFmtId="0" fontId="60" fillId="0" borderId="0" xfId="12" applyFont="1" applyFill="1"/>
    <xf numFmtId="0" fontId="69" fillId="4" borderId="0" xfId="69" applyBorder="1" applyAlignment="1">
      <alignment horizontal="center" vertical="center"/>
    </xf>
    <xf numFmtId="0" fontId="11" fillId="40" borderId="0" xfId="0" applyFont="1" applyFill="1" applyBorder="1" applyAlignment="1">
      <alignment vertical="top" wrapText="1"/>
    </xf>
    <xf numFmtId="0" fontId="60" fillId="0" borderId="0" xfId="0" applyNumberFormat="1" applyFont="1"/>
    <xf numFmtId="0" fontId="60" fillId="0" borderId="0" xfId="12" applyFont="1" applyAlignment="1"/>
    <xf numFmtId="0" fontId="10" fillId="0" borderId="0" xfId="0" applyFont="1" applyAlignment="1">
      <alignment horizontal="left" vertical="top" wrapText="1"/>
    </xf>
    <xf numFmtId="0" fontId="10" fillId="0" borderId="0" xfId="0" applyFont="1" applyAlignment="1">
      <alignment wrapText="1"/>
    </xf>
    <xf numFmtId="0" fontId="0" fillId="41" borderId="0" xfId="0" applyNumberFormat="1" applyFill="1"/>
    <xf numFmtId="0" fontId="76" fillId="5" borderId="31" xfId="72" applyFont="1" applyBorder="1" applyAlignment="1">
      <alignment vertical="top"/>
    </xf>
    <xf numFmtId="0" fontId="0" fillId="41" borderId="24" xfId="0" applyNumberFormat="1" applyFill="1" applyBorder="1"/>
    <xf numFmtId="0" fontId="0" fillId="41" borderId="27" xfId="0" applyNumberFormat="1" applyFill="1" applyBorder="1"/>
    <xf numFmtId="0" fontId="76" fillId="5" borderId="26" xfId="72" applyFont="1" applyBorder="1" applyAlignment="1">
      <alignment vertical="center"/>
    </xf>
    <xf numFmtId="0" fontId="76" fillId="5" borderId="26" xfId="72" applyFont="1" applyBorder="1" applyAlignment="1">
      <alignment vertical="top" wrapText="1"/>
    </xf>
    <xf numFmtId="0" fontId="0" fillId="0" borderId="27" xfId="0" applyNumberFormat="1" applyBorder="1"/>
    <xf numFmtId="0" fontId="10" fillId="0" borderId="0" xfId="72" applyFont="1" applyFill="1" applyBorder="1" applyAlignment="1">
      <alignment vertical="top" wrapText="1"/>
    </xf>
    <xf numFmtId="0" fontId="76" fillId="5" borderId="9" xfId="72" applyFont="1" applyBorder="1" applyAlignment="1">
      <alignment wrapText="1"/>
    </xf>
    <xf numFmtId="0" fontId="107" fillId="0" borderId="0" xfId="0" applyFont="1" applyProtection="1">
      <protection locked="0"/>
    </xf>
    <xf numFmtId="0" fontId="107" fillId="3" borderId="0" xfId="0" applyFont="1" applyFill="1" applyBorder="1" applyProtection="1">
      <protection locked="0"/>
    </xf>
    <xf numFmtId="0" fontId="107" fillId="3" borderId="31" xfId="0" applyFont="1" applyFill="1" applyBorder="1" applyProtection="1">
      <protection locked="0"/>
    </xf>
    <xf numFmtId="0" fontId="107" fillId="3" borderId="24" xfId="0" applyFont="1" applyFill="1" applyBorder="1" applyProtection="1">
      <protection locked="0"/>
    </xf>
    <xf numFmtId="0" fontId="60" fillId="3" borderId="0" xfId="0" applyFont="1" applyFill="1" applyBorder="1"/>
    <xf numFmtId="166" fontId="60" fillId="3" borderId="0" xfId="0" applyNumberFormat="1" applyFont="1" applyFill="1" applyBorder="1"/>
    <xf numFmtId="0" fontId="107" fillId="3" borderId="24" xfId="0" applyFont="1" applyFill="1" applyBorder="1"/>
    <xf numFmtId="1" fontId="107" fillId="0" borderId="0" xfId="0" applyNumberFormat="1" applyFont="1"/>
    <xf numFmtId="0" fontId="107" fillId="3" borderId="29" xfId="0" applyFont="1" applyFill="1" applyBorder="1" applyProtection="1">
      <protection locked="0"/>
    </xf>
    <xf numFmtId="166" fontId="107" fillId="0" borderId="0" xfId="0" applyNumberFormat="1" applyFont="1" applyAlignment="1">
      <alignment horizontal="right"/>
    </xf>
    <xf numFmtId="0" fontId="10" fillId="3" borderId="0" xfId="0" applyFont="1" applyFill="1" applyBorder="1" applyAlignment="1" applyProtection="1">
      <alignment horizontal="center"/>
      <protection locked="0"/>
    </xf>
    <xf numFmtId="0" fontId="107" fillId="0" borderId="0" xfId="0" applyFont="1" applyFill="1" applyAlignment="1" applyProtection="1">
      <alignment vertical="top"/>
    </xf>
    <xf numFmtId="1" fontId="103" fillId="0" borderId="0" xfId="129" applyNumberFormat="1" applyFont="1"/>
    <xf numFmtId="166" fontId="60" fillId="0" borderId="0" xfId="0" applyNumberFormat="1" applyFont="1" applyBorder="1" applyAlignment="1">
      <alignment horizontal="right"/>
    </xf>
    <xf numFmtId="0" fontId="113" fillId="5" borderId="6" xfId="72" applyFont="1" applyBorder="1"/>
    <xf numFmtId="0" fontId="69" fillId="37" borderId="0" xfId="69" applyFill="1" applyBorder="1" applyAlignment="1">
      <alignment horizontal="center" vertical="center"/>
    </xf>
    <xf numFmtId="0" fontId="8" fillId="0" borderId="0" xfId="0" applyFont="1" applyFill="1" applyBorder="1"/>
    <xf numFmtId="0" fontId="7" fillId="3" borderId="0" xfId="0" applyFont="1" applyFill="1" applyAlignment="1"/>
    <xf numFmtId="0" fontId="6" fillId="36" borderId="0" xfId="12" applyNumberFormat="1" applyFont="1" applyFill="1" applyBorder="1" applyAlignment="1">
      <alignment vertical="top" wrapText="1"/>
    </xf>
    <xf numFmtId="0" fontId="0" fillId="0" borderId="0" xfId="0"/>
    <xf numFmtId="0" fontId="9" fillId="0" borderId="0" xfId="0" applyFont="1" applyFill="1" applyBorder="1"/>
    <xf numFmtId="0" fontId="5" fillId="3" borderId="0" xfId="12" applyFont="1" applyFill="1" applyBorder="1" applyAlignment="1">
      <alignment vertical="top"/>
    </xf>
    <xf numFmtId="0" fontId="5" fillId="3" borderId="0" xfId="12" applyFont="1" applyFill="1" applyBorder="1" applyAlignment="1">
      <alignment wrapText="1"/>
    </xf>
    <xf numFmtId="0" fontId="5" fillId="36" borderId="0" xfId="12" applyNumberFormat="1" applyFont="1" applyFill="1" applyBorder="1" applyAlignment="1">
      <alignment vertical="top" wrapText="1"/>
    </xf>
    <xf numFmtId="166" fontId="20" fillId="0" borderId="0" xfId="0" applyNumberFormat="1" applyFont="1" applyFill="1" applyBorder="1" applyAlignment="1">
      <alignment vertical="top"/>
    </xf>
    <xf numFmtId="0" fontId="4" fillId="0" borderId="0" xfId="0" applyFont="1" applyFill="1" applyAlignment="1">
      <alignment vertical="top" wrapText="1"/>
    </xf>
    <xf numFmtId="0" fontId="0" fillId="0" borderId="0" xfId="0" applyFill="1" applyAlignment="1"/>
    <xf numFmtId="0" fontId="76" fillId="0" borderId="0" xfId="0" applyFont="1" applyFill="1" applyAlignment="1">
      <alignment vertical="top"/>
    </xf>
    <xf numFmtId="0" fontId="60" fillId="3" borderId="0" xfId="3" applyFont="1" applyFill="1" applyAlignment="1"/>
    <xf numFmtId="0" fontId="2" fillId="0" borderId="0" xfId="0" applyFont="1" applyFill="1" applyAlignment="1">
      <alignment vertical="top" wrapText="1"/>
    </xf>
    <xf numFmtId="0" fontId="109" fillId="0" borderId="0" xfId="12" applyFont="1"/>
    <xf numFmtId="0" fontId="109" fillId="0" borderId="0" xfId="0" applyFont="1"/>
    <xf numFmtId="0" fontId="91" fillId="3" borderId="0" xfId="0" applyFont="1" applyFill="1" applyAlignment="1">
      <alignment horizontal="right"/>
    </xf>
    <xf numFmtId="1" fontId="91" fillId="3" borderId="0" xfId="0" applyNumberFormat="1" applyFont="1" applyFill="1" applyAlignment="1">
      <alignment horizontal="right"/>
    </xf>
    <xf numFmtId="0" fontId="91" fillId="0" borderId="0" xfId="0" applyFont="1" applyFill="1" applyBorder="1" applyAlignment="1" applyProtection="1">
      <alignment horizontal="right"/>
    </xf>
    <xf numFmtId="0" fontId="109" fillId="0" borderId="0" xfId="36" applyFont="1" applyAlignment="1">
      <alignment horizontal="right"/>
    </xf>
    <xf numFmtId="1" fontId="91" fillId="0" borderId="0" xfId="0" applyNumberFormat="1" applyFont="1" applyFill="1" applyBorder="1" applyAlignment="1" applyProtection="1">
      <alignment horizontal="right"/>
    </xf>
    <xf numFmtId="0" fontId="91" fillId="0" borderId="0" xfId="0" applyFont="1" applyFill="1" applyBorder="1" applyAlignment="1" applyProtection="1">
      <alignment vertical="top"/>
      <protection locked="0"/>
    </xf>
    <xf numFmtId="0" fontId="91" fillId="0" borderId="0" xfId="0" applyFont="1" applyFill="1" applyBorder="1" applyAlignment="1" applyProtection="1">
      <alignment horizontal="right" vertical="top"/>
      <protection locked="0"/>
    </xf>
    <xf numFmtId="0" fontId="91" fillId="0" borderId="0" xfId="0" applyFont="1" applyAlignment="1">
      <alignment horizontal="right"/>
    </xf>
    <xf numFmtId="1" fontId="91" fillId="0" borderId="0" xfId="0" applyNumberFormat="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109" fillId="0" borderId="0" xfId="36" applyFont="1"/>
    <xf numFmtId="0" fontId="91" fillId="0" borderId="0" xfId="0" applyFont="1" applyFill="1" applyBorder="1" applyAlignment="1" applyProtection="1">
      <alignment horizontal="right"/>
      <protection locked="0"/>
    </xf>
    <xf numFmtId="1" fontId="91" fillId="0" borderId="0" xfId="0" applyNumberFormat="1" applyFont="1" applyFill="1" applyBorder="1" applyAlignment="1" applyProtection="1">
      <alignment horizontal="right"/>
      <protection locked="0"/>
    </xf>
    <xf numFmtId="0" fontId="127" fillId="0" borderId="0" xfId="72" applyFont="1" applyFill="1" applyBorder="1" applyProtection="1">
      <protection locked="0"/>
    </xf>
    <xf numFmtId="0" fontId="127" fillId="0" borderId="0" xfId="0" applyFont="1" applyFill="1" applyBorder="1" applyProtection="1">
      <protection locked="0"/>
    </xf>
    <xf numFmtId="0" fontId="109" fillId="0" borderId="0" xfId="72" applyFont="1" applyFill="1" applyBorder="1" applyAlignment="1" applyProtection="1">
      <alignment horizontal="right"/>
      <protection locked="0"/>
    </xf>
    <xf numFmtId="0" fontId="91" fillId="0" borderId="0" xfId="0" applyFont="1" applyFill="1" applyBorder="1"/>
    <xf numFmtId="0" fontId="109" fillId="0" borderId="0" xfId="0" applyFont="1" applyBorder="1"/>
    <xf numFmtId="0" fontId="109" fillId="0" borderId="0" xfId="0" applyFont="1" applyFill="1" applyBorder="1" applyProtection="1">
      <protection locked="0"/>
    </xf>
    <xf numFmtId="0" fontId="91" fillId="0" borderId="0" xfId="0" applyFont="1" applyFill="1" applyBorder="1" applyAlignment="1" applyProtection="1">
      <alignment horizontal="left"/>
      <protection locked="0"/>
    </xf>
    <xf numFmtId="1" fontId="91" fillId="0" borderId="0" xfId="0" applyNumberFormat="1" applyFont="1" applyAlignment="1">
      <alignment horizontal="right"/>
    </xf>
    <xf numFmtId="0" fontId="102" fillId="0" borderId="0" xfId="0" applyFont="1" applyFill="1" applyBorder="1" applyAlignment="1" applyProtection="1">
      <alignment horizontal="right"/>
      <protection locked="0"/>
    </xf>
    <xf numFmtId="0" fontId="109" fillId="0" borderId="0" xfId="72" applyFont="1" applyFill="1" applyBorder="1" applyProtection="1">
      <protection locked="0"/>
    </xf>
    <xf numFmtId="0" fontId="109" fillId="3" borderId="0" xfId="12" applyFont="1" applyFill="1"/>
    <xf numFmtId="0" fontId="109" fillId="0" borderId="0" xfId="12" applyFont="1" applyFill="1"/>
    <xf numFmtId="0" fontId="91" fillId="0" borderId="0" xfId="0" applyFont="1" applyFill="1"/>
    <xf numFmtId="0" fontId="91" fillId="0" borderId="0" xfId="0" applyFont="1" applyFill="1" applyAlignment="1">
      <alignment vertical="top"/>
    </xf>
    <xf numFmtId="0" fontId="91" fillId="0" borderId="0" xfId="0" applyFont="1" applyFill="1" applyAlignment="1"/>
    <xf numFmtId="0" fontId="91" fillId="0" borderId="0" xfId="0" applyFont="1" applyFill="1" applyAlignment="1">
      <alignment wrapText="1"/>
    </xf>
    <xf numFmtId="0" fontId="91" fillId="0" borderId="0" xfId="0" applyFont="1" applyFill="1" applyAlignment="1">
      <alignment horizontal="left"/>
    </xf>
    <xf numFmtId="0" fontId="91" fillId="0" borderId="0" xfId="0" applyFont="1" applyAlignment="1">
      <alignment vertical="top"/>
    </xf>
    <xf numFmtId="0" fontId="91" fillId="0" borderId="0" xfId="0" applyFont="1" applyAlignment="1"/>
    <xf numFmtId="0" fontId="109" fillId="0" borderId="0" xfId="0" applyNumberFormat="1" applyFont="1"/>
    <xf numFmtId="0" fontId="113" fillId="4" borderId="4" xfId="69" applyFont="1" applyAlignment="1">
      <alignment horizontal="center" vertical="center"/>
    </xf>
    <xf numFmtId="0" fontId="113" fillId="4" borderId="4" xfId="69" applyFont="1" applyBorder="1" applyAlignment="1">
      <alignment horizontal="center" vertical="center"/>
    </xf>
    <xf numFmtId="0" fontId="113" fillId="5" borderId="6" xfId="72" applyFont="1"/>
    <xf numFmtId="0" fontId="60" fillId="5" borderId="6" xfId="72" applyFont="1" applyBorder="1"/>
    <xf numFmtId="0" fontId="60" fillId="0" borderId="7" xfId="0" applyFont="1" applyFill="1" applyBorder="1"/>
    <xf numFmtId="0" fontId="113" fillId="0" borderId="0" xfId="70" applyFont="1" applyAlignment="1">
      <alignment vertical="top" wrapText="1"/>
      <protection locked="0"/>
    </xf>
    <xf numFmtId="166" fontId="60" fillId="0" borderId="0" xfId="12" applyNumberFormat="1" applyFont="1" applyFill="1"/>
    <xf numFmtId="0" fontId="91" fillId="0" borderId="0" xfId="0" applyFont="1" applyAlignment="1">
      <alignment horizontal="left"/>
    </xf>
    <xf numFmtId="0" fontId="109" fillId="0" borderId="0" xfId="12" applyFont="1" applyAlignment="1"/>
    <xf numFmtId="0" fontId="102" fillId="0" borderId="0" xfId="0" applyFont="1" applyAlignment="1">
      <alignment vertical="top"/>
    </xf>
    <xf numFmtId="0" fontId="102" fillId="0" borderId="0" xfId="0" applyFont="1"/>
    <xf numFmtId="0" fontId="109" fillId="0" borderId="0" xfId="0" applyNumberFormat="1" applyFont="1" applyFill="1"/>
    <xf numFmtId="0" fontId="91" fillId="3" borderId="44" xfId="0" applyFont="1" applyFill="1" applyBorder="1"/>
    <xf numFmtId="0" fontId="91" fillId="0" borderId="0" xfId="0" applyFont="1" applyBorder="1"/>
    <xf numFmtId="166" fontId="91" fillId="0" borderId="0" xfId="0" applyNumberFormat="1" applyFont="1"/>
    <xf numFmtId="0" fontId="91" fillId="0" borderId="0" xfId="0" applyFont="1" applyAlignment="1">
      <alignment vertical="center"/>
    </xf>
    <xf numFmtId="0" fontId="91" fillId="0" borderId="0" xfId="0" applyFont="1" applyAlignment="1">
      <alignment vertical="top" wrapText="1"/>
    </xf>
    <xf numFmtId="0" fontId="91" fillId="3" borderId="5" xfId="0" applyFont="1" applyFill="1" applyBorder="1"/>
    <xf numFmtId="0" fontId="91" fillId="0" borderId="0" xfId="0" applyFont="1" applyFill="1" applyBorder="1" applyAlignment="1">
      <alignment vertical="top" wrapText="1"/>
    </xf>
    <xf numFmtId="0" fontId="69" fillId="0" borderId="0" xfId="36" applyFont="1" applyFill="1"/>
    <xf numFmtId="0" fontId="69" fillId="0" borderId="0" xfId="36" applyFont="1"/>
    <xf numFmtId="0" fontId="109" fillId="3" borderId="0" xfId="0" applyFont="1" applyFill="1" applyBorder="1" applyAlignment="1" applyProtection="1">
      <alignment horizontal="left"/>
    </xf>
    <xf numFmtId="0" fontId="102" fillId="3" borderId="0" xfId="0" applyFont="1" applyFill="1" applyProtection="1">
      <protection locked="0"/>
    </xf>
    <xf numFmtId="0" fontId="91" fillId="3" borderId="0" xfId="0" applyFont="1" applyFill="1" applyBorder="1" applyProtection="1"/>
    <xf numFmtId="0" fontId="102" fillId="0" borderId="0" xfId="0" applyFont="1" applyFill="1" applyBorder="1"/>
    <xf numFmtId="0" fontId="0" fillId="0" borderId="0" xfId="0"/>
    <xf numFmtId="0" fontId="102" fillId="0" borderId="0" xfId="0" applyFont="1" applyFill="1" applyBorder="1" applyProtection="1"/>
    <xf numFmtId="0" fontId="102" fillId="0" borderId="0" xfId="0" applyFont="1" applyFill="1" applyBorder="1" applyAlignment="1" applyProtection="1">
      <protection locked="0"/>
    </xf>
    <xf numFmtId="0" fontId="102" fillId="0" borderId="0" xfId="0" applyFont="1" applyFill="1" applyBorder="1" applyAlignment="1"/>
    <xf numFmtId="0" fontId="69" fillId="0" borderId="0" xfId="72" applyFont="1" applyFill="1" applyBorder="1" applyProtection="1">
      <protection locked="0"/>
    </xf>
    <xf numFmtId="167" fontId="91" fillId="0" borderId="0" xfId="0" applyNumberFormat="1" applyFont="1" applyFill="1" applyBorder="1" applyProtection="1">
      <protection locked="0"/>
    </xf>
    <xf numFmtId="168" fontId="91" fillId="0" borderId="0" xfId="0" applyNumberFormat="1" applyFont="1" applyFill="1" applyBorder="1" applyProtection="1">
      <protection locked="0"/>
    </xf>
    <xf numFmtId="0" fontId="109" fillId="0" borderId="0" xfId="72" applyFont="1" applyFill="1" applyBorder="1"/>
    <xf numFmtId="2" fontId="91" fillId="0" borderId="0" xfId="0" applyNumberFormat="1" applyFont="1" applyFill="1" applyBorder="1" applyProtection="1">
      <protection locked="0"/>
    </xf>
    <xf numFmtId="2" fontId="91" fillId="0" borderId="0" xfId="0" applyNumberFormat="1" applyFont="1" applyFill="1" applyBorder="1"/>
    <xf numFmtId="0" fontId="102" fillId="0" borderId="0" xfId="0" applyFont="1" applyFill="1" applyBorder="1" applyAlignment="1" applyProtection="1">
      <alignment horizontal="left"/>
      <protection locked="0"/>
    </xf>
    <xf numFmtId="0" fontId="69" fillId="0" borderId="0" xfId="72" applyFont="1" applyFill="1" applyBorder="1" applyProtection="1"/>
    <xf numFmtId="0" fontId="109" fillId="0" borderId="0" xfId="0" applyFont="1" applyFill="1" applyBorder="1" applyProtection="1"/>
    <xf numFmtId="166" fontId="91" fillId="0" borderId="0" xfId="0" applyNumberFormat="1" applyFont="1" applyFill="1" applyProtection="1"/>
    <xf numFmtId="0" fontId="102" fillId="0" borderId="0" xfId="0" applyFont="1" applyFill="1" applyBorder="1" applyAlignment="1" applyProtection="1">
      <alignment horizontal="left"/>
    </xf>
    <xf numFmtId="0" fontId="91" fillId="0" borderId="0" xfId="0" applyFont="1" applyFill="1" applyBorder="1" applyAlignment="1" applyProtection="1">
      <alignment horizontal="left"/>
    </xf>
    <xf numFmtId="0" fontId="102" fillId="0" borderId="0" xfId="0" applyFont="1" applyFill="1" applyProtection="1">
      <protection locked="0"/>
    </xf>
    <xf numFmtId="0" fontId="69" fillId="0" borderId="0" xfId="70" applyFont="1" applyFill="1" applyBorder="1" applyAlignment="1" applyProtection="1">
      <alignment vertical="top" wrapText="1"/>
    </xf>
    <xf numFmtId="0" fontId="69" fillId="0" borderId="0" xfId="70" applyFont="1" applyFill="1" applyBorder="1" applyAlignment="1" applyProtection="1">
      <alignment horizontal="left" vertical="top" wrapText="1"/>
    </xf>
    <xf numFmtId="0" fontId="128" fillId="0" borderId="0" xfId="3" applyFont="1" applyFill="1" applyBorder="1" applyAlignment="1" applyProtection="1">
      <alignment vertical="top"/>
    </xf>
    <xf numFmtId="0" fontId="69" fillId="0" borderId="0" xfId="70" applyFont="1" applyFill="1" applyBorder="1" applyAlignment="1">
      <alignment vertical="top" wrapText="1"/>
      <protection locked="0"/>
    </xf>
    <xf numFmtId="0" fontId="129" fillId="0" borderId="0" xfId="70" applyFont="1" applyFill="1" applyBorder="1" applyAlignment="1" applyProtection="1">
      <alignment vertical="top" wrapText="1"/>
    </xf>
    <xf numFmtId="0" fontId="127" fillId="0" borderId="0" xfId="0" applyFont="1" applyFill="1" applyBorder="1" applyProtection="1"/>
    <xf numFmtId="0" fontId="127" fillId="0" borderId="0" xfId="0" applyFont="1" applyFill="1" applyProtection="1"/>
    <xf numFmtId="0" fontId="69" fillId="0" borderId="0" xfId="0" applyFont="1" applyFill="1" applyBorder="1" applyAlignment="1">
      <alignment wrapText="1"/>
    </xf>
    <xf numFmtId="0" fontId="127" fillId="0" borderId="0" xfId="0" applyFont="1" applyFill="1" applyBorder="1" applyAlignment="1" applyProtection="1"/>
    <xf numFmtId="166" fontId="127" fillId="0" borderId="0" xfId="0" applyNumberFormat="1" applyFont="1" applyFill="1" applyBorder="1" applyProtection="1"/>
    <xf numFmtId="0" fontId="129" fillId="0" borderId="0" xfId="0" applyFont="1" applyFill="1" applyBorder="1" applyAlignment="1" applyProtection="1"/>
    <xf numFmtId="166" fontId="109" fillId="0" borderId="0" xfId="0" applyNumberFormat="1" applyFont="1" applyFill="1" applyBorder="1" applyProtection="1"/>
    <xf numFmtId="0" fontId="127" fillId="0" borderId="0" xfId="0" applyFont="1" applyFill="1" applyBorder="1" applyAlignment="1" applyProtection="1">
      <alignment horizontal="left"/>
    </xf>
    <xf numFmtId="0" fontId="91" fillId="0" borderId="0" xfId="0" applyFont="1" applyFill="1" applyAlignment="1" applyProtection="1">
      <alignment horizontal="left"/>
    </xf>
    <xf numFmtId="0" fontId="115" fillId="3" borderId="0" xfId="1" applyFont="1" applyFill="1" applyBorder="1">
      <alignment vertical="center"/>
    </xf>
    <xf numFmtId="0" fontId="72" fillId="3" borderId="0" xfId="0" applyFont="1" applyFill="1" applyBorder="1"/>
    <xf numFmtId="0" fontId="121" fillId="3" borderId="0" xfId="70" applyFont="1" applyFill="1" applyBorder="1" applyAlignment="1">
      <alignment vertical="top" wrapText="1"/>
      <protection locked="0"/>
    </xf>
    <xf numFmtId="0" fontId="116" fillId="3" borderId="0" xfId="70" applyFont="1" applyFill="1" applyBorder="1" applyAlignment="1">
      <alignment vertical="top" wrapText="1"/>
      <protection locked="0"/>
    </xf>
    <xf numFmtId="0" fontId="114" fillId="3" borderId="0" xfId="0" applyFont="1" applyFill="1" applyBorder="1"/>
    <xf numFmtId="0" fontId="3" fillId="3" borderId="0" xfId="12" applyFont="1" applyFill="1" applyBorder="1" applyAlignment="1">
      <alignment vertical="top" wrapText="1"/>
    </xf>
    <xf numFmtId="0" fontId="62" fillId="3" borderId="0" xfId="12" applyFill="1" applyBorder="1"/>
    <xf numFmtId="0" fontId="103" fillId="3" borderId="0" xfId="0" applyFont="1" applyFill="1" applyBorder="1"/>
    <xf numFmtId="0" fontId="120" fillId="3" borderId="0" xfId="12" applyFont="1" applyFill="1" applyBorder="1" applyAlignment="1">
      <alignment vertical="top" wrapText="1"/>
    </xf>
    <xf numFmtId="0" fontId="54" fillId="3" borderId="0" xfId="0" applyFont="1" applyFill="1" applyBorder="1" applyAlignment="1">
      <alignment wrapText="1"/>
    </xf>
    <xf numFmtId="0" fontId="114" fillId="3" borderId="0" xfId="0" applyFont="1" applyFill="1" applyBorder="1" applyAlignment="1">
      <alignment vertical="center"/>
    </xf>
    <xf numFmtId="0" fontId="0" fillId="3" borderId="0" xfId="0" applyFill="1" applyBorder="1" applyAlignment="1">
      <alignment horizontal="left" vertical="center"/>
    </xf>
    <xf numFmtId="166" fontId="0" fillId="3" borderId="0" xfId="0" applyNumberFormat="1" applyFill="1" applyBorder="1" applyAlignment="1">
      <alignment horizontal="left" vertical="center"/>
    </xf>
    <xf numFmtId="0" fontId="114" fillId="3" borderId="0" xfId="0" applyFont="1" applyFill="1" applyBorder="1" applyAlignment="1">
      <alignment horizontal="left" vertical="top"/>
    </xf>
    <xf numFmtId="0" fontId="60" fillId="3" borderId="0" xfId="12" applyFont="1" applyFill="1" applyBorder="1" applyAlignment="1">
      <alignment horizontal="left" vertical="top" wrapText="1"/>
    </xf>
    <xf numFmtId="0" fontId="122" fillId="3" borderId="0" xfId="3" applyFont="1" applyFill="1" applyBorder="1"/>
    <xf numFmtId="0" fontId="91" fillId="3" borderId="0" xfId="0" applyFont="1" applyFill="1" applyBorder="1"/>
    <xf numFmtId="167" fontId="91" fillId="3" borderId="0" xfId="0" applyNumberFormat="1" applyFont="1" applyFill="1" applyBorder="1"/>
    <xf numFmtId="166" fontId="91" fillId="3" borderId="0" xfId="0" applyNumberFormat="1" applyFont="1" applyFill="1" applyBorder="1"/>
    <xf numFmtId="0" fontId="91" fillId="3" borderId="0" xfId="0" applyFont="1" applyFill="1" applyBorder="1" applyAlignment="1">
      <alignment horizontal="left"/>
    </xf>
    <xf numFmtId="167" fontId="91" fillId="3" borderId="0" xfId="0" applyNumberFormat="1" applyFont="1" applyFill="1"/>
    <xf numFmtId="9" fontId="62" fillId="0" borderId="0" xfId="12" applyNumberFormat="1"/>
    <xf numFmtId="0" fontId="125" fillId="3" borderId="0" xfId="12" applyFont="1" applyFill="1"/>
    <xf numFmtId="0" fontId="125" fillId="0" borderId="0" xfId="12" applyFont="1"/>
    <xf numFmtId="0" fontId="102" fillId="3" borderId="0" xfId="0" applyFont="1" applyFill="1" applyBorder="1"/>
    <xf numFmtId="0" fontId="109" fillId="3" borderId="0" xfId="0" applyFont="1" applyFill="1" applyBorder="1" applyAlignment="1">
      <alignment horizontal="center"/>
    </xf>
    <xf numFmtId="0" fontId="102" fillId="3" borderId="0" xfId="0" applyFont="1" applyFill="1"/>
    <xf numFmtId="166" fontId="91" fillId="3" borderId="0" xfId="0" applyNumberFormat="1" applyFont="1" applyFill="1"/>
    <xf numFmtId="0" fontId="0" fillId="0" borderId="0" xfId="0"/>
    <xf numFmtId="0" fontId="60" fillId="3" borderId="0" xfId="0" applyFont="1" applyFill="1" applyBorder="1" applyAlignment="1">
      <alignment vertical="top" wrapText="1"/>
    </xf>
    <xf numFmtId="0" fontId="117" fillId="3" borderId="0" xfId="0" applyFont="1" applyFill="1" applyAlignment="1">
      <alignment wrapText="1"/>
    </xf>
    <xf numFmtId="0" fontId="1" fillId="36" borderId="0" xfId="12" applyNumberFormat="1" applyFont="1" applyFill="1" applyBorder="1" applyAlignment="1">
      <alignment vertical="top" wrapText="1"/>
    </xf>
    <xf numFmtId="0" fontId="70" fillId="3" borderId="5" xfId="1" applyFill="1" applyBorder="1">
      <alignment vertical="center"/>
    </xf>
    <xf numFmtId="0" fontId="51" fillId="3" borderId="5" xfId="12" applyFont="1" applyFill="1" applyBorder="1"/>
    <xf numFmtId="0" fontId="62" fillId="3" borderId="5" xfId="12" applyFill="1" applyBorder="1"/>
    <xf numFmtId="0" fontId="125" fillId="3" borderId="5" xfId="12" applyFont="1" applyFill="1" applyBorder="1"/>
    <xf numFmtId="0" fontId="60" fillId="3" borderId="5" xfId="12" applyFont="1" applyFill="1" applyBorder="1"/>
    <xf numFmtId="0" fontId="109" fillId="3" borderId="5" xfId="12" applyFont="1" applyFill="1" applyBorder="1"/>
    <xf numFmtId="0" fontId="81" fillId="3" borderId="0" xfId="3" applyFont="1" applyFill="1" applyAlignment="1">
      <alignment horizontal="left"/>
    </xf>
    <xf numFmtId="0" fontId="7" fillId="3" borderId="0" xfId="0" applyFont="1" applyFill="1" applyAlignment="1">
      <alignment horizontal="left" vertical="top" wrapText="1"/>
    </xf>
    <xf numFmtId="0" fontId="54" fillId="3" borderId="0" xfId="0" applyFont="1" applyFill="1" applyAlignment="1">
      <alignment horizontal="left" vertical="top" wrapText="1"/>
    </xf>
    <xf numFmtId="0" fontId="1" fillId="0" borderId="0" xfId="0" applyFont="1" applyFill="1" applyAlignment="1">
      <alignment horizontal="left" vertical="top" wrapText="1"/>
    </xf>
    <xf numFmtId="0" fontId="37" fillId="0" borderId="0" xfId="0" applyFont="1" applyFill="1" applyAlignment="1">
      <alignment horizontal="left" vertical="top" wrapText="1"/>
    </xf>
    <xf numFmtId="0" fontId="60" fillId="3" borderId="0" xfId="0" applyFont="1" applyFill="1" applyAlignment="1">
      <alignment horizontal="left" vertical="top" wrapText="1"/>
    </xf>
    <xf numFmtId="0" fontId="60" fillId="0" borderId="0" xfId="0" applyFont="1" applyFill="1" applyBorder="1" applyAlignment="1">
      <alignment horizontal="left" vertical="top" wrapText="1"/>
    </xf>
    <xf numFmtId="0" fontId="3" fillId="0" borderId="0" xfId="0" applyFont="1" applyFill="1" applyAlignment="1">
      <alignment horizontal="left" wrapText="1"/>
    </xf>
    <xf numFmtId="0" fontId="54" fillId="0" borderId="0" xfId="0" applyFont="1" applyFill="1" applyAlignment="1">
      <alignment horizontal="left" wrapText="1"/>
    </xf>
    <xf numFmtId="0" fontId="1" fillId="3" borderId="0" xfId="0" applyFont="1" applyFill="1" applyAlignment="1">
      <alignment vertical="top" wrapText="1"/>
    </xf>
    <xf numFmtId="0" fontId="0" fillId="0" borderId="0" xfId="0" applyAlignment="1">
      <alignment vertical="top" wrapText="1"/>
    </xf>
    <xf numFmtId="0" fontId="1" fillId="3" borderId="0" xfId="0" applyFont="1" applyFill="1" applyAlignment="1">
      <alignment horizontal="left" vertical="top" wrapText="1"/>
    </xf>
    <xf numFmtId="0" fontId="62" fillId="3" borderId="0" xfId="12" applyFill="1" applyBorder="1" applyAlignment="1">
      <alignment horizontal="left" vertical="top" wrapText="1"/>
    </xf>
    <xf numFmtId="0" fontId="62" fillId="40" borderId="0" xfId="12" applyFill="1" applyBorder="1" applyAlignment="1">
      <alignment horizontal="left" vertical="top" wrapText="1"/>
    </xf>
    <xf numFmtId="0" fontId="75" fillId="0" borderId="0" xfId="70" applyFill="1" applyAlignment="1">
      <alignment horizontal="left" vertical="top" wrapText="1"/>
      <protection locked="0"/>
    </xf>
    <xf numFmtId="0" fontId="52" fillId="0" borderId="0" xfId="81" applyFont="1" applyAlignment="1">
      <alignment horizontal="left"/>
    </xf>
    <xf numFmtId="0" fontId="52" fillId="0" borderId="45" xfId="36" applyFont="1" applyBorder="1"/>
    <xf numFmtId="0" fontId="52" fillId="0" borderId="0" xfId="81" applyFont="1" applyFill="1" applyBorder="1" applyAlignment="1">
      <alignment horizontal="left" wrapText="1"/>
    </xf>
    <xf numFmtId="0" fontId="62" fillId="0" borderId="0" xfId="36" applyAlignment="1">
      <alignment horizontal="center"/>
    </xf>
    <xf numFmtId="0" fontId="75" fillId="0" borderId="5" xfId="70" applyBorder="1" applyAlignment="1">
      <alignment horizontal="left" vertical="top" wrapText="1"/>
      <protection locked="0"/>
    </xf>
    <xf numFmtId="0" fontId="0" fillId="0" borderId="0" xfId="0" applyFill="1" applyAlignment="1">
      <alignment horizontal="left"/>
    </xf>
    <xf numFmtId="0" fontId="52" fillId="0" borderId="0" xfId="0" applyFont="1" applyFill="1" applyBorder="1" applyAlignment="1">
      <alignment horizontal="left" wrapText="1"/>
    </xf>
    <xf numFmtId="0" fontId="0" fillId="0" borderId="0" xfId="0"/>
    <xf numFmtId="0" fontId="69" fillId="4" borderId="30" xfId="69" applyFont="1" applyBorder="1" applyAlignment="1">
      <alignment horizontal="center" vertical="center"/>
    </xf>
    <xf numFmtId="0" fontId="69" fillId="4" borderId="5" xfId="69" applyFont="1" applyBorder="1" applyAlignment="1">
      <alignment horizontal="center" vertical="center"/>
    </xf>
    <xf numFmtId="0" fontId="69" fillId="4" borderId="0" xfId="69" applyBorder="1" applyAlignment="1">
      <alignment horizontal="left" vertical="center"/>
    </xf>
    <xf numFmtId="0" fontId="69" fillId="4" borderId="5" xfId="69" applyBorder="1" applyAlignment="1">
      <alignment horizontal="left" vertical="center"/>
    </xf>
    <xf numFmtId="0" fontId="69" fillId="4" borderId="7" xfId="69" applyBorder="1" applyAlignment="1">
      <alignment horizontal="left" vertical="center"/>
    </xf>
    <xf numFmtId="0" fontId="69" fillId="4" borderId="9" xfId="69" applyFont="1" applyBorder="1" applyAlignment="1">
      <alignment horizontal="center" vertical="center"/>
    </xf>
    <xf numFmtId="0" fontId="69" fillId="4" borderId="8" xfId="69" applyFont="1" applyBorder="1" applyAlignment="1">
      <alignment horizontal="center" vertical="center"/>
    </xf>
    <xf numFmtId="0" fontId="69" fillId="4" borderId="29" xfId="69" applyFont="1" applyBorder="1" applyAlignment="1">
      <alignment horizontal="center" vertical="center"/>
    </xf>
    <xf numFmtId="0" fontId="75" fillId="0" borderId="0" xfId="70" applyAlignment="1">
      <alignment horizontal="left" vertical="top" wrapText="1"/>
      <protection locked="0"/>
    </xf>
    <xf numFmtId="0" fontId="69" fillId="4" borderId="6" xfId="69" applyBorder="1" applyAlignment="1">
      <alignment horizontal="left" vertical="center"/>
    </xf>
    <xf numFmtId="0" fontId="69" fillId="4" borderId="9" xfId="69" applyBorder="1" applyAlignment="1">
      <alignment horizontal="center" vertical="center"/>
    </xf>
    <xf numFmtId="0" fontId="69" fillId="4" borderId="10" xfId="69" applyBorder="1" applyAlignment="1">
      <alignment horizontal="center" vertical="center"/>
    </xf>
    <xf numFmtId="0" fontId="69" fillId="4" borderId="8" xfId="69" applyBorder="1" applyAlignment="1">
      <alignment horizontal="center" vertical="center"/>
    </xf>
    <xf numFmtId="0" fontId="75" fillId="0" borderId="7" xfId="70" applyBorder="1" applyAlignment="1">
      <alignment horizontal="left" vertical="top" wrapText="1"/>
      <protection locked="0"/>
    </xf>
    <xf numFmtId="0" fontId="69" fillId="4" borderId="19" xfId="69" applyBorder="1" applyAlignment="1">
      <alignment horizontal="left" vertical="center"/>
    </xf>
    <xf numFmtId="0" fontId="69" fillId="4" borderId="4" xfId="69" applyBorder="1" applyAlignment="1">
      <alignment horizontal="center" vertical="center"/>
    </xf>
    <xf numFmtId="0" fontId="69" fillId="4" borderId="11" xfId="69" applyBorder="1" applyAlignment="1">
      <alignment horizontal="center" vertical="center"/>
    </xf>
    <xf numFmtId="0" fontId="75" fillId="0" borderId="7" xfId="70" applyBorder="1" applyAlignment="1">
      <alignment horizontal="left" vertical="top"/>
      <protection locked="0"/>
    </xf>
    <xf numFmtId="0" fontId="0" fillId="0" borderId="5" xfId="0" applyBorder="1" applyAlignment="1">
      <alignment horizontal="left" vertical="top" wrapText="1"/>
    </xf>
    <xf numFmtId="0" fontId="0" fillId="0" borderId="7" xfId="0" applyBorder="1" applyAlignment="1">
      <alignment horizontal="left" vertical="top" wrapText="1"/>
    </xf>
    <xf numFmtId="0" fontId="69" fillId="4" borderId="6" xfId="69" applyFont="1" applyBorder="1" applyAlignment="1">
      <alignment horizontal="left" vertical="center"/>
    </xf>
    <xf numFmtId="0" fontId="69" fillId="4" borderId="7" xfId="69" applyFont="1" applyBorder="1" applyAlignment="1">
      <alignment horizontal="left" vertical="center"/>
    </xf>
    <xf numFmtId="0" fontId="69" fillId="4" borderId="10" xfId="69" applyFont="1" applyBorder="1" applyAlignment="1">
      <alignment horizontal="center" vertical="center"/>
    </xf>
    <xf numFmtId="0" fontId="75" fillId="0" borderId="0" xfId="70" applyAlignment="1">
      <alignment horizontal="left" vertical="top"/>
      <protection locked="0"/>
    </xf>
    <xf numFmtId="0" fontId="69" fillId="4" borderId="6" xfId="69" applyFont="1" applyBorder="1" applyAlignment="1">
      <alignment horizontal="center" vertical="center" wrapText="1"/>
    </xf>
    <xf numFmtId="0" fontId="69" fillId="4" borderId="7" xfId="69" applyFont="1" applyBorder="1" applyAlignment="1">
      <alignment horizontal="center" vertical="center"/>
    </xf>
    <xf numFmtId="0" fontId="52" fillId="0" borderId="0" xfId="130" applyAlignment="1">
      <alignment horizontal="left" wrapText="1"/>
    </xf>
    <xf numFmtId="0" fontId="75" fillId="0" borderId="0" xfId="70" applyFill="1" applyAlignment="1">
      <alignment vertical="top"/>
      <protection locked="0"/>
    </xf>
    <xf numFmtId="0" fontId="69" fillId="4" borderId="19" xfId="69" applyBorder="1" applyAlignment="1">
      <alignment horizontal="left" vertical="center" wrapText="1"/>
    </xf>
    <xf numFmtId="0" fontId="69" fillId="4" borderId="5" xfId="69" applyBorder="1" applyAlignment="1">
      <alignment horizontal="left" vertical="center" wrapText="1"/>
    </xf>
    <xf numFmtId="0" fontId="69" fillId="4" borderId="25" xfId="69" applyBorder="1" applyAlignment="1">
      <alignment horizontal="center" vertical="center"/>
    </xf>
    <xf numFmtId="0" fontId="69" fillId="4" borderId="32" xfId="69" applyBorder="1" applyAlignment="1">
      <alignment horizontal="center" vertical="center"/>
    </xf>
    <xf numFmtId="0" fontId="69" fillId="4" borderId="4" xfId="69" applyAlignment="1">
      <alignment horizontal="center" vertical="center"/>
    </xf>
    <xf numFmtId="0" fontId="52" fillId="0" borderId="0" xfId="130" applyFont="1" applyAlignment="1">
      <alignment horizontal="left" wrapText="1"/>
    </xf>
    <xf numFmtId="0" fontId="75" fillId="0" borderId="0" xfId="70" applyAlignment="1">
      <alignment vertical="top"/>
      <protection locked="0"/>
    </xf>
    <xf numFmtId="0" fontId="75" fillId="0" borderId="5" xfId="70" applyBorder="1" applyAlignment="1">
      <alignment vertical="top" wrapText="1"/>
      <protection locked="0"/>
    </xf>
    <xf numFmtId="0" fontId="0" fillId="0" borderId="5" xfId="0" applyBorder="1" applyAlignment="1">
      <alignment vertical="top" wrapText="1"/>
    </xf>
    <xf numFmtId="0" fontId="69" fillId="4" borderId="4" xfId="69" applyFont="1" applyBorder="1" applyAlignment="1" applyProtection="1">
      <alignment horizontal="center" vertical="center"/>
      <protection locked="0"/>
    </xf>
    <xf numFmtId="0" fontId="69" fillId="4" borderId="25" xfId="69" applyFont="1" applyBorder="1" applyAlignment="1" applyProtection="1">
      <alignment horizontal="center" vertical="center"/>
      <protection locked="0"/>
    </xf>
    <xf numFmtId="0" fontId="69" fillId="4" borderId="4" xfId="69" applyFont="1" applyAlignment="1" applyProtection="1">
      <alignment horizontal="center" vertical="center"/>
      <protection locked="0"/>
    </xf>
    <xf numFmtId="0" fontId="80" fillId="0" borderId="0" xfId="3" applyFill="1" applyBorder="1" applyAlignment="1">
      <alignment horizontal="center" vertical="center"/>
    </xf>
    <xf numFmtId="0" fontId="80" fillId="0" borderId="0" xfId="3" applyFill="1" applyAlignment="1"/>
    <xf numFmtId="0" fontId="52" fillId="0" borderId="0" xfId="0" applyFont="1" applyFill="1" applyBorder="1" applyAlignment="1">
      <alignment wrapText="1"/>
    </xf>
    <xf numFmtId="0" fontId="0" fillId="0" borderId="0" xfId="0" applyFill="1" applyAlignment="1"/>
    <xf numFmtId="0" fontId="75" fillId="0" borderId="0" xfId="70" applyFill="1" applyBorder="1" applyAlignment="1">
      <alignment horizontal="left" vertical="top" wrapText="1"/>
      <protection locked="0"/>
    </xf>
    <xf numFmtId="0" fontId="69" fillId="37" borderId="19" xfId="69" applyFill="1" applyBorder="1" applyAlignment="1">
      <alignment horizontal="left" vertical="center"/>
    </xf>
    <xf numFmtId="0" fontId="69" fillId="37" borderId="7" xfId="69" applyFill="1" applyBorder="1" applyAlignment="1">
      <alignment horizontal="left" vertical="center"/>
    </xf>
    <xf numFmtId="0" fontId="69" fillId="37" borderId="0" xfId="69" applyFill="1" applyBorder="1" applyAlignment="1" applyProtection="1">
      <alignment horizontal="center" vertical="center"/>
      <protection locked="0"/>
    </xf>
    <xf numFmtId="0" fontId="69" fillId="37" borderId="4" xfId="69" applyFill="1" applyBorder="1" applyAlignment="1" applyProtection="1">
      <alignment horizontal="center" vertical="center"/>
      <protection locked="0"/>
    </xf>
    <xf numFmtId="0" fontId="69" fillId="37" borderId="12" xfId="69" applyFill="1" applyBorder="1" applyAlignment="1" applyProtection="1">
      <alignment horizontal="center" vertical="center"/>
      <protection locked="0"/>
    </xf>
    <xf numFmtId="0" fontId="52" fillId="0" borderId="0" xfId="81" applyFont="1" applyAlignment="1">
      <alignment horizontal="left" vertical="top" wrapText="1"/>
    </xf>
    <xf numFmtId="0" fontId="0" fillId="0" borderId="0" xfId="0" applyAlignment="1">
      <alignment horizontal="left" vertical="top" wrapText="1"/>
    </xf>
    <xf numFmtId="0" fontId="52" fillId="0" borderId="6" xfId="81" applyFont="1" applyBorder="1" applyAlignment="1">
      <alignment horizontal="left" vertical="top" wrapText="1"/>
    </xf>
    <xf numFmtId="0" fontId="0" fillId="0" borderId="6" xfId="0" applyBorder="1" applyAlignment="1">
      <alignment horizontal="left" vertical="top" wrapText="1"/>
    </xf>
    <xf numFmtId="0" fontId="69" fillId="4" borderId="9" xfId="69" applyFont="1" applyBorder="1" applyAlignment="1">
      <alignment horizontal="center" vertical="center" wrapText="1"/>
    </xf>
    <xf numFmtId="0" fontId="69" fillId="4" borderId="10" xfId="69" applyFont="1" applyBorder="1" applyAlignment="1">
      <alignment horizontal="center" vertical="center" wrapText="1"/>
    </xf>
    <xf numFmtId="0" fontId="69" fillId="4" borderId="8" xfId="69" applyFont="1" applyBorder="1" applyAlignment="1">
      <alignment horizontal="center" vertical="center" wrapText="1"/>
    </xf>
    <xf numFmtId="0" fontId="76" fillId="3" borderId="0" xfId="0" applyFont="1" applyFill="1" applyBorder="1" applyAlignment="1" applyProtection="1">
      <alignment horizontal="center"/>
      <protection locked="0"/>
    </xf>
    <xf numFmtId="0" fontId="76" fillId="3" borderId="5" xfId="0" applyFont="1" applyFill="1" applyBorder="1" applyAlignment="1" applyProtection="1">
      <alignment horizontal="center"/>
      <protection locked="0"/>
    </xf>
    <xf numFmtId="0" fontId="75" fillId="3" borderId="0" xfId="70" applyFill="1" applyBorder="1" applyAlignment="1" applyProtection="1">
      <alignment horizontal="left" vertical="top" wrapText="1"/>
      <protection locked="0"/>
    </xf>
    <xf numFmtId="0" fontId="76" fillId="3" borderId="0" xfId="0" applyFont="1" applyFill="1" applyBorder="1" applyAlignment="1" applyProtection="1">
      <alignment horizontal="left" wrapText="1"/>
      <protection locked="0"/>
    </xf>
    <xf numFmtId="0" fontId="76" fillId="3" borderId="7" xfId="0" applyFont="1" applyFill="1" applyBorder="1" applyAlignment="1" applyProtection="1">
      <alignment horizontal="left" wrapText="1"/>
      <protection locked="0"/>
    </xf>
    <xf numFmtId="0" fontId="76" fillId="3" borderId="0" xfId="0" applyFont="1" applyFill="1" applyBorder="1" applyAlignment="1" applyProtection="1">
      <alignment horizontal="left"/>
      <protection locked="0"/>
    </xf>
    <xf numFmtId="0" fontId="76" fillId="3" borderId="5" xfId="0" applyFont="1" applyFill="1" applyBorder="1" applyAlignment="1" applyProtection="1">
      <alignment horizontal="left"/>
      <protection locked="0"/>
    </xf>
    <xf numFmtId="0" fontId="76" fillId="3" borderId="5" xfId="0" applyFont="1" applyFill="1" applyBorder="1" applyAlignment="1" applyProtection="1">
      <alignment horizontal="left" wrapText="1"/>
      <protection locked="0"/>
    </xf>
    <xf numFmtId="0" fontId="75" fillId="3" borderId="0" xfId="70" applyFill="1" applyBorder="1" applyAlignment="1" applyProtection="1">
      <alignment horizontal="center" vertical="top" wrapText="1"/>
      <protection locked="0"/>
    </xf>
    <xf numFmtId="0" fontId="75" fillId="3" borderId="24" xfId="70" applyFill="1" applyBorder="1" applyAlignment="1" applyProtection="1">
      <alignment horizontal="center" vertical="top" wrapText="1"/>
      <protection locked="0"/>
    </xf>
    <xf numFmtId="0" fontId="75" fillId="3" borderId="24" xfId="70" applyFill="1" applyBorder="1" applyAlignment="1" applyProtection="1">
      <alignment horizontal="left" vertical="top" wrapText="1"/>
      <protection locked="0"/>
    </xf>
    <xf numFmtId="0" fontId="113" fillId="3" borderId="0" xfId="0" applyFont="1" applyFill="1" applyBorder="1" applyAlignment="1" applyProtection="1">
      <alignment horizontal="center"/>
      <protection locked="0"/>
    </xf>
    <xf numFmtId="0" fontId="76" fillId="3" borderId="0" xfId="0" applyFont="1" applyFill="1" applyBorder="1" applyAlignment="1" applyProtection="1">
      <alignment horizontal="center" wrapText="1"/>
      <protection locked="0"/>
    </xf>
    <xf numFmtId="0" fontId="76" fillId="3" borderId="5" xfId="0" applyFont="1" applyFill="1" applyBorder="1" applyAlignment="1" applyProtection="1">
      <alignment horizontal="center" wrapText="1"/>
      <protection locked="0"/>
    </xf>
    <xf numFmtId="0" fontId="75" fillId="0" borderId="0" xfId="70" applyAlignment="1" applyProtection="1">
      <alignment vertical="top"/>
      <protection locked="0"/>
    </xf>
    <xf numFmtId="0" fontId="75" fillId="3" borderId="0" xfId="70" applyFill="1" applyBorder="1" applyAlignment="1" applyProtection="1">
      <alignment horizontal="left" vertical="center" wrapText="1"/>
      <protection locked="0"/>
    </xf>
    <xf numFmtId="0" fontId="75" fillId="3" borderId="19" xfId="70" applyFill="1" applyBorder="1" applyAlignment="1" applyProtection="1">
      <alignment horizontal="left" vertical="center" wrapText="1"/>
      <protection locked="0"/>
    </xf>
    <xf numFmtId="0" fontId="75" fillId="0" borderId="7" xfId="70" applyBorder="1" applyAlignment="1" applyProtection="1">
      <alignment horizontal="left" vertical="top" wrapText="1"/>
      <protection locked="0"/>
    </xf>
    <xf numFmtId="0" fontId="91" fillId="0" borderId="0" xfId="0" applyFont="1" applyFill="1" applyBorder="1" applyProtection="1">
      <protection locked="0"/>
    </xf>
    <xf numFmtId="0" fontId="69" fillId="4" borderId="6" xfId="69" applyBorder="1" applyAlignment="1" applyProtection="1">
      <alignment horizontal="left" vertical="center"/>
      <protection locked="0"/>
    </xf>
    <xf numFmtId="0" fontId="69" fillId="4" borderId="7" xfId="69" applyBorder="1" applyAlignment="1" applyProtection="1">
      <alignment horizontal="left" vertical="center"/>
      <protection locked="0"/>
    </xf>
    <xf numFmtId="0" fontId="69" fillId="4" borderId="9" xfId="69" applyBorder="1" applyAlignment="1" applyProtection="1">
      <alignment horizontal="center" vertical="center"/>
      <protection locked="0"/>
    </xf>
    <xf numFmtId="0" fontId="69" fillId="4" borderId="10" xfId="69" applyBorder="1" applyAlignment="1" applyProtection="1">
      <alignment horizontal="center" vertical="center"/>
      <protection locked="0"/>
    </xf>
    <xf numFmtId="0" fontId="69" fillId="4" borderId="6" xfId="69" applyBorder="1" applyAlignment="1" applyProtection="1">
      <alignment horizontal="center" vertical="center" wrapText="1"/>
      <protection locked="0"/>
    </xf>
    <xf numFmtId="0" fontId="69" fillId="4" borderId="0" xfId="69" applyBorder="1" applyAlignment="1" applyProtection="1">
      <alignment horizontal="center" vertical="center" wrapText="1"/>
      <protection locked="0"/>
    </xf>
    <xf numFmtId="0" fontId="76" fillId="3" borderId="24" xfId="0" applyFont="1" applyFill="1" applyBorder="1" applyAlignment="1" applyProtection="1">
      <alignment horizontal="left"/>
      <protection locked="0"/>
    </xf>
    <xf numFmtId="0" fontId="60" fillId="3" borderId="0" xfId="0" applyFont="1" applyFill="1" applyBorder="1" applyAlignment="1">
      <alignment horizontal="left" vertical="top" wrapText="1"/>
    </xf>
    <xf numFmtId="0" fontId="5" fillId="0" borderId="7" xfId="12" applyFont="1" applyFill="1" applyBorder="1" applyAlignment="1">
      <alignment horizontal="left" vertical="top" wrapText="1"/>
    </xf>
    <xf numFmtId="0" fontId="62" fillId="0" borderId="7" xfId="12" applyFill="1" applyBorder="1" applyAlignment="1">
      <alignment horizontal="left" vertical="top" wrapText="1"/>
    </xf>
    <xf numFmtId="0" fontId="1" fillId="0" borderId="7" xfId="12" applyFont="1" applyFill="1" applyBorder="1" applyAlignment="1">
      <alignment horizontal="left" vertical="top" wrapText="1"/>
    </xf>
    <xf numFmtId="0" fontId="54" fillId="0" borderId="7" xfId="12" applyFont="1" applyFill="1" applyBorder="1" applyAlignment="1">
      <alignment horizontal="left" vertical="top" wrapText="1"/>
    </xf>
    <xf numFmtId="0" fontId="6" fillId="0" borderId="0" xfId="81" applyFont="1" applyFill="1" applyBorder="1" applyAlignment="1">
      <alignment horizontal="left" vertical="top" wrapText="1"/>
    </xf>
    <xf numFmtId="0" fontId="54" fillId="0" borderId="0" xfId="81" applyFont="1" applyFill="1" applyBorder="1" applyAlignment="1">
      <alignment horizontal="left" vertical="top" wrapText="1"/>
    </xf>
    <xf numFmtId="0" fontId="32" fillId="3" borderId="0" xfId="81" applyFont="1" applyFill="1" applyBorder="1" applyAlignment="1">
      <alignment horizontal="left" vertical="top" wrapText="1"/>
    </xf>
    <xf numFmtId="0" fontId="54" fillId="3" borderId="0" xfId="81" applyFont="1" applyFill="1" applyBorder="1" applyAlignment="1">
      <alignment horizontal="left" vertical="top" wrapText="1"/>
    </xf>
    <xf numFmtId="0" fontId="75" fillId="0" borderId="5" xfId="70" applyFill="1" applyBorder="1" applyAlignment="1" applyProtection="1">
      <alignment horizontal="left" vertical="top" wrapText="1"/>
      <protection locked="0"/>
    </xf>
    <xf numFmtId="0" fontId="82" fillId="0" borderId="0" xfId="75" applyFill="1" applyBorder="1" applyAlignment="1">
      <alignment horizontal="left"/>
    </xf>
    <xf numFmtId="0" fontId="82" fillId="0" borderId="0" xfId="75" applyBorder="1" applyAlignment="1">
      <alignment horizontal="left"/>
    </xf>
    <xf numFmtId="0" fontId="70" fillId="3" borderId="5" xfId="1" applyFill="1" applyBorder="1" applyAlignment="1">
      <alignment vertical="top"/>
    </xf>
    <xf numFmtId="0" fontId="70" fillId="3" borderId="5" xfId="1" applyFill="1" applyBorder="1" applyProtection="1">
      <alignment vertical="center"/>
      <protection locked="0"/>
    </xf>
    <xf numFmtId="0" fontId="77" fillId="3" borderId="5" xfId="0" applyFont="1" applyFill="1" applyBorder="1" applyProtection="1">
      <protection locked="0"/>
    </xf>
    <xf numFmtId="0" fontId="107" fillId="3" borderId="5" xfId="0" applyFont="1" applyFill="1" applyBorder="1" applyProtection="1">
      <protection locked="0"/>
    </xf>
  </cellXfs>
  <cellStyles count="132">
    <cellStyle name="20% - Accent1" xfId="99" builtinId="30" customBuiltin="1"/>
    <cellStyle name="20% - Accent2" xfId="103" builtinId="34" customBuiltin="1"/>
    <cellStyle name="20% - Accent3" xfId="107" builtinId="38" customBuiltin="1"/>
    <cellStyle name="20% - Accent4" xfId="111" builtinId="42" customBuiltin="1"/>
    <cellStyle name="20% - Accent5" xfId="115" builtinId="46" customBuiltin="1"/>
    <cellStyle name="20% - Accent6" xfId="119" builtinId="50" customBuiltin="1"/>
    <cellStyle name="40% - Accent1" xfId="100" builtinId="31" customBuiltin="1"/>
    <cellStyle name="40% - Accent2" xfId="104" builtinId="35" customBuiltin="1"/>
    <cellStyle name="40% - Accent3" xfId="108" builtinId="39" customBuiltin="1"/>
    <cellStyle name="40% - Accent4" xfId="112" builtinId="43" customBuiltin="1"/>
    <cellStyle name="40% - Accent5" xfId="116" builtinId="47" customBuiltin="1"/>
    <cellStyle name="40% - Accent6" xfId="120" builtinId="51" customBuiltin="1"/>
    <cellStyle name="60% - Accent1" xfId="101" builtinId="32" customBuiltin="1"/>
    <cellStyle name="60% - Accent2" xfId="105" builtinId="36" customBuiltin="1"/>
    <cellStyle name="60% - Accent3" xfId="109" builtinId="40" customBuiltin="1"/>
    <cellStyle name="60% - Accent4" xfId="113" builtinId="44" customBuiltin="1"/>
    <cellStyle name="60% - Accent5" xfId="117" builtinId="48" customBuiltin="1"/>
    <cellStyle name="60% - Accent6" xfId="121" builtinId="52" customBuiltin="1"/>
    <cellStyle name="Accent1" xfId="98" builtinId="29" customBuiltin="1"/>
    <cellStyle name="Accent2" xfId="102" builtinId="33" customBuiltin="1"/>
    <cellStyle name="Accent3" xfId="106" builtinId="37" customBuiltin="1"/>
    <cellStyle name="Accent4" xfId="110" builtinId="41" customBuiltin="1"/>
    <cellStyle name="Accent5" xfId="114" builtinId="45" customBuiltin="1"/>
    <cellStyle name="Accent6" xfId="118" builtinId="49" customBuiltin="1"/>
    <cellStyle name="Bad" xfId="87" builtinId="27" customBuiltin="1"/>
    <cellStyle name="Calculation" xfId="91" builtinId="22" customBuiltin="1"/>
    <cellStyle name="Caption" xfId="70" xr:uid="{00000000-0005-0000-0000-00001A000000}"/>
    <cellStyle name="Caption 2" xfId="79" xr:uid="{00000000-0005-0000-0000-00001B000000}"/>
    <cellStyle name="Caption 3" xfId="74" xr:uid="{00000000-0005-0000-0000-00001C000000}"/>
    <cellStyle name="Check Cell" xfId="93" builtinId="23" customBuiltin="1"/>
    <cellStyle name="Comma 2" xfId="6" xr:uid="{00000000-0005-0000-0000-00001E000000}"/>
    <cellStyle name="Comma 3" xfId="53" xr:uid="{00000000-0005-0000-0000-00001F000000}"/>
    <cellStyle name="Comma 3 2" xfId="66" xr:uid="{00000000-0005-0000-0000-000020000000}"/>
    <cellStyle name="Comma 4" xfId="56" xr:uid="{00000000-0005-0000-0000-000021000000}"/>
    <cellStyle name="Comma 5" xfId="59" xr:uid="{00000000-0005-0000-0000-000022000000}"/>
    <cellStyle name="Comma 6" xfId="58" xr:uid="{00000000-0005-0000-0000-000023000000}"/>
    <cellStyle name="Comma 7" xfId="60" xr:uid="{00000000-0005-0000-0000-000024000000}"/>
    <cellStyle name="Comma 8" xfId="61" xr:uid="{00000000-0005-0000-0000-000025000000}"/>
    <cellStyle name="Comma 9" xfId="55" xr:uid="{00000000-0005-0000-0000-000026000000}"/>
    <cellStyle name="Currency 2" xfId="7" xr:uid="{00000000-0005-0000-0000-000027000000}"/>
    <cellStyle name="Currency 2 2" xfId="8" xr:uid="{00000000-0005-0000-0000-000028000000}"/>
    <cellStyle name="Currency 2 3" xfId="9" xr:uid="{00000000-0005-0000-0000-000029000000}"/>
    <cellStyle name="Currency 2 4" xfId="10" xr:uid="{00000000-0005-0000-0000-00002A000000}"/>
    <cellStyle name="Currency 2 5" xfId="47" xr:uid="{00000000-0005-0000-0000-00002B000000}"/>
    <cellStyle name="Explanatory Text" xfId="96" builtinId="53" customBuiltin="1"/>
    <cellStyle name="Followed Hyperlink" xfId="82" builtinId="9" customBuiltin="1"/>
    <cellStyle name="Followed Hyperlink 2" xfId="127" xr:uid="{00000000-0005-0000-0000-00002E000000}"/>
    <cellStyle name="Good" xfId="86" builtinId="26" customBuiltin="1"/>
    <cellStyle name="Heading 1" xfId="1" builtinId="16" customBuiltin="1"/>
    <cellStyle name="Heading 1 2" xfId="75" xr:uid="{00000000-0005-0000-0000-000031000000}"/>
    <cellStyle name="Heading 1 3" xfId="124" xr:uid="{00000000-0005-0000-0000-000032000000}"/>
    <cellStyle name="Heading 1 4" xfId="122" xr:uid="{00000000-0005-0000-0000-000033000000}"/>
    <cellStyle name="Heading 2" xfId="71" builtinId="17" customBuiltin="1"/>
    <cellStyle name="Heading 2 2" xfId="76" xr:uid="{00000000-0005-0000-0000-000035000000}"/>
    <cellStyle name="Heading 2 3" xfId="125" xr:uid="{00000000-0005-0000-0000-000036000000}"/>
    <cellStyle name="Heading 2 4" xfId="123" xr:uid="{00000000-0005-0000-0000-000037000000}"/>
    <cellStyle name="Heading 3" xfId="84" builtinId="18" customBuiltin="1"/>
    <cellStyle name="Heading 4" xfId="85" builtinId="19" customBuiltin="1"/>
    <cellStyle name="Hyperlink" xfId="3" builtinId="8" customBuiltin="1"/>
    <cellStyle name="Hyperlink 2" xfId="46" xr:uid="{00000000-0005-0000-0000-00003B000000}"/>
    <cellStyle name="Hyperlink 3" xfId="57" xr:uid="{00000000-0005-0000-0000-00003C000000}"/>
    <cellStyle name="Hyperlink 4" xfId="77" xr:uid="{00000000-0005-0000-0000-00003D000000}"/>
    <cellStyle name="Hyperlink 5" xfId="78" xr:uid="{00000000-0005-0000-0000-00003E000000}"/>
    <cellStyle name="Hyperlink 6" xfId="73" xr:uid="{00000000-0005-0000-0000-00003F000000}"/>
    <cellStyle name="Hyperlink 7" xfId="80" xr:uid="{00000000-0005-0000-0000-000040000000}"/>
    <cellStyle name="Hyperlink 8" xfId="128" xr:uid="{00000000-0005-0000-0000-000041000000}"/>
    <cellStyle name="Input" xfId="89" builtinId="20" customBuiltin="1"/>
    <cellStyle name="Input 2" xfId="11" xr:uid="{00000000-0005-0000-0000-000043000000}"/>
    <cellStyle name="Linked Cell" xfId="92" builtinId="24" customBuiltin="1"/>
    <cellStyle name="Neutral" xfId="88" builtinId="28" customBuiltin="1"/>
    <cellStyle name="Normal" xfId="0" builtinId="0" customBuiltin="1"/>
    <cellStyle name="Normal 10" xfId="12" xr:uid="{00000000-0005-0000-0000-000047000000}"/>
    <cellStyle name="Normal 10 2" xfId="131" xr:uid="{00000000-0005-0000-0000-000048000000}"/>
    <cellStyle name="Normal 11" xfId="13" xr:uid="{00000000-0005-0000-0000-000049000000}"/>
    <cellStyle name="Normal 12" xfId="5" xr:uid="{00000000-0005-0000-0000-00004A000000}"/>
    <cellStyle name="Normal 13" xfId="62" xr:uid="{00000000-0005-0000-0000-00004B000000}"/>
    <cellStyle name="Normal 14" xfId="65" xr:uid="{00000000-0005-0000-0000-00004C000000}"/>
    <cellStyle name="Normal 2" xfId="4" xr:uid="{00000000-0005-0000-0000-00004D000000}"/>
    <cellStyle name="Normal 2 2" xfId="15" xr:uid="{00000000-0005-0000-0000-00004E000000}"/>
    <cellStyle name="Normal 2 2 2" xfId="67" xr:uid="{00000000-0005-0000-0000-00004F000000}"/>
    <cellStyle name="Normal 2 2 3" xfId="126" xr:uid="{00000000-0005-0000-0000-000050000000}"/>
    <cellStyle name="Normal 2 3" xfId="16" xr:uid="{00000000-0005-0000-0000-000051000000}"/>
    <cellStyle name="Normal 2 4" xfId="17" xr:uid="{00000000-0005-0000-0000-000052000000}"/>
    <cellStyle name="Normal 2 5" xfId="63" xr:uid="{00000000-0005-0000-0000-000053000000}"/>
    <cellStyle name="Normal 2 6" xfId="14" xr:uid="{00000000-0005-0000-0000-000054000000}"/>
    <cellStyle name="Normal 3" xfId="2" xr:uid="{00000000-0005-0000-0000-000055000000}"/>
    <cellStyle name="Normal 3 2" xfId="19" xr:uid="{00000000-0005-0000-0000-000056000000}"/>
    <cellStyle name="Normal 3 2 2" xfId="20" xr:uid="{00000000-0005-0000-0000-000057000000}"/>
    <cellStyle name="Normal 3 2 3" xfId="64" xr:uid="{00000000-0005-0000-0000-000058000000}"/>
    <cellStyle name="Normal 3 3" xfId="21" xr:uid="{00000000-0005-0000-0000-000059000000}"/>
    <cellStyle name="Normal 3 4" xfId="68" xr:uid="{00000000-0005-0000-0000-00005A000000}"/>
    <cellStyle name="Normal 3 5" xfId="18" xr:uid="{00000000-0005-0000-0000-00005B000000}"/>
    <cellStyle name="Normal 4" xfId="22" xr:uid="{00000000-0005-0000-0000-00005C000000}"/>
    <cellStyle name="Normal 4 2" xfId="23" xr:uid="{00000000-0005-0000-0000-00005D000000}"/>
    <cellStyle name="Normal 4 2 2" xfId="24" xr:uid="{00000000-0005-0000-0000-00005E000000}"/>
    <cellStyle name="Normal 4 2 3" xfId="48" xr:uid="{00000000-0005-0000-0000-00005F000000}"/>
    <cellStyle name="Normal 4 3" xfId="25" xr:uid="{00000000-0005-0000-0000-000060000000}"/>
    <cellStyle name="Normal 5" xfId="26" xr:uid="{00000000-0005-0000-0000-000061000000}"/>
    <cellStyle name="Normal 5 2" xfId="27" xr:uid="{00000000-0005-0000-0000-000062000000}"/>
    <cellStyle name="Normal 5 2 2" xfId="28" xr:uid="{00000000-0005-0000-0000-000063000000}"/>
    <cellStyle name="Normal 5 2 3" xfId="49" xr:uid="{00000000-0005-0000-0000-000064000000}"/>
    <cellStyle name="Normal 5 3" xfId="29" xr:uid="{00000000-0005-0000-0000-000065000000}"/>
    <cellStyle name="Normal 6" xfId="30" xr:uid="{00000000-0005-0000-0000-000066000000}"/>
    <cellStyle name="Normal 6 2" xfId="31" xr:uid="{00000000-0005-0000-0000-000067000000}"/>
    <cellStyle name="Normal 6 2 2" xfId="32" xr:uid="{00000000-0005-0000-0000-000068000000}"/>
    <cellStyle name="Normal 6 3" xfId="33" xr:uid="{00000000-0005-0000-0000-000069000000}"/>
    <cellStyle name="Normal 6 4" xfId="34" xr:uid="{00000000-0005-0000-0000-00006A000000}"/>
    <cellStyle name="Normal 6 5" xfId="35" xr:uid="{00000000-0005-0000-0000-00006B000000}"/>
    <cellStyle name="Normal 6 6" xfId="50" xr:uid="{00000000-0005-0000-0000-00006C000000}"/>
    <cellStyle name="Normal 7" xfId="36" xr:uid="{00000000-0005-0000-0000-00006D000000}"/>
    <cellStyle name="Normal 7 2" xfId="37" xr:uid="{00000000-0005-0000-0000-00006E000000}"/>
    <cellStyle name="Normal 7 3" xfId="38" xr:uid="{00000000-0005-0000-0000-00006F000000}"/>
    <cellStyle name="Normal 7 4" xfId="39" xr:uid="{00000000-0005-0000-0000-000070000000}"/>
    <cellStyle name="Normal 7 5" xfId="51" xr:uid="{00000000-0005-0000-0000-000071000000}"/>
    <cellStyle name="Normal 8" xfId="40" xr:uid="{00000000-0005-0000-0000-000072000000}"/>
    <cellStyle name="Normal 8 2" xfId="41" xr:uid="{00000000-0005-0000-0000-000073000000}"/>
    <cellStyle name="Normal 8 3" xfId="42" xr:uid="{00000000-0005-0000-0000-000074000000}"/>
    <cellStyle name="Normal 8 4" xfId="52" xr:uid="{00000000-0005-0000-0000-000075000000}"/>
    <cellStyle name="Normal 9" xfId="43" xr:uid="{00000000-0005-0000-0000-000076000000}"/>
    <cellStyle name="Note" xfId="95" builtinId="10" customBuiltin="1"/>
    <cellStyle name="NoteStyle" xfId="81" xr:uid="{00000000-0005-0000-0000-000078000000}"/>
    <cellStyle name="NoteStyle 2" xfId="130" xr:uid="{00000000-0005-0000-0000-000079000000}"/>
    <cellStyle name="Output" xfId="90" builtinId="21" customBuiltin="1"/>
    <cellStyle name="Percent" xfId="129" builtinId="5"/>
    <cellStyle name="Percent 2" xfId="54" xr:uid="{00000000-0005-0000-0000-00007C000000}"/>
    <cellStyle name="Style 1" xfId="44" xr:uid="{00000000-0005-0000-0000-00007D000000}"/>
    <cellStyle name="Style 2" xfId="45" xr:uid="{00000000-0005-0000-0000-00007E000000}"/>
    <cellStyle name="TableHeading" xfId="69" xr:uid="{00000000-0005-0000-0000-00007F000000}"/>
    <cellStyle name="TableSubHeading" xfId="72" xr:uid="{00000000-0005-0000-0000-000080000000}"/>
    <cellStyle name="Title" xfId="83" builtinId="15" customBuiltin="1"/>
    <cellStyle name="Total" xfId="97" builtinId="25" customBuiltin="1"/>
    <cellStyle name="Warning Text" xfId="94" builtinId="11" customBuiltin="1"/>
  </cellStyles>
  <dxfs count="14">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s>
  <tableStyles count="0" defaultTableStyle="TableStyleMedium2" defaultPivotStyle="PivotStyleLight16"/>
  <colors>
    <mruColors>
      <color rgb="FF2B8CBE"/>
      <color rgb="FFB2B2B2"/>
      <color rgb="FFA6A6A6"/>
      <color rgb="FF92CDDC"/>
      <color rgb="FFABDDA4"/>
      <color rgb="FFDDDDDD"/>
      <color rgb="FF5787C1"/>
      <color rgb="FFEAEAEA"/>
      <color rgb="FF3760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665993265993262E-2"/>
          <c:y val="7.9228240409342787E-2"/>
          <c:w val="0.8311320943826116"/>
          <c:h val="0.71468138896431055"/>
        </c:manualLayout>
      </c:layout>
      <c:barChart>
        <c:barDir val="col"/>
        <c:grouping val="clustered"/>
        <c:varyColors val="0"/>
        <c:ser>
          <c:idx val="0"/>
          <c:order val="0"/>
          <c:tx>
            <c:strRef>
              <c:f>GraphsNZ!$N$7</c:f>
              <c:strCache>
                <c:ptCount val="1"/>
                <c:pt idx="0">
                  <c:v>Fetal</c:v>
                </c:pt>
              </c:strCache>
            </c:strRef>
          </c:tx>
          <c:spPr>
            <a:solidFill>
              <a:srgbClr val="B2B2B2"/>
            </a:solidFill>
            <a:ln>
              <a:noFill/>
            </a:ln>
            <a:effectLst/>
          </c:spPr>
          <c:invertIfNegative val="0"/>
          <c:cat>
            <c:numRef>
              <c:f>GraphsNZ!$M$9:$M$29</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GraphsNZ!$N$9:$N$29</c:f>
              <c:numCache>
                <c:formatCode>0</c:formatCode>
                <c:ptCount val="21"/>
                <c:pt idx="0">
                  <c:v>409</c:v>
                </c:pt>
                <c:pt idx="1">
                  <c:v>417</c:v>
                </c:pt>
                <c:pt idx="2">
                  <c:v>348</c:v>
                </c:pt>
                <c:pt idx="3">
                  <c:v>426</c:v>
                </c:pt>
                <c:pt idx="4">
                  <c:v>369</c:v>
                </c:pt>
                <c:pt idx="5">
                  <c:v>386</c:v>
                </c:pt>
                <c:pt idx="6">
                  <c:v>390</c:v>
                </c:pt>
                <c:pt idx="7">
                  <c:v>393</c:v>
                </c:pt>
                <c:pt idx="8">
                  <c:v>506</c:v>
                </c:pt>
                <c:pt idx="9">
                  <c:v>403</c:v>
                </c:pt>
                <c:pt idx="10">
                  <c:v>409</c:v>
                </c:pt>
                <c:pt idx="11">
                  <c:v>470</c:v>
                </c:pt>
                <c:pt idx="12">
                  <c:v>556</c:v>
                </c:pt>
                <c:pt idx="13">
                  <c:v>482</c:v>
                </c:pt>
                <c:pt idx="14">
                  <c:v>469</c:v>
                </c:pt>
                <c:pt idx="15">
                  <c:v>451</c:v>
                </c:pt>
                <c:pt idx="16">
                  <c:v>448</c:v>
                </c:pt>
                <c:pt idx="17">
                  <c:v>393</c:v>
                </c:pt>
                <c:pt idx="18">
                  <c:v>447</c:v>
                </c:pt>
                <c:pt idx="19">
                  <c:v>384</c:v>
                </c:pt>
                <c:pt idx="20">
                  <c:v>413</c:v>
                </c:pt>
              </c:numCache>
            </c:numRef>
          </c:val>
          <c:extLst>
            <c:ext xmlns:c16="http://schemas.microsoft.com/office/drawing/2014/chart" uri="{C3380CC4-5D6E-409C-BE32-E72D297353CC}">
              <c16:uniqueId val="{00000000-96B1-4DD8-89C2-8CA1606648EB}"/>
            </c:ext>
          </c:extLst>
        </c:ser>
        <c:ser>
          <c:idx val="1"/>
          <c:order val="1"/>
          <c:tx>
            <c:strRef>
              <c:f>GraphsNZ!$Q$7</c:f>
              <c:strCache>
                <c:ptCount val="1"/>
                <c:pt idx="0">
                  <c:v>Infant</c:v>
                </c:pt>
              </c:strCache>
            </c:strRef>
          </c:tx>
          <c:spPr>
            <a:solidFill>
              <a:srgbClr val="2B8CBE"/>
            </a:solidFill>
            <a:ln>
              <a:noFill/>
            </a:ln>
            <a:effectLst/>
          </c:spPr>
          <c:invertIfNegative val="0"/>
          <c:cat>
            <c:numRef>
              <c:f>GraphsNZ!$M$9:$M$29</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GraphsNZ!$Q$9:$Q$29</c:f>
              <c:numCache>
                <c:formatCode>General</c:formatCode>
                <c:ptCount val="21"/>
                <c:pt idx="0">
                  <c:v>417</c:v>
                </c:pt>
                <c:pt idx="1">
                  <c:v>391</c:v>
                </c:pt>
                <c:pt idx="2">
                  <c:v>308</c:v>
                </c:pt>
                <c:pt idx="3">
                  <c:v>335</c:v>
                </c:pt>
                <c:pt idx="4">
                  <c:v>359</c:v>
                </c:pt>
                <c:pt idx="5">
                  <c:v>315</c:v>
                </c:pt>
                <c:pt idx="6">
                  <c:v>337</c:v>
                </c:pt>
                <c:pt idx="7">
                  <c:v>304</c:v>
                </c:pt>
                <c:pt idx="8">
                  <c:v>346</c:v>
                </c:pt>
                <c:pt idx="9">
                  <c:v>294</c:v>
                </c:pt>
                <c:pt idx="10">
                  <c:v>308</c:v>
                </c:pt>
                <c:pt idx="11">
                  <c:v>312</c:v>
                </c:pt>
                <c:pt idx="12">
                  <c:v>323</c:v>
                </c:pt>
                <c:pt idx="13">
                  <c:v>332</c:v>
                </c:pt>
                <c:pt idx="14">
                  <c:v>361</c:v>
                </c:pt>
                <c:pt idx="15">
                  <c:v>322</c:v>
                </c:pt>
                <c:pt idx="16">
                  <c:v>294</c:v>
                </c:pt>
                <c:pt idx="17">
                  <c:v>296</c:v>
                </c:pt>
                <c:pt idx="18">
                  <c:v>333</c:v>
                </c:pt>
                <c:pt idx="19">
                  <c:v>266</c:v>
                </c:pt>
                <c:pt idx="20">
                  <c:v>241</c:v>
                </c:pt>
              </c:numCache>
            </c:numRef>
          </c:val>
          <c:extLst>
            <c:ext xmlns:c16="http://schemas.microsoft.com/office/drawing/2014/chart" uri="{C3380CC4-5D6E-409C-BE32-E72D297353CC}">
              <c16:uniqueId val="{00000001-96B1-4DD8-89C2-8CA1606648EB}"/>
            </c:ext>
          </c:extLst>
        </c:ser>
        <c:dLbls>
          <c:showLegendKey val="0"/>
          <c:showVal val="0"/>
          <c:showCatName val="0"/>
          <c:showSerName val="0"/>
          <c:showPercent val="0"/>
          <c:showBubbleSize val="0"/>
        </c:dLbls>
        <c:gapWidth val="100"/>
        <c:overlap val="-10"/>
        <c:axId val="462925248"/>
        <c:axId val="462924856"/>
      </c:barChart>
      <c:lineChart>
        <c:grouping val="standard"/>
        <c:varyColors val="0"/>
        <c:ser>
          <c:idx val="2"/>
          <c:order val="2"/>
          <c:tx>
            <c:strRef>
              <c:f>GraphsNZ!$N$7</c:f>
              <c:strCache>
                <c:ptCount val="1"/>
                <c:pt idx="0">
                  <c:v>Fetal</c:v>
                </c:pt>
              </c:strCache>
            </c:strRef>
          </c:tx>
          <c:spPr>
            <a:ln w="22225" cap="rnd">
              <a:solidFill>
                <a:srgbClr val="B2B2B2"/>
              </a:solidFill>
              <a:round/>
            </a:ln>
            <a:effectLst/>
          </c:spPr>
          <c:marker>
            <c:symbol val="circle"/>
            <c:size val="5"/>
            <c:spPr>
              <a:solidFill>
                <a:srgbClr val="B2B2B2"/>
              </a:solidFill>
              <a:ln w="9525">
                <a:noFill/>
              </a:ln>
              <a:effectLst/>
            </c:spPr>
          </c:marker>
          <c:cat>
            <c:numRef>
              <c:f>GraphsNZ!$M$9:$M$29</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GraphsNZ!$O$9:$O$29</c:f>
              <c:numCache>
                <c:formatCode>0.0</c:formatCode>
                <c:ptCount val="21"/>
                <c:pt idx="0">
                  <c:v>7.1</c:v>
                </c:pt>
                <c:pt idx="1">
                  <c:v>7.2</c:v>
                </c:pt>
                <c:pt idx="2">
                  <c:v>6</c:v>
                </c:pt>
                <c:pt idx="3">
                  <c:v>7.4</c:v>
                </c:pt>
                <c:pt idx="4">
                  <c:v>6.4</c:v>
                </c:pt>
                <c:pt idx="5">
                  <c:v>6.8</c:v>
                </c:pt>
                <c:pt idx="6">
                  <c:v>7.1</c:v>
                </c:pt>
                <c:pt idx="7">
                  <c:v>6.9</c:v>
                </c:pt>
                <c:pt idx="8">
                  <c:v>8.5</c:v>
                </c:pt>
                <c:pt idx="9">
                  <c:v>6.8</c:v>
                </c:pt>
                <c:pt idx="10">
                  <c:v>6.7</c:v>
                </c:pt>
                <c:pt idx="11">
                  <c:v>7.2</c:v>
                </c:pt>
                <c:pt idx="12">
                  <c:v>8.4</c:v>
                </c:pt>
                <c:pt idx="13">
                  <c:v>7.6</c:v>
                </c:pt>
                <c:pt idx="14">
                  <c:v>7.2</c:v>
                </c:pt>
                <c:pt idx="15">
                  <c:v>7.2</c:v>
                </c:pt>
                <c:pt idx="16">
                  <c:v>7.2</c:v>
                </c:pt>
                <c:pt idx="17">
                  <c:v>6.5</c:v>
                </c:pt>
                <c:pt idx="18">
                  <c:v>7.6</c:v>
                </c:pt>
                <c:pt idx="19">
                  <c:v>6.1</c:v>
                </c:pt>
                <c:pt idx="20">
                  <c:v>6.8</c:v>
                </c:pt>
              </c:numCache>
            </c:numRef>
          </c:val>
          <c:smooth val="0"/>
          <c:extLst>
            <c:ext xmlns:c16="http://schemas.microsoft.com/office/drawing/2014/chart" uri="{C3380CC4-5D6E-409C-BE32-E72D297353CC}">
              <c16:uniqueId val="{00000002-96B1-4DD8-89C2-8CA1606648EB}"/>
            </c:ext>
          </c:extLst>
        </c:ser>
        <c:ser>
          <c:idx val="3"/>
          <c:order val="3"/>
          <c:tx>
            <c:strRef>
              <c:f>GraphsNZ!$Q$7</c:f>
              <c:strCache>
                <c:ptCount val="1"/>
                <c:pt idx="0">
                  <c:v>Infant</c:v>
                </c:pt>
              </c:strCache>
            </c:strRef>
          </c:tx>
          <c:spPr>
            <a:ln w="22225" cap="rnd">
              <a:solidFill>
                <a:srgbClr val="2B8CBE"/>
              </a:solidFill>
              <a:round/>
            </a:ln>
            <a:effectLst/>
          </c:spPr>
          <c:marker>
            <c:symbol val="circle"/>
            <c:size val="5"/>
            <c:spPr>
              <a:solidFill>
                <a:srgbClr val="2B8CBE"/>
              </a:solidFill>
              <a:ln w="9525">
                <a:noFill/>
              </a:ln>
              <a:effectLst/>
            </c:spPr>
          </c:marker>
          <c:cat>
            <c:numRef>
              <c:f>GraphsNZ!$M$9:$M$29</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GraphsNZ!$R$9:$R$29</c:f>
              <c:numCache>
                <c:formatCode>0.0</c:formatCode>
                <c:ptCount val="21"/>
                <c:pt idx="0">
                  <c:v>7.3</c:v>
                </c:pt>
                <c:pt idx="1">
                  <c:v>6.8</c:v>
                </c:pt>
                <c:pt idx="2">
                  <c:v>5.3</c:v>
                </c:pt>
                <c:pt idx="3">
                  <c:v>5.8</c:v>
                </c:pt>
                <c:pt idx="4">
                  <c:v>6.3</c:v>
                </c:pt>
                <c:pt idx="5">
                  <c:v>5.6</c:v>
                </c:pt>
                <c:pt idx="6">
                  <c:v>6.2</c:v>
                </c:pt>
                <c:pt idx="7">
                  <c:v>5.4</c:v>
                </c:pt>
                <c:pt idx="8">
                  <c:v>5.9</c:v>
                </c:pt>
                <c:pt idx="9">
                  <c:v>5</c:v>
                </c:pt>
                <c:pt idx="10">
                  <c:v>5.0999999999999996</c:v>
                </c:pt>
                <c:pt idx="11">
                  <c:v>4.8</c:v>
                </c:pt>
                <c:pt idx="12">
                  <c:v>4.9000000000000004</c:v>
                </c:pt>
                <c:pt idx="13">
                  <c:v>5.2</c:v>
                </c:pt>
                <c:pt idx="14">
                  <c:v>5.6</c:v>
                </c:pt>
                <c:pt idx="15">
                  <c:v>5.2</c:v>
                </c:pt>
                <c:pt idx="16">
                  <c:v>4.7</c:v>
                </c:pt>
                <c:pt idx="17">
                  <c:v>5</c:v>
                </c:pt>
                <c:pt idx="18">
                  <c:v>5.7</c:v>
                </c:pt>
                <c:pt idx="19">
                  <c:v>4.3</c:v>
                </c:pt>
                <c:pt idx="20">
                  <c:v>4</c:v>
                </c:pt>
              </c:numCache>
            </c:numRef>
          </c:val>
          <c:smooth val="0"/>
          <c:extLst>
            <c:ext xmlns:c16="http://schemas.microsoft.com/office/drawing/2014/chart" uri="{C3380CC4-5D6E-409C-BE32-E72D297353CC}">
              <c16:uniqueId val="{00000003-96B1-4DD8-89C2-8CA1606648EB}"/>
            </c:ext>
          </c:extLst>
        </c:ser>
        <c:dLbls>
          <c:showLegendKey val="0"/>
          <c:showVal val="0"/>
          <c:showCatName val="0"/>
          <c:showSerName val="0"/>
          <c:showPercent val="0"/>
          <c:showBubbleSize val="0"/>
        </c:dLbls>
        <c:marker val="1"/>
        <c:smooth val="0"/>
        <c:axId val="462925640"/>
        <c:axId val="462922896"/>
      </c:lineChart>
      <c:catAx>
        <c:axId val="462925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crossAx val="462924856"/>
        <c:crosses val="autoZero"/>
        <c:auto val="1"/>
        <c:lblAlgn val="ctr"/>
        <c:lblOffset val="100"/>
        <c:noMultiLvlLbl val="0"/>
      </c:catAx>
      <c:valAx>
        <c:axId val="462924856"/>
        <c:scaling>
          <c:orientation val="minMax"/>
          <c:max val="1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crossAx val="462925248"/>
        <c:crosses val="autoZero"/>
        <c:crossBetween val="between"/>
      </c:valAx>
      <c:valAx>
        <c:axId val="46292289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crossAx val="462925640"/>
        <c:crosses val="max"/>
        <c:crossBetween val="between"/>
      </c:valAx>
      <c:catAx>
        <c:axId val="462925640"/>
        <c:scaling>
          <c:orientation val="minMax"/>
        </c:scaling>
        <c:delete val="1"/>
        <c:axPos val="b"/>
        <c:numFmt formatCode="General" sourceLinked="1"/>
        <c:majorTickMark val="out"/>
        <c:minorTickMark val="none"/>
        <c:tickLblPos val="nextTo"/>
        <c:crossAx val="462922896"/>
        <c:crosses val="autoZero"/>
        <c:auto val="1"/>
        <c:lblAlgn val="ctr"/>
        <c:lblOffset val="100"/>
        <c:noMultiLvlLbl val="0"/>
      </c:catAx>
      <c:spPr>
        <a:noFill/>
        <a:ln>
          <a:noFill/>
        </a:ln>
        <a:effectLst/>
      </c:spPr>
    </c:plotArea>
    <c:legend>
      <c:legendPos val="t"/>
      <c:legendEntry>
        <c:idx val="2"/>
        <c:delete val="1"/>
      </c:legendEntry>
      <c:legendEntry>
        <c:idx val="3"/>
        <c:delete val="1"/>
      </c:legendEntry>
      <c:layout>
        <c:manualLayout>
          <c:xMode val="edge"/>
          <c:yMode val="edge"/>
          <c:x val="0.2309470540444766"/>
          <c:y val="8.0809515831797615E-2"/>
          <c:w val="0.15551784511784511"/>
          <c:h val="5.54525002203765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41096701147649"/>
          <c:y val="1.5705092078214147E-2"/>
          <c:w val="0.81530556842159441"/>
          <c:h val="0.7678438398792965"/>
        </c:manualLayout>
      </c:layout>
      <c:barChart>
        <c:barDir val="bar"/>
        <c:grouping val="clustered"/>
        <c:varyColors val="0"/>
        <c:ser>
          <c:idx val="0"/>
          <c:order val="0"/>
          <c:tx>
            <c:v>DHB</c:v>
          </c:tx>
          <c:spPr>
            <a:solidFill>
              <a:srgbClr val="B2B2B2"/>
            </a:solidFill>
            <a:ln>
              <a:noFill/>
            </a:ln>
          </c:spPr>
          <c:invertIfNegative val="0"/>
          <c:errBars>
            <c:errBarType val="both"/>
            <c:errValType val="cust"/>
            <c:noEndCap val="0"/>
            <c:plus>
              <c:numRef>
                <c:f>GraphsDHB!$AP$36:$AP$55</c:f>
                <c:numCache>
                  <c:formatCode>General</c:formatCode>
                  <c:ptCount val="20"/>
                  <c:pt idx="0">
                    <c:v>5.2348884337191457</c:v>
                  </c:pt>
                  <c:pt idx="1">
                    <c:v>1.7501808692961256</c:v>
                  </c:pt>
                  <c:pt idx="2">
                    <c:v>2.3862330531249967</c:v>
                  </c:pt>
                  <c:pt idx="3">
                    <c:v>2.6852028386660933</c:v>
                  </c:pt>
                  <c:pt idx="4">
                    <c:v>3.0394833613020724</c:v>
                  </c:pt>
                  <c:pt idx="5">
                    <c:v>3.3768753132874667</c:v>
                  </c:pt>
                  <c:pt idx="6">
                    <c:v>4.7927572036405133</c:v>
                  </c:pt>
                  <c:pt idx="7">
                    <c:v>10.373832893796834</c:v>
                  </c:pt>
                  <c:pt idx="8">
                    <c:v>4.6042301293125085</c:v>
                  </c:pt>
                  <c:pt idx="9">
                    <c:v>6.4786551383619324</c:v>
                  </c:pt>
                  <c:pt idx="10">
                    <c:v>5.4120738364930059</c:v>
                  </c:pt>
                  <c:pt idx="11">
                    <c:v>11.458688981373243</c:v>
                  </c:pt>
                  <c:pt idx="12">
                    <c:v>3.339738011983354</c:v>
                  </c:pt>
                  <c:pt idx="13">
                    <c:v>5.4882351080186229</c:v>
                  </c:pt>
                  <c:pt idx="14">
                    <c:v>13.368252599334971</c:v>
                  </c:pt>
                  <c:pt idx="15">
                    <c:v>4.7263106492888527</c:v>
                  </c:pt>
                  <c:pt idx="16">
                    <c:v>22.244012505368634</c:v>
                  </c:pt>
                  <c:pt idx="17">
                    <c:v>2.3357204609313293</c:v>
                  </c:pt>
                  <c:pt idx="18">
                    <c:v>12.445362707222724</c:v>
                  </c:pt>
                  <c:pt idx="19">
                    <c:v>3.2215650721937088</c:v>
                  </c:pt>
                </c:numCache>
              </c:numRef>
            </c:plus>
            <c:minus>
              <c:numRef>
                <c:f>GraphsDHB!$AO$36:$AO$55</c:f>
                <c:numCache>
                  <c:formatCode>General</c:formatCode>
                  <c:ptCount val="20"/>
                  <c:pt idx="0">
                    <c:v>3.04176002106865</c:v>
                  </c:pt>
                  <c:pt idx="1">
                    <c:v>1.1249083031114018</c:v>
                  </c:pt>
                  <c:pt idx="2">
                    <c:v>1.5337234120829624</c:v>
                  </c:pt>
                  <c:pt idx="3">
                    <c:v>2.0978053530209451</c:v>
                  </c:pt>
                  <c:pt idx="4">
                    <c:v>2.1345119218145414</c:v>
                  </c:pt>
                  <c:pt idx="5">
                    <c:v>0</c:v>
                  </c:pt>
                  <c:pt idx="6">
                    <c:v>3.0804886899149295</c:v>
                  </c:pt>
                  <c:pt idx="7">
                    <c:v>3.4618161394957943</c:v>
                  </c:pt>
                  <c:pt idx="8">
                    <c:v>2.1273060919710836</c:v>
                  </c:pt>
                  <c:pt idx="9">
                    <c:v>2.9933522340411365</c:v>
                  </c:pt>
                  <c:pt idx="10">
                    <c:v>2.983417791326155</c:v>
                  </c:pt>
                  <c:pt idx="11">
                    <c:v>5.2942920296030049</c:v>
                  </c:pt>
                  <c:pt idx="12">
                    <c:v>1.8935757866931668</c:v>
                  </c:pt>
                  <c:pt idx="13">
                    <c:v>2.9279429429874062</c:v>
                  </c:pt>
                  <c:pt idx="14">
                    <c:v>2.0685809941298459</c:v>
                  </c:pt>
                  <c:pt idx="15">
                    <c:v>1.2322972405795378</c:v>
                  </c:pt>
                  <c:pt idx="16">
                    <c:v>5.7997108662137888</c:v>
                  </c:pt>
                  <c:pt idx="17">
                    <c:v>1.5519250427042839</c:v>
                  </c:pt>
                  <c:pt idx="18">
                    <c:v>4.1530992375542368</c:v>
                  </c:pt>
                  <c:pt idx="19">
                    <c:v>1.7186870702245935</c:v>
                  </c:pt>
                </c:numCache>
              </c:numRef>
            </c:minus>
            <c:spPr>
              <a:ln w="12700">
                <a:solidFill>
                  <a:schemeClr val="tx1">
                    <a:lumMod val="75000"/>
                    <a:lumOff val="25000"/>
                  </a:schemeClr>
                </a:solidFill>
              </a:ln>
            </c:spPr>
          </c:errBars>
          <c:cat>
            <c:strRef>
              <c:f>GraphsDHB!$N$8:$N$27</c:f>
              <c:strCache>
                <c:ptCount val="20"/>
                <c:pt idx="0">
                  <c:v>Northland</c:v>
                </c:pt>
                <c:pt idx="1">
                  <c:v>Waitemata</c:v>
                </c:pt>
                <c:pt idx="2">
                  <c:v>Auckland</c:v>
                </c:pt>
                <c:pt idx="3">
                  <c:v>Counties Manukau</c:v>
                </c:pt>
                <c:pt idx="4">
                  <c:v>Waikato</c:v>
                </c:pt>
                <c:pt idx="5">
                  <c:v>Lakes</c:v>
                </c:pt>
                <c:pt idx="6">
                  <c:v>Bay of Plenty</c:v>
                </c:pt>
                <c:pt idx="7">
                  <c:v>Tairāwhiti</c:v>
                </c:pt>
                <c:pt idx="8">
                  <c:v>Hawke's Bay</c:v>
                </c:pt>
                <c:pt idx="9">
                  <c:v>Taranaki</c:v>
                </c:pt>
                <c:pt idx="10">
                  <c:v>MidCentral</c:v>
                </c:pt>
                <c:pt idx="11">
                  <c:v>Whanganui</c:v>
                </c:pt>
                <c:pt idx="12">
                  <c:v>Capital &amp; Coast</c:v>
                </c:pt>
                <c:pt idx="13">
                  <c:v>Hutt Valley</c:v>
                </c:pt>
                <c:pt idx="14">
                  <c:v>Wairarapa</c:v>
                </c:pt>
                <c:pt idx="15">
                  <c:v>Nelson Marlborough</c:v>
                </c:pt>
                <c:pt idx="16">
                  <c:v>West Coast</c:v>
                </c:pt>
                <c:pt idx="17">
                  <c:v>Canterbury</c:v>
                </c:pt>
                <c:pt idx="18">
                  <c:v>South Canterbury</c:v>
                </c:pt>
                <c:pt idx="19">
                  <c:v>Southern</c:v>
                </c:pt>
              </c:strCache>
            </c:strRef>
          </c:cat>
          <c:val>
            <c:numRef>
              <c:f>GraphsDHB!$Q$36:$Q$55</c:f>
              <c:numCache>
                <c:formatCode>0.0</c:formatCode>
                <c:ptCount val="20"/>
                <c:pt idx="0">
                  <c:v>5.1724137931034484</c:v>
                </c:pt>
                <c:pt idx="1">
                  <c:v>2.2357471121599803</c:v>
                </c:pt>
                <c:pt idx="2">
                  <c:v>3.048264182895851</c:v>
                </c:pt>
                <c:pt idx="3">
                  <c:v>6.8059701492537314</c:v>
                </c:pt>
                <c:pt idx="4">
                  <c:v>5.0844379880152539</c:v>
                </c:pt>
                <c:pt idx="5">
                  <c:v>0</c:v>
                </c:pt>
                <c:pt idx="6">
                  <c:v>6.1224489795918364</c:v>
                </c:pt>
                <c:pt idx="7">
                  <c:v>3.9011703511053315</c:v>
                </c:pt>
                <c:pt idx="8">
                  <c:v>2.8598665395614868</c:v>
                </c:pt>
                <c:pt idx="9">
                  <c:v>4.0241448692152924</c:v>
                </c:pt>
                <c:pt idx="10">
                  <c:v>4.7483380816714149</c:v>
                </c:pt>
                <c:pt idx="11">
                  <c:v>7.1174377224199281</c:v>
                </c:pt>
                <c:pt idx="12">
                  <c:v>3.1187978451942162</c:v>
                </c:pt>
                <c:pt idx="13">
                  <c:v>4.4910179640718564</c:v>
                </c:pt>
                <c:pt idx="14">
                  <c:v>2.0790020790020791</c:v>
                </c:pt>
                <c:pt idx="15">
                  <c:v>1.2995451591942819</c:v>
                </c:pt>
                <c:pt idx="16">
                  <c:v>6.1162079510703364</c:v>
                </c:pt>
                <c:pt idx="17">
                  <c:v>3.2817627754336613</c:v>
                </c:pt>
                <c:pt idx="18">
                  <c:v>4.6801872074882995</c:v>
                </c:pt>
                <c:pt idx="19">
                  <c:v>2.6362038664323375</c:v>
                </c:pt>
              </c:numCache>
            </c:numRef>
          </c:val>
          <c:extLst>
            <c:ext xmlns:c16="http://schemas.microsoft.com/office/drawing/2014/chart" uri="{C3380CC4-5D6E-409C-BE32-E72D297353CC}">
              <c16:uniqueId val="{00000000-1CDD-479B-BCD1-3EE34555D902}"/>
            </c:ext>
          </c:extLst>
        </c:ser>
        <c:dLbls>
          <c:showLegendKey val="0"/>
          <c:showVal val="0"/>
          <c:showCatName val="0"/>
          <c:showSerName val="0"/>
          <c:showPercent val="0"/>
          <c:showBubbleSize val="0"/>
        </c:dLbls>
        <c:gapWidth val="100"/>
        <c:axId val="464117720"/>
        <c:axId val="464120072"/>
      </c:barChart>
      <c:scatterChart>
        <c:scatterStyle val="lineMarker"/>
        <c:varyColors val="0"/>
        <c:ser>
          <c:idx val="1"/>
          <c:order val="1"/>
          <c:tx>
            <c:strRef>
              <c:f>GraphsDHB!$AQ$35</c:f>
              <c:strCache>
                <c:ptCount val="1"/>
                <c:pt idx="0">
                  <c:v>NZRate</c:v>
                </c:pt>
              </c:strCache>
            </c:strRef>
          </c:tx>
          <c:spPr>
            <a:ln w="19050">
              <a:solidFill>
                <a:srgbClr val="2B8CBE"/>
              </a:solidFill>
            </a:ln>
          </c:spPr>
          <c:marker>
            <c:symbol val="none"/>
          </c:marker>
          <c:xVal>
            <c:numRef>
              <c:f>GraphsDHB!$AQ$36:$AQ$55</c:f>
              <c:numCache>
                <c:formatCode>0.0</c:formatCode>
                <c:ptCount val="20"/>
                <c:pt idx="0">
                  <c:v>3.9876894566152621</c:v>
                </c:pt>
                <c:pt idx="1">
                  <c:v>3.9876894566152621</c:v>
                </c:pt>
                <c:pt idx="2">
                  <c:v>3.9876894566152621</c:v>
                </c:pt>
                <c:pt idx="3">
                  <c:v>3.9876894566152621</c:v>
                </c:pt>
                <c:pt idx="4">
                  <c:v>3.9876894566152621</c:v>
                </c:pt>
                <c:pt idx="5">
                  <c:v>3.9876894566152621</c:v>
                </c:pt>
                <c:pt idx="6">
                  <c:v>3.9876894566152621</c:v>
                </c:pt>
                <c:pt idx="7">
                  <c:v>3.9876894566152621</c:v>
                </c:pt>
                <c:pt idx="8">
                  <c:v>3.9876894566152621</c:v>
                </c:pt>
                <c:pt idx="9">
                  <c:v>3.9876894566152621</c:v>
                </c:pt>
                <c:pt idx="10">
                  <c:v>3.9876894566152621</c:v>
                </c:pt>
                <c:pt idx="11">
                  <c:v>3.9876894566152621</c:v>
                </c:pt>
                <c:pt idx="12">
                  <c:v>3.9876894566152621</c:v>
                </c:pt>
                <c:pt idx="13">
                  <c:v>3.9876894566152621</c:v>
                </c:pt>
                <c:pt idx="14">
                  <c:v>3.9876894566152621</c:v>
                </c:pt>
                <c:pt idx="15">
                  <c:v>3.9876894566152621</c:v>
                </c:pt>
                <c:pt idx="16">
                  <c:v>3.9876894566152621</c:v>
                </c:pt>
                <c:pt idx="17">
                  <c:v>3.9876894566152621</c:v>
                </c:pt>
                <c:pt idx="18">
                  <c:v>3.9876894566152621</c:v>
                </c:pt>
                <c:pt idx="19">
                  <c:v>3.9876894566152621</c:v>
                </c:pt>
              </c:numCache>
            </c:numRef>
          </c:xVal>
          <c:yVal>
            <c:numRef>
              <c:f>GraphsDHB!$AT$3:$AU$3</c:f>
              <c:numCache>
                <c:formatCode>General</c:formatCode>
                <c:ptCount val="2"/>
                <c:pt idx="0">
                  <c:v>0</c:v>
                </c:pt>
                <c:pt idx="1">
                  <c:v>1</c:v>
                </c:pt>
              </c:numCache>
            </c:numRef>
          </c:yVal>
          <c:smooth val="0"/>
          <c:extLst>
            <c:ext xmlns:c16="http://schemas.microsoft.com/office/drawing/2014/chart" uri="{C3380CC4-5D6E-409C-BE32-E72D297353CC}">
              <c16:uniqueId val="{00000001-1CDD-479B-BCD1-3EE34555D902}"/>
            </c:ext>
          </c:extLst>
        </c:ser>
        <c:dLbls>
          <c:showLegendKey val="0"/>
          <c:showVal val="0"/>
          <c:showCatName val="0"/>
          <c:showSerName val="0"/>
          <c:showPercent val="0"/>
          <c:showBubbleSize val="0"/>
        </c:dLbls>
        <c:axId val="464120856"/>
        <c:axId val="464120464"/>
      </c:scatterChart>
      <c:catAx>
        <c:axId val="464117720"/>
        <c:scaling>
          <c:orientation val="maxMin"/>
        </c:scaling>
        <c:delete val="0"/>
        <c:axPos val="l"/>
        <c:numFmt formatCode="General" sourceLinked="0"/>
        <c:majorTickMark val="out"/>
        <c:minorTickMark val="none"/>
        <c:tickLblPos val="nextTo"/>
        <c:crossAx val="464120072"/>
        <c:crosses val="autoZero"/>
        <c:auto val="1"/>
        <c:lblAlgn val="ctr"/>
        <c:lblOffset val="100"/>
        <c:noMultiLvlLbl val="0"/>
      </c:catAx>
      <c:valAx>
        <c:axId val="464120072"/>
        <c:scaling>
          <c:orientation val="minMax"/>
        </c:scaling>
        <c:delete val="0"/>
        <c:axPos val="b"/>
        <c:title>
          <c:tx>
            <c:rich>
              <a:bodyPr/>
              <a:lstStyle/>
              <a:p>
                <a:pPr>
                  <a:defRPr/>
                </a:pPr>
                <a:r>
                  <a:rPr lang="en-US"/>
                  <a:t>Infant</a:t>
                </a:r>
                <a:r>
                  <a:rPr lang="en-US" baseline="0"/>
                  <a:t> </a:t>
                </a:r>
                <a:r>
                  <a:rPr lang="en-US"/>
                  <a:t>death rate (per 1000 live births)</a:t>
                </a:r>
              </a:p>
            </c:rich>
          </c:tx>
          <c:layout>
            <c:manualLayout>
              <c:xMode val="edge"/>
              <c:yMode val="edge"/>
              <c:x val="0.40113812979259944"/>
              <c:y val="0.83529633646093626"/>
            </c:manualLayout>
          </c:layout>
          <c:overlay val="0"/>
        </c:title>
        <c:numFmt formatCode="0" sourceLinked="0"/>
        <c:majorTickMark val="out"/>
        <c:minorTickMark val="none"/>
        <c:tickLblPos val="nextTo"/>
        <c:crossAx val="464117720"/>
        <c:crosses val="max"/>
        <c:crossBetween val="between"/>
      </c:valAx>
      <c:valAx>
        <c:axId val="464120464"/>
        <c:scaling>
          <c:orientation val="minMax"/>
          <c:max val="1"/>
        </c:scaling>
        <c:delete val="1"/>
        <c:axPos val="r"/>
        <c:numFmt formatCode="General" sourceLinked="1"/>
        <c:majorTickMark val="out"/>
        <c:minorTickMark val="none"/>
        <c:tickLblPos val="nextTo"/>
        <c:crossAx val="464120856"/>
        <c:crosses val="max"/>
        <c:crossBetween val="midCat"/>
      </c:valAx>
      <c:valAx>
        <c:axId val="464120856"/>
        <c:scaling>
          <c:orientation val="minMax"/>
        </c:scaling>
        <c:delete val="1"/>
        <c:axPos val="b"/>
        <c:numFmt formatCode="0.0" sourceLinked="1"/>
        <c:majorTickMark val="out"/>
        <c:minorTickMark val="none"/>
        <c:tickLblPos val="nextTo"/>
        <c:crossAx val="464120464"/>
        <c:crosses val="autoZero"/>
        <c:crossBetween val="midCat"/>
      </c:valAx>
    </c:plotArea>
    <c:plotVisOnly val="1"/>
    <c:dispBlanksAs val="gap"/>
    <c:showDLblsOverMax val="0"/>
  </c:chart>
  <c:spPr>
    <a:ln>
      <a:noFill/>
    </a:ln>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41096701147649"/>
          <c:y val="3.1614281685863645E-2"/>
          <c:w val="0.81530556842159441"/>
          <c:h val="0.75496930827194997"/>
        </c:manualLayout>
      </c:layout>
      <c:barChart>
        <c:barDir val="bar"/>
        <c:grouping val="clustered"/>
        <c:varyColors val="0"/>
        <c:ser>
          <c:idx val="0"/>
          <c:order val="0"/>
          <c:tx>
            <c:v>DHB</c:v>
          </c:tx>
          <c:spPr>
            <a:solidFill>
              <a:srgbClr val="B2B2B2"/>
            </a:solidFill>
            <a:ln>
              <a:noFill/>
            </a:ln>
          </c:spPr>
          <c:invertIfNegative val="0"/>
          <c:errBars>
            <c:errBarType val="both"/>
            <c:errValType val="cust"/>
            <c:noEndCap val="0"/>
            <c:plus>
              <c:numRef>
                <c:f>GraphsDHB!$AP$64:$AP$83</c:f>
                <c:numCache>
                  <c:formatCode>General</c:formatCode>
                  <c:ptCount val="20"/>
                  <c:pt idx="0">
                    <c:v>0.75939646425603813</c:v>
                  </c:pt>
                  <c:pt idx="1">
                    <c:v>0.18409536810649044</c:v>
                  </c:pt>
                  <c:pt idx="2">
                    <c:v>0.27710355923085006</c:v>
                  </c:pt>
                  <c:pt idx="3">
                    <c:v>0.30484197319021289</c:v>
                  </c:pt>
                  <c:pt idx="4">
                    <c:v>0.44643953706177103</c:v>
                  </c:pt>
                  <c:pt idx="5">
                    <c:v>1.1426791365490738</c:v>
                  </c:pt>
                  <c:pt idx="6">
                    <c:v>0.4478429795431203</c:v>
                  </c:pt>
                  <c:pt idx="7">
                    <c:v>2.0115575468073961</c:v>
                  </c:pt>
                  <c:pt idx="8">
                    <c:v>0.84012114691240614</c:v>
                  </c:pt>
                  <c:pt idx="9">
                    <c:v>1.1824450001322067</c:v>
                  </c:pt>
                  <c:pt idx="10">
                    <c:v>0.89915990052105033</c:v>
                  </c:pt>
                  <c:pt idx="11">
                    <c:v>2.0321801338343777</c:v>
                  </c:pt>
                  <c:pt idx="12">
                    <c:v>0.53156916196883364</c:v>
                  </c:pt>
                  <c:pt idx="13">
                    <c:v>0.92862675439186171</c:v>
                  </c:pt>
                  <c:pt idx="14">
                    <c:v>2.5948868039871353</c:v>
                  </c:pt>
                  <c:pt idx="15">
                    <c:v>0.84897405601797216</c:v>
                  </c:pt>
                  <c:pt idx="16">
                    <c:v>2.7768958944172093</c:v>
                  </c:pt>
                  <c:pt idx="17">
                    <c:v>0.42716868870608582</c:v>
                  </c:pt>
                  <c:pt idx="18">
                    <c:v>2.0081603686071583</c:v>
                  </c:pt>
                  <c:pt idx="19">
                    <c:v>0.6311139700734103</c:v>
                  </c:pt>
                </c:numCache>
              </c:numRef>
            </c:plus>
            <c:minus>
              <c:numRef>
                <c:f>GraphsDHB!$AO$64:$AO$83</c:f>
                <c:numCache>
                  <c:formatCode>General</c:formatCode>
                  <c:ptCount val="20"/>
                  <c:pt idx="0">
                    <c:v>0.29405261610785477</c:v>
                  </c:pt>
                  <c:pt idx="1">
                    <c:v>4.7999429355164609E-2</c:v>
                  </c:pt>
                  <c:pt idx="2">
                    <c:v>0.10729971807869323</c:v>
                  </c:pt>
                  <c:pt idx="3">
                    <c:v>0.1845140244139625</c:v>
                  </c:pt>
                  <c:pt idx="4">
                    <c:v>0.25940608913686469</c:v>
                  </c:pt>
                  <c:pt idx="5">
                    <c:v>0.44246688691564845</c:v>
                  </c:pt>
                  <c:pt idx="6">
                    <c:v>6.9298471805018511E-2</c:v>
                  </c:pt>
                  <c:pt idx="7">
                    <c:v>0.52447606561170046</c:v>
                  </c:pt>
                  <c:pt idx="8">
                    <c:v>0.36012044434374046</c:v>
                  </c:pt>
                  <c:pt idx="9">
                    <c:v>0.50685858869832989</c:v>
                  </c:pt>
                  <c:pt idx="10">
                    <c:v>0.41544151363262904</c:v>
                  </c:pt>
                  <c:pt idx="11">
                    <c:v>0.78689842905949214</c:v>
                  </c:pt>
                  <c:pt idx="12">
                    <c:v>0.24560247528919948</c:v>
                  </c:pt>
                  <c:pt idx="13">
                    <c:v>0.39805863791207524</c:v>
                  </c:pt>
                  <c:pt idx="14">
                    <c:v>0.40152843348525252</c:v>
                  </c:pt>
                  <c:pt idx="15">
                    <c:v>0.13136882204600683</c:v>
                  </c:pt>
                  <c:pt idx="16">
                    <c:v>0</c:v>
                  </c:pt>
                  <c:pt idx="17">
                    <c:v>0.26305740566079255</c:v>
                  </c:pt>
                  <c:pt idx="18">
                    <c:v>0.31073936857478318</c:v>
                  </c:pt>
                  <c:pt idx="19">
                    <c:v>0.33669579719669263</c:v>
                  </c:pt>
                </c:numCache>
              </c:numRef>
            </c:minus>
            <c:spPr>
              <a:ln w="12700">
                <a:solidFill>
                  <a:schemeClr val="tx1">
                    <a:lumMod val="75000"/>
                    <a:lumOff val="25000"/>
                  </a:schemeClr>
                </a:solidFill>
              </a:ln>
            </c:spPr>
          </c:errBars>
          <c:cat>
            <c:strRef>
              <c:f>GraphsDHB!$N$8:$N$27</c:f>
              <c:strCache>
                <c:ptCount val="20"/>
                <c:pt idx="0">
                  <c:v>Northland</c:v>
                </c:pt>
                <c:pt idx="1">
                  <c:v>Waitemata</c:v>
                </c:pt>
                <c:pt idx="2">
                  <c:v>Auckland</c:v>
                </c:pt>
                <c:pt idx="3">
                  <c:v>Counties Manukau</c:v>
                </c:pt>
                <c:pt idx="4">
                  <c:v>Waikato</c:v>
                </c:pt>
                <c:pt idx="5">
                  <c:v>Lakes</c:v>
                </c:pt>
                <c:pt idx="6">
                  <c:v>Bay of Plenty</c:v>
                </c:pt>
                <c:pt idx="7">
                  <c:v>Tairāwhiti</c:v>
                </c:pt>
                <c:pt idx="8">
                  <c:v>Hawke's Bay</c:v>
                </c:pt>
                <c:pt idx="9">
                  <c:v>Taranaki</c:v>
                </c:pt>
                <c:pt idx="10">
                  <c:v>MidCentral</c:v>
                </c:pt>
                <c:pt idx="11">
                  <c:v>Whanganui</c:v>
                </c:pt>
                <c:pt idx="12">
                  <c:v>Capital &amp; Coast</c:v>
                </c:pt>
                <c:pt idx="13">
                  <c:v>Hutt Valley</c:v>
                </c:pt>
                <c:pt idx="14">
                  <c:v>Wairarapa</c:v>
                </c:pt>
                <c:pt idx="15">
                  <c:v>Nelson Marlborough</c:v>
                </c:pt>
                <c:pt idx="16">
                  <c:v>West Coast</c:v>
                </c:pt>
                <c:pt idx="17">
                  <c:v>Canterbury</c:v>
                </c:pt>
                <c:pt idx="18">
                  <c:v>South Canterbury</c:v>
                </c:pt>
                <c:pt idx="19">
                  <c:v>Southern</c:v>
                </c:pt>
              </c:strCache>
            </c:strRef>
          </c:cat>
          <c:val>
            <c:numRef>
              <c:f>GraphsDHB!$Q$64:$Q$83</c:f>
              <c:numCache>
                <c:formatCode>0.0</c:formatCode>
                <c:ptCount val="20"/>
                <c:pt idx="0">
                  <c:v>0.35345056110276574</c:v>
                </c:pt>
                <c:pt idx="1">
                  <c:v>5.0618815013540534E-2</c:v>
                </c:pt>
                <c:pt idx="2">
                  <c:v>0.12897401173663506</c:v>
                </c:pt>
                <c:pt idx="3">
                  <c:v>0.33248628494074617</c:v>
                </c:pt>
                <c:pt idx="4">
                  <c:v>0.44111160123511245</c:v>
                </c:pt>
                <c:pt idx="5">
                  <c:v>0.53184416965829007</c:v>
                </c:pt>
                <c:pt idx="6">
                  <c:v>6.9647583228861956E-2</c:v>
                </c:pt>
                <c:pt idx="7">
                  <c:v>0.55309734513274333</c:v>
                </c:pt>
                <c:pt idx="8">
                  <c:v>0.45909466531998899</c:v>
                </c:pt>
                <c:pt idx="9">
                  <c:v>0.64616179891444814</c:v>
                </c:pt>
                <c:pt idx="10">
                  <c:v>0.55850321139346548</c:v>
                </c:pt>
                <c:pt idx="11">
                  <c:v>0.9458500827618822</c:v>
                </c:pt>
                <c:pt idx="12">
                  <c:v>0.33017829627999118</c:v>
                </c:pt>
                <c:pt idx="13">
                  <c:v>0.50745965695727191</c:v>
                </c:pt>
                <c:pt idx="14">
                  <c:v>0.40355125100887812</c:v>
                </c:pt>
                <c:pt idx="15">
                  <c:v>0.13203063110641669</c:v>
                </c:pt>
                <c:pt idx="16">
                  <c:v>0</c:v>
                </c:pt>
                <c:pt idx="17">
                  <c:v>0.48674432942856216</c:v>
                </c:pt>
                <c:pt idx="18">
                  <c:v>0.31230480949406619</c:v>
                </c:pt>
                <c:pt idx="19">
                  <c:v>0.51644000688586678</c:v>
                </c:pt>
              </c:numCache>
            </c:numRef>
          </c:val>
          <c:extLst>
            <c:ext xmlns:c16="http://schemas.microsoft.com/office/drawing/2014/chart" uri="{C3380CC4-5D6E-409C-BE32-E72D297353CC}">
              <c16:uniqueId val="{00000000-B1CC-45BE-A61C-DA87A62A826D}"/>
            </c:ext>
          </c:extLst>
        </c:ser>
        <c:dLbls>
          <c:showLegendKey val="0"/>
          <c:showVal val="0"/>
          <c:showCatName val="0"/>
          <c:showSerName val="0"/>
          <c:showPercent val="0"/>
          <c:showBubbleSize val="0"/>
        </c:dLbls>
        <c:gapWidth val="100"/>
        <c:axId val="462920152"/>
        <c:axId val="462920544"/>
      </c:barChart>
      <c:scatterChart>
        <c:scatterStyle val="lineMarker"/>
        <c:varyColors val="0"/>
        <c:ser>
          <c:idx val="1"/>
          <c:order val="1"/>
          <c:tx>
            <c:strRef>
              <c:f>GraphsDHB!$AQ$63</c:f>
              <c:strCache>
                <c:ptCount val="1"/>
                <c:pt idx="0">
                  <c:v>NZRate</c:v>
                </c:pt>
              </c:strCache>
            </c:strRef>
          </c:tx>
          <c:spPr>
            <a:ln w="19050">
              <a:solidFill>
                <a:srgbClr val="2B8CBE"/>
              </a:solidFill>
            </a:ln>
          </c:spPr>
          <c:marker>
            <c:symbol val="none"/>
          </c:marker>
          <c:xVal>
            <c:numRef>
              <c:f>GraphsDHB!$AQ$64:$AQ$83</c:f>
              <c:numCache>
                <c:formatCode>0.0</c:formatCode>
                <c:ptCount val="20"/>
                <c:pt idx="0">
                  <c:v>0.33379712405685785</c:v>
                </c:pt>
                <c:pt idx="1">
                  <c:v>0.33379712405685785</c:v>
                </c:pt>
                <c:pt idx="2">
                  <c:v>0.33379712405685785</c:v>
                </c:pt>
                <c:pt idx="3">
                  <c:v>0.33379712405685785</c:v>
                </c:pt>
                <c:pt idx="4">
                  <c:v>0.33379712405685785</c:v>
                </c:pt>
                <c:pt idx="5">
                  <c:v>0.33379712405685785</c:v>
                </c:pt>
                <c:pt idx="6">
                  <c:v>0.33379712405685785</c:v>
                </c:pt>
                <c:pt idx="7">
                  <c:v>0.33379712405685785</c:v>
                </c:pt>
                <c:pt idx="8">
                  <c:v>0.33379712405685785</c:v>
                </c:pt>
                <c:pt idx="9">
                  <c:v>0.33379712405685785</c:v>
                </c:pt>
                <c:pt idx="10">
                  <c:v>0.33379712405685785</c:v>
                </c:pt>
                <c:pt idx="11">
                  <c:v>0.33379712405685785</c:v>
                </c:pt>
                <c:pt idx="12">
                  <c:v>0.33379712405685785</c:v>
                </c:pt>
                <c:pt idx="13">
                  <c:v>0.33379712405685785</c:v>
                </c:pt>
                <c:pt idx="14">
                  <c:v>0.33379712405685785</c:v>
                </c:pt>
                <c:pt idx="15">
                  <c:v>0.33379712405685785</c:v>
                </c:pt>
                <c:pt idx="16">
                  <c:v>0.33379712405685785</c:v>
                </c:pt>
                <c:pt idx="17">
                  <c:v>0.33379712405685785</c:v>
                </c:pt>
                <c:pt idx="18">
                  <c:v>0.33379712405685785</c:v>
                </c:pt>
                <c:pt idx="19">
                  <c:v>0.33379712405685785</c:v>
                </c:pt>
              </c:numCache>
            </c:numRef>
          </c:xVal>
          <c:yVal>
            <c:numRef>
              <c:f>GraphsDHB!$AT$3:$AU$3</c:f>
              <c:numCache>
                <c:formatCode>General</c:formatCode>
                <c:ptCount val="2"/>
                <c:pt idx="0">
                  <c:v>0</c:v>
                </c:pt>
                <c:pt idx="1">
                  <c:v>1</c:v>
                </c:pt>
              </c:numCache>
            </c:numRef>
          </c:yVal>
          <c:smooth val="0"/>
          <c:extLst>
            <c:ext xmlns:c16="http://schemas.microsoft.com/office/drawing/2014/chart" uri="{C3380CC4-5D6E-409C-BE32-E72D297353CC}">
              <c16:uniqueId val="{00000001-B1CC-45BE-A61C-DA87A62A826D}"/>
            </c:ext>
          </c:extLst>
        </c:ser>
        <c:dLbls>
          <c:showLegendKey val="0"/>
          <c:showVal val="0"/>
          <c:showCatName val="0"/>
          <c:showSerName val="0"/>
          <c:showPercent val="0"/>
          <c:showBubbleSize val="0"/>
        </c:dLbls>
        <c:axId val="464735312"/>
        <c:axId val="462920936"/>
      </c:scatterChart>
      <c:catAx>
        <c:axId val="462920152"/>
        <c:scaling>
          <c:orientation val="maxMin"/>
        </c:scaling>
        <c:delete val="0"/>
        <c:axPos val="l"/>
        <c:numFmt formatCode="General" sourceLinked="0"/>
        <c:majorTickMark val="out"/>
        <c:minorTickMark val="none"/>
        <c:tickLblPos val="nextTo"/>
        <c:crossAx val="462920544"/>
        <c:crosses val="autoZero"/>
        <c:auto val="1"/>
        <c:lblAlgn val="ctr"/>
        <c:lblOffset val="100"/>
        <c:noMultiLvlLbl val="0"/>
      </c:catAx>
      <c:valAx>
        <c:axId val="462920544"/>
        <c:scaling>
          <c:orientation val="minMax"/>
        </c:scaling>
        <c:delete val="0"/>
        <c:axPos val="b"/>
        <c:title>
          <c:tx>
            <c:rich>
              <a:bodyPr/>
              <a:lstStyle/>
              <a:p>
                <a:pPr>
                  <a:defRPr/>
                </a:pPr>
                <a:r>
                  <a:rPr lang="en-US"/>
                  <a:t>Rate of SIDS (per 1000 live births)</a:t>
                </a:r>
              </a:p>
            </c:rich>
          </c:tx>
          <c:layout>
            <c:manualLayout>
              <c:xMode val="edge"/>
              <c:yMode val="edge"/>
              <c:x val="0.32107277031547526"/>
              <c:y val="0.83316886800440282"/>
            </c:manualLayout>
          </c:layout>
          <c:overlay val="0"/>
        </c:title>
        <c:numFmt formatCode="0" sourceLinked="0"/>
        <c:majorTickMark val="out"/>
        <c:minorTickMark val="none"/>
        <c:tickLblPos val="nextTo"/>
        <c:crossAx val="462920152"/>
        <c:crosses val="max"/>
        <c:crossBetween val="between"/>
        <c:majorUnit val="1"/>
      </c:valAx>
      <c:valAx>
        <c:axId val="462920936"/>
        <c:scaling>
          <c:orientation val="minMax"/>
          <c:max val="1"/>
        </c:scaling>
        <c:delete val="1"/>
        <c:axPos val="r"/>
        <c:numFmt formatCode="General" sourceLinked="1"/>
        <c:majorTickMark val="out"/>
        <c:minorTickMark val="none"/>
        <c:tickLblPos val="nextTo"/>
        <c:crossAx val="464735312"/>
        <c:crosses val="max"/>
        <c:crossBetween val="midCat"/>
      </c:valAx>
      <c:valAx>
        <c:axId val="464735312"/>
        <c:scaling>
          <c:orientation val="minMax"/>
        </c:scaling>
        <c:delete val="1"/>
        <c:axPos val="b"/>
        <c:numFmt formatCode="0.0" sourceLinked="1"/>
        <c:majorTickMark val="out"/>
        <c:minorTickMark val="none"/>
        <c:tickLblPos val="nextTo"/>
        <c:crossAx val="462920936"/>
        <c:crosses val="autoZero"/>
        <c:crossBetween val="midCat"/>
      </c:valAx>
    </c:plotArea>
    <c:plotVisOnly val="1"/>
    <c:dispBlanksAs val="gap"/>
    <c:showDLblsOverMax val="0"/>
  </c:chart>
  <c:spPr>
    <a:ln>
      <a:noFill/>
    </a:ln>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41096701147649"/>
          <c:y val="2.885946074922453E-2"/>
          <c:w val="0.81367158149348984"/>
          <c:h val="0.76275886885107114"/>
        </c:manualLayout>
      </c:layout>
      <c:barChart>
        <c:barDir val="bar"/>
        <c:grouping val="clustered"/>
        <c:varyColors val="0"/>
        <c:ser>
          <c:idx val="0"/>
          <c:order val="0"/>
          <c:tx>
            <c:v>DHB</c:v>
          </c:tx>
          <c:spPr>
            <a:solidFill>
              <a:schemeClr val="bg1">
                <a:lumMod val="65000"/>
              </a:schemeClr>
            </a:solidFill>
            <a:ln>
              <a:noFill/>
            </a:ln>
          </c:spPr>
          <c:invertIfNegative val="0"/>
          <c:errBars>
            <c:errBarType val="both"/>
            <c:errValType val="cust"/>
            <c:noEndCap val="0"/>
            <c:plus>
              <c:numRef>
                <c:f>GraphsDHB!$AP$92:$AP$111</c:f>
                <c:numCache>
                  <c:formatCode>General</c:formatCode>
                  <c:ptCount val="20"/>
                  <c:pt idx="0">
                    <c:v>1.0408461578391175</c:v>
                  </c:pt>
                  <c:pt idx="1">
                    <c:v>0.25647524155079215</c:v>
                  </c:pt>
                  <c:pt idx="2">
                    <c:v>0.4029370005239481</c:v>
                  </c:pt>
                  <c:pt idx="3">
                    <c:v>0.47394181764192833</c:v>
                  </c:pt>
                  <c:pt idx="4">
                    <c:v>0.62402033082689545</c:v>
                  </c:pt>
                  <c:pt idx="5">
                    <c:v>1.2843604322959241</c:v>
                  </c:pt>
                  <c:pt idx="6">
                    <c:v>0.63725863010328843</c:v>
                  </c:pt>
                  <c:pt idx="7">
                    <c:v>2.8024317668455052</c:v>
                  </c:pt>
                  <c:pt idx="8">
                    <c:v>1.0098634796133801</c:v>
                  </c:pt>
                  <c:pt idx="9">
                    <c:v>1.3095881712216784</c:v>
                  </c:pt>
                  <c:pt idx="10">
                    <c:v>0.94327406394055169</c:v>
                  </c:pt>
                  <c:pt idx="11">
                    <c:v>2.3962150080192357</c:v>
                  </c:pt>
                  <c:pt idx="12">
                    <c:v>0.68768919955149277</c:v>
                  </c:pt>
                  <c:pt idx="13">
                    <c:v>1.0736045598602835</c:v>
                  </c:pt>
                  <c:pt idx="14">
                    <c:v>2.5948868039871353</c:v>
                  </c:pt>
                  <c:pt idx="15">
                    <c:v>1.0532713883456251</c:v>
                  </c:pt>
                  <c:pt idx="16">
                    <c:v>2.7768958944172093</c:v>
                  </c:pt>
                  <c:pt idx="17">
                    <c:v>0.48500098093583333</c:v>
                  </c:pt>
                  <c:pt idx="18">
                    <c:v>2.2716402527343988</c:v>
                  </c:pt>
                  <c:pt idx="19">
                    <c:v>0.6540326791561526</c:v>
                  </c:pt>
                </c:numCache>
              </c:numRef>
            </c:plus>
            <c:minus>
              <c:numRef>
                <c:f>GraphsDHB!$AO$92:$AO$111</c:f>
                <c:numCache>
                  <c:formatCode>General</c:formatCode>
                  <c:ptCount val="20"/>
                  <c:pt idx="0">
                    <c:v>0.59014242287415386</c:v>
                  </c:pt>
                  <c:pt idx="1">
                    <c:v>0.12560204807016592</c:v>
                  </c:pt>
                  <c:pt idx="2">
                    <c:v>0.23924296436828299</c:v>
                  </c:pt>
                  <c:pt idx="3">
                    <c:v>0.35655944063636813</c:v>
                  </c:pt>
                  <c:pt idx="4">
                    <c:v>0.44095759416402669</c:v>
                  </c:pt>
                  <c:pt idx="5">
                    <c:v>0.59341685692797941</c:v>
                  </c:pt>
                  <c:pt idx="6">
                    <c:v>0.27316281928873637</c:v>
                  </c:pt>
                  <c:pt idx="7">
                    <c:v>1.3724177326604883</c:v>
                  </c:pt>
                  <c:pt idx="8">
                    <c:v>0.53875655658312027</c:v>
                  </c:pt>
                  <c:pt idx="9">
                    <c:v>0.64133658843374586</c:v>
                  </c:pt>
                  <c:pt idx="10">
                    <c:v>0.46194382586803739</c:v>
                  </c:pt>
                  <c:pt idx="11">
                    <c:v>1.1734836891228011</c:v>
                  </c:pt>
                  <c:pt idx="12">
                    <c:v>0.40831396086935545</c:v>
                  </c:pt>
                  <c:pt idx="13">
                    <c:v>0.55098927011855858</c:v>
                  </c:pt>
                  <c:pt idx="14">
                    <c:v>0.40152843348525252</c:v>
                  </c:pt>
                  <c:pt idx="15">
                    <c:v>0.35148357687777476</c:v>
                  </c:pt>
                  <c:pt idx="16">
                    <c:v>0</c:v>
                  </c:pt>
                  <c:pt idx="17">
                    <c:v>0.32224967869243315</c:v>
                  </c:pt>
                  <c:pt idx="18">
                    <c:v>0.59228777428229507</c:v>
                  </c:pt>
                  <c:pt idx="19">
                    <c:v>0.36053697529883977</c:v>
                  </c:pt>
                </c:numCache>
              </c:numRef>
            </c:minus>
            <c:spPr>
              <a:ln w="12700">
                <a:solidFill>
                  <a:schemeClr val="tx1">
                    <a:lumMod val="75000"/>
                    <a:lumOff val="25000"/>
                  </a:schemeClr>
                </a:solidFill>
              </a:ln>
            </c:spPr>
          </c:errBars>
          <c:cat>
            <c:strRef>
              <c:f>GraphsDHB!$N$8:$N$27</c:f>
              <c:strCache>
                <c:ptCount val="20"/>
                <c:pt idx="0">
                  <c:v>Northland</c:v>
                </c:pt>
                <c:pt idx="1">
                  <c:v>Waitemata</c:v>
                </c:pt>
                <c:pt idx="2">
                  <c:v>Auckland</c:v>
                </c:pt>
                <c:pt idx="3">
                  <c:v>Counties Manukau</c:v>
                </c:pt>
                <c:pt idx="4">
                  <c:v>Waikato</c:v>
                </c:pt>
                <c:pt idx="5">
                  <c:v>Lakes</c:v>
                </c:pt>
                <c:pt idx="6">
                  <c:v>Bay of Plenty</c:v>
                </c:pt>
                <c:pt idx="7">
                  <c:v>Tairāwhiti</c:v>
                </c:pt>
                <c:pt idx="8">
                  <c:v>Hawke's Bay</c:v>
                </c:pt>
                <c:pt idx="9">
                  <c:v>Taranaki</c:v>
                </c:pt>
                <c:pt idx="10">
                  <c:v>MidCentral</c:v>
                </c:pt>
                <c:pt idx="11">
                  <c:v>Whanganui</c:v>
                </c:pt>
                <c:pt idx="12">
                  <c:v>Capital &amp; Coast</c:v>
                </c:pt>
                <c:pt idx="13">
                  <c:v>Hutt Valley</c:v>
                </c:pt>
                <c:pt idx="14">
                  <c:v>Wairarapa</c:v>
                </c:pt>
                <c:pt idx="15">
                  <c:v>Nelson Marlborough</c:v>
                </c:pt>
                <c:pt idx="16">
                  <c:v>West Coast</c:v>
                </c:pt>
                <c:pt idx="17">
                  <c:v>Canterbury</c:v>
                </c:pt>
                <c:pt idx="18">
                  <c:v>South Canterbury</c:v>
                </c:pt>
                <c:pt idx="19">
                  <c:v>Southern</c:v>
                </c:pt>
              </c:strCache>
            </c:strRef>
          </c:cat>
          <c:val>
            <c:numRef>
              <c:f>GraphsDHB!$Q$92:$Q$111</c:f>
              <c:numCache>
                <c:formatCode>0.0</c:formatCode>
                <c:ptCount val="20"/>
                <c:pt idx="0">
                  <c:v>0.9719890430326058</c:v>
                </c:pt>
                <c:pt idx="1">
                  <c:v>0.17716585254739187</c:v>
                </c:pt>
                <c:pt idx="2">
                  <c:v>0.41916553814406399</c:v>
                </c:pt>
                <c:pt idx="3">
                  <c:v>1.021207875175149</c:v>
                </c:pt>
                <c:pt idx="4">
                  <c:v>1.066019702984855</c:v>
                </c:pt>
                <c:pt idx="5">
                  <c:v>0.7977662544874351</c:v>
                </c:pt>
                <c:pt idx="6">
                  <c:v>0.34823791614430977</c:v>
                </c:pt>
                <c:pt idx="7">
                  <c:v>1.9358407079646018</c:v>
                </c:pt>
                <c:pt idx="8">
                  <c:v>0.82637039757598019</c:v>
                </c:pt>
                <c:pt idx="9">
                  <c:v>0.90462651848022746</c:v>
                </c:pt>
                <c:pt idx="10">
                  <c:v>0.65158707995904308</c:v>
                </c:pt>
                <c:pt idx="11">
                  <c:v>1.6552376448332939</c:v>
                </c:pt>
                <c:pt idx="12">
                  <c:v>0.71538630860664754</c:v>
                </c:pt>
                <c:pt idx="13">
                  <c:v>0.81193545113163501</c:v>
                </c:pt>
                <c:pt idx="14">
                  <c:v>0.40355125100887812</c:v>
                </c:pt>
                <c:pt idx="15">
                  <c:v>0.39609189331925004</c:v>
                </c:pt>
                <c:pt idx="16">
                  <c:v>0</c:v>
                </c:pt>
                <c:pt idx="17">
                  <c:v>0.68144206119998696</c:v>
                </c:pt>
                <c:pt idx="18">
                  <c:v>0.62460961898813239</c:v>
                </c:pt>
                <c:pt idx="19">
                  <c:v>0.57382222987318521</c:v>
                </c:pt>
              </c:numCache>
            </c:numRef>
          </c:val>
          <c:extLst>
            <c:ext xmlns:c16="http://schemas.microsoft.com/office/drawing/2014/chart" uri="{C3380CC4-5D6E-409C-BE32-E72D297353CC}">
              <c16:uniqueId val="{00000000-A624-481A-B6C4-428CA5203F1A}"/>
            </c:ext>
          </c:extLst>
        </c:ser>
        <c:dLbls>
          <c:showLegendKey val="0"/>
          <c:showVal val="0"/>
          <c:showCatName val="0"/>
          <c:showSerName val="0"/>
          <c:showPercent val="0"/>
          <c:showBubbleSize val="0"/>
        </c:dLbls>
        <c:gapWidth val="100"/>
        <c:axId val="464737272"/>
        <c:axId val="464738448"/>
      </c:barChart>
      <c:scatterChart>
        <c:scatterStyle val="lineMarker"/>
        <c:varyColors val="0"/>
        <c:ser>
          <c:idx val="1"/>
          <c:order val="1"/>
          <c:tx>
            <c:strRef>
              <c:f>GraphsDHB!$AQ$63</c:f>
              <c:strCache>
                <c:ptCount val="1"/>
                <c:pt idx="0">
                  <c:v>NZRate</c:v>
                </c:pt>
              </c:strCache>
            </c:strRef>
          </c:tx>
          <c:spPr>
            <a:ln w="19050">
              <a:solidFill>
                <a:srgbClr val="2B8CBE"/>
              </a:solidFill>
            </a:ln>
          </c:spPr>
          <c:marker>
            <c:symbol val="none"/>
          </c:marker>
          <c:xVal>
            <c:numRef>
              <c:f>GraphsDHB!$AQ$92:$AQ$111</c:f>
              <c:numCache>
                <c:formatCode>0.0</c:formatCode>
                <c:ptCount val="20"/>
                <c:pt idx="0">
                  <c:v>0.69072870225627025</c:v>
                </c:pt>
                <c:pt idx="1">
                  <c:v>0.69072870225627025</c:v>
                </c:pt>
                <c:pt idx="2">
                  <c:v>0.69072870225627025</c:v>
                </c:pt>
                <c:pt idx="3">
                  <c:v>0.69072870225627025</c:v>
                </c:pt>
                <c:pt idx="4">
                  <c:v>0.69072870225627025</c:v>
                </c:pt>
                <c:pt idx="5">
                  <c:v>0.69072870225627025</c:v>
                </c:pt>
                <c:pt idx="6">
                  <c:v>0.69072870225627025</c:v>
                </c:pt>
                <c:pt idx="7">
                  <c:v>0.69072870225627025</c:v>
                </c:pt>
                <c:pt idx="8">
                  <c:v>0.69072870225627025</c:v>
                </c:pt>
                <c:pt idx="9">
                  <c:v>0.69072870225627025</c:v>
                </c:pt>
                <c:pt idx="10">
                  <c:v>0.69072870225627025</c:v>
                </c:pt>
                <c:pt idx="11">
                  <c:v>0.69072870225627025</c:v>
                </c:pt>
                <c:pt idx="12">
                  <c:v>0.69072870225627025</c:v>
                </c:pt>
                <c:pt idx="13">
                  <c:v>0.69072870225627025</c:v>
                </c:pt>
                <c:pt idx="14">
                  <c:v>0.69072870225627025</c:v>
                </c:pt>
                <c:pt idx="15">
                  <c:v>0.69072870225627025</c:v>
                </c:pt>
                <c:pt idx="16">
                  <c:v>0.69072870225627025</c:v>
                </c:pt>
                <c:pt idx="17">
                  <c:v>0.69072870225627025</c:v>
                </c:pt>
                <c:pt idx="18">
                  <c:v>0.69072870225627025</c:v>
                </c:pt>
                <c:pt idx="19">
                  <c:v>0.69072870225627025</c:v>
                </c:pt>
              </c:numCache>
            </c:numRef>
          </c:xVal>
          <c:yVal>
            <c:numRef>
              <c:f>GraphsDHB!$AT$3:$AU$3</c:f>
              <c:numCache>
                <c:formatCode>General</c:formatCode>
                <c:ptCount val="2"/>
                <c:pt idx="0">
                  <c:v>0</c:v>
                </c:pt>
                <c:pt idx="1">
                  <c:v>1</c:v>
                </c:pt>
              </c:numCache>
            </c:numRef>
          </c:yVal>
          <c:smooth val="0"/>
          <c:extLst>
            <c:ext xmlns:c16="http://schemas.microsoft.com/office/drawing/2014/chart" uri="{C3380CC4-5D6E-409C-BE32-E72D297353CC}">
              <c16:uniqueId val="{00000001-A624-481A-B6C4-428CA5203F1A}"/>
            </c:ext>
          </c:extLst>
        </c:ser>
        <c:dLbls>
          <c:showLegendKey val="0"/>
          <c:showVal val="0"/>
          <c:showCatName val="0"/>
          <c:showSerName val="0"/>
          <c:showPercent val="0"/>
          <c:showBubbleSize val="0"/>
        </c:dLbls>
        <c:axId val="464736096"/>
        <c:axId val="464738840"/>
      </c:scatterChart>
      <c:catAx>
        <c:axId val="464737272"/>
        <c:scaling>
          <c:orientation val="maxMin"/>
        </c:scaling>
        <c:delete val="0"/>
        <c:axPos val="l"/>
        <c:numFmt formatCode="General" sourceLinked="0"/>
        <c:majorTickMark val="out"/>
        <c:minorTickMark val="none"/>
        <c:tickLblPos val="nextTo"/>
        <c:crossAx val="464738448"/>
        <c:crosses val="autoZero"/>
        <c:auto val="1"/>
        <c:lblAlgn val="ctr"/>
        <c:lblOffset val="100"/>
        <c:noMultiLvlLbl val="0"/>
      </c:catAx>
      <c:valAx>
        <c:axId val="464738448"/>
        <c:scaling>
          <c:orientation val="minMax"/>
        </c:scaling>
        <c:delete val="0"/>
        <c:axPos val="b"/>
        <c:title>
          <c:tx>
            <c:rich>
              <a:bodyPr/>
              <a:lstStyle/>
              <a:p>
                <a:pPr>
                  <a:defRPr/>
                </a:pPr>
                <a:r>
                  <a:rPr lang="en-US"/>
                  <a:t>Rate of SUDI (per 1000 live births)</a:t>
                </a:r>
              </a:p>
            </c:rich>
          </c:tx>
          <c:layout>
            <c:manualLayout>
              <c:xMode val="edge"/>
              <c:yMode val="edge"/>
              <c:x val="0.31617080953116156"/>
              <c:y val="0.85188383710100768"/>
            </c:manualLayout>
          </c:layout>
          <c:overlay val="0"/>
        </c:title>
        <c:numFmt formatCode="0" sourceLinked="0"/>
        <c:majorTickMark val="out"/>
        <c:minorTickMark val="none"/>
        <c:tickLblPos val="nextTo"/>
        <c:crossAx val="464737272"/>
        <c:crosses val="max"/>
        <c:crossBetween val="between"/>
        <c:majorUnit val="1"/>
      </c:valAx>
      <c:valAx>
        <c:axId val="464738840"/>
        <c:scaling>
          <c:orientation val="minMax"/>
          <c:max val="1"/>
        </c:scaling>
        <c:delete val="1"/>
        <c:axPos val="r"/>
        <c:numFmt formatCode="General" sourceLinked="1"/>
        <c:majorTickMark val="out"/>
        <c:minorTickMark val="none"/>
        <c:tickLblPos val="nextTo"/>
        <c:crossAx val="464736096"/>
        <c:crosses val="max"/>
        <c:crossBetween val="midCat"/>
      </c:valAx>
      <c:valAx>
        <c:axId val="464736096"/>
        <c:scaling>
          <c:orientation val="minMax"/>
        </c:scaling>
        <c:delete val="1"/>
        <c:axPos val="b"/>
        <c:numFmt formatCode="0.0" sourceLinked="1"/>
        <c:majorTickMark val="out"/>
        <c:minorTickMark val="none"/>
        <c:tickLblPos val="nextTo"/>
        <c:crossAx val="464738840"/>
        <c:crosses val="autoZero"/>
        <c:crossBetween val="midCat"/>
      </c:valAx>
    </c:plotArea>
    <c:plotVisOnly val="1"/>
    <c:dispBlanksAs val="gap"/>
    <c:showDLblsOverMax val="0"/>
  </c:chart>
  <c:spPr>
    <a:ln>
      <a:noFill/>
    </a:ln>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63156940547268E-2"/>
          <c:y val="0.12144016881610729"/>
          <c:w val="0.91705431051887742"/>
          <c:h val="0.6330510958857416"/>
        </c:manualLayout>
      </c:layout>
      <c:barChart>
        <c:barDir val="col"/>
        <c:grouping val="clustered"/>
        <c:varyColors val="0"/>
        <c:ser>
          <c:idx val="0"/>
          <c:order val="0"/>
          <c:tx>
            <c:strRef>
              <c:f>DHB!$AU$9</c:f>
              <c:strCache>
                <c:ptCount val="1"/>
                <c:pt idx="0">
                  <c:v>1</c:v>
                </c:pt>
              </c:strCache>
            </c:strRef>
          </c:tx>
          <c:spPr>
            <a:solidFill>
              <a:schemeClr val="bg1">
                <a:lumMod val="65000"/>
              </a:schemeClr>
            </a:solidFill>
            <a:ln>
              <a:noFill/>
            </a:ln>
          </c:spPr>
          <c:invertIfNegative val="0"/>
          <c:dPt>
            <c:idx val="0"/>
            <c:invertIfNegative val="0"/>
            <c:bubble3D val="0"/>
            <c:spPr>
              <a:solidFill>
                <a:srgbClr val="2B8CBE"/>
              </a:solidFill>
              <a:ln>
                <a:noFill/>
              </a:ln>
            </c:spPr>
            <c:extLst>
              <c:ext xmlns:c16="http://schemas.microsoft.com/office/drawing/2014/chart" uri="{C3380CC4-5D6E-409C-BE32-E72D297353CC}">
                <c16:uniqueId val="{00000001-BD01-4F43-BB5D-11C021AEA321}"/>
              </c:ext>
            </c:extLst>
          </c:dPt>
          <c:dPt>
            <c:idx val="1"/>
            <c:invertIfNegative val="0"/>
            <c:bubble3D val="0"/>
            <c:spPr>
              <a:solidFill>
                <a:srgbClr val="2B8CBE"/>
              </a:solidFill>
              <a:ln>
                <a:noFill/>
              </a:ln>
            </c:spPr>
            <c:extLst>
              <c:ext xmlns:c16="http://schemas.microsoft.com/office/drawing/2014/chart" uri="{C3380CC4-5D6E-409C-BE32-E72D297353CC}">
                <c16:uniqueId val="{00000003-BD01-4F43-BB5D-11C021AEA321}"/>
              </c:ext>
            </c:extLst>
          </c:dPt>
          <c:dPt>
            <c:idx val="2"/>
            <c:invertIfNegative val="0"/>
            <c:bubble3D val="0"/>
            <c:spPr>
              <a:solidFill>
                <a:srgbClr val="2B8CBE"/>
              </a:solidFill>
              <a:ln>
                <a:noFill/>
              </a:ln>
            </c:spPr>
            <c:extLst>
              <c:ext xmlns:c16="http://schemas.microsoft.com/office/drawing/2014/chart" uri="{C3380CC4-5D6E-409C-BE32-E72D297353CC}">
                <c16:uniqueId val="{00000005-BD01-4F43-BB5D-11C021AEA321}"/>
              </c:ext>
            </c:extLst>
          </c:dPt>
          <c:dPt>
            <c:idx val="3"/>
            <c:invertIfNegative val="0"/>
            <c:bubble3D val="0"/>
            <c:spPr>
              <a:solidFill>
                <a:srgbClr val="2B8CBE"/>
              </a:solidFill>
              <a:ln>
                <a:noFill/>
              </a:ln>
            </c:spPr>
            <c:extLst>
              <c:ext xmlns:c16="http://schemas.microsoft.com/office/drawing/2014/chart" uri="{C3380CC4-5D6E-409C-BE32-E72D297353CC}">
                <c16:uniqueId val="{00000007-BD01-4F43-BB5D-11C021AEA321}"/>
              </c:ext>
            </c:extLst>
          </c:dPt>
          <c:errBars>
            <c:errBarType val="both"/>
            <c:errValType val="cust"/>
            <c:noEndCap val="0"/>
            <c:plus>
              <c:numRef>
                <c:f>DHB!$AV$10:$AV$17</c:f>
                <c:numCache>
                  <c:formatCode>General</c:formatCode>
                  <c:ptCount val="8"/>
                  <c:pt idx="0">
                    <c:v>6.3180391882663995</c:v>
                  </c:pt>
                  <c:pt idx="1">
                    <c:v>73.736183724820933</c:v>
                  </c:pt>
                  <c:pt idx="2">
                    <c:v>35.99719205463699</c:v>
                  </c:pt>
                  <c:pt idx="3">
                    <c:v>9.4327937061887202</c:v>
                  </c:pt>
                  <c:pt idx="4">
                    <c:v>5.6317718981049918</c:v>
                  </c:pt>
                  <c:pt idx="5">
                    <c:v>60.47343367399894</c:v>
                  </c:pt>
                  <c:pt idx="6">
                    <c:v>36.282884055070625</c:v>
                  </c:pt>
                  <c:pt idx="7">
                    <c:v>7.6583910127652732</c:v>
                  </c:pt>
                </c:numCache>
              </c:numRef>
            </c:plus>
            <c:minus>
              <c:numRef>
                <c:f>DHB!$AW$10:$AW$17</c:f>
                <c:numCache>
                  <c:formatCode>General</c:formatCode>
                  <c:ptCount val="8"/>
                  <c:pt idx="0">
                    <c:v>3.9191350179725655</c:v>
                  </c:pt>
                  <c:pt idx="1">
                    <c:v>15.720680516382421</c:v>
                  </c:pt>
                  <c:pt idx="2">
                    <c:v>7.6746629292575603</c:v>
                  </c:pt>
                  <c:pt idx="3">
                    <c:v>5.5238977196251495</c:v>
                  </c:pt>
                  <c:pt idx="4">
                    <c:v>3.1757488228225603</c:v>
                  </c:pt>
                  <c:pt idx="5">
                    <c:v>0</c:v>
                  </c:pt>
                  <c:pt idx="6">
                    <c:v>7.7355729525056347</c:v>
                  </c:pt>
                  <c:pt idx="7">
                    <c:v>3.570717332973834</c:v>
                  </c:pt>
                </c:numCache>
              </c:numRef>
            </c:minus>
            <c:spPr>
              <a:ln w="12700">
                <a:solidFill>
                  <a:schemeClr val="tx1">
                    <a:lumMod val="65000"/>
                    <a:lumOff val="35000"/>
                  </a:schemeClr>
                </a:solidFill>
              </a:ln>
            </c:spPr>
          </c:errBars>
          <c:cat>
            <c:multiLvlStrRef>
              <c:f>DHB!$AS$10:$AT$17</c:f>
              <c:multiLvlStrCache>
                <c:ptCount val="8"/>
                <c:lvl>
                  <c:pt idx="0">
                    <c:v>Māori</c:v>
                  </c:pt>
                  <c:pt idx="1">
                    <c:v>Pacific peoples</c:v>
                  </c:pt>
                  <c:pt idx="2">
                    <c:v>Asian</c:v>
                  </c:pt>
                  <c:pt idx="3">
                    <c:v>European or Other</c:v>
                  </c:pt>
                  <c:pt idx="4">
                    <c:v>Māori</c:v>
                  </c:pt>
                  <c:pt idx="5">
                    <c:v>Pacific peoples</c:v>
                  </c:pt>
                  <c:pt idx="6">
                    <c:v>Asian</c:v>
                  </c:pt>
                  <c:pt idx="7">
                    <c:v>European or Other</c:v>
                  </c:pt>
                </c:lvl>
                <c:lvl>
                  <c:pt idx="0">
                    <c:v>Fetal death rate (per 1000 total births)</c:v>
                  </c:pt>
                  <c:pt idx="4">
                    <c:v>Infant death rate (per 1000 live births)</c:v>
                  </c:pt>
                </c:lvl>
              </c:multiLvlStrCache>
            </c:multiLvlStrRef>
          </c:cat>
          <c:val>
            <c:numRef>
              <c:f>DHB!$AU$10:$AU$17</c:f>
              <c:numCache>
                <c:formatCode>0.0</c:formatCode>
                <c:ptCount val="8"/>
                <c:pt idx="0">
                  <c:v>7.5301204819277112</c:v>
                </c:pt>
                <c:pt idx="1">
                  <c:v>16.129032258064516</c:v>
                </c:pt>
                <c:pt idx="2">
                  <c:v>7.8740157480314963</c:v>
                </c:pt>
                <c:pt idx="3">
                  <c:v>9.7205346294046162</c:v>
                </c:pt>
                <c:pt idx="4">
                  <c:v>5.3110773899848258</c:v>
                </c:pt>
                <c:pt idx="5">
                  <c:v>0</c:v>
                </c:pt>
                <c:pt idx="6">
                  <c:v>7.9365079365079358</c:v>
                </c:pt>
                <c:pt idx="7">
                  <c:v>4.9079754601226995</c:v>
                </c:pt>
              </c:numCache>
            </c:numRef>
          </c:val>
          <c:extLst>
            <c:ext xmlns:c16="http://schemas.microsoft.com/office/drawing/2014/chart" uri="{C3380CC4-5D6E-409C-BE32-E72D297353CC}">
              <c16:uniqueId val="{00000008-BD01-4F43-BB5D-11C021AEA321}"/>
            </c:ext>
          </c:extLst>
        </c:ser>
        <c:dLbls>
          <c:showLegendKey val="0"/>
          <c:showVal val="0"/>
          <c:showCatName val="0"/>
          <c:showSerName val="0"/>
          <c:showPercent val="0"/>
          <c:showBubbleSize val="0"/>
        </c:dLbls>
        <c:gapWidth val="150"/>
        <c:axId val="464739232"/>
        <c:axId val="464733744"/>
      </c:barChart>
      <c:lineChart>
        <c:grouping val="standard"/>
        <c:varyColors val="0"/>
        <c:ser>
          <c:idx val="1"/>
          <c:order val="1"/>
          <c:tx>
            <c:strRef>
              <c:f>DHB!$AX$9</c:f>
              <c:strCache>
                <c:ptCount val="1"/>
                <c:pt idx="0">
                  <c:v>National</c:v>
                </c:pt>
              </c:strCache>
            </c:strRef>
          </c:tx>
          <c:spPr>
            <a:ln>
              <a:noFill/>
            </a:ln>
          </c:spPr>
          <c:marker>
            <c:symbol val="dash"/>
            <c:size val="10"/>
            <c:spPr>
              <a:solidFill>
                <a:schemeClr val="accent6">
                  <a:lumMod val="75000"/>
                </a:schemeClr>
              </a:solidFill>
              <a:ln>
                <a:solidFill>
                  <a:schemeClr val="accent6">
                    <a:lumMod val="75000"/>
                  </a:schemeClr>
                </a:solidFill>
              </a:ln>
            </c:spPr>
          </c:marker>
          <c:cat>
            <c:multiLvlStrRef>
              <c:f>DHB!$AS$10:$AT$17</c:f>
              <c:multiLvlStrCache>
                <c:ptCount val="8"/>
                <c:lvl>
                  <c:pt idx="0">
                    <c:v>Māori</c:v>
                  </c:pt>
                  <c:pt idx="1">
                    <c:v>Pacific peoples</c:v>
                  </c:pt>
                  <c:pt idx="2">
                    <c:v>Asian</c:v>
                  </c:pt>
                  <c:pt idx="3">
                    <c:v>European or Other</c:v>
                  </c:pt>
                  <c:pt idx="4">
                    <c:v>Māori</c:v>
                  </c:pt>
                  <c:pt idx="5">
                    <c:v>Pacific peoples</c:v>
                  </c:pt>
                  <c:pt idx="6">
                    <c:v>Asian</c:v>
                  </c:pt>
                  <c:pt idx="7">
                    <c:v>European or Other</c:v>
                  </c:pt>
                </c:lvl>
                <c:lvl>
                  <c:pt idx="0">
                    <c:v>Fetal death rate (per 1000 total births)</c:v>
                  </c:pt>
                  <c:pt idx="4">
                    <c:v>Infant death rate (per 1000 live births)</c:v>
                  </c:pt>
                </c:lvl>
              </c:multiLvlStrCache>
            </c:multiLvlStrRef>
          </c:cat>
          <c:val>
            <c:numRef>
              <c:f>DHB!$AX$10:$AX$17</c:f>
              <c:numCache>
                <c:formatCode>0.0</c:formatCode>
                <c:ptCount val="8"/>
                <c:pt idx="0">
                  <c:v>7</c:v>
                </c:pt>
                <c:pt idx="1">
                  <c:v>7.5</c:v>
                </c:pt>
                <c:pt idx="2">
                  <c:v>6.7</c:v>
                </c:pt>
                <c:pt idx="3">
                  <c:v>6.6</c:v>
                </c:pt>
                <c:pt idx="4">
                  <c:v>5.9</c:v>
                </c:pt>
                <c:pt idx="5">
                  <c:v>6.2</c:v>
                </c:pt>
                <c:pt idx="6">
                  <c:v>2.5</c:v>
                </c:pt>
                <c:pt idx="7">
                  <c:v>2.8</c:v>
                </c:pt>
              </c:numCache>
            </c:numRef>
          </c:val>
          <c:smooth val="0"/>
          <c:extLst>
            <c:ext xmlns:c16="http://schemas.microsoft.com/office/drawing/2014/chart" uri="{C3380CC4-5D6E-409C-BE32-E72D297353CC}">
              <c16:uniqueId val="{00000009-BD01-4F43-BB5D-11C021AEA321}"/>
            </c:ext>
          </c:extLst>
        </c:ser>
        <c:dLbls>
          <c:showLegendKey val="0"/>
          <c:showVal val="0"/>
          <c:showCatName val="0"/>
          <c:showSerName val="0"/>
          <c:showPercent val="0"/>
          <c:showBubbleSize val="0"/>
        </c:dLbls>
        <c:marker val="1"/>
        <c:smooth val="0"/>
        <c:axId val="464739232"/>
        <c:axId val="464733744"/>
      </c:lineChart>
      <c:catAx>
        <c:axId val="464739232"/>
        <c:scaling>
          <c:orientation val="minMax"/>
        </c:scaling>
        <c:delete val="0"/>
        <c:axPos val="b"/>
        <c:title>
          <c:tx>
            <c:rich>
              <a:bodyPr/>
              <a:lstStyle/>
              <a:p>
                <a:pPr>
                  <a:defRPr/>
                </a:pPr>
                <a:r>
                  <a:rPr lang="en-US"/>
                  <a:t>Ethnic group</a:t>
                </a:r>
              </a:p>
            </c:rich>
          </c:tx>
          <c:overlay val="0"/>
        </c:title>
        <c:numFmt formatCode="General" sourceLinked="0"/>
        <c:majorTickMark val="out"/>
        <c:minorTickMark val="none"/>
        <c:tickLblPos val="nextTo"/>
        <c:crossAx val="464733744"/>
        <c:crosses val="autoZero"/>
        <c:auto val="1"/>
        <c:lblAlgn val="ctr"/>
        <c:lblOffset val="100"/>
        <c:noMultiLvlLbl val="0"/>
      </c:catAx>
      <c:valAx>
        <c:axId val="464733744"/>
        <c:scaling>
          <c:orientation val="minMax"/>
        </c:scaling>
        <c:delete val="0"/>
        <c:axPos val="l"/>
        <c:numFmt formatCode="0" sourceLinked="0"/>
        <c:majorTickMark val="out"/>
        <c:minorTickMark val="none"/>
        <c:tickLblPos val="nextTo"/>
        <c:crossAx val="464739232"/>
        <c:crosses val="autoZero"/>
        <c:crossBetween val="between"/>
      </c:valAx>
    </c:plotArea>
    <c:plotVisOnly val="1"/>
    <c:dispBlanksAs val="gap"/>
    <c:showDLblsOverMax val="0"/>
  </c:chart>
  <c:spPr>
    <a:ln>
      <a:noFill/>
    </a:ln>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63156940547268E-2"/>
          <c:y val="0.12144016881610729"/>
          <c:w val="0.91705431051887742"/>
          <c:h val="0.64603810887275459"/>
        </c:manualLayout>
      </c:layout>
      <c:barChart>
        <c:barDir val="col"/>
        <c:grouping val="clustered"/>
        <c:varyColors val="0"/>
        <c:ser>
          <c:idx val="0"/>
          <c:order val="0"/>
          <c:tx>
            <c:strRef>
              <c:f>DHB!$AU$24</c:f>
              <c:strCache>
                <c:ptCount val="1"/>
                <c:pt idx="0">
                  <c:v>1</c:v>
                </c:pt>
              </c:strCache>
            </c:strRef>
          </c:tx>
          <c:spPr>
            <a:solidFill>
              <a:srgbClr val="2B8CBE"/>
            </a:solidFill>
            <a:ln>
              <a:noFill/>
            </a:ln>
          </c:spPr>
          <c:invertIfNegative val="0"/>
          <c:dPt>
            <c:idx val="0"/>
            <c:invertIfNegative val="0"/>
            <c:bubble3D val="0"/>
            <c:extLst>
              <c:ext xmlns:c16="http://schemas.microsoft.com/office/drawing/2014/chart" uri="{C3380CC4-5D6E-409C-BE32-E72D297353CC}">
                <c16:uniqueId val="{00000000-7A22-4ECA-B9E3-B014D6E704E6}"/>
              </c:ext>
            </c:extLst>
          </c:dPt>
          <c:dPt>
            <c:idx val="1"/>
            <c:invertIfNegative val="0"/>
            <c:bubble3D val="0"/>
            <c:extLst>
              <c:ext xmlns:c16="http://schemas.microsoft.com/office/drawing/2014/chart" uri="{C3380CC4-5D6E-409C-BE32-E72D297353CC}">
                <c16:uniqueId val="{00000001-7A22-4ECA-B9E3-B014D6E704E6}"/>
              </c:ext>
            </c:extLst>
          </c:dPt>
          <c:dPt>
            <c:idx val="2"/>
            <c:invertIfNegative val="0"/>
            <c:bubble3D val="0"/>
            <c:extLst>
              <c:ext xmlns:c16="http://schemas.microsoft.com/office/drawing/2014/chart" uri="{C3380CC4-5D6E-409C-BE32-E72D297353CC}">
                <c16:uniqueId val="{00000002-7A22-4ECA-B9E3-B014D6E704E6}"/>
              </c:ext>
            </c:extLst>
          </c:dPt>
          <c:dPt>
            <c:idx val="3"/>
            <c:invertIfNegative val="0"/>
            <c:bubble3D val="0"/>
            <c:extLst>
              <c:ext xmlns:c16="http://schemas.microsoft.com/office/drawing/2014/chart" uri="{C3380CC4-5D6E-409C-BE32-E72D297353CC}">
                <c16:uniqueId val="{00000003-7A22-4ECA-B9E3-B014D6E704E6}"/>
              </c:ext>
            </c:extLst>
          </c:dPt>
          <c:dPt>
            <c:idx val="4"/>
            <c:invertIfNegative val="0"/>
            <c:bubble3D val="0"/>
            <c:extLst>
              <c:ext xmlns:c16="http://schemas.microsoft.com/office/drawing/2014/chart" uri="{C3380CC4-5D6E-409C-BE32-E72D297353CC}">
                <c16:uniqueId val="{00000004-7A22-4ECA-B9E3-B014D6E704E6}"/>
              </c:ext>
            </c:extLst>
          </c:dPt>
          <c:dPt>
            <c:idx val="5"/>
            <c:invertIfNegative val="0"/>
            <c:bubble3D val="0"/>
            <c:extLst>
              <c:ext xmlns:c16="http://schemas.microsoft.com/office/drawing/2014/chart" uri="{C3380CC4-5D6E-409C-BE32-E72D297353CC}">
                <c16:uniqueId val="{00000005-7A22-4ECA-B9E3-B014D6E704E6}"/>
              </c:ext>
            </c:extLst>
          </c:dPt>
          <c:dPt>
            <c:idx val="6"/>
            <c:invertIfNegative val="0"/>
            <c:bubble3D val="0"/>
            <c:spPr>
              <a:solidFill>
                <a:srgbClr val="A6A6A6"/>
              </a:solidFill>
              <a:ln>
                <a:noFill/>
              </a:ln>
            </c:spPr>
            <c:extLst>
              <c:ext xmlns:c16="http://schemas.microsoft.com/office/drawing/2014/chart" uri="{C3380CC4-5D6E-409C-BE32-E72D297353CC}">
                <c16:uniqueId val="{00000007-7A22-4ECA-B9E3-B014D6E704E6}"/>
              </c:ext>
            </c:extLst>
          </c:dPt>
          <c:dPt>
            <c:idx val="7"/>
            <c:invertIfNegative val="0"/>
            <c:bubble3D val="0"/>
            <c:spPr>
              <a:solidFill>
                <a:srgbClr val="A6A6A6"/>
              </a:solidFill>
              <a:ln>
                <a:noFill/>
              </a:ln>
            </c:spPr>
            <c:extLst>
              <c:ext xmlns:c16="http://schemas.microsoft.com/office/drawing/2014/chart" uri="{C3380CC4-5D6E-409C-BE32-E72D297353CC}">
                <c16:uniqueId val="{00000009-7A22-4ECA-B9E3-B014D6E704E6}"/>
              </c:ext>
            </c:extLst>
          </c:dPt>
          <c:dPt>
            <c:idx val="8"/>
            <c:invertIfNegative val="0"/>
            <c:bubble3D val="0"/>
            <c:spPr>
              <a:solidFill>
                <a:srgbClr val="A6A6A6"/>
              </a:solidFill>
              <a:ln>
                <a:noFill/>
              </a:ln>
            </c:spPr>
            <c:extLst>
              <c:ext xmlns:c16="http://schemas.microsoft.com/office/drawing/2014/chart" uri="{C3380CC4-5D6E-409C-BE32-E72D297353CC}">
                <c16:uniqueId val="{0000000B-7A22-4ECA-B9E3-B014D6E704E6}"/>
              </c:ext>
            </c:extLst>
          </c:dPt>
          <c:dPt>
            <c:idx val="9"/>
            <c:invertIfNegative val="0"/>
            <c:bubble3D val="0"/>
            <c:spPr>
              <a:solidFill>
                <a:srgbClr val="A6A6A6"/>
              </a:solidFill>
              <a:ln>
                <a:noFill/>
              </a:ln>
            </c:spPr>
            <c:extLst>
              <c:ext xmlns:c16="http://schemas.microsoft.com/office/drawing/2014/chart" uri="{C3380CC4-5D6E-409C-BE32-E72D297353CC}">
                <c16:uniqueId val="{0000000D-7A22-4ECA-B9E3-B014D6E704E6}"/>
              </c:ext>
            </c:extLst>
          </c:dPt>
          <c:dPt>
            <c:idx val="10"/>
            <c:invertIfNegative val="0"/>
            <c:bubble3D val="0"/>
            <c:spPr>
              <a:solidFill>
                <a:srgbClr val="A6A6A6"/>
              </a:solidFill>
              <a:ln>
                <a:noFill/>
              </a:ln>
            </c:spPr>
            <c:extLst>
              <c:ext xmlns:c16="http://schemas.microsoft.com/office/drawing/2014/chart" uri="{C3380CC4-5D6E-409C-BE32-E72D297353CC}">
                <c16:uniqueId val="{0000000F-7A22-4ECA-B9E3-B014D6E704E6}"/>
              </c:ext>
            </c:extLst>
          </c:dPt>
          <c:dPt>
            <c:idx val="11"/>
            <c:invertIfNegative val="0"/>
            <c:bubble3D val="0"/>
            <c:spPr>
              <a:solidFill>
                <a:srgbClr val="A6A6A6"/>
              </a:solidFill>
              <a:ln>
                <a:noFill/>
              </a:ln>
            </c:spPr>
            <c:extLst>
              <c:ext xmlns:c16="http://schemas.microsoft.com/office/drawing/2014/chart" uri="{C3380CC4-5D6E-409C-BE32-E72D297353CC}">
                <c16:uniqueId val="{00000011-7A22-4ECA-B9E3-B014D6E704E6}"/>
              </c:ext>
            </c:extLst>
          </c:dPt>
          <c:errBars>
            <c:errBarType val="both"/>
            <c:errValType val="cust"/>
            <c:noEndCap val="0"/>
            <c:plus>
              <c:numRef>
                <c:f>DHB!$AV$25:$AV$36</c:f>
                <c:numCache>
                  <c:formatCode>General</c:formatCode>
                  <c:ptCount val="12"/>
                  <c:pt idx="0">
                    <c:v>30.076601256176961</c:v>
                  </c:pt>
                  <c:pt idx="1">
                    <c:v>13.874159554583883</c:v>
                  </c:pt>
                  <c:pt idx="2">
                    <c:v>9.7919707479040685</c:v>
                  </c:pt>
                  <c:pt idx="3">
                    <c:v>11.418376848155253</c:v>
                  </c:pt>
                  <c:pt idx="4">
                    <c:v>15.818835262764354</c:v>
                  </c:pt>
                  <c:pt idx="5">
                    <c:v>46.178216070089881</c:v>
                  </c:pt>
                  <c:pt idx="6">
                    <c:v>24.429665259032685</c:v>
                  </c:pt>
                  <c:pt idx="7">
                    <c:v>11.821190673113064</c:v>
                  </c:pt>
                  <c:pt idx="8">
                    <c:v>6.7627860812705576</c:v>
                  </c:pt>
                  <c:pt idx="9">
                    <c:v>9.0236401860517432</c:v>
                  </c:pt>
                  <c:pt idx="10">
                    <c:v>18.141276624041527</c:v>
                  </c:pt>
                  <c:pt idx="11">
                    <c:v>58.849725201452287</c:v>
                  </c:pt>
                </c:numCache>
              </c:numRef>
            </c:plus>
            <c:minus>
              <c:numRef>
                <c:f>DHB!$AW$25:$AW$36</c:f>
                <c:numCache>
                  <c:formatCode>General</c:formatCode>
                  <c:ptCount val="12"/>
                  <c:pt idx="0">
                    <c:v>6.4123828422086184</c:v>
                  </c:pt>
                  <c:pt idx="1">
                    <c:v>7.8236204644488501</c:v>
                  </c:pt>
                  <c:pt idx="2">
                    <c:v>4.9581697648775043</c:v>
                  </c:pt>
                  <c:pt idx="3">
                    <c:v>5.7817013867835279</c:v>
                  </c:pt>
                  <c:pt idx="4">
                    <c:v>3.3726027405387895</c:v>
                  </c:pt>
                  <c:pt idx="5">
                    <c:v>9.8452746668253557</c:v>
                  </c:pt>
                  <c:pt idx="6">
                    <c:v>0</c:v>
                  </c:pt>
                  <c:pt idx="7">
                    <c:v>5.5116186105562024</c:v>
                  </c:pt>
                  <c:pt idx="8">
                    <c:v>1.4418375621534174</c:v>
                  </c:pt>
                  <c:pt idx="9">
                    <c:v>3.035907981789352</c:v>
                  </c:pt>
                  <c:pt idx="10">
                    <c:v>6.1034400050556759</c:v>
                  </c:pt>
                  <c:pt idx="11">
                    <c:v>24.29926405208569</c:v>
                  </c:pt>
                </c:numCache>
              </c:numRef>
            </c:minus>
            <c:spPr>
              <a:ln w="12700">
                <a:solidFill>
                  <a:schemeClr val="tx1">
                    <a:lumMod val="65000"/>
                    <a:lumOff val="35000"/>
                  </a:schemeClr>
                </a:solidFill>
              </a:ln>
            </c:spPr>
          </c:errBars>
          <c:cat>
            <c:multiLvlStrRef>
              <c:f>DHB!$AS$25:$AT$36</c:f>
              <c:multiLvlStrCache>
                <c:ptCount val="12"/>
                <c:lvl>
                  <c:pt idx="0">
                    <c:v> &lt;20</c:v>
                  </c:pt>
                  <c:pt idx="1">
                    <c:v>20−24</c:v>
                  </c:pt>
                  <c:pt idx="2">
                    <c:v>25−29</c:v>
                  </c:pt>
                  <c:pt idx="3">
                    <c:v>30−34</c:v>
                  </c:pt>
                  <c:pt idx="4">
                    <c:v>35−39</c:v>
                  </c:pt>
                  <c:pt idx="5">
                    <c:v>≥40</c:v>
                  </c:pt>
                  <c:pt idx="6">
                    <c:v> &lt;20</c:v>
                  </c:pt>
                  <c:pt idx="7">
                    <c:v>20−24</c:v>
                  </c:pt>
                  <c:pt idx="8">
                    <c:v>25−29</c:v>
                  </c:pt>
                  <c:pt idx="9">
                    <c:v>30−34</c:v>
                  </c:pt>
                  <c:pt idx="10">
                    <c:v>35−39</c:v>
                  </c:pt>
                  <c:pt idx="11">
                    <c:v>≥40</c:v>
                  </c:pt>
                </c:lvl>
                <c:lvl>
                  <c:pt idx="0">
                    <c:v>Fetal death rate (per 1000 total births)</c:v>
                  </c:pt>
                  <c:pt idx="6">
                    <c:v>Infant death rate (per 1000 live births)</c:v>
                  </c:pt>
                </c:lvl>
              </c:multiLvlStrCache>
            </c:multiLvlStrRef>
          </c:cat>
          <c:val>
            <c:numRef>
              <c:f>DHB!$AU$25:$AU$36</c:f>
              <c:numCache>
                <c:formatCode>0.0</c:formatCode>
                <c:ptCount val="12"/>
                <c:pt idx="0">
                  <c:v>6.5789473684210522</c:v>
                </c:pt>
                <c:pt idx="1">
                  <c:v>13.084112149532711</c:v>
                </c:pt>
                <c:pt idx="2">
                  <c:v>7.3421439060205582</c:v>
                </c:pt>
                <c:pt idx="3">
                  <c:v>8.5616438356164384</c:v>
                </c:pt>
                <c:pt idx="4">
                  <c:v>3.4602076124567476</c:v>
                </c:pt>
                <c:pt idx="5">
                  <c:v>10.101010101010102</c:v>
                </c:pt>
                <c:pt idx="6">
                  <c:v>0</c:v>
                </c:pt>
                <c:pt idx="7">
                  <c:v>7.5757575757575761</c:v>
                </c:pt>
                <c:pt idx="8">
                  <c:v>1.4792899408284024</c:v>
                </c:pt>
                <c:pt idx="9">
                  <c:v>3.4542314335060449</c:v>
                </c:pt>
                <c:pt idx="10">
                  <c:v>6.9444444444444438</c:v>
                </c:pt>
                <c:pt idx="11">
                  <c:v>30.612244897959183</c:v>
                </c:pt>
              </c:numCache>
            </c:numRef>
          </c:val>
          <c:extLst>
            <c:ext xmlns:c16="http://schemas.microsoft.com/office/drawing/2014/chart" uri="{C3380CC4-5D6E-409C-BE32-E72D297353CC}">
              <c16:uniqueId val="{00000012-7A22-4ECA-B9E3-B014D6E704E6}"/>
            </c:ext>
          </c:extLst>
        </c:ser>
        <c:dLbls>
          <c:showLegendKey val="0"/>
          <c:showVal val="0"/>
          <c:showCatName val="0"/>
          <c:showSerName val="0"/>
          <c:showPercent val="0"/>
          <c:showBubbleSize val="0"/>
        </c:dLbls>
        <c:gapWidth val="150"/>
        <c:axId val="464733352"/>
        <c:axId val="464739624"/>
      </c:barChart>
      <c:lineChart>
        <c:grouping val="standard"/>
        <c:varyColors val="0"/>
        <c:ser>
          <c:idx val="1"/>
          <c:order val="1"/>
          <c:tx>
            <c:strRef>
              <c:f>DHB!$AX$24</c:f>
              <c:strCache>
                <c:ptCount val="1"/>
                <c:pt idx="0">
                  <c:v>National</c:v>
                </c:pt>
              </c:strCache>
            </c:strRef>
          </c:tx>
          <c:spPr>
            <a:ln>
              <a:noFill/>
            </a:ln>
          </c:spPr>
          <c:marker>
            <c:symbol val="dash"/>
            <c:size val="10"/>
            <c:spPr>
              <a:solidFill>
                <a:schemeClr val="accent6">
                  <a:lumMod val="75000"/>
                </a:schemeClr>
              </a:solidFill>
              <a:ln>
                <a:solidFill>
                  <a:schemeClr val="accent6">
                    <a:lumMod val="75000"/>
                  </a:schemeClr>
                </a:solidFill>
              </a:ln>
            </c:spPr>
          </c:marker>
          <c:cat>
            <c:multiLvlStrRef>
              <c:f>DHB!$AS$25:$AT$36</c:f>
              <c:multiLvlStrCache>
                <c:ptCount val="12"/>
                <c:lvl>
                  <c:pt idx="0">
                    <c:v> &lt;20</c:v>
                  </c:pt>
                  <c:pt idx="1">
                    <c:v>20−24</c:v>
                  </c:pt>
                  <c:pt idx="2">
                    <c:v>25−29</c:v>
                  </c:pt>
                  <c:pt idx="3">
                    <c:v>30−34</c:v>
                  </c:pt>
                  <c:pt idx="4">
                    <c:v>35−39</c:v>
                  </c:pt>
                  <c:pt idx="5">
                    <c:v>≥40</c:v>
                  </c:pt>
                  <c:pt idx="6">
                    <c:v> &lt;20</c:v>
                  </c:pt>
                  <c:pt idx="7">
                    <c:v>20−24</c:v>
                  </c:pt>
                  <c:pt idx="8">
                    <c:v>25−29</c:v>
                  </c:pt>
                  <c:pt idx="9">
                    <c:v>30−34</c:v>
                  </c:pt>
                  <c:pt idx="10">
                    <c:v>35−39</c:v>
                  </c:pt>
                  <c:pt idx="11">
                    <c:v>≥40</c:v>
                  </c:pt>
                </c:lvl>
                <c:lvl>
                  <c:pt idx="0">
                    <c:v>Fetal death rate (per 1000 total births)</c:v>
                  </c:pt>
                  <c:pt idx="6">
                    <c:v>Infant death rate (per 1000 live births)</c:v>
                  </c:pt>
                </c:lvl>
              </c:multiLvlStrCache>
            </c:multiLvlStrRef>
          </c:cat>
          <c:val>
            <c:numRef>
              <c:f>DHB!$AX$25:$AX$36</c:f>
              <c:numCache>
                <c:formatCode>0.0</c:formatCode>
                <c:ptCount val="12"/>
                <c:pt idx="0">
                  <c:v>13.9</c:v>
                </c:pt>
                <c:pt idx="1">
                  <c:v>7.3</c:v>
                </c:pt>
                <c:pt idx="2">
                  <c:v>6.1</c:v>
                </c:pt>
                <c:pt idx="3">
                  <c:v>6.1</c:v>
                </c:pt>
                <c:pt idx="4">
                  <c:v>6.9</c:v>
                </c:pt>
                <c:pt idx="5">
                  <c:v>6.5</c:v>
                </c:pt>
                <c:pt idx="6">
                  <c:v>10.6</c:v>
                </c:pt>
                <c:pt idx="7">
                  <c:v>6.1</c:v>
                </c:pt>
                <c:pt idx="8">
                  <c:v>3.1</c:v>
                </c:pt>
                <c:pt idx="9">
                  <c:v>3.2</c:v>
                </c:pt>
                <c:pt idx="10">
                  <c:v>2.6</c:v>
                </c:pt>
                <c:pt idx="11">
                  <c:v>6.1</c:v>
                </c:pt>
              </c:numCache>
            </c:numRef>
          </c:val>
          <c:smooth val="0"/>
          <c:extLst>
            <c:ext xmlns:c16="http://schemas.microsoft.com/office/drawing/2014/chart" uri="{C3380CC4-5D6E-409C-BE32-E72D297353CC}">
              <c16:uniqueId val="{00000013-7A22-4ECA-B9E3-B014D6E704E6}"/>
            </c:ext>
          </c:extLst>
        </c:ser>
        <c:dLbls>
          <c:showLegendKey val="0"/>
          <c:showVal val="0"/>
          <c:showCatName val="0"/>
          <c:showSerName val="0"/>
          <c:showPercent val="0"/>
          <c:showBubbleSize val="0"/>
        </c:dLbls>
        <c:marker val="1"/>
        <c:smooth val="0"/>
        <c:axId val="464733352"/>
        <c:axId val="464739624"/>
      </c:lineChart>
      <c:catAx>
        <c:axId val="464733352"/>
        <c:scaling>
          <c:orientation val="minMax"/>
        </c:scaling>
        <c:delete val="0"/>
        <c:axPos val="b"/>
        <c:title>
          <c:tx>
            <c:rich>
              <a:bodyPr/>
              <a:lstStyle/>
              <a:p>
                <a:pPr>
                  <a:defRPr/>
                </a:pPr>
                <a:r>
                  <a:rPr lang="en-US"/>
                  <a:t>Maternal age group (years)</a:t>
                </a:r>
              </a:p>
            </c:rich>
          </c:tx>
          <c:layout>
            <c:manualLayout>
              <c:xMode val="edge"/>
              <c:yMode val="edge"/>
              <c:x val="0.38792881659023393"/>
              <c:y val="0.92226164911204278"/>
            </c:manualLayout>
          </c:layout>
          <c:overlay val="0"/>
        </c:title>
        <c:numFmt formatCode="General" sourceLinked="0"/>
        <c:majorTickMark val="out"/>
        <c:minorTickMark val="none"/>
        <c:tickLblPos val="nextTo"/>
        <c:crossAx val="464739624"/>
        <c:crosses val="autoZero"/>
        <c:auto val="1"/>
        <c:lblAlgn val="ctr"/>
        <c:lblOffset val="100"/>
        <c:noMultiLvlLbl val="0"/>
      </c:catAx>
      <c:valAx>
        <c:axId val="464739624"/>
        <c:scaling>
          <c:orientation val="minMax"/>
        </c:scaling>
        <c:delete val="0"/>
        <c:axPos val="l"/>
        <c:numFmt formatCode="0" sourceLinked="0"/>
        <c:majorTickMark val="out"/>
        <c:minorTickMark val="none"/>
        <c:tickLblPos val="nextTo"/>
        <c:crossAx val="464733352"/>
        <c:crosses val="autoZero"/>
        <c:crossBetween val="between"/>
      </c:valAx>
    </c:plotArea>
    <c:plotVisOnly val="1"/>
    <c:dispBlanksAs val="gap"/>
    <c:showDLblsOverMax val="0"/>
  </c:chart>
  <c:spPr>
    <a:ln>
      <a:noFill/>
    </a:ln>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63157720426901E-2"/>
          <c:y val="8.1800643597746039E-2"/>
          <c:w val="0.91705431051887742"/>
          <c:h val="0.55834761172832592"/>
        </c:manualLayout>
      </c:layout>
      <c:barChart>
        <c:barDir val="col"/>
        <c:grouping val="clustered"/>
        <c:varyColors val="0"/>
        <c:ser>
          <c:idx val="0"/>
          <c:order val="0"/>
          <c:tx>
            <c:strRef>
              <c:f>DHB!$AU$42</c:f>
              <c:strCache>
                <c:ptCount val="1"/>
                <c:pt idx="0">
                  <c:v>1</c:v>
                </c:pt>
              </c:strCache>
            </c:strRef>
          </c:tx>
          <c:spPr>
            <a:solidFill>
              <a:schemeClr val="bg1">
                <a:lumMod val="65000"/>
              </a:schemeClr>
            </a:solidFill>
            <a:ln>
              <a:noFill/>
            </a:ln>
          </c:spPr>
          <c:invertIfNegative val="0"/>
          <c:dPt>
            <c:idx val="0"/>
            <c:invertIfNegative val="0"/>
            <c:bubble3D val="0"/>
            <c:spPr>
              <a:solidFill>
                <a:srgbClr val="2B8CBE"/>
              </a:solidFill>
              <a:ln>
                <a:noFill/>
              </a:ln>
            </c:spPr>
            <c:extLst>
              <c:ext xmlns:c16="http://schemas.microsoft.com/office/drawing/2014/chart" uri="{C3380CC4-5D6E-409C-BE32-E72D297353CC}">
                <c16:uniqueId val="{00000001-60D2-4EAD-B307-0F37B239E391}"/>
              </c:ext>
            </c:extLst>
          </c:dPt>
          <c:dPt>
            <c:idx val="1"/>
            <c:invertIfNegative val="0"/>
            <c:bubble3D val="0"/>
            <c:spPr>
              <a:solidFill>
                <a:srgbClr val="2B8CBE"/>
              </a:solidFill>
              <a:ln>
                <a:noFill/>
              </a:ln>
            </c:spPr>
            <c:extLst>
              <c:ext xmlns:c16="http://schemas.microsoft.com/office/drawing/2014/chart" uri="{C3380CC4-5D6E-409C-BE32-E72D297353CC}">
                <c16:uniqueId val="{00000003-60D2-4EAD-B307-0F37B239E391}"/>
              </c:ext>
            </c:extLst>
          </c:dPt>
          <c:dPt>
            <c:idx val="2"/>
            <c:invertIfNegative val="0"/>
            <c:bubble3D val="0"/>
            <c:spPr>
              <a:solidFill>
                <a:srgbClr val="2B8CBE"/>
              </a:solidFill>
              <a:ln>
                <a:noFill/>
              </a:ln>
            </c:spPr>
            <c:extLst>
              <c:ext xmlns:c16="http://schemas.microsoft.com/office/drawing/2014/chart" uri="{C3380CC4-5D6E-409C-BE32-E72D297353CC}">
                <c16:uniqueId val="{00000005-60D2-4EAD-B307-0F37B239E391}"/>
              </c:ext>
            </c:extLst>
          </c:dPt>
          <c:dPt>
            <c:idx val="3"/>
            <c:invertIfNegative val="0"/>
            <c:bubble3D val="0"/>
            <c:spPr>
              <a:solidFill>
                <a:srgbClr val="2B8CBE"/>
              </a:solidFill>
              <a:ln>
                <a:noFill/>
              </a:ln>
            </c:spPr>
            <c:extLst>
              <c:ext xmlns:c16="http://schemas.microsoft.com/office/drawing/2014/chart" uri="{C3380CC4-5D6E-409C-BE32-E72D297353CC}">
                <c16:uniqueId val="{00000007-60D2-4EAD-B307-0F37B239E391}"/>
              </c:ext>
            </c:extLst>
          </c:dPt>
          <c:dPt>
            <c:idx val="4"/>
            <c:invertIfNegative val="0"/>
            <c:bubble3D val="0"/>
            <c:spPr>
              <a:solidFill>
                <a:srgbClr val="2B8CBE"/>
              </a:solidFill>
              <a:ln>
                <a:noFill/>
              </a:ln>
            </c:spPr>
            <c:extLst>
              <c:ext xmlns:c16="http://schemas.microsoft.com/office/drawing/2014/chart" uri="{C3380CC4-5D6E-409C-BE32-E72D297353CC}">
                <c16:uniqueId val="{00000009-60D2-4EAD-B307-0F37B239E391}"/>
              </c:ext>
            </c:extLst>
          </c:dPt>
          <c:dPt>
            <c:idx val="5"/>
            <c:invertIfNegative val="0"/>
            <c:bubble3D val="0"/>
            <c:extLst>
              <c:ext xmlns:c16="http://schemas.microsoft.com/office/drawing/2014/chart" uri="{C3380CC4-5D6E-409C-BE32-E72D297353CC}">
                <c16:uniqueId val="{0000000A-60D2-4EAD-B307-0F37B239E391}"/>
              </c:ext>
            </c:extLst>
          </c:dPt>
          <c:errBars>
            <c:errBarType val="both"/>
            <c:errValType val="cust"/>
            <c:noEndCap val="0"/>
            <c:plus>
              <c:numRef>
                <c:f>DHB!$AV$43:$AV$52</c:f>
                <c:numCache>
                  <c:formatCode>General</c:formatCode>
                  <c:ptCount val="10"/>
                  <c:pt idx="0">
                    <c:v>263.49138957956683</c:v>
                  </c:pt>
                  <c:pt idx="1">
                    <c:v>26.254711898110344</c:v>
                  </c:pt>
                  <c:pt idx="2">
                    <c:v>21.372859228598298</c:v>
                  </c:pt>
                  <c:pt idx="3">
                    <c:v>10.299651279544054</c:v>
                  </c:pt>
                  <c:pt idx="4">
                    <c:v>6.6871823419513401</c:v>
                  </c:pt>
                  <c:pt idx="5">
                    <c:v>263.49138957956683</c:v>
                  </c:pt>
                  <c:pt idx="6">
                    <c:v>18.725276416822005</c:v>
                  </c:pt>
                  <c:pt idx="7">
                    <c:v>17.018526604964038</c:v>
                  </c:pt>
                  <c:pt idx="8">
                    <c:v>10.368087500670597</c:v>
                  </c:pt>
                  <c:pt idx="9">
                    <c:v>5.8828950187655682</c:v>
                  </c:pt>
                </c:numCache>
              </c:numRef>
            </c:plus>
            <c:minus>
              <c:numRef>
                <c:f>DHB!$AW$43:$AW$52</c:f>
                <c:numCache>
                  <c:formatCode>General</c:formatCode>
                  <c:ptCount val="10"/>
                  <c:pt idx="0">
                    <c:v>0</c:v>
                  </c:pt>
                  <c:pt idx="1">
                    <c:v>8.8331192032966577</c:v>
                  </c:pt>
                  <c:pt idx="2">
                    <c:v>10.822159006030706</c:v>
                  </c:pt>
                  <c:pt idx="3">
                    <c:v>4.8022023537519383</c:v>
                  </c:pt>
                  <c:pt idx="4">
                    <c:v>4.0402207631279285</c:v>
                  </c:pt>
                  <c:pt idx="5">
                    <c:v>0</c:v>
                  </c:pt>
                  <c:pt idx="6">
                    <c:v>0</c:v>
                  </c:pt>
                  <c:pt idx="7">
                    <c:v>5.7257026757525571</c:v>
                  </c:pt>
                  <c:pt idx="8">
                    <c:v>4.8341106750393266</c:v>
                  </c:pt>
                  <c:pt idx="9">
                    <c:v>3.1650881220909568</c:v>
                  </c:pt>
                </c:numCache>
              </c:numRef>
            </c:minus>
            <c:spPr>
              <a:ln w="12700">
                <a:solidFill>
                  <a:schemeClr val="tx1">
                    <a:lumMod val="65000"/>
                    <a:lumOff val="35000"/>
                  </a:schemeClr>
                </a:solidFill>
              </a:ln>
            </c:spPr>
          </c:errBars>
          <c:cat>
            <c:multiLvlStrRef>
              <c:f>DHB!$AS$43:$AT$52</c:f>
              <c:multiLvlStrCache>
                <c:ptCount val="10"/>
                <c:lvl>
                  <c:pt idx="0">
                    <c:v>1 (least deprived)</c:v>
                  </c:pt>
                  <c:pt idx="1">
                    <c:v>2</c:v>
                  </c:pt>
                  <c:pt idx="2">
                    <c:v>3</c:v>
                  </c:pt>
                  <c:pt idx="3">
                    <c:v>4</c:v>
                  </c:pt>
                  <c:pt idx="4">
                    <c:v>5 (most deprived)</c:v>
                  </c:pt>
                  <c:pt idx="5">
                    <c:v>1 (least deprived)</c:v>
                  </c:pt>
                  <c:pt idx="6">
                    <c:v>2</c:v>
                  </c:pt>
                  <c:pt idx="7">
                    <c:v>3</c:v>
                  </c:pt>
                  <c:pt idx="8">
                    <c:v>4</c:v>
                  </c:pt>
                  <c:pt idx="9">
                    <c:v>5 (most deprived)</c:v>
                  </c:pt>
                </c:lvl>
                <c:lvl>
                  <c:pt idx="0">
                    <c:v>Fetal death rate (per 1000 total births)</c:v>
                  </c:pt>
                  <c:pt idx="5">
                    <c:v>Infant death rate (per 1000 live births)</c:v>
                  </c:pt>
                </c:lvl>
              </c:multiLvlStrCache>
            </c:multiLvlStrRef>
          </c:cat>
          <c:val>
            <c:numRef>
              <c:f>DHB!$AU$43:$AU$52</c:f>
              <c:numCache>
                <c:formatCode>0.0</c:formatCode>
                <c:ptCount val="10"/>
                <c:pt idx="0">
                  <c:v>0</c:v>
                </c:pt>
                <c:pt idx="1">
                  <c:v>10.050251256281408</c:v>
                </c:pt>
                <c:pt idx="2">
                  <c:v>16.025641025641026</c:v>
                </c:pt>
                <c:pt idx="3">
                  <c:v>6.6006600660066006</c:v>
                </c:pt>
                <c:pt idx="4">
                  <c:v>7.4441687344913152</c:v>
                </c:pt>
                <c:pt idx="5">
                  <c:v>0</c:v>
                </c:pt>
                <c:pt idx="6">
                  <c:v>0</c:v>
                </c:pt>
                <c:pt idx="7">
                  <c:v>6.5146579804560263</c:v>
                </c:pt>
                <c:pt idx="8">
                  <c:v>6.6445182724252492</c:v>
                </c:pt>
                <c:pt idx="9">
                  <c:v>5</c:v>
                </c:pt>
              </c:numCache>
            </c:numRef>
          </c:val>
          <c:extLst>
            <c:ext xmlns:c16="http://schemas.microsoft.com/office/drawing/2014/chart" uri="{C3380CC4-5D6E-409C-BE32-E72D297353CC}">
              <c16:uniqueId val="{0000000B-60D2-4EAD-B307-0F37B239E391}"/>
            </c:ext>
          </c:extLst>
        </c:ser>
        <c:dLbls>
          <c:showLegendKey val="0"/>
          <c:showVal val="0"/>
          <c:showCatName val="0"/>
          <c:showSerName val="0"/>
          <c:showPercent val="0"/>
          <c:showBubbleSize val="0"/>
        </c:dLbls>
        <c:gapWidth val="150"/>
        <c:axId val="464734528"/>
        <c:axId val="464732960"/>
      </c:barChart>
      <c:lineChart>
        <c:grouping val="standard"/>
        <c:varyColors val="0"/>
        <c:ser>
          <c:idx val="1"/>
          <c:order val="1"/>
          <c:tx>
            <c:strRef>
              <c:f>DHB!$AX$42</c:f>
              <c:strCache>
                <c:ptCount val="1"/>
                <c:pt idx="0">
                  <c:v>National</c:v>
                </c:pt>
              </c:strCache>
            </c:strRef>
          </c:tx>
          <c:spPr>
            <a:ln>
              <a:noFill/>
            </a:ln>
          </c:spPr>
          <c:marker>
            <c:symbol val="dash"/>
            <c:size val="10"/>
            <c:spPr>
              <a:solidFill>
                <a:schemeClr val="accent6">
                  <a:lumMod val="75000"/>
                </a:schemeClr>
              </a:solidFill>
              <a:ln>
                <a:solidFill>
                  <a:schemeClr val="accent6">
                    <a:lumMod val="75000"/>
                  </a:schemeClr>
                </a:solidFill>
              </a:ln>
            </c:spPr>
          </c:marker>
          <c:cat>
            <c:multiLvlStrRef>
              <c:f>DHB!$AS$43:$AT$52</c:f>
              <c:multiLvlStrCache>
                <c:ptCount val="10"/>
                <c:lvl>
                  <c:pt idx="0">
                    <c:v>1 (least deprived)</c:v>
                  </c:pt>
                  <c:pt idx="1">
                    <c:v>2</c:v>
                  </c:pt>
                  <c:pt idx="2">
                    <c:v>3</c:v>
                  </c:pt>
                  <c:pt idx="3">
                    <c:v>4</c:v>
                  </c:pt>
                  <c:pt idx="4">
                    <c:v>5 (most deprived)</c:v>
                  </c:pt>
                  <c:pt idx="5">
                    <c:v>1 (least deprived)</c:v>
                  </c:pt>
                  <c:pt idx="6">
                    <c:v>2</c:v>
                  </c:pt>
                  <c:pt idx="7">
                    <c:v>3</c:v>
                  </c:pt>
                  <c:pt idx="8">
                    <c:v>4</c:v>
                  </c:pt>
                  <c:pt idx="9">
                    <c:v>5 (most deprived)</c:v>
                  </c:pt>
                </c:lvl>
                <c:lvl>
                  <c:pt idx="0">
                    <c:v>Fetal death rate (per 1000 total births)</c:v>
                  </c:pt>
                  <c:pt idx="5">
                    <c:v>Infant death rate (per 1000 live births)</c:v>
                  </c:pt>
                </c:lvl>
              </c:multiLvlStrCache>
            </c:multiLvlStrRef>
          </c:cat>
          <c:val>
            <c:numRef>
              <c:f>DHB!$AX$43:$AX$52</c:f>
              <c:numCache>
                <c:formatCode>0.0</c:formatCode>
                <c:ptCount val="10"/>
                <c:pt idx="0">
                  <c:v>4.7</c:v>
                </c:pt>
                <c:pt idx="1">
                  <c:v>6.3</c:v>
                </c:pt>
                <c:pt idx="2">
                  <c:v>6.2</c:v>
                </c:pt>
                <c:pt idx="3">
                  <c:v>6.8</c:v>
                </c:pt>
                <c:pt idx="4">
                  <c:v>7.4</c:v>
                </c:pt>
                <c:pt idx="5">
                  <c:v>2.6</c:v>
                </c:pt>
                <c:pt idx="6">
                  <c:v>2.4</c:v>
                </c:pt>
                <c:pt idx="7">
                  <c:v>2.9</c:v>
                </c:pt>
                <c:pt idx="8">
                  <c:v>4</c:v>
                </c:pt>
                <c:pt idx="9">
                  <c:v>6.3</c:v>
                </c:pt>
              </c:numCache>
            </c:numRef>
          </c:val>
          <c:smooth val="0"/>
          <c:extLst>
            <c:ext xmlns:c16="http://schemas.microsoft.com/office/drawing/2014/chart" uri="{C3380CC4-5D6E-409C-BE32-E72D297353CC}">
              <c16:uniqueId val="{0000000C-60D2-4EAD-B307-0F37B239E391}"/>
            </c:ext>
          </c:extLst>
        </c:ser>
        <c:dLbls>
          <c:showLegendKey val="0"/>
          <c:showVal val="0"/>
          <c:showCatName val="0"/>
          <c:showSerName val="0"/>
          <c:showPercent val="0"/>
          <c:showBubbleSize val="0"/>
        </c:dLbls>
        <c:marker val="1"/>
        <c:smooth val="0"/>
        <c:axId val="464734528"/>
        <c:axId val="464732960"/>
      </c:lineChart>
      <c:catAx>
        <c:axId val="464734528"/>
        <c:scaling>
          <c:orientation val="minMax"/>
        </c:scaling>
        <c:delete val="0"/>
        <c:axPos val="b"/>
        <c:title>
          <c:tx>
            <c:rich>
              <a:bodyPr/>
              <a:lstStyle/>
              <a:p>
                <a:pPr>
                  <a:defRPr/>
                </a:pPr>
                <a:r>
                  <a:rPr lang="en-US"/>
                  <a:t>Deprivation quintile of residence</a:t>
                </a:r>
              </a:p>
            </c:rich>
          </c:tx>
          <c:layout>
            <c:manualLayout>
              <c:xMode val="edge"/>
              <c:yMode val="edge"/>
              <c:x val="0.35945883736141815"/>
              <c:y val="0.80171208473017275"/>
            </c:manualLayout>
          </c:layout>
          <c:overlay val="0"/>
        </c:title>
        <c:numFmt formatCode="General" sourceLinked="0"/>
        <c:majorTickMark val="out"/>
        <c:minorTickMark val="none"/>
        <c:tickLblPos val="nextTo"/>
        <c:crossAx val="464732960"/>
        <c:crosses val="autoZero"/>
        <c:auto val="1"/>
        <c:lblAlgn val="ctr"/>
        <c:lblOffset val="100"/>
        <c:noMultiLvlLbl val="0"/>
      </c:catAx>
      <c:valAx>
        <c:axId val="464732960"/>
        <c:scaling>
          <c:orientation val="minMax"/>
        </c:scaling>
        <c:delete val="0"/>
        <c:axPos val="l"/>
        <c:numFmt formatCode="0" sourceLinked="0"/>
        <c:majorTickMark val="out"/>
        <c:minorTickMark val="none"/>
        <c:tickLblPos val="nextTo"/>
        <c:crossAx val="464734528"/>
        <c:crosses val="autoZero"/>
        <c:crossBetween val="between"/>
      </c:valAx>
    </c:plotArea>
    <c:plotVisOnly val="1"/>
    <c:dispBlanksAs val="gap"/>
    <c:showDLblsOverMax val="0"/>
  </c:chart>
  <c:spPr>
    <a:ln>
      <a:noFill/>
    </a:ln>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046031746031757E-2"/>
          <c:y val="9.8777690956569367E-2"/>
          <c:w val="0.91178752322070722"/>
          <c:h val="0.58605945249210256"/>
        </c:manualLayout>
      </c:layout>
      <c:barChart>
        <c:barDir val="col"/>
        <c:grouping val="clustered"/>
        <c:varyColors val="0"/>
        <c:ser>
          <c:idx val="0"/>
          <c:order val="0"/>
          <c:tx>
            <c:strRef>
              <c:f>GraphsNZ!$N$37</c:f>
              <c:strCache>
                <c:ptCount val="1"/>
                <c:pt idx="0">
                  <c:v>2011–2015</c:v>
                </c:pt>
              </c:strCache>
            </c:strRef>
          </c:tx>
          <c:spPr>
            <a:solidFill>
              <a:schemeClr val="bg1">
                <a:lumMod val="65000"/>
              </a:schemeClr>
            </a:solidFill>
            <a:ln>
              <a:noFill/>
            </a:ln>
            <a:effectLst/>
          </c:spPr>
          <c:invertIfNegative val="0"/>
          <c:errBars>
            <c:errBarType val="both"/>
            <c:errValType val="cust"/>
            <c:noEndCap val="0"/>
            <c:plus>
              <c:numRef>
                <c:f>GraphsNZ!$AJ$39:$AJ$46</c:f>
                <c:numCache>
                  <c:formatCode>General</c:formatCode>
                  <c:ptCount val="8"/>
                  <c:pt idx="0">
                    <c:v>0.56857053926495471</c:v>
                  </c:pt>
                  <c:pt idx="1">
                    <c:v>0.96486866660706561</c:v>
                  </c:pt>
                  <c:pt idx="2">
                    <c:v>0.82714027758561137</c:v>
                  </c:pt>
                  <c:pt idx="3">
                    <c:v>0.44803316041581898</c:v>
                  </c:pt>
                  <c:pt idx="4">
                    <c:v>0.54288732737678291</c:v>
                  </c:pt>
                  <c:pt idx="5">
                    <c:v>0.96212752939989077</c:v>
                  </c:pt>
                  <c:pt idx="6">
                    <c:v>0.63161235475200872</c:v>
                  </c:pt>
                  <c:pt idx="7">
                    <c:v>0.34823517507236001</c:v>
                  </c:pt>
                </c:numCache>
              </c:numRef>
            </c:plus>
            <c:minus>
              <c:numRef>
                <c:f>GraphsNZ!$AK$39:$AK$46</c:f>
                <c:numCache>
                  <c:formatCode>General</c:formatCode>
                  <c:ptCount val="8"/>
                  <c:pt idx="0">
                    <c:v>0.53522752010846997</c:v>
                  </c:pt>
                  <c:pt idx="1">
                    <c:v>0.87617670888808075</c:v>
                  </c:pt>
                  <c:pt idx="2">
                    <c:v>0.76111832712797334</c:v>
                  </c:pt>
                  <c:pt idx="3">
                    <c:v>0.42720151071483681</c:v>
                  </c:pt>
                  <c:pt idx="4">
                    <c:v>0.5092894547892266</c:v>
                  </c:pt>
                  <c:pt idx="5">
                    <c:v>0.87278046833935097</c:v>
                  </c:pt>
                  <c:pt idx="6">
                    <c:v>0.56469913879190559</c:v>
                  </c:pt>
                  <c:pt idx="7">
                    <c:v>0.32719060429666014</c:v>
                  </c:pt>
                </c:numCache>
              </c:numRef>
            </c:minus>
            <c:spPr>
              <a:noFill/>
              <a:ln w="12700" cap="flat" cmpd="sng" algn="ctr">
                <a:solidFill>
                  <a:schemeClr val="tx1">
                    <a:lumMod val="75000"/>
                    <a:lumOff val="25000"/>
                  </a:schemeClr>
                </a:solidFill>
                <a:round/>
              </a:ln>
              <a:effectLst/>
            </c:spPr>
          </c:errBars>
          <c:cat>
            <c:multiLvlStrRef>
              <c:f>GraphsNZ!$AB$39:$AC$46</c:f>
              <c:multiLvlStrCache>
                <c:ptCount val="8"/>
                <c:lvl>
                  <c:pt idx="0">
                    <c:v>Māori</c:v>
                  </c:pt>
                  <c:pt idx="1">
                    <c:v>Pacific peoples</c:v>
                  </c:pt>
                  <c:pt idx="2">
                    <c:v>Asian</c:v>
                  </c:pt>
                  <c:pt idx="3">
                    <c:v>European or Other</c:v>
                  </c:pt>
                  <c:pt idx="4">
                    <c:v>Māori</c:v>
                  </c:pt>
                  <c:pt idx="5">
                    <c:v>Pacific peoples</c:v>
                  </c:pt>
                  <c:pt idx="6">
                    <c:v>Asian</c:v>
                  </c:pt>
                  <c:pt idx="7">
                    <c:v>European or Other</c:v>
                  </c:pt>
                </c:lvl>
                <c:lvl>
                  <c:pt idx="0">
                    <c:v>Fetal death rate (per 1000 total births)</c:v>
                  </c:pt>
                  <c:pt idx="4">
                    <c:v>Infant death rate (per 1000 live births)</c:v>
                  </c:pt>
                </c:lvl>
              </c:multiLvlStrCache>
            </c:multiLvlStrRef>
          </c:cat>
          <c:val>
            <c:numRef>
              <c:f>GraphsNZ!$N$39:$N$46</c:f>
              <c:numCache>
                <c:formatCode>0.0</c:formatCode>
                <c:ptCount val="8"/>
                <c:pt idx="0">
                  <c:v>6.8301663787617057</c:v>
                </c:pt>
                <c:pt idx="1">
                  <c:v>7.1077255278310947</c:v>
                </c:pt>
                <c:pt idx="2">
                  <c:v>7.1198280494357871</c:v>
                </c:pt>
                <c:pt idx="3">
                  <c:v>6.8855027057818283</c:v>
                </c:pt>
                <c:pt idx="4">
                  <c:v>6.1562403451156298</c:v>
                </c:pt>
                <c:pt idx="5">
                  <c:v>7.0075814782372312</c:v>
                </c:pt>
                <c:pt idx="6">
                  <c:v>3.9687908717809952</c:v>
                </c:pt>
                <c:pt idx="7">
                  <c:v>4.0509632688764139</c:v>
                </c:pt>
              </c:numCache>
            </c:numRef>
          </c:val>
          <c:extLst>
            <c:ext xmlns:c16="http://schemas.microsoft.com/office/drawing/2014/chart" uri="{C3380CC4-5D6E-409C-BE32-E72D297353CC}">
              <c16:uniqueId val="{00000000-4D5F-4CA2-9441-3172D9D1884C}"/>
            </c:ext>
          </c:extLst>
        </c:ser>
        <c:ser>
          <c:idx val="1"/>
          <c:order val="1"/>
          <c:tx>
            <c:strRef>
              <c:f>GraphsNZ!$O$37</c:f>
              <c:strCache>
                <c:ptCount val="1"/>
                <c:pt idx="0">
                  <c:v>2016</c:v>
                </c:pt>
              </c:strCache>
            </c:strRef>
          </c:tx>
          <c:spPr>
            <a:solidFill>
              <a:srgbClr val="2B8CBE"/>
            </a:solidFill>
            <a:ln>
              <a:noFill/>
            </a:ln>
            <a:effectLst/>
          </c:spPr>
          <c:invertIfNegative val="0"/>
          <c:errBars>
            <c:errBarType val="both"/>
            <c:errValType val="cust"/>
            <c:noEndCap val="0"/>
            <c:plus>
              <c:numRef>
                <c:f>GraphsNZ!$AJ$47:$AJ$54</c:f>
                <c:numCache>
                  <c:formatCode>General</c:formatCode>
                  <c:ptCount val="8"/>
                  <c:pt idx="0">
                    <c:v>1.356264388955764</c:v>
                  </c:pt>
                  <c:pt idx="1">
                    <c:v>2.5267464701808349</c:v>
                  </c:pt>
                  <c:pt idx="2">
                    <c:v>1.7117576476520782</c:v>
                  </c:pt>
                  <c:pt idx="3">
                    <c:v>1.0524748127921191</c:v>
                  </c:pt>
                  <c:pt idx="4">
                    <c:v>1.2647847796774849</c:v>
                  </c:pt>
                  <c:pt idx="5">
                    <c:v>2.3426415900152007</c:v>
                  </c:pt>
                  <c:pt idx="6">
                    <c:v>1.1267274303028887</c:v>
                  </c:pt>
                  <c:pt idx="7">
                    <c:v>0.7205849823438415</c:v>
                  </c:pt>
                </c:numCache>
              </c:numRef>
            </c:plus>
            <c:minus>
              <c:numRef>
                <c:f>GraphsNZ!$AK$47:$AK$54</c:f>
                <c:numCache>
                  <c:formatCode>General</c:formatCode>
                  <c:ptCount val="8"/>
                  <c:pt idx="0">
                    <c:v>1.1853976069287775</c:v>
                  </c:pt>
                  <c:pt idx="1">
                    <c:v>2.0223702394561611</c:v>
                  </c:pt>
                  <c:pt idx="2">
                    <c:v>1.4377816015946099</c:v>
                  </c:pt>
                  <c:pt idx="3">
                    <c:v>0.94006075220164664</c:v>
                  </c:pt>
                  <c:pt idx="4">
                    <c:v>1.0922766261862558</c:v>
                  </c:pt>
                  <c:pt idx="5">
                    <c:v>1.8320926092526717</c:v>
                  </c:pt>
                  <c:pt idx="6">
                    <c:v>0.84450833500598277</c:v>
                  </c:pt>
                  <c:pt idx="7">
                    <c:v>0.60597368396275186</c:v>
                  </c:pt>
                </c:numCache>
              </c:numRef>
            </c:minus>
            <c:spPr>
              <a:noFill/>
              <a:ln w="12700" cap="flat" cmpd="sng" algn="ctr">
                <a:solidFill>
                  <a:schemeClr val="tx1">
                    <a:lumMod val="75000"/>
                    <a:lumOff val="25000"/>
                  </a:schemeClr>
                </a:solidFill>
                <a:round/>
              </a:ln>
              <a:effectLst/>
            </c:spPr>
          </c:errBars>
          <c:cat>
            <c:multiLvlStrRef>
              <c:f>GraphsNZ!$AB$39:$AC$46</c:f>
              <c:multiLvlStrCache>
                <c:ptCount val="8"/>
                <c:lvl>
                  <c:pt idx="0">
                    <c:v>Māori</c:v>
                  </c:pt>
                  <c:pt idx="1">
                    <c:v>Pacific peoples</c:v>
                  </c:pt>
                  <c:pt idx="2">
                    <c:v>Asian</c:v>
                  </c:pt>
                  <c:pt idx="3">
                    <c:v>European or Other</c:v>
                  </c:pt>
                  <c:pt idx="4">
                    <c:v>Māori</c:v>
                  </c:pt>
                  <c:pt idx="5">
                    <c:v>Pacific peoples</c:v>
                  </c:pt>
                  <c:pt idx="6">
                    <c:v>Asian</c:v>
                  </c:pt>
                  <c:pt idx="7">
                    <c:v>European or Other</c:v>
                  </c:pt>
                </c:lvl>
                <c:lvl>
                  <c:pt idx="0">
                    <c:v>Fetal death rate (per 1000 total births)</c:v>
                  </c:pt>
                  <c:pt idx="4">
                    <c:v>Infant death rate (per 1000 live births)</c:v>
                  </c:pt>
                </c:lvl>
              </c:multiLvlStrCache>
            </c:multiLvlStrRef>
          </c:cat>
          <c:val>
            <c:numRef>
              <c:f>GraphsNZ!$O$39:$O$46</c:f>
              <c:numCache>
                <c:formatCode>0.0</c:formatCode>
                <c:ptCount val="8"/>
                <c:pt idx="0">
                  <c:v>6.9910033808950773</c:v>
                </c:pt>
                <c:pt idx="1">
                  <c:v>7.4738415545590433</c:v>
                </c:pt>
                <c:pt idx="2">
                  <c:v>6.6514806378132114</c:v>
                </c:pt>
                <c:pt idx="3">
                  <c:v>6.5525338989470496</c:v>
                </c:pt>
                <c:pt idx="4">
                  <c:v>5.943793640717872</c:v>
                </c:pt>
                <c:pt idx="5">
                  <c:v>6.1914323962516731</c:v>
                </c:pt>
                <c:pt idx="6">
                  <c:v>2.4766097963676388</c:v>
                </c:pt>
                <c:pt idx="7">
                  <c:v>2.8213046627778415</c:v>
                </c:pt>
              </c:numCache>
            </c:numRef>
          </c:val>
          <c:extLst>
            <c:ext xmlns:c16="http://schemas.microsoft.com/office/drawing/2014/chart" uri="{C3380CC4-5D6E-409C-BE32-E72D297353CC}">
              <c16:uniqueId val="{00000001-4D5F-4CA2-9441-3172D9D1884C}"/>
            </c:ext>
          </c:extLst>
        </c:ser>
        <c:dLbls>
          <c:showLegendKey val="0"/>
          <c:showVal val="0"/>
          <c:showCatName val="0"/>
          <c:showSerName val="0"/>
          <c:showPercent val="0"/>
          <c:showBubbleSize val="0"/>
        </c:dLbls>
        <c:gapWidth val="100"/>
        <c:overlap val="-15"/>
        <c:axId val="462922504"/>
        <c:axId val="462918976"/>
      </c:barChart>
      <c:catAx>
        <c:axId val="462922504"/>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NZ" b="1"/>
                  <a:t>Ethnic group</a:t>
                </a:r>
              </a:p>
            </c:rich>
          </c:tx>
          <c:layout>
            <c:manualLayout>
              <c:xMode val="edge"/>
              <c:yMode val="edge"/>
              <c:x val="0.45490263435426637"/>
              <c:y val="0.862308776288460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462918976"/>
        <c:crosses val="autoZero"/>
        <c:auto val="1"/>
        <c:lblAlgn val="ctr"/>
        <c:lblOffset val="100"/>
        <c:noMultiLvlLbl val="0"/>
      </c:catAx>
      <c:valAx>
        <c:axId val="462918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462922504"/>
        <c:crosses val="autoZero"/>
        <c:crossBetween val="between"/>
      </c:valAx>
      <c:spPr>
        <a:noFill/>
        <a:ln>
          <a:noFill/>
        </a:ln>
        <a:effectLst/>
      </c:spPr>
    </c:plotArea>
    <c:legend>
      <c:legendPos val="tr"/>
      <c:layout>
        <c:manualLayout>
          <c:xMode val="edge"/>
          <c:yMode val="edge"/>
          <c:x val="0.74783428571428567"/>
          <c:y val="8.4666666666666668E-2"/>
          <c:w val="0.21587999999999999"/>
          <c:h val="9.1366111111111106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014285714285718E-2"/>
          <c:y val="8.8547703915527187E-2"/>
          <c:w val="0.91381111111111113"/>
          <c:h val="0.65412785038698806"/>
        </c:manualLayout>
      </c:layout>
      <c:barChart>
        <c:barDir val="col"/>
        <c:grouping val="clustered"/>
        <c:varyColors val="0"/>
        <c:ser>
          <c:idx val="0"/>
          <c:order val="0"/>
          <c:tx>
            <c:strRef>
              <c:f>GraphsNZ!$N$61</c:f>
              <c:strCache>
                <c:ptCount val="1"/>
                <c:pt idx="0">
                  <c:v>2011–2015</c:v>
                </c:pt>
              </c:strCache>
            </c:strRef>
          </c:tx>
          <c:spPr>
            <a:solidFill>
              <a:schemeClr val="bg1">
                <a:lumMod val="65000"/>
              </a:schemeClr>
            </a:solidFill>
            <a:ln>
              <a:noFill/>
            </a:ln>
            <a:effectLst/>
          </c:spPr>
          <c:invertIfNegative val="0"/>
          <c:errBars>
            <c:errBarType val="both"/>
            <c:errValType val="cust"/>
            <c:noEndCap val="0"/>
            <c:plus>
              <c:numRef>
                <c:f>GraphsNZ!$AJ$57:$AJ$68</c:f>
                <c:numCache>
                  <c:formatCode>General</c:formatCode>
                  <c:ptCount val="12"/>
                  <c:pt idx="0">
                    <c:v>1.5649408466243333</c:v>
                  </c:pt>
                  <c:pt idx="1">
                    <c:v>0.7076379273003468</c:v>
                  </c:pt>
                  <c:pt idx="2">
                    <c:v>0.57122032764543285</c:v>
                  </c:pt>
                  <c:pt idx="3">
                    <c:v>0.54621109367096565</c:v>
                  </c:pt>
                  <c:pt idx="4">
                    <c:v>0.79306552031911703</c:v>
                  </c:pt>
                  <c:pt idx="5">
                    <c:v>1.9100263805352355</c:v>
                  </c:pt>
                  <c:pt idx="6">
                    <c:v>1.6059522295932318</c:v>
                  </c:pt>
                  <c:pt idx="7">
                    <c:v>0.7019417692619383</c:v>
                  </c:pt>
                  <c:pt idx="8">
                    <c:v>0.4869943395015861</c:v>
                  </c:pt>
                  <c:pt idx="9">
                    <c:v>0.42597467240979547</c:v>
                  </c:pt>
                  <c:pt idx="10">
                    <c:v>0.59838599621234145</c:v>
                  </c:pt>
                  <c:pt idx="11">
                    <c:v>1.4172724955561362</c:v>
                  </c:pt>
                </c:numCache>
              </c:numRef>
            </c:plus>
            <c:minus>
              <c:numRef>
                <c:f>GraphsNZ!$AK$57:$AK$68</c:f>
                <c:numCache>
                  <c:formatCode>General</c:formatCode>
                  <c:ptCount val="12"/>
                  <c:pt idx="0">
                    <c:v>1.3954466355897122</c:v>
                  </c:pt>
                  <c:pt idx="1">
                    <c:v>0.65457602000763959</c:v>
                  </c:pt>
                  <c:pt idx="2">
                    <c:v>0.53433765023134416</c:v>
                  </c:pt>
                  <c:pt idx="3">
                    <c:v>0.51311689081290801</c:v>
                  </c:pt>
                  <c:pt idx="4">
                    <c:v>0.73647080432304257</c:v>
                  </c:pt>
                  <c:pt idx="5">
                    <c:v>1.6821877825043181</c:v>
                  </c:pt>
                  <c:pt idx="6">
                    <c:v>1.4348906849365601</c:v>
                  </c:pt>
                  <c:pt idx="7">
                    <c:v>0.64851726029983148</c:v>
                  </c:pt>
                  <c:pt idx="8">
                    <c:v>0.44977558475059709</c:v>
                  </c:pt>
                  <c:pt idx="9">
                    <c:v>0.39252605451987632</c:v>
                  </c:pt>
                  <c:pt idx="10">
                    <c:v>0.54101310311593354</c:v>
                  </c:pt>
                  <c:pt idx="11">
                    <c:v>1.1844598532875832</c:v>
                  </c:pt>
                </c:numCache>
              </c:numRef>
            </c:minus>
            <c:spPr>
              <a:noFill/>
              <a:ln w="12700" cap="flat" cmpd="sng" algn="ctr">
                <a:solidFill>
                  <a:schemeClr val="tx1">
                    <a:lumMod val="75000"/>
                    <a:lumOff val="25000"/>
                  </a:schemeClr>
                </a:solidFill>
                <a:round/>
              </a:ln>
              <a:effectLst/>
            </c:spPr>
          </c:errBars>
          <c:cat>
            <c:multiLvlStrRef>
              <c:f>GraphsNZ!$AB$57:$AC$68</c:f>
              <c:multiLvlStrCache>
                <c:ptCount val="12"/>
                <c:lvl>
                  <c:pt idx="0">
                    <c:v>&lt;20</c:v>
                  </c:pt>
                  <c:pt idx="1">
                    <c:v>20−24</c:v>
                  </c:pt>
                  <c:pt idx="2">
                    <c:v>25−29</c:v>
                  </c:pt>
                  <c:pt idx="3">
                    <c:v>30−34</c:v>
                  </c:pt>
                  <c:pt idx="4">
                    <c:v>35−39</c:v>
                  </c:pt>
                  <c:pt idx="5">
                    <c:v>≥40</c:v>
                  </c:pt>
                  <c:pt idx="6">
                    <c:v>&lt;20</c:v>
                  </c:pt>
                  <c:pt idx="7">
                    <c:v>20−24</c:v>
                  </c:pt>
                  <c:pt idx="8">
                    <c:v>25−29</c:v>
                  </c:pt>
                  <c:pt idx="9">
                    <c:v>30−34</c:v>
                  </c:pt>
                  <c:pt idx="10">
                    <c:v>35−39</c:v>
                  </c:pt>
                  <c:pt idx="11">
                    <c:v>≥40</c:v>
                  </c:pt>
                </c:lvl>
                <c:lvl>
                  <c:pt idx="0">
                    <c:v>Fetal death rate (per 1000 total births)</c:v>
                  </c:pt>
                  <c:pt idx="6">
                    <c:v>Infant death rate (per 1000 live births)</c:v>
                  </c:pt>
                </c:lvl>
              </c:multiLvlStrCache>
            </c:multiLvlStrRef>
          </c:cat>
          <c:val>
            <c:numRef>
              <c:f>GraphsNZ!$N$63:$N$74</c:f>
              <c:numCache>
                <c:formatCode>0.0</c:formatCode>
                <c:ptCount val="12"/>
                <c:pt idx="0">
                  <c:v>9.5906833361877037</c:v>
                </c:pt>
                <c:pt idx="1">
                  <c:v>6.5214649876596589</c:v>
                </c:pt>
                <c:pt idx="2">
                  <c:v>6.1889577945717944</c:v>
                </c:pt>
                <c:pt idx="3">
                  <c:v>6.3363925406453649</c:v>
                </c:pt>
                <c:pt idx="4">
                  <c:v>7.7121317024386498</c:v>
                </c:pt>
                <c:pt idx="5">
                  <c:v>10.485228838206032</c:v>
                </c:pt>
                <c:pt idx="6">
                  <c:v>10.029396507003286</c:v>
                </c:pt>
                <c:pt idx="7">
                  <c:v>6.3648067891272415</c:v>
                </c:pt>
                <c:pt idx="8">
                  <c:v>4.3958820185688117</c:v>
                </c:pt>
                <c:pt idx="9">
                  <c:v>3.7330368084237282</c:v>
                </c:pt>
                <c:pt idx="10">
                  <c:v>4.2058338986335881</c:v>
                </c:pt>
                <c:pt idx="11">
                  <c:v>5.3368396627736097</c:v>
                </c:pt>
              </c:numCache>
            </c:numRef>
          </c:val>
          <c:extLst>
            <c:ext xmlns:c16="http://schemas.microsoft.com/office/drawing/2014/chart" uri="{C3380CC4-5D6E-409C-BE32-E72D297353CC}">
              <c16:uniqueId val="{00000000-81BC-46B0-B302-D419683B53EE}"/>
            </c:ext>
          </c:extLst>
        </c:ser>
        <c:ser>
          <c:idx val="1"/>
          <c:order val="1"/>
          <c:tx>
            <c:strRef>
              <c:f>GraphsNZ!$O$61</c:f>
              <c:strCache>
                <c:ptCount val="1"/>
                <c:pt idx="0">
                  <c:v>2016</c:v>
                </c:pt>
              </c:strCache>
            </c:strRef>
          </c:tx>
          <c:spPr>
            <a:solidFill>
              <a:srgbClr val="2B8CBE"/>
            </a:solidFill>
            <a:ln>
              <a:noFill/>
            </a:ln>
            <a:effectLst/>
          </c:spPr>
          <c:invertIfNegative val="0"/>
          <c:errBars>
            <c:errBarType val="both"/>
            <c:errValType val="cust"/>
            <c:noEndCap val="0"/>
            <c:plus>
              <c:numRef>
                <c:f>GraphsNZ!$AJ$69:$AJ$80</c:f>
                <c:numCache>
                  <c:formatCode>General</c:formatCode>
                  <c:ptCount val="12"/>
                  <c:pt idx="0">
                    <c:v>5.3330152174320542</c:v>
                  </c:pt>
                  <c:pt idx="1">
                    <c:v>1.8773398803818866</c:v>
                  </c:pt>
                  <c:pt idx="2">
                    <c:v>1.3071781145721433</c:v>
                  </c:pt>
                  <c:pt idx="3">
                    <c:v>1.2232590187916417</c:v>
                  </c:pt>
                  <c:pt idx="4">
                    <c:v>1.8123625387753259</c:v>
                  </c:pt>
                  <c:pt idx="5">
                    <c:v>4.0416994322109128</c:v>
                  </c:pt>
                  <c:pt idx="6">
                    <c:v>4.8001494510207454</c:v>
                  </c:pt>
                  <c:pt idx="7">
                    <c:v>1.7472369553891767</c:v>
                  </c:pt>
                  <c:pt idx="8">
                    <c:v>0.97162036371056715</c:v>
                  </c:pt>
                  <c:pt idx="9">
                    <c:v>0.91376609842819301</c:v>
                  </c:pt>
                  <c:pt idx="10">
                    <c:v>1.1970335559747673</c:v>
                  </c:pt>
                  <c:pt idx="11">
                    <c:v>3.9691193445337571</c:v>
                  </c:pt>
                </c:numCache>
              </c:numRef>
            </c:plus>
            <c:minus>
              <c:numRef>
                <c:f>GraphsNZ!$AK$69:$AK$80</c:f>
                <c:numCache>
                  <c:formatCode>General</c:formatCode>
                  <c:ptCount val="12"/>
                  <c:pt idx="0">
                    <c:v>4.1564711301290043</c:v>
                  </c:pt>
                  <c:pt idx="1">
                    <c:v>1.5768615046967964</c:v>
                  </c:pt>
                  <c:pt idx="2">
                    <c:v>1.1288877947862836</c:v>
                  </c:pt>
                  <c:pt idx="3">
                    <c:v>1.0648104984842925</c:v>
                  </c:pt>
                  <c:pt idx="4">
                    <c:v>1.51661581248693</c:v>
                  </c:pt>
                  <c:pt idx="5">
                    <c:v>2.7751488041937131</c:v>
                  </c:pt>
                  <c:pt idx="6">
                    <c:v>3.5978233170125931</c:v>
                  </c:pt>
                  <c:pt idx="7">
                    <c:v>1.4435105132894561</c:v>
                  </c:pt>
                  <c:pt idx="8">
                    <c:v>0.78996116175820807</c:v>
                  </c:pt>
                  <c:pt idx="9">
                    <c:v>0.75248217795440997</c:v>
                  </c:pt>
                  <c:pt idx="10">
                    <c:v>0.89222531265746241</c:v>
                  </c:pt>
                  <c:pt idx="11">
                    <c:v>2.6913666940573311</c:v>
                  </c:pt>
                </c:numCache>
              </c:numRef>
            </c:minus>
            <c:spPr>
              <a:noFill/>
              <a:ln w="12700" cap="flat" cmpd="sng" algn="ctr">
                <a:solidFill>
                  <a:schemeClr val="tx1">
                    <a:lumMod val="75000"/>
                    <a:lumOff val="25000"/>
                  </a:schemeClr>
                </a:solidFill>
                <a:round/>
              </a:ln>
              <a:effectLst/>
            </c:spPr>
          </c:errBars>
          <c:cat>
            <c:multiLvlStrRef>
              <c:f>GraphsNZ!$AB$57:$AC$68</c:f>
              <c:multiLvlStrCache>
                <c:ptCount val="12"/>
                <c:lvl>
                  <c:pt idx="0">
                    <c:v>&lt;20</c:v>
                  </c:pt>
                  <c:pt idx="1">
                    <c:v>20−24</c:v>
                  </c:pt>
                  <c:pt idx="2">
                    <c:v>25−29</c:v>
                  </c:pt>
                  <c:pt idx="3">
                    <c:v>30−34</c:v>
                  </c:pt>
                  <c:pt idx="4">
                    <c:v>35−39</c:v>
                  </c:pt>
                  <c:pt idx="5">
                    <c:v>≥40</c:v>
                  </c:pt>
                  <c:pt idx="6">
                    <c:v>&lt;20</c:v>
                  </c:pt>
                  <c:pt idx="7">
                    <c:v>20−24</c:v>
                  </c:pt>
                  <c:pt idx="8">
                    <c:v>25−29</c:v>
                  </c:pt>
                  <c:pt idx="9">
                    <c:v>30−34</c:v>
                  </c:pt>
                  <c:pt idx="10">
                    <c:v>35−39</c:v>
                  </c:pt>
                  <c:pt idx="11">
                    <c:v>≥40</c:v>
                  </c:pt>
                </c:lvl>
                <c:lvl>
                  <c:pt idx="0">
                    <c:v>Fetal death rate (per 1000 total births)</c:v>
                  </c:pt>
                  <c:pt idx="6">
                    <c:v>Infant death rate (per 1000 live births)</c:v>
                  </c:pt>
                </c:lvl>
              </c:multiLvlStrCache>
            </c:multiLvlStrRef>
          </c:cat>
          <c:val>
            <c:numRef>
              <c:f>GraphsNZ!$O$63:$O$74</c:f>
              <c:numCache>
                <c:formatCode>0.0</c:formatCode>
                <c:ptCount val="12"/>
                <c:pt idx="0">
                  <c:v>13.872832369942197</c:v>
                </c:pt>
                <c:pt idx="1">
                  <c:v>7.2948935744978511</c:v>
                </c:pt>
                <c:pt idx="2">
                  <c:v>6.1430190254666908</c:v>
                </c:pt>
                <c:pt idx="3">
                  <c:v>6.1056543668701879</c:v>
                </c:pt>
                <c:pt idx="4">
                  <c:v>6.8796068796068797</c:v>
                </c:pt>
                <c:pt idx="5">
                  <c:v>6.4777327935222671</c:v>
                </c:pt>
                <c:pt idx="6">
                  <c:v>10.550996483001173</c:v>
                </c:pt>
                <c:pt idx="7">
                  <c:v>6.1405274813770889</c:v>
                </c:pt>
                <c:pt idx="8">
                  <c:v>3.1204992798847817</c:v>
                </c:pt>
                <c:pt idx="9">
                  <c:v>3.1517094017094016</c:v>
                </c:pt>
                <c:pt idx="10">
                  <c:v>2.5729836714497774</c:v>
                </c:pt>
                <c:pt idx="11">
                  <c:v>6.1124694376528126</c:v>
                </c:pt>
              </c:numCache>
            </c:numRef>
          </c:val>
          <c:extLst>
            <c:ext xmlns:c16="http://schemas.microsoft.com/office/drawing/2014/chart" uri="{C3380CC4-5D6E-409C-BE32-E72D297353CC}">
              <c16:uniqueId val="{00000001-81BC-46B0-B302-D419683B53EE}"/>
            </c:ext>
          </c:extLst>
        </c:ser>
        <c:dLbls>
          <c:showLegendKey val="0"/>
          <c:showVal val="0"/>
          <c:showCatName val="0"/>
          <c:showSerName val="0"/>
          <c:showPercent val="0"/>
          <c:showBubbleSize val="0"/>
        </c:dLbls>
        <c:gapWidth val="100"/>
        <c:overlap val="-15"/>
        <c:axId val="462922112"/>
        <c:axId val="462918584"/>
      </c:barChart>
      <c:catAx>
        <c:axId val="462922112"/>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NZ" b="1"/>
                  <a:t>Maternal</a:t>
                </a:r>
                <a:r>
                  <a:rPr lang="en-NZ" b="1" baseline="0"/>
                  <a:t> age group (years)</a:t>
                </a:r>
                <a:endParaRPr lang="en-NZ" b="1"/>
              </a:p>
            </c:rich>
          </c:tx>
          <c:layout>
            <c:manualLayout>
              <c:xMode val="edge"/>
              <c:yMode val="edge"/>
              <c:x val="0.40248222222222224"/>
              <c:y val="0.881763833229286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462918584"/>
        <c:crosses val="autoZero"/>
        <c:auto val="1"/>
        <c:lblAlgn val="ctr"/>
        <c:lblOffset val="100"/>
        <c:noMultiLvlLbl val="0"/>
      </c:catAx>
      <c:valAx>
        <c:axId val="462918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462922112"/>
        <c:crosses val="autoZero"/>
        <c:crossBetween val="between"/>
      </c:valAx>
      <c:spPr>
        <a:noFill/>
        <a:ln>
          <a:noFill/>
        </a:ln>
        <a:effectLst/>
      </c:spPr>
    </c:plotArea>
    <c:legend>
      <c:legendPos val="tr"/>
      <c:layout>
        <c:manualLayout>
          <c:xMode val="edge"/>
          <c:yMode val="edge"/>
          <c:x val="0.74783428571428567"/>
          <c:y val="8.4666666666666668E-2"/>
          <c:w val="0.21587999999999999"/>
          <c:h val="9.1366111111111106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014285714285718E-2"/>
          <c:y val="9.8777777777777784E-2"/>
          <c:w val="0.91381111111111113"/>
          <c:h val="0.60556306782848535"/>
        </c:manualLayout>
      </c:layout>
      <c:barChart>
        <c:barDir val="col"/>
        <c:grouping val="clustered"/>
        <c:varyColors val="0"/>
        <c:ser>
          <c:idx val="0"/>
          <c:order val="0"/>
          <c:tx>
            <c:strRef>
              <c:f>GraphsNZ!$N$85</c:f>
              <c:strCache>
                <c:ptCount val="1"/>
                <c:pt idx="0">
                  <c:v>2011–2015</c:v>
                </c:pt>
              </c:strCache>
            </c:strRef>
          </c:tx>
          <c:spPr>
            <a:solidFill>
              <a:schemeClr val="bg1">
                <a:lumMod val="65000"/>
              </a:schemeClr>
            </a:solidFill>
            <a:ln>
              <a:noFill/>
            </a:ln>
            <a:effectLst/>
          </c:spPr>
          <c:invertIfNegative val="0"/>
          <c:errBars>
            <c:errBarType val="both"/>
            <c:errValType val="cust"/>
            <c:noEndCap val="0"/>
            <c:plus>
              <c:numRef>
                <c:f>GraphsNZ!$AJ$84:$AJ$93</c:f>
                <c:numCache>
                  <c:formatCode>General</c:formatCode>
                  <c:ptCount val="10"/>
                  <c:pt idx="0">
                    <c:v>0.85425760530436623</c:v>
                  </c:pt>
                  <c:pt idx="1">
                    <c:v>0.77620329966641144</c:v>
                  </c:pt>
                  <c:pt idx="2">
                    <c:v>0.73795157149678747</c:v>
                  </c:pt>
                  <c:pt idx="3">
                    <c:v>0.70146293126639847</c:v>
                  </c:pt>
                  <c:pt idx="4">
                    <c:v>0.55990294455883305</c:v>
                  </c:pt>
                  <c:pt idx="5">
                    <c:v>0.57434355585909769</c:v>
                  </c:pt>
                  <c:pt idx="6">
                    <c:v>0.58309563787400132</c:v>
                  </c:pt>
                  <c:pt idx="7">
                    <c:v>0.60849873224629292</c:v>
                  </c:pt>
                  <c:pt idx="8">
                    <c:v>0.56238994500218364</c:v>
                  </c:pt>
                  <c:pt idx="9">
                    <c:v>0.57219184383736899</c:v>
                  </c:pt>
                </c:numCache>
              </c:numRef>
            </c:plus>
            <c:minus>
              <c:numRef>
                <c:f>GraphsNZ!$AK$84:$AK$93</c:f>
                <c:numCache>
                  <c:formatCode>General</c:formatCode>
                  <c:ptCount val="10"/>
                  <c:pt idx="0">
                    <c:v>0.70239444083917846</c:v>
                  </c:pt>
                  <c:pt idx="1">
                    <c:v>0.68750590523665434</c:v>
                  </c:pt>
                  <c:pt idx="2">
                    <c:v>0.61998578686089356</c:v>
                  </c:pt>
                  <c:pt idx="3">
                    <c:v>0.57673451923947994</c:v>
                  </c:pt>
                  <c:pt idx="4">
                    <c:v>0.62056031089290542</c:v>
                  </c:pt>
                  <c:pt idx="5">
                    <c:v>0.46033473742031061</c:v>
                  </c:pt>
                  <c:pt idx="6">
                    <c:v>0.46534938821235317</c:v>
                  </c:pt>
                  <c:pt idx="7">
                    <c:v>0.5402400949030981</c:v>
                  </c:pt>
                  <c:pt idx="8">
                    <c:v>0.49371032199642517</c:v>
                  </c:pt>
                  <c:pt idx="9">
                    <c:v>0.62094220090277652</c:v>
                  </c:pt>
                </c:numCache>
              </c:numRef>
            </c:minus>
            <c:spPr>
              <a:noFill/>
              <a:ln w="12700" cap="flat" cmpd="sng" algn="ctr">
                <a:solidFill>
                  <a:schemeClr val="tx1">
                    <a:lumMod val="75000"/>
                    <a:lumOff val="25000"/>
                  </a:schemeClr>
                </a:solidFill>
                <a:round/>
              </a:ln>
              <a:effectLst/>
            </c:spPr>
          </c:errBars>
          <c:cat>
            <c:multiLvlStrRef>
              <c:f>GraphsNZ!$AB$84:$AC$93</c:f>
              <c:multiLvlStrCache>
                <c:ptCount val="10"/>
                <c:lvl>
                  <c:pt idx="0">
                    <c:v>1 (least deprived)</c:v>
                  </c:pt>
                  <c:pt idx="1">
                    <c:v>2</c:v>
                  </c:pt>
                  <c:pt idx="2">
                    <c:v>3</c:v>
                  </c:pt>
                  <c:pt idx="3">
                    <c:v>4</c:v>
                  </c:pt>
                  <c:pt idx="4">
                    <c:v>5 (most deprived)</c:v>
                  </c:pt>
                  <c:pt idx="5">
                    <c:v>1 (least deprived)</c:v>
                  </c:pt>
                  <c:pt idx="6">
                    <c:v>2</c:v>
                  </c:pt>
                  <c:pt idx="7">
                    <c:v>3</c:v>
                  </c:pt>
                  <c:pt idx="8">
                    <c:v>4</c:v>
                  </c:pt>
                  <c:pt idx="9">
                    <c:v>5 (most deprived)</c:v>
                  </c:pt>
                </c:lvl>
                <c:lvl>
                  <c:pt idx="0">
                    <c:v>Fetal death rate (per 1000 total births)</c:v>
                  </c:pt>
                  <c:pt idx="5">
                    <c:v>Infant death rate (per 1000 live births)</c:v>
                  </c:pt>
                </c:lvl>
              </c:multiLvlStrCache>
            </c:multiLvlStrRef>
          </c:cat>
          <c:val>
            <c:numRef>
              <c:f>GraphsNZ!$N$87:$N$96</c:f>
              <c:numCache>
                <c:formatCode>0.0</c:formatCode>
                <c:ptCount val="10"/>
                <c:pt idx="0">
                  <c:v>6.5</c:v>
                </c:pt>
                <c:pt idx="1">
                  <c:v>6.4</c:v>
                </c:pt>
                <c:pt idx="2">
                  <c:v>6.2</c:v>
                </c:pt>
                <c:pt idx="3">
                  <c:v>6.8</c:v>
                </c:pt>
                <c:pt idx="4">
                  <c:v>7.7</c:v>
                </c:pt>
                <c:pt idx="5">
                  <c:v>2.8</c:v>
                </c:pt>
                <c:pt idx="6">
                  <c:v>3.2</c:v>
                </c:pt>
                <c:pt idx="7">
                  <c:v>4.4000000000000004</c:v>
                </c:pt>
                <c:pt idx="8">
                  <c:v>4.5999999999999996</c:v>
                </c:pt>
                <c:pt idx="9">
                  <c:v>7.8</c:v>
                </c:pt>
              </c:numCache>
            </c:numRef>
          </c:val>
          <c:extLst>
            <c:ext xmlns:c16="http://schemas.microsoft.com/office/drawing/2014/chart" uri="{C3380CC4-5D6E-409C-BE32-E72D297353CC}">
              <c16:uniqueId val="{00000000-EDFD-4157-A57B-541B5FDA52E5}"/>
            </c:ext>
          </c:extLst>
        </c:ser>
        <c:ser>
          <c:idx val="1"/>
          <c:order val="1"/>
          <c:tx>
            <c:strRef>
              <c:f>GraphsNZ!$O$85</c:f>
              <c:strCache>
                <c:ptCount val="1"/>
                <c:pt idx="0">
                  <c:v>2016</c:v>
                </c:pt>
              </c:strCache>
            </c:strRef>
          </c:tx>
          <c:spPr>
            <a:solidFill>
              <a:srgbClr val="2B8CBE"/>
            </a:solidFill>
            <a:ln>
              <a:noFill/>
            </a:ln>
            <a:effectLst/>
          </c:spPr>
          <c:invertIfNegative val="0"/>
          <c:errBars>
            <c:errBarType val="both"/>
            <c:errValType val="cust"/>
            <c:noEndCap val="0"/>
            <c:plus>
              <c:numRef>
                <c:f>GraphsNZ!$AJ$94:$AJ$103</c:f>
                <c:numCache>
                  <c:formatCode>General</c:formatCode>
                  <c:ptCount val="10"/>
                  <c:pt idx="0">
                    <c:v>1.570511833970297</c:v>
                  </c:pt>
                  <c:pt idx="1">
                    <c:v>1.7226338675650359</c:v>
                  </c:pt>
                  <c:pt idx="2">
                    <c:v>1.6092402532864885</c:v>
                  </c:pt>
                  <c:pt idx="3">
                    <c:v>1.5673912555711693</c:v>
                  </c:pt>
                  <c:pt idx="4">
                    <c:v>1.4184253801809916</c:v>
                  </c:pt>
                  <c:pt idx="5">
                    <c:v>1.2840654332992392</c:v>
                  </c:pt>
                  <c:pt idx="6">
                    <c:v>1.1276200329697921</c:v>
                  </c:pt>
                  <c:pt idx="7">
                    <c:v>1.2176239248400749</c:v>
                  </c:pt>
                  <c:pt idx="8">
                    <c:v>1.1931369843022539</c:v>
                  </c:pt>
                  <c:pt idx="9">
                    <c:v>1.3571448111396638</c:v>
                  </c:pt>
                </c:numCache>
              </c:numRef>
            </c:plus>
            <c:minus>
              <c:numRef>
                <c:f>GraphsNZ!$AK$94:$AK$103</c:f>
                <c:numCache>
                  <c:formatCode>General</c:formatCode>
                  <c:ptCount val="10"/>
                  <c:pt idx="0">
                    <c:v>1.3310151334884504</c:v>
                  </c:pt>
                  <c:pt idx="1">
                    <c:v>1.4616964222798217</c:v>
                  </c:pt>
                  <c:pt idx="2">
                    <c:v>1.4165358499300247</c:v>
                  </c:pt>
                  <c:pt idx="3">
                    <c:v>1.3260851576199997</c:v>
                  </c:pt>
                  <c:pt idx="4">
                    <c:v>1.2301572471215154</c:v>
                  </c:pt>
                  <c:pt idx="5">
                    <c:v>0.92746869102822882</c:v>
                  </c:pt>
                  <c:pt idx="6">
                    <c:v>0.88095891981759711</c:v>
                  </c:pt>
                  <c:pt idx="7">
                    <c:v>0.90492422648030568</c:v>
                  </c:pt>
                  <c:pt idx="8">
                    <c:v>1.0424120630217635</c:v>
                  </c:pt>
                  <c:pt idx="9">
                    <c:v>1.1069950137962934</c:v>
                  </c:pt>
                </c:numCache>
              </c:numRef>
            </c:minus>
            <c:spPr>
              <a:noFill/>
              <a:ln w="12700" cap="flat" cmpd="sng" algn="ctr">
                <a:solidFill>
                  <a:schemeClr val="tx1">
                    <a:lumMod val="75000"/>
                    <a:lumOff val="25000"/>
                  </a:schemeClr>
                </a:solidFill>
                <a:round/>
              </a:ln>
              <a:effectLst/>
            </c:spPr>
          </c:errBars>
          <c:cat>
            <c:multiLvlStrRef>
              <c:f>GraphsNZ!$AB$84:$AC$93</c:f>
              <c:multiLvlStrCache>
                <c:ptCount val="10"/>
                <c:lvl>
                  <c:pt idx="0">
                    <c:v>1 (least deprived)</c:v>
                  </c:pt>
                  <c:pt idx="1">
                    <c:v>2</c:v>
                  </c:pt>
                  <c:pt idx="2">
                    <c:v>3</c:v>
                  </c:pt>
                  <c:pt idx="3">
                    <c:v>4</c:v>
                  </c:pt>
                  <c:pt idx="4">
                    <c:v>5 (most deprived)</c:v>
                  </c:pt>
                  <c:pt idx="5">
                    <c:v>1 (least deprived)</c:v>
                  </c:pt>
                  <c:pt idx="6">
                    <c:v>2</c:v>
                  </c:pt>
                  <c:pt idx="7">
                    <c:v>3</c:v>
                  </c:pt>
                  <c:pt idx="8">
                    <c:v>4</c:v>
                  </c:pt>
                  <c:pt idx="9">
                    <c:v>5 (most deprived)</c:v>
                  </c:pt>
                </c:lvl>
                <c:lvl>
                  <c:pt idx="0">
                    <c:v>Fetal death rate (per 1000 total births)</c:v>
                  </c:pt>
                  <c:pt idx="5">
                    <c:v>Infant death rate (per 1000 live births)</c:v>
                  </c:pt>
                </c:lvl>
              </c:multiLvlStrCache>
            </c:multiLvlStrRef>
          </c:cat>
          <c:val>
            <c:numRef>
              <c:f>GraphsNZ!$O$87:$O$96</c:f>
              <c:numCache>
                <c:formatCode>0.0</c:formatCode>
                <c:ptCount val="10"/>
                <c:pt idx="0">
                  <c:v>4.7</c:v>
                </c:pt>
                <c:pt idx="1">
                  <c:v>6.3</c:v>
                </c:pt>
                <c:pt idx="2">
                  <c:v>6.2</c:v>
                </c:pt>
                <c:pt idx="3">
                  <c:v>6.8</c:v>
                </c:pt>
                <c:pt idx="4">
                  <c:v>7.4</c:v>
                </c:pt>
                <c:pt idx="5">
                  <c:v>2.6</c:v>
                </c:pt>
                <c:pt idx="6">
                  <c:v>2.4</c:v>
                </c:pt>
                <c:pt idx="7">
                  <c:v>2.9</c:v>
                </c:pt>
                <c:pt idx="8">
                  <c:v>4</c:v>
                </c:pt>
                <c:pt idx="9">
                  <c:v>6.3</c:v>
                </c:pt>
              </c:numCache>
            </c:numRef>
          </c:val>
          <c:extLst>
            <c:ext xmlns:c16="http://schemas.microsoft.com/office/drawing/2014/chart" uri="{C3380CC4-5D6E-409C-BE32-E72D297353CC}">
              <c16:uniqueId val="{00000001-EDFD-4157-A57B-541B5FDA52E5}"/>
            </c:ext>
          </c:extLst>
        </c:ser>
        <c:dLbls>
          <c:showLegendKey val="0"/>
          <c:showVal val="0"/>
          <c:showCatName val="0"/>
          <c:showSerName val="0"/>
          <c:showPercent val="0"/>
          <c:showBubbleSize val="0"/>
        </c:dLbls>
        <c:gapWidth val="100"/>
        <c:overlap val="-15"/>
        <c:axId val="462924072"/>
        <c:axId val="462919368"/>
      </c:barChart>
      <c:catAx>
        <c:axId val="462924072"/>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NZ" b="1"/>
                  <a:t>Deprivation</a:t>
                </a:r>
                <a:r>
                  <a:rPr lang="en-NZ" b="1" baseline="0"/>
                  <a:t> quintile of residence</a:t>
                </a:r>
                <a:endParaRPr lang="en-NZ" b="1"/>
              </a:p>
            </c:rich>
          </c:tx>
          <c:layout>
            <c:manualLayout>
              <c:xMode val="edge"/>
              <c:yMode val="edge"/>
              <c:x val="0.38433936507936506"/>
              <c:y val="0.86483144643415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462919368"/>
        <c:crosses val="autoZero"/>
        <c:auto val="1"/>
        <c:lblAlgn val="ctr"/>
        <c:lblOffset val="100"/>
        <c:noMultiLvlLbl val="0"/>
      </c:catAx>
      <c:valAx>
        <c:axId val="462919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462924072"/>
        <c:crosses val="autoZero"/>
        <c:crossBetween val="between"/>
      </c:valAx>
      <c:spPr>
        <a:noFill/>
        <a:ln>
          <a:noFill/>
        </a:ln>
        <a:effectLst/>
      </c:spPr>
    </c:plotArea>
    <c:legend>
      <c:legendPos val="tr"/>
      <c:layout>
        <c:manualLayout>
          <c:xMode val="edge"/>
          <c:yMode val="edge"/>
          <c:x val="0.74783428571428567"/>
          <c:y val="3.2583379105594078E-2"/>
          <c:w val="0.21587999999999999"/>
          <c:h val="9.1366111111111106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014285714285718E-2"/>
          <c:y val="9.8777777777777784E-2"/>
          <c:w val="0.88839571739749545"/>
          <c:h val="0.66694416666666667"/>
        </c:manualLayout>
      </c:layout>
      <c:lineChart>
        <c:grouping val="standard"/>
        <c:varyColors val="0"/>
        <c:ser>
          <c:idx val="0"/>
          <c:order val="0"/>
          <c:tx>
            <c:strRef>
              <c:f>GraphsNZ!$N$109</c:f>
              <c:strCache>
                <c:ptCount val="1"/>
                <c:pt idx="0">
                  <c:v>SUDI</c:v>
                </c:pt>
              </c:strCache>
            </c:strRef>
          </c:tx>
          <c:spPr>
            <a:ln w="28575" cap="rnd">
              <a:solidFill>
                <a:schemeClr val="bg1">
                  <a:lumMod val="50000"/>
                </a:schemeClr>
              </a:solidFill>
              <a:round/>
            </a:ln>
            <a:effectLst/>
          </c:spPr>
          <c:marker>
            <c:symbol val="none"/>
          </c:marker>
          <c:dLbls>
            <c:dLbl>
              <c:idx val="12"/>
              <c:layout>
                <c:manualLayout>
                  <c:x val="0.20723362658846531"/>
                  <c:y val="-6.458997503360861E-2"/>
                </c:manualLayout>
              </c:layout>
              <c:tx>
                <c:strRef>
                  <c:f>GraphsNZ!$N$109</c:f>
                  <c:strCache>
                    <c:ptCount val="1"/>
                    <c:pt idx="0">
                      <c:v>SUDI</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{E52731DD-6F21-40A3-957E-199A43410253}</c15:txfldGUID>
                      <c15:f>GraphsNZ!$N$109</c15:f>
                      <c15:dlblFieldTableCache>
                        <c:ptCount val="1"/>
                        <c:pt idx="0">
                          <c:v>SUDI</c:v>
                        </c:pt>
                      </c15:dlblFieldTableCache>
                    </c15:dlblFTEntry>
                  </c15:dlblFieldTable>
                  <c15:showDataLabelsRange val="0"/>
                </c:ext>
                <c:ext xmlns:c16="http://schemas.microsoft.com/office/drawing/2014/chart" uri="{C3380CC4-5D6E-409C-BE32-E72D297353CC}">
                  <c16:uniqueId val="{00000000-1573-4CBD-B8E2-2F72749C85C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errBars>
            <c:errDir val="y"/>
            <c:errBarType val="both"/>
            <c:errValType val="cust"/>
            <c:noEndCap val="0"/>
            <c:plus>
              <c:numRef>
                <c:f>GraphsNZ!$AP$111:$AP$127</c:f>
                <c:numCache>
                  <c:formatCode>General</c:formatCode>
                  <c:ptCount val="17"/>
                  <c:pt idx="0">
                    <c:v>0.34711761125852081</c:v>
                  </c:pt>
                  <c:pt idx="1">
                    <c:v>0.33005191923556887</c:v>
                  </c:pt>
                  <c:pt idx="2">
                    <c:v>0.31144546903961423</c:v>
                  </c:pt>
                  <c:pt idx="3">
                    <c:v>0.30679178299696108</c:v>
                  </c:pt>
                  <c:pt idx="4">
                    <c:v>0.29768918270092226</c:v>
                  </c:pt>
                  <c:pt idx="5">
                    <c:v>0.27798635941226757</c:v>
                  </c:pt>
                  <c:pt idx="6">
                    <c:v>0.29810834592870572</c:v>
                  </c:pt>
                  <c:pt idx="7">
                    <c:v>0.27220975121519941</c:v>
                  </c:pt>
                  <c:pt idx="8">
                    <c:v>0.27502460383736871</c:v>
                  </c:pt>
                  <c:pt idx="9">
                    <c:v>0.28392482329946778</c:v>
                  </c:pt>
                  <c:pt idx="10">
                    <c:v>0.26633940874887274</c:v>
                  </c:pt>
                  <c:pt idx="11">
                    <c:v>0.26471332701307149</c:v>
                  </c:pt>
                  <c:pt idx="12">
                    <c:v>0.2256730255812176</c:v>
                  </c:pt>
                  <c:pt idx="13">
                    <c:v>0.24490594070007066</c:v>
                  </c:pt>
                  <c:pt idx="14">
                    <c:v>0.26101982494567721</c:v>
                  </c:pt>
                  <c:pt idx="15">
                    <c:v>0.24255410772846575</c:v>
                  </c:pt>
                  <c:pt idx="16">
                    <c:v>0.24442052383497681</c:v>
                  </c:pt>
                </c:numCache>
              </c:numRef>
            </c:plus>
            <c:minus>
              <c:numRef>
                <c:f>GraphsNZ!$AQ$111:$AQ$127</c:f>
                <c:numCache>
                  <c:formatCode>General</c:formatCode>
                  <c:ptCount val="17"/>
                  <c:pt idx="0">
                    <c:v>0.29446900607249238</c:v>
                  </c:pt>
                  <c:pt idx="1">
                    <c:v>0.27654401937786266</c:v>
                  </c:pt>
                  <c:pt idx="2">
                    <c:v>0.25604270970834164</c:v>
                  </c:pt>
                  <c:pt idx="3">
                    <c:v>0.25346142249394554</c:v>
                  </c:pt>
                  <c:pt idx="4">
                    <c:v>0.24632521352498027</c:v>
                  </c:pt>
                  <c:pt idx="5">
                    <c:v>0.22646079431339128</c:v>
                  </c:pt>
                  <c:pt idx="6">
                    <c:v>0.24812696654210298</c:v>
                  </c:pt>
                  <c:pt idx="7">
                    <c:v>0.22592100019601269</c:v>
                  </c:pt>
                  <c:pt idx="8">
                    <c:v>0.22891348600797023</c:v>
                  </c:pt>
                  <c:pt idx="9">
                    <c:v>0.23632147872890452</c:v>
                  </c:pt>
                  <c:pt idx="10">
                    <c:v>0.21968931590894358</c:v>
                  </c:pt>
                  <c:pt idx="11">
                    <c:v>0.21606359615683801</c:v>
                  </c:pt>
                  <c:pt idx="12">
                    <c:v>0.17649045591833601</c:v>
                  </c:pt>
                  <c:pt idx="13">
                    <c:v>0.19392794310890465</c:v>
                  </c:pt>
                  <c:pt idx="14">
                    <c:v>0.20891638005945856</c:v>
                  </c:pt>
                  <c:pt idx="15">
                    <c:v>0.19364367924174475</c:v>
                  </c:pt>
                  <c:pt idx="16">
                    <c:v>0.19409117525187469</c:v>
                  </c:pt>
                </c:numCache>
              </c:numRef>
            </c:minus>
            <c:spPr>
              <a:noFill/>
              <a:ln w="12700" cap="flat" cmpd="sng" algn="ctr">
                <a:solidFill>
                  <a:schemeClr val="tx1">
                    <a:lumMod val="75000"/>
                    <a:lumOff val="25000"/>
                  </a:schemeClr>
                </a:solidFill>
                <a:round/>
              </a:ln>
              <a:effectLst/>
            </c:spPr>
          </c:errBars>
          <c:cat>
            <c:numRef>
              <c:f>GraphsNZ!$M$111:$M$127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formatCode="0">
                  <c:v>2014</c:v>
                </c:pt>
                <c:pt idx="15" formatCode="0">
                  <c:v>2015</c:v>
                </c:pt>
                <c:pt idx="16" formatCode="0">
                  <c:v>2016</c:v>
                </c:pt>
              </c:numCache>
            </c:numRef>
          </c:cat>
          <c:val>
            <c:numRef>
              <c:f>GraphsNZ!$N$111:$N$127</c:f>
              <c:numCache>
                <c:formatCode>0.0</c:formatCode>
                <c:ptCount val="17"/>
                <c:pt idx="0">
                  <c:v>1.4387479383794786</c:v>
                </c:pt>
                <c:pt idx="1">
                  <c:v>1.2628059191804211</c:v>
                </c:pt>
                <c:pt idx="2">
                  <c:v>1.0639273594423553</c:v>
                </c:pt>
                <c:pt idx="3">
                  <c:v>1.0781957013574661</c:v>
                </c:pt>
                <c:pt idx="4">
                  <c:v>1.0558043696677621</c:v>
                </c:pt>
                <c:pt idx="5">
                  <c:v>0.9024809712738604</c:v>
                </c:pt>
                <c:pt idx="6">
                  <c:v>1.0949995022729535</c:v>
                </c:pt>
                <c:pt idx="7">
                  <c:v>0.98278589088005408</c:v>
                </c:pt>
                <c:pt idx="8">
                  <c:v>1.010209235761407</c:v>
                </c:pt>
                <c:pt idx="9">
                  <c:v>1.0429011614126571</c:v>
                </c:pt>
                <c:pt idx="10">
                  <c:v>0.92737136586346003</c:v>
                </c:pt>
                <c:pt idx="11">
                  <c:v>0.86853025380384086</c:v>
                </c:pt>
                <c:pt idx="12">
                  <c:v>0.59643749496252119</c:v>
                </c:pt>
                <c:pt idx="13">
                  <c:v>0.68675566573424229</c:v>
                </c:pt>
                <c:pt idx="14">
                  <c:v>0.77206828515055337</c:v>
                </c:pt>
                <c:pt idx="15">
                  <c:v>0.70828369981649009</c:v>
                </c:pt>
                <c:pt idx="16">
                  <c:v>0.69495002978357268</c:v>
                </c:pt>
              </c:numCache>
            </c:numRef>
          </c:val>
          <c:smooth val="0"/>
          <c:extLst>
            <c:ext xmlns:c16="http://schemas.microsoft.com/office/drawing/2014/chart" uri="{C3380CC4-5D6E-409C-BE32-E72D297353CC}">
              <c16:uniqueId val="{00000001-1573-4CBD-B8E2-2F72749C85C5}"/>
            </c:ext>
          </c:extLst>
        </c:ser>
        <c:ser>
          <c:idx val="1"/>
          <c:order val="1"/>
          <c:tx>
            <c:strRef>
              <c:f>GraphsNZ!$O$109</c:f>
              <c:strCache>
                <c:ptCount val="1"/>
                <c:pt idx="0">
                  <c:v>SIDS</c:v>
                </c:pt>
              </c:strCache>
            </c:strRef>
          </c:tx>
          <c:spPr>
            <a:ln w="25400" cap="rnd">
              <a:noFill/>
              <a:prstDash val="sysDash"/>
              <a:round/>
            </a:ln>
            <a:effectLst/>
          </c:spPr>
          <c:marker>
            <c:symbol val="circle"/>
            <c:size val="5"/>
            <c:spPr>
              <a:solidFill>
                <a:schemeClr val="accent1"/>
              </a:solidFill>
              <a:ln w="9525">
                <a:noFill/>
              </a:ln>
              <a:effectLst/>
            </c:spPr>
          </c:marker>
          <c:dLbls>
            <c:dLbl>
              <c:idx val="12"/>
              <c:layout>
                <c:manualLayout>
                  <c:x val="0.21114369501466276"/>
                  <c:y val="-1.5143716791498625E-3"/>
                </c:manualLayout>
              </c:layout>
              <c:tx>
                <c:strRef>
                  <c:f>GraphsNZ!$O$109</c:f>
                  <c:strCache>
                    <c:ptCount val="1"/>
                    <c:pt idx="0">
                      <c:v>SIDS</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{BACE6AC4-CA86-4E4D-A276-099C306E39B5}</c15:txfldGUID>
                      <c15:f>GraphsNZ!$O$109</c15:f>
                      <c15:dlblFieldTableCache>
                        <c:ptCount val="1"/>
                        <c:pt idx="0">
                          <c:v>SIDS</c:v>
                        </c:pt>
                      </c15:dlblFieldTableCache>
                    </c15:dlblFTEntry>
                  </c15:dlblFieldTable>
                  <c15:showDataLabelsRange val="0"/>
                </c:ext>
                <c:ext xmlns:c16="http://schemas.microsoft.com/office/drawing/2014/chart" uri="{C3380CC4-5D6E-409C-BE32-E72D297353CC}">
                  <c16:uniqueId val="{00000002-1573-4CBD-B8E2-2F72749C85C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GraphsNZ!$M$111:$M$127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formatCode="0">
                  <c:v>2014</c:v>
                </c:pt>
                <c:pt idx="15" formatCode="0">
                  <c:v>2015</c:v>
                </c:pt>
                <c:pt idx="16" formatCode="0">
                  <c:v>2016</c:v>
                </c:pt>
              </c:numCache>
            </c:numRef>
          </c:cat>
          <c:val>
            <c:numRef>
              <c:f>GraphsNZ!$O$111:$O$127</c:f>
              <c:numCache>
                <c:formatCode>0.0</c:formatCode>
                <c:ptCount val="17"/>
                <c:pt idx="0">
                  <c:v>1.105379513633014</c:v>
                </c:pt>
                <c:pt idx="1">
                  <c:v>0.87151394422310757</c:v>
                </c:pt>
                <c:pt idx="2">
                  <c:v>0.8071173071631661</c:v>
                </c:pt>
                <c:pt idx="3">
                  <c:v>0.86609162895927594</c:v>
                </c:pt>
                <c:pt idx="4">
                  <c:v>0.76630962314595641</c:v>
                </c:pt>
                <c:pt idx="5">
                  <c:v>0.68111771416895128</c:v>
                </c:pt>
                <c:pt idx="6">
                  <c:v>0.81295417592992003</c:v>
                </c:pt>
                <c:pt idx="7">
                  <c:v>0.82922559543004559</c:v>
                </c:pt>
                <c:pt idx="8">
                  <c:v>0.78061622763381455</c:v>
                </c:pt>
                <c:pt idx="9">
                  <c:v>0.71106897369044797</c:v>
                </c:pt>
                <c:pt idx="10">
                  <c:v>0.41731711463855703</c:v>
                </c:pt>
                <c:pt idx="11">
                  <c:v>0.41818123331296042</c:v>
                </c:pt>
                <c:pt idx="12">
                  <c:v>0.29015878133311845</c:v>
                </c:pt>
                <c:pt idx="13">
                  <c:v>0.35175290196144116</c:v>
                </c:pt>
                <c:pt idx="14">
                  <c:v>0.24019902204683879</c:v>
                </c:pt>
                <c:pt idx="15">
                  <c:v>0.40243392035027847</c:v>
                </c:pt>
                <c:pt idx="16">
                  <c:v>0.38056787345290888</c:v>
                </c:pt>
              </c:numCache>
            </c:numRef>
          </c:val>
          <c:smooth val="0"/>
          <c:extLst>
            <c:ext xmlns:c16="http://schemas.microsoft.com/office/drawing/2014/chart" uri="{C3380CC4-5D6E-409C-BE32-E72D297353CC}">
              <c16:uniqueId val="{00000003-1573-4CBD-B8E2-2F72749C85C5}"/>
            </c:ext>
          </c:extLst>
        </c:ser>
        <c:dLbls>
          <c:showLegendKey val="0"/>
          <c:showVal val="0"/>
          <c:showCatName val="0"/>
          <c:showSerName val="0"/>
          <c:showPercent val="0"/>
          <c:showBubbleSize val="0"/>
        </c:dLbls>
        <c:smooth val="0"/>
        <c:axId val="462921328"/>
        <c:axId val="464122032"/>
      </c:lineChart>
      <c:catAx>
        <c:axId val="462921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464122032"/>
        <c:crosses val="autoZero"/>
        <c:auto val="1"/>
        <c:lblAlgn val="ctr"/>
        <c:lblOffset val="100"/>
        <c:noMultiLvlLbl val="0"/>
      </c:catAx>
      <c:valAx>
        <c:axId val="464122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4629213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014285714285718E-2"/>
          <c:y val="9.8777777777777784E-2"/>
          <c:w val="0.88839571739749545"/>
          <c:h val="0.64224972222222221"/>
        </c:manualLayout>
      </c:layout>
      <c:barChart>
        <c:barDir val="col"/>
        <c:grouping val="clustered"/>
        <c:varyColors val="0"/>
        <c:ser>
          <c:idx val="0"/>
          <c:order val="0"/>
          <c:tx>
            <c:strRef>
              <c:f>GraphsNZ!$N$136</c:f>
              <c:strCache>
                <c:ptCount val="1"/>
                <c:pt idx="0">
                  <c:v>SUDI</c:v>
                </c:pt>
              </c:strCache>
            </c:strRef>
          </c:tx>
          <c:spPr>
            <a:solidFill>
              <a:schemeClr val="bg1">
                <a:lumMod val="65000"/>
              </a:schemeClr>
            </a:solidFill>
            <a:ln>
              <a:noFill/>
            </a:ln>
            <a:effectLst/>
          </c:spPr>
          <c:invertIfNegative val="0"/>
          <c:dLbls>
            <c:dLbl>
              <c:idx val="12"/>
              <c:tx>
                <c:strRef>
                  <c:f>GraphsNZ!$N$109</c:f>
                  <c:strCache>
                    <c:ptCount val="1"/>
                    <c:pt idx="0">
                      <c:v>SUDI</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{B4987156-8EB7-4A5D-AC23-B45BB5160E50}</c15:txfldGUID>
                      <c15:f>GraphsNZ!$N$109</c15:f>
                      <c15:dlblFieldTableCache>
                        <c:ptCount val="1"/>
                        <c:pt idx="0">
                          <c:v>SUDI</c:v>
                        </c:pt>
                      </c15:dlblFieldTableCache>
                    </c15:dlblFTEntry>
                  </c15:dlblFieldTable>
                  <c15:showDataLabelsRange val="0"/>
                </c:ext>
                <c:ext xmlns:c16="http://schemas.microsoft.com/office/drawing/2014/chart" uri="{C3380CC4-5D6E-409C-BE32-E72D297353CC}">
                  <c16:uniqueId val="{00000000-FE6C-4DAD-B53B-E2C9A84D925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GraphsNZ!$AP$134:$AP$137</c:f>
                <c:numCache>
                  <c:formatCode>General</c:formatCode>
                  <c:ptCount val="4"/>
                  <c:pt idx="0">
                    <c:v>0.26683605747522043</c:v>
                  </c:pt>
                  <c:pt idx="1">
                    <c:v>0.44813361298080467</c:v>
                  </c:pt>
                  <c:pt idx="2">
                    <c:v>0.14790123866080077</c:v>
                  </c:pt>
                  <c:pt idx="3">
                    <c:v>0.11482187771345809</c:v>
                  </c:pt>
                </c:numCache>
              </c:numRef>
            </c:plus>
            <c:minus>
              <c:numRef>
                <c:f>GraphsNZ!$AQ$134:$AQ$137</c:f>
                <c:numCache>
                  <c:formatCode>General</c:formatCode>
                  <c:ptCount val="4"/>
                  <c:pt idx="0">
                    <c:v>0.23241302515500273</c:v>
                  </c:pt>
                  <c:pt idx="1">
                    <c:v>0.35273894905026382</c:v>
                  </c:pt>
                  <c:pt idx="2">
                    <c:v>7.9573144214643496E-2</c:v>
                  </c:pt>
                  <c:pt idx="3">
                    <c:v>9.2560484337958882E-2</c:v>
                  </c:pt>
                </c:numCache>
              </c:numRef>
            </c:minus>
            <c:spPr>
              <a:noFill/>
              <a:ln w="12700" cap="flat" cmpd="sng" algn="ctr">
                <a:solidFill>
                  <a:schemeClr val="tx1">
                    <a:lumMod val="75000"/>
                    <a:lumOff val="25000"/>
                  </a:schemeClr>
                </a:solidFill>
                <a:round/>
              </a:ln>
              <a:effectLst/>
            </c:spPr>
          </c:errBars>
          <c:cat>
            <c:strRef>
              <c:f>GraphsNZ!$M$138:$M$141</c:f>
              <c:strCache>
                <c:ptCount val="4"/>
                <c:pt idx="0">
                  <c:v>Māori</c:v>
                </c:pt>
                <c:pt idx="1">
                  <c:v>Pacific peoples</c:v>
                </c:pt>
                <c:pt idx="2">
                  <c:v>Asian</c:v>
                </c:pt>
                <c:pt idx="3">
                  <c:v>European or Other</c:v>
                </c:pt>
              </c:strCache>
            </c:strRef>
          </c:cat>
          <c:val>
            <c:numRef>
              <c:f>GraphsNZ!$N$138:$N$141</c:f>
              <c:numCache>
                <c:formatCode>0.0</c:formatCode>
                <c:ptCount val="4"/>
                <c:pt idx="0">
                  <c:v>1.3381630251713081</c:v>
                </c:pt>
                <c:pt idx="1">
                  <c:v>1.2209629954292156</c:v>
                </c:pt>
                <c:pt idx="2">
                  <c:v>0.12570446879386563</c:v>
                </c:pt>
                <c:pt idx="3">
                  <c:v>0.35237116429305537</c:v>
                </c:pt>
              </c:numCache>
            </c:numRef>
          </c:val>
          <c:extLst>
            <c:ext xmlns:c16="http://schemas.microsoft.com/office/drawing/2014/chart" uri="{C3380CC4-5D6E-409C-BE32-E72D297353CC}">
              <c16:uniqueId val="{00000001-FE6C-4DAD-B53B-E2C9A84D9252}"/>
            </c:ext>
          </c:extLst>
        </c:ser>
        <c:dLbls>
          <c:showLegendKey val="0"/>
          <c:showVal val="0"/>
          <c:showCatName val="0"/>
          <c:showSerName val="0"/>
          <c:showPercent val="0"/>
          <c:showBubbleSize val="0"/>
        </c:dLbls>
        <c:gapWidth val="150"/>
        <c:axId val="464122424"/>
        <c:axId val="464123600"/>
      </c:barChart>
      <c:lineChart>
        <c:grouping val="standard"/>
        <c:varyColors val="0"/>
        <c:ser>
          <c:idx val="1"/>
          <c:order val="1"/>
          <c:tx>
            <c:strRef>
              <c:f>GraphsNZ!$O$136</c:f>
              <c:strCache>
                <c:ptCount val="1"/>
                <c:pt idx="0">
                  <c:v>SIDS</c:v>
                </c:pt>
              </c:strCache>
            </c:strRef>
          </c:tx>
          <c:spPr>
            <a:ln w="34925" cap="rnd">
              <a:noFill/>
              <a:prstDash val="sysDash"/>
              <a:round/>
            </a:ln>
            <a:effectLst/>
          </c:spPr>
          <c:marker>
            <c:symbol val="dash"/>
            <c:size val="13"/>
            <c:spPr>
              <a:solidFill>
                <a:srgbClr val="2B8CBE"/>
              </a:solidFill>
              <a:ln w="9525">
                <a:noFill/>
              </a:ln>
              <a:effectLst/>
            </c:spPr>
          </c:marker>
          <c:dLbls>
            <c:dLbl>
              <c:idx val="12"/>
              <c:tx>
                <c:strRef>
                  <c:f>GraphsNZ!$O$109</c:f>
                  <c:strCache>
                    <c:ptCount val="1"/>
                    <c:pt idx="0">
                      <c:v>SIDS</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{71EE04C7-65A2-490B-BAB1-8BA727084DB6}</c15:txfldGUID>
                      <c15:f>GraphsNZ!$O$109</c15:f>
                      <c15:dlblFieldTableCache>
                        <c:ptCount val="1"/>
                        <c:pt idx="0">
                          <c:v>SIDS</c:v>
                        </c:pt>
                      </c15:dlblFieldTableCache>
                    </c15:dlblFTEntry>
                  </c15:dlblFieldTable>
                  <c15:showDataLabelsRange val="0"/>
                </c:ext>
                <c:ext xmlns:c16="http://schemas.microsoft.com/office/drawing/2014/chart" uri="{C3380CC4-5D6E-409C-BE32-E72D297353CC}">
                  <c16:uniqueId val="{00000002-FE6C-4DAD-B53B-E2C9A84D925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GraphsNZ!$M$138:$M$141</c:f>
              <c:strCache>
                <c:ptCount val="4"/>
                <c:pt idx="0">
                  <c:v>Māori</c:v>
                </c:pt>
                <c:pt idx="1">
                  <c:v>Pacific peoples</c:v>
                </c:pt>
                <c:pt idx="2">
                  <c:v>Asian</c:v>
                </c:pt>
                <c:pt idx="3">
                  <c:v>European or Other</c:v>
                </c:pt>
              </c:strCache>
            </c:strRef>
          </c:cat>
          <c:val>
            <c:numRef>
              <c:f>GraphsNZ!$O$138:$O$141</c:f>
              <c:numCache>
                <c:formatCode>0.0</c:formatCode>
                <c:ptCount val="4"/>
                <c:pt idx="0">
                  <c:v>0.62293795999353996</c:v>
                </c:pt>
                <c:pt idx="1">
                  <c:v>0.37568092167052786</c:v>
                </c:pt>
                <c:pt idx="2">
                  <c:v>8.3802979195910413E-2</c:v>
                </c:pt>
                <c:pt idx="3">
                  <c:v>0.22757304360593159</c:v>
                </c:pt>
              </c:numCache>
            </c:numRef>
          </c:val>
          <c:smooth val="0"/>
          <c:extLst>
            <c:ext xmlns:c16="http://schemas.microsoft.com/office/drawing/2014/chart" uri="{C3380CC4-5D6E-409C-BE32-E72D297353CC}">
              <c16:uniqueId val="{00000003-FE6C-4DAD-B53B-E2C9A84D9252}"/>
            </c:ext>
          </c:extLst>
        </c:ser>
        <c:dLbls>
          <c:showLegendKey val="0"/>
          <c:showVal val="0"/>
          <c:showCatName val="0"/>
          <c:showSerName val="0"/>
          <c:showPercent val="0"/>
          <c:showBubbleSize val="0"/>
        </c:dLbls>
        <c:marker val="1"/>
        <c:smooth val="0"/>
        <c:axId val="464122424"/>
        <c:axId val="464123600"/>
      </c:lineChart>
      <c:catAx>
        <c:axId val="464122424"/>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NZ" b="1"/>
                  <a:t>Ethnic group</a:t>
                </a:r>
              </a:p>
            </c:rich>
          </c:tx>
          <c:layout>
            <c:manualLayout>
              <c:xMode val="edge"/>
              <c:yMode val="edge"/>
              <c:x val="0.44808999314968329"/>
              <c:y val="0.815040277777777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464123600"/>
        <c:crosses val="autoZero"/>
        <c:auto val="1"/>
        <c:lblAlgn val="ctr"/>
        <c:lblOffset val="100"/>
        <c:noMultiLvlLbl val="0"/>
      </c:catAx>
      <c:valAx>
        <c:axId val="4641236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4641224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014285714285718E-2"/>
          <c:y val="9.8777777777777784E-2"/>
          <c:w val="0.88839571739749545"/>
          <c:h val="0.64224972222222221"/>
        </c:manualLayout>
      </c:layout>
      <c:barChart>
        <c:barDir val="col"/>
        <c:grouping val="clustered"/>
        <c:varyColors val="0"/>
        <c:ser>
          <c:idx val="0"/>
          <c:order val="0"/>
          <c:tx>
            <c:strRef>
              <c:f>GraphsNZ!$N$159</c:f>
              <c:strCache>
                <c:ptCount val="1"/>
                <c:pt idx="0">
                  <c:v>SUDI</c:v>
                </c:pt>
              </c:strCache>
            </c:strRef>
          </c:tx>
          <c:spPr>
            <a:solidFill>
              <a:schemeClr val="bg1">
                <a:lumMod val="65000"/>
              </a:schemeClr>
            </a:solidFill>
            <a:ln>
              <a:noFill/>
            </a:ln>
            <a:effectLst/>
          </c:spPr>
          <c:invertIfNegative val="0"/>
          <c:dLbls>
            <c:dLbl>
              <c:idx val="12"/>
              <c:tx>
                <c:strRef>
                  <c:f>GraphsNZ!$N$109</c:f>
                  <c:strCache>
                    <c:ptCount val="1"/>
                    <c:pt idx="0">
                      <c:v>SUDI</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{86EE0491-EB32-4E77-B1E3-B6A3DFB842A0}</c15:txfldGUID>
                      <c15:f>GraphsNZ!$N$109</c15:f>
                      <c15:dlblFieldTableCache>
                        <c:ptCount val="1"/>
                        <c:pt idx="0">
                          <c:v>SUDI</c:v>
                        </c:pt>
                      </c15:dlblFieldTableCache>
                    </c15:dlblFTEntry>
                  </c15:dlblFieldTable>
                  <c15:showDataLabelsRange val="0"/>
                </c:ext>
                <c:ext xmlns:c16="http://schemas.microsoft.com/office/drawing/2014/chart" uri="{C3380CC4-5D6E-409C-BE32-E72D297353CC}">
                  <c16:uniqueId val="{00000000-642C-444E-93E0-DB07F07DA8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GraphsNZ!$AP$157:$AP$162</c:f>
                <c:numCache>
                  <c:formatCode>General</c:formatCode>
                  <c:ptCount val="6"/>
                  <c:pt idx="0">
                    <c:v>0.87351981879922924</c:v>
                  </c:pt>
                  <c:pt idx="1">
                    <c:v>0.35553881947066523</c:v>
                  </c:pt>
                  <c:pt idx="2">
                    <c:v>0.1860601026321953</c:v>
                  </c:pt>
                  <c:pt idx="3">
                    <c:v>0.14528539107247224</c:v>
                  </c:pt>
                  <c:pt idx="4">
                    <c:v>0.19667055944761536</c:v>
                  </c:pt>
                  <c:pt idx="5">
                    <c:v>0.48712937449494242</c:v>
                  </c:pt>
                </c:numCache>
              </c:numRef>
            </c:plus>
            <c:minus>
              <c:numRef>
                <c:f>GraphsNZ!$AQ$157:$AQ$162</c:f>
                <c:numCache>
                  <c:formatCode>General</c:formatCode>
                  <c:ptCount val="6"/>
                  <c:pt idx="0">
                    <c:v>0.68080809080885984</c:v>
                  </c:pt>
                  <c:pt idx="1">
                    <c:v>0.29933882414025725</c:v>
                  </c:pt>
                  <c:pt idx="2">
                    <c:v>0.14815117015241747</c:v>
                  </c:pt>
                  <c:pt idx="3">
                    <c:v>0.11103666231837295</c:v>
                  </c:pt>
                  <c:pt idx="4">
                    <c:v>0.13503974677617164</c:v>
                  </c:pt>
                  <c:pt idx="5">
                    <c:v>0.22712359528398307</c:v>
                  </c:pt>
                </c:numCache>
              </c:numRef>
            </c:minus>
            <c:spPr>
              <a:noFill/>
              <a:ln w="12700" cap="flat" cmpd="sng" algn="ctr">
                <a:solidFill>
                  <a:schemeClr val="tx1">
                    <a:lumMod val="75000"/>
                    <a:lumOff val="25000"/>
                  </a:schemeClr>
                </a:solidFill>
                <a:round/>
              </a:ln>
              <a:effectLst/>
            </c:spPr>
          </c:errBars>
          <c:cat>
            <c:strRef>
              <c:f>GraphsNZ!$M$161:$M$166</c:f>
              <c:strCache>
                <c:ptCount val="6"/>
                <c:pt idx="0">
                  <c:v> &lt;20</c:v>
                </c:pt>
                <c:pt idx="1">
                  <c:v>20−24</c:v>
                </c:pt>
                <c:pt idx="2">
                  <c:v>25−29</c:v>
                </c:pt>
                <c:pt idx="3">
                  <c:v>30−34</c:v>
                </c:pt>
                <c:pt idx="4">
                  <c:v>35−39</c:v>
                </c:pt>
                <c:pt idx="5">
                  <c:v>≥40</c:v>
                </c:pt>
              </c:strCache>
            </c:strRef>
          </c:cat>
          <c:val>
            <c:numRef>
              <c:f>GraphsNZ!$N$161:$N$166</c:f>
              <c:numCache>
                <c:formatCode>0.0</c:formatCode>
                <c:ptCount val="6"/>
                <c:pt idx="0">
                  <c:v>2.272296913463359</c:v>
                </c:pt>
                <c:pt idx="1">
                  <c:v>1.4024720908053929</c:v>
                </c:pt>
                <c:pt idx="2">
                  <c:v>0.53620640205504222</c:v>
                </c:pt>
                <c:pt idx="3">
                  <c:v>0.34639580749332349</c:v>
                </c:pt>
                <c:pt idx="4">
                  <c:v>0.31520882584712373</c:v>
                </c:pt>
                <c:pt idx="5">
                  <c:v>0.31218293920237261</c:v>
                </c:pt>
              </c:numCache>
            </c:numRef>
          </c:val>
          <c:extLst>
            <c:ext xmlns:c16="http://schemas.microsoft.com/office/drawing/2014/chart" uri="{C3380CC4-5D6E-409C-BE32-E72D297353CC}">
              <c16:uniqueId val="{00000001-642C-444E-93E0-DB07F07DA889}"/>
            </c:ext>
          </c:extLst>
        </c:ser>
        <c:dLbls>
          <c:showLegendKey val="0"/>
          <c:showVal val="0"/>
          <c:showCatName val="0"/>
          <c:showSerName val="0"/>
          <c:showPercent val="0"/>
          <c:showBubbleSize val="0"/>
        </c:dLbls>
        <c:gapWidth val="150"/>
        <c:axId val="464121248"/>
        <c:axId val="464122816"/>
      </c:barChart>
      <c:lineChart>
        <c:grouping val="standard"/>
        <c:varyColors val="0"/>
        <c:ser>
          <c:idx val="1"/>
          <c:order val="1"/>
          <c:tx>
            <c:strRef>
              <c:f>GraphsNZ!$O$159</c:f>
              <c:strCache>
                <c:ptCount val="1"/>
                <c:pt idx="0">
                  <c:v>SIDS</c:v>
                </c:pt>
              </c:strCache>
            </c:strRef>
          </c:tx>
          <c:spPr>
            <a:ln w="34925" cap="rnd">
              <a:noFill/>
              <a:prstDash val="sysDash"/>
              <a:round/>
            </a:ln>
            <a:effectLst/>
          </c:spPr>
          <c:marker>
            <c:symbol val="dash"/>
            <c:size val="13"/>
            <c:spPr>
              <a:solidFill>
                <a:srgbClr val="2B8CBE"/>
              </a:solidFill>
              <a:ln w="9525">
                <a:noFill/>
              </a:ln>
              <a:effectLst/>
            </c:spPr>
          </c:marker>
          <c:dLbls>
            <c:dLbl>
              <c:idx val="12"/>
              <c:tx>
                <c:strRef>
                  <c:f>GraphsNZ!$O$109</c:f>
                  <c:strCache>
                    <c:ptCount val="1"/>
                    <c:pt idx="0">
                      <c:v>SIDS</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{03EF7CC0-5485-4B49-947C-E0C7005B0648}</c15:txfldGUID>
                      <c15:f>GraphsNZ!$O$109</c15:f>
                      <c15:dlblFieldTableCache>
                        <c:ptCount val="1"/>
                        <c:pt idx="0">
                          <c:v>SIDS</c:v>
                        </c:pt>
                      </c15:dlblFieldTableCache>
                    </c15:dlblFTEntry>
                  </c15:dlblFieldTable>
                  <c15:showDataLabelsRange val="0"/>
                </c:ext>
                <c:ext xmlns:c16="http://schemas.microsoft.com/office/drawing/2014/chart" uri="{C3380CC4-5D6E-409C-BE32-E72D297353CC}">
                  <c16:uniqueId val="{00000002-642C-444E-93E0-DB07F07DA8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GraphsNZ!$M$161:$M$166</c:f>
              <c:strCache>
                <c:ptCount val="6"/>
                <c:pt idx="0">
                  <c:v> &lt;20</c:v>
                </c:pt>
                <c:pt idx="1">
                  <c:v>20−24</c:v>
                </c:pt>
                <c:pt idx="2">
                  <c:v>25−29</c:v>
                </c:pt>
                <c:pt idx="3">
                  <c:v>30−34</c:v>
                </c:pt>
                <c:pt idx="4">
                  <c:v>35−39</c:v>
                </c:pt>
                <c:pt idx="5">
                  <c:v>≥40</c:v>
                </c:pt>
              </c:strCache>
            </c:strRef>
          </c:cat>
          <c:val>
            <c:numRef>
              <c:f>GraphsNZ!$O$161:$O$166</c:f>
              <c:numCache>
                <c:formatCode>0.0</c:formatCode>
                <c:ptCount val="6"/>
                <c:pt idx="0">
                  <c:v>1.0730290980243642</c:v>
                </c:pt>
                <c:pt idx="1">
                  <c:v>0.67318660358658855</c:v>
                </c:pt>
                <c:pt idx="2">
                  <c:v>0.26186824286409038</c:v>
                </c:pt>
                <c:pt idx="3">
                  <c:v>0.18995899120601611</c:v>
                </c:pt>
                <c:pt idx="4">
                  <c:v>0.11820330969267138</c:v>
                </c:pt>
                <c:pt idx="5">
                  <c:v>7.8045734800593153E-2</c:v>
                </c:pt>
              </c:numCache>
            </c:numRef>
          </c:val>
          <c:smooth val="0"/>
          <c:extLst>
            <c:ext xmlns:c16="http://schemas.microsoft.com/office/drawing/2014/chart" uri="{C3380CC4-5D6E-409C-BE32-E72D297353CC}">
              <c16:uniqueId val="{00000003-642C-444E-93E0-DB07F07DA889}"/>
            </c:ext>
          </c:extLst>
        </c:ser>
        <c:dLbls>
          <c:showLegendKey val="0"/>
          <c:showVal val="0"/>
          <c:showCatName val="0"/>
          <c:showSerName val="0"/>
          <c:showPercent val="0"/>
          <c:showBubbleSize val="0"/>
        </c:dLbls>
        <c:marker val="1"/>
        <c:smooth val="0"/>
        <c:axId val="464121248"/>
        <c:axId val="464122816"/>
      </c:lineChart>
      <c:catAx>
        <c:axId val="464121248"/>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NZ" b="1"/>
                  <a:t>Maternal</a:t>
                </a:r>
                <a:r>
                  <a:rPr lang="en-NZ" b="1" baseline="0"/>
                  <a:t> age group (years)</a:t>
                </a:r>
                <a:endParaRPr lang="en-NZ" b="1"/>
              </a:p>
            </c:rich>
          </c:tx>
          <c:layout>
            <c:manualLayout>
              <c:xMode val="edge"/>
              <c:yMode val="edge"/>
              <c:x val="0.38357386411742511"/>
              <c:y val="0.815040277777777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464122816"/>
        <c:crosses val="autoZero"/>
        <c:auto val="1"/>
        <c:lblAlgn val="ctr"/>
        <c:lblOffset val="100"/>
        <c:noMultiLvlLbl val="0"/>
      </c:catAx>
      <c:valAx>
        <c:axId val="4641228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464121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014285714285718E-2"/>
          <c:y val="9.8777777777777784E-2"/>
          <c:w val="0.88839571739749545"/>
          <c:h val="0.64224972222222221"/>
        </c:manualLayout>
      </c:layout>
      <c:barChart>
        <c:barDir val="col"/>
        <c:grouping val="clustered"/>
        <c:varyColors val="0"/>
        <c:ser>
          <c:idx val="0"/>
          <c:order val="0"/>
          <c:tx>
            <c:strRef>
              <c:f>GraphsNZ!$N$182</c:f>
              <c:strCache>
                <c:ptCount val="1"/>
                <c:pt idx="0">
                  <c:v>SUDI</c:v>
                </c:pt>
              </c:strCache>
            </c:strRef>
          </c:tx>
          <c:spPr>
            <a:solidFill>
              <a:schemeClr val="bg1">
                <a:lumMod val="65000"/>
              </a:schemeClr>
            </a:solidFill>
            <a:ln>
              <a:noFill/>
            </a:ln>
            <a:effectLst/>
          </c:spPr>
          <c:invertIfNegative val="0"/>
          <c:dLbls>
            <c:dLbl>
              <c:idx val="12"/>
              <c:tx>
                <c:strRef>
                  <c:f>GraphsNZ!$N$109</c:f>
                  <c:strCache>
                    <c:ptCount val="1"/>
                    <c:pt idx="0">
                      <c:v>SUDI</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{A5E5B4D3-E3EA-4778-B3F3-852B752F27E0}</c15:txfldGUID>
                      <c15:f>GraphsNZ!$N$109</c15:f>
                      <c15:dlblFieldTableCache>
                        <c:ptCount val="1"/>
                        <c:pt idx="0">
                          <c:v>SUDI</c:v>
                        </c:pt>
                      </c15:dlblFieldTableCache>
                    </c15:dlblFTEntry>
                  </c15:dlblFieldTable>
                  <c15:showDataLabelsRange val="0"/>
                </c:ext>
                <c:ext xmlns:c16="http://schemas.microsoft.com/office/drawing/2014/chart" uri="{C3380CC4-5D6E-409C-BE32-E72D297353CC}">
                  <c16:uniqueId val="{00000000-618B-4C10-910C-D79AA929E1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GraphsNZ!$AP$180:$AP$184</c:f>
                <c:numCache>
                  <c:formatCode>General</c:formatCode>
                  <c:ptCount val="5"/>
                  <c:pt idx="0">
                    <c:v>0.17916016755194467</c:v>
                  </c:pt>
                  <c:pt idx="1">
                    <c:v>0.21340420215325812</c:v>
                  </c:pt>
                  <c:pt idx="2">
                    <c:v>0.20836660225140097</c:v>
                  </c:pt>
                  <c:pt idx="3">
                    <c:v>0.23722850930005457</c:v>
                  </c:pt>
                  <c:pt idx="4">
                    <c:v>0.27114730830893929</c:v>
                  </c:pt>
                </c:numCache>
              </c:numRef>
            </c:plus>
            <c:minus>
              <c:numRef>
                <c:f>GraphsNZ!$AQ$180:$AQ$184</c:f>
                <c:numCache>
                  <c:formatCode>General</c:formatCode>
                  <c:ptCount val="5"/>
                  <c:pt idx="0">
                    <c:v>0.10491721454043292</c:v>
                  </c:pt>
                  <c:pt idx="1">
                    <c:v>0.14820970533774766</c:v>
                  </c:pt>
                  <c:pt idx="2">
                    <c:v>0.15017679992348779</c:v>
                  </c:pt>
                  <c:pt idx="3">
                    <c:v>0.19079506310162919</c:v>
                  </c:pt>
                  <c:pt idx="4">
                    <c:v>0.23588139607312009</c:v>
                  </c:pt>
                </c:numCache>
              </c:numRef>
            </c:minus>
            <c:spPr>
              <a:noFill/>
              <a:ln w="12700" cap="flat" cmpd="sng" algn="ctr">
                <a:solidFill>
                  <a:schemeClr val="tx1">
                    <a:lumMod val="75000"/>
                    <a:lumOff val="25000"/>
                  </a:schemeClr>
                </a:solidFill>
                <a:round/>
              </a:ln>
              <a:effectLst/>
            </c:spPr>
          </c:errBars>
          <c:cat>
            <c:strRef>
              <c:f>GraphsNZ!$M$184:$M$188</c:f>
              <c:strCache>
                <c:ptCount val="5"/>
                <c:pt idx="0">
                  <c:v>1 (least deprived)</c:v>
                </c:pt>
                <c:pt idx="1">
                  <c:v>2</c:v>
                </c:pt>
                <c:pt idx="2">
                  <c:v>3</c:v>
                </c:pt>
                <c:pt idx="3">
                  <c:v>4</c:v>
                </c:pt>
                <c:pt idx="4">
                  <c:v>5 (most deprived)</c:v>
                </c:pt>
              </c:strCache>
            </c:strRef>
          </c:cat>
          <c:val>
            <c:numRef>
              <c:f>GraphsNZ!$N$184:$N$188</c:f>
              <c:numCache>
                <c:formatCode>0.0</c:formatCode>
                <c:ptCount val="5"/>
                <c:pt idx="0">
                  <c:v>0.18462532597909118</c:v>
                </c:pt>
                <c:pt idx="1">
                  <c:v>0.35502464288697683</c:v>
                </c:pt>
                <c:pt idx="2">
                  <c:v>0.39418113561708118</c:v>
                </c:pt>
                <c:pt idx="3">
                  <c:v>0.71933637393247418</c:v>
                </c:pt>
                <c:pt idx="4">
                  <c:v>1.3469445625974763</c:v>
                </c:pt>
              </c:numCache>
            </c:numRef>
          </c:val>
          <c:extLst>
            <c:ext xmlns:c16="http://schemas.microsoft.com/office/drawing/2014/chart" uri="{C3380CC4-5D6E-409C-BE32-E72D297353CC}">
              <c16:uniqueId val="{00000001-618B-4C10-910C-D79AA929E168}"/>
            </c:ext>
          </c:extLst>
        </c:ser>
        <c:dLbls>
          <c:showLegendKey val="0"/>
          <c:showVal val="0"/>
          <c:showCatName val="0"/>
          <c:showSerName val="0"/>
          <c:showPercent val="0"/>
          <c:showBubbleSize val="0"/>
        </c:dLbls>
        <c:gapWidth val="150"/>
        <c:axId val="464118504"/>
        <c:axId val="464118112"/>
      </c:barChart>
      <c:lineChart>
        <c:grouping val="standard"/>
        <c:varyColors val="0"/>
        <c:ser>
          <c:idx val="1"/>
          <c:order val="1"/>
          <c:tx>
            <c:strRef>
              <c:f>GraphsNZ!$O$182</c:f>
              <c:strCache>
                <c:ptCount val="1"/>
                <c:pt idx="0">
                  <c:v>SIDS</c:v>
                </c:pt>
              </c:strCache>
            </c:strRef>
          </c:tx>
          <c:spPr>
            <a:ln w="34925" cap="rnd">
              <a:noFill/>
              <a:prstDash val="sysDash"/>
              <a:round/>
            </a:ln>
            <a:effectLst/>
          </c:spPr>
          <c:marker>
            <c:symbol val="dash"/>
            <c:size val="13"/>
            <c:spPr>
              <a:solidFill>
                <a:srgbClr val="2B8CBE"/>
              </a:solidFill>
              <a:ln w="9525">
                <a:noFill/>
              </a:ln>
              <a:effectLst/>
            </c:spPr>
          </c:marker>
          <c:dLbls>
            <c:dLbl>
              <c:idx val="12"/>
              <c:tx>
                <c:strRef>
                  <c:f>GraphsNZ!$O$109</c:f>
                  <c:strCache>
                    <c:ptCount val="1"/>
                    <c:pt idx="0">
                      <c:v>SIDS</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{7981B7B6-6A23-4581-9A6A-3FDD29725EEB}</c15:txfldGUID>
                      <c15:f>GraphsNZ!$O$109</c15:f>
                      <c15:dlblFieldTableCache>
                        <c:ptCount val="1"/>
                        <c:pt idx="0">
                          <c:v>SIDS</c:v>
                        </c:pt>
                      </c15:dlblFieldTableCache>
                    </c15:dlblFTEntry>
                  </c15:dlblFieldTable>
                  <c15:showDataLabelsRange val="0"/>
                </c:ext>
                <c:ext xmlns:c16="http://schemas.microsoft.com/office/drawing/2014/chart" uri="{C3380CC4-5D6E-409C-BE32-E72D297353CC}">
                  <c16:uniqueId val="{00000002-618B-4C10-910C-D79AA929E1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GraphsNZ!$M$184:$M$188</c:f>
              <c:strCache>
                <c:ptCount val="5"/>
                <c:pt idx="0">
                  <c:v>1 (least deprived)</c:v>
                </c:pt>
                <c:pt idx="1">
                  <c:v>2</c:v>
                </c:pt>
                <c:pt idx="2">
                  <c:v>3</c:v>
                </c:pt>
                <c:pt idx="3">
                  <c:v>4</c:v>
                </c:pt>
                <c:pt idx="4">
                  <c:v>5 (most deprived)</c:v>
                </c:pt>
              </c:strCache>
            </c:strRef>
          </c:cat>
          <c:val>
            <c:numRef>
              <c:f>GraphsNZ!$O$184:$O$188</c:f>
              <c:numCache>
                <c:formatCode>0.0</c:formatCode>
                <c:ptCount val="5"/>
                <c:pt idx="0">
                  <c:v>0.1384689944843184</c:v>
                </c:pt>
                <c:pt idx="1">
                  <c:v>0.22972182775039679</c:v>
                </c:pt>
                <c:pt idx="2">
                  <c:v>0.15016424213984045</c:v>
                </c:pt>
                <c:pt idx="3">
                  <c:v>0.36732070158254004</c:v>
                </c:pt>
                <c:pt idx="4">
                  <c:v>0.61439576539534002</c:v>
                </c:pt>
              </c:numCache>
            </c:numRef>
          </c:val>
          <c:smooth val="0"/>
          <c:extLst>
            <c:ext xmlns:c16="http://schemas.microsoft.com/office/drawing/2014/chart" uri="{C3380CC4-5D6E-409C-BE32-E72D297353CC}">
              <c16:uniqueId val="{00000003-618B-4C10-910C-D79AA929E168}"/>
            </c:ext>
          </c:extLst>
        </c:ser>
        <c:dLbls>
          <c:showLegendKey val="0"/>
          <c:showVal val="0"/>
          <c:showCatName val="0"/>
          <c:showSerName val="0"/>
          <c:showPercent val="0"/>
          <c:showBubbleSize val="0"/>
        </c:dLbls>
        <c:marker val="1"/>
        <c:smooth val="0"/>
        <c:axId val="464118504"/>
        <c:axId val="464118112"/>
      </c:lineChart>
      <c:catAx>
        <c:axId val="464118504"/>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NZ" b="1"/>
                  <a:t>Deprivation quintile of residence</a:t>
                </a:r>
              </a:p>
            </c:rich>
          </c:tx>
          <c:layout>
            <c:manualLayout>
              <c:xMode val="edge"/>
              <c:yMode val="edge"/>
              <c:x val="0.36011345356024044"/>
              <c:y val="0.815040277777777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464118112"/>
        <c:crosses val="autoZero"/>
        <c:auto val="1"/>
        <c:lblAlgn val="ctr"/>
        <c:lblOffset val="100"/>
        <c:noMultiLvlLbl val="0"/>
      </c:catAx>
      <c:valAx>
        <c:axId val="464118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4641185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41096701147649"/>
          <c:y val="2.0774169757705907E-2"/>
          <c:w val="0.81367158149348984"/>
          <c:h val="0.7703964249977735"/>
        </c:manualLayout>
      </c:layout>
      <c:barChart>
        <c:barDir val="bar"/>
        <c:grouping val="clustered"/>
        <c:varyColors val="0"/>
        <c:ser>
          <c:idx val="0"/>
          <c:order val="0"/>
          <c:tx>
            <c:v>DHB</c:v>
          </c:tx>
          <c:spPr>
            <a:solidFill>
              <a:srgbClr val="B2B2B2"/>
            </a:solidFill>
            <a:ln>
              <a:noFill/>
            </a:ln>
          </c:spPr>
          <c:invertIfNegative val="0"/>
          <c:errBars>
            <c:errBarType val="both"/>
            <c:errValType val="cust"/>
            <c:noEndCap val="0"/>
            <c:plus>
              <c:numRef>
                <c:f>GraphsDHB!$AP$8:$AP$27</c:f>
                <c:numCache>
                  <c:formatCode>General</c:formatCode>
                  <c:ptCount val="20"/>
                  <c:pt idx="0">
                    <c:v>6.2683755249787136</c:v>
                  </c:pt>
                  <c:pt idx="1">
                    <c:v>2.4417215014071756</c:v>
                  </c:pt>
                  <c:pt idx="2">
                    <c:v>3.2235074450680665</c:v>
                  </c:pt>
                  <c:pt idx="3">
                    <c:v>2.8380965212377802</c:v>
                  </c:pt>
                  <c:pt idx="4">
                    <c:v>4.0713467393574501</c:v>
                  </c:pt>
                  <c:pt idx="5">
                    <c:v>7.8992971771490055</c:v>
                  </c:pt>
                  <c:pt idx="6">
                    <c:v>4.8607573222041101</c:v>
                  </c:pt>
                  <c:pt idx="7">
                    <c:v>9.4342309847672432</c:v>
                  </c:pt>
                  <c:pt idx="8">
                    <c:v>4.8140585600538461</c:v>
                  </c:pt>
                  <c:pt idx="9">
                    <c:v>8.3089681743681663</c:v>
                  </c:pt>
                  <c:pt idx="10">
                    <c:v>5.5641265792467109</c:v>
                  </c:pt>
                  <c:pt idx="11">
                    <c:v>10.146505060195494</c:v>
                  </c:pt>
                  <c:pt idx="12">
                    <c:v>3.9748113339077884</c:v>
                  </c:pt>
                  <c:pt idx="13">
                    <c:v>5.0390816851881386</c:v>
                  </c:pt>
                  <c:pt idx="14">
                    <c:v>18.826665454779864</c:v>
                  </c:pt>
                  <c:pt idx="15">
                    <c:v>5.5697276642810003</c:v>
                  </c:pt>
                  <c:pt idx="16">
                    <c:v>31.576793218816032</c:v>
                  </c:pt>
                  <c:pt idx="17">
                    <c:v>3.1273431321702203</c:v>
                  </c:pt>
                  <c:pt idx="18">
                    <c:v>12.387387415108332</c:v>
                  </c:pt>
                  <c:pt idx="19">
                    <c:v>4.8629967666154901</c:v>
                  </c:pt>
                </c:numCache>
              </c:numRef>
            </c:plus>
            <c:minus>
              <c:numRef>
                <c:f>GraphsDHB!$AO$8:$AO$27</c:f>
                <c:numCache>
                  <c:formatCode>General</c:formatCode>
                  <c:ptCount val="20"/>
                  <c:pt idx="0">
                    <c:v>4.1225351886816073</c:v>
                  </c:pt>
                  <c:pt idx="1">
                    <c:v>1.8307385894551431</c:v>
                  </c:pt>
                  <c:pt idx="2">
                    <c:v>2.3905119061554325</c:v>
                  </c:pt>
                  <c:pt idx="3">
                    <c:v>2.256590525128269</c:v>
                  </c:pt>
                  <c:pt idx="4">
                    <c:v>3.1875882556278272</c:v>
                  </c:pt>
                  <c:pt idx="5">
                    <c:v>4.6901904531718888</c:v>
                  </c:pt>
                  <c:pt idx="6">
                    <c:v>3.1617249816000355</c:v>
                  </c:pt>
                  <c:pt idx="7">
                    <c:v>2.4597995502618795</c:v>
                  </c:pt>
                  <c:pt idx="8">
                    <c:v>2.3575593925417224</c:v>
                  </c:pt>
                  <c:pt idx="9">
                    <c:v>4.9334317133762822</c:v>
                  </c:pt>
                  <c:pt idx="10">
                    <c:v>3.1547670286569676</c:v>
                  </c:pt>
                  <c:pt idx="11">
                    <c:v>3.928917894324194</c:v>
                  </c:pt>
                  <c:pt idx="12">
                    <c:v>2.554763539731987</c:v>
                  </c:pt>
                  <c:pt idx="13">
                    <c:v>2.4677585884138864</c:v>
                  </c:pt>
                  <c:pt idx="14">
                    <c:v>8.0701065007153865</c:v>
                  </c:pt>
                  <c:pt idx="15">
                    <c:v>2.1567034714793212</c:v>
                  </c:pt>
                  <c:pt idx="16">
                    <c:v>16.205663517845252</c:v>
                  </c:pt>
                  <c:pt idx="17">
                    <c:v>2.3605229698051193</c:v>
                  </c:pt>
                  <c:pt idx="18">
                    <c:v>4.1337525019755681</c:v>
                  </c:pt>
                  <c:pt idx="19">
                    <c:v>3.4150950474818913</c:v>
                  </c:pt>
                </c:numCache>
              </c:numRef>
            </c:minus>
            <c:spPr>
              <a:ln w="12700">
                <a:solidFill>
                  <a:schemeClr val="tx1">
                    <a:lumMod val="75000"/>
                    <a:lumOff val="25000"/>
                  </a:schemeClr>
                </a:solidFill>
              </a:ln>
            </c:spPr>
          </c:errBars>
          <c:cat>
            <c:strRef>
              <c:f>GraphsDHB!$N$8:$N$27</c:f>
              <c:strCache>
                <c:ptCount val="20"/>
                <c:pt idx="0">
                  <c:v>Northland</c:v>
                </c:pt>
                <c:pt idx="1">
                  <c:v>Waitemata</c:v>
                </c:pt>
                <c:pt idx="2">
                  <c:v>Auckland</c:v>
                </c:pt>
                <c:pt idx="3">
                  <c:v>Counties Manukau</c:v>
                </c:pt>
                <c:pt idx="4">
                  <c:v>Waikato</c:v>
                </c:pt>
                <c:pt idx="5">
                  <c:v>Lakes</c:v>
                </c:pt>
                <c:pt idx="6">
                  <c:v>Bay of Plenty</c:v>
                </c:pt>
                <c:pt idx="7">
                  <c:v>Tairāwhiti</c:v>
                </c:pt>
                <c:pt idx="8">
                  <c:v>Hawke's Bay</c:v>
                </c:pt>
                <c:pt idx="9">
                  <c:v>Taranaki</c:v>
                </c:pt>
                <c:pt idx="10">
                  <c:v>MidCentral</c:v>
                </c:pt>
                <c:pt idx="11">
                  <c:v>Whanganui</c:v>
                </c:pt>
                <c:pt idx="12">
                  <c:v>Capital &amp; Coast</c:v>
                </c:pt>
                <c:pt idx="13">
                  <c:v>Hutt Valley</c:v>
                </c:pt>
                <c:pt idx="14">
                  <c:v>Wairarapa</c:v>
                </c:pt>
                <c:pt idx="15">
                  <c:v>Nelson Marlborough</c:v>
                </c:pt>
                <c:pt idx="16">
                  <c:v>West Coast</c:v>
                </c:pt>
                <c:pt idx="17">
                  <c:v>Canterbury</c:v>
                </c:pt>
                <c:pt idx="18">
                  <c:v>South Canterbury</c:v>
                </c:pt>
                <c:pt idx="19">
                  <c:v>Southern</c:v>
                </c:pt>
              </c:strCache>
            </c:strRef>
          </c:cat>
          <c:val>
            <c:numRef>
              <c:f>GraphsDHB!$Q$8:$Q$27</c:f>
              <c:numCache>
                <c:formatCode>0.0</c:formatCode>
                <c:ptCount val="20"/>
                <c:pt idx="0">
                  <c:v>8.5470085470085486</c:v>
                </c:pt>
                <c:pt idx="1">
                  <c:v>5.1896700852588653</c:v>
                </c:pt>
                <c:pt idx="2">
                  <c:v>6.5612382234185729</c:v>
                </c:pt>
                <c:pt idx="3">
                  <c:v>7.8189787939817563</c:v>
                </c:pt>
                <c:pt idx="4">
                  <c:v>10.422282120395327</c:v>
                </c:pt>
                <c:pt idx="5">
                  <c:v>8.2174462705436149</c:v>
                </c:pt>
                <c:pt idx="6">
                  <c:v>6.4210882054748222</c:v>
                </c:pt>
                <c:pt idx="7">
                  <c:v>2.5940337224383918</c:v>
                </c:pt>
                <c:pt idx="8">
                  <c:v>3.3254156769596199</c:v>
                </c:pt>
                <c:pt idx="9">
                  <c:v>8.6436170212765955</c:v>
                </c:pt>
                <c:pt idx="10">
                  <c:v>5.1960321209258389</c:v>
                </c:pt>
                <c:pt idx="11">
                  <c:v>4.7225501770956315</c:v>
                </c:pt>
                <c:pt idx="12">
                  <c:v>5.0775740479548661</c:v>
                </c:pt>
                <c:pt idx="13">
                  <c:v>3.4808552958727002</c:v>
                </c:pt>
                <c:pt idx="14">
                  <c:v>10.2880658436214</c:v>
                </c:pt>
                <c:pt idx="15">
                  <c:v>2.5923525599481532</c:v>
                </c:pt>
                <c:pt idx="16">
                  <c:v>23.880597014925375</c:v>
                </c:pt>
                <c:pt idx="17">
                  <c:v>6.8291168710228147</c:v>
                </c:pt>
                <c:pt idx="18">
                  <c:v>4.658385093167702</c:v>
                </c:pt>
                <c:pt idx="19">
                  <c:v>8.1348053457292266</c:v>
                </c:pt>
              </c:numCache>
            </c:numRef>
          </c:val>
          <c:extLst>
            <c:ext xmlns:c16="http://schemas.microsoft.com/office/drawing/2014/chart" uri="{C3380CC4-5D6E-409C-BE32-E72D297353CC}">
              <c16:uniqueId val="{00000000-1C7D-4253-AD69-9AC42E7B7E52}"/>
            </c:ext>
          </c:extLst>
        </c:ser>
        <c:dLbls>
          <c:showLegendKey val="0"/>
          <c:showVal val="0"/>
          <c:showCatName val="0"/>
          <c:showSerName val="0"/>
          <c:showPercent val="0"/>
          <c:showBubbleSize val="0"/>
        </c:dLbls>
        <c:gapWidth val="100"/>
        <c:axId val="464116936"/>
        <c:axId val="464118896"/>
      </c:barChart>
      <c:scatterChart>
        <c:scatterStyle val="lineMarker"/>
        <c:varyColors val="0"/>
        <c:ser>
          <c:idx val="1"/>
          <c:order val="1"/>
          <c:tx>
            <c:strRef>
              <c:f>GraphsDHB!$AQ$7</c:f>
              <c:strCache>
                <c:ptCount val="1"/>
                <c:pt idx="0">
                  <c:v>NZRate</c:v>
                </c:pt>
              </c:strCache>
            </c:strRef>
          </c:tx>
          <c:spPr>
            <a:ln w="19050">
              <a:solidFill>
                <a:srgbClr val="2B8CBE"/>
              </a:solidFill>
            </a:ln>
          </c:spPr>
          <c:marker>
            <c:symbol val="none"/>
          </c:marker>
          <c:xVal>
            <c:numRef>
              <c:f>GraphsDHB!$AQ$8:$AQ$27</c:f>
              <c:numCache>
                <c:formatCode>0.0</c:formatCode>
                <c:ptCount val="20"/>
                <c:pt idx="0">
                  <c:v>6.7872931354664825</c:v>
                </c:pt>
                <c:pt idx="1">
                  <c:v>6.7872931354664825</c:v>
                </c:pt>
                <c:pt idx="2">
                  <c:v>6.7872931354664825</c:v>
                </c:pt>
                <c:pt idx="3">
                  <c:v>6.7872931354664825</c:v>
                </c:pt>
                <c:pt idx="4">
                  <c:v>6.7872931354664825</c:v>
                </c:pt>
                <c:pt idx="5">
                  <c:v>6.7872931354664825</c:v>
                </c:pt>
                <c:pt idx="6">
                  <c:v>6.7872931354664825</c:v>
                </c:pt>
                <c:pt idx="7">
                  <c:v>6.7872931354664825</c:v>
                </c:pt>
                <c:pt idx="8">
                  <c:v>6.7872931354664825</c:v>
                </c:pt>
                <c:pt idx="9">
                  <c:v>6.7872931354664825</c:v>
                </c:pt>
                <c:pt idx="10">
                  <c:v>6.7872931354664825</c:v>
                </c:pt>
                <c:pt idx="11">
                  <c:v>6.7872931354664825</c:v>
                </c:pt>
                <c:pt idx="12">
                  <c:v>6.7872931354664825</c:v>
                </c:pt>
                <c:pt idx="13">
                  <c:v>6.7872931354664825</c:v>
                </c:pt>
                <c:pt idx="14">
                  <c:v>6.7872931354664825</c:v>
                </c:pt>
                <c:pt idx="15">
                  <c:v>6.7872931354664825</c:v>
                </c:pt>
                <c:pt idx="16">
                  <c:v>6.7872931354664825</c:v>
                </c:pt>
                <c:pt idx="17">
                  <c:v>6.7872931354664825</c:v>
                </c:pt>
                <c:pt idx="18">
                  <c:v>6.7872931354664825</c:v>
                </c:pt>
                <c:pt idx="19">
                  <c:v>6.7872931354664825</c:v>
                </c:pt>
              </c:numCache>
            </c:numRef>
          </c:xVal>
          <c:yVal>
            <c:numRef>
              <c:f>GraphsDHB!$AT$3:$AU$3</c:f>
              <c:numCache>
                <c:formatCode>General</c:formatCode>
                <c:ptCount val="2"/>
                <c:pt idx="0">
                  <c:v>0</c:v>
                </c:pt>
                <c:pt idx="1">
                  <c:v>1</c:v>
                </c:pt>
              </c:numCache>
            </c:numRef>
          </c:yVal>
          <c:smooth val="0"/>
          <c:extLst>
            <c:ext xmlns:c16="http://schemas.microsoft.com/office/drawing/2014/chart" uri="{C3380CC4-5D6E-409C-BE32-E72D297353CC}">
              <c16:uniqueId val="{00000001-1C7D-4253-AD69-9AC42E7B7E52}"/>
            </c:ext>
          </c:extLst>
        </c:ser>
        <c:dLbls>
          <c:showLegendKey val="0"/>
          <c:showVal val="0"/>
          <c:showCatName val="0"/>
          <c:showSerName val="0"/>
          <c:showPercent val="0"/>
          <c:showBubbleSize val="0"/>
        </c:dLbls>
        <c:axId val="464117328"/>
        <c:axId val="464121640"/>
      </c:scatterChart>
      <c:catAx>
        <c:axId val="464116936"/>
        <c:scaling>
          <c:orientation val="maxMin"/>
        </c:scaling>
        <c:delete val="0"/>
        <c:axPos val="l"/>
        <c:numFmt formatCode="General" sourceLinked="0"/>
        <c:majorTickMark val="out"/>
        <c:minorTickMark val="none"/>
        <c:tickLblPos val="nextTo"/>
        <c:crossAx val="464118896"/>
        <c:crosses val="autoZero"/>
        <c:auto val="1"/>
        <c:lblAlgn val="ctr"/>
        <c:lblOffset val="100"/>
        <c:noMultiLvlLbl val="0"/>
      </c:catAx>
      <c:valAx>
        <c:axId val="464118896"/>
        <c:scaling>
          <c:orientation val="minMax"/>
          <c:max val="40"/>
        </c:scaling>
        <c:delete val="0"/>
        <c:axPos val="b"/>
        <c:title>
          <c:tx>
            <c:rich>
              <a:bodyPr/>
              <a:lstStyle/>
              <a:p>
                <a:pPr>
                  <a:defRPr/>
                </a:pPr>
                <a:r>
                  <a:rPr lang="en-US"/>
                  <a:t>Fetal death rate (per 1000 total births)</a:t>
                </a:r>
              </a:p>
            </c:rich>
          </c:tx>
          <c:layout>
            <c:manualLayout>
              <c:xMode val="edge"/>
              <c:yMode val="edge"/>
              <c:x val="0.39623616900828568"/>
              <c:y val="0.84594171237577342"/>
            </c:manualLayout>
          </c:layout>
          <c:overlay val="0"/>
        </c:title>
        <c:numFmt formatCode="0" sourceLinked="0"/>
        <c:majorTickMark val="out"/>
        <c:minorTickMark val="none"/>
        <c:tickLblPos val="nextTo"/>
        <c:crossAx val="464116936"/>
        <c:crosses val="max"/>
        <c:crossBetween val="between"/>
      </c:valAx>
      <c:valAx>
        <c:axId val="464121640"/>
        <c:scaling>
          <c:orientation val="minMax"/>
          <c:max val="1"/>
        </c:scaling>
        <c:delete val="1"/>
        <c:axPos val="r"/>
        <c:numFmt formatCode="General" sourceLinked="1"/>
        <c:majorTickMark val="out"/>
        <c:minorTickMark val="none"/>
        <c:tickLblPos val="nextTo"/>
        <c:crossAx val="464117328"/>
        <c:crosses val="max"/>
        <c:crossBetween val="midCat"/>
      </c:valAx>
      <c:valAx>
        <c:axId val="464117328"/>
        <c:scaling>
          <c:orientation val="minMax"/>
        </c:scaling>
        <c:delete val="1"/>
        <c:axPos val="b"/>
        <c:numFmt formatCode="0.0" sourceLinked="1"/>
        <c:majorTickMark val="out"/>
        <c:minorTickMark val="none"/>
        <c:tickLblPos val="nextTo"/>
        <c:crossAx val="464121640"/>
        <c:crosses val="autoZero"/>
        <c:crossBetween val="midCat"/>
      </c:valAx>
    </c:plotArea>
    <c:plotVisOnly val="1"/>
    <c:dispBlanksAs val="gap"/>
    <c:showDLblsOverMax val="0"/>
  </c:chart>
  <c:spPr>
    <a:ln>
      <a:noFill/>
    </a:ln>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16" fmlaLink="$BK$7" fmlaRange="SelectDHB"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image" Target="../media/image3.jpeg"/><Relationship Id="rId4"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hyperlink" Target="#GraphsNZ!B113"/><Relationship Id="rId13" Type="http://schemas.openxmlformats.org/officeDocument/2006/relationships/hyperlink" Target="#CoDTrend!A23"/><Relationship Id="rId18" Type="http://schemas.openxmlformats.org/officeDocument/2006/relationships/hyperlink" Target="#CoDTrend!A5"/><Relationship Id="rId3" Type="http://schemas.openxmlformats.org/officeDocument/2006/relationships/hyperlink" Target="#Contents!A1"/><Relationship Id="rId21" Type="http://schemas.openxmlformats.org/officeDocument/2006/relationships/hyperlink" Target="#BirthsTrend!A1"/><Relationship Id="rId7" Type="http://schemas.openxmlformats.org/officeDocument/2006/relationships/hyperlink" Target="#GraphsNZ!B89"/><Relationship Id="rId12" Type="http://schemas.openxmlformats.org/officeDocument/2006/relationships/hyperlink" Target="#GraphsDHB!B45"/><Relationship Id="rId17" Type="http://schemas.openxmlformats.org/officeDocument/2006/relationships/hyperlink" Target="#SidsSudiTrend!A1"/><Relationship Id="rId2" Type="http://schemas.openxmlformats.org/officeDocument/2006/relationships/hyperlink" Target="#About!A1"/><Relationship Id="rId16" Type="http://schemas.openxmlformats.org/officeDocument/2006/relationships/hyperlink" Target="#GraphsNZ!A185"/><Relationship Id="rId20" Type="http://schemas.openxmlformats.org/officeDocument/2006/relationships/hyperlink" Target="#Overview!A1"/><Relationship Id="rId1" Type="http://schemas.openxmlformats.org/officeDocument/2006/relationships/hyperlink" Target="#Glossary!A1"/><Relationship Id="rId6" Type="http://schemas.openxmlformats.org/officeDocument/2006/relationships/hyperlink" Target="#GraphsNZ!B35"/><Relationship Id="rId11" Type="http://schemas.openxmlformats.org/officeDocument/2006/relationships/hyperlink" Target="#GraphsDHB!B6"/><Relationship Id="rId5" Type="http://schemas.openxmlformats.org/officeDocument/2006/relationships/hyperlink" Target="#GraphsNZ!B6"/><Relationship Id="rId15" Type="http://schemas.openxmlformats.org/officeDocument/2006/relationships/hyperlink" Target="#GraphsNZ!A136"/><Relationship Id="rId10" Type="http://schemas.openxmlformats.org/officeDocument/2006/relationships/hyperlink" Target="#Birthweight!A5"/><Relationship Id="rId19" Type="http://schemas.openxmlformats.org/officeDocument/2006/relationships/hyperlink" Target="#CoDEth!A1"/><Relationship Id="rId4" Type="http://schemas.openxmlformats.org/officeDocument/2006/relationships/hyperlink" Target="#GraphsNZ!B64"/><Relationship Id="rId9" Type="http://schemas.openxmlformats.org/officeDocument/2006/relationships/hyperlink" Target="#Gestation!A5"/><Relationship Id="rId14" Type="http://schemas.openxmlformats.org/officeDocument/2006/relationships/hyperlink" Target="#GraphsDHB!B100"/></Relationships>
</file>

<file path=xl/drawings/_rels/drawing2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9.emf"/><Relationship Id="rId7" Type="http://schemas.openxmlformats.org/officeDocument/2006/relationships/image" Target="../media/image13.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2.emf"/><Relationship Id="rId5" Type="http://schemas.openxmlformats.org/officeDocument/2006/relationships/image" Target="../media/image11.emf"/><Relationship Id="rId4" Type="http://schemas.openxmlformats.org/officeDocument/2006/relationships/image" Target="../media/image10.emf"/></Relationships>
</file>

<file path=xl/drawings/_rels/drawing5.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2.jpe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 Id="rId9"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1638300</xdr:colOff>
      <xdr:row>4</xdr:row>
      <xdr:rowOff>112136</xdr:rowOff>
    </xdr:to>
    <xdr:pic>
      <xdr:nvPicPr>
        <xdr:cNvPr id="4" name="Ministry of Health logo" descr="Ministry of Health logo" title="Ministry of Health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38300" cy="874136"/>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0.01588</cdr:y>
    </cdr:from>
    <cdr:to>
      <cdr:x>0.27419</cdr:x>
      <cdr:y>0.07673</cdr:y>
    </cdr:to>
    <cdr:sp macro="" textlink="">
      <cdr:nvSpPr>
        <cdr:cNvPr id="2" name="TextBox 1"/>
        <cdr:cNvSpPr txBox="1"/>
      </cdr:nvSpPr>
      <cdr:spPr>
        <a:xfrm xmlns:a="http://schemas.openxmlformats.org/drawingml/2006/main">
          <a:off x="0" y="57167"/>
          <a:ext cx="1781174" cy="2190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 (per 1000 live births)</a:t>
          </a:r>
        </a:p>
      </cdr:txBody>
    </cdr:sp>
  </cdr:relSizeAnchor>
  <cdr:relSizeAnchor xmlns:cdr="http://schemas.openxmlformats.org/drawingml/2006/chartDrawing">
    <cdr:from>
      <cdr:x>0</cdr:x>
      <cdr:y>0.87136</cdr:y>
    </cdr:from>
    <cdr:to>
      <cdr:x>1</cdr:x>
      <cdr:y>0.98513</cdr:y>
    </cdr:to>
    <cdr:sp macro="" textlink="">
      <cdr:nvSpPr>
        <cdr:cNvPr id="3" name="TextBox 1"/>
        <cdr:cNvSpPr txBox="1"/>
      </cdr:nvSpPr>
      <cdr:spPr>
        <a:xfrm xmlns:a="http://schemas.openxmlformats.org/drawingml/2006/main">
          <a:off x="0" y="3136900"/>
          <a:ext cx="6300000" cy="4095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900">
              <a:solidFill>
                <a:schemeClr val="tx1">
                  <a:lumMod val="75000"/>
                  <a:lumOff val="25000"/>
                </a:schemeClr>
              </a:solidFill>
              <a:latin typeface="Arial" panose="020B0604020202020204" pitchFamily="34" charset="0"/>
              <a:cs typeface="Arial" panose="020B0604020202020204" pitchFamily="34" charset="0"/>
            </a:rPr>
            <a:t>Note: Grey line represents SUDI rate (ICD-10 codes: R95, R96, R98, R99, W75, W78, and W79), with error bars as the 95% confidence interval. Blue dots represent SIDS rate (ICD-10 code: R95). Only</a:t>
          </a:r>
          <a:r>
            <a:rPr lang="en-NZ" sz="900" baseline="0">
              <a:solidFill>
                <a:schemeClr val="tx1">
                  <a:lumMod val="75000"/>
                  <a:lumOff val="25000"/>
                </a:schemeClr>
              </a:solidFill>
              <a:latin typeface="Arial" panose="020B0604020202020204" pitchFamily="34" charset="0"/>
              <a:cs typeface="Arial" panose="020B0604020202020204" pitchFamily="34" charset="0"/>
            </a:rPr>
            <a:t> infants aged &lt;1 year are included in this information.</a:t>
          </a: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0.01588</cdr:y>
    </cdr:from>
    <cdr:to>
      <cdr:x>0.27419</cdr:x>
      <cdr:y>0.07673</cdr:y>
    </cdr:to>
    <cdr:sp macro="" textlink="">
      <cdr:nvSpPr>
        <cdr:cNvPr id="2" name="TextBox 1"/>
        <cdr:cNvSpPr txBox="1"/>
      </cdr:nvSpPr>
      <cdr:spPr>
        <a:xfrm xmlns:a="http://schemas.openxmlformats.org/drawingml/2006/main">
          <a:off x="0" y="57167"/>
          <a:ext cx="1781174" cy="2190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 (per 1000 live births)</a:t>
          </a:r>
        </a:p>
      </cdr:txBody>
    </cdr:sp>
  </cdr:relSizeAnchor>
  <cdr:relSizeAnchor xmlns:cdr="http://schemas.openxmlformats.org/drawingml/2006/chartDrawing">
    <cdr:from>
      <cdr:x>0.01173</cdr:x>
      <cdr:y>0.87577</cdr:y>
    </cdr:from>
    <cdr:to>
      <cdr:x>0.97507</cdr:x>
      <cdr:y>0.98513</cdr:y>
    </cdr:to>
    <cdr:sp macro="" textlink="">
      <cdr:nvSpPr>
        <cdr:cNvPr id="4" name="TextBox 1"/>
        <cdr:cNvSpPr txBox="1"/>
      </cdr:nvSpPr>
      <cdr:spPr>
        <a:xfrm xmlns:a="http://schemas.openxmlformats.org/drawingml/2006/main">
          <a:off x="76200" y="3152775"/>
          <a:ext cx="6257930" cy="393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900">
              <a:solidFill>
                <a:schemeClr val="tx1">
                  <a:lumMod val="75000"/>
                  <a:lumOff val="25000"/>
                </a:schemeClr>
              </a:solidFill>
              <a:latin typeface="Arial" panose="020B0604020202020204" pitchFamily="34" charset="0"/>
              <a:cs typeface="Arial" panose="020B0604020202020204" pitchFamily="34" charset="0"/>
            </a:rPr>
            <a:t>Note: Grey bars represent SUDI rate (ICD-10 codes: R95, R96, R98, R99, W75, W78, and W79), with error bars as the 95% confidence interval. Blue dashes represent SIDS rate (ICD-10 code: R95). Only infants aged &lt;1 year are included in this information.</a:t>
          </a: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0.01588</cdr:y>
    </cdr:from>
    <cdr:to>
      <cdr:x>0.27419</cdr:x>
      <cdr:y>0.07673</cdr:y>
    </cdr:to>
    <cdr:sp macro="" textlink="">
      <cdr:nvSpPr>
        <cdr:cNvPr id="2" name="TextBox 1"/>
        <cdr:cNvSpPr txBox="1"/>
      </cdr:nvSpPr>
      <cdr:spPr>
        <a:xfrm xmlns:a="http://schemas.openxmlformats.org/drawingml/2006/main">
          <a:off x="0" y="57167"/>
          <a:ext cx="1781174" cy="2190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 (per 1000 live births)</a:t>
          </a:r>
        </a:p>
      </cdr:txBody>
    </cdr:sp>
  </cdr:relSizeAnchor>
  <cdr:relSizeAnchor xmlns:cdr="http://schemas.openxmlformats.org/drawingml/2006/chartDrawing">
    <cdr:from>
      <cdr:x>0.01173</cdr:x>
      <cdr:y>0.87577</cdr:y>
    </cdr:from>
    <cdr:to>
      <cdr:x>0.97507</cdr:x>
      <cdr:y>0.98513</cdr:y>
    </cdr:to>
    <cdr:sp macro="" textlink="">
      <cdr:nvSpPr>
        <cdr:cNvPr id="4" name="TextBox 1"/>
        <cdr:cNvSpPr txBox="1"/>
      </cdr:nvSpPr>
      <cdr:spPr>
        <a:xfrm xmlns:a="http://schemas.openxmlformats.org/drawingml/2006/main">
          <a:off x="76200" y="3152775"/>
          <a:ext cx="6257930" cy="393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900">
              <a:solidFill>
                <a:schemeClr val="tx1">
                  <a:lumMod val="75000"/>
                  <a:lumOff val="25000"/>
                </a:schemeClr>
              </a:solidFill>
              <a:latin typeface="Arial" panose="020B0604020202020204" pitchFamily="34" charset="0"/>
              <a:cs typeface="Arial" panose="020B0604020202020204" pitchFamily="34" charset="0"/>
            </a:rPr>
            <a:t>Note: Grey bars represent SUDI rate (ICD-10 codes: R95, R96, R98, R99, W75, W78, and W79), with error bars as the 95% confidence interval. Blue dashes represent SIDS rate (ICD-10 code: R95). Only</a:t>
          </a:r>
          <a:r>
            <a:rPr lang="en-NZ" sz="900" baseline="0">
              <a:solidFill>
                <a:schemeClr val="tx1">
                  <a:lumMod val="75000"/>
                  <a:lumOff val="25000"/>
                </a:schemeClr>
              </a:solidFill>
              <a:latin typeface="Arial" panose="020B0604020202020204" pitchFamily="34" charset="0"/>
              <a:cs typeface="Arial" panose="020B0604020202020204" pitchFamily="34" charset="0"/>
            </a:rPr>
            <a:t> infants aged &lt;1 year are included in this information.</a:t>
          </a:r>
        </a:p>
        <a:p xmlns:a="http://schemas.openxmlformats.org/drawingml/2006/main">
          <a:endParaRPr lang="en-NZ" sz="900">
            <a:solidFill>
              <a:schemeClr val="tx1">
                <a:lumMod val="75000"/>
                <a:lumOff val="25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0.01588</cdr:y>
    </cdr:from>
    <cdr:to>
      <cdr:x>0.27419</cdr:x>
      <cdr:y>0.07673</cdr:y>
    </cdr:to>
    <cdr:sp macro="" textlink="">
      <cdr:nvSpPr>
        <cdr:cNvPr id="2" name="TextBox 1"/>
        <cdr:cNvSpPr txBox="1"/>
      </cdr:nvSpPr>
      <cdr:spPr>
        <a:xfrm xmlns:a="http://schemas.openxmlformats.org/drawingml/2006/main">
          <a:off x="0" y="57167"/>
          <a:ext cx="1781174" cy="2190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 (per 1000 live births)</a:t>
          </a:r>
        </a:p>
      </cdr:txBody>
    </cdr:sp>
  </cdr:relSizeAnchor>
  <cdr:relSizeAnchor xmlns:cdr="http://schemas.openxmlformats.org/drawingml/2006/chartDrawing">
    <cdr:from>
      <cdr:x>0.01173</cdr:x>
      <cdr:y>0.87577</cdr:y>
    </cdr:from>
    <cdr:to>
      <cdr:x>0.97507</cdr:x>
      <cdr:y>0.98513</cdr:y>
    </cdr:to>
    <cdr:sp macro="" textlink="">
      <cdr:nvSpPr>
        <cdr:cNvPr id="4" name="TextBox 1"/>
        <cdr:cNvSpPr txBox="1"/>
      </cdr:nvSpPr>
      <cdr:spPr>
        <a:xfrm xmlns:a="http://schemas.openxmlformats.org/drawingml/2006/main">
          <a:off x="76200" y="3152775"/>
          <a:ext cx="6257930" cy="393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900">
              <a:solidFill>
                <a:schemeClr val="tx1">
                  <a:lumMod val="75000"/>
                  <a:lumOff val="25000"/>
                </a:schemeClr>
              </a:solidFill>
              <a:latin typeface="Arial" panose="020B0604020202020204" pitchFamily="34" charset="0"/>
              <a:cs typeface="Arial" panose="020B0604020202020204" pitchFamily="34" charset="0"/>
            </a:rPr>
            <a:t>Note: Grey bars represent SUDI rate (ICD-10 codes: R95, R96, R98, R99, W75, W78, and W79), with error bars as the 95% confidence interval. Blue dashes represent SIDS rate (ICD-10 code: R95). Only infants aged &lt;1 year are included</a:t>
          </a:r>
          <a:r>
            <a:rPr lang="en-NZ" sz="900" baseline="0">
              <a:solidFill>
                <a:schemeClr val="tx1">
                  <a:lumMod val="75000"/>
                  <a:lumOff val="25000"/>
                </a:schemeClr>
              </a:solidFill>
              <a:latin typeface="Arial" panose="020B0604020202020204" pitchFamily="34" charset="0"/>
              <a:cs typeface="Arial" panose="020B0604020202020204" pitchFamily="34" charset="0"/>
            </a:rPr>
            <a:t> in this information.</a:t>
          </a:r>
          <a:endParaRPr lang="en-NZ" sz="900">
            <a:solidFill>
              <a:schemeClr val="tx1">
                <a:lumMod val="75000"/>
                <a:lumOff val="25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123825</xdr:colOff>
      <xdr:row>5</xdr:row>
      <xdr:rowOff>200024</xdr:rowOff>
    </xdr:from>
    <xdr:to>
      <xdr:col>12</xdr:col>
      <xdr:colOff>552450</xdr:colOff>
      <xdr:row>30</xdr:row>
      <xdr:rowOff>114299</xdr:rowOff>
    </xdr:to>
    <xdr:graphicFrame macro="">
      <xdr:nvGraphicFramePr>
        <xdr:cNvPr id="4" name="Chart 3" descr="Fetal death rate by DHB, 2011" title="Figure 8">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33</xdr:row>
      <xdr:rowOff>276225</xdr:rowOff>
    </xdr:from>
    <xdr:to>
      <xdr:col>12</xdr:col>
      <xdr:colOff>523875</xdr:colOff>
      <xdr:row>58</xdr:row>
      <xdr:rowOff>133350</xdr:rowOff>
    </xdr:to>
    <xdr:graphicFrame macro="">
      <xdr:nvGraphicFramePr>
        <xdr:cNvPr id="6" name="Chart 5" descr="Infant death rate by DHB, 2011" title="Figure 9">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123825</xdr:colOff>
      <xdr:row>62</xdr:row>
      <xdr:rowOff>0</xdr:rowOff>
    </xdr:from>
    <xdr:to>
      <xdr:col>12</xdr:col>
      <xdr:colOff>552450</xdr:colOff>
      <xdr:row>86</xdr:row>
      <xdr:rowOff>152400</xdr:rowOff>
    </xdr:to>
    <xdr:graphicFrame macro="">
      <xdr:nvGraphicFramePr>
        <xdr:cNvPr id="7" name="Chart 6" descr="Rate of SIDS by DHB, 2007-2011" title="Figure 10">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90</xdr:row>
      <xdr:rowOff>0</xdr:rowOff>
    </xdr:from>
    <xdr:to>
      <xdr:col>12</xdr:col>
      <xdr:colOff>581025</xdr:colOff>
      <xdr:row>114</xdr:row>
      <xdr:rowOff>152400</xdr:rowOff>
    </xdr:to>
    <xdr:graphicFrame macro="">
      <xdr:nvGraphicFramePr>
        <xdr:cNvPr id="8" name="Chart 7" descr="Rate of SUDI by DHB, 2007-2011" title="Figure 11">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314325</xdr:colOff>
      <xdr:row>29</xdr:row>
      <xdr:rowOff>66675</xdr:rowOff>
    </xdr:from>
    <xdr:to>
      <xdr:col>17</xdr:col>
      <xdr:colOff>280960</xdr:colOff>
      <xdr:row>30</xdr:row>
      <xdr:rowOff>161925</xdr:rowOff>
    </xdr:to>
    <xdr:pic>
      <xdr:nvPicPr>
        <xdr:cNvPr id="13" name="Picture 12" title="Ministry of Health logo">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87050" y="5676900"/>
          <a:ext cx="576235" cy="285750"/>
        </a:xfrm>
        <a:prstGeom prst="rect">
          <a:avLst/>
        </a:prstGeom>
      </xdr:spPr>
    </xdr:pic>
    <xdr:clientData/>
  </xdr:twoCellAnchor>
  <xdr:twoCellAnchor editAs="oneCell">
    <xdr:from>
      <xdr:col>16</xdr:col>
      <xdr:colOff>314325</xdr:colOff>
      <xdr:row>57</xdr:row>
      <xdr:rowOff>66675</xdr:rowOff>
    </xdr:from>
    <xdr:to>
      <xdr:col>17</xdr:col>
      <xdr:colOff>280960</xdr:colOff>
      <xdr:row>58</xdr:row>
      <xdr:rowOff>161925</xdr:rowOff>
    </xdr:to>
    <xdr:pic>
      <xdr:nvPicPr>
        <xdr:cNvPr id="14" name="Picture 13" title="Ministry of Health logo">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87050" y="11144250"/>
          <a:ext cx="576235" cy="285750"/>
        </a:xfrm>
        <a:prstGeom prst="rect">
          <a:avLst/>
        </a:prstGeom>
      </xdr:spPr>
    </xdr:pic>
    <xdr:clientData/>
  </xdr:twoCellAnchor>
  <xdr:twoCellAnchor editAs="oneCell">
    <xdr:from>
      <xdr:col>16</xdr:col>
      <xdr:colOff>314325</xdr:colOff>
      <xdr:row>85</xdr:row>
      <xdr:rowOff>57150</xdr:rowOff>
    </xdr:from>
    <xdr:to>
      <xdr:col>17</xdr:col>
      <xdr:colOff>280960</xdr:colOff>
      <xdr:row>86</xdr:row>
      <xdr:rowOff>152400</xdr:rowOff>
    </xdr:to>
    <xdr:pic>
      <xdr:nvPicPr>
        <xdr:cNvPr id="15" name="Picture 14" title="Ministry of Health logo">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87050" y="16554450"/>
          <a:ext cx="576235" cy="285750"/>
        </a:xfrm>
        <a:prstGeom prst="rect">
          <a:avLst/>
        </a:prstGeom>
      </xdr:spPr>
    </xdr:pic>
    <xdr:clientData/>
  </xdr:twoCellAnchor>
  <xdr:twoCellAnchor editAs="oneCell">
    <xdr:from>
      <xdr:col>16</xdr:col>
      <xdr:colOff>304800</xdr:colOff>
      <xdr:row>113</xdr:row>
      <xdr:rowOff>57150</xdr:rowOff>
    </xdr:from>
    <xdr:to>
      <xdr:col>17</xdr:col>
      <xdr:colOff>271435</xdr:colOff>
      <xdr:row>114</xdr:row>
      <xdr:rowOff>152400</xdr:rowOff>
    </xdr:to>
    <xdr:pic>
      <xdr:nvPicPr>
        <xdr:cNvPr id="16" name="Picture 15" title="Ministry of Health logo">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77525" y="21993225"/>
          <a:ext cx="576235" cy="285750"/>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cdr:x>
      <cdr:y>0.01965</cdr:y>
    </cdr:from>
    <cdr:to>
      <cdr:x>0.3076</cdr:x>
      <cdr:y>0.06769</cdr:y>
    </cdr:to>
    <cdr:sp macro="" textlink="">
      <cdr:nvSpPr>
        <cdr:cNvPr id="2" name="TextBox 1" descr="DHB header" title="DHB header"/>
        <cdr:cNvSpPr txBox="1"/>
      </cdr:nvSpPr>
      <cdr:spPr>
        <a:xfrm xmlns:a="http://schemas.openxmlformats.org/drawingml/2006/main">
          <a:off x="0" y="85726"/>
          <a:ext cx="239077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b="1">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0.88818</cdr:y>
    </cdr:from>
    <cdr:to>
      <cdr:x>0.97181</cdr:x>
      <cdr:y>0.998</cdr:y>
    </cdr:to>
    <cdr:sp macro="" textlink="">
      <cdr:nvSpPr>
        <cdr:cNvPr id="5" name="TextBox 4"/>
        <cdr:cNvSpPr txBox="1"/>
      </cdr:nvSpPr>
      <cdr:spPr>
        <a:xfrm xmlns:a="http://schemas.openxmlformats.org/drawingml/2006/main">
          <a:off x="0" y="4238435"/>
          <a:ext cx="7553324" cy="5240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solidFill>
                <a:schemeClr val="tx1">
                  <a:lumMod val="85000"/>
                  <a:lumOff val="15000"/>
                </a:schemeClr>
              </a:solidFill>
              <a:latin typeface="Arial" panose="020B0604020202020204" pitchFamily="34" charset="0"/>
              <a:cs typeface="Arial" panose="020B0604020202020204" pitchFamily="34" charset="0"/>
            </a:rPr>
            <a:t>Notes: </a:t>
          </a:r>
        </a:p>
        <a:p xmlns:a="http://schemas.openxmlformats.org/drawingml/2006/main">
          <a:r>
            <a:rPr lang="en-NZ" sz="900">
              <a:solidFill>
                <a:schemeClr val="tx1">
                  <a:lumMod val="85000"/>
                  <a:lumOff val="15000"/>
                </a:schemeClr>
              </a:solidFill>
              <a:latin typeface="Arial" panose="020B0604020202020204" pitchFamily="34" charset="0"/>
              <a:cs typeface="Arial" panose="020B0604020202020204" pitchFamily="34" charset="0"/>
            </a:rPr>
            <a:t>Error bars represent</a:t>
          </a:r>
          <a:r>
            <a:rPr lang="en-NZ" sz="900" baseline="0">
              <a:solidFill>
                <a:schemeClr val="tx1">
                  <a:lumMod val="85000"/>
                  <a:lumOff val="15000"/>
                </a:schemeClr>
              </a:solidFill>
              <a:latin typeface="Arial" panose="020B0604020202020204" pitchFamily="34" charset="0"/>
              <a:cs typeface="Arial" panose="020B0604020202020204" pitchFamily="34" charset="0"/>
            </a:rPr>
            <a:t> 99% confidence interval (CI) for each DHB and the </a:t>
          </a:r>
          <a:r>
            <a:rPr lang="en-NZ" sz="900">
              <a:solidFill>
                <a:schemeClr val="tx1">
                  <a:lumMod val="85000"/>
                  <a:lumOff val="15000"/>
                </a:schemeClr>
              </a:solidFill>
              <a:latin typeface="Arial" panose="020B0604020202020204" pitchFamily="34" charset="0"/>
              <a:cs typeface="Arial" panose="020B0604020202020204" pitchFamily="34" charset="0"/>
            </a:rPr>
            <a:t>blue</a:t>
          </a:r>
          <a:r>
            <a:rPr lang="en-NZ" sz="900" baseline="0">
              <a:solidFill>
                <a:schemeClr val="tx1">
                  <a:lumMod val="85000"/>
                  <a:lumOff val="15000"/>
                </a:schemeClr>
              </a:solidFill>
              <a:latin typeface="Arial" panose="020B0604020202020204" pitchFamily="34" charset="0"/>
              <a:cs typeface="Arial" panose="020B0604020202020204" pitchFamily="34" charset="0"/>
            </a:rPr>
            <a:t> line represents the national rate.</a:t>
          </a:r>
        </a:p>
        <a:p xmlns:a="http://schemas.openxmlformats.org/drawingml/2006/main">
          <a:r>
            <a:rPr lang="en-NZ" sz="900">
              <a:solidFill>
                <a:schemeClr val="tx1">
                  <a:lumMod val="85000"/>
                  <a:lumOff val="15000"/>
                </a:schemeClr>
              </a:solidFill>
              <a:latin typeface="Arial" panose="020B0604020202020204" pitchFamily="34" charset="0"/>
              <a:cs typeface="Arial" panose="020B0604020202020204" pitchFamily="34" charset="0"/>
            </a:rPr>
            <a:t>Caution must be taken where rates have large error bars, as interpretation of these rates can be misleading.</a:t>
          </a:r>
        </a:p>
      </cdr:txBody>
    </cdr:sp>
  </cdr:relSizeAnchor>
</c:userShapes>
</file>

<file path=xl/drawings/drawing16.xml><?xml version="1.0" encoding="utf-8"?>
<c:userShapes xmlns:c="http://schemas.openxmlformats.org/drawingml/2006/chart">
  <cdr:relSizeAnchor xmlns:cdr="http://schemas.openxmlformats.org/drawingml/2006/chartDrawing">
    <cdr:from>
      <cdr:x>0.00246</cdr:x>
      <cdr:y>0.87625</cdr:y>
    </cdr:from>
    <cdr:to>
      <cdr:x>0.97182</cdr:x>
      <cdr:y>0.99593</cdr:y>
    </cdr:to>
    <cdr:sp macro="" textlink="">
      <cdr:nvSpPr>
        <cdr:cNvPr id="5" name="TextBox 4" title="Footnote for graphs"/>
        <cdr:cNvSpPr txBox="1"/>
      </cdr:nvSpPr>
      <cdr:spPr>
        <a:xfrm xmlns:a="http://schemas.openxmlformats.org/drawingml/2006/main">
          <a:off x="19085" y="4106360"/>
          <a:ext cx="7534254" cy="5608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solidFill>
                <a:schemeClr val="tx1">
                  <a:lumMod val="85000"/>
                  <a:lumOff val="15000"/>
                </a:schemeClr>
              </a:solidFill>
              <a:latin typeface="Arial" panose="020B0604020202020204" pitchFamily="34" charset="0"/>
              <a:cs typeface="Arial" panose="020B0604020202020204" pitchFamily="34" charset="0"/>
            </a:rPr>
            <a:t>Notes: </a:t>
          </a:r>
        </a:p>
        <a:p xmlns:a="http://schemas.openxmlformats.org/drawingml/2006/main">
          <a:r>
            <a:rPr lang="en-NZ" sz="900">
              <a:solidFill>
                <a:schemeClr val="tx1">
                  <a:lumMod val="85000"/>
                  <a:lumOff val="15000"/>
                </a:schemeClr>
              </a:solidFill>
              <a:latin typeface="Arial" panose="020B0604020202020204" pitchFamily="34" charset="0"/>
              <a:cs typeface="Arial" panose="020B0604020202020204" pitchFamily="34" charset="0"/>
            </a:rPr>
            <a:t>Error bars represent</a:t>
          </a:r>
          <a:r>
            <a:rPr lang="en-NZ" sz="900" baseline="0">
              <a:solidFill>
                <a:schemeClr val="tx1">
                  <a:lumMod val="85000"/>
                  <a:lumOff val="15000"/>
                </a:schemeClr>
              </a:solidFill>
              <a:latin typeface="Arial" panose="020B0604020202020204" pitchFamily="34" charset="0"/>
              <a:cs typeface="Arial" panose="020B0604020202020204" pitchFamily="34" charset="0"/>
            </a:rPr>
            <a:t> 99% confidence interval (CI) for each DHB and </a:t>
          </a:r>
          <a:r>
            <a:rPr lang="en-NZ" sz="900">
              <a:solidFill>
                <a:schemeClr val="tx1">
                  <a:lumMod val="85000"/>
                  <a:lumOff val="15000"/>
                </a:schemeClr>
              </a:solidFill>
              <a:latin typeface="Arial" panose="020B0604020202020204" pitchFamily="34" charset="0"/>
              <a:cs typeface="Arial" panose="020B0604020202020204" pitchFamily="34" charset="0"/>
            </a:rPr>
            <a:t>the blue line represents the national rate.</a:t>
          </a:r>
        </a:p>
        <a:p xmlns:a="http://schemas.openxmlformats.org/drawingml/2006/main">
          <a:r>
            <a:rPr lang="en-NZ" sz="900">
              <a:solidFill>
                <a:schemeClr val="tx1">
                  <a:lumMod val="85000"/>
                  <a:lumOff val="15000"/>
                </a:schemeClr>
              </a:solidFill>
              <a:latin typeface="Arial" panose="020B0604020202020204" pitchFamily="34" charset="0"/>
              <a:cs typeface="Arial" panose="020B0604020202020204" pitchFamily="34" charset="0"/>
            </a:rPr>
            <a:t>Caution must be taken where rates have large error bars, as interpretation of these rates can be misleading.</a:t>
          </a:r>
        </a:p>
      </cdr:txBody>
    </cdr:sp>
  </cdr:relSizeAnchor>
</c:userShapes>
</file>

<file path=xl/drawings/drawing17.xml><?xml version="1.0" encoding="utf-8"?>
<c:userShapes xmlns:c="http://schemas.openxmlformats.org/drawingml/2006/chart">
  <cdr:relSizeAnchor xmlns:cdr="http://schemas.openxmlformats.org/drawingml/2006/chartDrawing">
    <cdr:from>
      <cdr:x>0.71201</cdr:x>
      <cdr:y>0.0524</cdr:y>
    </cdr:from>
    <cdr:to>
      <cdr:x>0.98162</cdr:x>
      <cdr:y>0.21616</cdr:y>
    </cdr:to>
    <cdr:sp macro="" textlink="">
      <cdr:nvSpPr>
        <cdr:cNvPr id="3" name="TextBox 2"/>
        <cdr:cNvSpPr txBox="1"/>
      </cdr:nvSpPr>
      <cdr:spPr>
        <a:xfrm xmlns:a="http://schemas.openxmlformats.org/drawingml/2006/main">
          <a:off x="5534025" y="228600"/>
          <a:ext cx="2095500" cy="714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0.00491</cdr:x>
      <cdr:y>0.86089</cdr:y>
    </cdr:from>
    <cdr:to>
      <cdr:x>0.97427</cdr:x>
      <cdr:y>0.97822</cdr:y>
    </cdr:to>
    <cdr:sp macro="" textlink="">
      <cdr:nvSpPr>
        <cdr:cNvPr id="5" name="TextBox 4" title="Footnote for graphs"/>
        <cdr:cNvSpPr txBox="1"/>
      </cdr:nvSpPr>
      <cdr:spPr>
        <a:xfrm xmlns:a="http://schemas.openxmlformats.org/drawingml/2006/main">
          <a:off x="38135" y="4067175"/>
          <a:ext cx="7534254" cy="5543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solidFill>
                <a:schemeClr val="tx1">
                  <a:lumMod val="85000"/>
                  <a:lumOff val="15000"/>
                </a:schemeClr>
              </a:solidFill>
              <a:latin typeface="Arial" panose="020B0604020202020204" pitchFamily="34" charset="0"/>
              <a:cs typeface="Arial" panose="020B0604020202020204" pitchFamily="34" charset="0"/>
            </a:rPr>
            <a:t>Notes: </a:t>
          </a:r>
        </a:p>
        <a:p xmlns:a="http://schemas.openxmlformats.org/drawingml/2006/main">
          <a:r>
            <a:rPr lang="en-NZ" sz="900">
              <a:solidFill>
                <a:schemeClr val="tx1">
                  <a:lumMod val="85000"/>
                  <a:lumOff val="15000"/>
                </a:schemeClr>
              </a:solidFill>
              <a:latin typeface="Arial" panose="020B0604020202020204" pitchFamily="34" charset="0"/>
              <a:cs typeface="Arial" panose="020B0604020202020204" pitchFamily="34" charset="0"/>
            </a:rPr>
            <a:t>Error bars represent</a:t>
          </a:r>
          <a:r>
            <a:rPr lang="en-NZ" sz="900" baseline="0">
              <a:solidFill>
                <a:schemeClr val="tx1">
                  <a:lumMod val="85000"/>
                  <a:lumOff val="15000"/>
                </a:schemeClr>
              </a:solidFill>
              <a:latin typeface="Arial" panose="020B0604020202020204" pitchFamily="34" charset="0"/>
              <a:cs typeface="Arial" panose="020B0604020202020204" pitchFamily="34" charset="0"/>
            </a:rPr>
            <a:t> 99% confidence interval (CI) for each DHB and </a:t>
          </a:r>
          <a:r>
            <a:rPr lang="en-NZ" sz="900">
              <a:solidFill>
                <a:schemeClr val="tx1">
                  <a:lumMod val="85000"/>
                  <a:lumOff val="15000"/>
                </a:schemeClr>
              </a:solidFill>
              <a:latin typeface="Arial" panose="020B0604020202020204" pitchFamily="34" charset="0"/>
              <a:cs typeface="Arial" panose="020B0604020202020204" pitchFamily="34" charset="0"/>
            </a:rPr>
            <a:t>the blue line represents the national rate.</a:t>
          </a:r>
        </a:p>
        <a:p xmlns:a="http://schemas.openxmlformats.org/drawingml/2006/main">
          <a:r>
            <a:rPr lang="en-NZ" sz="900">
              <a:solidFill>
                <a:schemeClr val="tx1">
                  <a:lumMod val="85000"/>
                  <a:lumOff val="15000"/>
                </a:schemeClr>
              </a:solidFill>
              <a:latin typeface="Arial" panose="020B0604020202020204" pitchFamily="34" charset="0"/>
              <a:cs typeface="Arial" panose="020B0604020202020204" pitchFamily="34" charset="0"/>
            </a:rPr>
            <a:t>Caution must be taken where rates have large error bars, as interpretation of these rates can be misleading.</a:t>
          </a:r>
        </a:p>
      </cdr:txBody>
    </cdr:sp>
  </cdr:relSizeAnchor>
</c:userShapes>
</file>

<file path=xl/drawings/drawing18.xml><?xml version="1.0" encoding="utf-8"?>
<c:userShapes xmlns:c="http://schemas.openxmlformats.org/drawingml/2006/chart">
  <cdr:relSizeAnchor xmlns:cdr="http://schemas.openxmlformats.org/drawingml/2006/chartDrawing">
    <cdr:from>
      <cdr:x>0.71201</cdr:x>
      <cdr:y>0.0524</cdr:y>
    </cdr:from>
    <cdr:to>
      <cdr:x>0.98162</cdr:x>
      <cdr:y>0.21616</cdr:y>
    </cdr:to>
    <cdr:sp macro="" textlink="">
      <cdr:nvSpPr>
        <cdr:cNvPr id="3" name="TextBox 2"/>
        <cdr:cNvSpPr txBox="1"/>
      </cdr:nvSpPr>
      <cdr:spPr>
        <a:xfrm xmlns:a="http://schemas.openxmlformats.org/drawingml/2006/main">
          <a:off x="5534025" y="228600"/>
          <a:ext cx="2095500" cy="714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0.00123</cdr:x>
      <cdr:y>0.87298</cdr:y>
    </cdr:from>
    <cdr:to>
      <cdr:x>0.97059</cdr:x>
      <cdr:y>0.9876</cdr:y>
    </cdr:to>
    <cdr:sp macro="" textlink="">
      <cdr:nvSpPr>
        <cdr:cNvPr id="5" name="TextBox 4" title="Footnote for graphs"/>
        <cdr:cNvSpPr txBox="1"/>
      </cdr:nvSpPr>
      <cdr:spPr>
        <a:xfrm xmlns:a="http://schemas.openxmlformats.org/drawingml/2006/main">
          <a:off x="9560" y="4124325"/>
          <a:ext cx="7534254" cy="5414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solidFill>
                <a:schemeClr val="tx1">
                  <a:lumMod val="85000"/>
                  <a:lumOff val="15000"/>
                </a:schemeClr>
              </a:solidFill>
              <a:latin typeface="Arial" panose="020B0604020202020204" pitchFamily="34" charset="0"/>
              <a:cs typeface="Arial" panose="020B0604020202020204" pitchFamily="34" charset="0"/>
            </a:rPr>
            <a:t>Note: </a:t>
          </a:r>
        </a:p>
        <a:p xmlns:a="http://schemas.openxmlformats.org/drawingml/2006/main">
          <a:r>
            <a:rPr lang="en-NZ" sz="900">
              <a:solidFill>
                <a:schemeClr val="tx1">
                  <a:lumMod val="85000"/>
                  <a:lumOff val="15000"/>
                </a:schemeClr>
              </a:solidFill>
              <a:latin typeface="Arial" panose="020B0604020202020204" pitchFamily="34" charset="0"/>
              <a:cs typeface="Arial" panose="020B0604020202020204" pitchFamily="34" charset="0"/>
            </a:rPr>
            <a:t>Error bars represent</a:t>
          </a:r>
          <a:r>
            <a:rPr lang="en-NZ" sz="900" baseline="0">
              <a:solidFill>
                <a:schemeClr val="tx1">
                  <a:lumMod val="85000"/>
                  <a:lumOff val="15000"/>
                </a:schemeClr>
              </a:solidFill>
              <a:latin typeface="Arial" panose="020B0604020202020204" pitchFamily="34" charset="0"/>
              <a:cs typeface="Arial" panose="020B0604020202020204" pitchFamily="34" charset="0"/>
            </a:rPr>
            <a:t> 99% confidence interval (CI) for each DHB and </a:t>
          </a:r>
          <a:r>
            <a:rPr lang="en-NZ" sz="900">
              <a:solidFill>
                <a:schemeClr val="tx1">
                  <a:lumMod val="85000"/>
                  <a:lumOff val="15000"/>
                </a:schemeClr>
              </a:solidFill>
              <a:latin typeface="Arial" panose="020B0604020202020204" pitchFamily="34" charset="0"/>
              <a:cs typeface="Arial" panose="020B0604020202020204" pitchFamily="34" charset="0"/>
            </a:rPr>
            <a:t>the blue line represents the national rate.</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NZ" sz="900">
              <a:effectLst/>
              <a:latin typeface="Arial" panose="020B0604020202020204" pitchFamily="34" charset="0"/>
              <a:ea typeface="+mn-ea"/>
              <a:cs typeface="Arial" panose="020B0604020202020204" pitchFamily="34" charset="0"/>
            </a:rPr>
            <a:t>Caution must be taken where rates have large error bars, as interpretation of these rates can be misleading.</a:t>
          </a:r>
          <a:endParaRPr lang="en-NZ" sz="900">
            <a:solidFill>
              <a:schemeClr val="tx1">
                <a:lumMod val="85000"/>
                <a:lumOff val="15000"/>
              </a:schemeClr>
            </a:solidFill>
            <a:latin typeface="Arial" panose="020B0604020202020204" pitchFamily="34" charset="0"/>
            <a:cs typeface="Arial" panose="020B060402020202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9</xdr:col>
      <xdr:colOff>0</xdr:colOff>
      <xdr:row>6</xdr:row>
      <xdr:rowOff>495300</xdr:rowOff>
    </xdr:from>
    <xdr:to>
      <xdr:col>18</xdr:col>
      <xdr:colOff>581025</xdr:colOff>
      <xdr:row>22</xdr:row>
      <xdr:rowOff>0</xdr:rowOff>
    </xdr:to>
    <xdr:graphicFrame macro="">
      <xdr:nvGraphicFramePr>
        <xdr:cNvPr id="4" name="Chart 3" descr="Fetal and infant death rate by ethnic group for selected DHB">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22</xdr:row>
      <xdr:rowOff>0</xdr:rowOff>
    </xdr:from>
    <xdr:to>
      <xdr:col>18</xdr:col>
      <xdr:colOff>581025</xdr:colOff>
      <xdr:row>38</xdr:row>
      <xdr:rowOff>66675</xdr:rowOff>
    </xdr:to>
    <xdr:graphicFrame macro="">
      <xdr:nvGraphicFramePr>
        <xdr:cNvPr id="9" name="Chart 8" descr="Fetal and infant death rate by maternal age group for selected DHB">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xdr:colOff>
      <xdr:row>38</xdr:row>
      <xdr:rowOff>76199</xdr:rowOff>
    </xdr:from>
    <xdr:to>
      <xdr:col>18</xdr:col>
      <xdr:colOff>552451</xdr:colOff>
      <xdr:row>57</xdr:row>
      <xdr:rowOff>180975</xdr:rowOff>
    </xdr:to>
    <xdr:graphicFrame macro="">
      <xdr:nvGraphicFramePr>
        <xdr:cNvPr id="10" name="Chart 9" descr="Fetal and infant death rate by deprivation quintile of residence for selected DHB">
          <a:extLst>
            <a:ext uri="{FF2B5EF4-FFF2-40B4-BE49-F238E27FC236}">
              <a16:creationId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304800</xdr:colOff>
      <xdr:row>57</xdr:row>
      <xdr:rowOff>47625</xdr:rowOff>
    </xdr:from>
    <xdr:to>
      <xdr:col>19</xdr:col>
      <xdr:colOff>271435</xdr:colOff>
      <xdr:row>58</xdr:row>
      <xdr:rowOff>142875</xdr:rowOff>
    </xdr:to>
    <xdr:pic>
      <xdr:nvPicPr>
        <xdr:cNvPr id="8" name="Picture 7" title="Ministry of Health logo">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411075" y="10934700"/>
          <a:ext cx="576235" cy="285750"/>
        </a:xfrm>
        <a:prstGeom prst="rect">
          <a:avLst/>
        </a:prstGeom>
      </xdr:spPr>
    </xdr:pic>
    <xdr:clientData/>
  </xdr:twoCellAnchor>
  <xdr:twoCellAnchor>
    <xdr:from>
      <xdr:col>3</xdr:col>
      <xdr:colOff>333375</xdr:colOff>
      <xdr:row>2</xdr:row>
      <xdr:rowOff>0</xdr:rowOff>
    </xdr:from>
    <xdr:to>
      <xdr:col>4</xdr:col>
      <xdr:colOff>228600</xdr:colOff>
      <xdr:row>3</xdr:row>
      <xdr:rowOff>38100</xdr:rowOff>
    </xdr:to>
    <xdr:sp macro="" textlink="">
      <xdr:nvSpPr>
        <xdr:cNvPr id="3" name="Left Arrow 2" descr="Arrow to connect help with drop-down list." title="Left arrow">
          <a:extLst>
            <a:ext uri="{FF2B5EF4-FFF2-40B4-BE49-F238E27FC236}">
              <a16:creationId xmlns:a16="http://schemas.microsoft.com/office/drawing/2014/main" id="{00000000-0008-0000-1200-000003000000}"/>
            </a:ext>
          </a:extLst>
        </xdr:cNvPr>
        <xdr:cNvSpPr/>
      </xdr:nvSpPr>
      <xdr:spPr>
        <a:xfrm>
          <a:off x="3219450" y="333375"/>
          <a:ext cx="590550" cy="228600"/>
        </a:xfrm>
        <a:prstGeom prst="leftArrow">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4</xdr:col>
      <xdr:colOff>276224</xdr:colOff>
      <xdr:row>1</xdr:row>
      <xdr:rowOff>57151</xdr:rowOff>
    </xdr:from>
    <xdr:to>
      <xdr:col>12</xdr:col>
      <xdr:colOff>352424</xdr:colOff>
      <xdr:row>3</xdr:row>
      <xdr:rowOff>142876</xdr:rowOff>
    </xdr:to>
    <xdr:sp macro="" textlink="">
      <xdr:nvSpPr>
        <xdr:cNvPr id="5" name="TextBox 4">
          <a:extLst>
            <a:ext uri="{FF2B5EF4-FFF2-40B4-BE49-F238E27FC236}">
              <a16:creationId xmlns:a16="http://schemas.microsoft.com/office/drawing/2014/main" id="{00000000-0008-0000-1200-000005000000}"/>
            </a:ext>
          </a:extLst>
        </xdr:cNvPr>
        <xdr:cNvSpPr txBox="1"/>
      </xdr:nvSpPr>
      <xdr:spPr>
        <a:xfrm>
          <a:off x="3857624" y="247651"/>
          <a:ext cx="4772025" cy="419100"/>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NZ" sz="1000">
              <a:solidFill>
                <a:schemeClr val="accent6">
                  <a:lumMod val="75000"/>
                </a:schemeClr>
              </a:solidFill>
              <a:latin typeface="Arial" panose="020B0604020202020204" pitchFamily="34" charset="0"/>
              <a:cs typeface="Arial" panose="020B0604020202020204" pitchFamily="34" charset="0"/>
            </a:rPr>
            <a:t>Click</a:t>
          </a:r>
          <a:r>
            <a:rPr lang="en-NZ" sz="1000" baseline="0">
              <a:solidFill>
                <a:schemeClr val="accent6">
                  <a:lumMod val="75000"/>
                </a:schemeClr>
              </a:solidFill>
              <a:latin typeface="Arial" panose="020B0604020202020204" pitchFamily="34" charset="0"/>
              <a:cs typeface="Arial" panose="020B0604020202020204" pitchFamily="34" charset="0"/>
            </a:rPr>
            <a:t> on the down arrow. A drop down list will appear. Select a DHB from the list. This will update the tables and graphs below to show data for the DHB selected.</a:t>
          </a:r>
          <a:endParaRPr lang="en-NZ" sz="1000">
            <a:solidFill>
              <a:schemeClr val="accent6">
                <a:lumMod val="75000"/>
              </a:schemeClr>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895350</xdr:colOff>
          <xdr:row>2</xdr:row>
          <xdr:rowOff>9525</xdr:rowOff>
        </xdr:from>
        <xdr:to>
          <xdr:col>3</xdr:col>
          <xdr:colOff>104775</xdr:colOff>
          <xdr:row>3</xdr:row>
          <xdr:rowOff>19050</xdr:rowOff>
        </xdr:to>
        <xdr:sp macro="" textlink="">
          <xdr:nvSpPr>
            <xdr:cNvPr id="21515" name="Drop Down 11" descr="Select DHB" hidden="1">
              <a:extLst>
                <a:ext uri="{63B3BB69-23CF-44E3-9099-C40C66FF867C}">
                  <a14:compatExt spid="_x0000_s21515"/>
                </a:ext>
                <a:ext uri="{FF2B5EF4-FFF2-40B4-BE49-F238E27FC236}">
                  <a16:creationId xmlns:a16="http://schemas.microsoft.com/office/drawing/2014/main" id="{00000000-0008-0000-1200-00000B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1347788</xdr:colOff>
      <xdr:row>0</xdr:row>
      <xdr:rowOff>0</xdr:rowOff>
    </xdr:from>
    <xdr:to>
      <xdr:col>0</xdr:col>
      <xdr:colOff>2033588</xdr:colOff>
      <xdr:row>1</xdr:row>
      <xdr:rowOff>25500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1347788" y="0"/>
          <a:ext cx="685800" cy="216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u="sng">
              <a:solidFill>
                <a:srgbClr val="0070C0"/>
              </a:solidFill>
              <a:latin typeface="Arial" panose="020B0604020202020204" pitchFamily="34" charset="0"/>
              <a:cs typeface="Arial" panose="020B0604020202020204" pitchFamily="34" charset="0"/>
            </a:rPr>
            <a:t>Glossary</a:t>
          </a:r>
        </a:p>
      </xdr:txBody>
    </xdr:sp>
    <xdr:clientData/>
  </xdr:twoCellAnchor>
  <xdr:twoCellAnchor>
    <xdr:from>
      <xdr:col>0</xdr:col>
      <xdr:colOff>2295525</xdr:colOff>
      <xdr:row>0</xdr:row>
      <xdr:rowOff>0</xdr:rowOff>
    </xdr:from>
    <xdr:to>
      <xdr:col>0</xdr:col>
      <xdr:colOff>3600451</xdr:colOff>
      <xdr:row>1</xdr:row>
      <xdr:rowOff>25500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200-000003000000}"/>
            </a:ext>
          </a:extLst>
        </xdr:cNvPr>
        <xdr:cNvSpPr txBox="1"/>
      </xdr:nvSpPr>
      <xdr:spPr>
        <a:xfrm>
          <a:off x="2295525" y="0"/>
          <a:ext cx="1304926" cy="216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u="sng">
              <a:solidFill>
                <a:srgbClr val="0070C0"/>
              </a:solidFill>
              <a:latin typeface="Arial" panose="020B0604020202020204" pitchFamily="34" charset="0"/>
              <a:cs typeface="Arial" panose="020B0604020202020204" pitchFamily="34" charset="0"/>
            </a:rPr>
            <a:t>About the publication</a:t>
          </a:r>
        </a:p>
      </xdr:txBody>
    </xdr:sp>
    <xdr:clientData/>
  </xdr:twoCellAnchor>
  <xdr:twoCellAnchor>
    <xdr:from>
      <xdr:col>0</xdr:col>
      <xdr:colOff>0</xdr:colOff>
      <xdr:row>0</xdr:row>
      <xdr:rowOff>0</xdr:rowOff>
    </xdr:from>
    <xdr:to>
      <xdr:col>0</xdr:col>
      <xdr:colOff>1085850</xdr:colOff>
      <xdr:row>1</xdr:row>
      <xdr:rowOff>28574</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200-000004000000}"/>
            </a:ext>
          </a:extLst>
        </xdr:cNvPr>
        <xdr:cNvSpPr txBox="1"/>
      </xdr:nvSpPr>
      <xdr:spPr>
        <a:xfrm>
          <a:off x="0" y="0"/>
          <a:ext cx="1085850"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u="sng">
              <a:solidFill>
                <a:srgbClr val="0070C0"/>
              </a:solidFill>
              <a:latin typeface="Arial" panose="020B0604020202020204" pitchFamily="34" charset="0"/>
              <a:cs typeface="Arial" panose="020B0604020202020204" pitchFamily="34" charset="0"/>
            </a:rPr>
            <a:t>Table of</a:t>
          </a:r>
          <a:r>
            <a:rPr lang="en-NZ" sz="900" u="sng" baseline="0">
              <a:solidFill>
                <a:srgbClr val="0070C0"/>
              </a:solidFill>
              <a:latin typeface="Arial" panose="020B0604020202020204" pitchFamily="34" charset="0"/>
              <a:cs typeface="Arial" panose="020B0604020202020204" pitchFamily="34" charset="0"/>
            </a:rPr>
            <a:t> contents</a:t>
          </a:r>
          <a:endParaRPr lang="en-NZ" sz="9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3</xdr:col>
      <xdr:colOff>0</xdr:colOff>
      <xdr:row>14</xdr:row>
      <xdr:rowOff>0</xdr:rowOff>
    </xdr:from>
    <xdr:to>
      <xdr:col>3</xdr:col>
      <xdr:colOff>809625</xdr:colOff>
      <xdr:row>14</xdr:row>
      <xdr:rowOff>219075</xdr:rowOff>
    </xdr:to>
    <xdr:sp macro="" textlink="">
      <xdr:nvSpPr>
        <xdr:cNvPr id="5" name="TextBox 4">
          <a:hlinkClick xmlns:r="http://schemas.openxmlformats.org/officeDocument/2006/relationships" r:id="rId4"/>
          <a:extLst>
            <a:ext uri="{FF2B5EF4-FFF2-40B4-BE49-F238E27FC236}">
              <a16:creationId xmlns:a16="http://schemas.microsoft.com/office/drawing/2014/main" id="{00000000-0008-0000-0200-000005000000}"/>
            </a:ext>
          </a:extLst>
        </xdr:cNvPr>
        <xdr:cNvSpPr txBox="1"/>
      </xdr:nvSpPr>
      <xdr:spPr>
        <a:xfrm>
          <a:off x="10353675" y="4267200"/>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3</a:t>
          </a:r>
        </a:p>
      </xdr:txBody>
    </xdr:sp>
    <xdr:clientData/>
  </xdr:twoCellAnchor>
  <xdr:twoCellAnchor>
    <xdr:from>
      <xdr:col>3</xdr:col>
      <xdr:colOff>0</xdr:colOff>
      <xdr:row>5</xdr:row>
      <xdr:rowOff>0</xdr:rowOff>
    </xdr:from>
    <xdr:to>
      <xdr:col>3</xdr:col>
      <xdr:colOff>809625</xdr:colOff>
      <xdr:row>5</xdr:row>
      <xdr:rowOff>219075</xdr:rowOff>
    </xdr:to>
    <xdr:sp macro="" textlink="">
      <xdr:nvSpPr>
        <xdr:cNvPr id="6" name="TextBox 5">
          <a:hlinkClick xmlns:r="http://schemas.openxmlformats.org/officeDocument/2006/relationships" r:id="rId5"/>
          <a:extLst>
            <a:ext uri="{FF2B5EF4-FFF2-40B4-BE49-F238E27FC236}">
              <a16:creationId xmlns:a16="http://schemas.microsoft.com/office/drawing/2014/main" id="{00000000-0008-0000-0200-000006000000}"/>
            </a:ext>
          </a:extLst>
        </xdr:cNvPr>
        <xdr:cNvSpPr txBox="1"/>
      </xdr:nvSpPr>
      <xdr:spPr>
        <a:xfrm>
          <a:off x="10353675" y="990600"/>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1</a:t>
          </a:r>
        </a:p>
      </xdr:txBody>
    </xdr:sp>
    <xdr:clientData/>
  </xdr:twoCellAnchor>
  <xdr:twoCellAnchor>
    <xdr:from>
      <xdr:col>3</xdr:col>
      <xdr:colOff>0</xdr:colOff>
      <xdr:row>10</xdr:row>
      <xdr:rowOff>0</xdr:rowOff>
    </xdr:from>
    <xdr:to>
      <xdr:col>3</xdr:col>
      <xdr:colOff>809625</xdr:colOff>
      <xdr:row>10</xdr:row>
      <xdr:rowOff>219075</xdr:rowOff>
    </xdr:to>
    <xdr:sp macro="" textlink="">
      <xdr:nvSpPr>
        <xdr:cNvPr id="7" name="TextBox 6">
          <a:hlinkClick xmlns:r="http://schemas.openxmlformats.org/officeDocument/2006/relationships" r:id="rId6"/>
          <a:extLst>
            <a:ext uri="{FF2B5EF4-FFF2-40B4-BE49-F238E27FC236}">
              <a16:creationId xmlns:a16="http://schemas.microsoft.com/office/drawing/2014/main" id="{00000000-0008-0000-0200-000007000000}"/>
            </a:ext>
          </a:extLst>
        </xdr:cNvPr>
        <xdr:cNvSpPr txBox="1"/>
      </xdr:nvSpPr>
      <xdr:spPr>
        <a:xfrm>
          <a:off x="10353675" y="2428875"/>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2</a:t>
          </a:r>
        </a:p>
      </xdr:txBody>
    </xdr:sp>
    <xdr:clientData/>
  </xdr:twoCellAnchor>
  <xdr:twoCellAnchor>
    <xdr:from>
      <xdr:col>3</xdr:col>
      <xdr:colOff>0</xdr:colOff>
      <xdr:row>18</xdr:row>
      <xdr:rowOff>0</xdr:rowOff>
    </xdr:from>
    <xdr:to>
      <xdr:col>3</xdr:col>
      <xdr:colOff>809625</xdr:colOff>
      <xdr:row>18</xdr:row>
      <xdr:rowOff>219075</xdr:rowOff>
    </xdr:to>
    <xdr:sp macro="" textlink="">
      <xdr:nvSpPr>
        <xdr:cNvPr id="8" name="TextBox 7">
          <a:hlinkClick xmlns:r="http://schemas.openxmlformats.org/officeDocument/2006/relationships" r:id="rId7"/>
          <a:extLst>
            <a:ext uri="{FF2B5EF4-FFF2-40B4-BE49-F238E27FC236}">
              <a16:creationId xmlns:a16="http://schemas.microsoft.com/office/drawing/2014/main" id="{00000000-0008-0000-0200-000008000000}"/>
            </a:ext>
          </a:extLst>
        </xdr:cNvPr>
        <xdr:cNvSpPr txBox="1"/>
      </xdr:nvSpPr>
      <xdr:spPr>
        <a:xfrm>
          <a:off x="10353675" y="6334125"/>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4</a:t>
          </a:r>
        </a:p>
      </xdr:txBody>
    </xdr:sp>
    <xdr:clientData/>
  </xdr:twoCellAnchor>
  <xdr:twoCellAnchor>
    <xdr:from>
      <xdr:col>3</xdr:col>
      <xdr:colOff>0</xdr:colOff>
      <xdr:row>33</xdr:row>
      <xdr:rowOff>0</xdr:rowOff>
    </xdr:from>
    <xdr:to>
      <xdr:col>3</xdr:col>
      <xdr:colOff>809625</xdr:colOff>
      <xdr:row>33</xdr:row>
      <xdr:rowOff>219075</xdr:rowOff>
    </xdr:to>
    <xdr:sp macro="" textlink="">
      <xdr:nvSpPr>
        <xdr:cNvPr id="9" name="TextBox 8">
          <a:hlinkClick xmlns:r="http://schemas.openxmlformats.org/officeDocument/2006/relationships" r:id="rId8"/>
          <a:extLst>
            <a:ext uri="{FF2B5EF4-FFF2-40B4-BE49-F238E27FC236}">
              <a16:creationId xmlns:a16="http://schemas.microsoft.com/office/drawing/2014/main" id="{00000000-0008-0000-0200-000009000000}"/>
            </a:ext>
          </a:extLst>
        </xdr:cNvPr>
        <xdr:cNvSpPr txBox="1"/>
      </xdr:nvSpPr>
      <xdr:spPr>
        <a:xfrm>
          <a:off x="10353675" y="12201525"/>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5</a:t>
          </a:r>
        </a:p>
      </xdr:txBody>
    </xdr:sp>
    <xdr:clientData/>
  </xdr:twoCellAnchor>
  <xdr:twoCellAnchor>
    <xdr:from>
      <xdr:col>3</xdr:col>
      <xdr:colOff>0</xdr:colOff>
      <xdr:row>21</xdr:row>
      <xdr:rowOff>0</xdr:rowOff>
    </xdr:from>
    <xdr:to>
      <xdr:col>3</xdr:col>
      <xdr:colOff>809625</xdr:colOff>
      <xdr:row>21</xdr:row>
      <xdr:rowOff>219075</xdr:rowOff>
    </xdr:to>
    <xdr:sp macro="" textlink="">
      <xdr:nvSpPr>
        <xdr:cNvPr id="10" name="TextBox 9">
          <a:hlinkClick xmlns:r="http://schemas.openxmlformats.org/officeDocument/2006/relationships" r:id="rId9"/>
          <a:extLst>
            <a:ext uri="{FF2B5EF4-FFF2-40B4-BE49-F238E27FC236}">
              <a16:creationId xmlns:a16="http://schemas.microsoft.com/office/drawing/2014/main" id="{00000000-0008-0000-0200-00000A000000}"/>
            </a:ext>
          </a:extLst>
        </xdr:cNvPr>
        <xdr:cNvSpPr txBox="1"/>
      </xdr:nvSpPr>
      <xdr:spPr>
        <a:xfrm>
          <a:off x="10353675" y="7296150"/>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Table 11</a:t>
          </a:r>
        </a:p>
      </xdr:txBody>
    </xdr:sp>
    <xdr:clientData/>
  </xdr:twoCellAnchor>
  <xdr:twoCellAnchor>
    <xdr:from>
      <xdr:col>3</xdr:col>
      <xdr:colOff>0</xdr:colOff>
      <xdr:row>23</xdr:row>
      <xdr:rowOff>0</xdr:rowOff>
    </xdr:from>
    <xdr:to>
      <xdr:col>3</xdr:col>
      <xdr:colOff>809625</xdr:colOff>
      <xdr:row>23</xdr:row>
      <xdr:rowOff>219075</xdr:rowOff>
    </xdr:to>
    <xdr:sp macro="" textlink="">
      <xdr:nvSpPr>
        <xdr:cNvPr id="11" name="TextBox 10">
          <a:hlinkClick xmlns:r="http://schemas.openxmlformats.org/officeDocument/2006/relationships" r:id="rId10"/>
          <a:extLst>
            <a:ext uri="{FF2B5EF4-FFF2-40B4-BE49-F238E27FC236}">
              <a16:creationId xmlns:a16="http://schemas.microsoft.com/office/drawing/2014/main" id="{00000000-0008-0000-0200-00000B000000}"/>
            </a:ext>
          </a:extLst>
        </xdr:cNvPr>
        <xdr:cNvSpPr txBox="1"/>
      </xdr:nvSpPr>
      <xdr:spPr>
        <a:xfrm>
          <a:off x="10353675" y="7953375"/>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Table 13</a:t>
          </a:r>
        </a:p>
      </xdr:txBody>
    </xdr:sp>
    <xdr:clientData/>
  </xdr:twoCellAnchor>
  <xdr:twoCellAnchor>
    <xdr:from>
      <xdr:col>3</xdr:col>
      <xdr:colOff>0</xdr:colOff>
      <xdr:row>25</xdr:row>
      <xdr:rowOff>0</xdr:rowOff>
    </xdr:from>
    <xdr:to>
      <xdr:col>3</xdr:col>
      <xdr:colOff>809625</xdr:colOff>
      <xdr:row>25</xdr:row>
      <xdr:rowOff>219075</xdr:rowOff>
    </xdr:to>
    <xdr:sp macro="" textlink="">
      <xdr:nvSpPr>
        <xdr:cNvPr id="12" name="TextBox 11">
          <a:hlinkClick xmlns:r="http://schemas.openxmlformats.org/officeDocument/2006/relationships" r:id="rId11"/>
          <a:extLst>
            <a:ext uri="{FF2B5EF4-FFF2-40B4-BE49-F238E27FC236}">
              <a16:creationId xmlns:a16="http://schemas.microsoft.com/office/drawing/2014/main" id="{00000000-0008-0000-0200-00000C000000}"/>
            </a:ext>
          </a:extLst>
        </xdr:cNvPr>
        <xdr:cNvSpPr txBox="1"/>
      </xdr:nvSpPr>
      <xdr:spPr>
        <a:xfrm>
          <a:off x="10353675" y="8648700"/>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9</a:t>
          </a:r>
        </a:p>
      </xdr:txBody>
    </xdr:sp>
    <xdr:clientData/>
  </xdr:twoCellAnchor>
  <xdr:twoCellAnchor>
    <xdr:from>
      <xdr:col>3</xdr:col>
      <xdr:colOff>933450</xdr:colOff>
      <xdr:row>25</xdr:row>
      <xdr:rowOff>9525</xdr:rowOff>
    </xdr:from>
    <xdr:to>
      <xdr:col>3</xdr:col>
      <xdr:colOff>1743075</xdr:colOff>
      <xdr:row>25</xdr:row>
      <xdr:rowOff>228600</xdr:rowOff>
    </xdr:to>
    <xdr:sp macro="" textlink="">
      <xdr:nvSpPr>
        <xdr:cNvPr id="13" name="TextBox 12">
          <a:hlinkClick xmlns:r="http://schemas.openxmlformats.org/officeDocument/2006/relationships" r:id="rId12"/>
          <a:extLst>
            <a:ext uri="{FF2B5EF4-FFF2-40B4-BE49-F238E27FC236}">
              <a16:creationId xmlns:a16="http://schemas.microsoft.com/office/drawing/2014/main" id="{00000000-0008-0000-0200-00000D000000}"/>
            </a:ext>
          </a:extLst>
        </xdr:cNvPr>
        <xdr:cNvSpPr txBox="1"/>
      </xdr:nvSpPr>
      <xdr:spPr>
        <a:xfrm>
          <a:off x="11287125" y="8658225"/>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10</a:t>
          </a:r>
        </a:p>
      </xdr:txBody>
    </xdr:sp>
    <xdr:clientData/>
  </xdr:twoCellAnchor>
  <xdr:twoCellAnchor>
    <xdr:from>
      <xdr:col>2</xdr:col>
      <xdr:colOff>104775</xdr:colOff>
      <xdr:row>29</xdr:row>
      <xdr:rowOff>304800</xdr:rowOff>
    </xdr:from>
    <xdr:to>
      <xdr:col>3</xdr:col>
      <xdr:colOff>790575</xdr:colOff>
      <xdr:row>30</xdr:row>
      <xdr:rowOff>200025</xdr:rowOff>
    </xdr:to>
    <xdr:sp macro="" textlink="">
      <xdr:nvSpPr>
        <xdr:cNvPr id="14" name="TextBox 13">
          <a:hlinkClick xmlns:r="http://schemas.openxmlformats.org/officeDocument/2006/relationships" r:id="rId13"/>
          <a:extLst>
            <a:ext uri="{FF2B5EF4-FFF2-40B4-BE49-F238E27FC236}">
              <a16:creationId xmlns:a16="http://schemas.microsoft.com/office/drawing/2014/main" id="{00000000-0008-0000-0200-00000E000000}"/>
            </a:ext>
          </a:extLst>
        </xdr:cNvPr>
        <xdr:cNvSpPr txBox="1"/>
      </xdr:nvSpPr>
      <xdr:spPr>
        <a:xfrm>
          <a:off x="10334625" y="11182350"/>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Table 17</a:t>
          </a:r>
        </a:p>
      </xdr:txBody>
    </xdr:sp>
    <xdr:clientData/>
  </xdr:twoCellAnchor>
  <xdr:twoCellAnchor>
    <xdr:from>
      <xdr:col>4</xdr:col>
      <xdr:colOff>47625</xdr:colOff>
      <xdr:row>35</xdr:row>
      <xdr:rowOff>0</xdr:rowOff>
    </xdr:from>
    <xdr:to>
      <xdr:col>4</xdr:col>
      <xdr:colOff>857625</xdr:colOff>
      <xdr:row>35</xdr:row>
      <xdr:rowOff>219600</xdr:rowOff>
    </xdr:to>
    <xdr:sp macro="" textlink="">
      <xdr:nvSpPr>
        <xdr:cNvPr id="15" name="TextBox 14">
          <a:hlinkClick xmlns:r="http://schemas.openxmlformats.org/officeDocument/2006/relationships" r:id="rId14"/>
          <a:extLst>
            <a:ext uri="{FF2B5EF4-FFF2-40B4-BE49-F238E27FC236}">
              <a16:creationId xmlns:a16="http://schemas.microsoft.com/office/drawing/2014/main" id="{00000000-0008-0000-0200-00000F000000}"/>
            </a:ext>
          </a:extLst>
        </xdr:cNvPr>
        <xdr:cNvSpPr txBox="1"/>
      </xdr:nvSpPr>
      <xdr:spPr>
        <a:xfrm>
          <a:off x="12439650" y="10934700"/>
          <a:ext cx="810000" cy="2196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12</a:t>
          </a:r>
        </a:p>
      </xdr:txBody>
    </xdr:sp>
    <xdr:clientData/>
  </xdr:twoCellAnchor>
  <xdr:twoCellAnchor>
    <xdr:from>
      <xdr:col>3</xdr:col>
      <xdr:colOff>0</xdr:colOff>
      <xdr:row>35</xdr:row>
      <xdr:rowOff>0</xdr:rowOff>
    </xdr:from>
    <xdr:to>
      <xdr:col>3</xdr:col>
      <xdr:colOff>809625</xdr:colOff>
      <xdr:row>35</xdr:row>
      <xdr:rowOff>219075</xdr:rowOff>
    </xdr:to>
    <xdr:sp macro="" textlink="">
      <xdr:nvSpPr>
        <xdr:cNvPr id="16" name="TextBox 15">
          <a:hlinkClick xmlns:r="http://schemas.openxmlformats.org/officeDocument/2006/relationships" r:id="rId15"/>
          <a:extLst>
            <a:ext uri="{FF2B5EF4-FFF2-40B4-BE49-F238E27FC236}">
              <a16:creationId xmlns:a16="http://schemas.microsoft.com/office/drawing/2014/main" id="{00000000-0008-0000-0200-000010000000}"/>
            </a:ext>
          </a:extLst>
        </xdr:cNvPr>
        <xdr:cNvSpPr txBox="1"/>
      </xdr:nvSpPr>
      <xdr:spPr>
        <a:xfrm>
          <a:off x="10353675" y="13011150"/>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6</a:t>
          </a:r>
        </a:p>
      </xdr:txBody>
    </xdr:sp>
    <xdr:clientData/>
  </xdr:twoCellAnchor>
  <xdr:twoCellAnchor>
    <xdr:from>
      <xdr:col>3</xdr:col>
      <xdr:colOff>933450</xdr:colOff>
      <xdr:row>35</xdr:row>
      <xdr:rowOff>0</xdr:rowOff>
    </xdr:from>
    <xdr:to>
      <xdr:col>3</xdr:col>
      <xdr:colOff>1743075</xdr:colOff>
      <xdr:row>35</xdr:row>
      <xdr:rowOff>219075</xdr:rowOff>
    </xdr:to>
    <xdr:sp macro="" textlink="">
      <xdr:nvSpPr>
        <xdr:cNvPr id="17" name="TextBox 16">
          <a:hlinkClick xmlns:r="http://schemas.openxmlformats.org/officeDocument/2006/relationships" r:id="rId16"/>
          <a:extLst>
            <a:ext uri="{FF2B5EF4-FFF2-40B4-BE49-F238E27FC236}">
              <a16:creationId xmlns:a16="http://schemas.microsoft.com/office/drawing/2014/main" id="{00000000-0008-0000-0200-000011000000}"/>
            </a:ext>
          </a:extLst>
        </xdr:cNvPr>
        <xdr:cNvSpPr txBox="1"/>
      </xdr:nvSpPr>
      <xdr:spPr>
        <a:xfrm>
          <a:off x="11287125" y="13011150"/>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8</a:t>
          </a:r>
        </a:p>
      </xdr:txBody>
    </xdr:sp>
    <xdr:clientData/>
  </xdr:twoCellAnchor>
  <xdr:twoCellAnchor>
    <xdr:from>
      <xdr:col>3</xdr:col>
      <xdr:colOff>904875</xdr:colOff>
      <xdr:row>32</xdr:row>
      <xdr:rowOff>227012</xdr:rowOff>
    </xdr:from>
    <xdr:to>
      <xdr:col>3</xdr:col>
      <xdr:colOff>1714875</xdr:colOff>
      <xdr:row>33</xdr:row>
      <xdr:rowOff>218012</xdr:rowOff>
    </xdr:to>
    <xdr:sp macro="" textlink="">
      <xdr:nvSpPr>
        <xdr:cNvPr id="18" name="TextBox 17">
          <a:hlinkClick xmlns:r="http://schemas.openxmlformats.org/officeDocument/2006/relationships" r:id="rId17"/>
          <a:extLst>
            <a:ext uri="{FF2B5EF4-FFF2-40B4-BE49-F238E27FC236}">
              <a16:creationId xmlns:a16="http://schemas.microsoft.com/office/drawing/2014/main" id="{00000000-0008-0000-0200-000012000000}"/>
            </a:ext>
          </a:extLst>
        </xdr:cNvPr>
        <xdr:cNvSpPr txBox="1"/>
      </xdr:nvSpPr>
      <xdr:spPr>
        <a:xfrm>
          <a:off x="11477625" y="10025062"/>
          <a:ext cx="810000" cy="2196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NZ" sz="900" u="sng">
              <a:solidFill>
                <a:srgbClr val="0070C0"/>
              </a:solidFill>
              <a:latin typeface="Arial" panose="020B0604020202020204" pitchFamily="34" charset="0"/>
              <a:ea typeface="+mn-ea"/>
              <a:cs typeface="Arial" panose="020B0604020202020204" pitchFamily="34" charset="0"/>
            </a:rPr>
            <a:t>Table 19</a:t>
          </a:r>
        </a:p>
      </xdr:txBody>
    </xdr:sp>
    <xdr:clientData/>
  </xdr:twoCellAnchor>
  <xdr:twoCellAnchor>
    <xdr:from>
      <xdr:col>3</xdr:col>
      <xdr:colOff>0</xdr:colOff>
      <xdr:row>28</xdr:row>
      <xdr:rowOff>0</xdr:rowOff>
    </xdr:from>
    <xdr:to>
      <xdr:col>3</xdr:col>
      <xdr:colOff>809625</xdr:colOff>
      <xdr:row>28</xdr:row>
      <xdr:rowOff>219075</xdr:rowOff>
    </xdr:to>
    <xdr:sp macro="" textlink="">
      <xdr:nvSpPr>
        <xdr:cNvPr id="19" name="TextBox 18">
          <a:hlinkClick xmlns:r="http://schemas.openxmlformats.org/officeDocument/2006/relationships" r:id="rId18"/>
          <a:extLst>
            <a:ext uri="{FF2B5EF4-FFF2-40B4-BE49-F238E27FC236}">
              <a16:creationId xmlns:a16="http://schemas.microsoft.com/office/drawing/2014/main" id="{00000000-0008-0000-0200-000013000000}"/>
            </a:ext>
          </a:extLst>
        </xdr:cNvPr>
        <xdr:cNvSpPr txBox="1"/>
      </xdr:nvSpPr>
      <xdr:spPr>
        <a:xfrm>
          <a:off x="10353675" y="10439400"/>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Table 16</a:t>
          </a:r>
        </a:p>
      </xdr:txBody>
    </xdr:sp>
    <xdr:clientData/>
  </xdr:twoCellAnchor>
  <xdr:twoCellAnchor>
    <xdr:from>
      <xdr:col>3</xdr:col>
      <xdr:colOff>933450</xdr:colOff>
      <xdr:row>28</xdr:row>
      <xdr:rowOff>0</xdr:rowOff>
    </xdr:from>
    <xdr:to>
      <xdr:col>3</xdr:col>
      <xdr:colOff>1743450</xdr:colOff>
      <xdr:row>28</xdr:row>
      <xdr:rowOff>219600</xdr:rowOff>
    </xdr:to>
    <xdr:sp macro="" textlink="">
      <xdr:nvSpPr>
        <xdr:cNvPr id="20" name="TextBox 19">
          <a:hlinkClick xmlns:r="http://schemas.openxmlformats.org/officeDocument/2006/relationships" r:id="rId19"/>
          <a:extLst>
            <a:ext uri="{FF2B5EF4-FFF2-40B4-BE49-F238E27FC236}">
              <a16:creationId xmlns:a16="http://schemas.microsoft.com/office/drawing/2014/main" id="{00000000-0008-0000-0200-000014000000}"/>
            </a:ext>
          </a:extLst>
        </xdr:cNvPr>
        <xdr:cNvSpPr txBox="1"/>
      </xdr:nvSpPr>
      <xdr:spPr>
        <a:xfrm>
          <a:off x="11287125" y="10439400"/>
          <a:ext cx="810000" cy="2196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NZ" sz="900" u="sng">
              <a:solidFill>
                <a:srgbClr val="0070C0"/>
              </a:solidFill>
              <a:latin typeface="Arial" panose="020B0604020202020204" pitchFamily="34" charset="0"/>
              <a:ea typeface="+mn-ea"/>
              <a:cs typeface="Arial" panose="020B0604020202020204" pitchFamily="34" charset="0"/>
            </a:rPr>
            <a:t>Table 18</a:t>
          </a:r>
        </a:p>
      </xdr:txBody>
    </xdr:sp>
    <xdr:clientData/>
  </xdr:twoCellAnchor>
  <xdr:twoCellAnchor>
    <xdr:from>
      <xdr:col>3</xdr:col>
      <xdr:colOff>0</xdr:colOff>
      <xdr:row>7</xdr:row>
      <xdr:rowOff>0</xdr:rowOff>
    </xdr:from>
    <xdr:to>
      <xdr:col>3</xdr:col>
      <xdr:colOff>809625</xdr:colOff>
      <xdr:row>7</xdr:row>
      <xdr:rowOff>219075</xdr:rowOff>
    </xdr:to>
    <xdr:sp macro="" textlink="">
      <xdr:nvSpPr>
        <xdr:cNvPr id="21" name="TextBox 20">
          <a:hlinkClick xmlns:r="http://schemas.openxmlformats.org/officeDocument/2006/relationships" r:id="rId20"/>
          <a:extLst>
            <a:ext uri="{FF2B5EF4-FFF2-40B4-BE49-F238E27FC236}">
              <a16:creationId xmlns:a16="http://schemas.microsoft.com/office/drawing/2014/main" id="{00000000-0008-0000-0200-000015000000}"/>
            </a:ext>
          </a:extLst>
        </xdr:cNvPr>
        <xdr:cNvSpPr txBox="1"/>
      </xdr:nvSpPr>
      <xdr:spPr>
        <a:xfrm>
          <a:off x="10353675" y="990600"/>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Table 1</a:t>
          </a:r>
        </a:p>
      </xdr:txBody>
    </xdr:sp>
    <xdr:clientData/>
  </xdr:twoCellAnchor>
  <xdr:twoCellAnchor>
    <xdr:from>
      <xdr:col>3</xdr:col>
      <xdr:colOff>38100</xdr:colOff>
      <xdr:row>37</xdr:row>
      <xdr:rowOff>314325</xdr:rowOff>
    </xdr:from>
    <xdr:to>
      <xdr:col>3</xdr:col>
      <xdr:colOff>847725</xdr:colOff>
      <xdr:row>38</xdr:row>
      <xdr:rowOff>209550</xdr:rowOff>
    </xdr:to>
    <xdr:sp macro="" textlink="">
      <xdr:nvSpPr>
        <xdr:cNvPr id="22" name="TextBox 21">
          <a:hlinkClick xmlns:r="http://schemas.openxmlformats.org/officeDocument/2006/relationships" r:id="rId21"/>
          <a:extLst>
            <a:ext uri="{FF2B5EF4-FFF2-40B4-BE49-F238E27FC236}">
              <a16:creationId xmlns:a16="http://schemas.microsoft.com/office/drawing/2014/main" id="{00000000-0008-0000-0200-000016000000}"/>
            </a:ext>
          </a:extLst>
        </xdr:cNvPr>
        <xdr:cNvSpPr txBox="1"/>
      </xdr:nvSpPr>
      <xdr:spPr>
        <a:xfrm>
          <a:off x="12220575" y="10772775"/>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Table 4</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cdr:x>
      <cdr:y>0.00583</cdr:y>
    </cdr:from>
    <cdr:to>
      <cdr:x>0.11095</cdr:x>
      <cdr:y>0.11688</cdr:y>
    </cdr:to>
    <cdr:sp macro="" textlink="">
      <cdr:nvSpPr>
        <cdr:cNvPr id="2" name="TextBox 1"/>
        <cdr:cNvSpPr txBox="1"/>
      </cdr:nvSpPr>
      <cdr:spPr>
        <a:xfrm xmlns:a="http://schemas.openxmlformats.org/drawingml/2006/main">
          <a:off x="0" y="17104"/>
          <a:ext cx="673181" cy="3257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a:t>
          </a:r>
          <a:r>
            <a:rPr lang="en-NZ" sz="1100" baseline="0"/>
            <a:t> </a:t>
          </a:r>
          <a:endParaRPr lang="en-NZ" sz="1100"/>
        </a:p>
      </cdr:txBody>
    </cdr:sp>
  </cdr:relSizeAnchor>
</c:userShapes>
</file>

<file path=xl/drawings/drawing21.xml><?xml version="1.0" encoding="utf-8"?>
<c:userShapes xmlns:c="http://schemas.openxmlformats.org/drawingml/2006/chart">
  <cdr:relSizeAnchor xmlns:cdr="http://schemas.openxmlformats.org/drawingml/2006/chartDrawing">
    <cdr:from>
      <cdr:x>0</cdr:x>
      <cdr:y>0.00583</cdr:y>
    </cdr:from>
    <cdr:to>
      <cdr:x>0.11095</cdr:x>
      <cdr:y>0.11688</cdr:y>
    </cdr:to>
    <cdr:sp macro="" textlink="">
      <cdr:nvSpPr>
        <cdr:cNvPr id="2" name="TextBox 1"/>
        <cdr:cNvSpPr txBox="1"/>
      </cdr:nvSpPr>
      <cdr:spPr>
        <a:xfrm xmlns:a="http://schemas.openxmlformats.org/drawingml/2006/main">
          <a:off x="0" y="17104"/>
          <a:ext cx="673181" cy="3257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a:t>
          </a:r>
          <a:r>
            <a:rPr lang="en-NZ" sz="1100" baseline="0"/>
            <a:t> </a:t>
          </a:r>
          <a:endParaRPr lang="en-NZ" sz="1100"/>
        </a:p>
      </cdr:txBody>
    </cdr:sp>
  </cdr:relSizeAnchor>
</c:userShapes>
</file>

<file path=xl/drawings/drawing22.xml><?xml version="1.0" encoding="utf-8"?>
<c:userShapes xmlns:c="http://schemas.openxmlformats.org/drawingml/2006/chart">
  <cdr:relSizeAnchor xmlns:cdr="http://schemas.openxmlformats.org/drawingml/2006/chartDrawing">
    <cdr:from>
      <cdr:x>0</cdr:x>
      <cdr:y>0.00583</cdr:y>
    </cdr:from>
    <cdr:to>
      <cdr:x>0.11095</cdr:x>
      <cdr:y>0.11688</cdr:y>
    </cdr:to>
    <cdr:sp macro="" textlink="">
      <cdr:nvSpPr>
        <cdr:cNvPr id="2" name="TextBox 1"/>
        <cdr:cNvSpPr txBox="1"/>
      </cdr:nvSpPr>
      <cdr:spPr>
        <a:xfrm xmlns:a="http://schemas.openxmlformats.org/drawingml/2006/main">
          <a:off x="0" y="17104"/>
          <a:ext cx="673181" cy="3257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a:t>
          </a:r>
          <a:r>
            <a:rPr lang="en-NZ" sz="1100" baseline="0"/>
            <a:t> </a:t>
          </a:r>
          <a:endParaRPr lang="en-NZ" sz="1100"/>
        </a:p>
      </cdr:txBody>
    </cdr:sp>
  </cdr:relSizeAnchor>
  <cdr:relSizeAnchor xmlns:cdr="http://schemas.openxmlformats.org/drawingml/2006/chartDrawing">
    <cdr:from>
      <cdr:x>0.01314</cdr:x>
      <cdr:y>0.85827</cdr:y>
    </cdr:from>
    <cdr:to>
      <cdr:x>0.98002</cdr:x>
      <cdr:y>0.97928</cdr:y>
    </cdr:to>
    <cdr:sp macro="" textlink="">
      <cdr:nvSpPr>
        <cdr:cNvPr id="3" name="TextBox 1"/>
        <cdr:cNvSpPr txBox="1"/>
      </cdr:nvSpPr>
      <cdr:spPr>
        <a:xfrm xmlns:a="http://schemas.openxmlformats.org/drawingml/2006/main">
          <a:off x="79350" y="3114676"/>
          <a:ext cx="5838844" cy="43915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NZ" sz="900">
              <a:solidFill>
                <a:schemeClr val="tx1">
                  <a:lumMod val="75000"/>
                  <a:lumOff val="25000"/>
                </a:schemeClr>
              </a:solidFill>
              <a:latin typeface="Arial" panose="020B0604020202020204" pitchFamily="34" charset="0"/>
              <a:cs typeface="Arial" panose="020B0604020202020204" pitchFamily="34" charset="0"/>
            </a:rPr>
            <a:t>Note: Blue and grey bars represent</a:t>
          </a:r>
          <a:r>
            <a:rPr lang="en-NZ" sz="900" baseline="0">
              <a:solidFill>
                <a:schemeClr val="tx1">
                  <a:lumMod val="75000"/>
                  <a:lumOff val="25000"/>
                </a:schemeClr>
              </a:solidFill>
              <a:latin typeface="Arial" panose="020B0604020202020204" pitchFamily="34" charset="0"/>
              <a:cs typeface="Arial" panose="020B0604020202020204" pitchFamily="34" charset="0"/>
            </a:rPr>
            <a:t> DHB fetal and infant death</a:t>
          </a:r>
          <a:r>
            <a:rPr lang="en-NZ" sz="900">
              <a:solidFill>
                <a:schemeClr val="tx1">
                  <a:lumMod val="75000"/>
                  <a:lumOff val="25000"/>
                </a:schemeClr>
              </a:solidFill>
              <a:latin typeface="Arial" panose="020B0604020202020204" pitchFamily="34" charset="0"/>
              <a:cs typeface="Arial" panose="020B0604020202020204" pitchFamily="34" charset="0"/>
            </a:rPr>
            <a:t> rates, respectively, with error bars as the 95% confidence interval. Orange dashes represent the national rate. Deprivation quintile was derived</a:t>
          </a:r>
          <a:r>
            <a:rPr lang="en-NZ" sz="900" baseline="0">
              <a:solidFill>
                <a:schemeClr val="tx1">
                  <a:lumMod val="75000"/>
                  <a:lumOff val="25000"/>
                </a:schemeClr>
              </a:solidFill>
              <a:latin typeface="Arial" panose="020B0604020202020204" pitchFamily="34" charset="0"/>
              <a:cs typeface="Arial" panose="020B0604020202020204" pitchFamily="34" charset="0"/>
            </a:rPr>
            <a:t> from the 2013 New Zealand Deprivation Index.</a:t>
          </a:r>
          <a:endParaRPr lang="en-NZ" sz="900">
            <a:solidFill>
              <a:schemeClr val="tx1">
                <a:lumMod val="75000"/>
                <a:lumOff val="25000"/>
              </a:schemeClr>
            </a:solidFill>
            <a:latin typeface="Arial" panose="020B0604020202020204" pitchFamily="34" charset="0"/>
            <a:cs typeface="Arial" panose="020B0604020202020204"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257175</xdr:colOff>
      <xdr:row>29</xdr:row>
      <xdr:rowOff>19050</xdr:rowOff>
    </xdr:from>
    <xdr:to>
      <xdr:col>11</xdr:col>
      <xdr:colOff>494469</xdr:colOff>
      <xdr:row>45</xdr:row>
      <xdr:rowOff>85725</xdr:rowOff>
    </xdr:to>
    <xdr:pic>
      <xdr:nvPicPr>
        <xdr:cNvPr id="5" name="Picture 4" descr="Time periods for each category, eg fetal, infant, early neonatal, late neonatal, post-neonatal, perinatal and neonatal deaths. " title="Time periods for fetal and infant deaths">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5476875"/>
          <a:ext cx="7457244" cy="3114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101</xdr:row>
      <xdr:rowOff>3</xdr:rowOff>
    </xdr:from>
    <xdr:to>
      <xdr:col>10</xdr:col>
      <xdr:colOff>323280</xdr:colOff>
      <xdr:row>152</xdr:row>
      <xdr:rowOff>4503</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3774403"/>
          <a:ext cx="6933630" cy="9720000"/>
        </a:xfrm>
        <a:prstGeom prst="rect">
          <a:avLst/>
        </a:prstGeom>
      </xdr:spPr>
    </xdr:pic>
    <xdr:clientData/>
  </xdr:twoCellAnchor>
  <xdr:twoCellAnchor editAs="oneCell">
    <xdr:from>
      <xdr:col>0</xdr:col>
      <xdr:colOff>0</xdr:colOff>
      <xdr:row>47</xdr:row>
      <xdr:rowOff>3</xdr:rowOff>
    </xdr:from>
    <xdr:to>
      <xdr:col>10</xdr:col>
      <xdr:colOff>409650</xdr:colOff>
      <xdr:row>98</xdr:row>
      <xdr:rowOff>125582</xdr:rowOff>
    </xdr:to>
    <xdr:pic>
      <xdr:nvPicPr>
        <xdr:cNvPr id="6" name="Picture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487403"/>
          <a:ext cx="7020000" cy="984107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20</xdr:row>
      <xdr:rowOff>28575</xdr:rowOff>
    </xdr:from>
    <xdr:to>
      <xdr:col>1</xdr:col>
      <xdr:colOff>4524375</xdr:colOff>
      <xdr:row>20</xdr:row>
      <xdr:rowOff>361950</xdr:rowOff>
    </xdr:to>
    <xdr:pic>
      <xdr:nvPicPr>
        <xdr:cNvPr id="19" name="Picture 18" descr="Infant deaths / live births * 1000" title="Infant death rate">
          <a:extLst>
            <a:ext uri="{FF2B5EF4-FFF2-40B4-BE49-F238E27FC236}">
              <a16:creationId xmlns:a16="http://schemas.microsoft.com/office/drawing/2014/main" id="{00000000-0008-0000-14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2075" y="9525000"/>
          <a:ext cx="452437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24</xdr:row>
      <xdr:rowOff>19050</xdr:rowOff>
    </xdr:from>
    <xdr:to>
      <xdr:col>1</xdr:col>
      <xdr:colOff>3438525</xdr:colOff>
      <xdr:row>24</xdr:row>
      <xdr:rowOff>352425</xdr:rowOff>
    </xdr:to>
    <xdr:pic>
      <xdr:nvPicPr>
        <xdr:cNvPr id="20" name="Picture 19" descr="Neonatal deaths / Live births * 1000" title="Neonatal death rate">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12106275"/>
          <a:ext cx="3429000"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26</xdr:row>
      <xdr:rowOff>38100</xdr:rowOff>
    </xdr:from>
    <xdr:to>
      <xdr:col>1</xdr:col>
      <xdr:colOff>3438525</xdr:colOff>
      <xdr:row>26</xdr:row>
      <xdr:rowOff>371475</xdr:rowOff>
    </xdr:to>
    <xdr:pic>
      <xdr:nvPicPr>
        <xdr:cNvPr id="21" name="Picture 20" descr="Perinatal deaths / Total births * 1000" title="Perinatal death rate">
          <a:extLst>
            <a:ext uri="{FF2B5EF4-FFF2-40B4-BE49-F238E27FC236}">
              <a16:creationId xmlns:a16="http://schemas.microsoft.com/office/drawing/2014/main" id="{00000000-0008-0000-14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13582650"/>
          <a:ext cx="3429000"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28</xdr:row>
      <xdr:rowOff>28575</xdr:rowOff>
    </xdr:from>
    <xdr:to>
      <xdr:col>1</xdr:col>
      <xdr:colOff>2038350</xdr:colOff>
      <xdr:row>28</xdr:row>
      <xdr:rowOff>361950</xdr:rowOff>
    </xdr:to>
    <xdr:pic>
      <xdr:nvPicPr>
        <xdr:cNvPr id="23" name="Picture 22" descr="Post-neonatal deaths / Live births * 1000" title="Post neonatal death rate">
          <a:extLst>
            <a:ext uri="{FF2B5EF4-FFF2-40B4-BE49-F238E27FC236}">
              <a16:creationId xmlns:a16="http://schemas.microsoft.com/office/drawing/2014/main" id="{00000000-0008-0000-1400-00001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90650" y="14706600"/>
          <a:ext cx="200977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36</xdr:row>
      <xdr:rowOff>28575</xdr:rowOff>
    </xdr:from>
    <xdr:to>
      <xdr:col>1</xdr:col>
      <xdr:colOff>1514475</xdr:colOff>
      <xdr:row>36</xdr:row>
      <xdr:rowOff>361950</xdr:rowOff>
    </xdr:to>
    <xdr:pic>
      <xdr:nvPicPr>
        <xdr:cNvPr id="24" name="Picture 23" descr="SUDI deaths / Live births * 1000" title="SUDI death rate">
          <a:extLst>
            <a:ext uri="{FF2B5EF4-FFF2-40B4-BE49-F238E27FC236}">
              <a16:creationId xmlns:a16="http://schemas.microsoft.com/office/drawing/2014/main" id="{00000000-0008-0000-1400-00001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81125" y="18754725"/>
          <a:ext cx="149542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1495425</xdr:colOff>
      <xdr:row>31</xdr:row>
      <xdr:rowOff>333375</xdr:rowOff>
    </xdr:to>
    <xdr:pic>
      <xdr:nvPicPr>
        <xdr:cNvPr id="25" name="Picture 24" descr="SIDS deaths / Live births * 1000" title="SIDS rate">
          <a:extLst>
            <a:ext uri="{FF2B5EF4-FFF2-40B4-BE49-F238E27FC236}">
              <a16:creationId xmlns:a16="http://schemas.microsoft.com/office/drawing/2014/main" id="{00000000-0008-0000-1400-00001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62075" y="16135350"/>
          <a:ext cx="149542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2838450</xdr:colOff>
      <xdr:row>16</xdr:row>
      <xdr:rowOff>333375</xdr:rowOff>
    </xdr:to>
    <xdr:pic>
      <xdr:nvPicPr>
        <xdr:cNvPr id="9" name="Picture 8" descr="(Fetal deaths/total births)*1000" title="Fetal death rate">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62075" y="8201025"/>
          <a:ext cx="2838450"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219075</xdr:colOff>
      <xdr:row>3</xdr:row>
      <xdr:rowOff>9525</xdr:rowOff>
    </xdr:from>
    <xdr:to>
      <xdr:col>4</xdr:col>
      <xdr:colOff>266700</xdr:colOff>
      <xdr:row>4</xdr:row>
      <xdr:rowOff>47625</xdr:rowOff>
    </xdr:to>
    <xdr:sp macro="" textlink="">
      <xdr:nvSpPr>
        <xdr:cNvPr id="2" name="Left Arrow 1" descr="Arrow to connect help with drop-down list." title="Left arrow">
          <a:extLst>
            <a:ext uri="{FF2B5EF4-FFF2-40B4-BE49-F238E27FC236}">
              <a16:creationId xmlns:a16="http://schemas.microsoft.com/office/drawing/2014/main" id="{00000000-0008-0000-0400-000002000000}"/>
            </a:ext>
          </a:extLst>
        </xdr:cNvPr>
        <xdr:cNvSpPr/>
      </xdr:nvSpPr>
      <xdr:spPr>
        <a:xfrm>
          <a:off x="3009900" y="647700"/>
          <a:ext cx="590550" cy="228600"/>
        </a:xfrm>
        <a:prstGeom prst="leftArrow">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4</xdr:col>
      <xdr:colOff>323851</xdr:colOff>
      <xdr:row>2</xdr:row>
      <xdr:rowOff>47625</xdr:rowOff>
    </xdr:from>
    <xdr:to>
      <xdr:col>10</xdr:col>
      <xdr:colOff>495301</xdr:colOff>
      <xdr:row>5</xdr:row>
      <xdr:rowOff>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3714751" y="428625"/>
          <a:ext cx="3352800" cy="590550"/>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NZ" sz="1000">
              <a:solidFill>
                <a:schemeClr val="accent6">
                  <a:lumMod val="75000"/>
                </a:schemeClr>
              </a:solidFill>
              <a:latin typeface="Arial" panose="020B0604020202020204" pitchFamily="34" charset="0"/>
              <a:cs typeface="Arial" panose="020B0604020202020204" pitchFamily="34" charset="0"/>
            </a:rPr>
            <a:t>Select cell B4. Click</a:t>
          </a:r>
          <a:r>
            <a:rPr lang="en-NZ" sz="1000" baseline="0">
              <a:solidFill>
                <a:schemeClr val="accent6">
                  <a:lumMod val="75000"/>
                </a:schemeClr>
              </a:solidFill>
              <a:latin typeface="Arial" panose="020B0604020202020204" pitchFamily="34" charset="0"/>
              <a:cs typeface="Arial" panose="020B0604020202020204" pitchFamily="34" charset="0"/>
            </a:rPr>
            <a:t> on the down arrow. Select a death type from the drop down list. This will update the tables below to show data for your selection.</a:t>
          </a:r>
          <a:endParaRPr lang="en-NZ" sz="1000">
            <a:solidFill>
              <a:schemeClr val="accent6">
                <a:lumMod val="75000"/>
              </a:schemeClr>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171450</xdr:colOff>
      <xdr:row>4</xdr:row>
      <xdr:rowOff>561975</xdr:rowOff>
    </xdr:from>
    <xdr:to>
      <xdr:col>3</xdr:col>
      <xdr:colOff>209550</xdr:colOff>
      <xdr:row>5</xdr:row>
      <xdr:rowOff>209550</xdr:rowOff>
    </xdr:to>
    <xdr:sp macro="" textlink="">
      <xdr:nvSpPr>
        <xdr:cNvPr id="2" name="Left Arrow 1" descr="Arrow to connect help with drop-down list." title="Left arrow">
          <a:extLst>
            <a:ext uri="{FF2B5EF4-FFF2-40B4-BE49-F238E27FC236}">
              <a16:creationId xmlns:a16="http://schemas.microsoft.com/office/drawing/2014/main" id="{00000000-0008-0000-0E00-000002000000}"/>
            </a:ext>
          </a:extLst>
        </xdr:cNvPr>
        <xdr:cNvSpPr/>
      </xdr:nvSpPr>
      <xdr:spPr>
        <a:xfrm>
          <a:off x="2419350" y="1314450"/>
          <a:ext cx="590550" cy="228600"/>
        </a:xfrm>
        <a:prstGeom prst="leftArrow">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3</xdr:col>
      <xdr:colOff>238126</xdr:colOff>
      <xdr:row>4</xdr:row>
      <xdr:rowOff>352425</xdr:rowOff>
    </xdr:from>
    <xdr:to>
      <xdr:col>11</xdr:col>
      <xdr:colOff>238125</xdr:colOff>
      <xdr:row>5</xdr:row>
      <xdr:rowOff>209550</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3038476" y="1104900"/>
          <a:ext cx="4419599" cy="438150"/>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NZ" sz="1000">
              <a:solidFill>
                <a:schemeClr val="accent6">
                  <a:lumMod val="75000"/>
                </a:schemeClr>
              </a:solidFill>
              <a:latin typeface="Arial" panose="020B0604020202020204" pitchFamily="34" charset="0"/>
              <a:cs typeface="Arial" panose="020B0604020202020204" pitchFamily="34" charset="0"/>
            </a:rPr>
            <a:t>Select cell B6. Click</a:t>
          </a:r>
          <a:r>
            <a:rPr lang="en-NZ" sz="1000" baseline="0">
              <a:solidFill>
                <a:schemeClr val="accent6">
                  <a:lumMod val="75000"/>
                </a:schemeClr>
              </a:solidFill>
              <a:latin typeface="Arial" panose="020B0604020202020204" pitchFamily="34" charset="0"/>
              <a:cs typeface="Arial" panose="020B0604020202020204" pitchFamily="34" charset="0"/>
            </a:rPr>
            <a:t> on the down arrow. Select SIDS or SUDI from the drop down list. This will update the tables below to show data for your selection.</a:t>
          </a:r>
          <a:endParaRPr lang="en-NZ" sz="1000">
            <a:solidFill>
              <a:schemeClr val="accent6">
                <a:lumMod val="75000"/>
              </a:schemeClr>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171778</xdr:colOff>
      <xdr:row>54</xdr:row>
      <xdr:rowOff>21432</xdr:rowOff>
    </xdr:from>
    <xdr:to>
      <xdr:col>15</xdr:col>
      <xdr:colOff>157463</xdr:colOff>
      <xdr:row>55</xdr:row>
      <xdr:rowOff>116682</xdr:rowOff>
    </xdr:to>
    <xdr:pic>
      <xdr:nvPicPr>
        <xdr:cNvPr id="2" name="Picture 1" title="Ministry of Health logo">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30028" y="9308307"/>
          <a:ext cx="580998" cy="285750"/>
        </a:xfrm>
        <a:prstGeom prst="rect">
          <a:avLst/>
        </a:prstGeom>
      </xdr:spPr>
    </xdr:pic>
    <xdr:clientData/>
  </xdr:twoCellAnchor>
  <xdr:twoCellAnchor editAs="oneCell">
    <xdr:from>
      <xdr:col>14</xdr:col>
      <xdr:colOff>266700</xdr:colOff>
      <xdr:row>78</xdr:row>
      <xdr:rowOff>47625</xdr:rowOff>
    </xdr:from>
    <xdr:to>
      <xdr:col>15</xdr:col>
      <xdr:colOff>252385</xdr:colOff>
      <xdr:row>79</xdr:row>
      <xdr:rowOff>142875</xdr:rowOff>
    </xdr:to>
    <xdr:pic>
      <xdr:nvPicPr>
        <xdr:cNvPr id="20" name="Picture 19" title="Ministry of Health logo">
          <a:extLst>
            <a:ext uri="{FF2B5EF4-FFF2-40B4-BE49-F238E27FC236}">
              <a16:creationId xmlns:a16="http://schemas.microsoft.com/office/drawing/2014/main" id="{00000000-0008-0000-10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29725" y="9296400"/>
          <a:ext cx="576235" cy="285750"/>
        </a:xfrm>
        <a:prstGeom prst="rect">
          <a:avLst/>
        </a:prstGeom>
      </xdr:spPr>
    </xdr:pic>
    <xdr:clientData/>
  </xdr:twoCellAnchor>
  <xdr:twoCellAnchor editAs="oneCell">
    <xdr:from>
      <xdr:col>14</xdr:col>
      <xdr:colOff>266700</xdr:colOff>
      <xdr:row>102</xdr:row>
      <xdr:rowOff>66675</xdr:rowOff>
    </xdr:from>
    <xdr:to>
      <xdr:col>15</xdr:col>
      <xdr:colOff>252385</xdr:colOff>
      <xdr:row>103</xdr:row>
      <xdr:rowOff>161925</xdr:rowOff>
    </xdr:to>
    <xdr:pic>
      <xdr:nvPicPr>
        <xdr:cNvPr id="21" name="Picture 20" title="Ministry of Health logo">
          <a:extLst>
            <a:ext uri="{FF2B5EF4-FFF2-40B4-BE49-F238E27FC236}">
              <a16:creationId xmlns:a16="http://schemas.microsoft.com/office/drawing/2014/main" id="{00000000-0008-0000-10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29725" y="13887450"/>
          <a:ext cx="576235" cy="285750"/>
        </a:xfrm>
        <a:prstGeom prst="rect">
          <a:avLst/>
        </a:prstGeom>
      </xdr:spPr>
    </xdr:pic>
    <xdr:clientData/>
  </xdr:twoCellAnchor>
  <xdr:twoCellAnchor editAs="oneCell">
    <xdr:from>
      <xdr:col>14</xdr:col>
      <xdr:colOff>238125</xdr:colOff>
      <xdr:row>127</xdr:row>
      <xdr:rowOff>66675</xdr:rowOff>
    </xdr:from>
    <xdr:to>
      <xdr:col>15</xdr:col>
      <xdr:colOff>223810</xdr:colOff>
      <xdr:row>128</xdr:row>
      <xdr:rowOff>161925</xdr:rowOff>
    </xdr:to>
    <xdr:pic>
      <xdr:nvPicPr>
        <xdr:cNvPr id="22" name="Picture 21" title="Ministry of Health logo">
          <a:extLst>
            <a:ext uri="{FF2B5EF4-FFF2-40B4-BE49-F238E27FC236}">
              <a16:creationId xmlns:a16="http://schemas.microsoft.com/office/drawing/2014/main" id="{00000000-0008-0000-10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15425" y="23631525"/>
          <a:ext cx="576235" cy="285750"/>
        </a:xfrm>
        <a:prstGeom prst="rect">
          <a:avLst/>
        </a:prstGeom>
      </xdr:spPr>
    </xdr:pic>
    <xdr:clientData/>
  </xdr:twoCellAnchor>
  <xdr:twoCellAnchor editAs="oneCell">
    <xdr:from>
      <xdr:col>14</xdr:col>
      <xdr:colOff>190500</xdr:colOff>
      <xdr:row>150</xdr:row>
      <xdr:rowOff>66675</xdr:rowOff>
    </xdr:from>
    <xdr:to>
      <xdr:col>15</xdr:col>
      <xdr:colOff>176185</xdr:colOff>
      <xdr:row>151</xdr:row>
      <xdr:rowOff>161925</xdr:rowOff>
    </xdr:to>
    <xdr:pic>
      <xdr:nvPicPr>
        <xdr:cNvPr id="23" name="Picture 22" title="Ministry of Health logo">
          <a:extLst>
            <a:ext uri="{FF2B5EF4-FFF2-40B4-BE49-F238E27FC236}">
              <a16:creationId xmlns:a16="http://schemas.microsoft.com/office/drawing/2014/main" id="{00000000-0008-0000-10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9700" y="27679650"/>
          <a:ext cx="576235" cy="285750"/>
        </a:xfrm>
        <a:prstGeom prst="rect">
          <a:avLst/>
        </a:prstGeom>
      </xdr:spPr>
    </xdr:pic>
    <xdr:clientData/>
  </xdr:twoCellAnchor>
  <xdr:twoCellAnchor editAs="oneCell">
    <xdr:from>
      <xdr:col>14</xdr:col>
      <xdr:colOff>238125</xdr:colOff>
      <xdr:row>173</xdr:row>
      <xdr:rowOff>47625</xdr:rowOff>
    </xdr:from>
    <xdr:to>
      <xdr:col>15</xdr:col>
      <xdr:colOff>223810</xdr:colOff>
      <xdr:row>174</xdr:row>
      <xdr:rowOff>142875</xdr:rowOff>
    </xdr:to>
    <xdr:pic>
      <xdr:nvPicPr>
        <xdr:cNvPr id="24" name="Picture 23" title="Ministry of Health logo">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77325" y="31851600"/>
          <a:ext cx="576235" cy="285750"/>
        </a:xfrm>
        <a:prstGeom prst="rect">
          <a:avLst/>
        </a:prstGeom>
      </xdr:spPr>
    </xdr:pic>
    <xdr:clientData/>
  </xdr:twoCellAnchor>
  <xdr:twoCellAnchor editAs="oneCell">
    <xdr:from>
      <xdr:col>14</xdr:col>
      <xdr:colOff>190500</xdr:colOff>
      <xdr:row>196</xdr:row>
      <xdr:rowOff>9525</xdr:rowOff>
    </xdr:from>
    <xdr:to>
      <xdr:col>15</xdr:col>
      <xdr:colOff>176185</xdr:colOff>
      <xdr:row>197</xdr:row>
      <xdr:rowOff>104775</xdr:rowOff>
    </xdr:to>
    <xdr:pic>
      <xdr:nvPicPr>
        <xdr:cNvPr id="25" name="Picture 24" title="Ministry of Health logo">
          <a:extLst>
            <a:ext uri="{FF2B5EF4-FFF2-40B4-BE49-F238E27FC236}">
              <a16:creationId xmlns:a16="http://schemas.microsoft.com/office/drawing/2014/main" id="{00000000-0008-0000-10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9700" y="36195000"/>
          <a:ext cx="576235" cy="285750"/>
        </a:xfrm>
        <a:prstGeom prst="rect">
          <a:avLst/>
        </a:prstGeom>
      </xdr:spPr>
    </xdr:pic>
    <xdr:clientData/>
  </xdr:twoCellAnchor>
  <xdr:oneCellAnchor>
    <xdr:from>
      <xdr:col>17</xdr:col>
      <xdr:colOff>228928</xdr:colOff>
      <xdr:row>28</xdr:row>
      <xdr:rowOff>142875</xdr:rowOff>
    </xdr:from>
    <xdr:ext cx="576235" cy="323851"/>
    <xdr:pic>
      <xdr:nvPicPr>
        <xdr:cNvPr id="17" name="Picture 16" title="Ministry of Health logo">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2603" y="5400675"/>
          <a:ext cx="576235" cy="323851"/>
        </a:xfrm>
        <a:prstGeom prst="rect">
          <a:avLst/>
        </a:prstGeom>
      </xdr:spPr>
    </xdr:pic>
    <xdr:clientData/>
  </xdr:oneCellAnchor>
  <xdr:twoCellAnchor>
    <xdr:from>
      <xdr:col>0</xdr:col>
      <xdr:colOff>161924</xdr:colOff>
      <xdr:row>6</xdr:row>
      <xdr:rowOff>19050</xdr:rowOff>
    </xdr:from>
    <xdr:to>
      <xdr:col>11</xdr:col>
      <xdr:colOff>561975</xdr:colOff>
      <xdr:row>30</xdr:row>
      <xdr:rowOff>47625</xdr:rowOff>
    </xdr:to>
    <xdr:graphicFrame macro="">
      <xdr:nvGraphicFramePr>
        <xdr:cNvPr id="18" name="Chart 17" title="Figure 1: Number and rate of fetal and infant deaths, 1996-2012">
          <a:extLst>
            <a:ext uri="{FF2B5EF4-FFF2-40B4-BE49-F238E27FC236}">
              <a16:creationId xmlns:a16="http://schemas.microsoft.com/office/drawing/2014/main" id="{00000000-0008-0000-1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78582</xdr:colOff>
      <xdr:row>36</xdr:row>
      <xdr:rowOff>23811</xdr:rowOff>
    </xdr:from>
    <xdr:to>
      <xdr:col>10</xdr:col>
      <xdr:colOff>354019</xdr:colOff>
      <xdr:row>55</xdr:row>
      <xdr:rowOff>147636</xdr:rowOff>
    </xdr:to>
    <xdr:graphicFrame macro="">
      <xdr:nvGraphicFramePr>
        <xdr:cNvPr id="26" name="Chart 25" title="Figure 2: Fetal and infant death rates by ethnic group, 2007-2011 and 2012">
          <a:extLst>
            <a:ext uri="{FF2B5EF4-FFF2-40B4-BE49-F238E27FC236}">
              <a16:creationId xmlns:a16="http://schemas.microsoft.com/office/drawing/2014/main" id="{00000000-0008-0000-1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60</xdr:row>
      <xdr:rowOff>0</xdr:rowOff>
    </xdr:from>
    <xdr:to>
      <xdr:col>10</xdr:col>
      <xdr:colOff>442125</xdr:colOff>
      <xdr:row>79</xdr:row>
      <xdr:rowOff>104775</xdr:rowOff>
    </xdr:to>
    <xdr:graphicFrame macro="">
      <xdr:nvGraphicFramePr>
        <xdr:cNvPr id="27" name="Chart 26" title="Figure 3: Fetal and infant death rates by maternal age group, 2007-2011 and 2012">
          <a:extLst>
            <a:ext uri="{FF2B5EF4-FFF2-40B4-BE49-F238E27FC236}">
              <a16:creationId xmlns:a16="http://schemas.microsoft.com/office/drawing/2014/main" id="{00000000-0008-0000-10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19050</xdr:colOff>
      <xdr:row>84</xdr:row>
      <xdr:rowOff>19049</xdr:rowOff>
    </xdr:from>
    <xdr:to>
      <xdr:col>10</xdr:col>
      <xdr:colOff>461175</xdr:colOff>
      <xdr:row>103</xdr:row>
      <xdr:rowOff>57150</xdr:rowOff>
    </xdr:to>
    <xdr:graphicFrame macro="">
      <xdr:nvGraphicFramePr>
        <xdr:cNvPr id="28" name="Chart 27" title="Figure 4: Rate of fetal and infant deaths by deprivation quintile of residence, 2007-2011 and 2012">
          <a:extLst>
            <a:ext uri="{FF2B5EF4-FFF2-40B4-BE49-F238E27FC236}">
              <a16:creationId xmlns:a16="http://schemas.microsoft.com/office/drawing/2014/main" id="{00000000-0008-0000-1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108</xdr:row>
      <xdr:rowOff>0</xdr:rowOff>
    </xdr:from>
    <xdr:to>
      <xdr:col>11</xdr:col>
      <xdr:colOff>438150</xdr:colOff>
      <xdr:row>128</xdr:row>
      <xdr:rowOff>133350</xdr:rowOff>
    </xdr:to>
    <xdr:graphicFrame macro="">
      <xdr:nvGraphicFramePr>
        <xdr:cNvPr id="30" name="Chart 29" title="Figure 5: Rates of sudden unexpected death in infancy (SUDI) and sudden infant death syndrome (SIDS), 2000-2012">
          <a:extLst>
            <a:ext uri="{FF2B5EF4-FFF2-40B4-BE49-F238E27FC236}">
              <a16:creationId xmlns:a16="http://schemas.microsoft.com/office/drawing/2014/main" id="{00000000-0008-0000-1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133</xdr:row>
      <xdr:rowOff>0</xdr:rowOff>
    </xdr:from>
    <xdr:to>
      <xdr:col>11</xdr:col>
      <xdr:colOff>28575</xdr:colOff>
      <xdr:row>151</xdr:row>
      <xdr:rowOff>171000</xdr:rowOff>
    </xdr:to>
    <xdr:graphicFrame macro="">
      <xdr:nvGraphicFramePr>
        <xdr:cNvPr id="32" name="Chart 31" title="Figure 6: Rates of SUDI and SIDS, by ethnic group, 2008-2012">
          <a:extLst>
            <a:ext uri="{FF2B5EF4-FFF2-40B4-BE49-F238E27FC236}">
              <a16:creationId xmlns:a16="http://schemas.microsoft.com/office/drawing/2014/main" id="{00000000-0008-0000-1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156</xdr:row>
      <xdr:rowOff>0</xdr:rowOff>
    </xdr:from>
    <xdr:to>
      <xdr:col>11</xdr:col>
      <xdr:colOff>28575</xdr:colOff>
      <xdr:row>174</xdr:row>
      <xdr:rowOff>171000</xdr:rowOff>
    </xdr:to>
    <xdr:graphicFrame macro="">
      <xdr:nvGraphicFramePr>
        <xdr:cNvPr id="33" name="Chart 32" title="Figure 7: Rates of SUDI and SIDS, by maternal age group, 2008-2012">
          <a:extLst>
            <a:ext uri="{FF2B5EF4-FFF2-40B4-BE49-F238E27FC236}">
              <a16:creationId xmlns:a16="http://schemas.microsoft.com/office/drawing/2014/main" id="{00000000-0008-0000-1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179</xdr:row>
      <xdr:rowOff>0</xdr:rowOff>
    </xdr:from>
    <xdr:to>
      <xdr:col>11</xdr:col>
      <xdr:colOff>28575</xdr:colOff>
      <xdr:row>197</xdr:row>
      <xdr:rowOff>171000</xdr:rowOff>
    </xdr:to>
    <xdr:graphicFrame macro="">
      <xdr:nvGraphicFramePr>
        <xdr:cNvPr id="34" name="Chart 33" title="Rates of SUDI and SIDS, by deprivation quintile, 2008-2012">
          <a:extLst>
            <a:ext uri="{FF2B5EF4-FFF2-40B4-BE49-F238E27FC236}">
              <a16:creationId xmlns:a16="http://schemas.microsoft.com/office/drawing/2014/main" id="{00000000-0008-0000-1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159543</xdr:colOff>
      <xdr:row>53</xdr:row>
      <xdr:rowOff>166688</xdr:rowOff>
    </xdr:from>
    <xdr:to>
      <xdr:col>7</xdr:col>
      <xdr:colOff>102393</xdr:colOff>
      <xdr:row>55</xdr:row>
      <xdr:rowOff>14289</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326231" y="9263063"/>
          <a:ext cx="3955256" cy="228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solidFill>
                <a:schemeClr val="tx1">
                  <a:lumMod val="65000"/>
                  <a:lumOff val="35000"/>
                </a:schemeClr>
              </a:solidFill>
              <a:latin typeface="Arial" panose="020B0604020202020204" pitchFamily="34" charset="0"/>
              <a:cs typeface="Arial" panose="020B0604020202020204" pitchFamily="34" charset="0"/>
            </a:rPr>
            <a:t>Note: Error bars represent 95% confidence interval</a:t>
          </a:r>
          <a:r>
            <a:rPr lang="en-NZ" sz="900" baseline="0">
              <a:solidFill>
                <a:schemeClr val="tx1">
                  <a:lumMod val="65000"/>
                  <a:lumOff val="35000"/>
                </a:schemeClr>
              </a:solidFill>
              <a:latin typeface="Arial" panose="020B0604020202020204" pitchFamily="34" charset="0"/>
              <a:cs typeface="Arial" panose="020B0604020202020204" pitchFamily="34" charset="0"/>
            </a:rPr>
            <a:t> for each ethnic group</a:t>
          </a:r>
          <a:endParaRPr lang="en-NZ" sz="90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oneCellAnchor>
    <xdr:from>
      <xdr:col>21</xdr:col>
      <xdr:colOff>295275</xdr:colOff>
      <xdr:row>58</xdr:row>
      <xdr:rowOff>57150</xdr:rowOff>
    </xdr:from>
    <xdr:ext cx="184731" cy="264560"/>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12706350" y="1033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NZ" sz="1100"/>
        </a:p>
      </xdr:txBody>
    </xdr:sp>
    <xdr:clientData/>
  </xdr:oneCellAnchor>
</xdr:wsDr>
</file>

<file path=xl/drawings/drawing6.xml><?xml version="1.0" encoding="utf-8"?>
<c:userShapes xmlns:c="http://schemas.openxmlformats.org/drawingml/2006/chart">
  <cdr:relSizeAnchor xmlns:cdr="http://schemas.openxmlformats.org/drawingml/2006/chartDrawing">
    <cdr:from>
      <cdr:x>0.00641</cdr:x>
      <cdr:y>0.02205</cdr:y>
    </cdr:from>
    <cdr:to>
      <cdr:x>0.30788</cdr:x>
      <cdr:y>0.08672</cdr:y>
    </cdr:to>
    <cdr:sp macro="" textlink="">
      <cdr:nvSpPr>
        <cdr:cNvPr id="2" name="TextBox 1"/>
        <cdr:cNvSpPr txBox="1"/>
      </cdr:nvSpPr>
      <cdr:spPr>
        <a:xfrm xmlns:a="http://schemas.openxmlformats.org/drawingml/2006/main">
          <a:off x="38100" y="71438"/>
          <a:ext cx="17907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0.00437</cdr:y>
    </cdr:from>
    <cdr:to>
      <cdr:x>0.35759</cdr:x>
      <cdr:y>0.06904</cdr:y>
    </cdr:to>
    <cdr:sp macro="" textlink="">
      <cdr:nvSpPr>
        <cdr:cNvPr id="3" name="TextBox 2"/>
        <cdr:cNvSpPr txBox="1"/>
      </cdr:nvSpPr>
      <cdr:spPr>
        <a:xfrm xmlns:a="http://schemas.openxmlformats.org/drawingml/2006/main">
          <a:off x="0" y="16498"/>
          <a:ext cx="2292268" cy="2439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NZ" sz="900" b="1">
              <a:latin typeface="Arial" panose="020B0604020202020204" pitchFamily="34" charset="0"/>
              <a:cs typeface="Arial" panose="020B0604020202020204" pitchFamily="34" charset="0"/>
            </a:rPr>
            <a:t>Number of deaths</a:t>
          </a:r>
        </a:p>
      </cdr:txBody>
    </cdr:sp>
  </cdr:relSizeAnchor>
  <cdr:relSizeAnchor xmlns:cdr="http://schemas.openxmlformats.org/drawingml/2006/chartDrawing">
    <cdr:from>
      <cdr:x>0.58513</cdr:x>
      <cdr:y>0</cdr:y>
    </cdr:from>
    <cdr:to>
      <cdr:x>0.94272</cdr:x>
      <cdr:y>0.06467</cdr:y>
    </cdr:to>
    <cdr:sp macro="" textlink="">
      <cdr:nvSpPr>
        <cdr:cNvPr id="4" name="TextBox 1"/>
        <cdr:cNvSpPr txBox="1"/>
      </cdr:nvSpPr>
      <cdr:spPr>
        <a:xfrm xmlns:a="http://schemas.openxmlformats.org/drawingml/2006/main">
          <a:off x="4113174" y="0"/>
          <a:ext cx="2513661" cy="2895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NZ" sz="900" b="1">
              <a:solidFill>
                <a:schemeClr val="tx1">
                  <a:lumMod val="75000"/>
                  <a:lumOff val="25000"/>
                </a:schemeClr>
              </a:solidFill>
              <a:latin typeface="Arial" panose="020B0604020202020204" pitchFamily="34" charset="0"/>
              <a:cs typeface="Arial" panose="020B0604020202020204" pitchFamily="34" charset="0"/>
            </a:rPr>
            <a:t>Fetal</a:t>
          </a:r>
          <a:r>
            <a:rPr lang="en-NZ" sz="900" b="1" baseline="0">
              <a:solidFill>
                <a:schemeClr val="tx1">
                  <a:lumMod val="75000"/>
                  <a:lumOff val="25000"/>
                </a:schemeClr>
              </a:solidFill>
              <a:latin typeface="Arial" panose="020B0604020202020204" pitchFamily="34" charset="0"/>
              <a:cs typeface="Arial" panose="020B0604020202020204" pitchFamily="34" charset="0"/>
            </a:rPr>
            <a:t> / infant death rate</a:t>
          </a:r>
          <a:endParaRPr lang="en-NZ" sz="900" b="1">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0.00743</cdr:x>
      <cdr:y>0.8867</cdr:y>
    </cdr:from>
    <cdr:to>
      <cdr:x>0.98617</cdr:x>
      <cdr:y>0.99218</cdr:y>
    </cdr:to>
    <cdr:sp macro="" textlink="">
      <cdr:nvSpPr>
        <cdr:cNvPr id="5" name="TextBox 4" title="Notes for Figure 1"/>
        <cdr:cNvSpPr txBox="1"/>
      </cdr:nvSpPr>
      <cdr:spPr>
        <a:xfrm xmlns:a="http://schemas.openxmlformats.org/drawingml/2006/main">
          <a:off x="47626" y="3429000"/>
          <a:ext cx="6274044" cy="4079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solidFill>
                <a:schemeClr val="tx1">
                  <a:lumMod val="75000"/>
                  <a:lumOff val="25000"/>
                </a:schemeClr>
              </a:solidFill>
              <a:latin typeface="Arial" panose="020B0604020202020204" pitchFamily="34" charset="0"/>
              <a:cs typeface="Arial" panose="020B0604020202020204" pitchFamily="34" charset="0"/>
            </a:rPr>
            <a:t>Note: Bar</a:t>
          </a:r>
          <a:r>
            <a:rPr lang="en-NZ" sz="900" baseline="0">
              <a:solidFill>
                <a:schemeClr val="tx1">
                  <a:lumMod val="75000"/>
                  <a:lumOff val="25000"/>
                </a:schemeClr>
              </a:solidFill>
              <a:latin typeface="Arial" panose="020B0604020202020204" pitchFamily="34" charset="0"/>
              <a:cs typeface="Arial" panose="020B0604020202020204" pitchFamily="34" charset="0"/>
            </a:rPr>
            <a:t>s represent the number of fetal / infant deaths and lines represent the rate of infant / fetal deaths. Fetal death rate is expressed as deaths per 1000 total births. Infant death rate is expressed as deaths per 1000 live births.</a:t>
          </a:r>
          <a:endParaRPr lang="en-NZ" sz="900">
            <a:solidFill>
              <a:schemeClr val="tx1">
                <a:lumMod val="75000"/>
                <a:lumOff val="25000"/>
              </a:schemeClr>
            </a:solidFill>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0.01361</cdr:x>
      <cdr:y>0.01588</cdr:y>
    </cdr:from>
    <cdr:to>
      <cdr:x>0.22225</cdr:x>
      <cdr:y>0.07144</cdr:y>
    </cdr:to>
    <cdr:sp macro="" textlink="">
      <cdr:nvSpPr>
        <cdr:cNvPr id="2" name="TextBox 1"/>
        <cdr:cNvSpPr txBox="1"/>
      </cdr:nvSpPr>
      <cdr:spPr>
        <a:xfrm xmlns:a="http://schemas.openxmlformats.org/drawingml/2006/main">
          <a:off x="85725" y="57150"/>
          <a:ext cx="13144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a:t>
          </a:r>
        </a:p>
      </cdr:txBody>
    </cdr:sp>
  </cdr:relSizeAnchor>
</c:userShapes>
</file>

<file path=xl/drawings/drawing8.xml><?xml version="1.0" encoding="utf-8"?>
<c:userShapes xmlns:c="http://schemas.openxmlformats.org/drawingml/2006/chart">
  <cdr:relSizeAnchor xmlns:cdr="http://schemas.openxmlformats.org/drawingml/2006/chartDrawing">
    <cdr:from>
      <cdr:x>0.01361</cdr:x>
      <cdr:y>0.01588</cdr:y>
    </cdr:from>
    <cdr:to>
      <cdr:x>0.22225</cdr:x>
      <cdr:y>0.07144</cdr:y>
    </cdr:to>
    <cdr:sp macro="" textlink="">
      <cdr:nvSpPr>
        <cdr:cNvPr id="2" name="TextBox 1"/>
        <cdr:cNvSpPr txBox="1"/>
      </cdr:nvSpPr>
      <cdr:spPr>
        <a:xfrm xmlns:a="http://schemas.openxmlformats.org/drawingml/2006/main">
          <a:off x="85725" y="57150"/>
          <a:ext cx="13144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a:t>
          </a:r>
        </a:p>
      </cdr:txBody>
    </cdr:sp>
  </cdr:relSizeAnchor>
  <cdr:relSizeAnchor xmlns:cdr="http://schemas.openxmlformats.org/drawingml/2006/chartDrawing">
    <cdr:from>
      <cdr:x>0.01512</cdr:x>
      <cdr:y>0.92839</cdr:y>
    </cdr:from>
    <cdr:to>
      <cdr:x>0.62895</cdr:x>
      <cdr:y>1</cdr:y>
    </cdr:to>
    <cdr:sp macro="" textlink="">
      <cdr:nvSpPr>
        <cdr:cNvPr id="3" name="TextBox 2"/>
        <cdr:cNvSpPr txBox="1"/>
      </cdr:nvSpPr>
      <cdr:spPr>
        <a:xfrm xmlns:a="http://schemas.openxmlformats.org/drawingml/2006/main">
          <a:off x="95250" y="3457575"/>
          <a:ext cx="38671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NZ" sz="900">
              <a:solidFill>
                <a:schemeClr val="tx1">
                  <a:lumMod val="65000"/>
                  <a:lumOff val="35000"/>
                </a:schemeClr>
              </a:solidFill>
              <a:effectLst/>
              <a:latin typeface="Arial" panose="020B0604020202020204" pitchFamily="34" charset="0"/>
              <a:ea typeface="+mn-ea"/>
              <a:cs typeface="Arial" panose="020B0604020202020204" pitchFamily="34" charset="0"/>
            </a:rPr>
            <a:t>Note: Error bars represent 95% confidence interval</a:t>
          </a:r>
          <a:r>
            <a:rPr lang="en-NZ" sz="900" baseline="0">
              <a:solidFill>
                <a:schemeClr val="tx1">
                  <a:lumMod val="65000"/>
                  <a:lumOff val="35000"/>
                </a:schemeClr>
              </a:solidFill>
              <a:effectLst/>
              <a:latin typeface="Arial" panose="020B0604020202020204" pitchFamily="34" charset="0"/>
              <a:ea typeface="+mn-ea"/>
              <a:cs typeface="Arial" panose="020B0604020202020204" pitchFamily="34" charset="0"/>
            </a:rPr>
            <a:t> for each age group</a:t>
          </a:r>
          <a:endParaRPr lang="en-NZ" sz="900">
            <a:solidFill>
              <a:schemeClr val="tx1">
                <a:lumMod val="65000"/>
                <a:lumOff val="35000"/>
              </a:schemeClr>
            </a:solidFill>
            <a:effectLst/>
            <a:latin typeface="Arial" panose="020B0604020202020204" pitchFamily="34" charset="0"/>
            <a:cs typeface="Arial" panose="020B0604020202020204" pitchFamily="34" charset="0"/>
          </a:endParaRPr>
        </a:p>
        <a:p xmlns:a="http://schemas.openxmlformats.org/drawingml/2006/main">
          <a:endParaRPr lang="en-NZ" sz="800">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0.01361</cdr:x>
      <cdr:y>0.01588</cdr:y>
    </cdr:from>
    <cdr:to>
      <cdr:x>0.22225</cdr:x>
      <cdr:y>0.07144</cdr:y>
    </cdr:to>
    <cdr:sp macro="" textlink="">
      <cdr:nvSpPr>
        <cdr:cNvPr id="2" name="TextBox 1"/>
        <cdr:cNvSpPr txBox="1"/>
      </cdr:nvSpPr>
      <cdr:spPr>
        <a:xfrm xmlns:a="http://schemas.openxmlformats.org/drawingml/2006/main">
          <a:off x="85725" y="57150"/>
          <a:ext cx="13144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a:t>
          </a:r>
        </a:p>
      </cdr:txBody>
    </cdr:sp>
  </cdr:relSizeAnchor>
  <cdr:relSizeAnchor xmlns:cdr="http://schemas.openxmlformats.org/drawingml/2006/chartDrawing">
    <cdr:from>
      <cdr:x>0.01361</cdr:x>
      <cdr:y>0.92072</cdr:y>
    </cdr:from>
    <cdr:to>
      <cdr:x>0.45357</cdr:x>
      <cdr:y>0.97954</cdr:y>
    </cdr:to>
    <cdr:sp macro="" textlink="">
      <cdr:nvSpPr>
        <cdr:cNvPr id="3" name="TextBox 2"/>
        <cdr:cNvSpPr txBox="1"/>
      </cdr:nvSpPr>
      <cdr:spPr>
        <a:xfrm xmlns:a="http://schemas.openxmlformats.org/drawingml/2006/main">
          <a:off x="85725" y="3429001"/>
          <a:ext cx="277177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0.01663</cdr:x>
      <cdr:y>0.94271</cdr:y>
    </cdr:from>
    <cdr:to>
      <cdr:x>0.71513</cdr:x>
      <cdr:y>0.99219</cdr:y>
    </cdr:to>
    <cdr:sp macro="" textlink="">
      <cdr:nvSpPr>
        <cdr:cNvPr id="7" name="TextBox 6"/>
        <cdr:cNvSpPr txBox="1"/>
      </cdr:nvSpPr>
      <cdr:spPr>
        <a:xfrm xmlns:a="http://schemas.openxmlformats.org/drawingml/2006/main">
          <a:off x="104775" y="3448051"/>
          <a:ext cx="4400550"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solidFill>
                <a:schemeClr val="tx1">
                  <a:lumMod val="65000"/>
                  <a:lumOff val="35000"/>
                </a:schemeClr>
              </a:solidFill>
              <a:latin typeface="Arial" panose="020B0604020202020204" pitchFamily="34" charset="0"/>
              <a:cs typeface="Arial" panose="020B0604020202020204" pitchFamily="34" charset="0"/>
            </a:rPr>
            <a:t>Note: Error</a:t>
          </a:r>
          <a:r>
            <a:rPr lang="en-NZ" sz="900" baseline="0">
              <a:solidFill>
                <a:schemeClr val="tx1">
                  <a:lumMod val="65000"/>
                  <a:lumOff val="35000"/>
                </a:schemeClr>
              </a:solidFill>
              <a:latin typeface="Arial" panose="020B0604020202020204" pitchFamily="34" charset="0"/>
              <a:cs typeface="Arial" panose="020B0604020202020204" pitchFamily="34" charset="0"/>
            </a:rPr>
            <a:t> bars represent 95% confidence interval for each deprivation quintile</a:t>
          </a:r>
          <a:endParaRPr lang="en-NZ" sz="900">
            <a:solidFill>
              <a:schemeClr val="tx1">
                <a:lumMod val="65000"/>
                <a:lumOff val="35000"/>
              </a:schemeClr>
            </a:solidFill>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Z:\Selina\Fe+DHBData!$A$1:$Z$103%20&amp;%20Infant\F&amp;I%20Automation\2014FID_FINAL%2020171025_ST%20Ch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BData"/>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H1:J6" totalsRowShown="0" headerRowDxfId="13" dataDxfId="12" headerRowCellStyle="Normal 10" dataCellStyle="Normal 10">
  <autoFilter ref="H1:J6" xr:uid="{00000000-0009-0000-0100-000001000000}"/>
  <tableColumns count="3">
    <tableColumn id="1" xr3:uid="{00000000-0010-0000-0000-000001000000}" name="Dthtype" dataDxfId="11" dataCellStyle="Normal 10"/>
    <tableColumn id="2" xr3:uid="{00000000-0010-0000-0000-000002000000}" name="Dthcode" dataDxfId="10" dataCellStyle="Normal 10"/>
    <tableColumn id="3" xr3:uid="{00000000-0010-0000-0000-000003000000}" name="Column1" dataDxfId="9" dataCellStyle="Normal 1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H10:J15" totalsRowShown="0" headerRowDxfId="8" dataDxfId="7">
  <autoFilter ref="H10:J15" xr:uid="{00000000-0009-0000-0100-000002000000}"/>
  <tableColumns count="3">
    <tableColumn id="1" xr3:uid="{00000000-0010-0000-0100-000001000000}" name="category1" dataDxfId="6"/>
    <tableColumn id="2" xr3:uid="{00000000-0010-0000-0100-000002000000}" name="category2" dataDxfId="5"/>
    <tableColumn id="3" xr3:uid="{00000000-0010-0000-0100-000003000000}" name="Column1" dataDxfId="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H18:I20" totalsRowShown="0" headerRowDxfId="3" dataDxfId="2">
  <autoFilter ref="H18:I20" xr:uid="{00000000-0009-0000-0100-000003000000}"/>
  <tableColumns count="2">
    <tableColumn id="1" xr3:uid="{00000000-0010-0000-0200-000001000000}" name="coddesc" dataDxfId="1"/>
    <tableColumn id="2" xr3:uid="{00000000-0010-0000-0200-000002000000}" name="codcod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health.govt.nz/nz-health-statistics/national-collections-and-surveys/collections/mortality-collection" TargetMode="External"/><Relationship Id="rId7" Type="http://schemas.openxmlformats.org/officeDocument/2006/relationships/printerSettings" Target="../printerSettings/printerSettings1.bin"/><Relationship Id="rId2" Type="http://schemas.openxmlformats.org/officeDocument/2006/relationships/hyperlink" Target="http://www.health.govt.nz/nz-health-statistics/health-statistics-and-data-sets/fetal-and-infant-death-data-and-stats" TargetMode="External"/><Relationship Id="rId1" Type="http://schemas.openxmlformats.org/officeDocument/2006/relationships/hyperlink" Target="mailto:data-enquiries@moh.govt.nz" TargetMode="External"/><Relationship Id="rId6" Type="http://schemas.openxmlformats.org/officeDocument/2006/relationships/hyperlink" Target="mailto:data-enquiries@health.govt.nz" TargetMode="External"/><Relationship Id="rId5" Type="http://schemas.openxmlformats.org/officeDocument/2006/relationships/hyperlink" Target="http://datainfoplus.stats.govt.nz/Item/nz.govt.stats/24c7f58a-7a19-4ac5-b66f-374c563932bf" TargetMode="External"/><Relationship Id="rId4" Type="http://schemas.openxmlformats.org/officeDocument/2006/relationships/hyperlink" Target="http://www.health.govt.nz/nz-health-statistics/health-statistics-and-data-sets/fetal-and-infant-deaths-serie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2.bin"/><Relationship Id="rId4" Type="http://schemas.openxmlformats.org/officeDocument/2006/relationships/table" Target="../tables/table3.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6:U43"/>
  <sheetViews>
    <sheetView showGridLines="0" tabSelected="1" zoomScale="90" zoomScaleNormal="90" workbookViewId="0"/>
  </sheetViews>
  <sheetFormatPr defaultRowHeight="15"/>
  <cols>
    <col min="1" max="1" width="27.42578125" style="1" customWidth="1"/>
    <col min="2" max="2" width="9.140625" style="1" customWidth="1"/>
    <col min="3" max="3" width="16.42578125" style="1" customWidth="1"/>
    <col min="4" max="4" width="9.140625" style="1" customWidth="1"/>
    <col min="5" max="19" width="9.140625" style="1"/>
    <col min="20" max="20" width="10.7109375" style="1" customWidth="1"/>
    <col min="21" max="16384" width="9.140625" style="1"/>
  </cols>
  <sheetData>
    <row r="6" spans="1:20" ht="16.5" customHeight="1"/>
    <row r="7" spans="1:20" ht="16.5" customHeight="1">
      <c r="A7" s="297" t="s">
        <v>4</v>
      </c>
      <c r="B7" s="740" t="s">
        <v>620</v>
      </c>
      <c r="C7" s="299"/>
      <c r="D7" s="299"/>
      <c r="E7" s="299"/>
      <c r="F7" s="299"/>
      <c r="G7" s="299"/>
      <c r="H7" s="299"/>
      <c r="I7" s="299"/>
      <c r="J7" s="299"/>
      <c r="K7" s="299"/>
      <c r="L7" s="299"/>
      <c r="M7" s="299"/>
      <c r="N7" s="299"/>
      <c r="O7" s="299"/>
      <c r="P7" s="299"/>
      <c r="Q7" s="299"/>
      <c r="R7" s="299"/>
      <c r="S7" s="299"/>
      <c r="T7" s="299"/>
    </row>
    <row r="8" spans="1:20" s="75" customFormat="1" ht="16.5" customHeight="1">
      <c r="A8" s="297"/>
      <c r="B8" s="597"/>
      <c r="C8" s="299"/>
      <c r="D8" s="299"/>
      <c r="E8" s="299"/>
      <c r="F8" s="299"/>
      <c r="G8" s="299"/>
      <c r="H8" s="299"/>
      <c r="I8" s="299"/>
      <c r="J8" s="299"/>
      <c r="K8" s="299"/>
      <c r="L8" s="299"/>
      <c r="M8" s="299"/>
      <c r="N8" s="299"/>
      <c r="O8" s="299"/>
      <c r="P8" s="299"/>
      <c r="Q8" s="299"/>
      <c r="R8" s="299"/>
      <c r="S8" s="299"/>
      <c r="T8" s="299"/>
    </row>
    <row r="9" spans="1:20" s="75" customFormat="1" ht="16.5" customHeight="1">
      <c r="A9" s="297" t="s">
        <v>8</v>
      </c>
      <c r="B9" s="677" t="s">
        <v>619</v>
      </c>
      <c r="C9" s="299"/>
      <c r="D9" s="299"/>
      <c r="E9" s="299"/>
      <c r="F9" s="299"/>
      <c r="G9" s="299"/>
      <c r="H9" s="299"/>
      <c r="I9" s="299"/>
      <c r="J9" s="299"/>
      <c r="K9" s="299"/>
      <c r="L9" s="299"/>
      <c r="M9" s="299"/>
      <c r="N9" s="299"/>
      <c r="O9" s="299"/>
      <c r="P9" s="299"/>
      <c r="Q9" s="299"/>
      <c r="R9" s="299"/>
      <c r="S9" s="299"/>
      <c r="T9" s="299"/>
    </row>
    <row r="10" spans="1:20" ht="16.5" customHeight="1">
      <c r="A10" s="299"/>
      <c r="B10" s="299"/>
      <c r="C10" s="299"/>
      <c r="D10" s="299"/>
      <c r="E10" s="299"/>
      <c r="F10" s="299"/>
      <c r="G10" s="299"/>
      <c r="H10" s="299"/>
      <c r="I10" s="299"/>
      <c r="J10" s="299"/>
      <c r="K10" s="299"/>
      <c r="L10" s="299"/>
      <c r="M10" s="299"/>
      <c r="N10" s="299"/>
      <c r="O10" s="299"/>
      <c r="P10" s="299"/>
      <c r="Q10" s="299"/>
      <c r="R10" s="299"/>
      <c r="S10" s="299"/>
      <c r="T10" s="299"/>
    </row>
    <row r="11" spans="1:20" s="241" customFormat="1" ht="28.5" customHeight="1">
      <c r="A11" s="300" t="s">
        <v>5</v>
      </c>
      <c r="B11" s="883" t="s">
        <v>621</v>
      </c>
      <c r="C11" s="884"/>
      <c r="D11" s="884"/>
      <c r="E11" s="884"/>
      <c r="F11" s="884"/>
      <c r="G11" s="884"/>
      <c r="H11" s="884"/>
      <c r="I11" s="884"/>
      <c r="J11" s="884"/>
      <c r="K11" s="884"/>
      <c r="L11" s="884"/>
      <c r="M11" s="884"/>
      <c r="N11" s="884"/>
      <c r="O11" s="884"/>
      <c r="P11" s="884"/>
      <c r="Q11" s="884"/>
      <c r="R11" s="884"/>
      <c r="S11" s="884"/>
      <c r="T11" s="884"/>
    </row>
    <row r="12" spans="1:20" ht="15" customHeight="1">
      <c r="A12" s="297"/>
      <c r="B12" s="299"/>
      <c r="C12" s="299"/>
      <c r="D12" s="299"/>
      <c r="E12" s="299"/>
      <c r="F12" s="299"/>
      <c r="G12" s="299"/>
      <c r="H12" s="299"/>
      <c r="I12" s="299"/>
      <c r="J12" s="299"/>
      <c r="K12" s="299"/>
      <c r="L12" s="299"/>
      <c r="M12" s="299"/>
      <c r="N12" s="299"/>
      <c r="O12" s="299"/>
      <c r="P12" s="299"/>
      <c r="Q12" s="299"/>
      <c r="R12" s="299"/>
      <c r="S12" s="299"/>
      <c r="T12" s="299"/>
    </row>
    <row r="13" spans="1:20" ht="16.5" customHeight="1">
      <c r="A13" s="297" t="s">
        <v>6</v>
      </c>
      <c r="B13" s="298" t="s">
        <v>22</v>
      </c>
      <c r="C13" s="299"/>
      <c r="D13" s="299"/>
      <c r="E13" s="299"/>
      <c r="F13" s="299"/>
      <c r="G13" s="299"/>
      <c r="H13" s="299"/>
      <c r="I13" s="299"/>
      <c r="J13" s="299"/>
      <c r="K13" s="299"/>
      <c r="L13" s="299"/>
      <c r="M13" s="299"/>
      <c r="N13" s="299"/>
      <c r="O13" s="299"/>
      <c r="P13" s="299"/>
      <c r="Q13" s="299"/>
      <c r="R13" s="299"/>
      <c r="S13" s="299"/>
      <c r="T13" s="299"/>
    </row>
    <row r="14" spans="1:20" s="75" customFormat="1" ht="16.5" customHeight="1">
      <c r="A14" s="297"/>
      <c r="B14" s="298"/>
      <c r="C14" s="299"/>
      <c r="D14" s="299"/>
      <c r="E14" s="299"/>
      <c r="F14" s="299"/>
      <c r="G14" s="299"/>
      <c r="H14" s="299"/>
      <c r="I14" s="299"/>
      <c r="J14" s="299"/>
      <c r="K14" s="299"/>
      <c r="L14" s="299"/>
      <c r="M14" s="299"/>
      <c r="N14" s="299"/>
      <c r="O14" s="299"/>
      <c r="P14" s="299"/>
      <c r="Q14" s="299"/>
      <c r="R14" s="299"/>
      <c r="S14" s="299"/>
      <c r="T14" s="299"/>
    </row>
    <row r="15" spans="1:20" s="75" customFormat="1" ht="16.5" customHeight="1">
      <c r="A15" s="297" t="s">
        <v>666</v>
      </c>
      <c r="B15" s="298" t="s">
        <v>665</v>
      </c>
      <c r="C15" s="299"/>
      <c r="D15" s="299"/>
      <c r="E15" s="299"/>
      <c r="F15" s="299"/>
      <c r="G15" s="299"/>
      <c r="H15" s="299"/>
      <c r="I15" s="299"/>
      <c r="J15" s="299"/>
      <c r="K15" s="299"/>
      <c r="L15" s="299"/>
      <c r="M15" s="299"/>
      <c r="N15" s="299"/>
      <c r="O15" s="299"/>
      <c r="P15" s="299"/>
      <c r="Q15" s="299"/>
      <c r="R15" s="299"/>
      <c r="S15" s="299"/>
      <c r="T15" s="299"/>
    </row>
    <row r="16" spans="1:20" s="75" customFormat="1" ht="16.5" customHeight="1">
      <c r="A16" s="297"/>
      <c r="B16" s="298"/>
      <c r="C16" s="299"/>
      <c r="D16" s="299"/>
      <c r="E16" s="299"/>
      <c r="F16" s="299"/>
      <c r="G16" s="299"/>
      <c r="H16" s="299"/>
      <c r="I16" s="299"/>
      <c r="J16" s="299"/>
      <c r="K16" s="299"/>
      <c r="L16" s="299"/>
      <c r="M16" s="299"/>
      <c r="N16" s="299"/>
      <c r="O16" s="299"/>
      <c r="P16" s="299"/>
      <c r="Q16" s="299"/>
      <c r="R16" s="299"/>
      <c r="S16" s="299"/>
      <c r="T16" s="299"/>
    </row>
    <row r="17" spans="1:21" ht="84.75" customHeight="1">
      <c r="A17" s="302" t="s">
        <v>7</v>
      </c>
      <c r="B17" s="885" t="s">
        <v>667</v>
      </c>
      <c r="C17" s="886"/>
      <c r="D17" s="886"/>
      <c r="E17" s="886"/>
      <c r="F17" s="886"/>
      <c r="G17" s="886"/>
      <c r="H17" s="886"/>
      <c r="I17" s="886"/>
      <c r="J17" s="886"/>
      <c r="K17" s="886"/>
      <c r="L17" s="886"/>
      <c r="M17" s="886"/>
      <c r="N17" s="886"/>
      <c r="O17" s="886"/>
      <c r="P17" s="886"/>
      <c r="Q17" s="886"/>
      <c r="R17" s="886"/>
      <c r="S17" s="886"/>
      <c r="T17" s="886"/>
      <c r="U17" s="2"/>
    </row>
    <row r="18" spans="1:21" s="75" customFormat="1" ht="16.5" customHeight="1">
      <c r="A18" s="297"/>
      <c r="B18" s="891" t="s">
        <v>670</v>
      </c>
      <c r="C18" s="892"/>
      <c r="D18" s="892"/>
      <c r="E18" s="892"/>
      <c r="F18" s="892"/>
      <c r="G18" s="892"/>
      <c r="H18" s="892"/>
      <c r="I18" s="892"/>
      <c r="J18" s="892"/>
      <c r="K18" s="892"/>
      <c r="L18" s="892"/>
      <c r="M18" s="892"/>
      <c r="N18" s="892"/>
      <c r="O18" s="892"/>
      <c r="P18" s="892"/>
      <c r="Q18" s="892"/>
      <c r="R18" s="892"/>
      <c r="S18" s="892"/>
      <c r="T18" s="892"/>
    </row>
    <row r="19" spans="1:21" s="75" customFormat="1" ht="46.5" customHeight="1">
      <c r="A19" s="297"/>
      <c r="B19" s="892"/>
      <c r="C19" s="892"/>
      <c r="D19" s="892"/>
      <c r="E19" s="892"/>
      <c r="F19" s="892"/>
      <c r="G19" s="892"/>
      <c r="H19" s="892"/>
      <c r="I19" s="892"/>
      <c r="J19" s="892"/>
      <c r="K19" s="892"/>
      <c r="L19" s="892"/>
      <c r="M19" s="892"/>
      <c r="N19" s="892"/>
      <c r="O19" s="892"/>
      <c r="P19" s="892"/>
      <c r="Q19" s="892"/>
      <c r="R19" s="892"/>
      <c r="S19" s="892"/>
      <c r="T19" s="892"/>
    </row>
    <row r="20" spans="1:21" s="75" customFormat="1" ht="30" customHeight="1">
      <c r="A20" s="302" t="s">
        <v>669</v>
      </c>
      <c r="B20" s="893" t="s">
        <v>671</v>
      </c>
      <c r="C20" s="893"/>
      <c r="D20" s="893"/>
      <c r="E20" s="893"/>
      <c r="F20" s="893"/>
      <c r="G20" s="893"/>
      <c r="H20" s="893"/>
      <c r="I20" s="893"/>
      <c r="J20" s="893"/>
      <c r="K20" s="893"/>
      <c r="L20" s="893"/>
      <c r="M20" s="893"/>
      <c r="N20" s="893"/>
      <c r="O20" s="893"/>
      <c r="P20" s="893"/>
      <c r="Q20" s="893"/>
      <c r="R20" s="893"/>
      <c r="S20" s="893"/>
      <c r="T20" s="893"/>
    </row>
    <row r="21" spans="1:21" s="75" customFormat="1" ht="30" customHeight="1">
      <c r="A21" s="302"/>
      <c r="B21" s="884" t="s">
        <v>642</v>
      </c>
      <c r="C21" s="884"/>
      <c r="D21" s="884"/>
      <c r="E21" s="884"/>
      <c r="F21" s="884"/>
      <c r="G21" s="884"/>
      <c r="H21" s="884"/>
      <c r="I21" s="884"/>
      <c r="J21" s="884"/>
      <c r="K21" s="884"/>
      <c r="L21" s="884"/>
      <c r="M21" s="884"/>
      <c r="N21" s="884"/>
      <c r="O21" s="884"/>
      <c r="P21" s="884"/>
      <c r="Q21" s="884"/>
      <c r="R21" s="884"/>
      <c r="S21" s="884"/>
      <c r="T21" s="884"/>
    </row>
    <row r="22" spans="1:21" s="75" customFormat="1" ht="30" customHeight="1">
      <c r="A22" s="302"/>
      <c r="B22" s="887" t="s">
        <v>402</v>
      </c>
      <c r="C22" s="887"/>
      <c r="D22" s="887"/>
      <c r="E22" s="887"/>
      <c r="F22" s="887"/>
      <c r="G22" s="887"/>
      <c r="H22" s="887"/>
      <c r="I22" s="887"/>
      <c r="J22" s="887"/>
      <c r="K22" s="887"/>
      <c r="L22" s="887"/>
      <c r="M22" s="887"/>
      <c r="N22" s="887"/>
      <c r="O22" s="887"/>
      <c r="P22" s="887"/>
      <c r="Q22" s="887"/>
      <c r="R22" s="887"/>
      <c r="S22" s="887"/>
      <c r="T22" s="887"/>
    </row>
    <row r="23" spans="1:21" s="749" customFormat="1" ht="30" customHeight="1">
      <c r="A23" s="750"/>
      <c r="B23" s="888" t="s">
        <v>524</v>
      </c>
      <c r="C23" s="888"/>
      <c r="D23" s="888"/>
      <c r="E23" s="888"/>
      <c r="F23" s="888"/>
      <c r="G23" s="888"/>
      <c r="H23" s="888"/>
      <c r="I23" s="888"/>
      <c r="J23" s="888"/>
      <c r="K23" s="888"/>
      <c r="L23" s="888"/>
      <c r="M23" s="888"/>
      <c r="N23" s="888"/>
      <c r="O23" s="888"/>
      <c r="P23" s="888"/>
      <c r="Q23" s="888"/>
      <c r="R23" s="888"/>
      <c r="S23" s="888"/>
      <c r="T23" s="888"/>
    </row>
    <row r="24" spans="1:21" ht="30" customHeight="1">
      <c r="A24" s="297"/>
      <c r="B24" s="889" t="s">
        <v>638</v>
      </c>
      <c r="C24" s="890"/>
      <c r="D24" s="890"/>
      <c r="E24" s="890"/>
      <c r="F24" s="890"/>
      <c r="G24" s="890"/>
      <c r="H24" s="890"/>
      <c r="I24" s="890"/>
      <c r="J24" s="890"/>
      <c r="K24" s="890"/>
      <c r="L24" s="890"/>
      <c r="M24" s="890"/>
      <c r="N24" s="890"/>
      <c r="O24" s="890"/>
      <c r="P24" s="890"/>
      <c r="Q24" s="890"/>
      <c r="R24" s="890"/>
      <c r="S24" s="890"/>
      <c r="T24" s="890"/>
      <c r="U24" s="2"/>
    </row>
    <row r="25" spans="1:21" s="75" customFormat="1" ht="20.25" customHeight="1">
      <c r="A25" s="297"/>
      <c r="B25" s="496" t="s">
        <v>408</v>
      </c>
      <c r="C25" s="299"/>
      <c r="D25" s="301"/>
      <c r="E25" s="301"/>
      <c r="F25" s="301"/>
      <c r="G25" s="301"/>
      <c r="H25" s="301"/>
      <c r="I25" s="301"/>
      <c r="J25" s="301"/>
      <c r="K25" s="301"/>
      <c r="L25" s="301"/>
      <c r="M25" s="301"/>
      <c r="N25" s="301"/>
      <c r="O25" s="301"/>
      <c r="P25" s="301"/>
      <c r="Q25" s="301"/>
      <c r="R25" s="301"/>
      <c r="S25" s="301"/>
      <c r="T25" s="301"/>
      <c r="U25" s="2"/>
    </row>
    <row r="26" spans="1:21" ht="16.5" customHeight="1">
      <c r="A26" s="297"/>
      <c r="B26" s="751"/>
      <c r="C26" s="299"/>
      <c r="D26" s="301"/>
      <c r="E26" s="301"/>
      <c r="F26" s="301"/>
      <c r="G26" s="301"/>
      <c r="H26" s="301"/>
      <c r="I26" s="301"/>
      <c r="J26" s="301"/>
      <c r="K26" s="301"/>
      <c r="L26" s="301"/>
      <c r="M26" s="301"/>
      <c r="N26" s="301"/>
      <c r="O26" s="301"/>
      <c r="P26" s="301"/>
      <c r="Q26" s="301"/>
      <c r="R26" s="301"/>
      <c r="S26" s="301"/>
      <c r="T26" s="301"/>
    </row>
    <row r="27" spans="1:21">
      <c r="A27" s="297" t="s">
        <v>9</v>
      </c>
      <c r="B27" s="299"/>
      <c r="C27" s="299"/>
      <c r="D27" s="299"/>
      <c r="E27" s="299"/>
      <c r="F27" s="299"/>
      <c r="G27" s="299"/>
      <c r="H27" s="299"/>
      <c r="I27" s="299"/>
      <c r="J27" s="299"/>
      <c r="K27" s="299"/>
      <c r="L27" s="299"/>
      <c r="M27" s="299"/>
      <c r="N27" s="299"/>
      <c r="O27" s="299"/>
      <c r="P27" s="299"/>
      <c r="Q27" s="299"/>
      <c r="R27" s="299"/>
      <c r="S27" s="299"/>
      <c r="T27" s="299"/>
    </row>
    <row r="28" spans="1:21">
      <c r="A28" s="297"/>
      <c r="B28" s="882" t="s">
        <v>321</v>
      </c>
      <c r="C28" s="882"/>
      <c r="D28" s="882"/>
      <c r="E28" s="882"/>
      <c r="F28" s="303"/>
      <c r="G28" s="303"/>
      <c r="H28" s="303"/>
      <c r="I28" s="303"/>
      <c r="J28" s="303"/>
      <c r="K28" s="303"/>
      <c r="L28" s="303"/>
      <c r="M28" s="303"/>
      <c r="N28" s="303"/>
      <c r="O28" s="303"/>
      <c r="P28" s="303"/>
      <c r="Q28" s="303"/>
      <c r="R28" s="303"/>
      <c r="S28" s="303"/>
      <c r="T28" s="303"/>
    </row>
    <row r="29" spans="1:21" s="75" customFormat="1">
      <c r="A29" s="297"/>
      <c r="B29" s="882" t="s">
        <v>23</v>
      </c>
      <c r="C29" s="882"/>
      <c r="D29" s="882"/>
      <c r="E29" s="882"/>
      <c r="F29" s="304"/>
      <c r="G29" s="304"/>
      <c r="H29" s="304"/>
      <c r="I29" s="304"/>
      <c r="J29" s="304"/>
      <c r="K29" s="304"/>
      <c r="L29" s="304"/>
      <c r="M29" s="304"/>
      <c r="N29" s="304"/>
      <c r="O29" s="304"/>
      <c r="P29" s="304"/>
      <c r="Q29" s="304"/>
      <c r="R29" s="304"/>
      <c r="S29" s="304"/>
      <c r="T29" s="304"/>
    </row>
    <row r="30" spans="1:21">
      <c r="A30" s="299"/>
      <c r="B30" s="305" t="s">
        <v>24</v>
      </c>
      <c r="C30" s="305"/>
      <c r="D30" s="305"/>
      <c r="E30" s="305"/>
      <c r="F30" s="304"/>
      <c r="G30" s="304"/>
      <c r="H30" s="304"/>
      <c r="I30" s="304"/>
      <c r="J30" s="304"/>
      <c r="K30" s="304"/>
      <c r="L30" s="304"/>
      <c r="M30" s="304"/>
      <c r="N30" s="304"/>
      <c r="O30" s="304"/>
      <c r="P30" s="304"/>
      <c r="Q30" s="304"/>
      <c r="R30" s="304"/>
      <c r="S30" s="304"/>
      <c r="T30" s="304"/>
    </row>
    <row r="31" spans="1:21">
      <c r="A31" s="299"/>
      <c r="B31" s="303"/>
      <c r="C31" s="299"/>
      <c r="D31" s="299"/>
      <c r="E31" s="299"/>
      <c r="F31" s="299"/>
      <c r="G31" s="303"/>
      <c r="H31" s="303"/>
      <c r="I31" s="303"/>
      <c r="J31" s="303"/>
      <c r="K31" s="303"/>
      <c r="L31" s="303"/>
      <c r="M31" s="303"/>
      <c r="N31" s="303"/>
      <c r="O31" s="303"/>
      <c r="P31" s="303"/>
      <c r="Q31" s="303"/>
      <c r="R31" s="303"/>
      <c r="S31" s="303"/>
      <c r="T31" s="303"/>
    </row>
    <row r="32" spans="1:21">
      <c r="A32" s="299"/>
      <c r="B32" s="298" t="s">
        <v>10</v>
      </c>
      <c r="C32" s="299"/>
      <c r="D32" s="299"/>
      <c r="E32" s="299"/>
      <c r="F32" s="299"/>
      <c r="G32" s="299"/>
      <c r="H32" s="299"/>
      <c r="I32" s="299"/>
      <c r="J32" s="299"/>
      <c r="K32" s="299"/>
      <c r="L32" s="299"/>
      <c r="M32" s="299"/>
      <c r="N32" s="299"/>
      <c r="O32" s="299"/>
      <c r="P32" s="299"/>
      <c r="Q32" s="299"/>
      <c r="R32" s="299"/>
      <c r="S32" s="299"/>
      <c r="T32" s="299"/>
    </row>
    <row r="33" spans="1:20">
      <c r="A33" s="299"/>
      <c r="B33" s="298" t="s">
        <v>11</v>
      </c>
      <c r="C33" s="299"/>
      <c r="D33" s="299"/>
      <c r="E33" s="299"/>
      <c r="F33" s="299"/>
      <c r="G33" s="299"/>
      <c r="H33" s="299"/>
      <c r="I33" s="299"/>
      <c r="J33" s="299"/>
      <c r="K33" s="299"/>
      <c r="L33" s="299"/>
      <c r="M33" s="299"/>
      <c r="N33" s="299"/>
      <c r="O33" s="299"/>
      <c r="P33" s="299"/>
      <c r="Q33" s="299"/>
      <c r="R33" s="299"/>
      <c r="S33" s="299"/>
      <c r="T33" s="299"/>
    </row>
    <row r="34" spans="1:20">
      <c r="A34" s="306"/>
      <c r="B34" s="299"/>
      <c r="C34" s="299"/>
      <c r="D34" s="299"/>
      <c r="E34" s="299"/>
      <c r="F34" s="299"/>
      <c r="G34" s="299"/>
      <c r="H34" s="299"/>
      <c r="I34" s="299"/>
      <c r="J34" s="299"/>
      <c r="K34" s="299"/>
      <c r="L34" s="299"/>
      <c r="M34" s="299"/>
      <c r="N34" s="299"/>
      <c r="O34" s="299"/>
      <c r="P34" s="299"/>
      <c r="Q34" s="299"/>
      <c r="R34" s="299"/>
      <c r="S34" s="299"/>
      <c r="T34" s="299"/>
    </row>
    <row r="35" spans="1:20">
      <c r="A35" s="306"/>
      <c r="B35" s="298"/>
      <c r="C35" s="298" t="s">
        <v>12</v>
      </c>
      <c r="D35" s="306" t="s">
        <v>639</v>
      </c>
      <c r="E35" s="306"/>
      <c r="F35" s="306"/>
      <c r="G35" s="306"/>
      <c r="H35" s="306"/>
      <c r="I35" s="306"/>
      <c r="J35" s="306"/>
      <c r="K35" s="306"/>
      <c r="L35" s="306"/>
      <c r="M35" s="306"/>
      <c r="N35" s="306"/>
      <c r="O35" s="306"/>
      <c r="P35" s="306"/>
      <c r="Q35" s="306"/>
      <c r="R35" s="306"/>
      <c r="S35" s="298"/>
      <c r="T35" s="298"/>
    </row>
    <row r="36" spans="1:20">
      <c r="A36" s="306"/>
      <c r="B36" s="298"/>
      <c r="C36" s="298"/>
      <c r="D36" s="306" t="s">
        <v>13</v>
      </c>
      <c r="E36" s="306"/>
      <c r="F36" s="306"/>
      <c r="G36" s="306"/>
      <c r="H36" s="306"/>
      <c r="I36" s="306"/>
      <c r="J36" s="306"/>
      <c r="K36" s="306"/>
      <c r="L36" s="306"/>
      <c r="M36" s="306"/>
      <c r="N36" s="306"/>
      <c r="O36" s="306"/>
      <c r="P36" s="306"/>
      <c r="Q36" s="306"/>
      <c r="R36" s="306"/>
      <c r="S36" s="298"/>
      <c r="T36" s="298"/>
    </row>
    <row r="37" spans="1:20">
      <c r="A37" s="306"/>
      <c r="B37" s="298"/>
      <c r="C37" s="298"/>
      <c r="D37" s="306" t="s">
        <v>14</v>
      </c>
      <c r="E37" s="306"/>
      <c r="F37" s="306"/>
      <c r="G37" s="306"/>
      <c r="H37" s="306"/>
      <c r="I37" s="306"/>
      <c r="J37" s="306"/>
      <c r="K37" s="306"/>
      <c r="L37" s="306"/>
      <c r="M37" s="306"/>
      <c r="N37" s="306"/>
      <c r="O37" s="306"/>
      <c r="P37" s="306"/>
      <c r="Q37" s="306"/>
      <c r="R37" s="306"/>
      <c r="S37" s="298"/>
      <c r="T37" s="298"/>
    </row>
    <row r="38" spans="1:20">
      <c r="A38" s="306"/>
      <c r="B38" s="298"/>
      <c r="C38" s="298"/>
      <c r="D38" s="306" t="s">
        <v>15</v>
      </c>
      <c r="E38" s="306"/>
      <c r="F38" s="306"/>
      <c r="G38" s="306"/>
      <c r="H38" s="306"/>
      <c r="I38" s="306"/>
      <c r="J38" s="306"/>
      <c r="K38" s="306"/>
      <c r="L38" s="306"/>
      <c r="M38" s="306"/>
      <c r="N38" s="306"/>
      <c r="O38" s="306"/>
      <c r="P38" s="306"/>
      <c r="Q38" s="306"/>
      <c r="R38" s="306"/>
      <c r="S38" s="298"/>
      <c r="T38" s="298"/>
    </row>
    <row r="39" spans="1:20">
      <c r="A39" s="306"/>
      <c r="B39" s="298"/>
      <c r="C39" s="298"/>
      <c r="D39" s="306" t="s">
        <v>16</v>
      </c>
      <c r="E39" s="306"/>
      <c r="F39" s="306"/>
      <c r="G39" s="306"/>
      <c r="H39" s="306"/>
      <c r="I39" s="306"/>
      <c r="J39" s="306"/>
      <c r="K39" s="306"/>
      <c r="L39" s="306"/>
      <c r="M39" s="306"/>
      <c r="N39" s="306"/>
      <c r="O39" s="306"/>
      <c r="P39" s="306"/>
      <c r="Q39" s="306"/>
      <c r="R39" s="306"/>
      <c r="S39" s="298"/>
      <c r="T39" s="298"/>
    </row>
    <row r="40" spans="1:20">
      <c r="A40" s="306"/>
      <c r="B40" s="298"/>
      <c r="C40" s="306" t="s">
        <v>17</v>
      </c>
      <c r="D40" s="496" t="s">
        <v>632</v>
      </c>
      <c r="E40" s="496"/>
      <c r="F40" s="496"/>
      <c r="G40" s="496"/>
      <c r="H40" s="306"/>
      <c r="I40" s="306"/>
      <c r="J40" s="306"/>
      <c r="K40" s="306"/>
      <c r="L40" s="306"/>
      <c r="M40" s="306"/>
      <c r="N40" s="306"/>
      <c r="O40" s="306"/>
      <c r="P40" s="306"/>
      <c r="Q40" s="306"/>
      <c r="R40" s="306"/>
      <c r="S40" s="298"/>
      <c r="T40" s="298"/>
    </row>
    <row r="41" spans="1:20">
      <c r="A41" s="298"/>
      <c r="B41" s="298"/>
      <c r="C41" s="306" t="s">
        <v>18</v>
      </c>
      <c r="D41" s="306" t="s">
        <v>19</v>
      </c>
      <c r="E41" s="306"/>
      <c r="F41" s="306"/>
      <c r="G41" s="306"/>
      <c r="H41" s="306"/>
      <c r="I41" s="306"/>
      <c r="J41" s="306"/>
      <c r="K41" s="306"/>
      <c r="L41" s="306"/>
      <c r="M41" s="306"/>
      <c r="N41" s="306"/>
      <c r="O41" s="306"/>
      <c r="P41" s="306"/>
      <c r="Q41" s="306"/>
      <c r="R41" s="306"/>
      <c r="S41" s="298"/>
      <c r="T41" s="298"/>
    </row>
    <row r="42" spans="1:20">
      <c r="A42" s="298"/>
      <c r="B42" s="298"/>
      <c r="C42" s="298" t="s">
        <v>20</v>
      </c>
      <c r="D42" s="298" t="s">
        <v>21</v>
      </c>
      <c r="E42" s="299"/>
      <c r="F42" s="299"/>
      <c r="G42" s="299"/>
      <c r="H42" s="299"/>
      <c r="I42" s="299"/>
      <c r="J42" s="299"/>
      <c r="K42" s="299"/>
      <c r="L42" s="299"/>
      <c r="M42" s="299"/>
      <c r="N42" s="299"/>
      <c r="O42" s="299"/>
      <c r="P42" s="299"/>
      <c r="Q42" s="299"/>
      <c r="R42" s="299"/>
      <c r="S42" s="299"/>
      <c r="T42" s="299"/>
    </row>
    <row r="43" spans="1:20">
      <c r="B43" s="298"/>
      <c r="C43" s="298"/>
      <c r="D43" s="298"/>
      <c r="E43" s="299"/>
      <c r="F43" s="299"/>
      <c r="G43" s="299"/>
      <c r="H43" s="299"/>
      <c r="I43" s="299"/>
      <c r="J43" s="299"/>
      <c r="K43" s="299"/>
      <c r="L43" s="299"/>
      <c r="M43" s="299"/>
      <c r="N43" s="299"/>
      <c r="O43" s="299"/>
      <c r="P43" s="299"/>
      <c r="Q43" s="299"/>
      <c r="R43" s="299"/>
      <c r="S43" s="299"/>
      <c r="T43" s="299"/>
    </row>
  </sheetData>
  <mergeCells count="10">
    <mergeCell ref="B29:E29"/>
    <mergeCell ref="B28:E28"/>
    <mergeCell ref="B11:T11"/>
    <mergeCell ref="B17:T17"/>
    <mergeCell ref="B22:T22"/>
    <mergeCell ref="B23:T23"/>
    <mergeCell ref="B24:T24"/>
    <mergeCell ref="B18:T19"/>
    <mergeCell ref="B21:T21"/>
    <mergeCell ref="B20:T20"/>
  </mergeCells>
  <hyperlinks>
    <hyperlink ref="D40" r:id="rId1" display="data-enquiries@moh.govt.nz" xr:uid="{00000000-0004-0000-0000-000000000000}"/>
    <hyperlink ref="B29" r:id="rId2" xr:uid="{00000000-0004-0000-0000-000001000000}"/>
    <hyperlink ref="B30" r:id="rId3" xr:uid="{00000000-0004-0000-0000-000002000000}"/>
    <hyperlink ref="B28:D28" r:id="rId4" display="Fetal and infant death publication series" xr:uid="{00000000-0004-0000-0000-000003000000}"/>
    <hyperlink ref="B25" r:id="rId5" xr:uid="{00000000-0004-0000-0000-000004000000}"/>
    <hyperlink ref="D40:G40" r:id="rId6" display="data-enquiries@health.govt.nz" xr:uid="{2975D06E-A4C7-4807-8918-9273FF8A6B85}"/>
  </hyperlinks>
  <pageMargins left="0.70866141732283472" right="0.70866141732283472" top="0.74803149606299213" bottom="0.74803149606299213" header="0.31496062992125984" footer="0.31496062992125984"/>
  <pageSetup paperSize="9" scale="41" fitToHeight="2" orientation="portrait" r:id="rId7"/>
  <headerFooter>
    <oddFooter>&amp;L&amp;"Arial,Regular"&amp;8&amp;K01+018Fetal and Infant Deaths 2016&amp;R&amp;"Arial,Regular"&amp;8&amp;K01+017Page &amp;P of &amp;N</oddFooter>
  </headerFooter>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pageSetUpPr fitToPage="1"/>
  </sheetPr>
  <dimension ref="A1:AW112"/>
  <sheetViews>
    <sheetView zoomScaleNormal="100" workbookViewId="0">
      <pane ySplit="3" topLeftCell="A4" activePane="bottomLeft" state="frozen"/>
      <selection activeCell="AA1" sqref="AA1:AP1048576"/>
      <selection pane="bottomLeft" activeCell="A4" sqref="A4"/>
    </sheetView>
  </sheetViews>
  <sheetFormatPr defaultRowHeight="15"/>
  <cols>
    <col min="1" max="1" width="25.28515625" bestFit="1" customWidth="1"/>
    <col min="3" max="3" width="9.140625" style="397"/>
    <col min="7" max="7" width="9.140625" style="9" customWidth="1"/>
    <col min="8" max="8" width="9.140625" customWidth="1"/>
    <col min="9" max="9" width="9.140625" style="397" customWidth="1"/>
    <col min="10" max="12" width="9.140625" customWidth="1"/>
    <col min="13" max="13" width="9.140625" style="9" customWidth="1"/>
    <col min="14" max="14" width="9.140625" customWidth="1"/>
    <col min="15" max="15" width="9.140625" style="397" customWidth="1"/>
    <col min="16" max="26" width="9.140625" customWidth="1"/>
    <col min="27" max="27" width="17.5703125" style="289" bestFit="1" customWidth="1"/>
    <col min="28" max="45" width="9.140625" style="289"/>
    <col min="46" max="47" width="9.140625" style="245"/>
  </cols>
  <sheetData>
    <row r="1" spans="1:49" s="103" customFormat="1">
      <c r="A1" s="88" t="s">
        <v>158</v>
      </c>
      <c r="B1" s="88" t="s">
        <v>115</v>
      </c>
      <c r="C1" s="88" t="s">
        <v>173</v>
      </c>
      <c r="E1" s="159" t="s">
        <v>353</v>
      </c>
      <c r="G1" s="88"/>
      <c r="H1" s="89"/>
      <c r="I1" s="89"/>
      <c r="AA1" s="515"/>
      <c r="AB1" s="515"/>
      <c r="AC1" s="515"/>
      <c r="AD1" s="515"/>
      <c r="AE1" s="515"/>
      <c r="AF1" s="515"/>
      <c r="AG1" s="515"/>
      <c r="AH1" s="515"/>
      <c r="AI1" s="515"/>
      <c r="AJ1" s="515"/>
      <c r="AK1" s="515"/>
      <c r="AL1" s="515"/>
      <c r="AM1" s="515"/>
      <c r="AN1" s="515"/>
      <c r="AO1" s="515"/>
      <c r="AP1" s="515"/>
      <c r="AQ1" s="515"/>
      <c r="AR1" s="515"/>
      <c r="AS1" s="515"/>
      <c r="AT1" s="516"/>
      <c r="AU1" s="516"/>
    </row>
    <row r="2" spans="1:49" s="5" customFormat="1" ht="9" customHeight="1">
      <c r="A2" s="60"/>
      <c r="B2" s="61"/>
      <c r="C2" s="89"/>
      <c r="D2" s="62"/>
      <c r="E2" s="62"/>
      <c r="F2" s="62"/>
      <c r="G2" s="62"/>
      <c r="I2" s="103"/>
      <c r="O2" s="103"/>
      <c r="AA2" s="515"/>
      <c r="AB2" s="515"/>
      <c r="AC2" s="515"/>
      <c r="AD2" s="515"/>
      <c r="AE2" s="515"/>
      <c r="AF2" s="515"/>
      <c r="AG2" s="515"/>
      <c r="AH2" s="515"/>
      <c r="AI2" s="515"/>
      <c r="AJ2" s="515"/>
      <c r="AK2" s="515"/>
      <c r="AL2" s="515"/>
      <c r="AM2" s="515"/>
      <c r="AN2" s="515"/>
      <c r="AO2" s="515"/>
      <c r="AP2" s="515"/>
      <c r="AQ2" s="515"/>
      <c r="AR2" s="515"/>
      <c r="AS2" s="515"/>
      <c r="AT2" s="516"/>
      <c r="AU2" s="516"/>
    </row>
    <row r="3" spans="1:49" s="103" customFormat="1" ht="20.25">
      <c r="A3" s="76" t="s">
        <v>2</v>
      </c>
      <c r="H3" s="73"/>
      <c r="I3" s="73"/>
      <c r="P3" s="73"/>
      <c r="AA3" s="515"/>
      <c r="AB3" s="515"/>
      <c r="AC3" s="515"/>
      <c r="AD3" s="515"/>
      <c r="AE3" s="515"/>
      <c r="AF3" s="515"/>
      <c r="AG3" s="515"/>
      <c r="AH3" s="515"/>
      <c r="AI3" s="515"/>
      <c r="AJ3" s="515"/>
      <c r="AK3" s="515"/>
      <c r="AL3" s="515"/>
      <c r="AM3" s="515"/>
      <c r="AN3" s="515"/>
      <c r="AO3" s="515"/>
      <c r="AP3" s="515"/>
      <c r="AQ3" s="515"/>
      <c r="AR3" s="515"/>
      <c r="AS3" s="515"/>
      <c r="AT3" s="516"/>
      <c r="AU3" s="516"/>
    </row>
    <row r="5" spans="1:49" ht="24.75" customHeight="1">
      <c r="A5" s="913" t="str">
        <f>Contents!E15</f>
        <v xml:space="preserve">Table 11: Number of fetal deaths, infant deaths and live births for each gestational age, by sex, ethnic group, maternal age group, deprivation quintile of residence and birthweight, 2016
</v>
      </c>
      <c r="B5" s="913"/>
      <c r="C5" s="913"/>
      <c r="D5" s="913"/>
      <c r="E5" s="913"/>
      <c r="F5" s="913"/>
      <c r="G5" s="913"/>
      <c r="H5" s="913"/>
      <c r="I5" s="913"/>
      <c r="J5" s="913"/>
      <c r="K5" s="913"/>
      <c r="L5" s="913"/>
      <c r="M5" s="913"/>
      <c r="N5" s="913"/>
      <c r="O5" s="913"/>
      <c r="P5" s="913"/>
      <c r="Q5" s="913"/>
      <c r="R5" s="913"/>
      <c r="S5" s="913"/>
      <c r="T5" s="167"/>
      <c r="U5" s="167"/>
      <c r="V5" s="167"/>
      <c r="W5" s="167"/>
      <c r="X5" s="167"/>
      <c r="Y5" s="167"/>
      <c r="Z5" s="167"/>
      <c r="AA5" s="786"/>
      <c r="AB5" s="786"/>
      <c r="AC5" s="786" t="s">
        <v>135</v>
      </c>
      <c r="AD5" s="786"/>
      <c r="AE5" s="786"/>
      <c r="AF5" s="786"/>
      <c r="AG5" s="786"/>
      <c r="AH5" s="786"/>
      <c r="AI5" s="786"/>
      <c r="AJ5" s="786"/>
      <c r="AK5" s="786"/>
      <c r="AL5" s="786"/>
      <c r="AM5" s="786"/>
      <c r="AN5" s="786"/>
      <c r="AO5" s="786"/>
      <c r="AP5" s="786"/>
      <c r="AQ5" s="786"/>
      <c r="AR5" s="786"/>
      <c r="AS5" s="786"/>
      <c r="AV5" s="167"/>
      <c r="AW5" s="167"/>
    </row>
    <row r="6" spans="1:49">
      <c r="A6" s="925" t="s">
        <v>68</v>
      </c>
      <c r="B6" s="910" t="s">
        <v>160</v>
      </c>
      <c r="C6" s="910"/>
      <c r="D6" s="910"/>
      <c r="E6" s="910"/>
      <c r="F6" s="910"/>
      <c r="G6" s="927"/>
      <c r="H6" s="911" t="s">
        <v>161</v>
      </c>
      <c r="I6" s="910"/>
      <c r="J6" s="910"/>
      <c r="K6" s="910"/>
      <c r="L6" s="910"/>
      <c r="M6" s="927"/>
      <c r="N6" s="911" t="s">
        <v>162</v>
      </c>
      <c r="O6" s="910"/>
      <c r="P6" s="910"/>
      <c r="Q6" s="910"/>
      <c r="R6" s="910"/>
      <c r="S6" s="910"/>
      <c r="T6" s="37"/>
      <c r="U6" s="63"/>
      <c r="V6" s="63"/>
      <c r="W6" s="63"/>
      <c r="X6" s="63"/>
      <c r="Y6" s="63"/>
      <c r="Z6" s="63"/>
      <c r="AA6" s="289">
        <f>Ref!B27</f>
        <v>2016</v>
      </c>
      <c r="AB6" s="289" t="s">
        <v>47</v>
      </c>
      <c r="AH6" s="289" t="s">
        <v>48</v>
      </c>
      <c r="AN6" s="289" t="s">
        <v>46</v>
      </c>
      <c r="AT6" s="573"/>
      <c r="AU6" s="573"/>
      <c r="AV6" s="63"/>
      <c r="AW6" s="63"/>
    </row>
    <row r="7" spans="1:49">
      <c r="A7" s="926"/>
      <c r="B7" s="329" t="s">
        <v>375</v>
      </c>
      <c r="C7" s="329" t="s">
        <v>376</v>
      </c>
      <c r="D7" s="329" t="s">
        <v>64</v>
      </c>
      <c r="E7" s="329" t="s">
        <v>65</v>
      </c>
      <c r="F7" s="329" t="s">
        <v>66</v>
      </c>
      <c r="G7" s="363" t="s">
        <v>342</v>
      </c>
      <c r="H7" s="329" t="s">
        <v>375</v>
      </c>
      <c r="I7" s="329" t="s">
        <v>376</v>
      </c>
      <c r="J7" s="329" t="s">
        <v>64</v>
      </c>
      <c r="K7" s="329" t="s">
        <v>65</v>
      </c>
      <c r="L7" s="329" t="s">
        <v>66</v>
      </c>
      <c r="M7" s="363" t="s">
        <v>342</v>
      </c>
      <c r="N7" s="329" t="s">
        <v>375</v>
      </c>
      <c r="O7" s="329" t="s">
        <v>376</v>
      </c>
      <c r="P7" s="329" t="s">
        <v>64</v>
      </c>
      <c r="Q7" s="329" t="s">
        <v>65</v>
      </c>
      <c r="R7" s="329" t="s">
        <v>66</v>
      </c>
      <c r="S7" s="363" t="s">
        <v>342</v>
      </c>
      <c r="T7" s="166"/>
      <c r="U7" s="167"/>
      <c r="V7" s="167"/>
      <c r="W7" s="167"/>
      <c r="X7" s="167"/>
      <c r="Y7" s="167"/>
      <c r="Z7" s="167"/>
      <c r="AB7" s="289" t="s">
        <v>375</v>
      </c>
      <c r="AC7" s="289" t="s">
        <v>395</v>
      </c>
      <c r="AD7" s="289" t="s">
        <v>136</v>
      </c>
      <c r="AE7" s="289" t="s">
        <v>137</v>
      </c>
      <c r="AF7" s="289" t="s">
        <v>138</v>
      </c>
      <c r="AG7" s="289" t="s">
        <v>44</v>
      </c>
      <c r="AH7" s="289" t="s">
        <v>375</v>
      </c>
      <c r="AI7" s="289" t="s">
        <v>395</v>
      </c>
      <c r="AJ7" s="289" t="s">
        <v>136</v>
      </c>
      <c r="AK7" s="289" t="s">
        <v>137</v>
      </c>
      <c r="AL7" s="289" t="s">
        <v>138</v>
      </c>
      <c r="AM7" s="289" t="s">
        <v>44</v>
      </c>
      <c r="AN7" s="289" t="s">
        <v>375</v>
      </c>
      <c r="AO7" s="289" t="s">
        <v>395</v>
      </c>
      <c r="AP7" s="289" t="s">
        <v>136</v>
      </c>
      <c r="AQ7" s="289" t="s">
        <v>137</v>
      </c>
      <c r="AR7" s="289" t="s">
        <v>138</v>
      </c>
      <c r="AS7" s="289" t="s">
        <v>44</v>
      </c>
      <c r="AV7" s="167"/>
      <c r="AW7" s="167"/>
    </row>
    <row r="8" spans="1:49">
      <c r="A8" s="81" t="s">
        <v>104</v>
      </c>
      <c r="B8" s="328"/>
      <c r="C8" s="328"/>
      <c r="D8" s="328"/>
      <c r="E8" s="328"/>
      <c r="F8" s="328"/>
      <c r="G8" s="328"/>
      <c r="H8" s="328"/>
      <c r="I8" s="328"/>
      <c r="J8" s="328"/>
      <c r="K8" s="328"/>
      <c r="L8" s="328"/>
      <c r="M8" s="328"/>
      <c r="N8" s="328"/>
      <c r="O8" s="328"/>
      <c r="P8" s="328"/>
      <c r="Q8" s="328"/>
      <c r="R8" s="81"/>
      <c r="S8" s="81"/>
      <c r="T8" s="166"/>
      <c r="U8" s="617"/>
      <c r="V8" s="617"/>
      <c r="W8" s="167"/>
      <c r="X8" s="167"/>
      <c r="Y8" s="167"/>
      <c r="Z8" s="167"/>
      <c r="AA8" s="289" t="s">
        <v>104</v>
      </c>
      <c r="AB8" s="780"/>
      <c r="AC8" s="780"/>
      <c r="AD8" s="780"/>
      <c r="AE8" s="780"/>
      <c r="AF8" s="780"/>
      <c r="AG8" s="780"/>
      <c r="AH8" s="780"/>
      <c r="AI8" s="780"/>
      <c r="AJ8" s="780"/>
      <c r="AK8" s="780"/>
      <c r="AL8" s="780"/>
      <c r="AM8" s="780"/>
      <c r="AN8" s="780"/>
      <c r="AO8" s="780"/>
      <c r="AP8" s="780"/>
      <c r="AQ8" s="780"/>
      <c r="AR8" s="780"/>
      <c r="AS8" s="780"/>
      <c r="AV8" s="167"/>
      <c r="AW8" s="167"/>
    </row>
    <row r="9" spans="1:49" s="77" customFormat="1">
      <c r="A9" s="364" t="s">
        <v>44</v>
      </c>
      <c r="B9" s="365">
        <f>AB9</f>
        <v>227</v>
      </c>
      <c r="C9" s="365">
        <f t="shared" ref="C9:G9" si="0">AC9</f>
        <v>38</v>
      </c>
      <c r="D9" s="365">
        <f t="shared" si="0"/>
        <v>56</v>
      </c>
      <c r="E9" s="365">
        <f t="shared" si="0"/>
        <v>86</v>
      </c>
      <c r="F9" s="365">
        <f t="shared" si="0"/>
        <v>0</v>
      </c>
      <c r="G9" s="368">
        <f t="shared" si="0"/>
        <v>413</v>
      </c>
      <c r="H9" s="365">
        <f>AH9</f>
        <v>96</v>
      </c>
      <c r="I9" s="365">
        <f t="shared" ref="I9:M9" si="1">AI9</f>
        <v>14</v>
      </c>
      <c r="J9" s="365">
        <f t="shared" si="1"/>
        <v>23</v>
      </c>
      <c r="K9" s="365">
        <f t="shared" si="1"/>
        <v>91</v>
      </c>
      <c r="L9" s="365">
        <f t="shared" si="1"/>
        <v>4</v>
      </c>
      <c r="M9" s="368">
        <f t="shared" si="1"/>
        <v>241</v>
      </c>
      <c r="N9" s="365">
        <f>AN9</f>
        <v>260</v>
      </c>
      <c r="O9" s="365">
        <f t="shared" ref="O9:S9" si="2">AO9</f>
        <v>417</v>
      </c>
      <c r="P9" s="365">
        <f t="shared" si="2"/>
        <v>3814</v>
      </c>
      <c r="Q9" s="365">
        <f t="shared" si="2"/>
        <v>54899</v>
      </c>
      <c r="R9" s="365">
        <f t="shared" si="2"/>
        <v>1017</v>
      </c>
      <c r="S9" s="365">
        <f t="shared" si="2"/>
        <v>60436</v>
      </c>
      <c r="T9" s="365"/>
      <c r="U9" s="619"/>
      <c r="V9" s="619"/>
      <c r="W9" s="365"/>
      <c r="X9" s="365"/>
      <c r="Y9" s="365"/>
      <c r="Z9" s="365"/>
      <c r="AA9" s="780" t="s">
        <v>44</v>
      </c>
      <c r="AB9" s="787">
        <f t="shared" ref="AB9:AG9" si="3">VLOOKUP($AA$6&amp;$AA$8&amp;$AC$5&amp;$AA9&amp;AB$7&amp;$AB$6, vw.deaths.demo, 7, FALSE)</f>
        <v>227</v>
      </c>
      <c r="AC9" s="787">
        <f t="shared" si="3"/>
        <v>38</v>
      </c>
      <c r="AD9" s="787">
        <f t="shared" si="3"/>
        <v>56</v>
      </c>
      <c r="AE9" s="787">
        <f t="shared" si="3"/>
        <v>86</v>
      </c>
      <c r="AF9" s="787">
        <f t="shared" si="3"/>
        <v>0</v>
      </c>
      <c r="AG9" s="787">
        <f t="shared" si="3"/>
        <v>413</v>
      </c>
      <c r="AH9" s="787">
        <f t="shared" ref="AH9:AM9" si="4">VLOOKUP($AA$6&amp;$AA$8&amp;$AC$5&amp;$AA9&amp;AH$7&amp;$AH$6, vw.deaths.demo, 7, FALSE)</f>
        <v>96</v>
      </c>
      <c r="AI9" s="787">
        <f t="shared" si="4"/>
        <v>14</v>
      </c>
      <c r="AJ9" s="787">
        <f t="shared" si="4"/>
        <v>23</v>
      </c>
      <c r="AK9" s="787">
        <f t="shared" si="4"/>
        <v>91</v>
      </c>
      <c r="AL9" s="787">
        <f t="shared" si="4"/>
        <v>4</v>
      </c>
      <c r="AM9" s="787">
        <f t="shared" si="4"/>
        <v>241</v>
      </c>
      <c r="AN9" s="289">
        <f t="shared" ref="AN9:AS9" si="5">VLOOKUP($AA$6&amp;$AA$8&amp;$AC$5&amp;$AA9&amp;AN$7, vw.births.demo, 7, FALSE)</f>
        <v>260</v>
      </c>
      <c r="AO9" s="289">
        <f t="shared" si="5"/>
        <v>417</v>
      </c>
      <c r="AP9" s="289">
        <f t="shared" si="5"/>
        <v>3814</v>
      </c>
      <c r="AQ9" s="289">
        <f t="shared" si="5"/>
        <v>54899</v>
      </c>
      <c r="AR9" s="289">
        <f t="shared" si="5"/>
        <v>1017</v>
      </c>
      <c r="AS9" s="289">
        <f t="shared" si="5"/>
        <v>60436</v>
      </c>
      <c r="AT9" s="243"/>
      <c r="AU9" s="243"/>
    </row>
    <row r="10" spans="1:49">
      <c r="A10" s="81" t="s">
        <v>69</v>
      </c>
      <c r="B10" s="328"/>
      <c r="C10" s="328"/>
      <c r="D10" s="328"/>
      <c r="E10" s="328"/>
      <c r="F10" s="328"/>
      <c r="G10" s="328"/>
      <c r="H10" s="328"/>
      <c r="I10" s="328"/>
      <c r="J10" s="328"/>
      <c r="K10" s="328"/>
      <c r="L10" s="328"/>
      <c r="M10" s="328"/>
      <c r="N10" s="328"/>
      <c r="O10" s="328"/>
      <c r="P10" s="328"/>
      <c r="Q10" s="328"/>
      <c r="R10" s="81"/>
      <c r="S10" s="81"/>
      <c r="T10" s="166"/>
      <c r="U10" s="620"/>
      <c r="V10" s="620"/>
      <c r="W10" s="168"/>
      <c r="X10" s="168"/>
      <c r="Y10" s="167"/>
      <c r="Z10" s="167"/>
      <c r="AA10" s="289" t="s">
        <v>69</v>
      </c>
      <c r="AV10" s="167"/>
      <c r="AW10" s="167"/>
    </row>
    <row r="11" spans="1:49">
      <c r="A11" s="367" t="s">
        <v>70</v>
      </c>
      <c r="B11" s="365">
        <f>AB11</f>
        <v>111</v>
      </c>
      <c r="C11" s="365">
        <f t="shared" ref="C11:G13" si="6">AC11</f>
        <v>19</v>
      </c>
      <c r="D11" s="365">
        <f t="shared" si="6"/>
        <v>38</v>
      </c>
      <c r="E11" s="365">
        <f t="shared" si="6"/>
        <v>45</v>
      </c>
      <c r="F11" s="365">
        <f t="shared" si="6"/>
        <v>0</v>
      </c>
      <c r="G11" s="368">
        <f t="shared" si="6"/>
        <v>216</v>
      </c>
      <c r="H11" s="365">
        <f>AH11</f>
        <v>52</v>
      </c>
      <c r="I11" s="365">
        <f t="shared" ref="I11:M13" si="7">AI11</f>
        <v>5</v>
      </c>
      <c r="J11" s="365">
        <f t="shared" si="7"/>
        <v>15</v>
      </c>
      <c r="K11" s="365">
        <f t="shared" si="7"/>
        <v>46</v>
      </c>
      <c r="L11" s="365">
        <f t="shared" si="7"/>
        <v>1</v>
      </c>
      <c r="M11" s="368">
        <f t="shared" si="7"/>
        <v>127</v>
      </c>
      <c r="N11" s="365">
        <f>AN11</f>
        <v>132</v>
      </c>
      <c r="O11" s="365">
        <f t="shared" ref="O11:S13" si="8">AO11</f>
        <v>239</v>
      </c>
      <c r="P11" s="365">
        <f t="shared" si="8"/>
        <v>2055</v>
      </c>
      <c r="Q11" s="365">
        <f t="shared" si="8"/>
        <v>28046</v>
      </c>
      <c r="R11" s="365">
        <f t="shared" si="8"/>
        <v>523</v>
      </c>
      <c r="S11" s="365">
        <f t="shared" si="8"/>
        <v>31009</v>
      </c>
      <c r="T11" s="365"/>
      <c r="U11" s="365"/>
      <c r="V11" s="365"/>
      <c r="W11" s="365"/>
      <c r="X11" s="365"/>
      <c r="Y11" s="365"/>
      <c r="Z11" s="365"/>
      <c r="AA11" s="289" t="s">
        <v>70</v>
      </c>
      <c r="AB11" s="787">
        <f t="shared" ref="AB11:AG12" si="9">VLOOKUP($AA$6&amp;$AA$10&amp;$AC$5&amp;$AA11&amp;AB$7&amp;$AB$6, vw.deaths.demo, 7, FALSE)</f>
        <v>111</v>
      </c>
      <c r="AC11" s="787">
        <f t="shared" si="9"/>
        <v>19</v>
      </c>
      <c r="AD11" s="787">
        <f t="shared" si="9"/>
        <v>38</v>
      </c>
      <c r="AE11" s="787">
        <f t="shared" si="9"/>
        <v>45</v>
      </c>
      <c r="AF11" s="787">
        <f t="shared" si="9"/>
        <v>0</v>
      </c>
      <c r="AG11" s="787">
        <f t="shared" si="9"/>
        <v>216</v>
      </c>
      <c r="AH11" s="787">
        <f t="shared" ref="AH11:AM12" si="10">VLOOKUP($AA$6&amp;$AA$10&amp;$AC$5&amp;$AA11&amp;AH$7&amp;$AH$6, vw.deaths.demo, 7, FALSE)</f>
        <v>52</v>
      </c>
      <c r="AI11" s="787">
        <f t="shared" si="10"/>
        <v>5</v>
      </c>
      <c r="AJ11" s="787">
        <f t="shared" si="10"/>
        <v>15</v>
      </c>
      <c r="AK11" s="787">
        <f t="shared" si="10"/>
        <v>46</v>
      </c>
      <c r="AL11" s="787">
        <f t="shared" si="10"/>
        <v>1</v>
      </c>
      <c r="AM11" s="787">
        <f t="shared" si="10"/>
        <v>127</v>
      </c>
      <c r="AN11" s="289">
        <f t="shared" ref="AN11:AS12" si="11">VLOOKUP($AA$6&amp;$AA$10&amp;$AC$5&amp;$AA11&amp;AN$7, vw.births.demo, 7, FALSE)</f>
        <v>132</v>
      </c>
      <c r="AO11" s="289">
        <f t="shared" si="11"/>
        <v>239</v>
      </c>
      <c r="AP11" s="289">
        <f t="shared" si="11"/>
        <v>2055</v>
      </c>
      <c r="AQ11" s="289">
        <f t="shared" si="11"/>
        <v>28046</v>
      </c>
      <c r="AR11" s="289">
        <f t="shared" si="11"/>
        <v>523</v>
      </c>
      <c r="AS11" s="289">
        <f t="shared" si="11"/>
        <v>31009</v>
      </c>
      <c r="AV11" s="167"/>
      <c r="AW11" s="167"/>
    </row>
    <row r="12" spans="1:49">
      <c r="A12" s="367" t="s">
        <v>71</v>
      </c>
      <c r="B12" s="365">
        <f t="shared" ref="B12:B13" si="12">AB12</f>
        <v>108</v>
      </c>
      <c r="C12" s="365">
        <f t="shared" si="6"/>
        <v>19</v>
      </c>
      <c r="D12" s="365">
        <f t="shared" si="6"/>
        <v>18</v>
      </c>
      <c r="E12" s="365">
        <f t="shared" si="6"/>
        <v>41</v>
      </c>
      <c r="F12" s="365">
        <f t="shared" si="6"/>
        <v>0</v>
      </c>
      <c r="G12" s="368">
        <f t="shared" si="6"/>
        <v>189</v>
      </c>
      <c r="H12" s="365">
        <f t="shared" ref="H12:H13" si="13">AH12</f>
        <v>44</v>
      </c>
      <c r="I12" s="365">
        <f t="shared" si="7"/>
        <v>9</v>
      </c>
      <c r="J12" s="365">
        <f t="shared" si="7"/>
        <v>8</v>
      </c>
      <c r="K12" s="365">
        <f t="shared" si="7"/>
        <v>45</v>
      </c>
      <c r="L12" s="365">
        <f t="shared" si="7"/>
        <v>3</v>
      </c>
      <c r="M12" s="368">
        <f t="shared" si="7"/>
        <v>114</v>
      </c>
      <c r="N12" s="365">
        <f t="shared" ref="N12:N13" si="14">AN12</f>
        <v>128</v>
      </c>
      <c r="O12" s="365">
        <f t="shared" si="8"/>
        <v>178</v>
      </c>
      <c r="P12" s="365">
        <f t="shared" si="8"/>
        <v>1759</v>
      </c>
      <c r="Q12" s="365">
        <f t="shared" si="8"/>
        <v>26853</v>
      </c>
      <c r="R12" s="365">
        <f t="shared" si="8"/>
        <v>494</v>
      </c>
      <c r="S12" s="365">
        <f t="shared" si="8"/>
        <v>29427</v>
      </c>
      <c r="T12" s="365"/>
      <c r="U12" s="365"/>
      <c r="V12" s="365"/>
      <c r="W12" s="365"/>
      <c r="X12" s="365"/>
      <c r="Y12" s="365"/>
      <c r="Z12" s="365"/>
      <c r="AA12" s="289" t="s">
        <v>71</v>
      </c>
      <c r="AB12" s="787">
        <f t="shared" si="9"/>
        <v>108</v>
      </c>
      <c r="AC12" s="787">
        <f t="shared" si="9"/>
        <v>19</v>
      </c>
      <c r="AD12" s="787">
        <f t="shared" si="9"/>
        <v>18</v>
      </c>
      <c r="AE12" s="787">
        <f t="shared" si="9"/>
        <v>41</v>
      </c>
      <c r="AF12" s="787">
        <f t="shared" si="9"/>
        <v>0</v>
      </c>
      <c r="AG12" s="787">
        <f t="shared" si="9"/>
        <v>189</v>
      </c>
      <c r="AH12" s="787">
        <f t="shared" si="10"/>
        <v>44</v>
      </c>
      <c r="AI12" s="787">
        <f t="shared" si="10"/>
        <v>9</v>
      </c>
      <c r="AJ12" s="787">
        <f t="shared" si="10"/>
        <v>8</v>
      </c>
      <c r="AK12" s="787">
        <f t="shared" si="10"/>
        <v>45</v>
      </c>
      <c r="AL12" s="787">
        <f t="shared" si="10"/>
        <v>3</v>
      </c>
      <c r="AM12" s="787">
        <f t="shared" si="10"/>
        <v>114</v>
      </c>
      <c r="AN12" s="289">
        <f t="shared" si="11"/>
        <v>128</v>
      </c>
      <c r="AO12" s="289">
        <f t="shared" si="11"/>
        <v>178</v>
      </c>
      <c r="AP12" s="289">
        <f t="shared" si="11"/>
        <v>1759</v>
      </c>
      <c r="AQ12" s="289">
        <f t="shared" si="11"/>
        <v>26853</v>
      </c>
      <c r="AR12" s="289">
        <f t="shared" si="11"/>
        <v>494</v>
      </c>
      <c r="AS12" s="289">
        <f t="shared" si="11"/>
        <v>29427</v>
      </c>
      <c r="AV12" s="167"/>
      <c r="AW12" s="167"/>
    </row>
    <row r="13" spans="1:49">
      <c r="A13" s="367" t="s">
        <v>63</v>
      </c>
      <c r="B13" s="365">
        <f t="shared" si="12"/>
        <v>8</v>
      </c>
      <c r="C13" s="365">
        <f t="shared" si="6"/>
        <v>0</v>
      </c>
      <c r="D13" s="365">
        <f t="shared" si="6"/>
        <v>0</v>
      </c>
      <c r="E13" s="365">
        <f t="shared" si="6"/>
        <v>0</v>
      </c>
      <c r="F13" s="365">
        <f t="shared" si="6"/>
        <v>0</v>
      </c>
      <c r="G13" s="368">
        <f t="shared" si="6"/>
        <v>8</v>
      </c>
      <c r="H13" s="365">
        <f t="shared" si="13"/>
        <v>0</v>
      </c>
      <c r="I13" s="365">
        <f t="shared" si="7"/>
        <v>0</v>
      </c>
      <c r="J13" s="365">
        <f t="shared" si="7"/>
        <v>0</v>
      </c>
      <c r="K13" s="365">
        <f t="shared" si="7"/>
        <v>0</v>
      </c>
      <c r="L13" s="365">
        <f t="shared" si="7"/>
        <v>0</v>
      </c>
      <c r="M13" s="368">
        <f t="shared" si="7"/>
        <v>0</v>
      </c>
      <c r="N13" s="365">
        <f t="shared" si="14"/>
        <v>0</v>
      </c>
      <c r="O13" s="365">
        <f t="shared" si="8"/>
        <v>0</v>
      </c>
      <c r="P13" s="365">
        <f t="shared" si="8"/>
        <v>0</v>
      </c>
      <c r="Q13" s="365">
        <f t="shared" si="8"/>
        <v>0</v>
      </c>
      <c r="R13" s="365">
        <f t="shared" si="8"/>
        <v>0</v>
      </c>
      <c r="S13" s="365">
        <f t="shared" si="8"/>
        <v>0</v>
      </c>
      <c r="T13" s="365"/>
      <c r="U13" s="365"/>
      <c r="V13" s="365"/>
      <c r="W13" s="365"/>
      <c r="X13" s="365"/>
      <c r="Y13" s="365"/>
      <c r="Z13" s="365"/>
      <c r="AA13" s="289" t="s">
        <v>458</v>
      </c>
      <c r="AB13" s="787">
        <f t="shared" ref="AB13:AG13" si="15">IFERROR(VLOOKUP($AA$6&amp;$AA$10&amp;$AC$5&amp;$AA13&amp;AB$7&amp;$AB$6, vw.deaths.demo, 7, FALSE),0)</f>
        <v>8</v>
      </c>
      <c r="AC13" s="787">
        <f t="shared" si="15"/>
        <v>0</v>
      </c>
      <c r="AD13" s="787">
        <f t="shared" si="15"/>
        <v>0</v>
      </c>
      <c r="AE13" s="787">
        <f t="shared" si="15"/>
        <v>0</v>
      </c>
      <c r="AF13" s="787">
        <f t="shared" si="15"/>
        <v>0</v>
      </c>
      <c r="AG13" s="787">
        <f t="shared" si="15"/>
        <v>8</v>
      </c>
      <c r="AH13" s="787">
        <f t="shared" ref="AH13:AM13" si="16">IFERROR(VLOOKUP($AA$6&amp;$AA$10&amp;$AC$5&amp;$AA13&amp;AH$7&amp;$AH$6, vw.deaths.demo, 7, FALSE),0)</f>
        <v>0</v>
      </c>
      <c r="AI13" s="787">
        <f t="shared" si="16"/>
        <v>0</v>
      </c>
      <c r="AJ13" s="787">
        <f t="shared" si="16"/>
        <v>0</v>
      </c>
      <c r="AK13" s="787">
        <f t="shared" si="16"/>
        <v>0</v>
      </c>
      <c r="AL13" s="787">
        <f t="shared" si="16"/>
        <v>0</v>
      </c>
      <c r="AM13" s="787">
        <f t="shared" si="16"/>
        <v>0</v>
      </c>
      <c r="AN13" s="289">
        <f t="shared" ref="AN13:AS13" si="17">IFERROR(VLOOKUP($AA$6&amp;$AA$10&amp;$AC$5&amp;$AA13&amp;AN$7, vw.births.demo, 7, FALSE),0)</f>
        <v>0</v>
      </c>
      <c r="AO13" s="289">
        <f t="shared" si="17"/>
        <v>0</v>
      </c>
      <c r="AP13" s="289">
        <f t="shared" si="17"/>
        <v>0</v>
      </c>
      <c r="AQ13" s="289">
        <f t="shared" si="17"/>
        <v>0</v>
      </c>
      <c r="AR13" s="289">
        <f t="shared" si="17"/>
        <v>0</v>
      </c>
      <c r="AS13" s="289">
        <f t="shared" si="17"/>
        <v>0</v>
      </c>
      <c r="AV13" s="167"/>
      <c r="AW13" s="167"/>
    </row>
    <row r="14" spans="1:49">
      <c r="A14" s="81" t="s">
        <v>73</v>
      </c>
      <c r="B14" s="328"/>
      <c r="C14" s="328"/>
      <c r="D14" s="328"/>
      <c r="E14" s="328"/>
      <c r="F14" s="328"/>
      <c r="G14" s="328"/>
      <c r="H14" s="328"/>
      <c r="I14" s="328"/>
      <c r="J14" s="328"/>
      <c r="K14" s="328"/>
      <c r="L14" s="328"/>
      <c r="M14" s="328"/>
      <c r="N14" s="328"/>
      <c r="O14" s="328"/>
      <c r="P14" s="328"/>
      <c r="Q14" s="81"/>
      <c r="R14" s="81"/>
      <c r="S14" s="81"/>
      <c r="T14" s="166"/>
      <c r="U14" s="167"/>
      <c r="V14" s="167"/>
      <c r="W14" s="167"/>
      <c r="X14" s="167"/>
      <c r="Y14" s="167"/>
      <c r="Z14" s="167"/>
      <c r="AA14" s="289" t="s">
        <v>461</v>
      </c>
      <c r="AB14" s="780"/>
      <c r="AC14" s="780"/>
      <c r="AD14" s="780"/>
      <c r="AE14" s="780"/>
      <c r="AF14" s="780"/>
      <c r="AG14" s="780"/>
      <c r="AH14" s="780"/>
      <c r="AI14" s="780"/>
      <c r="AJ14" s="780"/>
      <c r="AK14" s="780"/>
      <c r="AL14" s="780"/>
      <c r="AM14" s="780"/>
      <c r="AV14" s="167"/>
      <c r="AW14" s="167"/>
    </row>
    <row r="15" spans="1:49" s="77" customFormat="1">
      <c r="A15" s="364" t="s">
        <v>74</v>
      </c>
      <c r="B15" s="365">
        <f>AB15</f>
        <v>74</v>
      </c>
      <c r="C15" s="365">
        <f t="shared" ref="C15:G18" si="18">AC15</f>
        <v>4</v>
      </c>
      <c r="D15" s="365">
        <f t="shared" si="18"/>
        <v>18</v>
      </c>
      <c r="E15" s="365">
        <f t="shared" si="18"/>
        <v>25</v>
      </c>
      <c r="F15" s="365">
        <f t="shared" si="18"/>
        <v>0</v>
      </c>
      <c r="G15" s="368">
        <f t="shared" si="18"/>
        <v>122</v>
      </c>
      <c r="H15" s="365">
        <f>AH15</f>
        <v>35</v>
      </c>
      <c r="I15" s="365">
        <f t="shared" ref="I15:M18" si="19">AI15</f>
        <v>6</v>
      </c>
      <c r="J15" s="365">
        <f t="shared" si="19"/>
        <v>8</v>
      </c>
      <c r="K15" s="365">
        <f t="shared" si="19"/>
        <v>44</v>
      </c>
      <c r="L15" s="365">
        <f t="shared" si="19"/>
        <v>3</v>
      </c>
      <c r="M15" s="368">
        <f t="shared" si="19"/>
        <v>103</v>
      </c>
      <c r="N15" s="365">
        <f>AN15</f>
        <v>92</v>
      </c>
      <c r="O15" s="365">
        <f t="shared" ref="O15:S18" si="20">AO15</f>
        <v>139</v>
      </c>
      <c r="P15" s="365">
        <f t="shared" si="20"/>
        <v>1193</v>
      </c>
      <c r="Q15" s="365">
        <f t="shared" si="20"/>
        <v>15611</v>
      </c>
      <c r="R15" s="365">
        <f t="shared" si="20"/>
        <v>281</v>
      </c>
      <c r="S15" s="365">
        <f t="shared" si="20"/>
        <v>17329</v>
      </c>
      <c r="T15" s="85"/>
      <c r="AA15" s="780" t="s">
        <v>129</v>
      </c>
      <c r="AB15" s="787">
        <f t="shared" ref="AB15:AG18" si="21">VLOOKUP($AA$6&amp;$AA$14&amp;$AC$5&amp;$AA15&amp;AB$7&amp;$AB$6, vw.deaths.demo, 7, FALSE)</f>
        <v>74</v>
      </c>
      <c r="AC15" s="787">
        <f t="shared" si="21"/>
        <v>4</v>
      </c>
      <c r="AD15" s="787">
        <f t="shared" si="21"/>
        <v>18</v>
      </c>
      <c r="AE15" s="787">
        <f t="shared" si="21"/>
        <v>25</v>
      </c>
      <c r="AF15" s="787">
        <f t="shared" si="21"/>
        <v>0</v>
      </c>
      <c r="AG15" s="787">
        <f t="shared" si="21"/>
        <v>122</v>
      </c>
      <c r="AH15" s="787">
        <f t="shared" ref="AH15:AM18" si="22">VLOOKUP($AA$6&amp;$AA$14&amp;$AC$5&amp;$AA15&amp;AH$7&amp;$AH$6, vw.deaths.demo, 7, FALSE)</f>
        <v>35</v>
      </c>
      <c r="AI15" s="787">
        <f t="shared" si="22"/>
        <v>6</v>
      </c>
      <c r="AJ15" s="787">
        <f t="shared" si="22"/>
        <v>8</v>
      </c>
      <c r="AK15" s="787">
        <f t="shared" si="22"/>
        <v>44</v>
      </c>
      <c r="AL15" s="787">
        <f t="shared" si="22"/>
        <v>3</v>
      </c>
      <c r="AM15" s="787">
        <f t="shared" si="22"/>
        <v>103</v>
      </c>
      <c r="AN15" s="289">
        <f t="shared" ref="AN15:AS18" si="23">VLOOKUP($AA$6&amp;$AA$14&amp;$AC$5&amp;$AA15&amp;AN$7, vw.births.demo, 7, FALSE)</f>
        <v>92</v>
      </c>
      <c r="AO15" s="289">
        <f t="shared" si="23"/>
        <v>139</v>
      </c>
      <c r="AP15" s="289">
        <f t="shared" si="23"/>
        <v>1193</v>
      </c>
      <c r="AQ15" s="289">
        <f t="shared" si="23"/>
        <v>15611</v>
      </c>
      <c r="AR15" s="289">
        <f t="shared" si="23"/>
        <v>281</v>
      </c>
      <c r="AS15" s="289">
        <f t="shared" si="23"/>
        <v>17329</v>
      </c>
      <c r="AT15" s="243"/>
      <c r="AU15" s="243"/>
    </row>
    <row r="16" spans="1:49" s="77" customFormat="1">
      <c r="A16" s="364" t="s">
        <v>320</v>
      </c>
      <c r="B16" s="365">
        <f t="shared" ref="B16:B18" si="24">AB16</f>
        <v>18</v>
      </c>
      <c r="C16" s="365">
        <f t="shared" si="18"/>
        <v>6</v>
      </c>
      <c r="D16" s="365">
        <f t="shared" si="18"/>
        <v>8</v>
      </c>
      <c r="E16" s="365">
        <f t="shared" si="18"/>
        <v>12</v>
      </c>
      <c r="F16" s="365">
        <f t="shared" si="18"/>
        <v>0</v>
      </c>
      <c r="G16" s="368">
        <f t="shared" si="18"/>
        <v>45</v>
      </c>
      <c r="H16" s="365">
        <f t="shared" ref="H16:H18" si="25">AH16</f>
        <v>14</v>
      </c>
      <c r="I16" s="365">
        <f t="shared" si="19"/>
        <v>3</v>
      </c>
      <c r="J16" s="365">
        <f t="shared" si="19"/>
        <v>8</v>
      </c>
      <c r="K16" s="365">
        <f t="shared" si="19"/>
        <v>10</v>
      </c>
      <c r="L16" s="365">
        <f t="shared" si="19"/>
        <v>0</v>
      </c>
      <c r="M16" s="368">
        <f t="shared" si="19"/>
        <v>37</v>
      </c>
      <c r="N16" s="365">
        <f t="shared" ref="N16:N18" si="26">AN16</f>
        <v>36</v>
      </c>
      <c r="O16" s="365">
        <f t="shared" si="20"/>
        <v>29</v>
      </c>
      <c r="P16" s="365">
        <f t="shared" si="20"/>
        <v>376</v>
      </c>
      <c r="Q16" s="365">
        <f t="shared" si="20"/>
        <v>5433</v>
      </c>
      <c r="R16" s="365">
        <f t="shared" si="20"/>
        <v>101</v>
      </c>
      <c r="S16" s="365">
        <f t="shared" si="20"/>
        <v>5976</v>
      </c>
      <c r="T16" s="85"/>
      <c r="AA16" s="780" t="s">
        <v>320</v>
      </c>
      <c r="AB16" s="787">
        <f t="shared" si="21"/>
        <v>18</v>
      </c>
      <c r="AC16" s="787">
        <f t="shared" si="21"/>
        <v>6</v>
      </c>
      <c r="AD16" s="787">
        <f t="shared" si="21"/>
        <v>8</v>
      </c>
      <c r="AE16" s="787">
        <f t="shared" si="21"/>
        <v>12</v>
      </c>
      <c r="AF16" s="787">
        <f t="shared" si="21"/>
        <v>0</v>
      </c>
      <c r="AG16" s="787">
        <f t="shared" si="21"/>
        <v>45</v>
      </c>
      <c r="AH16" s="787">
        <f t="shared" si="22"/>
        <v>14</v>
      </c>
      <c r="AI16" s="787">
        <f t="shared" si="22"/>
        <v>3</v>
      </c>
      <c r="AJ16" s="787">
        <f t="shared" si="22"/>
        <v>8</v>
      </c>
      <c r="AK16" s="787">
        <f t="shared" si="22"/>
        <v>10</v>
      </c>
      <c r="AL16" s="787">
        <f t="shared" si="22"/>
        <v>0</v>
      </c>
      <c r="AM16" s="787">
        <f t="shared" si="22"/>
        <v>37</v>
      </c>
      <c r="AN16" s="289">
        <f t="shared" si="23"/>
        <v>36</v>
      </c>
      <c r="AO16" s="289">
        <f t="shared" si="23"/>
        <v>29</v>
      </c>
      <c r="AP16" s="289">
        <f t="shared" si="23"/>
        <v>376</v>
      </c>
      <c r="AQ16" s="289">
        <f t="shared" si="23"/>
        <v>5433</v>
      </c>
      <c r="AR16" s="289">
        <f t="shared" si="23"/>
        <v>101</v>
      </c>
      <c r="AS16" s="289">
        <f t="shared" si="23"/>
        <v>5976</v>
      </c>
      <c r="AT16" s="243"/>
      <c r="AU16" s="243"/>
    </row>
    <row r="17" spans="1:49" s="77" customFormat="1">
      <c r="A17" s="364" t="s">
        <v>355</v>
      </c>
      <c r="B17" s="365">
        <f t="shared" si="24"/>
        <v>41</v>
      </c>
      <c r="C17" s="365">
        <f t="shared" si="18"/>
        <v>9</v>
      </c>
      <c r="D17" s="365">
        <f t="shared" si="18"/>
        <v>8</v>
      </c>
      <c r="E17" s="365">
        <f t="shared" si="18"/>
        <v>13</v>
      </c>
      <c r="F17" s="365">
        <f t="shared" si="18"/>
        <v>0</v>
      </c>
      <c r="G17" s="368">
        <f t="shared" si="18"/>
        <v>73</v>
      </c>
      <c r="H17" s="365">
        <f t="shared" si="25"/>
        <v>16</v>
      </c>
      <c r="I17" s="365">
        <f t="shared" si="19"/>
        <v>2</v>
      </c>
      <c r="J17" s="365">
        <f t="shared" si="19"/>
        <v>1</v>
      </c>
      <c r="K17" s="365">
        <f t="shared" si="19"/>
        <v>7</v>
      </c>
      <c r="L17" s="365">
        <f t="shared" si="19"/>
        <v>1</v>
      </c>
      <c r="M17" s="368">
        <f t="shared" si="19"/>
        <v>27</v>
      </c>
      <c r="N17" s="365">
        <f t="shared" si="26"/>
        <v>52</v>
      </c>
      <c r="O17" s="365">
        <f t="shared" si="20"/>
        <v>71</v>
      </c>
      <c r="P17" s="365">
        <f t="shared" si="20"/>
        <v>611</v>
      </c>
      <c r="Q17" s="365">
        <f t="shared" si="20"/>
        <v>10044</v>
      </c>
      <c r="R17" s="365">
        <f t="shared" si="20"/>
        <v>119</v>
      </c>
      <c r="S17" s="365">
        <f t="shared" si="20"/>
        <v>10902</v>
      </c>
      <c r="T17" s="85"/>
      <c r="AA17" s="780" t="s">
        <v>355</v>
      </c>
      <c r="AB17" s="787">
        <f t="shared" si="21"/>
        <v>41</v>
      </c>
      <c r="AC17" s="787">
        <f t="shared" si="21"/>
        <v>9</v>
      </c>
      <c r="AD17" s="787">
        <f t="shared" si="21"/>
        <v>8</v>
      </c>
      <c r="AE17" s="787">
        <f t="shared" si="21"/>
        <v>13</v>
      </c>
      <c r="AF17" s="787">
        <f t="shared" si="21"/>
        <v>0</v>
      </c>
      <c r="AG17" s="787">
        <f t="shared" si="21"/>
        <v>73</v>
      </c>
      <c r="AH17" s="787">
        <f t="shared" si="22"/>
        <v>16</v>
      </c>
      <c r="AI17" s="787">
        <f t="shared" si="22"/>
        <v>2</v>
      </c>
      <c r="AJ17" s="787">
        <f t="shared" si="22"/>
        <v>1</v>
      </c>
      <c r="AK17" s="787">
        <f t="shared" si="22"/>
        <v>7</v>
      </c>
      <c r="AL17" s="787">
        <f t="shared" si="22"/>
        <v>1</v>
      </c>
      <c r="AM17" s="787">
        <f t="shared" si="22"/>
        <v>27</v>
      </c>
      <c r="AN17" s="289">
        <f t="shared" si="23"/>
        <v>52</v>
      </c>
      <c r="AO17" s="289">
        <f t="shared" si="23"/>
        <v>71</v>
      </c>
      <c r="AP17" s="289">
        <f t="shared" si="23"/>
        <v>611</v>
      </c>
      <c r="AQ17" s="289">
        <f t="shared" si="23"/>
        <v>10044</v>
      </c>
      <c r="AR17" s="289">
        <f t="shared" si="23"/>
        <v>119</v>
      </c>
      <c r="AS17" s="289">
        <f t="shared" si="23"/>
        <v>10902</v>
      </c>
      <c r="AT17" s="243"/>
      <c r="AU17" s="243"/>
    </row>
    <row r="18" spans="1:49" s="77" customFormat="1">
      <c r="A18" s="364" t="s">
        <v>356</v>
      </c>
      <c r="B18" s="365">
        <f t="shared" si="24"/>
        <v>94</v>
      </c>
      <c r="C18" s="365">
        <f t="shared" si="18"/>
        <v>19</v>
      </c>
      <c r="D18" s="365">
        <f t="shared" si="18"/>
        <v>22</v>
      </c>
      <c r="E18" s="365">
        <f t="shared" si="18"/>
        <v>36</v>
      </c>
      <c r="F18" s="365">
        <f t="shared" si="18"/>
        <v>0</v>
      </c>
      <c r="G18" s="368">
        <f t="shared" si="18"/>
        <v>173</v>
      </c>
      <c r="H18" s="365">
        <f t="shared" si="25"/>
        <v>31</v>
      </c>
      <c r="I18" s="365">
        <f t="shared" si="19"/>
        <v>3</v>
      </c>
      <c r="J18" s="365">
        <f t="shared" si="19"/>
        <v>6</v>
      </c>
      <c r="K18" s="365">
        <f t="shared" si="19"/>
        <v>30</v>
      </c>
      <c r="L18" s="365">
        <f t="shared" si="19"/>
        <v>0</v>
      </c>
      <c r="M18" s="368">
        <f t="shared" si="19"/>
        <v>74</v>
      </c>
      <c r="N18" s="365">
        <f t="shared" si="26"/>
        <v>80</v>
      </c>
      <c r="O18" s="365">
        <f t="shared" si="20"/>
        <v>178</v>
      </c>
      <c r="P18" s="365">
        <f t="shared" si="20"/>
        <v>1634</v>
      </c>
      <c r="Q18" s="365">
        <f t="shared" si="20"/>
        <v>23811</v>
      </c>
      <c r="R18" s="365">
        <f t="shared" si="20"/>
        <v>516</v>
      </c>
      <c r="S18" s="365">
        <f t="shared" si="20"/>
        <v>26229</v>
      </c>
      <c r="T18" s="85"/>
      <c r="AA18" s="780" t="s">
        <v>356</v>
      </c>
      <c r="AB18" s="787">
        <f t="shared" si="21"/>
        <v>94</v>
      </c>
      <c r="AC18" s="787">
        <f t="shared" si="21"/>
        <v>19</v>
      </c>
      <c r="AD18" s="787">
        <f t="shared" si="21"/>
        <v>22</v>
      </c>
      <c r="AE18" s="787">
        <f t="shared" si="21"/>
        <v>36</v>
      </c>
      <c r="AF18" s="787">
        <f t="shared" si="21"/>
        <v>0</v>
      </c>
      <c r="AG18" s="787">
        <f t="shared" si="21"/>
        <v>173</v>
      </c>
      <c r="AH18" s="787">
        <f t="shared" si="22"/>
        <v>31</v>
      </c>
      <c r="AI18" s="787">
        <f t="shared" si="22"/>
        <v>3</v>
      </c>
      <c r="AJ18" s="787">
        <f t="shared" si="22"/>
        <v>6</v>
      </c>
      <c r="AK18" s="787">
        <f t="shared" si="22"/>
        <v>30</v>
      </c>
      <c r="AL18" s="787">
        <f t="shared" si="22"/>
        <v>0</v>
      </c>
      <c r="AM18" s="787">
        <f t="shared" si="22"/>
        <v>74</v>
      </c>
      <c r="AN18" s="289">
        <f t="shared" si="23"/>
        <v>80</v>
      </c>
      <c r="AO18" s="289">
        <f t="shared" si="23"/>
        <v>178</v>
      </c>
      <c r="AP18" s="289">
        <f t="shared" si="23"/>
        <v>1634</v>
      </c>
      <c r="AQ18" s="289">
        <f t="shared" si="23"/>
        <v>23811</v>
      </c>
      <c r="AR18" s="289">
        <f t="shared" si="23"/>
        <v>516</v>
      </c>
      <c r="AS18" s="289">
        <f t="shared" si="23"/>
        <v>26229</v>
      </c>
      <c r="AT18" s="243"/>
      <c r="AU18" s="243"/>
    </row>
    <row r="19" spans="1:49">
      <c r="A19" s="81" t="s">
        <v>152</v>
      </c>
      <c r="B19" s="328"/>
      <c r="C19" s="328"/>
      <c r="D19" s="328"/>
      <c r="E19" s="328"/>
      <c r="F19" s="328"/>
      <c r="G19" s="328"/>
      <c r="H19" s="328"/>
      <c r="I19" s="328"/>
      <c r="J19" s="328"/>
      <c r="K19" s="328"/>
      <c r="L19" s="328"/>
      <c r="M19" s="328"/>
      <c r="N19" s="328"/>
      <c r="O19" s="328"/>
      <c r="P19" s="328"/>
      <c r="Q19" s="81"/>
      <c r="R19" s="81"/>
      <c r="S19" s="369"/>
      <c r="Y19" s="167"/>
      <c r="Z19" s="167"/>
      <c r="AA19" s="289" t="s">
        <v>462</v>
      </c>
      <c r="AV19" s="167"/>
      <c r="AW19" s="167"/>
    </row>
    <row r="20" spans="1:49">
      <c r="A20" s="422" t="s">
        <v>339</v>
      </c>
      <c r="B20" s="365">
        <f>AB20</f>
        <v>20</v>
      </c>
      <c r="C20" s="365">
        <f t="shared" ref="C20:G26" si="27">AC20</f>
        <v>1</v>
      </c>
      <c r="D20" s="365">
        <f t="shared" si="27"/>
        <v>7</v>
      </c>
      <c r="E20" s="365">
        <f t="shared" si="27"/>
        <v>7</v>
      </c>
      <c r="F20" s="365">
        <f t="shared" si="27"/>
        <v>0</v>
      </c>
      <c r="G20" s="368">
        <f t="shared" si="27"/>
        <v>36</v>
      </c>
      <c r="H20" s="365">
        <f>AH20</f>
        <v>9</v>
      </c>
      <c r="I20" s="365">
        <f t="shared" ref="I20:M26" si="28">AI20</f>
        <v>2</v>
      </c>
      <c r="J20" s="365">
        <f t="shared" si="28"/>
        <v>2</v>
      </c>
      <c r="K20" s="365">
        <f t="shared" si="28"/>
        <v>9</v>
      </c>
      <c r="L20" s="365">
        <f t="shared" si="28"/>
        <v>3</v>
      </c>
      <c r="M20" s="368">
        <f t="shared" si="28"/>
        <v>27</v>
      </c>
      <c r="N20" s="365">
        <f>AN20</f>
        <v>22</v>
      </c>
      <c r="O20" s="365">
        <f t="shared" ref="O20:S26" si="29">AO20</f>
        <v>24</v>
      </c>
      <c r="P20" s="365">
        <f t="shared" si="29"/>
        <v>189</v>
      </c>
      <c r="Q20" s="365">
        <f t="shared" si="29"/>
        <v>2277</v>
      </c>
      <c r="R20" s="365">
        <f t="shared" si="29"/>
        <v>45</v>
      </c>
      <c r="S20" s="365">
        <f t="shared" si="29"/>
        <v>2559</v>
      </c>
      <c r="Y20" s="167"/>
      <c r="Z20" s="167"/>
      <c r="AA20" s="289" t="s">
        <v>339</v>
      </c>
      <c r="AB20" s="787">
        <f t="shared" ref="AB20:AG25" si="30">VLOOKUP($AA$6&amp;$AA$19&amp;$AC$5&amp;$AA20&amp;AB$7&amp;$AB$6, vw.deaths.demo, 7, FALSE)</f>
        <v>20</v>
      </c>
      <c r="AC20" s="787">
        <f t="shared" si="30"/>
        <v>1</v>
      </c>
      <c r="AD20" s="787">
        <f t="shared" si="30"/>
        <v>7</v>
      </c>
      <c r="AE20" s="787">
        <f t="shared" si="30"/>
        <v>7</v>
      </c>
      <c r="AF20" s="787">
        <f t="shared" si="30"/>
        <v>0</v>
      </c>
      <c r="AG20" s="787">
        <f t="shared" si="30"/>
        <v>36</v>
      </c>
      <c r="AH20" s="787">
        <f t="shared" ref="AH20:AM25" si="31">VLOOKUP($AA$6&amp;$AA$19&amp;$AC$5&amp;$AA20&amp;AH$7&amp;$AH$6, vw.deaths.demo, 7, FALSE)</f>
        <v>9</v>
      </c>
      <c r="AI20" s="787">
        <f t="shared" si="31"/>
        <v>2</v>
      </c>
      <c r="AJ20" s="787">
        <f t="shared" si="31"/>
        <v>2</v>
      </c>
      <c r="AK20" s="787">
        <f t="shared" si="31"/>
        <v>9</v>
      </c>
      <c r="AL20" s="787">
        <f t="shared" si="31"/>
        <v>3</v>
      </c>
      <c r="AM20" s="787">
        <f t="shared" si="31"/>
        <v>27</v>
      </c>
      <c r="AN20" s="289">
        <f t="shared" ref="AN20:AS25" si="32">VLOOKUP($AA$6&amp;$AA$19&amp;$AC$5&amp;$AA20&amp;AN$7, vw.births.demo, 7, FALSE)</f>
        <v>22</v>
      </c>
      <c r="AO20" s="289">
        <f t="shared" si="32"/>
        <v>24</v>
      </c>
      <c r="AP20" s="289">
        <f t="shared" si="32"/>
        <v>189</v>
      </c>
      <c r="AQ20" s="289">
        <f t="shared" si="32"/>
        <v>2277</v>
      </c>
      <c r="AR20" s="289">
        <f t="shared" si="32"/>
        <v>45</v>
      </c>
      <c r="AS20" s="289">
        <f t="shared" si="32"/>
        <v>2559</v>
      </c>
      <c r="AV20" s="167"/>
      <c r="AW20" s="167"/>
    </row>
    <row r="21" spans="1:49">
      <c r="A21" s="367" t="s">
        <v>77</v>
      </c>
      <c r="B21" s="365">
        <f t="shared" ref="B21:B26" si="33">AB21</f>
        <v>32</v>
      </c>
      <c r="C21" s="365">
        <f t="shared" si="27"/>
        <v>6</v>
      </c>
      <c r="D21" s="365">
        <f t="shared" si="27"/>
        <v>13</v>
      </c>
      <c r="E21" s="365">
        <f t="shared" si="27"/>
        <v>20</v>
      </c>
      <c r="F21" s="365">
        <f t="shared" si="27"/>
        <v>0</v>
      </c>
      <c r="G21" s="368">
        <f t="shared" si="27"/>
        <v>73</v>
      </c>
      <c r="H21" s="365">
        <f t="shared" ref="H21:H26" si="34">AH21</f>
        <v>25</v>
      </c>
      <c r="I21" s="365">
        <f t="shared" si="28"/>
        <v>1</v>
      </c>
      <c r="J21" s="365">
        <f t="shared" si="28"/>
        <v>8</v>
      </c>
      <c r="K21" s="365">
        <f t="shared" si="28"/>
        <v>22</v>
      </c>
      <c r="L21" s="365">
        <f t="shared" si="28"/>
        <v>0</v>
      </c>
      <c r="M21" s="368">
        <f t="shared" si="28"/>
        <v>61</v>
      </c>
      <c r="N21" s="365">
        <f t="shared" ref="N21:N26" si="35">AN21</f>
        <v>51</v>
      </c>
      <c r="O21" s="365">
        <f t="shared" si="29"/>
        <v>66</v>
      </c>
      <c r="P21" s="365">
        <f t="shared" si="29"/>
        <v>604</v>
      </c>
      <c r="Q21" s="365">
        <f t="shared" si="29"/>
        <v>9027</v>
      </c>
      <c r="R21" s="365">
        <f t="shared" si="29"/>
        <v>180</v>
      </c>
      <c r="S21" s="365">
        <f t="shared" si="29"/>
        <v>9934</v>
      </c>
      <c r="Y21" s="167"/>
      <c r="Z21" s="167"/>
      <c r="AA21" s="289" t="s">
        <v>130</v>
      </c>
      <c r="AB21" s="787">
        <f t="shared" si="30"/>
        <v>32</v>
      </c>
      <c r="AC21" s="787">
        <f t="shared" si="30"/>
        <v>6</v>
      </c>
      <c r="AD21" s="787">
        <f t="shared" si="30"/>
        <v>13</v>
      </c>
      <c r="AE21" s="787">
        <f t="shared" si="30"/>
        <v>20</v>
      </c>
      <c r="AF21" s="787">
        <f t="shared" si="30"/>
        <v>0</v>
      </c>
      <c r="AG21" s="787">
        <f t="shared" si="30"/>
        <v>73</v>
      </c>
      <c r="AH21" s="787">
        <f t="shared" si="31"/>
        <v>25</v>
      </c>
      <c r="AI21" s="787">
        <f t="shared" si="31"/>
        <v>1</v>
      </c>
      <c r="AJ21" s="787">
        <f t="shared" si="31"/>
        <v>8</v>
      </c>
      <c r="AK21" s="787">
        <f t="shared" si="31"/>
        <v>22</v>
      </c>
      <c r="AL21" s="787">
        <f t="shared" si="31"/>
        <v>0</v>
      </c>
      <c r="AM21" s="787">
        <f t="shared" si="31"/>
        <v>61</v>
      </c>
      <c r="AN21" s="289">
        <f t="shared" si="32"/>
        <v>51</v>
      </c>
      <c r="AO21" s="289">
        <f t="shared" si="32"/>
        <v>66</v>
      </c>
      <c r="AP21" s="289">
        <f t="shared" si="32"/>
        <v>604</v>
      </c>
      <c r="AQ21" s="289">
        <f t="shared" si="32"/>
        <v>9027</v>
      </c>
      <c r="AR21" s="289">
        <f t="shared" si="32"/>
        <v>180</v>
      </c>
      <c r="AS21" s="289">
        <f t="shared" si="32"/>
        <v>9934</v>
      </c>
      <c r="AV21" s="167"/>
      <c r="AW21" s="167"/>
    </row>
    <row r="22" spans="1:49">
      <c r="A22" s="367" t="s">
        <v>78</v>
      </c>
      <c r="B22" s="365">
        <f t="shared" si="33"/>
        <v>66</v>
      </c>
      <c r="C22" s="365">
        <f t="shared" si="27"/>
        <v>10</v>
      </c>
      <c r="D22" s="365">
        <f t="shared" si="27"/>
        <v>8</v>
      </c>
      <c r="E22" s="365">
        <f t="shared" si="27"/>
        <v>18</v>
      </c>
      <c r="F22" s="365">
        <f t="shared" si="27"/>
        <v>0</v>
      </c>
      <c r="G22" s="368">
        <f t="shared" si="27"/>
        <v>103</v>
      </c>
      <c r="H22" s="365">
        <f t="shared" si="34"/>
        <v>23</v>
      </c>
      <c r="I22" s="365">
        <f t="shared" si="28"/>
        <v>3</v>
      </c>
      <c r="J22" s="365">
        <f t="shared" si="28"/>
        <v>4</v>
      </c>
      <c r="K22" s="365">
        <f t="shared" si="28"/>
        <v>20</v>
      </c>
      <c r="L22" s="365">
        <f t="shared" si="28"/>
        <v>1</v>
      </c>
      <c r="M22" s="368">
        <f t="shared" si="28"/>
        <v>52</v>
      </c>
      <c r="N22" s="365">
        <f t="shared" si="35"/>
        <v>66</v>
      </c>
      <c r="O22" s="365">
        <f t="shared" si="29"/>
        <v>105</v>
      </c>
      <c r="P22" s="365">
        <f t="shared" si="29"/>
        <v>991</v>
      </c>
      <c r="Q22" s="365">
        <f t="shared" si="29"/>
        <v>15201</v>
      </c>
      <c r="R22" s="365">
        <f t="shared" si="29"/>
        <v>294</v>
      </c>
      <c r="S22" s="365">
        <f t="shared" si="29"/>
        <v>16664</v>
      </c>
      <c r="Y22" s="167"/>
      <c r="Z22" s="167"/>
      <c r="AA22" s="289" t="s">
        <v>131</v>
      </c>
      <c r="AB22" s="787">
        <f t="shared" si="30"/>
        <v>66</v>
      </c>
      <c r="AC22" s="787">
        <f t="shared" si="30"/>
        <v>10</v>
      </c>
      <c r="AD22" s="787">
        <f t="shared" si="30"/>
        <v>8</v>
      </c>
      <c r="AE22" s="787">
        <f t="shared" si="30"/>
        <v>18</v>
      </c>
      <c r="AF22" s="787">
        <f t="shared" si="30"/>
        <v>0</v>
      </c>
      <c r="AG22" s="787">
        <f t="shared" si="30"/>
        <v>103</v>
      </c>
      <c r="AH22" s="787">
        <f t="shared" si="31"/>
        <v>23</v>
      </c>
      <c r="AI22" s="787">
        <f t="shared" si="31"/>
        <v>3</v>
      </c>
      <c r="AJ22" s="787">
        <f t="shared" si="31"/>
        <v>4</v>
      </c>
      <c r="AK22" s="787">
        <f t="shared" si="31"/>
        <v>20</v>
      </c>
      <c r="AL22" s="787">
        <f t="shared" si="31"/>
        <v>1</v>
      </c>
      <c r="AM22" s="787">
        <f t="shared" si="31"/>
        <v>52</v>
      </c>
      <c r="AN22" s="289">
        <f t="shared" si="32"/>
        <v>66</v>
      </c>
      <c r="AO22" s="289">
        <f t="shared" si="32"/>
        <v>105</v>
      </c>
      <c r="AP22" s="289">
        <f t="shared" si="32"/>
        <v>991</v>
      </c>
      <c r="AQ22" s="289">
        <f t="shared" si="32"/>
        <v>15201</v>
      </c>
      <c r="AR22" s="289">
        <f t="shared" si="32"/>
        <v>294</v>
      </c>
      <c r="AS22" s="289">
        <f t="shared" si="32"/>
        <v>16664</v>
      </c>
      <c r="AV22" s="167"/>
      <c r="AW22" s="167"/>
    </row>
    <row r="23" spans="1:49">
      <c r="A23" s="367" t="s">
        <v>79</v>
      </c>
      <c r="B23" s="365">
        <f t="shared" si="33"/>
        <v>64</v>
      </c>
      <c r="C23" s="365">
        <f t="shared" si="27"/>
        <v>11</v>
      </c>
      <c r="D23" s="365">
        <f t="shared" si="27"/>
        <v>18</v>
      </c>
      <c r="E23" s="365">
        <f t="shared" si="27"/>
        <v>21</v>
      </c>
      <c r="F23" s="365">
        <f t="shared" si="27"/>
        <v>0</v>
      </c>
      <c r="G23" s="368">
        <f t="shared" si="27"/>
        <v>115</v>
      </c>
      <c r="H23" s="365">
        <f t="shared" si="34"/>
        <v>27</v>
      </c>
      <c r="I23" s="365">
        <f t="shared" si="28"/>
        <v>2</v>
      </c>
      <c r="J23" s="365">
        <f t="shared" si="28"/>
        <v>6</v>
      </c>
      <c r="K23" s="365">
        <f t="shared" si="28"/>
        <v>21</v>
      </c>
      <c r="L23" s="365">
        <f t="shared" si="28"/>
        <v>0</v>
      </c>
      <c r="M23" s="368">
        <f t="shared" si="28"/>
        <v>59</v>
      </c>
      <c r="N23" s="365">
        <f t="shared" si="35"/>
        <v>61</v>
      </c>
      <c r="O23" s="365">
        <f t="shared" si="29"/>
        <v>132</v>
      </c>
      <c r="P23" s="365">
        <f t="shared" si="29"/>
        <v>1113</v>
      </c>
      <c r="Q23" s="365">
        <f t="shared" si="29"/>
        <v>17088</v>
      </c>
      <c r="R23" s="365">
        <f t="shared" si="29"/>
        <v>318</v>
      </c>
      <c r="S23" s="365">
        <f t="shared" si="29"/>
        <v>18720</v>
      </c>
      <c r="T23" s="166"/>
      <c r="U23" s="167"/>
      <c r="V23" s="167"/>
      <c r="W23" s="167"/>
      <c r="X23" s="167"/>
      <c r="Y23" s="167"/>
      <c r="Z23" s="167"/>
      <c r="AA23" s="289" t="s">
        <v>132</v>
      </c>
      <c r="AB23" s="787">
        <f t="shared" si="30"/>
        <v>64</v>
      </c>
      <c r="AC23" s="787">
        <f t="shared" si="30"/>
        <v>11</v>
      </c>
      <c r="AD23" s="787">
        <f t="shared" si="30"/>
        <v>18</v>
      </c>
      <c r="AE23" s="787">
        <f t="shared" si="30"/>
        <v>21</v>
      </c>
      <c r="AF23" s="787">
        <f t="shared" si="30"/>
        <v>0</v>
      </c>
      <c r="AG23" s="787">
        <f t="shared" si="30"/>
        <v>115</v>
      </c>
      <c r="AH23" s="787">
        <f t="shared" si="31"/>
        <v>27</v>
      </c>
      <c r="AI23" s="787">
        <f t="shared" si="31"/>
        <v>2</v>
      </c>
      <c r="AJ23" s="787">
        <f t="shared" si="31"/>
        <v>6</v>
      </c>
      <c r="AK23" s="787">
        <f t="shared" si="31"/>
        <v>21</v>
      </c>
      <c r="AL23" s="787">
        <f t="shared" si="31"/>
        <v>0</v>
      </c>
      <c r="AM23" s="787">
        <f t="shared" si="31"/>
        <v>59</v>
      </c>
      <c r="AN23" s="289">
        <f t="shared" si="32"/>
        <v>61</v>
      </c>
      <c r="AO23" s="289">
        <f t="shared" si="32"/>
        <v>132</v>
      </c>
      <c r="AP23" s="289">
        <f t="shared" si="32"/>
        <v>1113</v>
      </c>
      <c r="AQ23" s="289">
        <f t="shared" si="32"/>
        <v>17088</v>
      </c>
      <c r="AR23" s="289">
        <f t="shared" si="32"/>
        <v>318</v>
      </c>
      <c r="AS23" s="289">
        <f t="shared" si="32"/>
        <v>18720</v>
      </c>
      <c r="AV23" s="167"/>
      <c r="AW23" s="167"/>
    </row>
    <row r="24" spans="1:49">
      <c r="A24" s="367" t="s">
        <v>80</v>
      </c>
      <c r="B24" s="365">
        <f t="shared" si="33"/>
        <v>37</v>
      </c>
      <c r="C24" s="365">
        <f t="shared" si="27"/>
        <v>8</v>
      </c>
      <c r="D24" s="365">
        <f t="shared" si="27"/>
        <v>9</v>
      </c>
      <c r="E24" s="365">
        <f t="shared" si="27"/>
        <v>15</v>
      </c>
      <c r="F24" s="365">
        <f t="shared" si="27"/>
        <v>0</v>
      </c>
      <c r="G24" s="368">
        <f t="shared" si="27"/>
        <v>70</v>
      </c>
      <c r="H24" s="365">
        <f t="shared" si="34"/>
        <v>6</v>
      </c>
      <c r="I24" s="365">
        <f t="shared" si="28"/>
        <v>4</v>
      </c>
      <c r="J24" s="365">
        <f t="shared" si="28"/>
        <v>1</v>
      </c>
      <c r="K24" s="365">
        <f t="shared" si="28"/>
        <v>15</v>
      </c>
      <c r="L24" s="365">
        <f t="shared" si="28"/>
        <v>0</v>
      </c>
      <c r="M24" s="368">
        <f t="shared" si="28"/>
        <v>26</v>
      </c>
      <c r="N24" s="365">
        <f t="shared" si="35"/>
        <v>44</v>
      </c>
      <c r="O24" s="365">
        <f t="shared" si="29"/>
        <v>70</v>
      </c>
      <c r="P24" s="365">
        <f t="shared" si="29"/>
        <v>683</v>
      </c>
      <c r="Q24" s="365">
        <f t="shared" si="29"/>
        <v>9143</v>
      </c>
      <c r="R24" s="365">
        <f t="shared" si="29"/>
        <v>162</v>
      </c>
      <c r="S24" s="365">
        <f t="shared" si="29"/>
        <v>10105</v>
      </c>
      <c r="T24" s="166"/>
      <c r="U24" s="167"/>
      <c r="V24" s="167"/>
      <c r="W24" s="167"/>
      <c r="X24" s="167"/>
      <c r="Y24" s="167"/>
      <c r="Z24" s="167"/>
      <c r="AA24" s="289" t="s">
        <v>133</v>
      </c>
      <c r="AB24" s="787">
        <f t="shared" si="30"/>
        <v>37</v>
      </c>
      <c r="AC24" s="787">
        <f t="shared" si="30"/>
        <v>8</v>
      </c>
      <c r="AD24" s="787">
        <f t="shared" si="30"/>
        <v>9</v>
      </c>
      <c r="AE24" s="787">
        <f t="shared" si="30"/>
        <v>15</v>
      </c>
      <c r="AF24" s="787">
        <f t="shared" si="30"/>
        <v>0</v>
      </c>
      <c r="AG24" s="787">
        <f t="shared" si="30"/>
        <v>70</v>
      </c>
      <c r="AH24" s="787">
        <f t="shared" si="31"/>
        <v>6</v>
      </c>
      <c r="AI24" s="787">
        <f t="shared" si="31"/>
        <v>4</v>
      </c>
      <c r="AJ24" s="787">
        <f t="shared" si="31"/>
        <v>1</v>
      </c>
      <c r="AK24" s="787">
        <f t="shared" si="31"/>
        <v>15</v>
      </c>
      <c r="AL24" s="787">
        <f t="shared" si="31"/>
        <v>0</v>
      </c>
      <c r="AM24" s="787">
        <f t="shared" si="31"/>
        <v>26</v>
      </c>
      <c r="AN24" s="289">
        <f t="shared" si="32"/>
        <v>44</v>
      </c>
      <c r="AO24" s="289">
        <f t="shared" si="32"/>
        <v>70</v>
      </c>
      <c r="AP24" s="289">
        <f t="shared" si="32"/>
        <v>683</v>
      </c>
      <c r="AQ24" s="289">
        <f t="shared" si="32"/>
        <v>9143</v>
      </c>
      <c r="AR24" s="289">
        <f t="shared" si="32"/>
        <v>162</v>
      </c>
      <c r="AS24" s="289">
        <f t="shared" si="32"/>
        <v>10105</v>
      </c>
      <c r="AV24" s="167"/>
      <c r="AW24" s="167"/>
    </row>
    <row r="25" spans="1:49">
      <c r="A25" s="367" t="s">
        <v>81</v>
      </c>
      <c r="B25" s="365">
        <f t="shared" si="33"/>
        <v>8</v>
      </c>
      <c r="C25" s="365">
        <f t="shared" si="27"/>
        <v>2</v>
      </c>
      <c r="D25" s="365">
        <f t="shared" si="27"/>
        <v>1</v>
      </c>
      <c r="E25" s="365">
        <f t="shared" si="27"/>
        <v>5</v>
      </c>
      <c r="F25" s="365">
        <f t="shared" si="27"/>
        <v>0</v>
      </c>
      <c r="G25" s="368">
        <f t="shared" si="27"/>
        <v>16</v>
      </c>
      <c r="H25" s="365">
        <f t="shared" si="34"/>
        <v>6</v>
      </c>
      <c r="I25" s="365">
        <f t="shared" si="28"/>
        <v>2</v>
      </c>
      <c r="J25" s="365">
        <f t="shared" si="28"/>
        <v>2</v>
      </c>
      <c r="K25" s="365">
        <f t="shared" si="28"/>
        <v>4</v>
      </c>
      <c r="L25" s="365">
        <f t="shared" si="28"/>
        <v>0</v>
      </c>
      <c r="M25" s="368">
        <f t="shared" si="28"/>
        <v>15</v>
      </c>
      <c r="N25" s="365">
        <f t="shared" si="35"/>
        <v>16</v>
      </c>
      <c r="O25" s="365">
        <f t="shared" si="29"/>
        <v>20</v>
      </c>
      <c r="P25" s="365">
        <f t="shared" si="29"/>
        <v>234</v>
      </c>
      <c r="Q25" s="365">
        <f t="shared" si="29"/>
        <v>2163</v>
      </c>
      <c r="R25" s="365">
        <f t="shared" si="29"/>
        <v>18</v>
      </c>
      <c r="S25" s="365">
        <f t="shared" si="29"/>
        <v>2454</v>
      </c>
      <c r="T25" s="166"/>
      <c r="U25" s="167"/>
      <c r="V25" s="167"/>
      <c r="W25" s="167"/>
      <c r="X25" s="167"/>
      <c r="Y25" s="167"/>
      <c r="Z25" s="167"/>
      <c r="AA25" s="289" t="s">
        <v>134</v>
      </c>
      <c r="AB25" s="787">
        <f t="shared" si="30"/>
        <v>8</v>
      </c>
      <c r="AC25" s="787">
        <f t="shared" si="30"/>
        <v>2</v>
      </c>
      <c r="AD25" s="787">
        <f t="shared" si="30"/>
        <v>1</v>
      </c>
      <c r="AE25" s="787">
        <f t="shared" si="30"/>
        <v>5</v>
      </c>
      <c r="AF25" s="787">
        <f t="shared" si="30"/>
        <v>0</v>
      </c>
      <c r="AG25" s="787">
        <f t="shared" si="30"/>
        <v>16</v>
      </c>
      <c r="AH25" s="787">
        <f t="shared" si="31"/>
        <v>6</v>
      </c>
      <c r="AI25" s="787">
        <f t="shared" si="31"/>
        <v>2</v>
      </c>
      <c r="AJ25" s="787">
        <f t="shared" si="31"/>
        <v>2</v>
      </c>
      <c r="AK25" s="787">
        <f t="shared" si="31"/>
        <v>4</v>
      </c>
      <c r="AL25" s="787">
        <f t="shared" si="31"/>
        <v>0</v>
      </c>
      <c r="AM25" s="787">
        <f t="shared" si="31"/>
        <v>15</v>
      </c>
      <c r="AN25" s="289">
        <f t="shared" si="32"/>
        <v>16</v>
      </c>
      <c r="AO25" s="289">
        <f t="shared" si="32"/>
        <v>20</v>
      </c>
      <c r="AP25" s="289">
        <f t="shared" si="32"/>
        <v>234</v>
      </c>
      <c r="AQ25" s="289">
        <f t="shared" si="32"/>
        <v>2163</v>
      </c>
      <c r="AR25" s="289">
        <f t="shared" si="32"/>
        <v>18</v>
      </c>
      <c r="AS25" s="289">
        <f t="shared" si="32"/>
        <v>2454</v>
      </c>
      <c r="AV25" s="167"/>
      <c r="AW25" s="167"/>
    </row>
    <row r="26" spans="1:49">
      <c r="A26" s="367" t="s">
        <v>63</v>
      </c>
      <c r="B26" s="365">
        <f t="shared" si="33"/>
        <v>0</v>
      </c>
      <c r="C26" s="365">
        <f t="shared" si="27"/>
        <v>0</v>
      </c>
      <c r="D26" s="365">
        <f t="shared" si="27"/>
        <v>0</v>
      </c>
      <c r="E26" s="365">
        <f t="shared" si="27"/>
        <v>0</v>
      </c>
      <c r="F26" s="365">
        <f t="shared" si="27"/>
        <v>0</v>
      </c>
      <c r="G26" s="368">
        <f t="shared" si="27"/>
        <v>0</v>
      </c>
      <c r="H26" s="365">
        <f t="shared" si="34"/>
        <v>0</v>
      </c>
      <c r="I26" s="365">
        <f t="shared" si="28"/>
        <v>0</v>
      </c>
      <c r="J26" s="365">
        <f t="shared" si="28"/>
        <v>0</v>
      </c>
      <c r="K26" s="365">
        <f t="shared" si="28"/>
        <v>0</v>
      </c>
      <c r="L26" s="365">
        <f t="shared" si="28"/>
        <v>0</v>
      </c>
      <c r="M26" s="368">
        <f t="shared" si="28"/>
        <v>1</v>
      </c>
      <c r="N26" s="365">
        <f t="shared" si="35"/>
        <v>0</v>
      </c>
      <c r="O26" s="365">
        <f t="shared" si="29"/>
        <v>0</v>
      </c>
      <c r="P26" s="365">
        <f t="shared" si="29"/>
        <v>0</v>
      </c>
      <c r="Q26" s="365">
        <f t="shared" si="29"/>
        <v>0</v>
      </c>
      <c r="R26" s="365">
        <f t="shared" si="29"/>
        <v>0</v>
      </c>
      <c r="S26" s="365">
        <f t="shared" si="29"/>
        <v>0</v>
      </c>
      <c r="T26" s="166"/>
      <c r="U26" s="167"/>
      <c r="V26" s="167"/>
      <c r="W26" s="167"/>
      <c r="X26" s="167"/>
      <c r="Y26" s="167"/>
      <c r="Z26" s="167"/>
      <c r="AA26" s="289" t="s">
        <v>63</v>
      </c>
      <c r="AB26" s="787">
        <f t="shared" ref="AB26:AG26" si="36">IFERROR(VLOOKUP($AA$6&amp;$AA$19&amp;$AC$5&amp;$AA26&amp;AB$7&amp;$AB$6, vw.deaths.demo, 7, FALSE),0)</f>
        <v>0</v>
      </c>
      <c r="AC26" s="787">
        <f t="shared" si="36"/>
        <v>0</v>
      </c>
      <c r="AD26" s="787">
        <f t="shared" si="36"/>
        <v>0</v>
      </c>
      <c r="AE26" s="787">
        <f t="shared" si="36"/>
        <v>0</v>
      </c>
      <c r="AF26" s="787">
        <f t="shared" si="36"/>
        <v>0</v>
      </c>
      <c r="AG26" s="787">
        <f t="shared" si="36"/>
        <v>0</v>
      </c>
      <c r="AH26" s="787">
        <f t="shared" ref="AH26:AM26" si="37">IFERROR(VLOOKUP($AA$6&amp;$AA$19&amp;$AC$5&amp;$AA26&amp;AH$7&amp;$AH$6, vw.deaths.demo, 7, FALSE),0)</f>
        <v>0</v>
      </c>
      <c r="AI26" s="787">
        <f t="shared" si="37"/>
        <v>0</v>
      </c>
      <c r="AJ26" s="787">
        <f t="shared" si="37"/>
        <v>0</v>
      </c>
      <c r="AK26" s="787">
        <f t="shared" si="37"/>
        <v>0</v>
      </c>
      <c r="AL26" s="787">
        <f t="shared" si="37"/>
        <v>0</v>
      </c>
      <c r="AM26" s="787">
        <f t="shared" si="37"/>
        <v>1</v>
      </c>
      <c r="AN26" s="289">
        <f t="shared" ref="AN26:AS26" si="38">IFERROR(VLOOKUP($AA$6&amp;$AA$19&amp;$AC$5&amp;$AA26&amp;AN$7, vw.births.demo, 7, FALSE),0)</f>
        <v>0</v>
      </c>
      <c r="AO26" s="289">
        <f t="shared" si="38"/>
        <v>0</v>
      </c>
      <c r="AP26" s="289">
        <f t="shared" si="38"/>
        <v>0</v>
      </c>
      <c r="AQ26" s="289">
        <f t="shared" si="38"/>
        <v>0</v>
      </c>
      <c r="AR26" s="289">
        <f t="shared" si="38"/>
        <v>0</v>
      </c>
      <c r="AS26" s="289">
        <f t="shared" si="38"/>
        <v>0</v>
      </c>
      <c r="AV26" s="167"/>
      <c r="AW26" s="167"/>
    </row>
    <row r="27" spans="1:49">
      <c r="A27" s="81" t="s">
        <v>82</v>
      </c>
      <c r="B27" s="328"/>
      <c r="C27" s="328"/>
      <c r="D27" s="328"/>
      <c r="E27" s="328"/>
      <c r="F27" s="328"/>
      <c r="G27" s="328"/>
      <c r="H27" s="328"/>
      <c r="I27" s="328"/>
      <c r="J27" s="328"/>
      <c r="K27" s="328"/>
      <c r="L27" s="328"/>
      <c r="M27" s="328"/>
      <c r="N27" s="328"/>
      <c r="O27" s="328"/>
      <c r="P27" s="328"/>
      <c r="Q27" s="81"/>
      <c r="R27" s="81"/>
      <c r="S27" s="369"/>
      <c r="T27" s="166"/>
      <c r="U27" s="168"/>
      <c r="V27" s="168"/>
      <c r="W27" s="168"/>
      <c r="X27" s="168"/>
      <c r="Y27" s="167"/>
      <c r="Z27" s="167"/>
      <c r="AA27" s="289" t="s">
        <v>463</v>
      </c>
      <c r="AB27" s="780"/>
      <c r="AC27" s="780"/>
      <c r="AD27" s="780"/>
      <c r="AE27" s="780"/>
      <c r="AF27" s="780"/>
      <c r="AG27" s="780"/>
      <c r="AH27" s="780"/>
      <c r="AI27" s="780"/>
      <c r="AJ27" s="780"/>
      <c r="AK27" s="780"/>
      <c r="AL27" s="780"/>
      <c r="AM27" s="780"/>
      <c r="AV27" s="167"/>
      <c r="AW27" s="167"/>
    </row>
    <row r="28" spans="1:49" s="77" customFormat="1">
      <c r="A28" s="364" t="s">
        <v>83</v>
      </c>
      <c r="B28" s="365">
        <f>AB28</f>
        <v>28</v>
      </c>
      <c r="C28" s="365">
        <f t="shared" ref="C28:G33" si="39">AC28</f>
        <v>4</v>
      </c>
      <c r="D28" s="365">
        <f t="shared" si="39"/>
        <v>2</v>
      </c>
      <c r="E28" s="365">
        <f t="shared" si="39"/>
        <v>9</v>
      </c>
      <c r="F28" s="365">
        <f t="shared" si="39"/>
        <v>0</v>
      </c>
      <c r="G28" s="368">
        <f t="shared" si="39"/>
        <v>43</v>
      </c>
      <c r="H28" s="365">
        <f>AH28</f>
        <v>9</v>
      </c>
      <c r="I28" s="365">
        <f t="shared" ref="I28:M33" si="40">AI28</f>
        <v>2</v>
      </c>
      <c r="J28" s="365">
        <f t="shared" si="40"/>
        <v>1</v>
      </c>
      <c r="K28" s="365">
        <f t="shared" si="40"/>
        <v>10</v>
      </c>
      <c r="L28" s="365">
        <f t="shared" si="40"/>
        <v>1</v>
      </c>
      <c r="M28" s="368">
        <f t="shared" si="40"/>
        <v>24</v>
      </c>
      <c r="N28" s="365">
        <f>AN28</f>
        <v>36</v>
      </c>
      <c r="O28" s="365">
        <f t="shared" ref="O28:S33" si="41">AO28</f>
        <v>60</v>
      </c>
      <c r="P28" s="365">
        <f t="shared" si="41"/>
        <v>574</v>
      </c>
      <c r="Q28" s="365">
        <f t="shared" si="41"/>
        <v>8377</v>
      </c>
      <c r="R28" s="365">
        <f t="shared" si="41"/>
        <v>144</v>
      </c>
      <c r="S28" s="365">
        <f t="shared" si="41"/>
        <v>9194</v>
      </c>
      <c r="T28" s="168"/>
      <c r="U28" s="168"/>
      <c r="V28" s="168"/>
      <c r="W28" s="168"/>
      <c r="X28" s="168"/>
      <c r="AA28" s="780" t="s">
        <v>421</v>
      </c>
      <c r="AB28" s="787">
        <f t="shared" ref="AB28:AG32" si="42">VLOOKUP($AA$6&amp;$AA$27&amp;$AC$5&amp;$AA28&amp;AB$7&amp;$AB$6, vw.deaths.demo, 7, FALSE)</f>
        <v>28</v>
      </c>
      <c r="AC28" s="787">
        <f t="shared" si="42"/>
        <v>4</v>
      </c>
      <c r="AD28" s="787">
        <f t="shared" si="42"/>
        <v>2</v>
      </c>
      <c r="AE28" s="787">
        <f t="shared" si="42"/>
        <v>9</v>
      </c>
      <c r="AF28" s="787">
        <f t="shared" si="42"/>
        <v>0</v>
      </c>
      <c r="AG28" s="787">
        <f t="shared" si="42"/>
        <v>43</v>
      </c>
      <c r="AH28" s="787">
        <f t="shared" ref="AH28:AM32" si="43">VLOOKUP($AA$6&amp;$AA$27&amp;$AC$5&amp;$AA28&amp;AH$7&amp;$AH$6, vw.deaths.demo, 7, FALSE)</f>
        <v>9</v>
      </c>
      <c r="AI28" s="787">
        <f t="shared" si="43"/>
        <v>2</v>
      </c>
      <c r="AJ28" s="787">
        <f t="shared" si="43"/>
        <v>1</v>
      </c>
      <c r="AK28" s="787">
        <f t="shared" si="43"/>
        <v>10</v>
      </c>
      <c r="AL28" s="787">
        <f t="shared" si="43"/>
        <v>1</v>
      </c>
      <c r="AM28" s="787">
        <f t="shared" si="43"/>
        <v>24</v>
      </c>
      <c r="AN28" s="289">
        <f t="shared" ref="AN28:AS32" si="44">VLOOKUP($AA$6&amp;$AA$27&amp;$AC$5&amp;$AA28&amp;AN$7, vw.births.demo, 7, FALSE)</f>
        <v>36</v>
      </c>
      <c r="AO28" s="289">
        <f t="shared" si="44"/>
        <v>60</v>
      </c>
      <c r="AP28" s="289">
        <f t="shared" si="44"/>
        <v>574</v>
      </c>
      <c r="AQ28" s="289">
        <f t="shared" si="44"/>
        <v>8377</v>
      </c>
      <c r="AR28" s="289">
        <f t="shared" si="44"/>
        <v>144</v>
      </c>
      <c r="AS28" s="289">
        <f t="shared" si="44"/>
        <v>9194</v>
      </c>
      <c r="AT28" s="243"/>
      <c r="AU28" s="243"/>
    </row>
    <row r="29" spans="1:49" s="77" customFormat="1">
      <c r="A29" s="371">
        <v>2</v>
      </c>
      <c r="B29" s="365">
        <f t="shared" ref="B29:B33" si="45">AB29</f>
        <v>39</v>
      </c>
      <c r="C29" s="365">
        <f t="shared" si="39"/>
        <v>6</v>
      </c>
      <c r="D29" s="365">
        <f t="shared" si="39"/>
        <v>6</v>
      </c>
      <c r="E29" s="365">
        <f t="shared" si="39"/>
        <v>13</v>
      </c>
      <c r="F29" s="365">
        <f t="shared" si="39"/>
        <v>0</v>
      </c>
      <c r="G29" s="368">
        <f t="shared" si="39"/>
        <v>64</v>
      </c>
      <c r="H29" s="365">
        <f t="shared" ref="H29:H33" si="46">AH29</f>
        <v>9</v>
      </c>
      <c r="I29" s="365">
        <f t="shared" si="40"/>
        <v>0</v>
      </c>
      <c r="J29" s="365">
        <f t="shared" si="40"/>
        <v>2</v>
      </c>
      <c r="K29" s="365">
        <f t="shared" si="40"/>
        <v>11</v>
      </c>
      <c r="L29" s="365">
        <f t="shared" si="40"/>
        <v>0</v>
      </c>
      <c r="M29" s="368">
        <f t="shared" si="40"/>
        <v>24</v>
      </c>
      <c r="N29" s="365">
        <f t="shared" ref="N29:N33" si="47">AN29</f>
        <v>30</v>
      </c>
      <c r="O29" s="365">
        <f t="shared" si="41"/>
        <v>65</v>
      </c>
      <c r="P29" s="365">
        <f t="shared" si="41"/>
        <v>580</v>
      </c>
      <c r="Q29" s="365">
        <f t="shared" si="41"/>
        <v>9282</v>
      </c>
      <c r="R29" s="365">
        <f t="shared" si="41"/>
        <v>165</v>
      </c>
      <c r="S29" s="365">
        <f t="shared" si="41"/>
        <v>10123</v>
      </c>
      <c r="T29" s="168"/>
      <c r="U29" s="168"/>
      <c r="V29" s="168"/>
      <c r="W29" s="168"/>
      <c r="X29" s="168"/>
      <c r="AA29" s="780" t="s">
        <v>422</v>
      </c>
      <c r="AB29" s="787">
        <f t="shared" si="42"/>
        <v>39</v>
      </c>
      <c r="AC29" s="787">
        <f t="shared" si="42"/>
        <v>6</v>
      </c>
      <c r="AD29" s="787">
        <f t="shared" si="42"/>
        <v>6</v>
      </c>
      <c r="AE29" s="787">
        <f t="shared" si="42"/>
        <v>13</v>
      </c>
      <c r="AF29" s="787">
        <f t="shared" si="42"/>
        <v>0</v>
      </c>
      <c r="AG29" s="787">
        <f t="shared" si="42"/>
        <v>64</v>
      </c>
      <c r="AH29" s="787">
        <f t="shared" si="43"/>
        <v>9</v>
      </c>
      <c r="AI29" s="787">
        <f t="shared" si="43"/>
        <v>0</v>
      </c>
      <c r="AJ29" s="787">
        <f t="shared" si="43"/>
        <v>2</v>
      </c>
      <c r="AK29" s="787">
        <f t="shared" si="43"/>
        <v>11</v>
      </c>
      <c r="AL29" s="787">
        <f t="shared" si="43"/>
        <v>0</v>
      </c>
      <c r="AM29" s="787">
        <f t="shared" si="43"/>
        <v>24</v>
      </c>
      <c r="AN29" s="289">
        <f t="shared" si="44"/>
        <v>30</v>
      </c>
      <c r="AO29" s="289">
        <f t="shared" si="44"/>
        <v>65</v>
      </c>
      <c r="AP29" s="289">
        <f t="shared" si="44"/>
        <v>580</v>
      </c>
      <c r="AQ29" s="289">
        <f t="shared" si="44"/>
        <v>9282</v>
      </c>
      <c r="AR29" s="289">
        <f t="shared" si="44"/>
        <v>165</v>
      </c>
      <c r="AS29" s="289">
        <f t="shared" si="44"/>
        <v>10123</v>
      </c>
      <c r="AT29" s="243"/>
      <c r="AU29" s="243"/>
    </row>
    <row r="30" spans="1:49" s="77" customFormat="1">
      <c r="A30" s="371">
        <v>3</v>
      </c>
      <c r="B30" s="365">
        <f t="shared" si="45"/>
        <v>33</v>
      </c>
      <c r="C30" s="365">
        <f t="shared" si="39"/>
        <v>5</v>
      </c>
      <c r="D30" s="365">
        <f t="shared" si="39"/>
        <v>14</v>
      </c>
      <c r="E30" s="365">
        <f t="shared" si="39"/>
        <v>16</v>
      </c>
      <c r="F30" s="365">
        <f t="shared" si="39"/>
        <v>0</v>
      </c>
      <c r="G30" s="368">
        <f t="shared" si="39"/>
        <v>68</v>
      </c>
      <c r="H30" s="365">
        <f t="shared" si="46"/>
        <v>17</v>
      </c>
      <c r="I30" s="365">
        <f t="shared" si="40"/>
        <v>3</v>
      </c>
      <c r="J30" s="365">
        <f t="shared" si="40"/>
        <v>1</v>
      </c>
      <c r="K30" s="365">
        <f t="shared" si="40"/>
        <v>10</v>
      </c>
      <c r="L30" s="365">
        <f t="shared" si="40"/>
        <v>1</v>
      </c>
      <c r="M30" s="368">
        <f t="shared" si="40"/>
        <v>32</v>
      </c>
      <c r="N30" s="365">
        <f t="shared" si="47"/>
        <v>44</v>
      </c>
      <c r="O30" s="365">
        <f t="shared" si="41"/>
        <v>75</v>
      </c>
      <c r="P30" s="365">
        <f t="shared" si="41"/>
        <v>676</v>
      </c>
      <c r="Q30" s="365">
        <f t="shared" si="41"/>
        <v>9986</v>
      </c>
      <c r="R30" s="365">
        <f t="shared" si="41"/>
        <v>181</v>
      </c>
      <c r="S30" s="365">
        <f t="shared" si="41"/>
        <v>10971</v>
      </c>
      <c r="T30" s="168"/>
      <c r="U30" s="168"/>
      <c r="V30" s="168"/>
      <c r="W30" s="168"/>
      <c r="X30" s="168"/>
      <c r="AA30" s="780" t="s">
        <v>423</v>
      </c>
      <c r="AB30" s="787">
        <f t="shared" si="42"/>
        <v>33</v>
      </c>
      <c r="AC30" s="787">
        <f t="shared" si="42"/>
        <v>5</v>
      </c>
      <c r="AD30" s="787">
        <f t="shared" si="42"/>
        <v>14</v>
      </c>
      <c r="AE30" s="787">
        <f t="shared" si="42"/>
        <v>16</v>
      </c>
      <c r="AF30" s="787">
        <f t="shared" si="42"/>
        <v>0</v>
      </c>
      <c r="AG30" s="787">
        <f t="shared" si="42"/>
        <v>68</v>
      </c>
      <c r="AH30" s="787">
        <f t="shared" si="43"/>
        <v>17</v>
      </c>
      <c r="AI30" s="787">
        <f t="shared" si="43"/>
        <v>3</v>
      </c>
      <c r="AJ30" s="787">
        <f t="shared" si="43"/>
        <v>1</v>
      </c>
      <c r="AK30" s="787">
        <f t="shared" si="43"/>
        <v>10</v>
      </c>
      <c r="AL30" s="787">
        <f t="shared" si="43"/>
        <v>1</v>
      </c>
      <c r="AM30" s="787">
        <f t="shared" si="43"/>
        <v>32</v>
      </c>
      <c r="AN30" s="289">
        <f t="shared" si="44"/>
        <v>44</v>
      </c>
      <c r="AO30" s="289">
        <f t="shared" si="44"/>
        <v>75</v>
      </c>
      <c r="AP30" s="289">
        <f t="shared" si="44"/>
        <v>676</v>
      </c>
      <c r="AQ30" s="289">
        <f t="shared" si="44"/>
        <v>9986</v>
      </c>
      <c r="AR30" s="289">
        <f t="shared" si="44"/>
        <v>181</v>
      </c>
      <c r="AS30" s="289">
        <f t="shared" si="44"/>
        <v>10971</v>
      </c>
      <c r="AT30" s="243"/>
      <c r="AU30" s="243"/>
    </row>
    <row r="31" spans="1:49" s="77" customFormat="1">
      <c r="A31" s="371">
        <v>4</v>
      </c>
      <c r="B31" s="365">
        <f t="shared" si="45"/>
        <v>49</v>
      </c>
      <c r="C31" s="365">
        <f t="shared" si="39"/>
        <v>8</v>
      </c>
      <c r="D31" s="365">
        <f t="shared" si="39"/>
        <v>11</v>
      </c>
      <c r="E31" s="365">
        <f t="shared" si="39"/>
        <v>18</v>
      </c>
      <c r="F31" s="365">
        <f t="shared" si="39"/>
        <v>0</v>
      </c>
      <c r="G31" s="368">
        <f t="shared" si="39"/>
        <v>90</v>
      </c>
      <c r="H31" s="365">
        <f t="shared" si="46"/>
        <v>22</v>
      </c>
      <c r="I31" s="365">
        <f t="shared" si="40"/>
        <v>3</v>
      </c>
      <c r="J31" s="365">
        <f t="shared" si="40"/>
        <v>4</v>
      </c>
      <c r="K31" s="365">
        <f t="shared" si="40"/>
        <v>21</v>
      </c>
      <c r="L31" s="365">
        <f t="shared" si="40"/>
        <v>0</v>
      </c>
      <c r="M31" s="368">
        <f t="shared" si="40"/>
        <v>52</v>
      </c>
      <c r="N31" s="365">
        <f t="shared" si="47"/>
        <v>65</v>
      </c>
      <c r="O31" s="365">
        <f t="shared" si="41"/>
        <v>96</v>
      </c>
      <c r="P31" s="365">
        <f t="shared" si="41"/>
        <v>835</v>
      </c>
      <c r="Q31" s="365">
        <f t="shared" si="41"/>
        <v>11898</v>
      </c>
      <c r="R31" s="365">
        <f t="shared" si="41"/>
        <v>232</v>
      </c>
      <c r="S31" s="365">
        <f t="shared" si="41"/>
        <v>13131</v>
      </c>
      <c r="T31" s="85"/>
      <c r="AA31" s="780" t="s">
        <v>424</v>
      </c>
      <c r="AB31" s="787">
        <f t="shared" si="42"/>
        <v>49</v>
      </c>
      <c r="AC31" s="787">
        <f t="shared" si="42"/>
        <v>8</v>
      </c>
      <c r="AD31" s="787">
        <f t="shared" si="42"/>
        <v>11</v>
      </c>
      <c r="AE31" s="787">
        <f t="shared" si="42"/>
        <v>18</v>
      </c>
      <c r="AF31" s="787">
        <f t="shared" si="42"/>
        <v>0</v>
      </c>
      <c r="AG31" s="787">
        <f t="shared" si="42"/>
        <v>90</v>
      </c>
      <c r="AH31" s="787">
        <f t="shared" si="43"/>
        <v>22</v>
      </c>
      <c r="AI31" s="787">
        <f t="shared" si="43"/>
        <v>3</v>
      </c>
      <c r="AJ31" s="787">
        <f t="shared" si="43"/>
        <v>4</v>
      </c>
      <c r="AK31" s="787">
        <f t="shared" si="43"/>
        <v>21</v>
      </c>
      <c r="AL31" s="787">
        <f t="shared" si="43"/>
        <v>0</v>
      </c>
      <c r="AM31" s="787">
        <f t="shared" si="43"/>
        <v>52</v>
      </c>
      <c r="AN31" s="289">
        <f t="shared" si="44"/>
        <v>65</v>
      </c>
      <c r="AO31" s="289">
        <f t="shared" si="44"/>
        <v>96</v>
      </c>
      <c r="AP31" s="289">
        <f t="shared" si="44"/>
        <v>835</v>
      </c>
      <c r="AQ31" s="289">
        <f t="shared" si="44"/>
        <v>11898</v>
      </c>
      <c r="AR31" s="289">
        <f t="shared" si="44"/>
        <v>232</v>
      </c>
      <c r="AS31" s="289">
        <f t="shared" si="44"/>
        <v>13131</v>
      </c>
      <c r="AT31" s="243"/>
      <c r="AU31" s="243"/>
    </row>
    <row r="32" spans="1:49" s="77" customFormat="1">
      <c r="A32" s="364" t="s">
        <v>84</v>
      </c>
      <c r="B32" s="365">
        <f t="shared" si="45"/>
        <v>64</v>
      </c>
      <c r="C32" s="365">
        <f t="shared" si="39"/>
        <v>12</v>
      </c>
      <c r="D32" s="365">
        <f t="shared" si="39"/>
        <v>21</v>
      </c>
      <c r="E32" s="365">
        <f t="shared" si="39"/>
        <v>27</v>
      </c>
      <c r="F32" s="365">
        <f t="shared" si="39"/>
        <v>0</v>
      </c>
      <c r="G32" s="368">
        <f t="shared" si="39"/>
        <v>126</v>
      </c>
      <c r="H32" s="365">
        <f t="shared" si="46"/>
        <v>38</v>
      </c>
      <c r="I32" s="365">
        <f t="shared" si="40"/>
        <v>6</v>
      </c>
      <c r="J32" s="365">
        <f t="shared" si="40"/>
        <v>15</v>
      </c>
      <c r="K32" s="365">
        <f t="shared" si="40"/>
        <v>39</v>
      </c>
      <c r="L32" s="365">
        <f t="shared" si="40"/>
        <v>2</v>
      </c>
      <c r="M32" s="368">
        <f t="shared" si="40"/>
        <v>107</v>
      </c>
      <c r="N32" s="365">
        <f t="shared" si="47"/>
        <v>84</v>
      </c>
      <c r="O32" s="365">
        <f t="shared" si="41"/>
        <v>121</v>
      </c>
      <c r="P32" s="365">
        <f t="shared" si="41"/>
        <v>1137</v>
      </c>
      <c r="Q32" s="365">
        <f t="shared" si="41"/>
        <v>15244</v>
      </c>
      <c r="R32" s="365">
        <f t="shared" si="41"/>
        <v>290</v>
      </c>
      <c r="S32" s="365">
        <f t="shared" si="41"/>
        <v>16886</v>
      </c>
      <c r="T32" s="168"/>
      <c r="U32" s="168"/>
      <c r="V32" s="168"/>
      <c r="W32" s="168"/>
      <c r="X32" s="168"/>
      <c r="AA32" s="780" t="s">
        <v>425</v>
      </c>
      <c r="AB32" s="787">
        <f t="shared" si="42"/>
        <v>64</v>
      </c>
      <c r="AC32" s="787">
        <f t="shared" si="42"/>
        <v>12</v>
      </c>
      <c r="AD32" s="787">
        <f t="shared" si="42"/>
        <v>21</v>
      </c>
      <c r="AE32" s="787">
        <f t="shared" si="42"/>
        <v>27</v>
      </c>
      <c r="AF32" s="787">
        <f t="shared" si="42"/>
        <v>0</v>
      </c>
      <c r="AG32" s="787">
        <f t="shared" si="42"/>
        <v>126</v>
      </c>
      <c r="AH32" s="787">
        <f t="shared" si="43"/>
        <v>38</v>
      </c>
      <c r="AI32" s="787">
        <f t="shared" si="43"/>
        <v>6</v>
      </c>
      <c r="AJ32" s="787">
        <f t="shared" si="43"/>
        <v>15</v>
      </c>
      <c r="AK32" s="787">
        <f t="shared" si="43"/>
        <v>39</v>
      </c>
      <c r="AL32" s="787">
        <f t="shared" si="43"/>
        <v>2</v>
      </c>
      <c r="AM32" s="787">
        <f t="shared" si="43"/>
        <v>107</v>
      </c>
      <c r="AN32" s="289">
        <f t="shared" si="44"/>
        <v>84</v>
      </c>
      <c r="AO32" s="289">
        <f t="shared" si="44"/>
        <v>121</v>
      </c>
      <c r="AP32" s="289">
        <f t="shared" si="44"/>
        <v>1137</v>
      </c>
      <c r="AQ32" s="289">
        <f t="shared" si="44"/>
        <v>15244</v>
      </c>
      <c r="AR32" s="289">
        <f t="shared" si="44"/>
        <v>290</v>
      </c>
      <c r="AS32" s="289">
        <f t="shared" si="44"/>
        <v>16886</v>
      </c>
      <c r="AT32" s="243"/>
      <c r="AU32" s="243"/>
    </row>
    <row r="33" spans="1:49" s="77" customFormat="1">
      <c r="A33" s="364" t="s">
        <v>63</v>
      </c>
      <c r="B33" s="365">
        <f t="shared" si="45"/>
        <v>14</v>
      </c>
      <c r="C33" s="365">
        <f t="shared" si="39"/>
        <v>3</v>
      </c>
      <c r="D33" s="365">
        <f t="shared" si="39"/>
        <v>2</v>
      </c>
      <c r="E33" s="365">
        <f t="shared" si="39"/>
        <v>3</v>
      </c>
      <c r="F33" s="365">
        <f t="shared" si="39"/>
        <v>0</v>
      </c>
      <c r="G33" s="368">
        <f t="shared" si="39"/>
        <v>22</v>
      </c>
      <c r="H33" s="365">
        <f t="shared" si="46"/>
        <v>1</v>
      </c>
      <c r="I33" s="365">
        <f t="shared" si="40"/>
        <v>0</v>
      </c>
      <c r="J33" s="365">
        <f t="shared" si="40"/>
        <v>0</v>
      </c>
      <c r="K33" s="365">
        <f t="shared" si="40"/>
        <v>0</v>
      </c>
      <c r="L33" s="365">
        <f t="shared" si="40"/>
        <v>0</v>
      </c>
      <c r="M33" s="368">
        <f t="shared" si="40"/>
        <v>2</v>
      </c>
      <c r="N33" s="365">
        <f t="shared" si="47"/>
        <v>1</v>
      </c>
      <c r="O33" s="365">
        <f t="shared" si="41"/>
        <v>0</v>
      </c>
      <c r="P33" s="365">
        <f t="shared" si="41"/>
        <v>12</v>
      </c>
      <c r="Q33" s="365">
        <f t="shared" si="41"/>
        <v>112</v>
      </c>
      <c r="R33" s="365">
        <f t="shared" si="41"/>
        <v>5</v>
      </c>
      <c r="S33" s="365">
        <f t="shared" si="41"/>
        <v>131</v>
      </c>
      <c r="T33" s="168"/>
      <c r="U33" s="168"/>
      <c r="V33" s="168"/>
      <c r="W33" s="168"/>
      <c r="X33" s="168"/>
      <c r="AA33" s="780" t="s">
        <v>426</v>
      </c>
      <c r="AB33" s="787">
        <f t="shared" ref="AB33:AG33" si="48">IFERROR(VLOOKUP($AA$6&amp;$AA$27&amp;$AC$5&amp;$AA33&amp;AB$7&amp;$AB$6, vw.deaths.demo, 7, FALSE),0)</f>
        <v>14</v>
      </c>
      <c r="AC33" s="787">
        <f t="shared" si="48"/>
        <v>3</v>
      </c>
      <c r="AD33" s="787">
        <f t="shared" si="48"/>
        <v>2</v>
      </c>
      <c r="AE33" s="787">
        <f t="shared" si="48"/>
        <v>3</v>
      </c>
      <c r="AF33" s="787">
        <f t="shared" si="48"/>
        <v>0</v>
      </c>
      <c r="AG33" s="787">
        <f t="shared" si="48"/>
        <v>22</v>
      </c>
      <c r="AH33" s="787">
        <f t="shared" ref="AH33:AM33" si="49">IFERROR(VLOOKUP($AA$6&amp;$AA$27&amp;$AC$5&amp;$AA33&amp;AH$7&amp;$AH$6, vw.deaths.demo, 7, FALSE),0)</f>
        <v>1</v>
      </c>
      <c r="AI33" s="787">
        <f t="shared" si="49"/>
        <v>0</v>
      </c>
      <c r="AJ33" s="787">
        <f t="shared" si="49"/>
        <v>0</v>
      </c>
      <c r="AK33" s="787">
        <f t="shared" si="49"/>
        <v>0</v>
      </c>
      <c r="AL33" s="787">
        <f t="shared" si="49"/>
        <v>0</v>
      </c>
      <c r="AM33" s="787">
        <f t="shared" si="49"/>
        <v>2</v>
      </c>
      <c r="AN33" s="289">
        <f t="shared" ref="AN33:AS33" si="50">IFERROR(VLOOKUP($AA$6&amp;$AA$27&amp;$AC$5&amp;$AA33&amp;AN$7, vw.births.demo, 7, FALSE),0)</f>
        <v>1</v>
      </c>
      <c r="AO33" s="289">
        <f t="shared" si="50"/>
        <v>0</v>
      </c>
      <c r="AP33" s="289">
        <f t="shared" si="50"/>
        <v>12</v>
      </c>
      <c r="AQ33" s="289">
        <f t="shared" si="50"/>
        <v>112</v>
      </c>
      <c r="AR33" s="289">
        <f t="shared" si="50"/>
        <v>5</v>
      </c>
      <c r="AS33" s="289">
        <f t="shared" si="50"/>
        <v>131</v>
      </c>
      <c r="AT33" s="243"/>
      <c r="AU33" s="243"/>
    </row>
    <row r="34" spans="1:49">
      <c r="A34" s="81" t="s">
        <v>1</v>
      </c>
      <c r="B34" s="328"/>
      <c r="C34" s="328"/>
      <c r="D34" s="328"/>
      <c r="E34" s="328"/>
      <c r="F34" s="328"/>
      <c r="G34" s="328"/>
      <c r="H34" s="328"/>
      <c r="I34" s="328"/>
      <c r="J34" s="328"/>
      <c r="K34" s="328"/>
      <c r="L34" s="328"/>
      <c r="M34" s="328"/>
      <c r="N34" s="328"/>
      <c r="O34" s="328"/>
      <c r="P34" s="328"/>
      <c r="Q34" s="328"/>
      <c r="R34" s="81"/>
      <c r="S34" s="369"/>
      <c r="T34" s="168"/>
      <c r="U34" s="168"/>
      <c r="V34" s="168"/>
      <c r="W34" s="168"/>
      <c r="X34" s="168"/>
      <c r="Y34" s="167"/>
      <c r="Z34" s="167"/>
      <c r="AA34" s="289" t="s">
        <v>464</v>
      </c>
      <c r="AV34" s="167"/>
      <c r="AW34" s="167"/>
    </row>
    <row r="35" spans="1:49">
      <c r="A35" s="404" t="s">
        <v>378</v>
      </c>
      <c r="B35" s="417">
        <f>AB35</f>
        <v>123</v>
      </c>
      <c r="C35" s="417">
        <f t="shared" ref="C35:G41" si="51">AC35</f>
        <v>7</v>
      </c>
      <c r="D35" s="417">
        <f t="shared" si="51"/>
        <v>3</v>
      </c>
      <c r="E35" s="417">
        <f t="shared" si="51"/>
        <v>8</v>
      </c>
      <c r="F35" s="417">
        <f t="shared" si="51"/>
        <v>0</v>
      </c>
      <c r="G35" s="368">
        <f t="shared" si="51"/>
        <v>141</v>
      </c>
      <c r="H35" s="417">
        <f>AH35</f>
        <v>36</v>
      </c>
      <c r="I35" s="417">
        <f t="shared" ref="I35:M41" si="52">AI35</f>
        <v>0</v>
      </c>
      <c r="J35" s="417">
        <f t="shared" si="52"/>
        <v>0</v>
      </c>
      <c r="K35" s="417">
        <f t="shared" si="52"/>
        <v>0</v>
      </c>
      <c r="L35" s="417">
        <f t="shared" si="52"/>
        <v>0</v>
      </c>
      <c r="M35" s="368">
        <f t="shared" si="52"/>
        <v>37</v>
      </c>
      <c r="N35" s="417">
        <f>AN35</f>
        <v>41</v>
      </c>
      <c r="O35" s="417">
        <f t="shared" ref="O35:S41" si="53">AO35</f>
        <v>0</v>
      </c>
      <c r="P35" s="417">
        <f t="shared" si="53"/>
        <v>1</v>
      </c>
      <c r="Q35" s="417">
        <f t="shared" si="53"/>
        <v>11</v>
      </c>
      <c r="R35" s="417">
        <f t="shared" si="53"/>
        <v>0</v>
      </c>
      <c r="S35" s="417">
        <f t="shared" si="53"/>
        <v>53</v>
      </c>
      <c r="T35" s="168"/>
      <c r="U35" s="168"/>
      <c r="V35" s="168"/>
      <c r="W35" s="168"/>
      <c r="X35" s="168"/>
      <c r="Y35" s="167"/>
      <c r="Z35" s="167"/>
      <c r="AA35" s="289" t="s">
        <v>427</v>
      </c>
      <c r="AB35" s="787">
        <f t="shared" ref="AB35:AG41" si="54">IFERROR(VLOOKUP($AA$6&amp;$AA$34&amp;$AC$5&amp;$AA35&amp;AB$7&amp;$AB$6, vw.deaths.demo, 7, FALSE),0)</f>
        <v>123</v>
      </c>
      <c r="AC35" s="787">
        <f t="shared" si="54"/>
        <v>7</v>
      </c>
      <c r="AD35" s="787">
        <f t="shared" si="54"/>
        <v>3</v>
      </c>
      <c r="AE35" s="787">
        <f t="shared" si="54"/>
        <v>8</v>
      </c>
      <c r="AF35" s="787">
        <f t="shared" si="54"/>
        <v>0</v>
      </c>
      <c r="AG35" s="787">
        <f t="shared" si="54"/>
        <v>141</v>
      </c>
      <c r="AH35" s="787">
        <f t="shared" ref="AH35:AM41" si="55">IFERROR(VLOOKUP($AA$6&amp;$AA$34&amp;$AC$5&amp;$AA35&amp;AH$7&amp;$AH$6, vw.deaths.demo, 7, FALSE),0)</f>
        <v>36</v>
      </c>
      <c r="AI35" s="787">
        <f t="shared" si="55"/>
        <v>0</v>
      </c>
      <c r="AJ35" s="787">
        <f t="shared" si="55"/>
        <v>0</v>
      </c>
      <c r="AK35" s="787">
        <f t="shared" si="55"/>
        <v>0</v>
      </c>
      <c r="AL35" s="787">
        <f t="shared" si="55"/>
        <v>0</v>
      </c>
      <c r="AM35" s="787">
        <f t="shared" si="55"/>
        <v>37</v>
      </c>
      <c r="AN35" s="289">
        <f t="shared" ref="AN35:AS41" si="56">IFERROR(VLOOKUP($AA$6&amp;$AA$34&amp;$AC$5&amp;$AA35&amp;AN$7, vw.births.demo, 7, FALSE),0)</f>
        <v>41</v>
      </c>
      <c r="AO35" s="289">
        <f t="shared" si="56"/>
        <v>0</v>
      </c>
      <c r="AP35" s="289">
        <f t="shared" si="56"/>
        <v>1</v>
      </c>
      <c r="AQ35" s="289">
        <f t="shared" si="56"/>
        <v>11</v>
      </c>
      <c r="AR35" s="289">
        <f t="shared" si="56"/>
        <v>0</v>
      </c>
      <c r="AS35" s="289">
        <f t="shared" si="56"/>
        <v>53</v>
      </c>
      <c r="AV35" s="167"/>
      <c r="AW35" s="167"/>
    </row>
    <row r="36" spans="1:49" s="400" customFormat="1">
      <c r="A36" s="404" t="s">
        <v>386</v>
      </c>
      <c r="B36" s="417">
        <f t="shared" ref="B36:B41" si="57">AB36</f>
        <v>85</v>
      </c>
      <c r="C36" s="417">
        <f t="shared" si="51"/>
        <v>11</v>
      </c>
      <c r="D36" s="417">
        <f t="shared" si="51"/>
        <v>1</v>
      </c>
      <c r="E36" s="417">
        <f t="shared" si="51"/>
        <v>0</v>
      </c>
      <c r="F36" s="417">
        <f t="shared" si="51"/>
        <v>0</v>
      </c>
      <c r="G36" s="368">
        <f t="shared" si="51"/>
        <v>97</v>
      </c>
      <c r="H36" s="417">
        <f t="shared" ref="H36:H41" si="58">AH36</f>
        <v>55</v>
      </c>
      <c r="I36" s="417">
        <f t="shared" si="52"/>
        <v>1</v>
      </c>
      <c r="J36" s="417">
        <f t="shared" si="52"/>
        <v>0</v>
      </c>
      <c r="K36" s="417">
        <f t="shared" si="52"/>
        <v>0</v>
      </c>
      <c r="L36" s="417">
        <f t="shared" si="52"/>
        <v>0</v>
      </c>
      <c r="M36" s="368">
        <f t="shared" si="52"/>
        <v>57</v>
      </c>
      <c r="N36" s="417">
        <f t="shared" ref="N36:N41" si="59">AN36</f>
        <v>157</v>
      </c>
      <c r="O36" s="417">
        <f t="shared" si="53"/>
        <v>37</v>
      </c>
      <c r="P36" s="417">
        <f t="shared" si="53"/>
        <v>0</v>
      </c>
      <c r="Q36" s="417">
        <f t="shared" si="53"/>
        <v>2</v>
      </c>
      <c r="R36" s="417">
        <f t="shared" si="53"/>
        <v>0</v>
      </c>
      <c r="S36" s="417">
        <f t="shared" si="53"/>
        <v>196</v>
      </c>
      <c r="T36" s="168"/>
      <c r="U36" s="168"/>
      <c r="V36" s="168"/>
      <c r="W36" s="168"/>
      <c r="X36" s="168"/>
      <c r="AA36" s="289" t="s">
        <v>428</v>
      </c>
      <c r="AB36" s="787">
        <f t="shared" si="54"/>
        <v>85</v>
      </c>
      <c r="AC36" s="787">
        <f t="shared" si="54"/>
        <v>11</v>
      </c>
      <c r="AD36" s="787">
        <f t="shared" si="54"/>
        <v>1</v>
      </c>
      <c r="AE36" s="787">
        <f t="shared" si="54"/>
        <v>0</v>
      </c>
      <c r="AF36" s="787">
        <f t="shared" si="54"/>
        <v>0</v>
      </c>
      <c r="AG36" s="787">
        <f t="shared" si="54"/>
        <v>97</v>
      </c>
      <c r="AH36" s="787">
        <f t="shared" si="55"/>
        <v>55</v>
      </c>
      <c r="AI36" s="787">
        <f t="shared" si="55"/>
        <v>1</v>
      </c>
      <c r="AJ36" s="787">
        <f t="shared" si="55"/>
        <v>0</v>
      </c>
      <c r="AK36" s="787">
        <f t="shared" si="55"/>
        <v>0</v>
      </c>
      <c r="AL36" s="787">
        <f t="shared" si="55"/>
        <v>0</v>
      </c>
      <c r="AM36" s="787">
        <f t="shared" si="55"/>
        <v>57</v>
      </c>
      <c r="AN36" s="289">
        <f t="shared" si="56"/>
        <v>157</v>
      </c>
      <c r="AO36" s="289">
        <f t="shared" si="56"/>
        <v>37</v>
      </c>
      <c r="AP36" s="289">
        <f t="shared" si="56"/>
        <v>0</v>
      </c>
      <c r="AQ36" s="289">
        <f t="shared" si="56"/>
        <v>2</v>
      </c>
      <c r="AR36" s="289">
        <f t="shared" si="56"/>
        <v>0</v>
      </c>
      <c r="AS36" s="289">
        <f t="shared" si="56"/>
        <v>196</v>
      </c>
      <c r="AT36" s="245"/>
      <c r="AU36" s="245"/>
    </row>
    <row r="37" spans="1:49" s="397" customFormat="1">
      <c r="A37" s="404" t="s">
        <v>387</v>
      </c>
      <c r="B37" s="417">
        <f t="shared" si="57"/>
        <v>7</v>
      </c>
      <c r="C37" s="417">
        <f t="shared" si="51"/>
        <v>12</v>
      </c>
      <c r="D37" s="417">
        <f t="shared" si="51"/>
        <v>6</v>
      </c>
      <c r="E37" s="417">
        <f t="shared" si="51"/>
        <v>1</v>
      </c>
      <c r="F37" s="417">
        <f t="shared" si="51"/>
        <v>0</v>
      </c>
      <c r="G37" s="368">
        <f t="shared" si="51"/>
        <v>27</v>
      </c>
      <c r="H37" s="417">
        <f t="shared" si="58"/>
        <v>3</v>
      </c>
      <c r="I37" s="417">
        <f t="shared" si="52"/>
        <v>5</v>
      </c>
      <c r="J37" s="417">
        <f t="shared" si="52"/>
        <v>0</v>
      </c>
      <c r="K37" s="417">
        <f t="shared" si="52"/>
        <v>0</v>
      </c>
      <c r="L37" s="417">
        <f t="shared" si="52"/>
        <v>0</v>
      </c>
      <c r="M37" s="368">
        <f t="shared" si="52"/>
        <v>8</v>
      </c>
      <c r="N37" s="417">
        <f t="shared" si="59"/>
        <v>56</v>
      </c>
      <c r="O37" s="417">
        <f t="shared" si="53"/>
        <v>198</v>
      </c>
      <c r="P37" s="417">
        <f t="shared" si="53"/>
        <v>72</v>
      </c>
      <c r="Q37" s="417">
        <f t="shared" si="53"/>
        <v>5</v>
      </c>
      <c r="R37" s="417">
        <f t="shared" si="53"/>
        <v>0</v>
      </c>
      <c r="S37" s="417">
        <f t="shared" si="53"/>
        <v>331</v>
      </c>
      <c r="T37" s="168"/>
      <c r="U37" s="168"/>
      <c r="V37" s="168"/>
      <c r="W37" s="168"/>
      <c r="X37" s="168"/>
      <c r="AA37" s="289" t="s">
        <v>429</v>
      </c>
      <c r="AB37" s="787">
        <f t="shared" si="54"/>
        <v>7</v>
      </c>
      <c r="AC37" s="787">
        <f t="shared" si="54"/>
        <v>12</v>
      </c>
      <c r="AD37" s="787">
        <f t="shared" si="54"/>
        <v>6</v>
      </c>
      <c r="AE37" s="787">
        <f t="shared" si="54"/>
        <v>1</v>
      </c>
      <c r="AF37" s="787">
        <f t="shared" si="54"/>
        <v>0</v>
      </c>
      <c r="AG37" s="787">
        <f t="shared" si="54"/>
        <v>27</v>
      </c>
      <c r="AH37" s="787">
        <f t="shared" si="55"/>
        <v>3</v>
      </c>
      <c r="AI37" s="787">
        <f t="shared" si="55"/>
        <v>5</v>
      </c>
      <c r="AJ37" s="787">
        <f t="shared" si="55"/>
        <v>0</v>
      </c>
      <c r="AK37" s="787">
        <f t="shared" si="55"/>
        <v>0</v>
      </c>
      <c r="AL37" s="787">
        <f t="shared" si="55"/>
        <v>0</v>
      </c>
      <c r="AM37" s="787">
        <f t="shared" si="55"/>
        <v>8</v>
      </c>
      <c r="AN37" s="289">
        <f t="shared" si="56"/>
        <v>56</v>
      </c>
      <c r="AO37" s="289">
        <f t="shared" si="56"/>
        <v>198</v>
      </c>
      <c r="AP37" s="289">
        <f t="shared" si="56"/>
        <v>72</v>
      </c>
      <c r="AQ37" s="289">
        <f t="shared" si="56"/>
        <v>5</v>
      </c>
      <c r="AR37" s="289">
        <f t="shared" si="56"/>
        <v>0</v>
      </c>
      <c r="AS37" s="289">
        <f t="shared" si="56"/>
        <v>331</v>
      </c>
      <c r="AT37" s="245"/>
      <c r="AU37" s="245"/>
    </row>
    <row r="38" spans="1:49" s="453" customFormat="1">
      <c r="A38" s="404" t="s">
        <v>381</v>
      </c>
      <c r="B38" s="417">
        <f t="shared" si="57"/>
        <v>0</v>
      </c>
      <c r="C38" s="417">
        <f t="shared" si="51"/>
        <v>8</v>
      </c>
      <c r="D38" s="417">
        <f t="shared" si="51"/>
        <v>29</v>
      </c>
      <c r="E38" s="417">
        <f t="shared" si="51"/>
        <v>8</v>
      </c>
      <c r="F38" s="417">
        <f t="shared" si="51"/>
        <v>0</v>
      </c>
      <c r="G38" s="368">
        <f t="shared" si="51"/>
        <v>45</v>
      </c>
      <c r="H38" s="417">
        <f t="shared" si="58"/>
        <v>1</v>
      </c>
      <c r="I38" s="417">
        <f t="shared" si="52"/>
        <v>8</v>
      </c>
      <c r="J38" s="417">
        <f t="shared" si="52"/>
        <v>13</v>
      </c>
      <c r="K38" s="417">
        <f t="shared" si="52"/>
        <v>11</v>
      </c>
      <c r="L38" s="417">
        <f t="shared" si="52"/>
        <v>1</v>
      </c>
      <c r="M38" s="368">
        <f t="shared" si="52"/>
        <v>35</v>
      </c>
      <c r="N38" s="417">
        <f t="shared" si="59"/>
        <v>3</v>
      </c>
      <c r="O38" s="417">
        <f t="shared" si="53"/>
        <v>167</v>
      </c>
      <c r="P38" s="417">
        <f t="shared" si="53"/>
        <v>1729</v>
      </c>
      <c r="Q38" s="417">
        <f t="shared" si="53"/>
        <v>1088</v>
      </c>
      <c r="R38" s="417">
        <f t="shared" si="53"/>
        <v>3</v>
      </c>
      <c r="S38" s="417">
        <f t="shared" si="53"/>
        <v>2991</v>
      </c>
      <c r="T38" s="168"/>
      <c r="U38" s="168"/>
      <c r="V38" s="168"/>
      <c r="W38" s="168"/>
      <c r="X38" s="168"/>
      <c r="AA38" s="289" t="s">
        <v>430</v>
      </c>
      <c r="AB38" s="787">
        <f t="shared" si="54"/>
        <v>0</v>
      </c>
      <c r="AC38" s="787">
        <f t="shared" si="54"/>
        <v>8</v>
      </c>
      <c r="AD38" s="787">
        <f t="shared" si="54"/>
        <v>29</v>
      </c>
      <c r="AE38" s="787">
        <f t="shared" si="54"/>
        <v>8</v>
      </c>
      <c r="AF38" s="787">
        <f t="shared" si="54"/>
        <v>0</v>
      </c>
      <c r="AG38" s="787">
        <f t="shared" si="54"/>
        <v>45</v>
      </c>
      <c r="AH38" s="787">
        <f t="shared" si="55"/>
        <v>1</v>
      </c>
      <c r="AI38" s="787">
        <f t="shared" si="55"/>
        <v>8</v>
      </c>
      <c r="AJ38" s="787">
        <f t="shared" si="55"/>
        <v>13</v>
      </c>
      <c r="AK38" s="787">
        <f t="shared" si="55"/>
        <v>11</v>
      </c>
      <c r="AL38" s="787">
        <f t="shared" si="55"/>
        <v>1</v>
      </c>
      <c r="AM38" s="787">
        <f t="shared" si="55"/>
        <v>35</v>
      </c>
      <c r="AN38" s="289">
        <f t="shared" si="56"/>
        <v>3</v>
      </c>
      <c r="AO38" s="289">
        <f t="shared" si="56"/>
        <v>167</v>
      </c>
      <c r="AP38" s="289">
        <f t="shared" si="56"/>
        <v>1729</v>
      </c>
      <c r="AQ38" s="289">
        <f t="shared" si="56"/>
        <v>1088</v>
      </c>
      <c r="AR38" s="289">
        <f t="shared" si="56"/>
        <v>3</v>
      </c>
      <c r="AS38" s="289">
        <f t="shared" si="56"/>
        <v>2991</v>
      </c>
      <c r="AT38" s="245"/>
      <c r="AU38" s="245"/>
    </row>
    <row r="39" spans="1:49">
      <c r="A39" s="407" t="s">
        <v>388</v>
      </c>
      <c r="B39" s="417">
        <f t="shared" si="57"/>
        <v>1</v>
      </c>
      <c r="C39" s="417">
        <f t="shared" si="51"/>
        <v>0</v>
      </c>
      <c r="D39" s="417">
        <f t="shared" si="51"/>
        <v>16</v>
      </c>
      <c r="E39" s="417">
        <f t="shared" si="51"/>
        <v>63</v>
      </c>
      <c r="F39" s="417">
        <f t="shared" si="51"/>
        <v>0</v>
      </c>
      <c r="G39" s="368">
        <f t="shared" si="51"/>
        <v>81</v>
      </c>
      <c r="H39" s="417">
        <f t="shared" si="58"/>
        <v>0</v>
      </c>
      <c r="I39" s="417">
        <f t="shared" si="52"/>
        <v>0</v>
      </c>
      <c r="J39" s="417">
        <f t="shared" si="52"/>
        <v>10</v>
      </c>
      <c r="K39" s="417">
        <f t="shared" si="52"/>
        <v>80</v>
      </c>
      <c r="L39" s="417">
        <f t="shared" si="52"/>
        <v>3</v>
      </c>
      <c r="M39" s="368">
        <f t="shared" si="52"/>
        <v>95</v>
      </c>
      <c r="N39" s="417">
        <f t="shared" si="59"/>
        <v>2</v>
      </c>
      <c r="O39" s="417">
        <f t="shared" si="53"/>
        <v>15</v>
      </c>
      <c r="P39" s="417">
        <f t="shared" si="53"/>
        <v>2005</v>
      </c>
      <c r="Q39" s="417">
        <f t="shared" si="53"/>
        <v>52424</v>
      </c>
      <c r="R39" s="417">
        <f t="shared" si="53"/>
        <v>944</v>
      </c>
      <c r="S39" s="417">
        <f t="shared" si="53"/>
        <v>55407</v>
      </c>
      <c r="T39" s="166"/>
      <c r="U39" s="167"/>
      <c r="V39" s="167"/>
      <c r="W39" s="167"/>
      <c r="X39" s="167"/>
      <c r="Y39" s="167"/>
      <c r="Z39" s="167"/>
      <c r="AA39" s="289" t="s">
        <v>431</v>
      </c>
      <c r="AB39" s="787">
        <f t="shared" si="54"/>
        <v>1</v>
      </c>
      <c r="AC39" s="787">
        <f t="shared" si="54"/>
        <v>0</v>
      </c>
      <c r="AD39" s="787">
        <f t="shared" si="54"/>
        <v>16</v>
      </c>
      <c r="AE39" s="787">
        <f t="shared" si="54"/>
        <v>63</v>
      </c>
      <c r="AF39" s="787">
        <f t="shared" si="54"/>
        <v>0</v>
      </c>
      <c r="AG39" s="787">
        <f t="shared" si="54"/>
        <v>81</v>
      </c>
      <c r="AH39" s="787">
        <f t="shared" si="55"/>
        <v>0</v>
      </c>
      <c r="AI39" s="787">
        <f t="shared" si="55"/>
        <v>0</v>
      </c>
      <c r="AJ39" s="787">
        <f t="shared" si="55"/>
        <v>10</v>
      </c>
      <c r="AK39" s="787">
        <f t="shared" si="55"/>
        <v>80</v>
      </c>
      <c r="AL39" s="787">
        <f t="shared" si="55"/>
        <v>3</v>
      </c>
      <c r="AM39" s="787">
        <f t="shared" si="55"/>
        <v>95</v>
      </c>
      <c r="AN39" s="289">
        <f t="shared" si="56"/>
        <v>2</v>
      </c>
      <c r="AO39" s="289">
        <f t="shared" si="56"/>
        <v>15</v>
      </c>
      <c r="AP39" s="289">
        <f t="shared" si="56"/>
        <v>2005</v>
      </c>
      <c r="AQ39" s="289">
        <f t="shared" si="56"/>
        <v>52424</v>
      </c>
      <c r="AR39" s="289">
        <f t="shared" si="56"/>
        <v>944</v>
      </c>
      <c r="AS39" s="289">
        <f t="shared" si="56"/>
        <v>55407</v>
      </c>
      <c r="AV39" s="167"/>
      <c r="AW39" s="167"/>
    </row>
    <row r="40" spans="1:49">
      <c r="A40" s="407" t="s">
        <v>383</v>
      </c>
      <c r="B40" s="417">
        <f t="shared" si="57"/>
        <v>0</v>
      </c>
      <c r="C40" s="417">
        <f t="shared" si="51"/>
        <v>0</v>
      </c>
      <c r="D40" s="417">
        <f t="shared" si="51"/>
        <v>0</v>
      </c>
      <c r="E40" s="417">
        <f t="shared" si="51"/>
        <v>4</v>
      </c>
      <c r="F40" s="417">
        <f t="shared" si="51"/>
        <v>0</v>
      </c>
      <c r="G40" s="368">
        <f t="shared" si="51"/>
        <v>4</v>
      </c>
      <c r="H40" s="417">
        <f t="shared" si="58"/>
        <v>0</v>
      </c>
      <c r="I40" s="417">
        <f t="shared" si="52"/>
        <v>0</v>
      </c>
      <c r="J40" s="417">
        <f t="shared" si="52"/>
        <v>0</v>
      </c>
      <c r="K40" s="417">
        <f t="shared" si="52"/>
        <v>0</v>
      </c>
      <c r="L40" s="417">
        <f t="shared" si="52"/>
        <v>0</v>
      </c>
      <c r="M40" s="368">
        <f t="shared" si="52"/>
        <v>0</v>
      </c>
      <c r="N40" s="417">
        <f t="shared" si="59"/>
        <v>0</v>
      </c>
      <c r="O40" s="417">
        <f t="shared" si="53"/>
        <v>0</v>
      </c>
      <c r="P40" s="417">
        <f t="shared" si="53"/>
        <v>6</v>
      </c>
      <c r="Q40" s="417">
        <f t="shared" si="53"/>
        <v>1348</v>
      </c>
      <c r="R40" s="417">
        <f t="shared" si="53"/>
        <v>69</v>
      </c>
      <c r="S40" s="417">
        <f t="shared" si="53"/>
        <v>1423</v>
      </c>
      <c r="T40" s="166"/>
      <c r="U40" s="167"/>
      <c r="V40" s="167"/>
      <c r="W40" s="167"/>
      <c r="X40" s="167"/>
      <c r="Y40" s="167"/>
      <c r="Z40" s="167"/>
      <c r="AA40" s="289" t="s">
        <v>432</v>
      </c>
      <c r="AB40" s="787">
        <f t="shared" si="54"/>
        <v>0</v>
      </c>
      <c r="AC40" s="787">
        <f t="shared" si="54"/>
        <v>0</v>
      </c>
      <c r="AD40" s="787">
        <f t="shared" si="54"/>
        <v>0</v>
      </c>
      <c r="AE40" s="787">
        <f t="shared" si="54"/>
        <v>4</v>
      </c>
      <c r="AF40" s="787">
        <f t="shared" si="54"/>
        <v>0</v>
      </c>
      <c r="AG40" s="787">
        <f t="shared" si="54"/>
        <v>4</v>
      </c>
      <c r="AH40" s="787">
        <f t="shared" si="55"/>
        <v>0</v>
      </c>
      <c r="AI40" s="787">
        <f t="shared" si="55"/>
        <v>0</v>
      </c>
      <c r="AJ40" s="787">
        <f t="shared" si="55"/>
        <v>0</v>
      </c>
      <c r="AK40" s="787">
        <f t="shared" si="55"/>
        <v>0</v>
      </c>
      <c r="AL40" s="787">
        <f t="shared" si="55"/>
        <v>0</v>
      </c>
      <c r="AM40" s="787">
        <f t="shared" si="55"/>
        <v>0</v>
      </c>
      <c r="AN40" s="289">
        <f t="shared" si="56"/>
        <v>0</v>
      </c>
      <c r="AO40" s="289">
        <f t="shared" si="56"/>
        <v>0</v>
      </c>
      <c r="AP40" s="289">
        <f t="shared" si="56"/>
        <v>6</v>
      </c>
      <c r="AQ40" s="289">
        <f t="shared" si="56"/>
        <v>1348</v>
      </c>
      <c r="AR40" s="289">
        <f t="shared" si="56"/>
        <v>69</v>
      </c>
      <c r="AS40" s="289">
        <f t="shared" si="56"/>
        <v>1423</v>
      </c>
      <c r="AV40" s="167"/>
      <c r="AW40" s="167"/>
    </row>
    <row r="41" spans="1:49">
      <c r="A41" s="372" t="s">
        <v>63</v>
      </c>
      <c r="B41" s="417">
        <f t="shared" si="57"/>
        <v>11</v>
      </c>
      <c r="C41" s="417">
        <f t="shared" si="51"/>
        <v>0</v>
      </c>
      <c r="D41" s="417">
        <f t="shared" si="51"/>
        <v>1</v>
      </c>
      <c r="E41" s="417">
        <f t="shared" si="51"/>
        <v>2</v>
      </c>
      <c r="F41" s="417">
        <f t="shared" si="51"/>
        <v>0</v>
      </c>
      <c r="G41" s="368">
        <f t="shared" si="51"/>
        <v>18</v>
      </c>
      <c r="H41" s="417">
        <f t="shared" si="58"/>
        <v>1</v>
      </c>
      <c r="I41" s="417">
        <f t="shared" si="52"/>
        <v>0</v>
      </c>
      <c r="J41" s="417">
        <f t="shared" si="52"/>
        <v>0</v>
      </c>
      <c r="K41" s="417">
        <f t="shared" si="52"/>
        <v>0</v>
      </c>
      <c r="L41" s="417">
        <f t="shared" si="52"/>
        <v>0</v>
      </c>
      <c r="M41" s="368">
        <f t="shared" si="52"/>
        <v>9</v>
      </c>
      <c r="N41" s="417">
        <f t="shared" si="59"/>
        <v>1</v>
      </c>
      <c r="O41" s="417">
        <f t="shared" si="53"/>
        <v>0</v>
      </c>
      <c r="P41" s="417">
        <f t="shared" si="53"/>
        <v>1</v>
      </c>
      <c r="Q41" s="417">
        <f t="shared" si="53"/>
        <v>21</v>
      </c>
      <c r="R41" s="417">
        <f t="shared" si="53"/>
        <v>1</v>
      </c>
      <c r="S41" s="417">
        <f t="shared" si="53"/>
        <v>35</v>
      </c>
      <c r="T41" s="166"/>
      <c r="U41" s="167"/>
      <c r="V41" s="167"/>
      <c r="W41" s="167"/>
      <c r="X41" s="167"/>
      <c r="Y41" s="167"/>
      <c r="Z41" s="167"/>
      <c r="AA41" s="289" t="s">
        <v>63</v>
      </c>
      <c r="AB41" s="787">
        <f t="shared" si="54"/>
        <v>11</v>
      </c>
      <c r="AC41" s="787">
        <f t="shared" si="54"/>
        <v>0</v>
      </c>
      <c r="AD41" s="787">
        <f t="shared" si="54"/>
        <v>1</v>
      </c>
      <c r="AE41" s="787">
        <f t="shared" si="54"/>
        <v>2</v>
      </c>
      <c r="AF41" s="787">
        <f t="shared" si="54"/>
        <v>0</v>
      </c>
      <c r="AG41" s="787">
        <f t="shared" si="54"/>
        <v>18</v>
      </c>
      <c r="AH41" s="787">
        <f t="shared" si="55"/>
        <v>1</v>
      </c>
      <c r="AI41" s="787">
        <f t="shared" si="55"/>
        <v>0</v>
      </c>
      <c r="AJ41" s="787">
        <f t="shared" si="55"/>
        <v>0</v>
      </c>
      <c r="AK41" s="787">
        <f t="shared" si="55"/>
        <v>0</v>
      </c>
      <c r="AL41" s="787">
        <f t="shared" si="55"/>
        <v>0</v>
      </c>
      <c r="AM41" s="787">
        <f t="shared" si="55"/>
        <v>9</v>
      </c>
      <c r="AN41" s="289">
        <f t="shared" si="56"/>
        <v>1</v>
      </c>
      <c r="AO41" s="289">
        <f t="shared" si="56"/>
        <v>0</v>
      </c>
      <c r="AP41" s="289">
        <f t="shared" si="56"/>
        <v>1</v>
      </c>
      <c r="AQ41" s="289">
        <f t="shared" si="56"/>
        <v>21</v>
      </c>
      <c r="AR41" s="289">
        <f t="shared" si="56"/>
        <v>1</v>
      </c>
      <c r="AS41" s="289">
        <f t="shared" si="56"/>
        <v>35</v>
      </c>
      <c r="AV41" s="167"/>
      <c r="AW41" s="167"/>
    </row>
    <row r="42" spans="1:49" s="266" customFormat="1">
      <c r="A42" s="484" t="s">
        <v>613</v>
      </c>
      <c r="B42" s="411"/>
      <c r="C42" s="411"/>
      <c r="D42" s="411"/>
      <c r="E42" s="411"/>
      <c r="F42" s="411"/>
      <c r="G42" s="411"/>
      <c r="H42" s="411"/>
      <c r="I42" s="411"/>
      <c r="J42" s="411"/>
      <c r="K42" s="411"/>
      <c r="L42" s="411"/>
      <c r="M42" s="411"/>
      <c r="N42" s="411"/>
      <c r="O42" s="411"/>
      <c r="P42" s="411"/>
      <c r="Q42" s="411"/>
      <c r="R42" s="411"/>
      <c r="S42" s="411"/>
      <c r="T42" s="168"/>
      <c r="AA42" s="289"/>
      <c r="AB42" s="289"/>
      <c r="AC42" s="289"/>
      <c r="AD42" s="289"/>
      <c r="AE42" s="289"/>
      <c r="AF42" s="289"/>
      <c r="AG42" s="289"/>
      <c r="AH42" s="289"/>
      <c r="AI42" s="289"/>
      <c r="AJ42" s="289"/>
      <c r="AK42" s="289"/>
      <c r="AL42" s="289"/>
      <c r="AM42" s="289"/>
      <c r="AN42" s="289"/>
      <c r="AO42" s="289"/>
      <c r="AP42" s="289"/>
      <c r="AQ42" s="289"/>
      <c r="AR42" s="289"/>
      <c r="AS42" s="289"/>
      <c r="AT42" s="245"/>
      <c r="AU42" s="245"/>
    </row>
    <row r="43" spans="1:49">
      <c r="T43" s="167"/>
      <c r="U43" s="167"/>
      <c r="V43" s="167"/>
      <c r="W43" s="167"/>
      <c r="X43" s="167"/>
      <c r="Y43" s="167"/>
      <c r="Z43" s="167"/>
    </row>
    <row r="44" spans="1:49">
      <c r="T44" s="167"/>
      <c r="U44" s="167"/>
      <c r="V44" s="167"/>
      <c r="W44" s="167"/>
      <c r="X44" s="167"/>
      <c r="Y44" s="167"/>
      <c r="Z44" s="167"/>
    </row>
    <row r="45" spans="1:49" s="72" customFormat="1" ht="36.75" customHeight="1">
      <c r="A45" s="918" t="str">
        <f>Contents!E16</f>
        <v xml:space="preserve">Table 12: Rate of fetal deaths and infant deaths for each gestational age, by sex, ethnic group, maternal age group, deprivation quintile of residence and birthweight, 2016
</v>
      </c>
      <c r="B45" s="924"/>
      <c r="C45" s="924"/>
      <c r="D45" s="924"/>
      <c r="E45" s="924"/>
      <c r="F45" s="924"/>
      <c r="G45" s="924"/>
      <c r="H45" s="924"/>
      <c r="I45" s="924"/>
      <c r="J45" s="924"/>
      <c r="K45" s="924"/>
      <c r="L45" s="924"/>
      <c r="M45" s="924"/>
      <c r="N45" s="385"/>
      <c r="O45" s="385"/>
      <c r="P45" s="385"/>
      <c r="Q45" s="385"/>
      <c r="R45" s="385"/>
      <c r="S45" s="385"/>
      <c r="T45" s="385"/>
      <c r="AA45" s="785"/>
      <c r="AB45" s="785"/>
      <c r="AC45" s="785"/>
      <c r="AD45" s="785"/>
      <c r="AE45" s="785"/>
      <c r="AF45" s="785"/>
      <c r="AG45" s="785"/>
      <c r="AH45" s="785"/>
      <c r="AI45" s="785"/>
      <c r="AJ45" s="785"/>
      <c r="AK45" s="785"/>
      <c r="AL45" s="785"/>
      <c r="AM45" s="785"/>
      <c r="AN45" s="785"/>
      <c r="AO45" s="785"/>
      <c r="AP45" s="785"/>
      <c r="AQ45" s="785"/>
      <c r="AR45" s="785"/>
      <c r="AS45" s="785"/>
      <c r="AT45" s="546"/>
      <c r="AU45" s="546"/>
    </row>
    <row r="46" spans="1:49">
      <c r="A46" s="914" t="s">
        <v>68</v>
      </c>
      <c r="B46" s="915" t="s">
        <v>163</v>
      </c>
      <c r="C46" s="915"/>
      <c r="D46" s="915"/>
      <c r="E46" s="915"/>
      <c r="F46" s="915"/>
      <c r="G46" s="915"/>
      <c r="H46" s="917" t="s">
        <v>164</v>
      </c>
      <c r="I46" s="915"/>
      <c r="J46" s="915"/>
      <c r="K46" s="915"/>
      <c r="L46" s="915"/>
      <c r="M46" s="915"/>
      <c r="N46" s="40"/>
      <c r="O46" s="40"/>
      <c r="P46" s="40"/>
      <c r="Q46" s="40"/>
      <c r="R46" s="40"/>
      <c r="S46" s="40"/>
      <c r="T46" s="40"/>
      <c r="U46" s="40"/>
      <c r="V46" s="40"/>
      <c r="W46" s="40"/>
      <c r="X46" s="40"/>
      <c r="Y46" s="40"/>
      <c r="Z46" s="40"/>
      <c r="AA46" s="753"/>
      <c r="AB46" s="753"/>
      <c r="AC46" s="753"/>
      <c r="AD46" s="753"/>
      <c r="AE46" s="753"/>
      <c r="AF46" s="753"/>
      <c r="AG46" s="753"/>
      <c r="AH46" s="753"/>
    </row>
    <row r="47" spans="1:49">
      <c r="A47" s="909"/>
      <c r="B47" s="8" t="s">
        <v>375</v>
      </c>
      <c r="C47" s="329" t="s">
        <v>376</v>
      </c>
      <c r="D47" s="8" t="s">
        <v>64</v>
      </c>
      <c r="E47" s="8" t="s">
        <v>65</v>
      </c>
      <c r="F47" s="8" t="s">
        <v>66</v>
      </c>
      <c r="G47" s="19" t="s">
        <v>44</v>
      </c>
      <c r="H47" s="399" t="s">
        <v>375</v>
      </c>
      <c r="I47" s="329" t="s">
        <v>376</v>
      </c>
      <c r="J47" s="8" t="s">
        <v>64</v>
      </c>
      <c r="K47" s="8" t="s">
        <v>65</v>
      </c>
      <c r="L47" s="8" t="s">
        <v>66</v>
      </c>
      <c r="M47" s="78" t="s">
        <v>44</v>
      </c>
      <c r="N47" s="40"/>
      <c r="O47" s="40"/>
      <c r="P47" s="40"/>
      <c r="Q47" s="40"/>
      <c r="R47" s="40"/>
      <c r="S47" s="40"/>
      <c r="T47" s="40"/>
      <c r="U47" s="40"/>
      <c r="V47" s="40"/>
      <c r="W47" s="40"/>
      <c r="X47" s="40"/>
      <c r="Y47" s="40"/>
      <c r="Z47" s="40"/>
      <c r="AA47" s="753"/>
      <c r="AB47" s="753"/>
      <c r="AC47" s="753"/>
      <c r="AD47" s="753"/>
      <c r="AE47" s="753"/>
      <c r="AF47" s="753"/>
      <c r="AG47" s="753"/>
      <c r="AH47" s="753"/>
    </row>
    <row r="48" spans="1:49">
      <c r="A48" s="80" t="s">
        <v>104</v>
      </c>
      <c r="B48" s="20"/>
      <c r="C48" s="80"/>
      <c r="D48" s="20"/>
      <c r="E48" s="90"/>
      <c r="F48" s="90"/>
      <c r="G48" s="90"/>
      <c r="H48" s="90"/>
      <c r="I48" s="108"/>
      <c r="J48" s="22"/>
      <c r="K48" s="22"/>
      <c r="L48" s="22"/>
      <c r="M48" s="81"/>
      <c r="N48" s="40"/>
      <c r="O48" s="40"/>
      <c r="P48" s="40"/>
      <c r="Q48" s="40"/>
      <c r="R48" s="40"/>
      <c r="S48" s="40"/>
      <c r="T48" s="40"/>
      <c r="U48" s="40"/>
      <c r="V48" s="40"/>
      <c r="W48" s="40"/>
      <c r="X48" s="40"/>
      <c r="Y48" s="40"/>
      <c r="Z48" s="40"/>
      <c r="AA48" s="753"/>
      <c r="AB48" s="753"/>
      <c r="AC48" s="753"/>
      <c r="AD48" s="753"/>
      <c r="AE48" s="753"/>
      <c r="AF48" s="753"/>
      <c r="AG48" s="753"/>
      <c r="AH48" s="753"/>
    </row>
    <row r="49" spans="1:47">
      <c r="A49" s="49" t="s">
        <v>44</v>
      </c>
      <c r="B49" s="17">
        <f t="shared" ref="B49:G49" si="60">B9/(B9+N9)*1000</f>
        <v>466.11909650924025</v>
      </c>
      <c r="C49" s="51">
        <f t="shared" si="60"/>
        <v>83.516483516483518</v>
      </c>
      <c r="D49" s="51">
        <f t="shared" si="60"/>
        <v>14.470284237726098</v>
      </c>
      <c r="E49" s="51">
        <f t="shared" si="60"/>
        <v>1.5640629262526142</v>
      </c>
      <c r="F49" s="51">
        <f t="shared" si="60"/>
        <v>0</v>
      </c>
      <c r="G49" s="420">
        <f t="shared" si="60"/>
        <v>6.7872931354664825</v>
      </c>
      <c r="H49" s="51">
        <f t="shared" ref="H49:M49" si="61">H9/N9*1000</f>
        <v>369.23076923076923</v>
      </c>
      <c r="I49" s="51">
        <f t="shared" si="61"/>
        <v>33.573141486810549</v>
      </c>
      <c r="J49" s="51">
        <f t="shared" si="61"/>
        <v>6.0304142632406919</v>
      </c>
      <c r="K49" s="51">
        <f t="shared" si="61"/>
        <v>1.6575893914278947</v>
      </c>
      <c r="L49" s="51">
        <f t="shared" si="61"/>
        <v>3.9331366764995086</v>
      </c>
      <c r="M49" s="51">
        <f t="shared" si="61"/>
        <v>3.9876894566152621</v>
      </c>
      <c r="N49" s="40"/>
      <c r="O49" s="40"/>
      <c r="P49" s="40"/>
      <c r="Q49" s="40"/>
      <c r="R49" s="40"/>
      <c r="S49" s="40"/>
      <c r="T49" s="40"/>
      <c r="U49" s="40"/>
      <c r="V49" s="40"/>
      <c r="W49" s="40"/>
      <c r="X49" s="40"/>
      <c r="Y49" s="40"/>
      <c r="Z49" s="40"/>
      <c r="AA49" s="753"/>
      <c r="AB49" s="753"/>
      <c r="AC49" s="753"/>
      <c r="AD49" s="753"/>
      <c r="AE49" s="753"/>
      <c r="AF49" s="753"/>
      <c r="AG49" s="753"/>
      <c r="AH49" s="753"/>
    </row>
    <row r="50" spans="1:47">
      <c r="A50" s="80" t="s">
        <v>69</v>
      </c>
      <c r="B50" s="20"/>
      <c r="C50" s="80"/>
      <c r="D50" s="80"/>
      <c r="E50" s="80"/>
      <c r="F50" s="80"/>
      <c r="G50" s="80"/>
      <c r="H50" s="80"/>
      <c r="I50" s="80"/>
      <c r="J50" s="80"/>
      <c r="K50" s="80"/>
      <c r="L50" s="80"/>
      <c r="M50" s="80"/>
      <c r="N50" s="40"/>
      <c r="O50" s="40"/>
      <c r="P50" s="40"/>
      <c r="Q50" s="40"/>
      <c r="R50" s="40"/>
      <c r="S50" s="40"/>
      <c r="T50" s="40"/>
      <c r="U50" s="40"/>
      <c r="V50" s="40"/>
      <c r="W50" s="40"/>
      <c r="X50" s="40"/>
      <c r="Y50" s="40"/>
      <c r="Z50" s="40"/>
      <c r="AA50" s="753"/>
      <c r="AB50" s="753"/>
      <c r="AC50" s="753"/>
      <c r="AD50" s="753"/>
      <c r="AE50" s="753"/>
      <c r="AF50" s="753"/>
      <c r="AG50" s="753"/>
      <c r="AH50" s="753"/>
    </row>
    <row r="51" spans="1:47">
      <c r="A51" s="49" t="s">
        <v>70</v>
      </c>
      <c r="B51" s="17">
        <f t="shared" ref="B51:G52" si="62">B11/(B11+N11)*1000</f>
        <v>456.79012345679007</v>
      </c>
      <c r="C51" s="51">
        <f t="shared" si="62"/>
        <v>73.643410852713188</v>
      </c>
      <c r="D51" s="51">
        <f t="shared" si="62"/>
        <v>18.155757286192067</v>
      </c>
      <c r="E51" s="51">
        <f t="shared" si="62"/>
        <v>1.601936563312093</v>
      </c>
      <c r="F51" s="51">
        <f t="shared" si="62"/>
        <v>0</v>
      </c>
      <c r="G51" s="420">
        <f t="shared" si="62"/>
        <v>6.9175340272217776</v>
      </c>
      <c r="H51" s="51">
        <f t="shared" ref="H51:M52" si="63">H11/N11*1000</f>
        <v>393.93939393939394</v>
      </c>
      <c r="I51" s="51">
        <f t="shared" si="63"/>
        <v>20.920502092050206</v>
      </c>
      <c r="J51" s="51">
        <f t="shared" si="63"/>
        <v>7.2992700729927007</v>
      </c>
      <c r="K51" s="51">
        <f t="shared" si="63"/>
        <v>1.640162590030664</v>
      </c>
      <c r="L51" s="51">
        <f t="shared" si="63"/>
        <v>1.9120458891013383</v>
      </c>
      <c r="M51" s="51">
        <f t="shared" si="63"/>
        <v>4.0955851526976046</v>
      </c>
      <c r="N51" s="40"/>
      <c r="O51" s="40"/>
      <c r="P51" s="40"/>
      <c r="Q51" s="40"/>
      <c r="R51" s="40"/>
      <c r="S51" s="40"/>
      <c r="T51" s="40"/>
      <c r="U51" s="40"/>
      <c r="V51" s="40"/>
      <c r="W51" s="40"/>
      <c r="X51" s="40"/>
      <c r="Y51" s="40"/>
      <c r="Z51" s="40"/>
      <c r="AA51" s="753"/>
      <c r="AB51" s="753"/>
      <c r="AC51" s="753"/>
      <c r="AD51" s="753"/>
      <c r="AE51" s="753"/>
      <c r="AF51" s="753"/>
      <c r="AG51" s="753"/>
      <c r="AH51" s="753"/>
    </row>
    <row r="52" spans="1:47">
      <c r="A52" s="49" t="s">
        <v>71</v>
      </c>
      <c r="B52" s="17">
        <f t="shared" si="62"/>
        <v>457.62711864406782</v>
      </c>
      <c r="C52" s="51">
        <f t="shared" si="62"/>
        <v>96.44670050761421</v>
      </c>
      <c r="D52" s="51">
        <f t="shared" si="62"/>
        <v>10.129431626336522</v>
      </c>
      <c r="E52" s="51">
        <f t="shared" si="62"/>
        <v>1.5245036067524356</v>
      </c>
      <c r="F52" s="51">
        <f t="shared" si="62"/>
        <v>0</v>
      </c>
      <c r="G52" s="420">
        <f t="shared" si="62"/>
        <v>6.381685575364668</v>
      </c>
      <c r="H52" s="51">
        <f t="shared" si="63"/>
        <v>343.75</v>
      </c>
      <c r="I52" s="51">
        <f t="shared" si="63"/>
        <v>50.561797752808985</v>
      </c>
      <c r="J52" s="51">
        <f t="shared" si="63"/>
        <v>4.5480386583285952</v>
      </c>
      <c r="K52" s="51">
        <f t="shared" si="63"/>
        <v>1.6757904144788291</v>
      </c>
      <c r="L52" s="51">
        <f t="shared" si="63"/>
        <v>6.0728744939271255</v>
      </c>
      <c r="M52" s="51">
        <f t="shared" si="63"/>
        <v>3.8739932714853706</v>
      </c>
      <c r="N52" s="40"/>
      <c r="O52" s="40"/>
      <c r="P52" s="40"/>
      <c r="Q52" s="40"/>
      <c r="R52" s="40"/>
      <c r="S52" s="40"/>
      <c r="T52" s="40"/>
      <c r="U52" s="40"/>
      <c r="V52" s="40"/>
      <c r="W52" s="40"/>
      <c r="X52" s="40"/>
      <c r="Y52" s="40"/>
      <c r="Z52" s="40"/>
      <c r="AA52" s="753"/>
      <c r="AB52" s="753"/>
      <c r="AC52" s="753"/>
      <c r="AD52" s="753"/>
      <c r="AE52" s="753"/>
      <c r="AF52" s="753"/>
      <c r="AG52" s="753"/>
      <c r="AH52" s="753"/>
    </row>
    <row r="53" spans="1:47">
      <c r="A53" s="80" t="s">
        <v>73</v>
      </c>
      <c r="B53" s="20"/>
      <c r="C53" s="80"/>
      <c r="D53" s="80"/>
      <c r="E53" s="80"/>
      <c r="F53" s="80"/>
      <c r="G53" s="80"/>
      <c r="H53" s="80"/>
      <c r="I53" s="80"/>
      <c r="J53" s="80"/>
      <c r="K53" s="80"/>
      <c r="L53" s="80"/>
      <c r="M53" s="80"/>
      <c r="N53" s="40"/>
      <c r="O53" s="40"/>
      <c r="P53" s="40"/>
      <c r="Q53" s="40"/>
      <c r="R53" s="40"/>
      <c r="S53" s="40"/>
      <c r="T53" s="40"/>
      <c r="U53" s="40"/>
      <c r="V53" s="40"/>
      <c r="W53" s="40"/>
      <c r="X53" s="40"/>
      <c r="Y53" s="40"/>
      <c r="Z53" s="40"/>
      <c r="AA53" s="753"/>
      <c r="AB53" s="753"/>
      <c r="AC53" s="753"/>
      <c r="AD53" s="753"/>
      <c r="AE53" s="753"/>
      <c r="AF53" s="753"/>
      <c r="AG53" s="753"/>
      <c r="AH53" s="753"/>
    </row>
    <row r="54" spans="1:47" s="77" customFormat="1">
      <c r="A54" s="82" t="s">
        <v>74</v>
      </c>
      <c r="B54" s="84">
        <f t="shared" ref="B54:G57" si="64">B15/(B15+N15)*1000</f>
        <v>445.7831325301205</v>
      </c>
      <c r="C54" s="84">
        <f t="shared" si="64"/>
        <v>27.972027972027973</v>
      </c>
      <c r="D54" s="84">
        <f t="shared" si="64"/>
        <v>14.86374896779521</v>
      </c>
      <c r="E54" s="84">
        <f t="shared" si="64"/>
        <v>1.5988743924277309</v>
      </c>
      <c r="F54" s="84">
        <f t="shared" si="64"/>
        <v>0</v>
      </c>
      <c r="G54" s="420">
        <f t="shared" si="64"/>
        <v>6.9910033808950773</v>
      </c>
      <c r="H54" s="84">
        <f t="shared" ref="H54:M57" si="65">H15/N15*1000</f>
        <v>380.43478260869568</v>
      </c>
      <c r="I54" s="84">
        <f t="shared" si="65"/>
        <v>43.165467625899282</v>
      </c>
      <c r="J54" s="84">
        <f t="shared" si="65"/>
        <v>6.7057837384744339</v>
      </c>
      <c r="K54" s="84">
        <f t="shared" si="65"/>
        <v>2.8185253987572865</v>
      </c>
      <c r="L54" s="84">
        <f t="shared" si="65"/>
        <v>10.676156583629894</v>
      </c>
      <c r="M54" s="84">
        <f t="shared" si="65"/>
        <v>5.943793640717872</v>
      </c>
      <c r="N54" s="267"/>
      <c r="O54" s="267"/>
      <c r="P54" s="267"/>
      <c r="Q54" s="267"/>
      <c r="R54" s="267"/>
      <c r="S54" s="267"/>
      <c r="T54" s="267"/>
      <c r="U54" s="57"/>
      <c r="V54" s="57"/>
      <c r="W54" s="57"/>
      <c r="X54" s="57"/>
      <c r="Y54" s="57"/>
      <c r="Z54" s="57"/>
      <c r="AA54" s="779"/>
      <c r="AB54" s="779"/>
      <c r="AC54" s="779"/>
      <c r="AD54" s="779"/>
      <c r="AE54" s="779"/>
      <c r="AF54" s="779"/>
      <c r="AG54" s="779"/>
      <c r="AH54" s="779"/>
      <c r="AI54" s="780"/>
      <c r="AJ54" s="780"/>
      <c r="AK54" s="780"/>
      <c r="AL54" s="780"/>
      <c r="AM54" s="780"/>
      <c r="AN54" s="780"/>
      <c r="AO54" s="780"/>
      <c r="AP54" s="780"/>
      <c r="AQ54" s="780"/>
      <c r="AR54" s="780"/>
      <c r="AS54" s="780"/>
      <c r="AT54" s="243"/>
      <c r="AU54" s="243"/>
    </row>
    <row r="55" spans="1:47" s="77" customFormat="1">
      <c r="A55" s="82" t="s">
        <v>320</v>
      </c>
      <c r="B55" s="84">
        <f t="shared" si="64"/>
        <v>333.33333333333331</v>
      </c>
      <c r="C55" s="84">
        <f t="shared" si="64"/>
        <v>171.42857142857142</v>
      </c>
      <c r="D55" s="84">
        <f t="shared" si="64"/>
        <v>20.833333333333332</v>
      </c>
      <c r="E55" s="84">
        <f t="shared" si="64"/>
        <v>2.2038567493112944</v>
      </c>
      <c r="F55" s="84">
        <f t="shared" si="64"/>
        <v>0</v>
      </c>
      <c r="G55" s="420">
        <f t="shared" si="64"/>
        <v>7.4738415545590433</v>
      </c>
      <c r="H55" s="84">
        <f t="shared" si="65"/>
        <v>388.88888888888891</v>
      </c>
      <c r="I55" s="84">
        <f t="shared" si="65"/>
        <v>103.44827586206897</v>
      </c>
      <c r="J55" s="84">
        <f t="shared" si="65"/>
        <v>21.276595744680851</v>
      </c>
      <c r="K55" s="84">
        <f t="shared" si="65"/>
        <v>1.8406037180195105</v>
      </c>
      <c r="L55" s="84">
        <f t="shared" si="65"/>
        <v>0</v>
      </c>
      <c r="M55" s="84">
        <f t="shared" si="65"/>
        <v>6.1914323962516731</v>
      </c>
      <c r="N55" s="267"/>
      <c r="O55" s="267"/>
      <c r="P55" s="267"/>
      <c r="Q55" s="267"/>
      <c r="R55" s="267"/>
      <c r="S55" s="267"/>
      <c r="T55" s="267"/>
      <c r="U55" s="57"/>
      <c r="V55" s="57"/>
      <c r="W55" s="57"/>
      <c r="X55" s="57"/>
      <c r="Y55" s="57"/>
      <c r="Z55" s="57"/>
      <c r="AA55" s="779"/>
      <c r="AB55" s="779"/>
      <c r="AC55" s="779"/>
      <c r="AD55" s="779"/>
      <c r="AE55" s="779"/>
      <c r="AF55" s="779"/>
      <c r="AG55" s="779"/>
      <c r="AH55" s="779"/>
      <c r="AI55" s="780"/>
      <c r="AJ55" s="780"/>
      <c r="AK55" s="780"/>
      <c r="AL55" s="780"/>
      <c r="AM55" s="780"/>
      <c r="AN55" s="780"/>
      <c r="AO55" s="780"/>
      <c r="AP55" s="780"/>
      <c r="AQ55" s="780"/>
      <c r="AR55" s="780"/>
      <c r="AS55" s="780"/>
      <c r="AT55" s="243"/>
      <c r="AU55" s="243"/>
    </row>
    <row r="56" spans="1:47" s="77" customFormat="1">
      <c r="A56" s="310" t="s">
        <v>355</v>
      </c>
      <c r="B56" s="84">
        <f t="shared" si="64"/>
        <v>440.86021505376345</v>
      </c>
      <c r="C56" s="84">
        <f t="shared" si="64"/>
        <v>112.5</v>
      </c>
      <c r="D56" s="84">
        <f t="shared" si="64"/>
        <v>12.924071082390954</v>
      </c>
      <c r="E56" s="84">
        <f t="shared" si="64"/>
        <v>1.2926319976136025</v>
      </c>
      <c r="F56" s="84">
        <f t="shared" si="64"/>
        <v>0</v>
      </c>
      <c r="G56" s="420">
        <f t="shared" si="64"/>
        <v>6.6514806378132114</v>
      </c>
      <c r="H56" s="84">
        <f t="shared" si="65"/>
        <v>307.69230769230774</v>
      </c>
      <c r="I56" s="84">
        <f t="shared" si="65"/>
        <v>28.169014084507044</v>
      </c>
      <c r="J56" s="84">
        <f t="shared" si="65"/>
        <v>1.6366612111292964</v>
      </c>
      <c r="K56" s="84">
        <f t="shared" si="65"/>
        <v>0.69693349263241733</v>
      </c>
      <c r="L56" s="84">
        <f t="shared" si="65"/>
        <v>8.4033613445378155</v>
      </c>
      <c r="M56" s="84">
        <f t="shared" si="65"/>
        <v>2.4766097963676388</v>
      </c>
      <c r="N56" s="267"/>
      <c r="O56" s="267"/>
      <c r="P56" s="267"/>
      <c r="Q56" s="267"/>
      <c r="R56" s="267"/>
      <c r="S56" s="267"/>
      <c r="T56" s="267"/>
      <c r="U56" s="57"/>
      <c r="V56" s="57"/>
      <c r="W56" s="57"/>
      <c r="X56" s="57"/>
      <c r="Y56" s="57"/>
      <c r="Z56" s="57"/>
      <c r="AA56" s="779"/>
      <c r="AB56" s="779"/>
      <c r="AC56" s="779"/>
      <c r="AD56" s="779"/>
      <c r="AE56" s="779"/>
      <c r="AF56" s="779"/>
      <c r="AG56" s="779"/>
      <c r="AH56" s="779"/>
      <c r="AI56" s="780"/>
      <c r="AJ56" s="780"/>
      <c r="AK56" s="780"/>
      <c r="AL56" s="780"/>
      <c r="AM56" s="780"/>
      <c r="AN56" s="780"/>
      <c r="AO56" s="780"/>
      <c r="AP56" s="780"/>
      <c r="AQ56" s="780"/>
      <c r="AR56" s="780"/>
      <c r="AS56" s="780"/>
      <c r="AT56" s="243"/>
      <c r="AU56" s="243"/>
    </row>
    <row r="57" spans="1:47" s="77" customFormat="1">
      <c r="A57" s="310" t="s">
        <v>356</v>
      </c>
      <c r="B57" s="84">
        <f t="shared" si="64"/>
        <v>540.22988505747128</v>
      </c>
      <c r="C57" s="84">
        <f t="shared" si="64"/>
        <v>96.44670050761421</v>
      </c>
      <c r="D57" s="84">
        <f t="shared" si="64"/>
        <v>13.285024154589372</v>
      </c>
      <c r="E57" s="84">
        <f t="shared" si="64"/>
        <v>1.5096238520568623</v>
      </c>
      <c r="F57" s="84">
        <f t="shared" si="64"/>
        <v>0</v>
      </c>
      <c r="G57" s="420">
        <f t="shared" si="64"/>
        <v>6.5525338989470496</v>
      </c>
      <c r="H57" s="84">
        <f t="shared" si="65"/>
        <v>387.5</v>
      </c>
      <c r="I57" s="84">
        <f t="shared" si="65"/>
        <v>16.853932584269664</v>
      </c>
      <c r="J57" s="84">
        <f t="shared" si="65"/>
        <v>3.6719706242350063</v>
      </c>
      <c r="K57" s="84">
        <f t="shared" si="65"/>
        <v>1.2599218848431397</v>
      </c>
      <c r="L57" s="84">
        <f t="shared" si="65"/>
        <v>0</v>
      </c>
      <c r="M57" s="84">
        <f t="shared" si="65"/>
        <v>2.8213046627778415</v>
      </c>
      <c r="N57" s="267"/>
      <c r="O57" s="267"/>
      <c r="P57" s="267"/>
      <c r="Q57" s="267"/>
      <c r="R57" s="267"/>
      <c r="S57" s="267"/>
      <c r="T57" s="267"/>
      <c r="U57" s="57"/>
      <c r="V57" s="57"/>
      <c r="W57" s="57"/>
      <c r="X57" s="57"/>
      <c r="Y57" s="57"/>
      <c r="Z57" s="57"/>
      <c r="AA57" s="779"/>
      <c r="AB57" s="779"/>
      <c r="AC57" s="779"/>
      <c r="AD57" s="779"/>
      <c r="AE57" s="779"/>
      <c r="AF57" s="779"/>
      <c r="AG57" s="779"/>
      <c r="AH57" s="779"/>
      <c r="AI57" s="780"/>
      <c r="AJ57" s="780"/>
      <c r="AK57" s="780"/>
      <c r="AL57" s="780"/>
      <c r="AM57" s="780"/>
      <c r="AN57" s="780"/>
      <c r="AO57" s="780"/>
      <c r="AP57" s="780"/>
      <c r="AQ57" s="780"/>
      <c r="AR57" s="780"/>
      <c r="AS57" s="780"/>
      <c r="AT57" s="243"/>
      <c r="AU57" s="243"/>
    </row>
    <row r="58" spans="1:47">
      <c r="A58" s="80" t="s">
        <v>152</v>
      </c>
      <c r="B58" s="22"/>
      <c r="C58" s="81"/>
      <c r="D58" s="81"/>
      <c r="E58" s="81"/>
      <c r="F58" s="81"/>
      <c r="G58" s="81"/>
      <c r="H58" s="81"/>
      <c r="I58" s="81"/>
      <c r="J58" s="81"/>
      <c r="K58" s="81"/>
      <c r="L58" s="81"/>
      <c r="M58" s="81"/>
      <c r="N58" s="41"/>
      <c r="O58" s="41"/>
      <c r="P58" s="41"/>
      <c r="Q58" s="41"/>
      <c r="R58" s="41"/>
      <c r="S58" s="41"/>
      <c r="T58" s="41"/>
      <c r="U58" s="40"/>
      <c r="V58" s="40"/>
      <c r="W58" s="40"/>
      <c r="X58" s="40"/>
      <c r="Y58" s="40"/>
      <c r="Z58" s="40"/>
      <c r="AA58" s="753"/>
      <c r="AB58" s="753"/>
      <c r="AC58" s="753"/>
      <c r="AD58" s="753"/>
      <c r="AE58" s="753"/>
      <c r="AF58" s="753"/>
      <c r="AG58" s="753"/>
      <c r="AH58" s="753"/>
    </row>
    <row r="59" spans="1:47">
      <c r="A59" s="422" t="s">
        <v>339</v>
      </c>
      <c r="B59" s="17">
        <f>IF(B20/(B20+N20)*1000&gt;1000, "-", B20/(B20+N20)*1000)</f>
        <v>476.19047619047615</v>
      </c>
      <c r="C59" s="51">
        <f t="shared" ref="C59:G64" si="66">IF(C20/(C20+O20)*1000&gt;1000, "-", C20/(C20+O20)*1000)</f>
        <v>40</v>
      </c>
      <c r="D59" s="51">
        <f t="shared" si="66"/>
        <v>35.714285714285715</v>
      </c>
      <c r="E59" s="51">
        <f t="shared" si="66"/>
        <v>3.0647985989492121</v>
      </c>
      <c r="F59" s="51">
        <f t="shared" si="66"/>
        <v>0</v>
      </c>
      <c r="G59" s="420">
        <f t="shared" si="66"/>
        <v>13.872832369942197</v>
      </c>
      <c r="H59" s="51">
        <f>IF(H20/N20*1000&gt;1000, "-", H20/N20*1000)</f>
        <v>409.09090909090912</v>
      </c>
      <c r="I59" s="51">
        <f t="shared" ref="I59:M64" si="67">IF(I20/O20*1000&gt;1000, "-", I20/O20*1000)</f>
        <v>83.333333333333329</v>
      </c>
      <c r="J59" s="51">
        <f t="shared" si="67"/>
        <v>10.582010582010582</v>
      </c>
      <c r="K59" s="51">
        <f t="shared" si="67"/>
        <v>3.9525691699604741</v>
      </c>
      <c r="L59" s="51">
        <f t="shared" si="67"/>
        <v>66.666666666666671</v>
      </c>
      <c r="M59" s="51">
        <f t="shared" si="67"/>
        <v>10.550996483001173</v>
      </c>
      <c r="N59" s="41"/>
      <c r="O59" s="41"/>
      <c r="P59" s="41"/>
      <c r="Q59" s="41"/>
      <c r="R59" s="41"/>
      <c r="S59" s="41"/>
      <c r="T59" s="41"/>
      <c r="U59" s="40"/>
      <c r="V59" s="40"/>
      <c r="W59" s="40"/>
      <c r="X59" s="40"/>
      <c r="Y59" s="40"/>
      <c r="Z59" s="40"/>
      <c r="AA59" s="753"/>
      <c r="AB59" s="753"/>
      <c r="AC59" s="753"/>
      <c r="AD59" s="753"/>
      <c r="AE59" s="753"/>
      <c r="AF59" s="753"/>
      <c r="AG59" s="753"/>
      <c r="AH59" s="753"/>
    </row>
    <row r="60" spans="1:47">
      <c r="A60" s="49" t="s">
        <v>77</v>
      </c>
      <c r="B60" s="51">
        <f t="shared" ref="B60:B64" si="68">IF(B21/(B21+N21)*1000&gt;1000, "-", B21/(B21+N21)*1000)</f>
        <v>385.54216867469881</v>
      </c>
      <c r="C60" s="51">
        <f t="shared" si="66"/>
        <v>83.333333333333329</v>
      </c>
      <c r="D60" s="51">
        <f t="shared" si="66"/>
        <v>21.069692058346838</v>
      </c>
      <c r="E60" s="51">
        <f t="shared" si="66"/>
        <v>2.2106775726760253</v>
      </c>
      <c r="F60" s="51">
        <f t="shared" si="66"/>
        <v>0</v>
      </c>
      <c r="G60" s="420">
        <f t="shared" si="66"/>
        <v>7.2948935744978511</v>
      </c>
      <c r="H60" s="51">
        <f t="shared" ref="H60:H64" si="69">IF(H21/N21*1000&gt;1000, "-", H21/N21*1000)</f>
        <v>490.19607843137254</v>
      </c>
      <c r="I60" s="51">
        <f t="shared" si="67"/>
        <v>15.151515151515152</v>
      </c>
      <c r="J60" s="51">
        <f t="shared" si="67"/>
        <v>13.245033112582782</v>
      </c>
      <c r="K60" s="51">
        <f t="shared" si="67"/>
        <v>2.4371330453085189</v>
      </c>
      <c r="L60" s="51">
        <f t="shared" si="67"/>
        <v>0</v>
      </c>
      <c r="M60" s="51">
        <f t="shared" si="67"/>
        <v>6.1405274813770889</v>
      </c>
      <c r="N60" s="41"/>
      <c r="O60" s="41"/>
      <c r="P60" s="41"/>
      <c r="Q60" s="41"/>
      <c r="R60" s="41"/>
      <c r="S60" s="41"/>
      <c r="T60" s="41"/>
      <c r="U60" s="40"/>
      <c r="V60" s="40"/>
      <c r="W60" s="40"/>
      <c r="X60" s="40"/>
      <c r="Y60" s="40"/>
      <c r="Z60" s="40"/>
      <c r="AA60" s="753"/>
      <c r="AB60" s="753"/>
      <c r="AC60" s="753"/>
      <c r="AD60" s="753"/>
      <c r="AE60" s="753"/>
      <c r="AF60" s="753"/>
      <c r="AG60" s="753"/>
      <c r="AH60" s="753"/>
    </row>
    <row r="61" spans="1:47">
      <c r="A61" s="49" t="s">
        <v>78</v>
      </c>
      <c r="B61" s="51">
        <f t="shared" si="68"/>
        <v>500</v>
      </c>
      <c r="C61" s="51">
        <f t="shared" si="66"/>
        <v>86.956521739130437</v>
      </c>
      <c r="D61" s="51">
        <f t="shared" si="66"/>
        <v>8.0080080080080087</v>
      </c>
      <c r="E61" s="51">
        <f t="shared" si="66"/>
        <v>1.1827321111768185</v>
      </c>
      <c r="F61" s="51">
        <f t="shared" si="66"/>
        <v>0</v>
      </c>
      <c r="G61" s="420">
        <f t="shared" si="66"/>
        <v>6.1430190254666908</v>
      </c>
      <c r="H61" s="51">
        <f t="shared" si="69"/>
        <v>348.4848484848485</v>
      </c>
      <c r="I61" s="51">
        <f t="shared" si="67"/>
        <v>28.571428571428569</v>
      </c>
      <c r="J61" s="51">
        <f t="shared" si="67"/>
        <v>4.0363269424823409</v>
      </c>
      <c r="K61" s="51">
        <f t="shared" si="67"/>
        <v>1.3157029142819552</v>
      </c>
      <c r="L61" s="51">
        <f t="shared" si="67"/>
        <v>3.4013605442176869</v>
      </c>
      <c r="M61" s="51">
        <f t="shared" si="67"/>
        <v>3.1204992798847817</v>
      </c>
      <c r="N61" s="41"/>
      <c r="O61" s="41"/>
      <c r="P61" s="41"/>
      <c r="Q61" s="41"/>
      <c r="R61" s="41"/>
      <c r="S61" s="41"/>
      <c r="T61" s="41"/>
      <c r="U61" s="40"/>
      <c r="V61" s="40"/>
      <c r="W61" s="40"/>
      <c r="X61" s="40"/>
      <c r="Y61" s="40"/>
      <c r="Z61" s="40"/>
      <c r="AA61" s="753"/>
      <c r="AB61" s="753"/>
      <c r="AC61" s="753"/>
      <c r="AD61" s="753"/>
      <c r="AE61" s="753"/>
      <c r="AF61" s="753"/>
      <c r="AG61" s="753"/>
      <c r="AH61" s="753"/>
    </row>
    <row r="62" spans="1:47">
      <c r="A62" s="49" t="s">
        <v>79</v>
      </c>
      <c r="B62" s="51">
        <f t="shared" si="68"/>
        <v>512</v>
      </c>
      <c r="C62" s="51">
        <f t="shared" si="66"/>
        <v>76.923076923076934</v>
      </c>
      <c r="D62" s="51">
        <f t="shared" si="66"/>
        <v>15.915119363395226</v>
      </c>
      <c r="E62" s="51">
        <f t="shared" si="66"/>
        <v>1.2274241627213747</v>
      </c>
      <c r="F62" s="51">
        <f t="shared" si="66"/>
        <v>0</v>
      </c>
      <c r="G62" s="420">
        <f t="shared" si="66"/>
        <v>6.1056543668701879</v>
      </c>
      <c r="H62" s="51">
        <f t="shared" si="69"/>
        <v>442.6229508196721</v>
      </c>
      <c r="I62" s="51">
        <f t="shared" si="67"/>
        <v>15.151515151515152</v>
      </c>
      <c r="J62" s="51">
        <f t="shared" si="67"/>
        <v>5.3908355795148255</v>
      </c>
      <c r="K62" s="51">
        <f t="shared" si="67"/>
        <v>1.2289325842696628</v>
      </c>
      <c r="L62" s="51">
        <f t="shared" si="67"/>
        <v>0</v>
      </c>
      <c r="M62" s="51">
        <f t="shared" si="67"/>
        <v>3.1517094017094016</v>
      </c>
      <c r="N62" s="40"/>
      <c r="O62" s="40"/>
      <c r="P62" s="40"/>
      <c r="Q62" s="40"/>
      <c r="R62" s="40"/>
      <c r="S62" s="40"/>
      <c r="T62" s="40"/>
      <c r="U62" s="40"/>
      <c r="V62" s="40"/>
      <c r="W62" s="40"/>
      <c r="X62" s="40"/>
      <c r="Y62" s="40"/>
      <c r="Z62" s="40"/>
      <c r="AA62" s="753"/>
      <c r="AB62" s="753"/>
      <c r="AC62" s="753"/>
      <c r="AD62" s="753"/>
      <c r="AE62" s="753"/>
      <c r="AF62" s="753"/>
      <c r="AG62" s="753"/>
      <c r="AH62" s="753"/>
    </row>
    <row r="63" spans="1:47">
      <c r="A63" s="49" t="s">
        <v>80</v>
      </c>
      <c r="B63" s="51">
        <f t="shared" si="68"/>
        <v>456.79012345679007</v>
      </c>
      <c r="C63" s="51">
        <f t="shared" si="66"/>
        <v>102.56410256410255</v>
      </c>
      <c r="D63" s="51">
        <f t="shared" si="66"/>
        <v>13.00578034682081</v>
      </c>
      <c r="E63" s="51">
        <f t="shared" si="66"/>
        <v>1.6379122079056563</v>
      </c>
      <c r="F63" s="51">
        <f t="shared" si="66"/>
        <v>0</v>
      </c>
      <c r="G63" s="420">
        <f t="shared" si="66"/>
        <v>6.8796068796068797</v>
      </c>
      <c r="H63" s="51">
        <f t="shared" si="69"/>
        <v>136.36363636363635</v>
      </c>
      <c r="I63" s="51">
        <f t="shared" si="67"/>
        <v>57.142857142857139</v>
      </c>
      <c r="J63" s="51">
        <f t="shared" si="67"/>
        <v>1.4641288433382138</v>
      </c>
      <c r="K63" s="51">
        <f t="shared" si="67"/>
        <v>1.6405993656349118</v>
      </c>
      <c r="L63" s="51">
        <f t="shared" si="67"/>
        <v>0</v>
      </c>
      <c r="M63" s="51">
        <f t="shared" si="67"/>
        <v>2.5729836714497774</v>
      </c>
      <c r="N63" s="40"/>
      <c r="O63" s="40"/>
      <c r="P63" s="40"/>
      <c r="Q63" s="40"/>
      <c r="R63" s="40"/>
      <c r="S63" s="40"/>
      <c r="T63" s="40"/>
      <c r="U63" s="40"/>
      <c r="V63" s="40"/>
      <c r="W63" s="40"/>
      <c r="X63" s="40"/>
      <c r="Y63" s="40"/>
      <c r="Z63" s="40"/>
      <c r="AA63" s="753"/>
      <c r="AB63" s="753"/>
      <c r="AC63" s="753"/>
      <c r="AD63" s="753"/>
      <c r="AE63" s="753"/>
      <c r="AF63" s="753"/>
      <c r="AG63" s="753"/>
      <c r="AH63" s="753"/>
    </row>
    <row r="64" spans="1:47">
      <c r="A64" s="49" t="s">
        <v>81</v>
      </c>
      <c r="B64" s="51">
        <f t="shared" si="68"/>
        <v>333.33333333333331</v>
      </c>
      <c r="C64" s="51">
        <f t="shared" si="66"/>
        <v>90.909090909090907</v>
      </c>
      <c r="D64" s="51">
        <f t="shared" si="66"/>
        <v>4.2553191489361701</v>
      </c>
      <c r="E64" s="51">
        <f t="shared" si="66"/>
        <v>2.3062730627306274</v>
      </c>
      <c r="F64" s="51">
        <f t="shared" si="66"/>
        <v>0</v>
      </c>
      <c r="G64" s="420">
        <f t="shared" si="66"/>
        <v>6.4777327935222671</v>
      </c>
      <c r="H64" s="51">
        <f t="shared" si="69"/>
        <v>375</v>
      </c>
      <c r="I64" s="51">
        <f t="shared" si="67"/>
        <v>100</v>
      </c>
      <c r="J64" s="51">
        <f t="shared" si="67"/>
        <v>8.5470085470085486</v>
      </c>
      <c r="K64" s="51">
        <f t="shared" si="67"/>
        <v>1.8492834026814609</v>
      </c>
      <c r="L64" s="51">
        <f t="shared" si="67"/>
        <v>0</v>
      </c>
      <c r="M64" s="51">
        <f t="shared" si="67"/>
        <v>6.1124694376528126</v>
      </c>
      <c r="N64" s="40"/>
      <c r="O64" s="40"/>
      <c r="P64" s="40"/>
      <c r="Q64" s="40"/>
      <c r="R64" s="40"/>
      <c r="S64" s="40"/>
      <c r="T64" s="40"/>
      <c r="U64" s="40"/>
      <c r="V64" s="40"/>
      <c r="W64" s="40"/>
      <c r="X64" s="40"/>
      <c r="Y64" s="40"/>
      <c r="Z64" s="40"/>
      <c r="AA64" s="753"/>
      <c r="AB64" s="753"/>
      <c r="AC64" s="753"/>
      <c r="AD64" s="753"/>
      <c r="AE64" s="753"/>
      <c r="AF64" s="753"/>
      <c r="AG64" s="753"/>
      <c r="AH64" s="753"/>
    </row>
    <row r="65" spans="1:47">
      <c r="A65" s="80" t="s">
        <v>82</v>
      </c>
      <c r="B65" s="22"/>
      <c r="C65" s="81"/>
      <c r="D65" s="81"/>
      <c r="E65" s="81"/>
      <c r="F65" s="81"/>
      <c r="G65" s="81"/>
      <c r="H65" s="81"/>
      <c r="I65" s="81"/>
      <c r="J65" s="81"/>
      <c r="K65" s="81"/>
      <c r="L65" s="81"/>
      <c r="M65" s="81"/>
      <c r="N65" s="40"/>
      <c r="O65" s="40"/>
      <c r="P65" s="40"/>
      <c r="Q65" s="40"/>
      <c r="R65" s="40"/>
      <c r="S65" s="40"/>
      <c r="T65" s="40"/>
      <c r="U65" s="40"/>
      <c r="V65" s="40"/>
      <c r="W65" s="40"/>
      <c r="X65" s="40"/>
      <c r="Y65" s="40"/>
      <c r="Z65" s="40"/>
      <c r="AA65" s="753"/>
      <c r="AB65" s="753"/>
      <c r="AC65" s="753"/>
      <c r="AD65" s="753"/>
      <c r="AE65" s="753"/>
      <c r="AF65" s="753"/>
      <c r="AG65" s="753"/>
      <c r="AH65" s="753"/>
    </row>
    <row r="66" spans="1:47">
      <c r="A66" s="49" t="s">
        <v>83</v>
      </c>
      <c r="B66" s="17">
        <f>IF(B28/(B28+N28)*1000&gt;1000, "-", B28/(B28+N28)*1000)</f>
        <v>437.5</v>
      </c>
      <c r="C66" s="51">
        <f t="shared" ref="C66:G70" si="70">IF(C28/(C28+O28)*1000&gt;1000, "-", C28/(C28+O28)*1000)</f>
        <v>62.5</v>
      </c>
      <c r="D66" s="51">
        <f t="shared" si="70"/>
        <v>3.4722222222222219</v>
      </c>
      <c r="E66" s="51">
        <f t="shared" si="70"/>
        <v>1.0732172668733604</v>
      </c>
      <c r="F66" s="51">
        <f t="shared" si="70"/>
        <v>0</v>
      </c>
      <c r="G66" s="420">
        <f t="shared" si="70"/>
        <v>4.6551910793547684</v>
      </c>
      <c r="H66" s="51">
        <f>IF(H28/N28*1000&gt;1000, "-", H28/N28*1000)</f>
        <v>250</v>
      </c>
      <c r="I66" s="51">
        <f t="shared" ref="I66:M70" si="71">IF(I28/O28*1000&gt;1000, "-", I28/O28*1000)</f>
        <v>33.333333333333336</v>
      </c>
      <c r="J66" s="51">
        <f t="shared" si="71"/>
        <v>1.7421602787456445</v>
      </c>
      <c r="K66" s="51">
        <f t="shared" si="71"/>
        <v>1.193744777366599</v>
      </c>
      <c r="L66" s="51">
        <f t="shared" si="71"/>
        <v>6.9444444444444438</v>
      </c>
      <c r="M66" s="51">
        <f t="shared" si="71"/>
        <v>2.6103980857080704</v>
      </c>
      <c r="N66" s="40"/>
      <c r="O66" s="40"/>
      <c r="P66" s="40"/>
      <c r="Q66" s="40"/>
      <c r="R66" s="40"/>
      <c r="S66" s="40"/>
      <c r="T66" s="40"/>
      <c r="U66" s="40"/>
      <c r="V66" s="40"/>
      <c r="W66" s="40"/>
      <c r="X66" s="40"/>
      <c r="Y66" s="40"/>
      <c r="Z66" s="40"/>
      <c r="AA66" s="753"/>
      <c r="AB66" s="753"/>
      <c r="AC66" s="753"/>
      <c r="AD66" s="753"/>
      <c r="AE66" s="753"/>
      <c r="AF66" s="753"/>
      <c r="AG66" s="753"/>
      <c r="AH66" s="753"/>
    </row>
    <row r="67" spans="1:47">
      <c r="A67" s="13">
        <v>2</v>
      </c>
      <c r="B67" s="51">
        <f t="shared" ref="B67:B70" si="72">IF(B29/(B29+N29)*1000&gt;1000, "-", B29/(B29+N29)*1000)</f>
        <v>565.21739130434776</v>
      </c>
      <c r="C67" s="51">
        <f t="shared" si="70"/>
        <v>84.507042253521121</v>
      </c>
      <c r="D67" s="51">
        <f t="shared" si="70"/>
        <v>10.238907849829351</v>
      </c>
      <c r="E67" s="51">
        <f t="shared" si="70"/>
        <v>1.3986013986013985</v>
      </c>
      <c r="F67" s="51">
        <f t="shared" si="70"/>
        <v>0</v>
      </c>
      <c r="G67" s="420">
        <f t="shared" si="70"/>
        <v>6.2825169333464217</v>
      </c>
      <c r="H67" s="51">
        <f t="shared" ref="H67:H70" si="73">IF(H29/N29*1000&gt;1000, "-", H29/N29*1000)</f>
        <v>300</v>
      </c>
      <c r="I67" s="51">
        <f t="shared" si="71"/>
        <v>0</v>
      </c>
      <c r="J67" s="51">
        <f t="shared" si="71"/>
        <v>3.4482758620689653</v>
      </c>
      <c r="K67" s="51">
        <f t="shared" si="71"/>
        <v>1.185089420383538</v>
      </c>
      <c r="L67" s="51">
        <f t="shared" si="71"/>
        <v>0</v>
      </c>
      <c r="M67" s="51">
        <f t="shared" si="71"/>
        <v>2.3708386841845304</v>
      </c>
      <c r="N67" s="40"/>
      <c r="O67" s="40"/>
      <c r="P67" s="40"/>
      <c r="Q67" s="40"/>
      <c r="R67" s="40"/>
      <c r="S67" s="40"/>
      <c r="T67" s="40"/>
      <c r="U67" s="40"/>
      <c r="V67" s="40"/>
      <c r="W67" s="40"/>
      <c r="X67" s="40"/>
      <c r="Y67" s="40"/>
      <c r="Z67" s="40"/>
      <c r="AA67" s="753"/>
      <c r="AB67" s="753"/>
      <c r="AC67" s="753"/>
      <c r="AD67" s="753"/>
      <c r="AE67" s="753"/>
      <c r="AF67" s="753"/>
      <c r="AG67" s="753"/>
      <c r="AH67" s="753"/>
    </row>
    <row r="68" spans="1:47">
      <c r="A68" s="13">
        <v>3</v>
      </c>
      <c r="B68" s="51">
        <f t="shared" si="72"/>
        <v>428.57142857142856</v>
      </c>
      <c r="C68" s="51">
        <f t="shared" si="70"/>
        <v>62.5</v>
      </c>
      <c r="D68" s="51">
        <f t="shared" si="70"/>
        <v>20.289855072463766</v>
      </c>
      <c r="E68" s="51">
        <f t="shared" si="70"/>
        <v>1.5996800639872024</v>
      </c>
      <c r="F68" s="51">
        <f t="shared" si="70"/>
        <v>0</v>
      </c>
      <c r="G68" s="420">
        <f t="shared" si="70"/>
        <v>6.1599782589002627</v>
      </c>
      <c r="H68" s="51">
        <f t="shared" si="73"/>
        <v>386.36363636363637</v>
      </c>
      <c r="I68" s="51">
        <f t="shared" si="71"/>
        <v>40</v>
      </c>
      <c r="J68" s="51">
        <f t="shared" si="71"/>
        <v>1.4792899408284024</v>
      </c>
      <c r="K68" s="51">
        <f t="shared" si="71"/>
        <v>1.001401962747847</v>
      </c>
      <c r="L68" s="51">
        <f t="shared" si="71"/>
        <v>5.5248618784530388</v>
      </c>
      <c r="M68" s="51">
        <f t="shared" si="71"/>
        <v>2.9167806034089874</v>
      </c>
      <c r="N68" s="40"/>
      <c r="O68" s="40"/>
      <c r="P68" s="40"/>
      <c r="Q68" s="40"/>
      <c r="R68" s="40"/>
      <c r="S68" s="40"/>
      <c r="T68" s="40"/>
      <c r="U68" s="40"/>
      <c r="V68" s="40"/>
      <c r="W68" s="40"/>
      <c r="X68" s="40"/>
      <c r="Y68" s="40"/>
      <c r="Z68" s="40"/>
      <c r="AA68" s="753"/>
      <c r="AB68" s="753"/>
      <c r="AC68" s="753"/>
      <c r="AD68" s="753"/>
      <c r="AE68" s="753"/>
      <c r="AF68" s="753"/>
      <c r="AG68" s="753"/>
      <c r="AH68" s="753"/>
    </row>
    <row r="69" spans="1:47">
      <c r="A69" s="13">
        <v>4</v>
      </c>
      <c r="B69" s="51">
        <f t="shared" si="72"/>
        <v>429.82456140350877</v>
      </c>
      <c r="C69" s="51">
        <f t="shared" si="70"/>
        <v>76.923076923076934</v>
      </c>
      <c r="D69" s="51">
        <f t="shared" si="70"/>
        <v>13.002364066193854</v>
      </c>
      <c r="E69" s="51">
        <f t="shared" si="70"/>
        <v>1.5105740181268883</v>
      </c>
      <c r="F69" s="51">
        <f t="shared" si="70"/>
        <v>0</v>
      </c>
      <c r="G69" s="420">
        <f t="shared" si="70"/>
        <v>6.8073519400953026</v>
      </c>
      <c r="H69" s="51">
        <f t="shared" si="73"/>
        <v>338.46153846153845</v>
      </c>
      <c r="I69" s="51">
        <f t="shared" si="71"/>
        <v>31.25</v>
      </c>
      <c r="J69" s="51">
        <f t="shared" si="71"/>
        <v>4.7904191616766463</v>
      </c>
      <c r="K69" s="51">
        <f t="shared" si="71"/>
        <v>1.7650025214321734</v>
      </c>
      <c r="L69" s="51">
        <f t="shared" si="71"/>
        <v>0</v>
      </c>
      <c r="M69" s="51">
        <f t="shared" si="71"/>
        <v>3.9600944330210957</v>
      </c>
      <c r="N69" s="40"/>
      <c r="O69" s="40"/>
      <c r="P69" s="40"/>
      <c r="Q69" s="40"/>
      <c r="R69" s="40"/>
      <c r="S69" s="40"/>
      <c r="T69" s="40"/>
      <c r="U69" s="40"/>
      <c r="V69" s="40"/>
      <c r="W69" s="40"/>
      <c r="X69" s="40"/>
      <c r="Y69" s="40"/>
      <c r="Z69" s="40"/>
      <c r="AA69" s="753"/>
      <c r="AB69" s="753"/>
      <c r="AC69" s="753"/>
      <c r="AD69" s="753"/>
      <c r="AE69" s="753"/>
      <c r="AF69" s="753"/>
      <c r="AG69" s="753"/>
      <c r="AH69" s="753"/>
    </row>
    <row r="70" spans="1:47">
      <c r="A70" s="49" t="s">
        <v>84</v>
      </c>
      <c r="B70" s="51">
        <f t="shared" si="72"/>
        <v>432.43243243243245</v>
      </c>
      <c r="C70" s="51">
        <f t="shared" si="70"/>
        <v>90.225563909774436</v>
      </c>
      <c r="D70" s="51">
        <f t="shared" si="70"/>
        <v>18.134715025906733</v>
      </c>
      <c r="E70" s="51">
        <f t="shared" si="70"/>
        <v>1.7680571016960251</v>
      </c>
      <c r="F70" s="51">
        <f t="shared" si="70"/>
        <v>0</v>
      </c>
      <c r="G70" s="420">
        <f t="shared" si="70"/>
        <v>7.4065365624265223</v>
      </c>
      <c r="H70" s="51">
        <f t="shared" si="73"/>
        <v>452.38095238095241</v>
      </c>
      <c r="I70" s="51">
        <f t="shared" si="71"/>
        <v>49.586776859504134</v>
      </c>
      <c r="J70" s="51">
        <f t="shared" si="71"/>
        <v>13.192612137203167</v>
      </c>
      <c r="K70" s="51">
        <f t="shared" si="71"/>
        <v>2.5583836263447917</v>
      </c>
      <c r="L70" s="51">
        <f t="shared" si="71"/>
        <v>6.8965517241379306</v>
      </c>
      <c r="M70" s="51">
        <f t="shared" si="71"/>
        <v>6.3366102096411225</v>
      </c>
      <c r="N70" s="40"/>
      <c r="O70" s="40"/>
      <c r="P70" s="40"/>
      <c r="Q70" s="40"/>
      <c r="R70" s="40"/>
      <c r="S70" s="40"/>
      <c r="T70" s="40"/>
      <c r="U70" s="40"/>
      <c r="V70" s="40"/>
      <c r="W70" s="40"/>
      <c r="X70" s="40"/>
      <c r="Y70" s="40"/>
      <c r="Z70" s="40"/>
      <c r="AA70" s="753"/>
      <c r="AB70" s="753"/>
      <c r="AC70" s="753"/>
      <c r="AD70" s="753"/>
      <c r="AE70" s="753"/>
      <c r="AF70" s="753"/>
      <c r="AG70" s="753"/>
      <c r="AH70" s="753"/>
    </row>
    <row r="71" spans="1:47">
      <c r="A71" s="80" t="s">
        <v>1</v>
      </c>
      <c r="B71" s="22"/>
      <c r="C71" s="81"/>
      <c r="D71" s="81"/>
      <c r="E71" s="81"/>
      <c r="F71" s="81"/>
      <c r="G71" s="81"/>
      <c r="H71" s="81"/>
      <c r="I71" s="81"/>
      <c r="J71" s="81"/>
      <c r="K71" s="81"/>
      <c r="L71" s="81"/>
      <c r="M71" s="81"/>
      <c r="N71" s="40"/>
      <c r="O71" s="40"/>
      <c r="P71" s="40"/>
      <c r="Q71" s="40"/>
      <c r="R71" s="40"/>
      <c r="S71" s="40"/>
      <c r="T71" s="40"/>
      <c r="U71" s="40"/>
      <c r="V71" s="40"/>
      <c r="W71" s="40"/>
      <c r="X71" s="40"/>
      <c r="Y71" s="40"/>
      <c r="Z71" s="40"/>
      <c r="AA71" s="753"/>
      <c r="AB71" s="753"/>
      <c r="AC71" s="753"/>
      <c r="AD71" s="753"/>
      <c r="AE71" s="753"/>
      <c r="AF71" s="753"/>
      <c r="AG71" s="753"/>
      <c r="AH71" s="753"/>
    </row>
    <row r="72" spans="1:47">
      <c r="A72" s="404" t="s">
        <v>378</v>
      </c>
      <c r="B72" s="418">
        <f>IFERROR(IF(B35/(B35+N35)*1000&gt;1000, "-", B35/(B35+N35)*1000),"-")</f>
        <v>750</v>
      </c>
      <c r="C72" s="418">
        <f t="shared" ref="C72:G77" si="74">IFERROR(IF(C35/(C35+O35)*1000&gt;1000, "-", C35/(C35+O35)*1000),"-")</f>
        <v>1000</v>
      </c>
      <c r="D72" s="418">
        <f t="shared" si="74"/>
        <v>750</v>
      </c>
      <c r="E72" s="418">
        <f t="shared" si="74"/>
        <v>421.05263157894734</v>
      </c>
      <c r="F72" s="418" t="str">
        <f t="shared" si="74"/>
        <v>-</v>
      </c>
      <c r="G72" s="420">
        <f t="shared" si="74"/>
        <v>726.80412371134014</v>
      </c>
      <c r="H72" s="419">
        <f>IFERROR(IF(H35/N35*1000&gt;1000, "-", H35/N35*1000),"-")</f>
        <v>878.04878048780483</v>
      </c>
      <c r="I72" s="419" t="str">
        <f t="shared" ref="I72:M77" si="75">IFERROR(IF(I35/O35*1000&gt;1000, "-", I35/O35*1000),"-")</f>
        <v>-</v>
      </c>
      <c r="J72" s="419">
        <f t="shared" si="75"/>
        <v>0</v>
      </c>
      <c r="K72" s="419">
        <f t="shared" si="75"/>
        <v>0</v>
      </c>
      <c r="L72" s="419" t="str">
        <f t="shared" si="75"/>
        <v>-</v>
      </c>
      <c r="M72" s="419">
        <f t="shared" si="75"/>
        <v>698.11320754716974</v>
      </c>
      <c r="N72" s="40"/>
      <c r="O72" s="40"/>
      <c r="P72" s="40"/>
      <c r="Q72" s="40"/>
      <c r="R72" s="40"/>
      <c r="S72" s="40"/>
      <c r="T72" s="40"/>
      <c r="U72" s="40"/>
      <c r="V72" s="40"/>
      <c r="W72" s="40"/>
      <c r="X72" s="40"/>
      <c r="Y72" s="40"/>
      <c r="Z72" s="40"/>
      <c r="AA72" s="753"/>
      <c r="AB72" s="753"/>
      <c r="AC72" s="753"/>
      <c r="AD72" s="753"/>
      <c r="AE72" s="753"/>
      <c r="AF72" s="753"/>
      <c r="AG72" s="753"/>
      <c r="AH72" s="753"/>
    </row>
    <row r="73" spans="1:47" s="400" customFormat="1">
      <c r="A73" s="404" t="s">
        <v>386</v>
      </c>
      <c r="B73" s="418">
        <f t="shared" ref="B73:B77" si="76">IFERROR(IF(B36/(B36+N36)*1000&gt;1000, "-", B36/(B36+N36)*1000),"-")</f>
        <v>351.23966942148758</v>
      </c>
      <c r="C73" s="418">
        <f t="shared" si="74"/>
        <v>229.16666666666666</v>
      </c>
      <c r="D73" s="418">
        <f t="shared" si="74"/>
        <v>1000</v>
      </c>
      <c r="E73" s="418">
        <f t="shared" si="74"/>
        <v>0</v>
      </c>
      <c r="F73" s="418" t="str">
        <f t="shared" si="74"/>
        <v>-</v>
      </c>
      <c r="G73" s="420">
        <f t="shared" si="74"/>
        <v>331.05802047781566</v>
      </c>
      <c r="H73" s="419">
        <f t="shared" ref="H73:H77" si="77">IFERROR(IF(H36/N36*1000&gt;1000, "-", H36/N36*1000),"-")</f>
        <v>350.31847133757958</v>
      </c>
      <c r="I73" s="419">
        <f t="shared" si="75"/>
        <v>27.027027027027028</v>
      </c>
      <c r="J73" s="419" t="str">
        <f t="shared" si="75"/>
        <v>-</v>
      </c>
      <c r="K73" s="419">
        <f t="shared" si="75"/>
        <v>0</v>
      </c>
      <c r="L73" s="419" t="str">
        <f t="shared" si="75"/>
        <v>-</v>
      </c>
      <c r="M73" s="419">
        <f t="shared" si="75"/>
        <v>290.81632653061223</v>
      </c>
      <c r="N73" s="40"/>
      <c r="O73" s="40"/>
      <c r="P73" s="40"/>
      <c r="Q73" s="40"/>
      <c r="R73" s="40"/>
      <c r="S73" s="40"/>
      <c r="T73" s="40"/>
      <c r="U73" s="40"/>
      <c r="V73" s="40"/>
      <c r="W73" s="40"/>
      <c r="X73" s="40"/>
      <c r="Y73" s="40"/>
      <c r="Z73" s="40"/>
      <c r="AA73" s="753"/>
      <c r="AB73" s="753"/>
      <c r="AC73" s="753"/>
      <c r="AD73" s="753"/>
      <c r="AE73" s="753"/>
      <c r="AF73" s="753"/>
      <c r="AG73" s="753"/>
      <c r="AH73" s="753"/>
      <c r="AI73" s="289"/>
      <c r="AJ73" s="289"/>
      <c r="AK73" s="289"/>
      <c r="AL73" s="289"/>
      <c r="AM73" s="289"/>
      <c r="AN73" s="289"/>
      <c r="AO73" s="289"/>
      <c r="AP73" s="289"/>
      <c r="AQ73" s="289"/>
      <c r="AR73" s="289"/>
      <c r="AS73" s="289"/>
      <c r="AT73" s="245"/>
      <c r="AU73" s="245"/>
    </row>
    <row r="74" spans="1:47" s="397" customFormat="1">
      <c r="A74" s="404" t="s">
        <v>387</v>
      </c>
      <c r="B74" s="418">
        <f t="shared" si="76"/>
        <v>111.1111111111111</v>
      </c>
      <c r="C74" s="418">
        <f t="shared" si="74"/>
        <v>57.142857142857139</v>
      </c>
      <c r="D74" s="418">
        <f t="shared" si="74"/>
        <v>76.923076923076934</v>
      </c>
      <c r="E74" s="418">
        <f t="shared" si="74"/>
        <v>166.66666666666666</v>
      </c>
      <c r="F74" s="418" t="str">
        <f t="shared" si="74"/>
        <v>-</v>
      </c>
      <c r="G74" s="420">
        <f t="shared" si="74"/>
        <v>75.41899441340783</v>
      </c>
      <c r="H74" s="419">
        <f t="shared" si="77"/>
        <v>53.571428571428569</v>
      </c>
      <c r="I74" s="419">
        <f t="shared" si="75"/>
        <v>25.252525252525253</v>
      </c>
      <c r="J74" s="419">
        <f t="shared" si="75"/>
        <v>0</v>
      </c>
      <c r="K74" s="419">
        <f t="shared" si="75"/>
        <v>0</v>
      </c>
      <c r="L74" s="419" t="str">
        <f t="shared" si="75"/>
        <v>-</v>
      </c>
      <c r="M74" s="419">
        <f t="shared" si="75"/>
        <v>24.169184290030213</v>
      </c>
      <c r="N74" s="40"/>
      <c r="O74" s="40"/>
      <c r="P74" s="40"/>
      <c r="Q74" s="40"/>
      <c r="R74" s="40"/>
      <c r="S74" s="40"/>
      <c r="T74" s="40"/>
      <c r="U74" s="40"/>
      <c r="V74" s="40"/>
      <c r="W74" s="40"/>
      <c r="X74" s="40"/>
      <c r="Y74" s="40"/>
      <c r="Z74" s="40"/>
      <c r="AA74" s="753"/>
      <c r="AB74" s="753"/>
      <c r="AC74" s="753"/>
      <c r="AD74" s="753"/>
      <c r="AE74" s="753"/>
      <c r="AF74" s="753"/>
      <c r="AG74" s="753"/>
      <c r="AH74" s="753"/>
      <c r="AI74" s="289"/>
      <c r="AJ74" s="289"/>
      <c r="AK74" s="289"/>
      <c r="AL74" s="289"/>
      <c r="AM74" s="289"/>
      <c r="AN74" s="289"/>
      <c r="AO74" s="289"/>
      <c r="AP74" s="289"/>
      <c r="AQ74" s="289"/>
      <c r="AR74" s="289"/>
      <c r="AS74" s="289"/>
      <c r="AT74" s="245"/>
      <c r="AU74" s="245"/>
    </row>
    <row r="75" spans="1:47">
      <c r="A75" s="464" t="s">
        <v>396</v>
      </c>
      <c r="B75" s="418">
        <f t="shared" si="76"/>
        <v>0</v>
      </c>
      <c r="C75" s="418">
        <f t="shared" si="74"/>
        <v>45.714285714285715</v>
      </c>
      <c r="D75" s="418">
        <f t="shared" si="74"/>
        <v>16.496018202502846</v>
      </c>
      <c r="E75" s="418">
        <f t="shared" si="74"/>
        <v>7.2992700729927007</v>
      </c>
      <c r="F75" s="418">
        <f t="shared" si="74"/>
        <v>0</v>
      </c>
      <c r="G75" s="420">
        <f t="shared" si="74"/>
        <v>14.822134387351777</v>
      </c>
      <c r="H75" s="419">
        <f t="shared" si="77"/>
        <v>333.33333333333331</v>
      </c>
      <c r="I75" s="419">
        <f t="shared" si="75"/>
        <v>47.904191616766468</v>
      </c>
      <c r="J75" s="419">
        <f t="shared" si="75"/>
        <v>7.518796992481203</v>
      </c>
      <c r="K75" s="419">
        <f t="shared" si="75"/>
        <v>10.11029411764706</v>
      </c>
      <c r="L75" s="419">
        <f t="shared" si="75"/>
        <v>333.33333333333331</v>
      </c>
      <c r="M75" s="419">
        <f t="shared" si="75"/>
        <v>11.70177198261451</v>
      </c>
      <c r="N75" s="40"/>
      <c r="O75" s="40"/>
      <c r="P75" s="40"/>
      <c r="Q75" s="40"/>
      <c r="R75" s="40"/>
      <c r="S75" s="40"/>
      <c r="T75" s="40"/>
      <c r="U75" s="40"/>
      <c r="V75" s="40"/>
      <c r="W75" s="40"/>
      <c r="X75" s="40"/>
      <c r="Y75" s="40"/>
      <c r="Z75" s="40"/>
      <c r="AA75" s="753"/>
      <c r="AB75" s="753"/>
      <c r="AC75" s="753"/>
      <c r="AD75" s="753"/>
      <c r="AE75" s="753"/>
      <c r="AF75" s="753"/>
      <c r="AG75" s="753"/>
      <c r="AH75" s="753"/>
    </row>
    <row r="76" spans="1:47">
      <c r="A76" s="407" t="s">
        <v>388</v>
      </c>
      <c r="B76" s="418">
        <f t="shared" si="76"/>
        <v>333.33333333333331</v>
      </c>
      <c r="C76" s="418">
        <f t="shared" si="74"/>
        <v>0</v>
      </c>
      <c r="D76" s="418">
        <f t="shared" si="74"/>
        <v>7.9168728352300848</v>
      </c>
      <c r="E76" s="418">
        <f t="shared" si="74"/>
        <v>1.2002972164535981</v>
      </c>
      <c r="F76" s="418">
        <f t="shared" si="74"/>
        <v>0</v>
      </c>
      <c r="G76" s="420">
        <f t="shared" si="74"/>
        <v>1.4597750865051904</v>
      </c>
      <c r="H76" s="419">
        <f t="shared" si="77"/>
        <v>0</v>
      </c>
      <c r="I76" s="419">
        <f t="shared" si="75"/>
        <v>0</v>
      </c>
      <c r="J76" s="419">
        <f t="shared" si="75"/>
        <v>4.9875311720698257</v>
      </c>
      <c r="K76" s="419">
        <f t="shared" si="75"/>
        <v>1.5260186174271324</v>
      </c>
      <c r="L76" s="419">
        <f t="shared" si="75"/>
        <v>3.1779661016949157</v>
      </c>
      <c r="M76" s="419">
        <f t="shared" si="75"/>
        <v>1.7145847997545438</v>
      </c>
      <c r="N76" s="40"/>
      <c r="O76" s="40"/>
      <c r="P76" s="40"/>
      <c r="Q76" s="40"/>
      <c r="R76" s="40"/>
      <c r="S76" s="40"/>
      <c r="T76" s="40"/>
      <c r="U76" s="40"/>
      <c r="V76" s="40"/>
      <c r="W76" s="40"/>
      <c r="X76" s="40"/>
      <c r="Y76" s="40"/>
      <c r="Z76" s="40"/>
      <c r="AA76" s="753"/>
      <c r="AB76" s="753"/>
      <c r="AC76" s="753"/>
      <c r="AD76" s="753"/>
      <c r="AE76" s="753"/>
      <c r="AF76" s="753"/>
      <c r="AG76" s="753"/>
      <c r="AH76" s="753"/>
    </row>
    <row r="77" spans="1:47">
      <c r="A77" s="408" t="s">
        <v>383</v>
      </c>
      <c r="B77" s="418" t="str">
        <f t="shared" si="76"/>
        <v>-</v>
      </c>
      <c r="C77" s="418" t="str">
        <f t="shared" si="74"/>
        <v>-</v>
      </c>
      <c r="D77" s="418">
        <f t="shared" si="74"/>
        <v>0</v>
      </c>
      <c r="E77" s="418">
        <f t="shared" si="74"/>
        <v>2.9585798816568047</v>
      </c>
      <c r="F77" s="418">
        <f t="shared" si="74"/>
        <v>0</v>
      </c>
      <c r="G77" s="420">
        <f t="shared" si="74"/>
        <v>2.8030833917309037</v>
      </c>
      <c r="H77" s="419" t="str">
        <f t="shared" si="77"/>
        <v>-</v>
      </c>
      <c r="I77" s="419" t="str">
        <f t="shared" si="75"/>
        <v>-</v>
      </c>
      <c r="J77" s="419">
        <f t="shared" si="75"/>
        <v>0</v>
      </c>
      <c r="K77" s="419">
        <f t="shared" si="75"/>
        <v>0</v>
      </c>
      <c r="L77" s="419">
        <f t="shared" si="75"/>
        <v>0</v>
      </c>
      <c r="M77" s="419">
        <f t="shared" si="75"/>
        <v>0</v>
      </c>
      <c r="N77" s="40"/>
      <c r="O77" s="40"/>
      <c r="P77" s="40"/>
      <c r="Q77" s="40"/>
      <c r="R77" s="40"/>
      <c r="S77" s="40"/>
      <c r="T77" s="40"/>
      <c r="U77" s="40"/>
      <c r="V77" s="40"/>
      <c r="W77" s="40"/>
      <c r="X77" s="40"/>
      <c r="Y77" s="40"/>
      <c r="Z77" s="40"/>
      <c r="AA77" s="753"/>
      <c r="AB77" s="753"/>
      <c r="AC77" s="753"/>
      <c r="AD77" s="753"/>
      <c r="AE77" s="753"/>
      <c r="AF77" s="753"/>
      <c r="AG77" s="753"/>
      <c r="AH77" s="753"/>
    </row>
    <row r="78" spans="1:47">
      <c r="A78" s="273" t="s">
        <v>344</v>
      </c>
      <c r="B78" s="421"/>
      <c r="C78" s="421"/>
      <c r="D78" s="421"/>
      <c r="E78" s="421"/>
      <c r="F78" s="421"/>
      <c r="G78" s="421"/>
      <c r="H78" s="421"/>
      <c r="I78" s="421"/>
      <c r="J78" s="421"/>
      <c r="K78" s="421"/>
      <c r="L78" s="421"/>
      <c r="M78" s="421"/>
    </row>
    <row r="79" spans="1:47">
      <c r="A79" s="327" t="s">
        <v>343</v>
      </c>
    </row>
    <row r="80" spans="1:47" ht="25.5" customHeight="1">
      <c r="A80" s="903" t="s">
        <v>631</v>
      </c>
      <c r="B80" s="903"/>
      <c r="C80" s="903"/>
      <c r="D80" s="903"/>
      <c r="E80" s="903"/>
      <c r="F80" s="903"/>
      <c r="G80" s="903"/>
      <c r="H80" s="903"/>
      <c r="I80" s="903"/>
      <c r="J80" s="903"/>
      <c r="K80" s="903"/>
      <c r="L80" s="903"/>
      <c r="M80" s="903"/>
    </row>
    <row r="81" spans="1:19">
      <c r="A81" s="167"/>
      <c r="B81" s="167"/>
      <c r="D81" s="167"/>
      <c r="E81" s="167"/>
      <c r="F81" s="167"/>
      <c r="G81" s="167"/>
      <c r="H81" s="167"/>
      <c r="J81" s="167"/>
      <c r="K81" s="167"/>
      <c r="L81" s="167"/>
      <c r="M81" s="167"/>
      <c r="N81" s="167"/>
      <c r="P81" s="167"/>
      <c r="Q81" s="167"/>
      <c r="R81" s="167"/>
      <c r="S81" s="167"/>
    </row>
    <row r="82" spans="1:19">
      <c r="A82" s="167"/>
      <c r="B82" s="167"/>
      <c r="D82" s="167"/>
      <c r="E82" s="167"/>
      <c r="F82" s="167"/>
      <c r="G82" s="167"/>
      <c r="H82" s="167"/>
      <c r="J82" s="167"/>
      <c r="K82" s="167"/>
      <c r="L82" s="167"/>
      <c r="M82" s="167"/>
      <c r="N82" s="167"/>
      <c r="P82" s="167"/>
      <c r="Q82" s="167"/>
      <c r="R82" s="167"/>
      <c r="S82" s="167"/>
    </row>
    <row r="83" spans="1:19">
      <c r="A83" s="167"/>
      <c r="B83" s="167"/>
      <c r="D83" s="167"/>
      <c r="E83" s="167"/>
      <c r="F83" s="167"/>
      <c r="G83" s="167"/>
      <c r="H83" s="167"/>
      <c r="J83" s="167"/>
      <c r="K83" s="167"/>
      <c r="L83" s="167"/>
      <c r="M83" s="167"/>
      <c r="N83" s="167"/>
      <c r="P83" s="167"/>
      <c r="Q83" s="167"/>
      <c r="R83" s="167"/>
      <c r="S83" s="167"/>
    </row>
    <row r="84" spans="1:19">
      <c r="A84" s="167"/>
      <c r="B84" s="167"/>
      <c r="D84" s="167"/>
      <c r="E84" s="167"/>
      <c r="F84" s="167"/>
      <c r="G84" s="167"/>
      <c r="H84" s="167"/>
      <c r="J84" s="167"/>
      <c r="K84" s="167"/>
      <c r="L84" s="167"/>
      <c r="M84" s="167"/>
      <c r="N84" s="167"/>
      <c r="P84" s="167"/>
      <c r="Q84" s="167"/>
      <c r="R84" s="167"/>
      <c r="S84" s="167"/>
    </row>
    <row r="85" spans="1:19">
      <c r="A85" s="167"/>
      <c r="B85" s="167"/>
      <c r="D85" s="167"/>
      <c r="E85" s="167"/>
      <c r="F85" s="167"/>
      <c r="G85" s="167"/>
      <c r="H85" s="167"/>
      <c r="J85" s="167"/>
      <c r="K85" s="167"/>
      <c r="L85" s="167"/>
      <c r="M85" s="167"/>
      <c r="N85" s="167"/>
      <c r="P85" s="167"/>
      <c r="Q85" s="167"/>
      <c r="R85" s="167"/>
      <c r="S85" s="167"/>
    </row>
    <row r="86" spans="1:19">
      <c r="A86" s="167"/>
      <c r="B86" s="167"/>
      <c r="D86" s="167"/>
      <c r="E86" s="167"/>
      <c r="F86" s="167"/>
      <c r="G86" s="167"/>
      <c r="H86" s="167"/>
      <c r="J86" s="167"/>
      <c r="K86" s="167"/>
      <c r="L86" s="167"/>
      <c r="M86" s="167"/>
      <c r="N86" s="167"/>
      <c r="P86" s="167"/>
      <c r="Q86" s="167"/>
      <c r="R86" s="167"/>
      <c r="S86" s="167"/>
    </row>
    <row r="87" spans="1:19">
      <c r="A87" s="167"/>
      <c r="B87" s="167"/>
      <c r="D87" s="167"/>
      <c r="E87" s="167"/>
      <c r="F87" s="167"/>
      <c r="G87" s="167"/>
      <c r="H87" s="167"/>
      <c r="J87" s="167"/>
      <c r="K87" s="167"/>
      <c r="L87" s="167"/>
      <c r="M87" s="167"/>
      <c r="N87" s="167"/>
      <c r="P87" s="167"/>
      <c r="Q87" s="167"/>
      <c r="R87" s="167"/>
      <c r="S87" s="167"/>
    </row>
    <row r="88" spans="1:19">
      <c r="A88" s="167"/>
      <c r="B88" s="167"/>
      <c r="D88" s="167"/>
      <c r="E88" s="167"/>
      <c r="F88" s="167"/>
      <c r="G88" s="167"/>
      <c r="H88" s="167"/>
      <c r="J88" s="167"/>
      <c r="K88" s="167"/>
      <c r="L88" s="167"/>
      <c r="M88" s="167"/>
      <c r="N88" s="167"/>
      <c r="P88" s="167"/>
      <c r="Q88" s="167"/>
      <c r="R88" s="167"/>
      <c r="S88" s="167"/>
    </row>
    <row r="89" spans="1:19">
      <c r="A89" s="167"/>
      <c r="B89" s="167"/>
      <c r="D89" s="167"/>
      <c r="E89" s="167"/>
      <c r="F89" s="167"/>
      <c r="G89" s="167"/>
      <c r="H89" s="167"/>
      <c r="J89" s="167"/>
      <c r="K89" s="167"/>
      <c r="L89" s="167"/>
      <c r="M89" s="167"/>
      <c r="N89" s="167"/>
      <c r="P89" s="167"/>
      <c r="Q89" s="167"/>
      <c r="R89" s="167"/>
      <c r="S89" s="167"/>
    </row>
    <row r="90" spans="1:19">
      <c r="A90" s="167"/>
      <c r="B90" s="167"/>
      <c r="D90" s="167"/>
      <c r="E90" s="167"/>
      <c r="F90" s="167"/>
      <c r="G90" s="167"/>
      <c r="H90" s="167"/>
      <c r="J90" s="167"/>
      <c r="K90" s="167"/>
      <c r="L90" s="167"/>
      <c r="M90" s="167"/>
      <c r="N90" s="167"/>
      <c r="P90" s="167"/>
      <c r="Q90" s="167"/>
      <c r="R90" s="167"/>
      <c r="S90" s="167"/>
    </row>
    <row r="91" spans="1:19">
      <c r="A91" s="167"/>
      <c r="B91" s="167"/>
      <c r="D91" s="167"/>
      <c r="E91" s="167"/>
      <c r="F91" s="167"/>
      <c r="G91" s="167"/>
      <c r="H91" s="167"/>
      <c r="J91" s="167"/>
      <c r="K91" s="167"/>
      <c r="L91" s="167"/>
      <c r="M91" s="167"/>
      <c r="N91" s="167"/>
      <c r="P91" s="167"/>
      <c r="Q91" s="167"/>
      <c r="R91" s="167"/>
      <c r="S91" s="167"/>
    </row>
    <row r="92" spans="1:19">
      <c r="A92" s="167"/>
      <c r="B92" s="167"/>
      <c r="D92" s="167"/>
      <c r="E92" s="167"/>
      <c r="F92" s="167"/>
      <c r="G92" s="167"/>
      <c r="H92" s="167"/>
      <c r="J92" s="167"/>
      <c r="K92" s="167"/>
      <c r="L92" s="167"/>
      <c r="M92" s="167"/>
      <c r="N92" s="167"/>
      <c r="P92" s="167"/>
      <c r="Q92" s="167"/>
      <c r="R92" s="167"/>
      <c r="S92" s="167"/>
    </row>
    <row r="93" spans="1:19">
      <c r="A93" s="167"/>
      <c r="B93" s="167"/>
      <c r="D93" s="167"/>
      <c r="E93" s="167"/>
      <c r="F93" s="167"/>
      <c r="G93" s="167"/>
      <c r="H93" s="167"/>
      <c r="J93" s="167"/>
      <c r="K93" s="167"/>
      <c r="L93" s="167"/>
      <c r="M93" s="167"/>
      <c r="N93" s="167"/>
      <c r="P93" s="167"/>
      <c r="Q93" s="167"/>
      <c r="R93" s="167"/>
      <c r="S93" s="167"/>
    </row>
    <row r="94" spans="1:19">
      <c r="A94" s="167"/>
      <c r="B94" s="167"/>
      <c r="D94" s="167"/>
      <c r="E94" s="167"/>
      <c r="F94" s="167"/>
      <c r="G94" s="167"/>
      <c r="H94" s="167"/>
      <c r="J94" s="167"/>
      <c r="K94" s="167"/>
      <c r="L94" s="167"/>
      <c r="M94" s="167"/>
      <c r="N94" s="167"/>
      <c r="P94" s="167"/>
      <c r="Q94" s="167"/>
      <c r="R94" s="167"/>
      <c r="S94" s="167"/>
    </row>
    <row r="95" spans="1:19">
      <c r="A95" s="167"/>
      <c r="B95" s="167"/>
      <c r="D95" s="167"/>
      <c r="E95" s="167"/>
      <c r="F95" s="167"/>
      <c r="G95" s="167"/>
      <c r="H95" s="167"/>
      <c r="J95" s="167"/>
      <c r="K95" s="167"/>
      <c r="L95" s="167"/>
      <c r="M95" s="167"/>
      <c r="N95" s="167"/>
      <c r="P95" s="167"/>
      <c r="Q95" s="167"/>
      <c r="R95" s="167"/>
      <c r="S95" s="167"/>
    </row>
    <row r="96" spans="1:19">
      <c r="A96" s="167"/>
      <c r="B96" s="167"/>
      <c r="D96" s="167"/>
      <c r="E96" s="167"/>
      <c r="F96" s="167"/>
      <c r="G96" s="167"/>
      <c r="H96" s="167"/>
      <c r="J96" s="167"/>
      <c r="K96" s="167"/>
      <c r="L96" s="167"/>
      <c r="M96" s="167"/>
      <c r="N96" s="167"/>
      <c r="P96" s="167"/>
      <c r="Q96" s="167"/>
      <c r="R96" s="167"/>
      <c r="S96" s="167"/>
    </row>
    <row r="97" spans="1:19">
      <c r="A97" s="167"/>
      <c r="B97" s="167"/>
      <c r="D97" s="167"/>
      <c r="E97" s="167"/>
      <c r="F97" s="167"/>
      <c r="G97" s="167"/>
      <c r="H97" s="167"/>
      <c r="J97" s="167"/>
      <c r="K97" s="167"/>
      <c r="L97" s="167"/>
      <c r="M97" s="167"/>
      <c r="N97" s="167"/>
      <c r="P97" s="167"/>
      <c r="Q97" s="167"/>
      <c r="R97" s="167"/>
      <c r="S97" s="167"/>
    </row>
    <row r="98" spans="1:19">
      <c r="A98" s="167"/>
      <c r="B98" s="167"/>
      <c r="D98" s="167"/>
      <c r="E98" s="167"/>
      <c r="F98" s="167"/>
      <c r="G98" s="167"/>
      <c r="H98" s="167"/>
      <c r="J98" s="167"/>
      <c r="K98" s="167"/>
      <c r="L98" s="167"/>
      <c r="M98" s="167"/>
      <c r="N98" s="167"/>
      <c r="P98" s="167"/>
      <c r="Q98" s="167"/>
      <c r="R98" s="167"/>
      <c r="S98" s="167"/>
    </row>
    <row r="99" spans="1:19">
      <c r="A99" s="167"/>
      <c r="B99" s="167"/>
      <c r="D99" s="167"/>
      <c r="E99" s="167"/>
      <c r="F99" s="167"/>
      <c r="G99" s="167"/>
      <c r="H99" s="167"/>
      <c r="J99" s="167"/>
      <c r="K99" s="167"/>
      <c r="L99" s="167"/>
      <c r="M99" s="167"/>
      <c r="N99" s="167"/>
      <c r="P99" s="167"/>
      <c r="Q99" s="167"/>
      <c r="R99" s="167"/>
      <c r="S99" s="167"/>
    </row>
    <row r="100" spans="1:19">
      <c r="A100" s="167"/>
      <c r="B100" s="167"/>
      <c r="D100" s="167"/>
      <c r="E100" s="167"/>
      <c r="F100" s="167"/>
      <c r="G100" s="167"/>
      <c r="H100" s="167"/>
      <c r="J100" s="167"/>
      <c r="K100" s="167"/>
      <c r="L100" s="167"/>
      <c r="M100" s="167"/>
      <c r="N100" s="167"/>
      <c r="P100" s="167"/>
      <c r="Q100" s="167"/>
      <c r="R100" s="167"/>
      <c r="S100" s="167"/>
    </row>
    <row r="101" spans="1:19">
      <c r="A101" s="167"/>
      <c r="B101" s="167"/>
      <c r="D101" s="167"/>
      <c r="E101" s="167"/>
      <c r="F101" s="167"/>
      <c r="G101" s="167"/>
      <c r="H101" s="167"/>
      <c r="J101" s="167"/>
      <c r="K101" s="167"/>
      <c r="L101" s="167"/>
      <c r="M101" s="167"/>
      <c r="N101" s="167"/>
      <c r="P101" s="167"/>
      <c r="Q101" s="167"/>
      <c r="R101" s="167"/>
      <c r="S101" s="167"/>
    </row>
    <row r="102" spans="1:19">
      <c r="A102" s="167"/>
      <c r="B102" s="167"/>
      <c r="D102" s="167"/>
      <c r="E102" s="167"/>
      <c r="F102" s="167"/>
      <c r="G102" s="167"/>
      <c r="H102" s="167"/>
      <c r="J102" s="167"/>
      <c r="K102" s="167"/>
      <c r="L102" s="167"/>
      <c r="M102" s="167"/>
      <c r="N102" s="167"/>
      <c r="P102" s="167"/>
      <c r="Q102" s="167"/>
      <c r="R102" s="167"/>
      <c r="S102" s="167"/>
    </row>
    <row r="103" spans="1:19">
      <c r="A103" s="167"/>
      <c r="B103" s="167"/>
      <c r="D103" s="167"/>
      <c r="E103" s="167"/>
      <c r="F103" s="167"/>
      <c r="G103" s="167"/>
      <c r="H103" s="167"/>
      <c r="J103" s="167"/>
      <c r="K103" s="167"/>
      <c r="L103" s="167"/>
      <c r="M103" s="167"/>
      <c r="N103" s="167"/>
      <c r="P103" s="167"/>
      <c r="Q103" s="167"/>
      <c r="R103" s="167"/>
      <c r="S103" s="167"/>
    </row>
    <row r="104" spans="1:19">
      <c r="A104" s="167"/>
      <c r="B104" s="167"/>
      <c r="D104" s="167"/>
      <c r="E104" s="167"/>
      <c r="F104" s="167"/>
      <c r="G104" s="167"/>
      <c r="H104" s="167"/>
      <c r="J104" s="167"/>
      <c r="K104" s="167"/>
      <c r="L104" s="167"/>
      <c r="M104" s="167"/>
      <c r="N104" s="167"/>
      <c r="P104" s="167"/>
      <c r="Q104" s="167"/>
      <c r="R104" s="167"/>
      <c r="S104" s="167"/>
    </row>
    <row r="105" spans="1:19">
      <c r="A105" s="167"/>
      <c r="B105" s="167"/>
      <c r="D105" s="167"/>
      <c r="E105" s="167"/>
      <c r="F105" s="167"/>
      <c r="G105" s="167"/>
      <c r="H105" s="167"/>
      <c r="J105" s="167"/>
      <c r="K105" s="167"/>
      <c r="L105" s="167"/>
      <c r="M105" s="167"/>
      <c r="N105" s="167"/>
      <c r="P105" s="167"/>
      <c r="Q105" s="167"/>
      <c r="R105" s="167"/>
      <c r="S105" s="167"/>
    </row>
    <row r="106" spans="1:19">
      <c r="A106" s="167"/>
      <c r="B106" s="167"/>
      <c r="D106" s="167"/>
      <c r="E106" s="167"/>
      <c r="F106" s="167"/>
      <c r="G106" s="167"/>
      <c r="H106" s="167"/>
      <c r="J106" s="167"/>
      <c r="K106" s="167"/>
      <c r="L106" s="167"/>
      <c r="M106" s="167"/>
      <c r="N106" s="167"/>
      <c r="P106" s="167"/>
      <c r="Q106" s="167"/>
      <c r="R106" s="167"/>
      <c r="S106" s="167"/>
    </row>
    <row r="107" spans="1:19">
      <c r="A107" s="167"/>
      <c r="B107" s="167"/>
      <c r="D107" s="167"/>
      <c r="E107" s="167"/>
      <c r="F107" s="167"/>
      <c r="G107" s="167"/>
      <c r="H107" s="167"/>
      <c r="J107" s="167"/>
      <c r="K107" s="167"/>
      <c r="L107" s="167"/>
      <c r="M107" s="167"/>
      <c r="N107" s="167"/>
      <c r="P107" s="167"/>
      <c r="Q107" s="167"/>
      <c r="R107" s="167"/>
      <c r="S107" s="167"/>
    </row>
    <row r="108" spans="1:19">
      <c r="A108" s="167"/>
      <c r="B108" s="167"/>
      <c r="D108" s="167"/>
      <c r="E108" s="167"/>
      <c r="F108" s="167"/>
      <c r="G108" s="167"/>
      <c r="H108" s="167"/>
      <c r="J108" s="167"/>
      <c r="K108" s="167"/>
      <c r="L108" s="167"/>
      <c r="M108" s="167"/>
      <c r="N108" s="167"/>
      <c r="P108" s="167"/>
      <c r="Q108" s="167"/>
      <c r="R108" s="167"/>
      <c r="S108" s="167"/>
    </row>
    <row r="109" spans="1:19">
      <c r="A109" s="167"/>
      <c r="B109" s="167"/>
      <c r="D109" s="167"/>
      <c r="E109" s="167"/>
      <c r="F109" s="167"/>
      <c r="G109" s="167"/>
      <c r="H109" s="167"/>
      <c r="J109" s="167"/>
      <c r="K109" s="167"/>
      <c r="L109" s="167"/>
      <c r="M109" s="167"/>
      <c r="N109" s="167"/>
      <c r="P109" s="167"/>
      <c r="Q109" s="167"/>
      <c r="R109" s="167"/>
      <c r="S109" s="167"/>
    </row>
    <row r="110" spans="1:19">
      <c r="A110" s="167"/>
      <c r="B110" s="167"/>
      <c r="D110" s="167"/>
      <c r="E110" s="167"/>
      <c r="F110" s="167"/>
      <c r="G110" s="167"/>
      <c r="H110" s="167"/>
      <c r="J110" s="167"/>
      <c r="K110" s="167"/>
      <c r="L110" s="167"/>
      <c r="M110" s="167"/>
      <c r="N110" s="167"/>
      <c r="P110" s="167"/>
      <c r="Q110" s="167"/>
      <c r="R110" s="167"/>
      <c r="S110" s="167"/>
    </row>
    <row r="111" spans="1:19">
      <c r="A111" s="167"/>
      <c r="B111" s="167"/>
      <c r="D111" s="167"/>
      <c r="E111" s="167"/>
      <c r="F111" s="167"/>
      <c r="G111" s="167"/>
      <c r="H111" s="167"/>
      <c r="J111" s="167"/>
      <c r="K111" s="167"/>
      <c r="L111" s="167"/>
      <c r="M111" s="167"/>
      <c r="N111" s="167"/>
      <c r="P111" s="167"/>
      <c r="Q111" s="167"/>
      <c r="R111" s="167"/>
      <c r="S111" s="167"/>
    </row>
    <row r="112" spans="1:19">
      <c r="A112" s="167"/>
      <c r="B112" s="167"/>
      <c r="D112" s="167"/>
      <c r="E112" s="167"/>
      <c r="F112" s="167"/>
      <c r="G112" s="167"/>
      <c r="H112" s="167"/>
      <c r="J112" s="167"/>
      <c r="K112" s="167"/>
      <c r="L112" s="167"/>
      <c r="M112" s="167"/>
      <c r="N112" s="167"/>
      <c r="P112" s="167"/>
      <c r="Q112" s="167"/>
      <c r="R112" s="167"/>
      <c r="S112" s="167"/>
    </row>
  </sheetData>
  <mergeCells count="10">
    <mergeCell ref="A5:S5"/>
    <mergeCell ref="A6:A7"/>
    <mergeCell ref="B6:G6"/>
    <mergeCell ref="H6:M6"/>
    <mergeCell ref="N6:S6"/>
    <mergeCell ref="A80:M80"/>
    <mergeCell ref="A46:A47"/>
    <mergeCell ref="B46:G46"/>
    <mergeCell ref="H46:M46"/>
    <mergeCell ref="A45:M45"/>
  </mergeCells>
  <hyperlinks>
    <hyperlink ref="B1" location="Glossary!A1" display="Glossary" xr:uid="{00000000-0004-0000-0900-000000000000}"/>
    <hyperlink ref="A1" location="Contents!A1" display="Table of contents" xr:uid="{00000000-0004-0000-0900-000001000000}"/>
    <hyperlink ref="C1" location="About!A1" display="About the publication" xr:uid="{00000000-0004-0000-0900-000002000000}"/>
    <hyperlink ref="E1" location="KeyFindings!A1" display="Key findings" xr:uid="{00000000-0004-0000-0900-000003000000}"/>
  </hyperlinks>
  <pageMargins left="0.70866141732283472" right="0.70866141732283472" top="0.74803149606299213" bottom="0.74803149606299213" header="0.31496062992125984" footer="0.31496062992125984"/>
  <pageSetup paperSize="9" scale="45" fitToHeight="2" orientation="portrait" r:id="rId1"/>
  <headerFooter>
    <oddFooter>&amp;L&amp;"Arial,Regular"&amp;8&amp;K01+019Fetal and Infant Deaths 2016&amp;R&amp;"Arial,Regular"&amp;8&amp;K01+018Page &amp;P of &amp;N</oddFooter>
  </headerFooter>
  <rowBreaks count="1" manualBreakCount="1">
    <brk id="43"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pageSetUpPr fitToPage="1"/>
  </sheetPr>
  <dimension ref="A1:BF112"/>
  <sheetViews>
    <sheetView zoomScaleNormal="100" workbookViewId="0">
      <pane ySplit="3" topLeftCell="A4" activePane="bottomLeft" state="frozen"/>
      <selection activeCell="AA1" sqref="AA1:AP1048576"/>
      <selection pane="bottomLeft" activeCell="A4" sqref="A4"/>
    </sheetView>
  </sheetViews>
  <sheetFormatPr defaultRowHeight="15"/>
  <cols>
    <col min="1" max="1" width="25.28515625" bestFit="1" customWidth="1"/>
    <col min="3" max="3" width="9.140625" style="397"/>
    <col min="5" max="5" width="9.140625" style="453"/>
    <col min="8" max="8" width="9.140625" style="9" customWidth="1"/>
    <col min="10" max="10" width="9.140625" style="397"/>
    <col min="12" max="12" width="9.140625" style="453"/>
    <col min="15" max="15" width="9.140625" style="9"/>
    <col min="17" max="17" width="9.140625" style="397"/>
    <col min="19" max="19" width="9.140625" style="453"/>
    <col min="22" max="26" width="9.140625" customWidth="1"/>
    <col min="27" max="27" width="25.140625" style="289" bestFit="1" customWidth="1"/>
    <col min="28" max="48" width="9.140625" style="289"/>
    <col min="49" max="52" width="9.140625" style="245"/>
  </cols>
  <sheetData>
    <row r="1" spans="1:58" s="103" customFormat="1">
      <c r="A1" s="88" t="s">
        <v>158</v>
      </c>
      <c r="B1" s="88" t="s">
        <v>115</v>
      </c>
      <c r="C1" s="88" t="s">
        <v>173</v>
      </c>
      <c r="D1" s="159"/>
      <c r="E1" s="159" t="s">
        <v>353</v>
      </c>
      <c r="F1" s="159"/>
      <c r="G1" s="88"/>
      <c r="H1" s="89"/>
      <c r="AA1" s="515"/>
      <c r="AB1" s="515"/>
      <c r="AC1" s="515"/>
      <c r="AD1" s="515"/>
      <c r="AE1" s="515"/>
      <c r="AF1" s="515"/>
      <c r="AG1" s="515"/>
      <c r="AH1" s="515"/>
      <c r="AI1" s="515"/>
      <c r="AJ1" s="515"/>
      <c r="AK1" s="515"/>
      <c r="AL1" s="515"/>
      <c r="AM1" s="515"/>
      <c r="AN1" s="515"/>
      <c r="AO1" s="515"/>
      <c r="AP1" s="515"/>
      <c r="AQ1" s="515"/>
      <c r="AR1" s="515"/>
      <c r="AS1" s="515"/>
      <c r="AT1" s="515"/>
      <c r="AU1" s="515"/>
      <c r="AV1" s="515"/>
      <c r="AW1" s="516"/>
      <c r="AX1" s="516"/>
      <c r="AY1" s="516"/>
      <c r="AZ1" s="516"/>
    </row>
    <row r="2" spans="1:58" s="5" customFormat="1" ht="9" customHeight="1">
      <c r="A2" s="60"/>
      <c r="B2" s="61"/>
      <c r="C2" s="89"/>
      <c r="D2" s="62"/>
      <c r="E2" s="62"/>
      <c r="F2" s="62"/>
      <c r="G2" s="62"/>
      <c r="J2" s="103"/>
      <c r="L2" s="103"/>
      <c r="Q2" s="103"/>
      <c r="S2" s="103"/>
      <c r="AA2" s="515"/>
      <c r="AB2" s="515"/>
      <c r="AC2" s="515"/>
      <c r="AD2" s="515"/>
      <c r="AE2" s="515"/>
      <c r="AF2" s="515"/>
      <c r="AG2" s="515"/>
      <c r="AH2" s="515"/>
      <c r="AI2" s="515"/>
      <c r="AJ2" s="515"/>
      <c r="AK2" s="515"/>
      <c r="AL2" s="515"/>
      <c r="AM2" s="515"/>
      <c r="AN2" s="515"/>
      <c r="AO2" s="515"/>
      <c r="AP2" s="515"/>
      <c r="AQ2" s="515"/>
      <c r="AR2" s="515"/>
      <c r="AS2" s="515"/>
      <c r="AT2" s="515"/>
      <c r="AU2" s="515"/>
      <c r="AV2" s="515"/>
      <c r="AW2" s="516"/>
      <c r="AX2" s="516"/>
      <c r="AY2" s="516"/>
      <c r="AZ2" s="516"/>
    </row>
    <row r="3" spans="1:58" s="103" customFormat="1" ht="20.25">
      <c r="A3" s="76" t="s">
        <v>1</v>
      </c>
      <c r="H3" s="73"/>
      <c r="O3" s="73"/>
      <c r="AA3" s="515"/>
      <c r="AB3" s="515"/>
      <c r="AC3" s="515"/>
      <c r="AD3" s="515"/>
      <c r="AE3" s="515"/>
      <c r="AF3" s="515"/>
      <c r="AG3" s="515"/>
      <c r="AH3" s="515"/>
      <c r="AI3" s="515"/>
      <c r="AJ3" s="515"/>
      <c r="AK3" s="515"/>
      <c r="AL3" s="515"/>
      <c r="AM3" s="515"/>
      <c r="AN3" s="515"/>
      <c r="AO3" s="515"/>
      <c r="AP3" s="515"/>
      <c r="AQ3" s="515"/>
      <c r="AR3" s="515"/>
      <c r="AS3" s="515"/>
      <c r="AT3" s="515"/>
      <c r="AU3" s="515"/>
      <c r="AV3" s="515"/>
      <c r="AW3" s="516"/>
      <c r="AX3" s="516"/>
      <c r="AY3" s="516"/>
      <c r="AZ3" s="516"/>
    </row>
    <row r="5" spans="1:58" s="72" customFormat="1" ht="23.25" customHeight="1">
      <c r="A5" s="928" t="str">
        <f>Contents!E17</f>
        <v xml:space="preserve">Table 13: Number of fetal deaths, infant deaths and live births, for each birthweight, by sex, ethnic group, maternal age group, deprivation quintile of residence and gestational age, 2016
</v>
      </c>
      <c r="B5" s="928"/>
      <c r="C5" s="928"/>
      <c r="D5" s="928"/>
      <c r="E5" s="928"/>
      <c r="F5" s="928"/>
      <c r="G5" s="928"/>
      <c r="H5" s="928"/>
      <c r="I5" s="928"/>
      <c r="J5" s="928"/>
      <c r="K5" s="928"/>
      <c r="L5" s="928"/>
      <c r="M5" s="928"/>
      <c r="N5" s="928"/>
      <c r="O5" s="928"/>
      <c r="P5" s="928"/>
      <c r="Q5" s="928"/>
      <c r="R5" s="928"/>
      <c r="S5" s="928"/>
      <c r="T5" s="928"/>
      <c r="U5" s="928"/>
      <c r="V5" s="928"/>
      <c r="W5" s="109"/>
      <c r="AA5" s="786"/>
      <c r="AB5" s="786"/>
      <c r="AC5" s="786" t="s">
        <v>464</v>
      </c>
      <c r="AD5" s="786"/>
      <c r="AE5" s="786"/>
      <c r="AF5" s="786"/>
      <c r="AG5" s="786"/>
      <c r="AH5" s="786"/>
      <c r="AI5" s="786"/>
      <c r="AJ5" s="786"/>
      <c r="AK5" s="786"/>
      <c r="AL5" s="786"/>
      <c r="AM5" s="786"/>
      <c r="AN5" s="786"/>
      <c r="AO5" s="786"/>
      <c r="AP5" s="786"/>
      <c r="AQ5" s="785"/>
      <c r="AR5" s="785"/>
      <c r="AS5" s="797"/>
      <c r="AT5" s="797"/>
      <c r="AU5" s="797"/>
      <c r="AV5" s="797"/>
      <c r="AW5" s="546"/>
      <c r="AX5" s="546"/>
      <c r="AY5" s="546"/>
      <c r="AZ5" s="546"/>
    </row>
    <row r="6" spans="1:58" ht="16.5" customHeight="1">
      <c r="A6" s="914" t="s">
        <v>68</v>
      </c>
      <c r="B6" s="915" t="s">
        <v>165</v>
      </c>
      <c r="C6" s="915"/>
      <c r="D6" s="915"/>
      <c r="E6" s="915"/>
      <c r="F6" s="915"/>
      <c r="G6" s="915"/>
      <c r="H6" s="916"/>
      <c r="I6" s="917" t="s">
        <v>166</v>
      </c>
      <c r="J6" s="915"/>
      <c r="K6" s="915"/>
      <c r="L6" s="915"/>
      <c r="M6" s="915"/>
      <c r="N6" s="915"/>
      <c r="O6" s="916"/>
      <c r="P6" s="917" t="s">
        <v>167</v>
      </c>
      <c r="Q6" s="915"/>
      <c r="R6" s="915"/>
      <c r="S6" s="915"/>
      <c r="T6" s="915"/>
      <c r="U6" s="915"/>
      <c r="V6" s="915"/>
      <c r="W6" s="167"/>
      <c r="X6" s="167"/>
      <c r="Y6" s="167"/>
      <c r="Z6" s="167"/>
      <c r="AA6" s="289">
        <f>Ref!B27</f>
        <v>2016</v>
      </c>
      <c r="AB6" s="289" t="s">
        <v>47</v>
      </c>
      <c r="AI6" s="289" t="s">
        <v>48</v>
      </c>
      <c r="AP6" s="289" t="s">
        <v>46</v>
      </c>
      <c r="AS6" s="798"/>
      <c r="AT6" s="798"/>
      <c r="AU6" s="798"/>
      <c r="AV6" s="798"/>
      <c r="BA6" s="167"/>
      <c r="BB6" s="167"/>
      <c r="BC6" s="167"/>
      <c r="BD6" s="167"/>
      <c r="BE6" s="167"/>
      <c r="BF6" s="167"/>
    </row>
    <row r="7" spans="1:58" ht="36" customHeight="1">
      <c r="A7" s="909"/>
      <c r="B7" s="26" t="s">
        <v>378</v>
      </c>
      <c r="C7" s="26" t="s">
        <v>379</v>
      </c>
      <c r="D7" s="26" t="s">
        <v>384</v>
      </c>
      <c r="E7" s="26" t="s">
        <v>397</v>
      </c>
      <c r="F7" s="26" t="s">
        <v>385</v>
      </c>
      <c r="G7" s="26" t="s">
        <v>383</v>
      </c>
      <c r="H7" s="27" t="s">
        <v>368</v>
      </c>
      <c r="I7" s="26" t="s">
        <v>378</v>
      </c>
      <c r="J7" s="26" t="s">
        <v>379</v>
      </c>
      <c r="K7" s="26" t="s">
        <v>384</v>
      </c>
      <c r="L7" s="26" t="s">
        <v>397</v>
      </c>
      <c r="M7" s="26" t="s">
        <v>385</v>
      </c>
      <c r="N7" s="26" t="s">
        <v>383</v>
      </c>
      <c r="O7" s="27" t="s">
        <v>368</v>
      </c>
      <c r="P7" s="26" t="s">
        <v>378</v>
      </c>
      <c r="Q7" s="26" t="s">
        <v>379</v>
      </c>
      <c r="R7" s="26" t="s">
        <v>384</v>
      </c>
      <c r="S7" s="26" t="s">
        <v>397</v>
      </c>
      <c r="T7" s="26" t="s">
        <v>385</v>
      </c>
      <c r="U7" s="26" t="s">
        <v>383</v>
      </c>
      <c r="V7" s="27" t="s">
        <v>368</v>
      </c>
      <c r="W7" s="167"/>
      <c r="X7" s="167"/>
      <c r="Y7" s="167"/>
      <c r="Z7" s="167"/>
      <c r="AB7" s="289" t="s">
        <v>427</v>
      </c>
      <c r="AC7" s="289" t="s">
        <v>428</v>
      </c>
      <c r="AD7" s="289" t="s">
        <v>429</v>
      </c>
      <c r="AE7" s="289" t="s">
        <v>430</v>
      </c>
      <c r="AF7" s="289" t="s">
        <v>431</v>
      </c>
      <c r="AG7" s="289" t="s">
        <v>432</v>
      </c>
      <c r="AH7" s="289" t="s">
        <v>44</v>
      </c>
      <c r="AI7" s="289" t="s">
        <v>427</v>
      </c>
      <c r="AJ7" s="289" t="s">
        <v>428</v>
      </c>
      <c r="AK7" s="289" t="s">
        <v>429</v>
      </c>
      <c r="AL7" s="289" t="s">
        <v>430</v>
      </c>
      <c r="AM7" s="289" t="s">
        <v>431</v>
      </c>
      <c r="AN7" s="289" t="s">
        <v>432</v>
      </c>
      <c r="AO7" s="289" t="s">
        <v>44</v>
      </c>
      <c r="AP7" s="289" t="s">
        <v>427</v>
      </c>
      <c r="AQ7" s="289" t="s">
        <v>428</v>
      </c>
      <c r="AR7" s="289" t="s">
        <v>429</v>
      </c>
      <c r="AS7" s="289" t="s">
        <v>430</v>
      </c>
      <c r="AT7" s="289" t="s">
        <v>431</v>
      </c>
      <c r="AU7" s="289" t="s">
        <v>432</v>
      </c>
      <c r="AV7" s="798" t="s">
        <v>44</v>
      </c>
      <c r="BA7" s="167"/>
      <c r="BB7" s="167"/>
      <c r="BC7" s="167"/>
      <c r="BD7" s="167"/>
      <c r="BE7" s="167"/>
      <c r="BF7" s="167"/>
    </row>
    <row r="8" spans="1:58">
      <c r="A8" s="80" t="s">
        <v>104</v>
      </c>
      <c r="B8" s="20"/>
      <c r="C8" s="80"/>
      <c r="D8" s="20"/>
      <c r="E8" s="80"/>
      <c r="F8" s="20"/>
      <c r="G8" s="20"/>
      <c r="H8" s="328"/>
      <c r="I8" s="328"/>
      <c r="J8" s="81"/>
      <c r="K8" s="22"/>
      <c r="L8" s="81"/>
      <c r="M8" s="22"/>
      <c r="N8" s="22"/>
      <c r="O8" s="21"/>
      <c r="P8" s="328"/>
      <c r="Q8" s="81"/>
      <c r="R8" s="22"/>
      <c r="S8" s="81"/>
      <c r="T8" s="22"/>
      <c r="U8" s="22"/>
      <c r="V8" s="81"/>
      <c r="W8" s="167"/>
      <c r="X8" s="617"/>
      <c r="Y8" s="617"/>
      <c r="Z8" s="167"/>
      <c r="AA8" s="289" t="s">
        <v>104</v>
      </c>
      <c r="BA8" s="167"/>
      <c r="BB8" s="167"/>
      <c r="BC8" s="167"/>
      <c r="BD8" s="167"/>
      <c r="BE8" s="167"/>
      <c r="BF8" s="167"/>
    </row>
    <row r="9" spans="1:58" s="77" customFormat="1">
      <c r="A9" s="82" t="s">
        <v>44</v>
      </c>
      <c r="B9" s="333">
        <f>AB9</f>
        <v>141</v>
      </c>
      <c r="C9" s="333">
        <f t="shared" ref="C9:H9" si="0">AC9</f>
        <v>97</v>
      </c>
      <c r="D9" s="333">
        <f t="shared" si="0"/>
        <v>27</v>
      </c>
      <c r="E9" s="333">
        <f t="shared" si="0"/>
        <v>45</v>
      </c>
      <c r="F9" s="333">
        <f t="shared" si="0"/>
        <v>81</v>
      </c>
      <c r="G9" s="333">
        <f t="shared" si="0"/>
        <v>4</v>
      </c>
      <c r="H9" s="351">
        <f t="shared" si="0"/>
        <v>413</v>
      </c>
      <c r="I9" s="333">
        <f>AI9</f>
        <v>37</v>
      </c>
      <c r="J9" s="333">
        <f t="shared" ref="J9:O9" si="1">AJ9</f>
        <v>57</v>
      </c>
      <c r="K9" s="333">
        <f t="shared" si="1"/>
        <v>8</v>
      </c>
      <c r="L9" s="333">
        <f t="shared" si="1"/>
        <v>35</v>
      </c>
      <c r="M9" s="333">
        <f t="shared" si="1"/>
        <v>95</v>
      </c>
      <c r="N9" s="333">
        <f t="shared" si="1"/>
        <v>0</v>
      </c>
      <c r="O9" s="351">
        <f t="shared" si="1"/>
        <v>241</v>
      </c>
      <c r="P9" s="414">
        <f>AP9</f>
        <v>53</v>
      </c>
      <c r="Q9" s="414">
        <f t="shared" ref="Q9:V9" si="2">AQ9</f>
        <v>196</v>
      </c>
      <c r="R9" s="414">
        <f t="shared" si="2"/>
        <v>331</v>
      </c>
      <c r="S9" s="414">
        <f t="shared" si="2"/>
        <v>2991</v>
      </c>
      <c r="T9" s="414">
        <f t="shared" si="2"/>
        <v>55407</v>
      </c>
      <c r="U9" s="414">
        <f t="shared" si="2"/>
        <v>1423</v>
      </c>
      <c r="V9" s="414">
        <f t="shared" si="2"/>
        <v>60436</v>
      </c>
      <c r="W9" s="414"/>
      <c r="X9" s="619"/>
      <c r="Y9" s="619"/>
      <c r="Z9" s="414"/>
      <c r="AA9" s="780" t="s">
        <v>44</v>
      </c>
      <c r="AB9" s="799">
        <f t="shared" ref="AB9:AH9" si="3">VLOOKUP($AA$6&amp;$AA$8&amp;$AC$5&amp;$AA9&amp;AB$7&amp;$AB$6, vw.deaths.demo, 7, FALSE)</f>
        <v>141</v>
      </c>
      <c r="AC9" s="799">
        <f t="shared" si="3"/>
        <v>97</v>
      </c>
      <c r="AD9" s="799">
        <f t="shared" si="3"/>
        <v>27</v>
      </c>
      <c r="AE9" s="799">
        <f t="shared" si="3"/>
        <v>45</v>
      </c>
      <c r="AF9" s="799">
        <f t="shared" si="3"/>
        <v>81</v>
      </c>
      <c r="AG9" s="799">
        <f t="shared" si="3"/>
        <v>4</v>
      </c>
      <c r="AH9" s="799">
        <f t="shared" si="3"/>
        <v>413</v>
      </c>
      <c r="AI9" s="799">
        <f t="shared" ref="AI9:AO9" si="4">VLOOKUP($AA$6&amp;$AA$8&amp;$AC$5&amp;$AA9&amp;AI$7&amp;$AI$6, vw.deaths.demo, 7, FALSE)</f>
        <v>37</v>
      </c>
      <c r="AJ9" s="799">
        <f t="shared" si="4"/>
        <v>57</v>
      </c>
      <c r="AK9" s="799">
        <f t="shared" si="4"/>
        <v>8</v>
      </c>
      <c r="AL9" s="799">
        <f t="shared" si="4"/>
        <v>35</v>
      </c>
      <c r="AM9" s="799">
        <f t="shared" si="4"/>
        <v>95</v>
      </c>
      <c r="AN9" s="799">
        <f t="shared" si="4"/>
        <v>0</v>
      </c>
      <c r="AO9" s="799">
        <f t="shared" si="4"/>
        <v>241</v>
      </c>
      <c r="AP9" s="289">
        <f t="shared" ref="AP9:AV9" si="5">VLOOKUP($AA$6&amp;$AA8&amp;$AC$5&amp;$AA9&amp;AP$7, vw.births.demo, 7, FALSE)</f>
        <v>53</v>
      </c>
      <c r="AQ9" s="289">
        <f t="shared" si="5"/>
        <v>196</v>
      </c>
      <c r="AR9" s="289">
        <f t="shared" si="5"/>
        <v>331</v>
      </c>
      <c r="AS9" s="289">
        <f t="shared" si="5"/>
        <v>2991</v>
      </c>
      <c r="AT9" s="289">
        <f t="shared" si="5"/>
        <v>55407</v>
      </c>
      <c r="AU9" s="289">
        <f t="shared" si="5"/>
        <v>1423</v>
      </c>
      <c r="AV9" s="289">
        <f t="shared" si="5"/>
        <v>60436</v>
      </c>
      <c r="AW9" s="243"/>
      <c r="AX9" s="243"/>
      <c r="AY9" s="243"/>
      <c r="AZ9" s="243"/>
    </row>
    <row r="10" spans="1:58">
      <c r="A10" s="80" t="s">
        <v>69</v>
      </c>
      <c r="B10" s="81"/>
      <c r="C10" s="81"/>
      <c r="D10" s="81"/>
      <c r="E10" s="81"/>
      <c r="F10" s="81"/>
      <c r="G10" s="81"/>
      <c r="H10" s="81"/>
      <c r="I10" s="81"/>
      <c r="J10" s="81"/>
      <c r="K10" s="328"/>
      <c r="L10" s="81"/>
      <c r="M10" s="328"/>
      <c r="N10" s="328"/>
      <c r="O10" s="328"/>
      <c r="P10" s="81"/>
      <c r="Q10" s="81"/>
      <c r="R10" s="81"/>
      <c r="S10" s="81"/>
      <c r="T10" s="81"/>
      <c r="U10" s="81"/>
      <c r="V10" s="81"/>
      <c r="W10" s="167"/>
      <c r="X10" s="618"/>
      <c r="Y10" s="618"/>
      <c r="Z10" s="167"/>
      <c r="AA10" s="289" t="s">
        <v>69</v>
      </c>
      <c r="BA10" s="167"/>
      <c r="BB10" s="167"/>
      <c r="BC10" s="167"/>
      <c r="BD10" s="167"/>
      <c r="BE10" s="167"/>
      <c r="BF10" s="167"/>
    </row>
    <row r="11" spans="1:58" s="77" customFormat="1">
      <c r="A11" s="82" t="s">
        <v>70</v>
      </c>
      <c r="B11" s="333">
        <f>AB11</f>
        <v>61</v>
      </c>
      <c r="C11" s="333">
        <f t="shared" ref="C11:H13" si="6">AC11</f>
        <v>56</v>
      </c>
      <c r="D11" s="333">
        <f t="shared" si="6"/>
        <v>12</v>
      </c>
      <c r="E11" s="333">
        <f t="shared" si="6"/>
        <v>33</v>
      </c>
      <c r="F11" s="333">
        <f t="shared" si="6"/>
        <v>44</v>
      </c>
      <c r="G11" s="333">
        <f t="shared" si="6"/>
        <v>2</v>
      </c>
      <c r="H11" s="351">
        <f t="shared" si="6"/>
        <v>216</v>
      </c>
      <c r="I11" s="333">
        <f>AI11</f>
        <v>17</v>
      </c>
      <c r="J11" s="333">
        <f t="shared" ref="J11:O13" si="7">AJ11</f>
        <v>34</v>
      </c>
      <c r="K11" s="333">
        <f t="shared" si="7"/>
        <v>4</v>
      </c>
      <c r="L11" s="333">
        <f t="shared" si="7"/>
        <v>21</v>
      </c>
      <c r="M11" s="333">
        <f t="shared" si="7"/>
        <v>47</v>
      </c>
      <c r="N11" s="333">
        <f t="shared" si="7"/>
        <v>0</v>
      </c>
      <c r="O11" s="351">
        <f t="shared" si="7"/>
        <v>127</v>
      </c>
      <c r="P11" s="414">
        <f>AP11</f>
        <v>24</v>
      </c>
      <c r="Q11" s="414">
        <f t="shared" ref="Q11:V13" si="8">AQ11</f>
        <v>95</v>
      </c>
      <c r="R11" s="414">
        <f t="shared" si="8"/>
        <v>179</v>
      </c>
      <c r="S11" s="414">
        <f t="shared" si="8"/>
        <v>1440</v>
      </c>
      <c r="T11" s="414">
        <f t="shared" si="8"/>
        <v>28327</v>
      </c>
      <c r="U11" s="414">
        <f t="shared" si="8"/>
        <v>930</v>
      </c>
      <c r="V11" s="414">
        <f t="shared" si="8"/>
        <v>31009</v>
      </c>
      <c r="AA11" s="780" t="s">
        <v>70</v>
      </c>
      <c r="AB11" s="799">
        <f t="shared" ref="AB11:AH12" si="9">VLOOKUP($AA$6&amp;$AA$10&amp;$AC$5&amp;$AA11&amp;AB$7&amp;$AB$6, vw.deaths.demo, 7, FALSE)</f>
        <v>61</v>
      </c>
      <c r="AC11" s="799">
        <f t="shared" si="9"/>
        <v>56</v>
      </c>
      <c r="AD11" s="799">
        <f t="shared" si="9"/>
        <v>12</v>
      </c>
      <c r="AE11" s="799">
        <f t="shared" si="9"/>
        <v>33</v>
      </c>
      <c r="AF11" s="799">
        <f t="shared" si="9"/>
        <v>44</v>
      </c>
      <c r="AG11" s="799">
        <f t="shared" si="9"/>
        <v>2</v>
      </c>
      <c r="AH11" s="799">
        <f t="shared" si="9"/>
        <v>216</v>
      </c>
      <c r="AI11" s="799">
        <f t="shared" ref="AI11:AO12" si="10">VLOOKUP($AA$6&amp;$AA$10&amp;$AC$5&amp;$AA11&amp;AI$7&amp;$AI$6, vw.deaths.demo, 7, FALSE)</f>
        <v>17</v>
      </c>
      <c r="AJ11" s="799">
        <f t="shared" si="10"/>
        <v>34</v>
      </c>
      <c r="AK11" s="799">
        <f t="shared" si="10"/>
        <v>4</v>
      </c>
      <c r="AL11" s="799">
        <f t="shared" si="10"/>
        <v>21</v>
      </c>
      <c r="AM11" s="799">
        <f t="shared" si="10"/>
        <v>47</v>
      </c>
      <c r="AN11" s="799">
        <f t="shared" si="10"/>
        <v>0</v>
      </c>
      <c r="AO11" s="799">
        <f t="shared" si="10"/>
        <v>127</v>
      </c>
      <c r="AP11" s="289">
        <f t="shared" ref="AP11:AV12" si="11">VLOOKUP($AA$6&amp;$AA$10&amp;$AC$5&amp;$AA11&amp;AP$7, vw.births.demo, 7, FALSE)</f>
        <v>24</v>
      </c>
      <c r="AQ11" s="289">
        <f t="shared" si="11"/>
        <v>95</v>
      </c>
      <c r="AR11" s="289">
        <f t="shared" si="11"/>
        <v>179</v>
      </c>
      <c r="AS11" s="289">
        <f t="shared" si="11"/>
        <v>1440</v>
      </c>
      <c r="AT11" s="289">
        <f t="shared" si="11"/>
        <v>28327</v>
      </c>
      <c r="AU11" s="289">
        <f t="shared" si="11"/>
        <v>930</v>
      </c>
      <c r="AV11" s="289">
        <f t="shared" si="11"/>
        <v>31009</v>
      </c>
      <c r="AW11" s="243"/>
      <c r="AX11" s="243"/>
      <c r="AY11" s="243"/>
      <c r="AZ11" s="243"/>
    </row>
    <row r="12" spans="1:58" s="77" customFormat="1">
      <c r="A12" s="82" t="s">
        <v>71</v>
      </c>
      <c r="B12" s="333">
        <f t="shared" ref="B12:B13" si="12">AB12</f>
        <v>73</v>
      </c>
      <c r="C12" s="333">
        <f t="shared" si="6"/>
        <v>41</v>
      </c>
      <c r="D12" s="333">
        <f t="shared" si="6"/>
        <v>15</v>
      </c>
      <c r="E12" s="333">
        <f t="shared" si="6"/>
        <v>12</v>
      </c>
      <c r="F12" s="333">
        <f t="shared" si="6"/>
        <v>37</v>
      </c>
      <c r="G12" s="333">
        <f t="shared" si="6"/>
        <v>2</v>
      </c>
      <c r="H12" s="351">
        <f t="shared" si="6"/>
        <v>189</v>
      </c>
      <c r="I12" s="333">
        <f>AI12</f>
        <v>20</v>
      </c>
      <c r="J12" s="333">
        <f t="shared" si="7"/>
        <v>23</v>
      </c>
      <c r="K12" s="333">
        <f t="shared" si="7"/>
        <v>4</v>
      </c>
      <c r="L12" s="333">
        <f t="shared" si="7"/>
        <v>14</v>
      </c>
      <c r="M12" s="333">
        <f t="shared" si="7"/>
        <v>48</v>
      </c>
      <c r="N12" s="333">
        <f t="shared" si="7"/>
        <v>0</v>
      </c>
      <c r="O12" s="351">
        <f t="shared" si="7"/>
        <v>114</v>
      </c>
      <c r="P12" s="414">
        <f t="shared" ref="P12:P13" si="13">AP12</f>
        <v>29</v>
      </c>
      <c r="Q12" s="414">
        <f t="shared" si="8"/>
        <v>101</v>
      </c>
      <c r="R12" s="414">
        <f t="shared" si="8"/>
        <v>152</v>
      </c>
      <c r="S12" s="414">
        <f t="shared" si="8"/>
        <v>1551</v>
      </c>
      <c r="T12" s="414">
        <f t="shared" si="8"/>
        <v>27080</v>
      </c>
      <c r="U12" s="414">
        <f t="shared" si="8"/>
        <v>493</v>
      </c>
      <c r="V12" s="414">
        <f t="shared" si="8"/>
        <v>29427</v>
      </c>
      <c r="AA12" s="780" t="s">
        <v>71</v>
      </c>
      <c r="AB12" s="799">
        <f t="shared" si="9"/>
        <v>73</v>
      </c>
      <c r="AC12" s="799">
        <f t="shared" si="9"/>
        <v>41</v>
      </c>
      <c r="AD12" s="799">
        <f t="shared" si="9"/>
        <v>15</v>
      </c>
      <c r="AE12" s="799">
        <f t="shared" si="9"/>
        <v>12</v>
      </c>
      <c r="AF12" s="799">
        <f t="shared" si="9"/>
        <v>37</v>
      </c>
      <c r="AG12" s="799">
        <f t="shared" si="9"/>
        <v>2</v>
      </c>
      <c r="AH12" s="799">
        <f t="shared" si="9"/>
        <v>189</v>
      </c>
      <c r="AI12" s="799">
        <f t="shared" si="10"/>
        <v>20</v>
      </c>
      <c r="AJ12" s="799">
        <f t="shared" si="10"/>
        <v>23</v>
      </c>
      <c r="AK12" s="799">
        <f t="shared" si="10"/>
        <v>4</v>
      </c>
      <c r="AL12" s="799">
        <f t="shared" si="10"/>
        <v>14</v>
      </c>
      <c r="AM12" s="799">
        <f t="shared" si="10"/>
        <v>48</v>
      </c>
      <c r="AN12" s="799">
        <f t="shared" si="10"/>
        <v>0</v>
      </c>
      <c r="AO12" s="799">
        <f t="shared" si="10"/>
        <v>114</v>
      </c>
      <c r="AP12" s="289">
        <f t="shared" si="11"/>
        <v>29</v>
      </c>
      <c r="AQ12" s="289">
        <f t="shared" si="11"/>
        <v>101</v>
      </c>
      <c r="AR12" s="289">
        <f t="shared" si="11"/>
        <v>152</v>
      </c>
      <c r="AS12" s="289">
        <f t="shared" si="11"/>
        <v>1551</v>
      </c>
      <c r="AT12" s="289">
        <f t="shared" si="11"/>
        <v>27080</v>
      </c>
      <c r="AU12" s="289">
        <f t="shared" si="11"/>
        <v>493</v>
      </c>
      <c r="AV12" s="289">
        <f t="shared" si="11"/>
        <v>29427</v>
      </c>
      <c r="AW12" s="243"/>
      <c r="AX12" s="243"/>
      <c r="AY12" s="243"/>
      <c r="AZ12" s="243"/>
    </row>
    <row r="13" spans="1:58" s="77" customFormat="1">
      <c r="A13" s="82" t="s">
        <v>63</v>
      </c>
      <c r="B13" s="333">
        <f t="shared" si="12"/>
        <v>7</v>
      </c>
      <c r="C13" s="333">
        <f t="shared" si="6"/>
        <v>0</v>
      </c>
      <c r="D13" s="333">
        <f t="shared" si="6"/>
        <v>0</v>
      </c>
      <c r="E13" s="333">
        <f t="shared" si="6"/>
        <v>0</v>
      </c>
      <c r="F13" s="333">
        <f t="shared" si="6"/>
        <v>0</v>
      </c>
      <c r="G13" s="333">
        <f t="shared" si="6"/>
        <v>0</v>
      </c>
      <c r="H13" s="351">
        <f t="shared" si="6"/>
        <v>8</v>
      </c>
      <c r="I13" s="333">
        <f>AI13</f>
        <v>0</v>
      </c>
      <c r="J13" s="333">
        <f t="shared" si="7"/>
        <v>0</v>
      </c>
      <c r="K13" s="333">
        <f t="shared" si="7"/>
        <v>0</v>
      </c>
      <c r="L13" s="333">
        <f t="shared" si="7"/>
        <v>0</v>
      </c>
      <c r="M13" s="333">
        <f t="shared" si="7"/>
        <v>0</v>
      </c>
      <c r="N13" s="333">
        <f t="shared" si="7"/>
        <v>0</v>
      </c>
      <c r="O13" s="351">
        <f t="shared" si="7"/>
        <v>0</v>
      </c>
      <c r="P13" s="414">
        <f t="shared" si="13"/>
        <v>0</v>
      </c>
      <c r="Q13" s="414">
        <f t="shared" si="8"/>
        <v>0</v>
      </c>
      <c r="R13" s="414">
        <f t="shared" si="8"/>
        <v>0</v>
      </c>
      <c r="S13" s="414">
        <f t="shared" si="8"/>
        <v>0</v>
      </c>
      <c r="T13" s="414">
        <f t="shared" si="8"/>
        <v>0</v>
      </c>
      <c r="U13" s="414">
        <f t="shared" si="8"/>
        <v>0</v>
      </c>
      <c r="V13" s="414">
        <f t="shared" si="8"/>
        <v>0</v>
      </c>
      <c r="AA13" s="780" t="s">
        <v>458</v>
      </c>
      <c r="AB13" s="799">
        <f t="shared" ref="AB13:AH13" si="14">IFERROR(VLOOKUP($AA$6&amp;$AA$10&amp;$AC$5&amp;$AA13&amp;AB$7&amp;$AB$6, vw.deaths.demo, 7, FALSE),0)</f>
        <v>7</v>
      </c>
      <c r="AC13" s="799">
        <f t="shared" si="14"/>
        <v>0</v>
      </c>
      <c r="AD13" s="799">
        <f t="shared" si="14"/>
        <v>0</v>
      </c>
      <c r="AE13" s="799">
        <f t="shared" si="14"/>
        <v>0</v>
      </c>
      <c r="AF13" s="799">
        <f t="shared" si="14"/>
        <v>0</v>
      </c>
      <c r="AG13" s="799">
        <f t="shared" si="14"/>
        <v>0</v>
      </c>
      <c r="AH13" s="799">
        <f t="shared" si="14"/>
        <v>8</v>
      </c>
      <c r="AI13" s="799">
        <f t="shared" ref="AI13:AO13" si="15">IFERROR(VLOOKUP($AA$6&amp;$AA$10&amp;$AC$5&amp;$AA13&amp;AI$7&amp;$AI$6, vw.deaths.demo, 7, FALSE),0)</f>
        <v>0</v>
      </c>
      <c r="AJ13" s="799">
        <f t="shared" si="15"/>
        <v>0</v>
      </c>
      <c r="AK13" s="799">
        <f t="shared" si="15"/>
        <v>0</v>
      </c>
      <c r="AL13" s="799">
        <f t="shared" si="15"/>
        <v>0</v>
      </c>
      <c r="AM13" s="799">
        <f t="shared" si="15"/>
        <v>0</v>
      </c>
      <c r="AN13" s="799">
        <f t="shared" si="15"/>
        <v>0</v>
      </c>
      <c r="AO13" s="799">
        <f t="shared" si="15"/>
        <v>0</v>
      </c>
      <c r="AP13" s="289">
        <f t="shared" ref="AP13:AV13" si="16">IFERROR(VLOOKUP($AA$6&amp;$AA$10&amp;$AC$5&amp;$AA13&amp;AP$7, vw.births.demo, 7, FALSE),0)</f>
        <v>0</v>
      </c>
      <c r="AQ13" s="289">
        <f t="shared" si="16"/>
        <v>0</v>
      </c>
      <c r="AR13" s="289">
        <f t="shared" si="16"/>
        <v>0</v>
      </c>
      <c r="AS13" s="289">
        <f t="shared" si="16"/>
        <v>0</v>
      </c>
      <c r="AT13" s="289">
        <f t="shared" si="16"/>
        <v>0</v>
      </c>
      <c r="AU13" s="289">
        <f t="shared" si="16"/>
        <v>0</v>
      </c>
      <c r="AV13" s="289">
        <f t="shared" si="16"/>
        <v>0</v>
      </c>
      <c r="AW13" s="243"/>
      <c r="AX13" s="243"/>
      <c r="AY13" s="243"/>
      <c r="AZ13" s="243"/>
    </row>
    <row r="14" spans="1:58">
      <c r="A14" s="80" t="s">
        <v>73</v>
      </c>
      <c r="B14" s="81"/>
      <c r="C14" s="81"/>
      <c r="D14" s="81"/>
      <c r="E14" s="81"/>
      <c r="F14" s="81"/>
      <c r="G14" s="81"/>
      <c r="H14" s="328"/>
      <c r="I14" s="328"/>
      <c r="J14" s="328"/>
      <c r="K14" s="328"/>
      <c r="L14" s="81"/>
      <c r="M14" s="328"/>
      <c r="N14" s="328"/>
      <c r="O14" s="328"/>
      <c r="P14" s="328"/>
      <c r="Q14" s="328"/>
      <c r="R14" s="81"/>
      <c r="S14" s="81"/>
      <c r="T14" s="81"/>
      <c r="U14" s="81"/>
      <c r="V14" s="81"/>
      <c r="W14" s="167"/>
      <c r="X14" s="167"/>
      <c r="Y14" s="167"/>
      <c r="Z14" s="167"/>
      <c r="AA14" s="289" t="s">
        <v>461</v>
      </c>
      <c r="BA14" s="167"/>
      <c r="BB14" s="167"/>
      <c r="BC14" s="167"/>
      <c r="BD14" s="167"/>
      <c r="BE14" s="167"/>
      <c r="BF14" s="167"/>
    </row>
    <row r="15" spans="1:58" s="77" customFormat="1">
      <c r="A15" s="82" t="s">
        <v>74</v>
      </c>
      <c r="B15" s="333">
        <f>AB15</f>
        <v>44</v>
      </c>
      <c r="C15" s="333">
        <f t="shared" ref="C15:H18" si="17">AC15</f>
        <v>29</v>
      </c>
      <c r="D15" s="333">
        <f t="shared" si="17"/>
        <v>8</v>
      </c>
      <c r="E15" s="333">
        <f t="shared" si="17"/>
        <v>15</v>
      </c>
      <c r="F15" s="333">
        <f t="shared" si="17"/>
        <v>18</v>
      </c>
      <c r="G15" s="333">
        <f t="shared" si="17"/>
        <v>1</v>
      </c>
      <c r="H15" s="351">
        <f t="shared" si="17"/>
        <v>122</v>
      </c>
      <c r="I15" s="333">
        <f>AI15</f>
        <v>13</v>
      </c>
      <c r="J15" s="333">
        <f t="shared" ref="J15:O18" si="18">AJ15</f>
        <v>20</v>
      </c>
      <c r="K15" s="333">
        <f t="shared" si="18"/>
        <v>4</v>
      </c>
      <c r="L15" s="333">
        <f t="shared" si="18"/>
        <v>15</v>
      </c>
      <c r="M15" s="333">
        <f t="shared" si="18"/>
        <v>47</v>
      </c>
      <c r="N15" s="333">
        <f t="shared" si="18"/>
        <v>0</v>
      </c>
      <c r="O15" s="351">
        <f t="shared" si="18"/>
        <v>103</v>
      </c>
      <c r="P15" s="414">
        <f>AP15</f>
        <v>14</v>
      </c>
      <c r="Q15" s="414">
        <f t="shared" ref="Q15:V18" si="19">AQ15</f>
        <v>65</v>
      </c>
      <c r="R15" s="414">
        <f t="shared" si="19"/>
        <v>119</v>
      </c>
      <c r="S15" s="414">
        <f t="shared" si="19"/>
        <v>933</v>
      </c>
      <c r="T15" s="414">
        <f t="shared" si="19"/>
        <v>15761</v>
      </c>
      <c r="U15" s="414">
        <f t="shared" si="19"/>
        <v>426</v>
      </c>
      <c r="V15" s="414">
        <f t="shared" si="19"/>
        <v>17329</v>
      </c>
      <c r="AA15" s="780" t="s">
        <v>129</v>
      </c>
      <c r="AB15" s="799">
        <f t="shared" ref="AB15:AH18" si="20">VLOOKUP($AA$6&amp;$AA$14&amp;$AC$5&amp;$AA15&amp;AB$7&amp;$AB$6, vw.deaths.demo, 7, FALSE)</f>
        <v>44</v>
      </c>
      <c r="AC15" s="799">
        <f t="shared" si="20"/>
        <v>29</v>
      </c>
      <c r="AD15" s="799">
        <f t="shared" si="20"/>
        <v>8</v>
      </c>
      <c r="AE15" s="799">
        <f t="shared" si="20"/>
        <v>15</v>
      </c>
      <c r="AF15" s="799">
        <f t="shared" si="20"/>
        <v>18</v>
      </c>
      <c r="AG15" s="799">
        <f t="shared" si="20"/>
        <v>1</v>
      </c>
      <c r="AH15" s="799">
        <f t="shared" si="20"/>
        <v>122</v>
      </c>
      <c r="AI15" s="799">
        <f t="shared" ref="AI15:AO18" si="21">VLOOKUP($AA$6&amp;$AA$14&amp;$AC$5&amp;$AA15&amp;AI$7&amp;$AI$6, vw.deaths.demo, 7, FALSE)</f>
        <v>13</v>
      </c>
      <c r="AJ15" s="799">
        <f t="shared" si="21"/>
        <v>20</v>
      </c>
      <c r="AK15" s="799">
        <f t="shared" si="21"/>
        <v>4</v>
      </c>
      <c r="AL15" s="799">
        <f t="shared" si="21"/>
        <v>15</v>
      </c>
      <c r="AM15" s="799">
        <f t="shared" si="21"/>
        <v>47</v>
      </c>
      <c r="AN15" s="799">
        <f t="shared" si="21"/>
        <v>0</v>
      </c>
      <c r="AO15" s="799">
        <f t="shared" si="21"/>
        <v>103</v>
      </c>
      <c r="AP15" s="289">
        <f t="shared" ref="AP15:AV18" si="22">VLOOKUP($AA$6&amp;$AA$14&amp;$AC$5&amp;$AA15&amp;AP$7, vw.births.demo, 7, FALSE)</f>
        <v>14</v>
      </c>
      <c r="AQ15" s="289">
        <f t="shared" si="22"/>
        <v>65</v>
      </c>
      <c r="AR15" s="289">
        <f t="shared" si="22"/>
        <v>119</v>
      </c>
      <c r="AS15" s="289">
        <f t="shared" si="22"/>
        <v>933</v>
      </c>
      <c r="AT15" s="289">
        <f t="shared" si="22"/>
        <v>15761</v>
      </c>
      <c r="AU15" s="289">
        <f t="shared" si="22"/>
        <v>426</v>
      </c>
      <c r="AV15" s="289">
        <f t="shared" si="22"/>
        <v>17329</v>
      </c>
      <c r="AW15" s="243"/>
      <c r="AX15" s="243"/>
      <c r="AY15" s="243"/>
      <c r="AZ15" s="243"/>
    </row>
    <row r="16" spans="1:58" s="77" customFormat="1">
      <c r="A16" s="82" t="s">
        <v>320</v>
      </c>
      <c r="B16" s="333">
        <f t="shared" ref="B16:B18" si="23">AB16</f>
        <v>7</v>
      </c>
      <c r="C16" s="333">
        <f t="shared" si="17"/>
        <v>9</v>
      </c>
      <c r="D16" s="333">
        <f t="shared" si="17"/>
        <v>4</v>
      </c>
      <c r="E16" s="333">
        <f t="shared" si="17"/>
        <v>6</v>
      </c>
      <c r="F16" s="333">
        <f t="shared" si="17"/>
        <v>14</v>
      </c>
      <c r="G16" s="333">
        <f t="shared" si="17"/>
        <v>1</v>
      </c>
      <c r="H16" s="351">
        <f t="shared" si="17"/>
        <v>45</v>
      </c>
      <c r="I16" s="333">
        <f t="shared" ref="I16:I18" si="24">AI16</f>
        <v>6</v>
      </c>
      <c r="J16" s="333">
        <f t="shared" si="18"/>
        <v>9</v>
      </c>
      <c r="K16" s="333">
        <f t="shared" si="18"/>
        <v>0</v>
      </c>
      <c r="L16" s="333">
        <f t="shared" si="18"/>
        <v>9</v>
      </c>
      <c r="M16" s="333">
        <f t="shared" si="18"/>
        <v>12</v>
      </c>
      <c r="N16" s="333">
        <f t="shared" si="18"/>
        <v>0</v>
      </c>
      <c r="O16" s="351">
        <f t="shared" si="18"/>
        <v>37</v>
      </c>
      <c r="P16" s="414">
        <f t="shared" ref="P16:P18" si="25">AP16</f>
        <v>5</v>
      </c>
      <c r="Q16" s="414">
        <f t="shared" si="19"/>
        <v>27</v>
      </c>
      <c r="R16" s="414">
        <f t="shared" si="19"/>
        <v>22</v>
      </c>
      <c r="S16" s="414">
        <f t="shared" si="19"/>
        <v>211</v>
      </c>
      <c r="T16" s="414">
        <f t="shared" si="19"/>
        <v>5449</v>
      </c>
      <c r="U16" s="414">
        <f t="shared" si="19"/>
        <v>261</v>
      </c>
      <c r="V16" s="414">
        <f t="shared" si="19"/>
        <v>5976</v>
      </c>
      <c r="AA16" s="780" t="s">
        <v>320</v>
      </c>
      <c r="AB16" s="799">
        <f t="shared" si="20"/>
        <v>7</v>
      </c>
      <c r="AC16" s="799">
        <f t="shared" si="20"/>
        <v>9</v>
      </c>
      <c r="AD16" s="799">
        <f t="shared" si="20"/>
        <v>4</v>
      </c>
      <c r="AE16" s="799">
        <f t="shared" si="20"/>
        <v>6</v>
      </c>
      <c r="AF16" s="799">
        <f t="shared" si="20"/>
        <v>14</v>
      </c>
      <c r="AG16" s="799">
        <f t="shared" si="20"/>
        <v>1</v>
      </c>
      <c r="AH16" s="799">
        <f t="shared" si="20"/>
        <v>45</v>
      </c>
      <c r="AI16" s="799">
        <f t="shared" si="21"/>
        <v>6</v>
      </c>
      <c r="AJ16" s="799">
        <f t="shared" si="21"/>
        <v>9</v>
      </c>
      <c r="AK16" s="799">
        <f t="shared" si="21"/>
        <v>0</v>
      </c>
      <c r="AL16" s="799">
        <f t="shared" si="21"/>
        <v>9</v>
      </c>
      <c r="AM16" s="799">
        <f t="shared" si="21"/>
        <v>12</v>
      </c>
      <c r="AN16" s="799">
        <f t="shared" si="21"/>
        <v>0</v>
      </c>
      <c r="AO16" s="799">
        <f t="shared" si="21"/>
        <v>37</v>
      </c>
      <c r="AP16" s="289">
        <f t="shared" si="22"/>
        <v>5</v>
      </c>
      <c r="AQ16" s="289">
        <f t="shared" si="22"/>
        <v>27</v>
      </c>
      <c r="AR16" s="289">
        <f t="shared" si="22"/>
        <v>22</v>
      </c>
      <c r="AS16" s="289">
        <f t="shared" si="22"/>
        <v>211</v>
      </c>
      <c r="AT16" s="289">
        <f t="shared" si="22"/>
        <v>5449</v>
      </c>
      <c r="AU16" s="289">
        <f t="shared" si="22"/>
        <v>261</v>
      </c>
      <c r="AV16" s="289">
        <f t="shared" si="22"/>
        <v>5976</v>
      </c>
      <c r="AW16" s="243"/>
      <c r="AX16" s="243"/>
      <c r="AY16" s="243"/>
      <c r="AZ16" s="243"/>
    </row>
    <row r="17" spans="1:58" s="77" customFormat="1">
      <c r="A17" s="310" t="s">
        <v>355</v>
      </c>
      <c r="B17" s="333">
        <f t="shared" si="23"/>
        <v>28</v>
      </c>
      <c r="C17" s="333">
        <f t="shared" si="17"/>
        <v>16</v>
      </c>
      <c r="D17" s="333">
        <f t="shared" si="17"/>
        <v>7</v>
      </c>
      <c r="E17" s="333">
        <f t="shared" si="17"/>
        <v>7</v>
      </c>
      <c r="F17" s="333">
        <f t="shared" si="17"/>
        <v>13</v>
      </c>
      <c r="G17" s="333">
        <f t="shared" si="17"/>
        <v>0</v>
      </c>
      <c r="H17" s="351">
        <f t="shared" si="17"/>
        <v>73</v>
      </c>
      <c r="I17" s="333">
        <f t="shared" si="24"/>
        <v>9</v>
      </c>
      <c r="J17" s="333">
        <f t="shared" si="18"/>
        <v>7</v>
      </c>
      <c r="K17" s="333">
        <f t="shared" si="18"/>
        <v>1</v>
      </c>
      <c r="L17" s="333">
        <f t="shared" si="18"/>
        <v>2</v>
      </c>
      <c r="M17" s="333">
        <f t="shared" si="18"/>
        <v>7</v>
      </c>
      <c r="N17" s="333">
        <f t="shared" si="18"/>
        <v>0</v>
      </c>
      <c r="O17" s="351">
        <f t="shared" si="18"/>
        <v>27</v>
      </c>
      <c r="P17" s="414">
        <f t="shared" si="25"/>
        <v>19</v>
      </c>
      <c r="Q17" s="414">
        <f t="shared" si="19"/>
        <v>40</v>
      </c>
      <c r="R17" s="414">
        <f t="shared" si="19"/>
        <v>59</v>
      </c>
      <c r="S17" s="414">
        <f t="shared" si="19"/>
        <v>684</v>
      </c>
      <c r="T17" s="414">
        <f t="shared" si="19"/>
        <v>10050</v>
      </c>
      <c r="U17" s="414">
        <f t="shared" si="19"/>
        <v>44</v>
      </c>
      <c r="V17" s="414">
        <f t="shared" si="19"/>
        <v>10902</v>
      </c>
      <c r="AA17" s="780" t="s">
        <v>355</v>
      </c>
      <c r="AB17" s="799">
        <f t="shared" si="20"/>
        <v>28</v>
      </c>
      <c r="AC17" s="799">
        <f t="shared" si="20"/>
        <v>16</v>
      </c>
      <c r="AD17" s="799">
        <f t="shared" si="20"/>
        <v>7</v>
      </c>
      <c r="AE17" s="799">
        <f t="shared" si="20"/>
        <v>7</v>
      </c>
      <c r="AF17" s="799">
        <f t="shared" si="20"/>
        <v>13</v>
      </c>
      <c r="AG17" s="799">
        <f t="shared" si="20"/>
        <v>0</v>
      </c>
      <c r="AH17" s="799">
        <f t="shared" si="20"/>
        <v>73</v>
      </c>
      <c r="AI17" s="799">
        <f t="shared" si="21"/>
        <v>9</v>
      </c>
      <c r="AJ17" s="799">
        <f t="shared" si="21"/>
        <v>7</v>
      </c>
      <c r="AK17" s="799">
        <f t="shared" si="21"/>
        <v>1</v>
      </c>
      <c r="AL17" s="799">
        <f t="shared" si="21"/>
        <v>2</v>
      </c>
      <c r="AM17" s="799">
        <f t="shared" si="21"/>
        <v>7</v>
      </c>
      <c r="AN17" s="799">
        <f t="shared" si="21"/>
        <v>0</v>
      </c>
      <c r="AO17" s="799">
        <f t="shared" si="21"/>
        <v>27</v>
      </c>
      <c r="AP17" s="289">
        <f t="shared" si="22"/>
        <v>19</v>
      </c>
      <c r="AQ17" s="289">
        <f t="shared" si="22"/>
        <v>40</v>
      </c>
      <c r="AR17" s="289">
        <f t="shared" si="22"/>
        <v>59</v>
      </c>
      <c r="AS17" s="289">
        <f t="shared" si="22"/>
        <v>684</v>
      </c>
      <c r="AT17" s="289">
        <f t="shared" si="22"/>
        <v>10050</v>
      </c>
      <c r="AU17" s="289">
        <f t="shared" si="22"/>
        <v>44</v>
      </c>
      <c r="AV17" s="289">
        <f t="shared" si="22"/>
        <v>10902</v>
      </c>
      <c r="AW17" s="243"/>
      <c r="AX17" s="243"/>
      <c r="AY17" s="243"/>
      <c r="AZ17" s="243"/>
    </row>
    <row r="18" spans="1:58" s="77" customFormat="1">
      <c r="A18" s="310" t="s">
        <v>356</v>
      </c>
      <c r="B18" s="333">
        <f t="shared" si="23"/>
        <v>62</v>
      </c>
      <c r="C18" s="333">
        <f t="shared" si="17"/>
        <v>43</v>
      </c>
      <c r="D18" s="333">
        <f t="shared" si="17"/>
        <v>8</v>
      </c>
      <c r="E18" s="333">
        <f t="shared" si="17"/>
        <v>17</v>
      </c>
      <c r="F18" s="333">
        <f t="shared" si="17"/>
        <v>36</v>
      </c>
      <c r="G18" s="333">
        <f t="shared" si="17"/>
        <v>2</v>
      </c>
      <c r="H18" s="351">
        <f t="shared" si="17"/>
        <v>173</v>
      </c>
      <c r="I18" s="333">
        <f t="shared" si="24"/>
        <v>9</v>
      </c>
      <c r="J18" s="333">
        <f t="shared" si="18"/>
        <v>21</v>
      </c>
      <c r="K18" s="333">
        <f t="shared" si="18"/>
        <v>3</v>
      </c>
      <c r="L18" s="333">
        <f t="shared" si="18"/>
        <v>9</v>
      </c>
      <c r="M18" s="333">
        <f t="shared" si="18"/>
        <v>29</v>
      </c>
      <c r="N18" s="333">
        <f t="shared" si="18"/>
        <v>0</v>
      </c>
      <c r="O18" s="351">
        <f t="shared" si="18"/>
        <v>74</v>
      </c>
      <c r="P18" s="414">
        <f t="shared" si="25"/>
        <v>15</v>
      </c>
      <c r="Q18" s="414">
        <f t="shared" si="19"/>
        <v>64</v>
      </c>
      <c r="R18" s="414">
        <f t="shared" si="19"/>
        <v>131</v>
      </c>
      <c r="S18" s="414">
        <f t="shared" si="19"/>
        <v>1163</v>
      </c>
      <c r="T18" s="414">
        <f t="shared" si="19"/>
        <v>24147</v>
      </c>
      <c r="U18" s="414">
        <f t="shared" si="19"/>
        <v>692</v>
      </c>
      <c r="V18" s="414">
        <f t="shared" si="19"/>
        <v>26229</v>
      </c>
      <c r="AA18" s="780" t="s">
        <v>356</v>
      </c>
      <c r="AB18" s="799">
        <f t="shared" si="20"/>
        <v>62</v>
      </c>
      <c r="AC18" s="799">
        <f t="shared" si="20"/>
        <v>43</v>
      </c>
      <c r="AD18" s="799">
        <f t="shared" si="20"/>
        <v>8</v>
      </c>
      <c r="AE18" s="799">
        <f t="shared" si="20"/>
        <v>17</v>
      </c>
      <c r="AF18" s="799">
        <f t="shared" si="20"/>
        <v>36</v>
      </c>
      <c r="AG18" s="799">
        <f t="shared" si="20"/>
        <v>2</v>
      </c>
      <c r="AH18" s="799">
        <f t="shared" si="20"/>
        <v>173</v>
      </c>
      <c r="AI18" s="799">
        <f t="shared" si="21"/>
        <v>9</v>
      </c>
      <c r="AJ18" s="799">
        <f t="shared" si="21"/>
        <v>21</v>
      </c>
      <c r="AK18" s="799">
        <f t="shared" si="21"/>
        <v>3</v>
      </c>
      <c r="AL18" s="799">
        <f t="shared" si="21"/>
        <v>9</v>
      </c>
      <c r="AM18" s="799">
        <f t="shared" si="21"/>
        <v>29</v>
      </c>
      <c r="AN18" s="799">
        <f t="shared" si="21"/>
        <v>0</v>
      </c>
      <c r="AO18" s="799">
        <f t="shared" si="21"/>
        <v>74</v>
      </c>
      <c r="AP18" s="289">
        <f t="shared" si="22"/>
        <v>15</v>
      </c>
      <c r="AQ18" s="289">
        <f t="shared" si="22"/>
        <v>64</v>
      </c>
      <c r="AR18" s="289">
        <f t="shared" si="22"/>
        <v>131</v>
      </c>
      <c r="AS18" s="289">
        <f t="shared" si="22"/>
        <v>1163</v>
      </c>
      <c r="AT18" s="289">
        <f t="shared" si="22"/>
        <v>24147</v>
      </c>
      <c r="AU18" s="289">
        <f t="shared" si="22"/>
        <v>692</v>
      </c>
      <c r="AV18" s="289">
        <f t="shared" si="22"/>
        <v>26229</v>
      </c>
      <c r="AW18" s="243"/>
      <c r="AX18" s="243"/>
      <c r="AY18" s="243"/>
      <c r="AZ18" s="243"/>
    </row>
    <row r="19" spans="1:58">
      <c r="A19" s="80" t="s">
        <v>152</v>
      </c>
      <c r="B19" s="81"/>
      <c r="C19" s="81"/>
      <c r="D19" s="81"/>
      <c r="E19" s="81"/>
      <c r="F19" s="81"/>
      <c r="G19" s="81"/>
      <c r="H19" s="328"/>
      <c r="I19" s="328"/>
      <c r="J19" s="328"/>
      <c r="K19" s="328"/>
      <c r="L19" s="81"/>
      <c r="M19" s="328"/>
      <c r="N19" s="328"/>
      <c r="O19" s="328"/>
      <c r="P19" s="328"/>
      <c r="Q19" s="328"/>
      <c r="R19" s="81"/>
      <c r="S19" s="81"/>
      <c r="T19" s="81"/>
      <c r="U19" s="81"/>
      <c r="V19" s="335"/>
      <c r="W19" s="167"/>
      <c r="X19" s="167"/>
      <c r="Y19" s="167"/>
      <c r="Z19" s="167"/>
      <c r="AA19" s="289" t="s">
        <v>462</v>
      </c>
      <c r="BA19" s="167"/>
      <c r="BB19" s="167"/>
      <c r="BC19" s="167"/>
      <c r="BD19" s="167"/>
      <c r="BE19" s="167"/>
      <c r="BF19" s="167"/>
    </row>
    <row r="20" spans="1:58" s="77" customFormat="1">
      <c r="A20" s="423" t="s">
        <v>339</v>
      </c>
      <c r="B20" s="333">
        <f>AB20</f>
        <v>11</v>
      </c>
      <c r="C20" s="333">
        <f t="shared" ref="C20:H26" si="26">AC20</f>
        <v>8</v>
      </c>
      <c r="D20" s="333">
        <f t="shared" si="26"/>
        <v>3</v>
      </c>
      <c r="E20" s="333">
        <f t="shared" si="26"/>
        <v>7</v>
      </c>
      <c r="F20" s="333">
        <f t="shared" si="26"/>
        <v>6</v>
      </c>
      <c r="G20" s="333">
        <f t="shared" si="26"/>
        <v>0</v>
      </c>
      <c r="H20" s="351">
        <f t="shared" si="26"/>
        <v>36</v>
      </c>
      <c r="I20" s="333">
        <f>AI20</f>
        <v>2</v>
      </c>
      <c r="J20" s="333">
        <f t="shared" ref="J20:O26" si="27">AJ20</f>
        <v>8</v>
      </c>
      <c r="K20" s="333">
        <f t="shared" si="27"/>
        <v>1</v>
      </c>
      <c r="L20" s="333">
        <f t="shared" si="27"/>
        <v>3</v>
      </c>
      <c r="M20" s="333">
        <f t="shared" si="27"/>
        <v>12</v>
      </c>
      <c r="N20" s="333">
        <f t="shared" si="27"/>
        <v>0</v>
      </c>
      <c r="O20" s="351">
        <f t="shared" si="27"/>
        <v>27</v>
      </c>
      <c r="P20" s="414">
        <f>AP20</f>
        <v>2</v>
      </c>
      <c r="Q20" s="414">
        <f t="shared" ref="Q20:V26" si="28">AQ20</f>
        <v>19</v>
      </c>
      <c r="R20" s="414">
        <f t="shared" si="28"/>
        <v>21</v>
      </c>
      <c r="S20" s="414">
        <f t="shared" si="28"/>
        <v>164</v>
      </c>
      <c r="T20" s="414">
        <f t="shared" si="28"/>
        <v>2320</v>
      </c>
      <c r="U20" s="414">
        <f t="shared" si="28"/>
        <v>31</v>
      </c>
      <c r="V20" s="414">
        <f t="shared" si="28"/>
        <v>2559</v>
      </c>
      <c r="AA20" s="780" t="s">
        <v>339</v>
      </c>
      <c r="AB20" s="799">
        <f t="shared" ref="AB20:AH26" si="29">IFERROR(VLOOKUP($AA$6&amp;$AA$19&amp;$AC$5&amp;$AA20&amp;AB$7&amp;$AB$6, vw.deaths.demo, 7, FALSE),0)</f>
        <v>11</v>
      </c>
      <c r="AC20" s="799">
        <f t="shared" si="29"/>
        <v>8</v>
      </c>
      <c r="AD20" s="799">
        <f t="shared" si="29"/>
        <v>3</v>
      </c>
      <c r="AE20" s="799">
        <f t="shared" si="29"/>
        <v>7</v>
      </c>
      <c r="AF20" s="799">
        <f t="shared" si="29"/>
        <v>6</v>
      </c>
      <c r="AG20" s="799">
        <f t="shared" si="29"/>
        <v>0</v>
      </c>
      <c r="AH20" s="799">
        <f t="shared" si="29"/>
        <v>36</v>
      </c>
      <c r="AI20" s="799">
        <f t="shared" ref="AI20:AO26" si="30">IFERROR(VLOOKUP($AA$6&amp;$AA$19&amp;$AC$5&amp;$AA20&amp;AI$7&amp;$AI$6, vw.deaths.demo, 7, FALSE),0)</f>
        <v>2</v>
      </c>
      <c r="AJ20" s="799">
        <f t="shared" si="30"/>
        <v>8</v>
      </c>
      <c r="AK20" s="799">
        <f t="shared" si="30"/>
        <v>1</v>
      </c>
      <c r="AL20" s="799">
        <f t="shared" si="30"/>
        <v>3</v>
      </c>
      <c r="AM20" s="799">
        <f t="shared" si="30"/>
        <v>12</v>
      </c>
      <c r="AN20" s="799">
        <f t="shared" si="30"/>
        <v>0</v>
      </c>
      <c r="AO20" s="799">
        <f t="shared" si="30"/>
        <v>27</v>
      </c>
      <c r="AP20" s="289">
        <f>IFERROR(VLOOKUP($AA$6&amp;$AA$19&amp;$AC$5&amp;$AA20&amp;AP$7, vw.births.demo, 7, FALSE),0)</f>
        <v>2</v>
      </c>
      <c r="AQ20" s="289">
        <f t="shared" ref="AP20:AV25" si="31">VLOOKUP($AA$6&amp;$AA$19&amp;$AC$5&amp;$AA20&amp;AQ$7, vw.births.demo, 7, FALSE)</f>
        <v>19</v>
      </c>
      <c r="AR20" s="289">
        <f t="shared" si="31"/>
        <v>21</v>
      </c>
      <c r="AS20" s="289">
        <f t="shared" si="31"/>
        <v>164</v>
      </c>
      <c r="AT20" s="289">
        <f t="shared" si="31"/>
        <v>2320</v>
      </c>
      <c r="AU20" s="289">
        <f t="shared" si="31"/>
        <v>31</v>
      </c>
      <c r="AV20" s="289">
        <f t="shared" si="31"/>
        <v>2559</v>
      </c>
      <c r="AW20" s="243"/>
      <c r="AX20" s="243"/>
      <c r="AY20" s="243"/>
      <c r="AZ20" s="243"/>
    </row>
    <row r="21" spans="1:58" s="77" customFormat="1">
      <c r="A21" s="82" t="s">
        <v>77</v>
      </c>
      <c r="B21" s="333">
        <f t="shared" ref="B21:B26" si="32">AB21</f>
        <v>23</v>
      </c>
      <c r="C21" s="333">
        <f t="shared" si="26"/>
        <v>15</v>
      </c>
      <c r="D21" s="333">
        <f t="shared" si="26"/>
        <v>1</v>
      </c>
      <c r="E21" s="333">
        <f t="shared" si="26"/>
        <v>11</v>
      </c>
      <c r="F21" s="333">
        <f t="shared" si="26"/>
        <v>18</v>
      </c>
      <c r="G21" s="333">
        <f t="shared" si="26"/>
        <v>0</v>
      </c>
      <c r="H21" s="351">
        <f t="shared" si="26"/>
        <v>73</v>
      </c>
      <c r="I21" s="333">
        <f t="shared" ref="I21:I25" si="33">AI21</f>
        <v>11</v>
      </c>
      <c r="J21" s="333">
        <f t="shared" si="27"/>
        <v>14</v>
      </c>
      <c r="K21" s="333">
        <f t="shared" si="27"/>
        <v>0</v>
      </c>
      <c r="L21" s="333">
        <f t="shared" si="27"/>
        <v>10</v>
      </c>
      <c r="M21" s="333">
        <f t="shared" si="27"/>
        <v>23</v>
      </c>
      <c r="N21" s="333">
        <f t="shared" si="27"/>
        <v>0</v>
      </c>
      <c r="O21" s="351">
        <f t="shared" si="27"/>
        <v>61</v>
      </c>
      <c r="P21" s="414">
        <f t="shared" ref="P21:P26" si="34">AP21</f>
        <v>11</v>
      </c>
      <c r="Q21" s="414">
        <f t="shared" si="28"/>
        <v>30</v>
      </c>
      <c r="R21" s="414">
        <f t="shared" si="28"/>
        <v>51</v>
      </c>
      <c r="S21" s="414">
        <f t="shared" si="28"/>
        <v>500</v>
      </c>
      <c r="T21" s="414">
        <f t="shared" si="28"/>
        <v>9130</v>
      </c>
      <c r="U21" s="414">
        <f t="shared" si="28"/>
        <v>208</v>
      </c>
      <c r="V21" s="414">
        <f t="shared" si="28"/>
        <v>9934</v>
      </c>
      <c r="AA21" s="780" t="s">
        <v>130</v>
      </c>
      <c r="AB21" s="799">
        <f t="shared" si="29"/>
        <v>23</v>
      </c>
      <c r="AC21" s="799">
        <f t="shared" si="29"/>
        <v>15</v>
      </c>
      <c r="AD21" s="799">
        <f t="shared" si="29"/>
        <v>1</v>
      </c>
      <c r="AE21" s="799">
        <f t="shared" si="29"/>
        <v>11</v>
      </c>
      <c r="AF21" s="799">
        <f t="shared" si="29"/>
        <v>18</v>
      </c>
      <c r="AG21" s="799">
        <f t="shared" si="29"/>
        <v>0</v>
      </c>
      <c r="AH21" s="799">
        <f t="shared" si="29"/>
        <v>73</v>
      </c>
      <c r="AI21" s="799">
        <f t="shared" si="30"/>
        <v>11</v>
      </c>
      <c r="AJ21" s="799">
        <f t="shared" si="30"/>
        <v>14</v>
      </c>
      <c r="AK21" s="799">
        <f t="shared" si="30"/>
        <v>0</v>
      </c>
      <c r="AL21" s="799">
        <f t="shared" si="30"/>
        <v>10</v>
      </c>
      <c r="AM21" s="799">
        <f t="shared" si="30"/>
        <v>23</v>
      </c>
      <c r="AN21" s="799">
        <f t="shared" si="30"/>
        <v>0</v>
      </c>
      <c r="AO21" s="799">
        <f t="shared" si="30"/>
        <v>61</v>
      </c>
      <c r="AP21" s="289">
        <f t="shared" si="31"/>
        <v>11</v>
      </c>
      <c r="AQ21" s="289">
        <f t="shared" si="31"/>
        <v>30</v>
      </c>
      <c r="AR21" s="289">
        <f t="shared" si="31"/>
        <v>51</v>
      </c>
      <c r="AS21" s="289">
        <f t="shared" si="31"/>
        <v>500</v>
      </c>
      <c r="AT21" s="289">
        <f t="shared" si="31"/>
        <v>9130</v>
      </c>
      <c r="AU21" s="289">
        <f t="shared" si="31"/>
        <v>208</v>
      </c>
      <c r="AV21" s="289">
        <f t="shared" si="31"/>
        <v>9934</v>
      </c>
      <c r="AW21" s="243"/>
      <c r="AX21" s="243"/>
      <c r="AY21" s="243"/>
      <c r="AZ21" s="243"/>
    </row>
    <row r="22" spans="1:58" s="77" customFormat="1">
      <c r="A22" s="82" t="s">
        <v>78</v>
      </c>
      <c r="B22" s="333">
        <f t="shared" si="32"/>
        <v>40</v>
      </c>
      <c r="C22" s="333">
        <f t="shared" si="26"/>
        <v>23</v>
      </c>
      <c r="D22" s="333">
        <f t="shared" si="26"/>
        <v>11</v>
      </c>
      <c r="E22" s="333">
        <f t="shared" si="26"/>
        <v>5</v>
      </c>
      <c r="F22" s="333">
        <f t="shared" si="26"/>
        <v>17</v>
      </c>
      <c r="G22" s="333">
        <f t="shared" si="26"/>
        <v>2</v>
      </c>
      <c r="H22" s="351">
        <f t="shared" si="26"/>
        <v>103</v>
      </c>
      <c r="I22" s="333">
        <f t="shared" si="33"/>
        <v>7</v>
      </c>
      <c r="J22" s="333">
        <f t="shared" si="27"/>
        <v>14</v>
      </c>
      <c r="K22" s="333">
        <f t="shared" si="27"/>
        <v>4</v>
      </c>
      <c r="L22" s="333">
        <f t="shared" si="27"/>
        <v>3</v>
      </c>
      <c r="M22" s="333">
        <f t="shared" si="27"/>
        <v>23</v>
      </c>
      <c r="N22" s="333">
        <f t="shared" si="27"/>
        <v>0</v>
      </c>
      <c r="O22" s="351">
        <f t="shared" si="27"/>
        <v>52</v>
      </c>
      <c r="P22" s="414">
        <f t="shared" si="34"/>
        <v>13</v>
      </c>
      <c r="Q22" s="414">
        <f t="shared" si="28"/>
        <v>48</v>
      </c>
      <c r="R22" s="414">
        <f t="shared" si="28"/>
        <v>95</v>
      </c>
      <c r="S22" s="414">
        <f t="shared" si="28"/>
        <v>755</v>
      </c>
      <c r="T22" s="414">
        <f t="shared" si="28"/>
        <v>15332</v>
      </c>
      <c r="U22" s="414">
        <f t="shared" si="28"/>
        <v>410</v>
      </c>
      <c r="V22" s="414">
        <f t="shared" si="28"/>
        <v>16664</v>
      </c>
      <c r="AA22" s="780" t="s">
        <v>131</v>
      </c>
      <c r="AB22" s="799">
        <f t="shared" si="29"/>
        <v>40</v>
      </c>
      <c r="AC22" s="799">
        <f t="shared" si="29"/>
        <v>23</v>
      </c>
      <c r="AD22" s="799">
        <f t="shared" si="29"/>
        <v>11</v>
      </c>
      <c r="AE22" s="799">
        <f t="shared" si="29"/>
        <v>5</v>
      </c>
      <c r="AF22" s="799">
        <f t="shared" si="29"/>
        <v>17</v>
      </c>
      <c r="AG22" s="799">
        <f t="shared" si="29"/>
        <v>2</v>
      </c>
      <c r="AH22" s="799">
        <f t="shared" si="29"/>
        <v>103</v>
      </c>
      <c r="AI22" s="799">
        <f t="shared" si="30"/>
        <v>7</v>
      </c>
      <c r="AJ22" s="799">
        <f t="shared" si="30"/>
        <v>14</v>
      </c>
      <c r="AK22" s="799">
        <f t="shared" si="30"/>
        <v>4</v>
      </c>
      <c r="AL22" s="799">
        <f t="shared" si="30"/>
        <v>3</v>
      </c>
      <c r="AM22" s="799">
        <f t="shared" si="30"/>
        <v>23</v>
      </c>
      <c r="AN22" s="799">
        <f t="shared" si="30"/>
        <v>0</v>
      </c>
      <c r="AO22" s="799">
        <f t="shared" si="30"/>
        <v>52</v>
      </c>
      <c r="AP22" s="289">
        <f t="shared" si="31"/>
        <v>13</v>
      </c>
      <c r="AQ22" s="289">
        <f t="shared" si="31"/>
        <v>48</v>
      </c>
      <c r="AR22" s="289">
        <f t="shared" si="31"/>
        <v>95</v>
      </c>
      <c r="AS22" s="289">
        <f t="shared" si="31"/>
        <v>755</v>
      </c>
      <c r="AT22" s="289">
        <f t="shared" si="31"/>
        <v>15332</v>
      </c>
      <c r="AU22" s="289">
        <f t="shared" si="31"/>
        <v>410</v>
      </c>
      <c r="AV22" s="289">
        <f t="shared" si="31"/>
        <v>16664</v>
      </c>
      <c r="AW22" s="243"/>
      <c r="AX22" s="243"/>
      <c r="AY22" s="243"/>
      <c r="AZ22" s="243"/>
    </row>
    <row r="23" spans="1:58" s="77" customFormat="1">
      <c r="A23" s="82" t="s">
        <v>79</v>
      </c>
      <c r="B23" s="333">
        <f t="shared" si="32"/>
        <v>43</v>
      </c>
      <c r="C23" s="333">
        <f t="shared" si="26"/>
        <v>25</v>
      </c>
      <c r="D23" s="333">
        <f t="shared" si="26"/>
        <v>6</v>
      </c>
      <c r="E23" s="333">
        <f t="shared" si="26"/>
        <v>13</v>
      </c>
      <c r="F23" s="333">
        <f t="shared" si="26"/>
        <v>25</v>
      </c>
      <c r="G23" s="333">
        <f t="shared" si="26"/>
        <v>0</v>
      </c>
      <c r="H23" s="351">
        <f t="shared" si="26"/>
        <v>115</v>
      </c>
      <c r="I23" s="333">
        <f t="shared" si="33"/>
        <v>12</v>
      </c>
      <c r="J23" s="333">
        <f t="shared" si="27"/>
        <v>14</v>
      </c>
      <c r="K23" s="333">
        <f t="shared" si="27"/>
        <v>0</v>
      </c>
      <c r="L23" s="333">
        <f t="shared" si="27"/>
        <v>10</v>
      </c>
      <c r="M23" s="333">
        <f t="shared" si="27"/>
        <v>21</v>
      </c>
      <c r="N23" s="333">
        <f t="shared" si="27"/>
        <v>0</v>
      </c>
      <c r="O23" s="351">
        <f t="shared" si="27"/>
        <v>59</v>
      </c>
      <c r="P23" s="414">
        <f t="shared" si="34"/>
        <v>19</v>
      </c>
      <c r="Q23" s="414">
        <f t="shared" si="28"/>
        <v>44</v>
      </c>
      <c r="R23" s="414">
        <f t="shared" si="28"/>
        <v>101</v>
      </c>
      <c r="S23" s="414">
        <f t="shared" si="28"/>
        <v>903</v>
      </c>
      <c r="T23" s="414">
        <f t="shared" si="28"/>
        <v>17196</v>
      </c>
      <c r="U23" s="414">
        <f t="shared" si="28"/>
        <v>449</v>
      </c>
      <c r="V23" s="414">
        <f t="shared" si="28"/>
        <v>18720</v>
      </c>
      <c r="AA23" s="780" t="s">
        <v>132</v>
      </c>
      <c r="AB23" s="799">
        <f t="shared" si="29"/>
        <v>43</v>
      </c>
      <c r="AC23" s="799">
        <f t="shared" si="29"/>
        <v>25</v>
      </c>
      <c r="AD23" s="799">
        <f t="shared" si="29"/>
        <v>6</v>
      </c>
      <c r="AE23" s="799">
        <f t="shared" si="29"/>
        <v>13</v>
      </c>
      <c r="AF23" s="799">
        <f t="shared" si="29"/>
        <v>25</v>
      </c>
      <c r="AG23" s="799">
        <f t="shared" si="29"/>
        <v>0</v>
      </c>
      <c r="AH23" s="799">
        <f t="shared" si="29"/>
        <v>115</v>
      </c>
      <c r="AI23" s="799">
        <f t="shared" si="30"/>
        <v>12</v>
      </c>
      <c r="AJ23" s="799">
        <f t="shared" si="30"/>
        <v>14</v>
      </c>
      <c r="AK23" s="799">
        <f t="shared" si="30"/>
        <v>0</v>
      </c>
      <c r="AL23" s="799">
        <f t="shared" si="30"/>
        <v>10</v>
      </c>
      <c r="AM23" s="799">
        <f t="shared" si="30"/>
        <v>21</v>
      </c>
      <c r="AN23" s="799">
        <f t="shared" si="30"/>
        <v>0</v>
      </c>
      <c r="AO23" s="799">
        <f t="shared" si="30"/>
        <v>59</v>
      </c>
      <c r="AP23" s="289">
        <f t="shared" si="31"/>
        <v>19</v>
      </c>
      <c r="AQ23" s="289">
        <f t="shared" si="31"/>
        <v>44</v>
      </c>
      <c r="AR23" s="289">
        <f t="shared" si="31"/>
        <v>101</v>
      </c>
      <c r="AS23" s="289">
        <f t="shared" si="31"/>
        <v>903</v>
      </c>
      <c r="AT23" s="289">
        <f t="shared" si="31"/>
        <v>17196</v>
      </c>
      <c r="AU23" s="289">
        <f t="shared" si="31"/>
        <v>449</v>
      </c>
      <c r="AV23" s="289">
        <f t="shared" si="31"/>
        <v>18720</v>
      </c>
      <c r="AW23" s="243"/>
      <c r="AX23" s="243"/>
      <c r="AY23" s="243"/>
      <c r="AZ23" s="243"/>
    </row>
    <row r="24" spans="1:58" s="77" customFormat="1">
      <c r="A24" s="82" t="s">
        <v>80</v>
      </c>
      <c r="B24" s="333">
        <f t="shared" si="32"/>
        <v>20</v>
      </c>
      <c r="C24" s="333">
        <f t="shared" si="26"/>
        <v>20</v>
      </c>
      <c r="D24" s="333">
        <f t="shared" si="26"/>
        <v>6</v>
      </c>
      <c r="E24" s="333">
        <f t="shared" si="26"/>
        <v>8</v>
      </c>
      <c r="F24" s="333">
        <f t="shared" si="26"/>
        <v>12</v>
      </c>
      <c r="G24" s="333">
        <f t="shared" si="26"/>
        <v>2</v>
      </c>
      <c r="H24" s="351">
        <f t="shared" si="26"/>
        <v>70</v>
      </c>
      <c r="I24" s="333">
        <f t="shared" si="33"/>
        <v>3</v>
      </c>
      <c r="J24" s="333">
        <f t="shared" si="27"/>
        <v>3</v>
      </c>
      <c r="K24" s="333">
        <f t="shared" si="27"/>
        <v>2</v>
      </c>
      <c r="L24" s="333">
        <f t="shared" si="27"/>
        <v>6</v>
      </c>
      <c r="M24" s="333">
        <f t="shared" si="27"/>
        <v>12</v>
      </c>
      <c r="N24" s="333">
        <f t="shared" si="27"/>
        <v>0</v>
      </c>
      <c r="O24" s="351">
        <f t="shared" si="27"/>
        <v>26</v>
      </c>
      <c r="P24" s="414">
        <f t="shared" si="34"/>
        <v>7</v>
      </c>
      <c r="Q24" s="414">
        <f t="shared" si="28"/>
        <v>41</v>
      </c>
      <c r="R24" s="414">
        <f t="shared" si="28"/>
        <v>47</v>
      </c>
      <c r="S24" s="414">
        <f t="shared" si="28"/>
        <v>504</v>
      </c>
      <c r="T24" s="414">
        <f t="shared" si="28"/>
        <v>9239</v>
      </c>
      <c r="U24" s="414">
        <f t="shared" si="28"/>
        <v>260</v>
      </c>
      <c r="V24" s="414">
        <f t="shared" si="28"/>
        <v>10105</v>
      </c>
      <c r="AA24" s="780" t="s">
        <v>133</v>
      </c>
      <c r="AB24" s="799">
        <f t="shared" si="29"/>
        <v>20</v>
      </c>
      <c r="AC24" s="799">
        <f t="shared" si="29"/>
        <v>20</v>
      </c>
      <c r="AD24" s="799">
        <f t="shared" si="29"/>
        <v>6</v>
      </c>
      <c r="AE24" s="799">
        <f t="shared" si="29"/>
        <v>8</v>
      </c>
      <c r="AF24" s="799">
        <f t="shared" si="29"/>
        <v>12</v>
      </c>
      <c r="AG24" s="799">
        <f t="shared" si="29"/>
        <v>2</v>
      </c>
      <c r="AH24" s="799">
        <f t="shared" si="29"/>
        <v>70</v>
      </c>
      <c r="AI24" s="799">
        <f t="shared" si="30"/>
        <v>3</v>
      </c>
      <c r="AJ24" s="799">
        <f t="shared" si="30"/>
        <v>3</v>
      </c>
      <c r="AK24" s="799">
        <f t="shared" si="30"/>
        <v>2</v>
      </c>
      <c r="AL24" s="799">
        <f t="shared" si="30"/>
        <v>6</v>
      </c>
      <c r="AM24" s="799">
        <f t="shared" si="30"/>
        <v>12</v>
      </c>
      <c r="AN24" s="799">
        <f t="shared" si="30"/>
        <v>0</v>
      </c>
      <c r="AO24" s="799">
        <f t="shared" si="30"/>
        <v>26</v>
      </c>
      <c r="AP24" s="289">
        <f t="shared" si="31"/>
        <v>7</v>
      </c>
      <c r="AQ24" s="289">
        <f t="shared" si="31"/>
        <v>41</v>
      </c>
      <c r="AR24" s="289">
        <f t="shared" si="31"/>
        <v>47</v>
      </c>
      <c r="AS24" s="289">
        <f t="shared" si="31"/>
        <v>504</v>
      </c>
      <c r="AT24" s="289">
        <f t="shared" si="31"/>
        <v>9239</v>
      </c>
      <c r="AU24" s="289">
        <f t="shared" si="31"/>
        <v>260</v>
      </c>
      <c r="AV24" s="289">
        <f t="shared" si="31"/>
        <v>10105</v>
      </c>
      <c r="AW24" s="243"/>
      <c r="AX24" s="243"/>
      <c r="AY24" s="243"/>
      <c r="AZ24" s="243"/>
    </row>
    <row r="25" spans="1:58" s="77" customFormat="1">
      <c r="A25" s="82" t="s">
        <v>81</v>
      </c>
      <c r="B25" s="333">
        <f t="shared" si="32"/>
        <v>4</v>
      </c>
      <c r="C25" s="333">
        <f t="shared" si="26"/>
        <v>6</v>
      </c>
      <c r="D25" s="333">
        <f t="shared" si="26"/>
        <v>0</v>
      </c>
      <c r="E25" s="333">
        <f t="shared" si="26"/>
        <v>1</v>
      </c>
      <c r="F25" s="333">
        <f t="shared" si="26"/>
        <v>3</v>
      </c>
      <c r="G25" s="333">
        <f t="shared" si="26"/>
        <v>0</v>
      </c>
      <c r="H25" s="351">
        <f t="shared" si="26"/>
        <v>16</v>
      </c>
      <c r="I25" s="333">
        <f t="shared" si="33"/>
        <v>2</v>
      </c>
      <c r="J25" s="333">
        <f t="shared" si="27"/>
        <v>4</v>
      </c>
      <c r="K25" s="333">
        <f t="shared" si="27"/>
        <v>1</v>
      </c>
      <c r="L25" s="333">
        <f t="shared" si="27"/>
        <v>3</v>
      </c>
      <c r="M25" s="333">
        <f t="shared" si="27"/>
        <v>4</v>
      </c>
      <c r="N25" s="333">
        <f t="shared" si="27"/>
        <v>0</v>
      </c>
      <c r="O25" s="351">
        <f t="shared" si="27"/>
        <v>15</v>
      </c>
      <c r="P25" s="414">
        <f t="shared" si="34"/>
        <v>1</v>
      </c>
      <c r="Q25" s="414">
        <f t="shared" si="28"/>
        <v>14</v>
      </c>
      <c r="R25" s="414">
        <f t="shared" si="28"/>
        <v>16</v>
      </c>
      <c r="S25" s="414">
        <f t="shared" si="28"/>
        <v>165</v>
      </c>
      <c r="T25" s="414">
        <f t="shared" si="28"/>
        <v>2190</v>
      </c>
      <c r="U25" s="414">
        <f t="shared" si="28"/>
        <v>65</v>
      </c>
      <c r="V25" s="414">
        <f t="shared" si="28"/>
        <v>2454</v>
      </c>
      <c r="AA25" s="780" t="s">
        <v>134</v>
      </c>
      <c r="AB25" s="799">
        <f t="shared" si="29"/>
        <v>4</v>
      </c>
      <c r="AC25" s="799">
        <f t="shared" si="29"/>
        <v>6</v>
      </c>
      <c r="AD25" s="799">
        <f t="shared" si="29"/>
        <v>0</v>
      </c>
      <c r="AE25" s="799">
        <f t="shared" si="29"/>
        <v>1</v>
      </c>
      <c r="AF25" s="799">
        <f t="shared" si="29"/>
        <v>3</v>
      </c>
      <c r="AG25" s="799">
        <f t="shared" si="29"/>
        <v>0</v>
      </c>
      <c r="AH25" s="799">
        <f t="shared" si="29"/>
        <v>16</v>
      </c>
      <c r="AI25" s="799">
        <f t="shared" si="30"/>
        <v>2</v>
      </c>
      <c r="AJ25" s="799">
        <f t="shared" si="30"/>
        <v>4</v>
      </c>
      <c r="AK25" s="799">
        <f t="shared" si="30"/>
        <v>1</v>
      </c>
      <c r="AL25" s="799">
        <f t="shared" si="30"/>
        <v>3</v>
      </c>
      <c r="AM25" s="799">
        <f t="shared" si="30"/>
        <v>4</v>
      </c>
      <c r="AN25" s="799">
        <f t="shared" si="30"/>
        <v>0</v>
      </c>
      <c r="AO25" s="799">
        <f t="shared" si="30"/>
        <v>15</v>
      </c>
      <c r="AP25" s="289">
        <f t="shared" si="31"/>
        <v>1</v>
      </c>
      <c r="AQ25" s="289">
        <f t="shared" si="31"/>
        <v>14</v>
      </c>
      <c r="AR25" s="289">
        <f t="shared" si="31"/>
        <v>16</v>
      </c>
      <c r="AS25" s="289">
        <f t="shared" si="31"/>
        <v>165</v>
      </c>
      <c r="AT25" s="289">
        <f t="shared" si="31"/>
        <v>2190</v>
      </c>
      <c r="AU25" s="289">
        <f t="shared" si="31"/>
        <v>65</v>
      </c>
      <c r="AV25" s="289">
        <f t="shared" si="31"/>
        <v>2454</v>
      </c>
      <c r="AW25" s="243"/>
      <c r="AX25" s="243"/>
      <c r="AY25" s="243"/>
      <c r="AZ25" s="243"/>
    </row>
    <row r="26" spans="1:58" s="77" customFormat="1">
      <c r="A26" s="82" t="s">
        <v>63</v>
      </c>
      <c r="B26" s="333">
        <f t="shared" si="32"/>
        <v>0</v>
      </c>
      <c r="C26" s="333">
        <f t="shared" si="26"/>
        <v>0</v>
      </c>
      <c r="D26" s="333">
        <f t="shared" si="26"/>
        <v>0</v>
      </c>
      <c r="E26" s="333">
        <f t="shared" si="26"/>
        <v>0</v>
      </c>
      <c r="F26" s="333">
        <f t="shared" si="26"/>
        <v>0</v>
      </c>
      <c r="G26" s="333">
        <f t="shared" si="26"/>
        <v>0</v>
      </c>
      <c r="H26" s="351">
        <f t="shared" si="26"/>
        <v>0</v>
      </c>
      <c r="I26" s="333">
        <f>AI26</f>
        <v>0</v>
      </c>
      <c r="J26" s="333">
        <f t="shared" si="27"/>
        <v>0</v>
      </c>
      <c r="K26" s="333">
        <f t="shared" si="27"/>
        <v>0</v>
      </c>
      <c r="L26" s="333">
        <f t="shared" si="27"/>
        <v>0</v>
      </c>
      <c r="M26" s="333">
        <f t="shared" si="27"/>
        <v>0</v>
      </c>
      <c r="N26" s="333">
        <f t="shared" si="27"/>
        <v>0</v>
      </c>
      <c r="O26" s="351">
        <f t="shared" si="27"/>
        <v>1</v>
      </c>
      <c r="P26" s="414">
        <f t="shared" si="34"/>
        <v>0</v>
      </c>
      <c r="Q26" s="414">
        <f t="shared" si="28"/>
        <v>0</v>
      </c>
      <c r="R26" s="414">
        <f t="shared" si="28"/>
        <v>0</v>
      </c>
      <c r="S26" s="414">
        <f t="shared" si="28"/>
        <v>0</v>
      </c>
      <c r="T26" s="414">
        <f t="shared" si="28"/>
        <v>0</v>
      </c>
      <c r="U26" s="414">
        <f t="shared" si="28"/>
        <v>0</v>
      </c>
      <c r="V26" s="414">
        <f t="shared" si="28"/>
        <v>0</v>
      </c>
      <c r="AA26" s="780" t="s">
        <v>63</v>
      </c>
      <c r="AB26" s="799">
        <f t="shared" si="29"/>
        <v>0</v>
      </c>
      <c r="AC26" s="799">
        <f t="shared" si="29"/>
        <v>0</v>
      </c>
      <c r="AD26" s="799">
        <f t="shared" si="29"/>
        <v>0</v>
      </c>
      <c r="AE26" s="799">
        <f t="shared" si="29"/>
        <v>0</v>
      </c>
      <c r="AF26" s="799">
        <f t="shared" si="29"/>
        <v>0</v>
      </c>
      <c r="AG26" s="799">
        <f t="shared" si="29"/>
        <v>0</v>
      </c>
      <c r="AH26" s="799">
        <f t="shared" si="29"/>
        <v>0</v>
      </c>
      <c r="AI26" s="799">
        <f t="shared" si="30"/>
        <v>0</v>
      </c>
      <c r="AJ26" s="799">
        <f t="shared" si="30"/>
        <v>0</v>
      </c>
      <c r="AK26" s="799">
        <f t="shared" si="30"/>
        <v>0</v>
      </c>
      <c r="AL26" s="799">
        <f t="shared" si="30"/>
        <v>0</v>
      </c>
      <c r="AM26" s="799">
        <f t="shared" si="30"/>
        <v>0</v>
      </c>
      <c r="AN26" s="799">
        <f t="shared" si="30"/>
        <v>0</v>
      </c>
      <c r="AO26" s="799">
        <f t="shared" si="30"/>
        <v>1</v>
      </c>
      <c r="AP26" s="289">
        <f t="shared" ref="AP26:AV26" si="35">IFERROR(VLOOKUP($AA$6&amp;$AA$19&amp;$AC$5&amp;$AA26&amp;AP$7, vw.births.demo, 7, FALSE),0)</f>
        <v>0</v>
      </c>
      <c r="AQ26" s="289">
        <f t="shared" si="35"/>
        <v>0</v>
      </c>
      <c r="AR26" s="289">
        <f t="shared" si="35"/>
        <v>0</v>
      </c>
      <c r="AS26" s="289">
        <f t="shared" si="35"/>
        <v>0</v>
      </c>
      <c r="AT26" s="289">
        <f t="shared" si="35"/>
        <v>0</v>
      </c>
      <c r="AU26" s="289">
        <f t="shared" si="35"/>
        <v>0</v>
      </c>
      <c r="AV26" s="289">
        <f t="shared" si="35"/>
        <v>0</v>
      </c>
      <c r="AW26" s="243"/>
      <c r="AX26" s="243"/>
      <c r="AY26" s="243"/>
      <c r="AZ26" s="243"/>
    </row>
    <row r="27" spans="1:58">
      <c r="A27" s="80" t="s">
        <v>82</v>
      </c>
      <c r="B27" s="81"/>
      <c r="C27" s="81"/>
      <c r="D27" s="81"/>
      <c r="E27" s="81"/>
      <c r="F27" s="81"/>
      <c r="G27" s="81"/>
      <c r="H27" s="328"/>
      <c r="I27" s="328"/>
      <c r="J27" s="328"/>
      <c r="K27" s="328"/>
      <c r="L27" s="81"/>
      <c r="M27" s="328"/>
      <c r="N27" s="328"/>
      <c r="O27" s="328"/>
      <c r="P27" s="328"/>
      <c r="Q27" s="328"/>
      <c r="R27" s="81"/>
      <c r="S27" s="81"/>
      <c r="T27" s="81"/>
      <c r="U27" s="81"/>
      <c r="V27" s="335"/>
      <c r="W27" s="77"/>
      <c r="X27" s="77"/>
      <c r="Y27" s="77"/>
      <c r="Z27" s="77"/>
      <c r="AA27" s="780" t="s">
        <v>463</v>
      </c>
      <c r="BA27" s="167"/>
      <c r="BB27" s="167"/>
      <c r="BC27" s="167"/>
      <c r="BD27" s="167"/>
      <c r="BE27" s="167"/>
      <c r="BF27" s="167"/>
    </row>
    <row r="28" spans="1:58" s="77" customFormat="1">
      <c r="A28" s="82" t="s">
        <v>83</v>
      </c>
      <c r="B28" s="333">
        <f>AB28</f>
        <v>14</v>
      </c>
      <c r="C28" s="333">
        <f t="shared" ref="C28:H33" si="36">AC28</f>
        <v>16</v>
      </c>
      <c r="D28" s="333">
        <f t="shared" si="36"/>
        <v>0</v>
      </c>
      <c r="E28" s="333">
        <f t="shared" si="36"/>
        <v>1</v>
      </c>
      <c r="F28" s="333">
        <f t="shared" si="36"/>
        <v>10</v>
      </c>
      <c r="G28" s="333">
        <f t="shared" si="36"/>
        <v>0</v>
      </c>
      <c r="H28" s="351">
        <f t="shared" si="36"/>
        <v>43</v>
      </c>
      <c r="I28" s="333">
        <f>AI28</f>
        <v>4</v>
      </c>
      <c r="J28" s="333">
        <f t="shared" ref="J28:O33" si="37">AJ28</f>
        <v>4</v>
      </c>
      <c r="K28" s="333">
        <f t="shared" si="37"/>
        <v>1</v>
      </c>
      <c r="L28" s="333">
        <f t="shared" si="37"/>
        <v>2</v>
      </c>
      <c r="M28" s="333">
        <f t="shared" si="37"/>
        <v>11</v>
      </c>
      <c r="N28" s="333">
        <f t="shared" si="37"/>
        <v>0</v>
      </c>
      <c r="O28" s="351">
        <f t="shared" si="37"/>
        <v>24</v>
      </c>
      <c r="P28" s="414">
        <f>AP28</f>
        <v>11</v>
      </c>
      <c r="Q28" s="414">
        <f t="shared" ref="Q28:V33" si="38">AQ28</f>
        <v>17</v>
      </c>
      <c r="R28" s="414">
        <f t="shared" si="38"/>
        <v>51</v>
      </c>
      <c r="S28" s="414">
        <f t="shared" si="38"/>
        <v>400</v>
      </c>
      <c r="T28" s="414">
        <f t="shared" si="38"/>
        <v>8513</v>
      </c>
      <c r="U28" s="414">
        <f t="shared" si="38"/>
        <v>197</v>
      </c>
      <c r="V28" s="414">
        <f t="shared" si="38"/>
        <v>9194</v>
      </c>
      <c r="AA28" s="780" t="s">
        <v>421</v>
      </c>
      <c r="AB28" s="799">
        <f t="shared" ref="AB28:AH32" si="39">VLOOKUP($AA$6&amp;$AA$27&amp;$AC$5&amp;$AA28&amp;AB$7&amp;$AB$6, vw.deaths.demo, 7, FALSE)</f>
        <v>14</v>
      </c>
      <c r="AC28" s="799">
        <f t="shared" si="39"/>
        <v>16</v>
      </c>
      <c r="AD28" s="799">
        <f t="shared" si="39"/>
        <v>0</v>
      </c>
      <c r="AE28" s="799">
        <f t="shared" si="39"/>
        <v>1</v>
      </c>
      <c r="AF28" s="799">
        <f t="shared" si="39"/>
        <v>10</v>
      </c>
      <c r="AG28" s="799">
        <f t="shared" si="39"/>
        <v>0</v>
      </c>
      <c r="AH28" s="799">
        <f t="shared" si="39"/>
        <v>43</v>
      </c>
      <c r="AI28" s="799">
        <f t="shared" ref="AI28:AO32" si="40">VLOOKUP($AA$6&amp;$AA$27&amp;$AC$5&amp;$AA28&amp;AI$7&amp;$AI$6, vw.deaths.demo, 7, FALSE)</f>
        <v>4</v>
      </c>
      <c r="AJ28" s="799">
        <f t="shared" si="40"/>
        <v>4</v>
      </c>
      <c r="AK28" s="799">
        <f t="shared" si="40"/>
        <v>1</v>
      </c>
      <c r="AL28" s="799">
        <f t="shared" si="40"/>
        <v>2</v>
      </c>
      <c r="AM28" s="799">
        <f t="shared" si="40"/>
        <v>11</v>
      </c>
      <c r="AN28" s="799">
        <f t="shared" si="40"/>
        <v>0</v>
      </c>
      <c r="AO28" s="799">
        <f t="shared" si="40"/>
        <v>24</v>
      </c>
      <c r="AP28" s="289">
        <f t="shared" ref="AP28:AV32" si="41">VLOOKUP($AA$6&amp;$AA$27&amp;$AC$5&amp;$AA28&amp;AP$7, vw.births.demo, 7, FALSE)</f>
        <v>11</v>
      </c>
      <c r="AQ28" s="289">
        <f t="shared" si="41"/>
        <v>17</v>
      </c>
      <c r="AR28" s="289">
        <f t="shared" si="41"/>
        <v>51</v>
      </c>
      <c r="AS28" s="289">
        <f t="shared" si="41"/>
        <v>400</v>
      </c>
      <c r="AT28" s="289">
        <f t="shared" si="41"/>
        <v>8513</v>
      </c>
      <c r="AU28" s="289">
        <f t="shared" si="41"/>
        <v>197</v>
      </c>
      <c r="AV28" s="289">
        <f t="shared" si="41"/>
        <v>9194</v>
      </c>
      <c r="AW28" s="243"/>
      <c r="AX28" s="243"/>
      <c r="AY28" s="243"/>
      <c r="AZ28" s="243"/>
    </row>
    <row r="29" spans="1:58" s="77" customFormat="1">
      <c r="A29" s="269">
        <v>2</v>
      </c>
      <c r="B29" s="333">
        <f t="shared" ref="B29:B33" si="42">AB29</f>
        <v>21</v>
      </c>
      <c r="C29" s="333">
        <f t="shared" si="36"/>
        <v>18</v>
      </c>
      <c r="D29" s="333">
        <f t="shared" si="36"/>
        <v>3</v>
      </c>
      <c r="E29" s="333">
        <f t="shared" si="36"/>
        <v>5</v>
      </c>
      <c r="F29" s="333">
        <f t="shared" si="36"/>
        <v>15</v>
      </c>
      <c r="G29" s="333">
        <f t="shared" si="36"/>
        <v>0</v>
      </c>
      <c r="H29" s="351">
        <f t="shared" si="36"/>
        <v>64</v>
      </c>
      <c r="I29" s="333">
        <f t="shared" ref="I29:I33" si="43">AI29</f>
        <v>5</v>
      </c>
      <c r="J29" s="333">
        <f t="shared" si="37"/>
        <v>3</v>
      </c>
      <c r="K29" s="333">
        <f t="shared" si="37"/>
        <v>1</v>
      </c>
      <c r="L29" s="333">
        <f t="shared" si="37"/>
        <v>3</v>
      </c>
      <c r="M29" s="333">
        <f t="shared" si="37"/>
        <v>10</v>
      </c>
      <c r="N29" s="333">
        <f t="shared" si="37"/>
        <v>0</v>
      </c>
      <c r="O29" s="351">
        <f t="shared" si="37"/>
        <v>24</v>
      </c>
      <c r="P29" s="414">
        <f t="shared" ref="P29:P33" si="44">AP29</f>
        <v>5</v>
      </c>
      <c r="Q29" s="414">
        <f t="shared" si="38"/>
        <v>29</v>
      </c>
      <c r="R29" s="414">
        <f t="shared" si="38"/>
        <v>40</v>
      </c>
      <c r="S29" s="414">
        <f t="shared" si="38"/>
        <v>438</v>
      </c>
      <c r="T29" s="414">
        <f t="shared" si="38"/>
        <v>9383</v>
      </c>
      <c r="U29" s="414">
        <f t="shared" si="38"/>
        <v>221</v>
      </c>
      <c r="V29" s="414">
        <f t="shared" si="38"/>
        <v>10123</v>
      </c>
      <c r="AA29" s="780" t="s">
        <v>422</v>
      </c>
      <c r="AB29" s="799">
        <f t="shared" si="39"/>
        <v>21</v>
      </c>
      <c r="AC29" s="799">
        <f t="shared" si="39"/>
        <v>18</v>
      </c>
      <c r="AD29" s="799">
        <f t="shared" si="39"/>
        <v>3</v>
      </c>
      <c r="AE29" s="799">
        <f t="shared" si="39"/>
        <v>5</v>
      </c>
      <c r="AF29" s="799">
        <f t="shared" si="39"/>
        <v>15</v>
      </c>
      <c r="AG29" s="799">
        <f t="shared" si="39"/>
        <v>0</v>
      </c>
      <c r="AH29" s="799">
        <f t="shared" si="39"/>
        <v>64</v>
      </c>
      <c r="AI29" s="799">
        <f t="shared" si="40"/>
        <v>5</v>
      </c>
      <c r="AJ29" s="799">
        <f t="shared" si="40"/>
        <v>3</v>
      </c>
      <c r="AK29" s="799">
        <f t="shared" si="40"/>
        <v>1</v>
      </c>
      <c r="AL29" s="799">
        <f t="shared" si="40"/>
        <v>3</v>
      </c>
      <c r="AM29" s="799">
        <f t="shared" si="40"/>
        <v>10</v>
      </c>
      <c r="AN29" s="799">
        <f t="shared" si="40"/>
        <v>0</v>
      </c>
      <c r="AO29" s="799">
        <f t="shared" si="40"/>
        <v>24</v>
      </c>
      <c r="AP29" s="289">
        <f t="shared" si="41"/>
        <v>5</v>
      </c>
      <c r="AQ29" s="289">
        <f t="shared" si="41"/>
        <v>29</v>
      </c>
      <c r="AR29" s="289">
        <f t="shared" si="41"/>
        <v>40</v>
      </c>
      <c r="AS29" s="289">
        <f t="shared" si="41"/>
        <v>438</v>
      </c>
      <c r="AT29" s="289">
        <f t="shared" si="41"/>
        <v>9383</v>
      </c>
      <c r="AU29" s="289">
        <f t="shared" si="41"/>
        <v>221</v>
      </c>
      <c r="AV29" s="289">
        <f t="shared" si="41"/>
        <v>10123</v>
      </c>
      <c r="AW29" s="243"/>
      <c r="AX29" s="243"/>
      <c r="AY29" s="243"/>
      <c r="AZ29" s="243"/>
    </row>
    <row r="30" spans="1:58" s="77" customFormat="1">
      <c r="A30" s="269">
        <v>3</v>
      </c>
      <c r="B30" s="333">
        <f t="shared" si="42"/>
        <v>26</v>
      </c>
      <c r="C30" s="333">
        <f t="shared" si="36"/>
        <v>11</v>
      </c>
      <c r="D30" s="333">
        <f t="shared" si="36"/>
        <v>5</v>
      </c>
      <c r="E30" s="333">
        <f t="shared" si="36"/>
        <v>7</v>
      </c>
      <c r="F30" s="333">
        <f t="shared" si="36"/>
        <v>15</v>
      </c>
      <c r="G30" s="333">
        <f t="shared" si="36"/>
        <v>0</v>
      </c>
      <c r="H30" s="351">
        <f t="shared" si="36"/>
        <v>68</v>
      </c>
      <c r="I30" s="333">
        <f t="shared" si="43"/>
        <v>7</v>
      </c>
      <c r="J30" s="333">
        <f t="shared" si="37"/>
        <v>10</v>
      </c>
      <c r="K30" s="333">
        <f t="shared" si="37"/>
        <v>1</v>
      </c>
      <c r="L30" s="333">
        <f t="shared" si="37"/>
        <v>5</v>
      </c>
      <c r="M30" s="333">
        <f t="shared" si="37"/>
        <v>9</v>
      </c>
      <c r="N30" s="333">
        <f t="shared" si="37"/>
        <v>0</v>
      </c>
      <c r="O30" s="351">
        <f t="shared" si="37"/>
        <v>32</v>
      </c>
      <c r="P30" s="414">
        <f t="shared" si="44"/>
        <v>9</v>
      </c>
      <c r="Q30" s="414">
        <f t="shared" si="38"/>
        <v>36</v>
      </c>
      <c r="R30" s="414">
        <f t="shared" si="38"/>
        <v>62</v>
      </c>
      <c r="S30" s="414">
        <f t="shared" si="38"/>
        <v>545</v>
      </c>
      <c r="T30" s="414">
        <f t="shared" si="38"/>
        <v>10056</v>
      </c>
      <c r="U30" s="414">
        <f t="shared" si="38"/>
        <v>254</v>
      </c>
      <c r="V30" s="414">
        <f t="shared" si="38"/>
        <v>10971</v>
      </c>
      <c r="AA30" s="780" t="s">
        <v>423</v>
      </c>
      <c r="AB30" s="799">
        <f t="shared" si="39"/>
        <v>26</v>
      </c>
      <c r="AC30" s="799">
        <f t="shared" si="39"/>
        <v>11</v>
      </c>
      <c r="AD30" s="799">
        <f t="shared" si="39"/>
        <v>5</v>
      </c>
      <c r="AE30" s="799">
        <f t="shared" si="39"/>
        <v>7</v>
      </c>
      <c r="AF30" s="799">
        <f t="shared" si="39"/>
        <v>15</v>
      </c>
      <c r="AG30" s="799">
        <f t="shared" si="39"/>
        <v>0</v>
      </c>
      <c r="AH30" s="799">
        <f t="shared" si="39"/>
        <v>68</v>
      </c>
      <c r="AI30" s="799">
        <f t="shared" si="40"/>
        <v>7</v>
      </c>
      <c r="AJ30" s="799">
        <f t="shared" si="40"/>
        <v>10</v>
      </c>
      <c r="AK30" s="799">
        <f t="shared" si="40"/>
        <v>1</v>
      </c>
      <c r="AL30" s="799">
        <f t="shared" si="40"/>
        <v>5</v>
      </c>
      <c r="AM30" s="799">
        <f t="shared" si="40"/>
        <v>9</v>
      </c>
      <c r="AN30" s="799">
        <f t="shared" si="40"/>
        <v>0</v>
      </c>
      <c r="AO30" s="799">
        <f t="shared" si="40"/>
        <v>32</v>
      </c>
      <c r="AP30" s="289">
        <f t="shared" si="41"/>
        <v>9</v>
      </c>
      <c r="AQ30" s="289">
        <f t="shared" si="41"/>
        <v>36</v>
      </c>
      <c r="AR30" s="289">
        <f t="shared" si="41"/>
        <v>62</v>
      </c>
      <c r="AS30" s="289">
        <f t="shared" si="41"/>
        <v>545</v>
      </c>
      <c r="AT30" s="289">
        <f t="shared" si="41"/>
        <v>10056</v>
      </c>
      <c r="AU30" s="289">
        <f t="shared" si="41"/>
        <v>254</v>
      </c>
      <c r="AV30" s="289">
        <f t="shared" si="41"/>
        <v>10971</v>
      </c>
      <c r="AW30" s="243"/>
      <c r="AX30" s="243"/>
      <c r="AY30" s="243"/>
      <c r="AZ30" s="243"/>
    </row>
    <row r="31" spans="1:58" s="77" customFormat="1">
      <c r="A31" s="269">
        <v>4</v>
      </c>
      <c r="B31" s="333">
        <f t="shared" si="42"/>
        <v>28</v>
      </c>
      <c r="C31" s="333">
        <f t="shared" si="36"/>
        <v>21</v>
      </c>
      <c r="D31" s="333">
        <f t="shared" si="36"/>
        <v>9</v>
      </c>
      <c r="E31" s="333">
        <f t="shared" si="36"/>
        <v>12</v>
      </c>
      <c r="F31" s="333">
        <f t="shared" si="36"/>
        <v>16</v>
      </c>
      <c r="G31" s="333">
        <f t="shared" si="36"/>
        <v>0</v>
      </c>
      <c r="H31" s="351">
        <f t="shared" si="36"/>
        <v>90</v>
      </c>
      <c r="I31" s="333">
        <f t="shared" si="43"/>
        <v>8</v>
      </c>
      <c r="J31" s="333">
        <f t="shared" si="37"/>
        <v>15</v>
      </c>
      <c r="K31" s="333">
        <f t="shared" si="37"/>
        <v>2</v>
      </c>
      <c r="L31" s="333">
        <f t="shared" si="37"/>
        <v>5</v>
      </c>
      <c r="M31" s="333">
        <f t="shared" si="37"/>
        <v>22</v>
      </c>
      <c r="N31" s="333">
        <f t="shared" si="37"/>
        <v>0</v>
      </c>
      <c r="O31" s="351">
        <f t="shared" si="37"/>
        <v>52</v>
      </c>
      <c r="P31" s="414">
        <f t="shared" si="44"/>
        <v>11</v>
      </c>
      <c r="Q31" s="414">
        <f t="shared" si="38"/>
        <v>46</v>
      </c>
      <c r="R31" s="414">
        <f t="shared" si="38"/>
        <v>75</v>
      </c>
      <c r="S31" s="414">
        <f t="shared" si="38"/>
        <v>684</v>
      </c>
      <c r="T31" s="414">
        <f t="shared" si="38"/>
        <v>12014</v>
      </c>
      <c r="U31" s="414">
        <f t="shared" si="38"/>
        <v>295</v>
      </c>
      <c r="V31" s="414">
        <f t="shared" si="38"/>
        <v>13131</v>
      </c>
      <c r="AA31" s="780" t="s">
        <v>424</v>
      </c>
      <c r="AB31" s="799">
        <f t="shared" si="39"/>
        <v>28</v>
      </c>
      <c r="AC31" s="799">
        <f t="shared" si="39"/>
        <v>21</v>
      </c>
      <c r="AD31" s="799">
        <f t="shared" si="39"/>
        <v>9</v>
      </c>
      <c r="AE31" s="799">
        <f t="shared" si="39"/>
        <v>12</v>
      </c>
      <c r="AF31" s="799">
        <f t="shared" si="39"/>
        <v>16</v>
      </c>
      <c r="AG31" s="799">
        <f t="shared" si="39"/>
        <v>0</v>
      </c>
      <c r="AH31" s="799">
        <f t="shared" si="39"/>
        <v>90</v>
      </c>
      <c r="AI31" s="799">
        <f t="shared" si="40"/>
        <v>8</v>
      </c>
      <c r="AJ31" s="799">
        <f t="shared" si="40"/>
        <v>15</v>
      </c>
      <c r="AK31" s="799">
        <f t="shared" si="40"/>
        <v>2</v>
      </c>
      <c r="AL31" s="799">
        <f t="shared" si="40"/>
        <v>5</v>
      </c>
      <c r="AM31" s="799">
        <f t="shared" si="40"/>
        <v>22</v>
      </c>
      <c r="AN31" s="799">
        <f t="shared" si="40"/>
        <v>0</v>
      </c>
      <c r="AO31" s="799">
        <f t="shared" si="40"/>
        <v>52</v>
      </c>
      <c r="AP31" s="289">
        <f t="shared" si="41"/>
        <v>11</v>
      </c>
      <c r="AQ31" s="289">
        <f t="shared" si="41"/>
        <v>46</v>
      </c>
      <c r="AR31" s="289">
        <f t="shared" si="41"/>
        <v>75</v>
      </c>
      <c r="AS31" s="289">
        <f t="shared" si="41"/>
        <v>684</v>
      </c>
      <c r="AT31" s="289">
        <f t="shared" si="41"/>
        <v>12014</v>
      </c>
      <c r="AU31" s="289">
        <f t="shared" si="41"/>
        <v>295</v>
      </c>
      <c r="AV31" s="289">
        <f t="shared" si="41"/>
        <v>13131</v>
      </c>
      <c r="AW31" s="243"/>
      <c r="AX31" s="243"/>
      <c r="AY31" s="243"/>
      <c r="AZ31" s="243"/>
    </row>
    <row r="32" spans="1:58" s="77" customFormat="1">
      <c r="A32" s="82" t="s">
        <v>84</v>
      </c>
      <c r="B32" s="333">
        <f t="shared" si="42"/>
        <v>44</v>
      </c>
      <c r="C32" s="333">
        <f t="shared" si="36"/>
        <v>24</v>
      </c>
      <c r="D32" s="333">
        <f t="shared" si="36"/>
        <v>9</v>
      </c>
      <c r="E32" s="333">
        <f t="shared" si="36"/>
        <v>18</v>
      </c>
      <c r="F32" s="333">
        <f t="shared" si="36"/>
        <v>21</v>
      </c>
      <c r="G32" s="333">
        <f t="shared" si="36"/>
        <v>4</v>
      </c>
      <c r="H32" s="351">
        <f t="shared" si="36"/>
        <v>126</v>
      </c>
      <c r="I32" s="333">
        <f t="shared" si="43"/>
        <v>13</v>
      </c>
      <c r="J32" s="333">
        <f t="shared" si="37"/>
        <v>24</v>
      </c>
      <c r="K32" s="333">
        <f t="shared" si="37"/>
        <v>3</v>
      </c>
      <c r="L32" s="333">
        <f t="shared" si="37"/>
        <v>20</v>
      </c>
      <c r="M32" s="333">
        <f t="shared" si="37"/>
        <v>43</v>
      </c>
      <c r="N32" s="333">
        <f t="shared" si="37"/>
        <v>0</v>
      </c>
      <c r="O32" s="351">
        <f t="shared" si="37"/>
        <v>107</v>
      </c>
      <c r="P32" s="414">
        <f t="shared" si="44"/>
        <v>17</v>
      </c>
      <c r="Q32" s="414">
        <f t="shared" si="38"/>
        <v>67</v>
      </c>
      <c r="R32" s="414">
        <f t="shared" si="38"/>
        <v>103</v>
      </c>
      <c r="S32" s="414">
        <f t="shared" si="38"/>
        <v>920</v>
      </c>
      <c r="T32" s="414">
        <f t="shared" si="38"/>
        <v>15318</v>
      </c>
      <c r="U32" s="414">
        <f t="shared" si="38"/>
        <v>454</v>
      </c>
      <c r="V32" s="414">
        <f t="shared" si="38"/>
        <v>16886</v>
      </c>
      <c r="AA32" s="780" t="s">
        <v>425</v>
      </c>
      <c r="AB32" s="799">
        <f t="shared" si="39"/>
        <v>44</v>
      </c>
      <c r="AC32" s="799">
        <f t="shared" si="39"/>
        <v>24</v>
      </c>
      <c r="AD32" s="799">
        <f t="shared" si="39"/>
        <v>9</v>
      </c>
      <c r="AE32" s="799">
        <f t="shared" si="39"/>
        <v>18</v>
      </c>
      <c r="AF32" s="799">
        <f t="shared" si="39"/>
        <v>21</v>
      </c>
      <c r="AG32" s="799">
        <f t="shared" si="39"/>
        <v>4</v>
      </c>
      <c r="AH32" s="799">
        <f t="shared" si="39"/>
        <v>126</v>
      </c>
      <c r="AI32" s="799">
        <f t="shared" si="40"/>
        <v>13</v>
      </c>
      <c r="AJ32" s="799">
        <f t="shared" si="40"/>
        <v>24</v>
      </c>
      <c r="AK32" s="799">
        <f t="shared" si="40"/>
        <v>3</v>
      </c>
      <c r="AL32" s="799">
        <f t="shared" si="40"/>
        <v>20</v>
      </c>
      <c r="AM32" s="799">
        <f t="shared" si="40"/>
        <v>43</v>
      </c>
      <c r="AN32" s="799">
        <f t="shared" si="40"/>
        <v>0</v>
      </c>
      <c r="AO32" s="799">
        <f t="shared" si="40"/>
        <v>107</v>
      </c>
      <c r="AP32" s="289">
        <f t="shared" si="41"/>
        <v>17</v>
      </c>
      <c r="AQ32" s="289">
        <f t="shared" si="41"/>
        <v>67</v>
      </c>
      <c r="AR32" s="289">
        <f t="shared" si="41"/>
        <v>103</v>
      </c>
      <c r="AS32" s="289">
        <f t="shared" si="41"/>
        <v>920</v>
      </c>
      <c r="AT32" s="289">
        <f t="shared" si="41"/>
        <v>15318</v>
      </c>
      <c r="AU32" s="289">
        <f t="shared" si="41"/>
        <v>454</v>
      </c>
      <c r="AV32" s="289">
        <f t="shared" si="41"/>
        <v>16886</v>
      </c>
      <c r="AW32" s="243"/>
      <c r="AX32" s="243"/>
      <c r="AY32" s="243"/>
      <c r="AZ32" s="243"/>
    </row>
    <row r="33" spans="1:58" s="77" customFormat="1">
      <c r="A33" s="82" t="s">
        <v>63</v>
      </c>
      <c r="B33" s="333">
        <f t="shared" si="42"/>
        <v>8</v>
      </c>
      <c r="C33" s="333">
        <f t="shared" si="36"/>
        <v>7</v>
      </c>
      <c r="D33" s="333">
        <f t="shared" si="36"/>
        <v>1</v>
      </c>
      <c r="E33" s="333">
        <f t="shared" si="36"/>
        <v>2</v>
      </c>
      <c r="F33" s="333">
        <f t="shared" si="36"/>
        <v>4</v>
      </c>
      <c r="G33" s="333">
        <f t="shared" si="36"/>
        <v>0</v>
      </c>
      <c r="H33" s="351">
        <f t="shared" si="36"/>
        <v>22</v>
      </c>
      <c r="I33" s="333">
        <f t="shared" si="43"/>
        <v>0</v>
      </c>
      <c r="J33" s="333">
        <f t="shared" si="37"/>
        <v>1</v>
      </c>
      <c r="K33" s="333">
        <f t="shared" si="37"/>
        <v>0</v>
      </c>
      <c r="L33" s="333">
        <f t="shared" si="37"/>
        <v>0</v>
      </c>
      <c r="M33" s="333">
        <f t="shared" si="37"/>
        <v>0</v>
      </c>
      <c r="N33" s="333">
        <f t="shared" si="37"/>
        <v>0</v>
      </c>
      <c r="O33" s="351">
        <f t="shared" si="37"/>
        <v>2</v>
      </c>
      <c r="P33" s="414">
        <f t="shared" si="44"/>
        <v>0</v>
      </c>
      <c r="Q33" s="414">
        <f t="shared" si="38"/>
        <v>1</v>
      </c>
      <c r="R33" s="414">
        <f t="shared" si="38"/>
        <v>0</v>
      </c>
      <c r="S33" s="414">
        <f t="shared" si="38"/>
        <v>4</v>
      </c>
      <c r="T33" s="414">
        <f t="shared" si="38"/>
        <v>123</v>
      </c>
      <c r="U33" s="414">
        <f t="shared" si="38"/>
        <v>2</v>
      </c>
      <c r="V33" s="414">
        <f t="shared" si="38"/>
        <v>131</v>
      </c>
      <c r="AA33" s="780" t="s">
        <v>426</v>
      </c>
      <c r="AB33" s="799">
        <f t="shared" ref="AB33:AH33" si="45">IFERROR(VLOOKUP($AA$6&amp;$AA$27&amp;$AC$5&amp;$AA33&amp;AB$7&amp;$AB$6, vw.deaths.demo, 7, FALSE),0)</f>
        <v>8</v>
      </c>
      <c r="AC33" s="799">
        <f t="shared" si="45"/>
        <v>7</v>
      </c>
      <c r="AD33" s="799">
        <f t="shared" si="45"/>
        <v>1</v>
      </c>
      <c r="AE33" s="799">
        <f t="shared" si="45"/>
        <v>2</v>
      </c>
      <c r="AF33" s="799">
        <f t="shared" si="45"/>
        <v>4</v>
      </c>
      <c r="AG33" s="799">
        <f t="shared" si="45"/>
        <v>0</v>
      </c>
      <c r="AH33" s="799">
        <f t="shared" si="45"/>
        <v>22</v>
      </c>
      <c r="AI33" s="799">
        <f t="shared" ref="AI33:AO33" si="46">IFERROR(VLOOKUP($AA$6&amp;$AA$27&amp;$AC$5&amp;$AA33&amp;AI$7&amp;$AI$6, vw.deaths.demo, 7, FALSE),0)</f>
        <v>0</v>
      </c>
      <c r="AJ33" s="799">
        <f t="shared" si="46"/>
        <v>1</v>
      </c>
      <c r="AK33" s="799">
        <f t="shared" si="46"/>
        <v>0</v>
      </c>
      <c r="AL33" s="799">
        <f t="shared" si="46"/>
        <v>0</v>
      </c>
      <c r="AM33" s="799">
        <f t="shared" si="46"/>
        <v>0</v>
      </c>
      <c r="AN33" s="799">
        <f t="shared" si="46"/>
        <v>0</v>
      </c>
      <c r="AO33" s="799">
        <f t="shared" si="46"/>
        <v>2</v>
      </c>
      <c r="AP33" s="289">
        <f t="shared" ref="AP33:AV33" si="47">IFERROR(VLOOKUP($AA$6&amp;$AA$27&amp;$AC$5&amp;$AA33&amp;AP$7, vw.births.demo, 7, FALSE),0)</f>
        <v>0</v>
      </c>
      <c r="AQ33" s="289">
        <f t="shared" si="47"/>
        <v>1</v>
      </c>
      <c r="AR33" s="289">
        <f t="shared" si="47"/>
        <v>0</v>
      </c>
      <c r="AS33" s="289">
        <f t="shared" si="47"/>
        <v>4</v>
      </c>
      <c r="AT33" s="289">
        <f t="shared" si="47"/>
        <v>123</v>
      </c>
      <c r="AU33" s="289">
        <f t="shared" si="47"/>
        <v>2</v>
      </c>
      <c r="AV33" s="289">
        <f t="shared" si="47"/>
        <v>131</v>
      </c>
      <c r="AW33" s="243"/>
      <c r="AX33" s="243"/>
      <c r="AY33" s="243"/>
      <c r="AZ33" s="243"/>
    </row>
    <row r="34" spans="1:58">
      <c r="A34" s="80" t="s">
        <v>105</v>
      </c>
      <c r="B34" s="328"/>
      <c r="C34" s="328"/>
      <c r="D34" s="328"/>
      <c r="E34" s="81"/>
      <c r="F34" s="328"/>
      <c r="G34" s="328"/>
      <c r="H34" s="328"/>
      <c r="I34" s="328"/>
      <c r="J34" s="328"/>
      <c r="K34" s="328"/>
      <c r="L34" s="81"/>
      <c r="M34" s="328"/>
      <c r="N34" s="328"/>
      <c r="O34" s="328"/>
      <c r="P34" s="328"/>
      <c r="Q34" s="328"/>
      <c r="R34" s="81"/>
      <c r="S34" s="81"/>
      <c r="T34" s="81"/>
      <c r="U34" s="81"/>
      <c r="V34" s="335"/>
      <c r="W34" s="167"/>
      <c r="X34" s="167"/>
      <c r="Y34" s="167"/>
      <c r="Z34" s="167"/>
      <c r="AA34" s="289" t="s">
        <v>135</v>
      </c>
      <c r="BA34" s="167"/>
      <c r="BB34" s="167"/>
      <c r="BC34" s="167"/>
      <c r="BD34" s="167"/>
      <c r="BE34" s="167"/>
      <c r="BF34" s="167"/>
    </row>
    <row r="35" spans="1:58" s="77" customFormat="1">
      <c r="A35" s="404" t="s">
        <v>375</v>
      </c>
      <c r="B35" s="429">
        <f>AB35</f>
        <v>123</v>
      </c>
      <c r="C35" s="429">
        <f t="shared" ref="C35:H40" si="48">AC35</f>
        <v>85</v>
      </c>
      <c r="D35" s="429">
        <f t="shared" si="48"/>
        <v>7</v>
      </c>
      <c r="E35" s="429">
        <f t="shared" si="48"/>
        <v>0</v>
      </c>
      <c r="F35" s="429">
        <f t="shared" si="48"/>
        <v>1</v>
      </c>
      <c r="G35" s="429">
        <f t="shared" si="48"/>
        <v>0</v>
      </c>
      <c r="H35" s="351">
        <f t="shared" si="48"/>
        <v>227</v>
      </c>
      <c r="I35" s="415">
        <f>AI35</f>
        <v>36</v>
      </c>
      <c r="J35" s="415">
        <f t="shared" ref="J35:O40" si="49">AJ35</f>
        <v>55</v>
      </c>
      <c r="K35" s="415">
        <f t="shared" si="49"/>
        <v>3</v>
      </c>
      <c r="L35" s="415">
        <f t="shared" si="49"/>
        <v>1</v>
      </c>
      <c r="M35" s="415">
        <f t="shared" si="49"/>
        <v>0</v>
      </c>
      <c r="N35" s="415">
        <f t="shared" si="49"/>
        <v>0</v>
      </c>
      <c r="O35" s="351">
        <f t="shared" si="49"/>
        <v>96</v>
      </c>
      <c r="P35" s="415">
        <f>AP35</f>
        <v>41</v>
      </c>
      <c r="Q35" s="415">
        <f t="shared" ref="Q35:V40" si="50">AQ35</f>
        <v>157</v>
      </c>
      <c r="R35" s="415">
        <f t="shared" si="50"/>
        <v>56</v>
      </c>
      <c r="S35" s="415">
        <f t="shared" si="50"/>
        <v>3</v>
      </c>
      <c r="T35" s="415">
        <f t="shared" si="50"/>
        <v>2</v>
      </c>
      <c r="U35" s="415">
        <f t="shared" si="50"/>
        <v>0</v>
      </c>
      <c r="V35" s="415">
        <f t="shared" si="50"/>
        <v>260</v>
      </c>
      <c r="AA35" s="289" t="s">
        <v>375</v>
      </c>
      <c r="AB35" s="799">
        <f t="shared" ref="AB35:AH40" si="51">IFERROR(VLOOKUP($AA$6&amp;$AA$34&amp;$AC$5&amp;$AA35&amp;AB$7&amp;$AB$6, vw.deaths.demo, 7, FALSE),0)</f>
        <v>123</v>
      </c>
      <c r="AC35" s="799">
        <f t="shared" si="51"/>
        <v>85</v>
      </c>
      <c r="AD35" s="799">
        <f t="shared" si="51"/>
        <v>7</v>
      </c>
      <c r="AE35" s="799">
        <f t="shared" si="51"/>
        <v>0</v>
      </c>
      <c r="AF35" s="799">
        <f t="shared" si="51"/>
        <v>1</v>
      </c>
      <c r="AG35" s="799">
        <f t="shared" si="51"/>
        <v>0</v>
      </c>
      <c r="AH35" s="799">
        <f t="shared" si="51"/>
        <v>227</v>
      </c>
      <c r="AI35" s="799">
        <f t="shared" ref="AI35:AO40" si="52">IFERROR(VLOOKUP($AA$6&amp;$AA$34&amp;$AC$5&amp;$AA35&amp;AI$7&amp;$AI$6, vw.deaths.demo, 7, FALSE),0)</f>
        <v>36</v>
      </c>
      <c r="AJ35" s="799">
        <f t="shared" si="52"/>
        <v>55</v>
      </c>
      <c r="AK35" s="799">
        <f t="shared" si="52"/>
        <v>3</v>
      </c>
      <c r="AL35" s="799">
        <f t="shared" si="52"/>
        <v>1</v>
      </c>
      <c r="AM35" s="799">
        <f t="shared" si="52"/>
        <v>0</v>
      </c>
      <c r="AN35" s="799">
        <f t="shared" si="52"/>
        <v>0</v>
      </c>
      <c r="AO35" s="799">
        <f t="shared" si="52"/>
        <v>96</v>
      </c>
      <c r="AP35" s="289">
        <f t="shared" ref="AP35:AV40" si="53">IFERROR(VLOOKUP($AA$6&amp;$AA$34&amp;$AC$5&amp;$AA35&amp;AP$7, vw.births.demo, 7, FALSE),0)</f>
        <v>41</v>
      </c>
      <c r="AQ35" s="289">
        <f t="shared" si="53"/>
        <v>157</v>
      </c>
      <c r="AR35" s="289">
        <f t="shared" si="53"/>
        <v>56</v>
      </c>
      <c r="AS35" s="289">
        <f t="shared" si="53"/>
        <v>3</v>
      </c>
      <c r="AT35" s="289">
        <f t="shared" si="53"/>
        <v>2</v>
      </c>
      <c r="AU35" s="289">
        <f t="shared" si="53"/>
        <v>0</v>
      </c>
      <c r="AV35" s="289">
        <f t="shared" si="53"/>
        <v>260</v>
      </c>
      <c r="AW35" s="243"/>
      <c r="AX35" s="243"/>
      <c r="AY35" s="243"/>
      <c r="AZ35" s="243"/>
    </row>
    <row r="36" spans="1:58" s="77" customFormat="1">
      <c r="A36" s="404" t="s">
        <v>376</v>
      </c>
      <c r="B36" s="429">
        <f t="shared" ref="B36:B40" si="54">AB36</f>
        <v>7</v>
      </c>
      <c r="C36" s="429">
        <f t="shared" si="48"/>
        <v>11</v>
      </c>
      <c r="D36" s="429">
        <f t="shared" si="48"/>
        <v>12</v>
      </c>
      <c r="E36" s="429">
        <f t="shared" si="48"/>
        <v>8</v>
      </c>
      <c r="F36" s="429">
        <f t="shared" si="48"/>
        <v>0</v>
      </c>
      <c r="G36" s="429">
        <f t="shared" si="48"/>
        <v>0</v>
      </c>
      <c r="H36" s="351">
        <f t="shared" si="48"/>
        <v>38</v>
      </c>
      <c r="I36" s="415">
        <f t="shared" ref="I36:I40" si="55">AI36</f>
        <v>0</v>
      </c>
      <c r="J36" s="415">
        <f t="shared" si="49"/>
        <v>1</v>
      </c>
      <c r="K36" s="415">
        <f t="shared" si="49"/>
        <v>5</v>
      </c>
      <c r="L36" s="415">
        <f t="shared" si="49"/>
        <v>8</v>
      </c>
      <c r="M36" s="415">
        <f t="shared" si="49"/>
        <v>0</v>
      </c>
      <c r="N36" s="415">
        <f t="shared" si="49"/>
        <v>0</v>
      </c>
      <c r="O36" s="351">
        <f t="shared" si="49"/>
        <v>14</v>
      </c>
      <c r="P36" s="415">
        <f t="shared" ref="P36:P40" si="56">AP36</f>
        <v>0</v>
      </c>
      <c r="Q36" s="415">
        <f t="shared" si="50"/>
        <v>37</v>
      </c>
      <c r="R36" s="415">
        <f t="shared" si="50"/>
        <v>198</v>
      </c>
      <c r="S36" s="415">
        <f t="shared" si="50"/>
        <v>167</v>
      </c>
      <c r="T36" s="415">
        <f t="shared" si="50"/>
        <v>15</v>
      </c>
      <c r="U36" s="415">
        <f t="shared" si="50"/>
        <v>0</v>
      </c>
      <c r="V36" s="415">
        <f t="shared" si="50"/>
        <v>417</v>
      </c>
      <c r="AA36" s="289" t="s">
        <v>395</v>
      </c>
      <c r="AB36" s="799">
        <f t="shared" si="51"/>
        <v>7</v>
      </c>
      <c r="AC36" s="799">
        <f t="shared" si="51"/>
        <v>11</v>
      </c>
      <c r="AD36" s="799">
        <f t="shared" si="51"/>
        <v>12</v>
      </c>
      <c r="AE36" s="799">
        <f t="shared" si="51"/>
        <v>8</v>
      </c>
      <c r="AF36" s="799">
        <f t="shared" si="51"/>
        <v>0</v>
      </c>
      <c r="AG36" s="799">
        <f t="shared" si="51"/>
        <v>0</v>
      </c>
      <c r="AH36" s="799">
        <f t="shared" si="51"/>
        <v>38</v>
      </c>
      <c r="AI36" s="799">
        <f t="shared" si="52"/>
        <v>0</v>
      </c>
      <c r="AJ36" s="799">
        <f t="shared" si="52"/>
        <v>1</v>
      </c>
      <c r="AK36" s="799">
        <f t="shared" si="52"/>
        <v>5</v>
      </c>
      <c r="AL36" s="799">
        <f t="shared" si="52"/>
        <v>8</v>
      </c>
      <c r="AM36" s="799">
        <f t="shared" si="52"/>
        <v>0</v>
      </c>
      <c r="AN36" s="799">
        <f t="shared" si="52"/>
        <v>0</v>
      </c>
      <c r="AO36" s="799">
        <f t="shared" si="52"/>
        <v>14</v>
      </c>
      <c r="AP36" s="289">
        <f t="shared" si="53"/>
        <v>0</v>
      </c>
      <c r="AQ36" s="289">
        <f t="shared" si="53"/>
        <v>37</v>
      </c>
      <c r="AR36" s="289">
        <f t="shared" si="53"/>
        <v>198</v>
      </c>
      <c r="AS36" s="289">
        <f t="shared" si="53"/>
        <v>167</v>
      </c>
      <c r="AT36" s="289">
        <f t="shared" si="53"/>
        <v>15</v>
      </c>
      <c r="AU36" s="289">
        <f t="shared" si="53"/>
        <v>0</v>
      </c>
      <c r="AV36" s="289">
        <f t="shared" si="53"/>
        <v>417</v>
      </c>
      <c r="AW36" s="243"/>
      <c r="AX36" s="243"/>
      <c r="AY36" s="243"/>
      <c r="AZ36" s="243"/>
    </row>
    <row r="37" spans="1:58" s="77" customFormat="1">
      <c r="A37" s="82" t="s">
        <v>64</v>
      </c>
      <c r="B37" s="429">
        <f t="shared" si="54"/>
        <v>3</v>
      </c>
      <c r="C37" s="429">
        <f t="shared" si="48"/>
        <v>1</v>
      </c>
      <c r="D37" s="429">
        <f t="shared" si="48"/>
        <v>6</v>
      </c>
      <c r="E37" s="429">
        <f t="shared" si="48"/>
        <v>29</v>
      </c>
      <c r="F37" s="429">
        <f t="shared" si="48"/>
        <v>16</v>
      </c>
      <c r="G37" s="429">
        <f t="shared" si="48"/>
        <v>0</v>
      </c>
      <c r="H37" s="351">
        <f t="shared" si="48"/>
        <v>56</v>
      </c>
      <c r="I37" s="415">
        <f t="shared" si="55"/>
        <v>0</v>
      </c>
      <c r="J37" s="415">
        <f t="shared" si="49"/>
        <v>0</v>
      </c>
      <c r="K37" s="415">
        <f t="shared" si="49"/>
        <v>0</v>
      </c>
      <c r="L37" s="415">
        <f t="shared" si="49"/>
        <v>13</v>
      </c>
      <c r="M37" s="415">
        <f t="shared" si="49"/>
        <v>10</v>
      </c>
      <c r="N37" s="415">
        <f t="shared" si="49"/>
        <v>0</v>
      </c>
      <c r="O37" s="351">
        <f t="shared" si="49"/>
        <v>23</v>
      </c>
      <c r="P37" s="415">
        <f t="shared" si="56"/>
        <v>1</v>
      </c>
      <c r="Q37" s="415">
        <f t="shared" si="50"/>
        <v>0</v>
      </c>
      <c r="R37" s="415">
        <f t="shared" si="50"/>
        <v>72</v>
      </c>
      <c r="S37" s="415">
        <f t="shared" si="50"/>
        <v>1729</v>
      </c>
      <c r="T37" s="415">
        <f t="shared" si="50"/>
        <v>2005</v>
      </c>
      <c r="U37" s="415">
        <f t="shared" si="50"/>
        <v>6</v>
      </c>
      <c r="V37" s="415">
        <f t="shared" si="50"/>
        <v>3814</v>
      </c>
      <c r="AA37" s="289" t="s">
        <v>136</v>
      </c>
      <c r="AB37" s="799">
        <f t="shared" si="51"/>
        <v>3</v>
      </c>
      <c r="AC37" s="799">
        <f t="shared" si="51"/>
        <v>1</v>
      </c>
      <c r="AD37" s="799">
        <f t="shared" si="51"/>
        <v>6</v>
      </c>
      <c r="AE37" s="799">
        <f t="shared" si="51"/>
        <v>29</v>
      </c>
      <c r="AF37" s="799">
        <f t="shared" si="51"/>
        <v>16</v>
      </c>
      <c r="AG37" s="799">
        <f t="shared" si="51"/>
        <v>0</v>
      </c>
      <c r="AH37" s="799">
        <f t="shared" si="51"/>
        <v>56</v>
      </c>
      <c r="AI37" s="799">
        <f t="shared" si="52"/>
        <v>0</v>
      </c>
      <c r="AJ37" s="799">
        <f t="shared" si="52"/>
        <v>0</v>
      </c>
      <c r="AK37" s="799">
        <f t="shared" si="52"/>
        <v>0</v>
      </c>
      <c r="AL37" s="799">
        <f t="shared" si="52"/>
        <v>13</v>
      </c>
      <c r="AM37" s="799">
        <f t="shared" si="52"/>
        <v>10</v>
      </c>
      <c r="AN37" s="799">
        <f t="shared" si="52"/>
        <v>0</v>
      </c>
      <c r="AO37" s="799">
        <f t="shared" si="52"/>
        <v>23</v>
      </c>
      <c r="AP37" s="289">
        <f t="shared" si="53"/>
        <v>1</v>
      </c>
      <c r="AQ37" s="289">
        <f t="shared" si="53"/>
        <v>0</v>
      </c>
      <c r="AR37" s="289">
        <f t="shared" si="53"/>
        <v>72</v>
      </c>
      <c r="AS37" s="289">
        <f t="shared" si="53"/>
        <v>1729</v>
      </c>
      <c r="AT37" s="289">
        <f t="shared" si="53"/>
        <v>2005</v>
      </c>
      <c r="AU37" s="289">
        <f t="shared" si="53"/>
        <v>6</v>
      </c>
      <c r="AV37" s="289">
        <f t="shared" si="53"/>
        <v>3814</v>
      </c>
      <c r="AW37" s="243"/>
      <c r="AX37" s="243"/>
      <c r="AY37" s="243"/>
      <c r="AZ37" s="243"/>
    </row>
    <row r="38" spans="1:58" s="77" customFormat="1">
      <c r="A38" s="82" t="s">
        <v>65</v>
      </c>
      <c r="B38" s="429">
        <f t="shared" si="54"/>
        <v>8</v>
      </c>
      <c r="C38" s="429">
        <f t="shared" si="48"/>
        <v>0</v>
      </c>
      <c r="D38" s="429">
        <f t="shared" si="48"/>
        <v>1</v>
      </c>
      <c r="E38" s="429">
        <f t="shared" si="48"/>
        <v>8</v>
      </c>
      <c r="F38" s="429">
        <f t="shared" si="48"/>
        <v>63</v>
      </c>
      <c r="G38" s="429">
        <f t="shared" si="48"/>
        <v>4</v>
      </c>
      <c r="H38" s="351">
        <f t="shared" si="48"/>
        <v>86</v>
      </c>
      <c r="I38" s="415">
        <f t="shared" si="55"/>
        <v>0</v>
      </c>
      <c r="J38" s="415">
        <f t="shared" si="49"/>
        <v>0</v>
      </c>
      <c r="K38" s="415">
        <f t="shared" si="49"/>
        <v>0</v>
      </c>
      <c r="L38" s="415">
        <f t="shared" si="49"/>
        <v>11</v>
      </c>
      <c r="M38" s="415">
        <f t="shared" si="49"/>
        <v>80</v>
      </c>
      <c r="N38" s="415">
        <f t="shared" si="49"/>
        <v>0</v>
      </c>
      <c r="O38" s="351">
        <f t="shared" si="49"/>
        <v>91</v>
      </c>
      <c r="P38" s="415">
        <f t="shared" si="56"/>
        <v>11</v>
      </c>
      <c r="Q38" s="415">
        <f t="shared" si="50"/>
        <v>2</v>
      </c>
      <c r="R38" s="415">
        <f t="shared" si="50"/>
        <v>5</v>
      </c>
      <c r="S38" s="415">
        <f t="shared" si="50"/>
        <v>1088</v>
      </c>
      <c r="T38" s="415">
        <f t="shared" si="50"/>
        <v>52424</v>
      </c>
      <c r="U38" s="415">
        <f t="shared" si="50"/>
        <v>1348</v>
      </c>
      <c r="V38" s="415">
        <f t="shared" si="50"/>
        <v>54899</v>
      </c>
      <c r="AA38" s="289" t="s">
        <v>137</v>
      </c>
      <c r="AB38" s="799">
        <f t="shared" si="51"/>
        <v>8</v>
      </c>
      <c r="AC38" s="799">
        <f t="shared" si="51"/>
        <v>0</v>
      </c>
      <c r="AD38" s="799">
        <f t="shared" si="51"/>
        <v>1</v>
      </c>
      <c r="AE38" s="799">
        <f t="shared" si="51"/>
        <v>8</v>
      </c>
      <c r="AF38" s="799">
        <f t="shared" si="51"/>
        <v>63</v>
      </c>
      <c r="AG38" s="799">
        <f t="shared" si="51"/>
        <v>4</v>
      </c>
      <c r="AH38" s="799">
        <f t="shared" si="51"/>
        <v>86</v>
      </c>
      <c r="AI38" s="799">
        <f t="shared" si="52"/>
        <v>0</v>
      </c>
      <c r="AJ38" s="799">
        <f t="shared" si="52"/>
        <v>0</v>
      </c>
      <c r="AK38" s="799">
        <f t="shared" si="52"/>
        <v>0</v>
      </c>
      <c r="AL38" s="799">
        <f t="shared" si="52"/>
        <v>11</v>
      </c>
      <c r="AM38" s="799">
        <f t="shared" si="52"/>
        <v>80</v>
      </c>
      <c r="AN38" s="799">
        <f t="shared" si="52"/>
        <v>0</v>
      </c>
      <c r="AO38" s="799">
        <f t="shared" si="52"/>
        <v>91</v>
      </c>
      <c r="AP38" s="289">
        <f t="shared" si="53"/>
        <v>11</v>
      </c>
      <c r="AQ38" s="289">
        <f t="shared" si="53"/>
        <v>2</v>
      </c>
      <c r="AR38" s="289">
        <f t="shared" si="53"/>
        <v>5</v>
      </c>
      <c r="AS38" s="289">
        <f t="shared" si="53"/>
        <v>1088</v>
      </c>
      <c r="AT38" s="289">
        <f t="shared" si="53"/>
        <v>52424</v>
      </c>
      <c r="AU38" s="289">
        <f t="shared" si="53"/>
        <v>1348</v>
      </c>
      <c r="AV38" s="289">
        <f t="shared" si="53"/>
        <v>54899</v>
      </c>
      <c r="AW38" s="243"/>
      <c r="AX38" s="243"/>
      <c r="AY38" s="243"/>
      <c r="AZ38" s="243"/>
    </row>
    <row r="39" spans="1:58" s="77" customFormat="1">
      <c r="A39" s="82" t="s">
        <v>66</v>
      </c>
      <c r="B39" s="429">
        <f t="shared" si="54"/>
        <v>0</v>
      </c>
      <c r="C39" s="429">
        <f t="shared" si="48"/>
        <v>0</v>
      </c>
      <c r="D39" s="429">
        <f t="shared" si="48"/>
        <v>0</v>
      </c>
      <c r="E39" s="429">
        <f t="shared" si="48"/>
        <v>0</v>
      </c>
      <c r="F39" s="429">
        <f t="shared" si="48"/>
        <v>0</v>
      </c>
      <c r="G39" s="429">
        <f t="shared" si="48"/>
        <v>0</v>
      </c>
      <c r="H39" s="351">
        <f t="shared" si="48"/>
        <v>0</v>
      </c>
      <c r="I39" s="415">
        <f t="shared" si="55"/>
        <v>0</v>
      </c>
      <c r="J39" s="415">
        <f t="shared" si="49"/>
        <v>0</v>
      </c>
      <c r="K39" s="415">
        <f t="shared" si="49"/>
        <v>0</v>
      </c>
      <c r="L39" s="415">
        <f t="shared" si="49"/>
        <v>1</v>
      </c>
      <c r="M39" s="415">
        <f t="shared" si="49"/>
        <v>3</v>
      </c>
      <c r="N39" s="415">
        <f t="shared" si="49"/>
        <v>0</v>
      </c>
      <c r="O39" s="351">
        <f t="shared" si="49"/>
        <v>4</v>
      </c>
      <c r="P39" s="415">
        <f t="shared" si="56"/>
        <v>0</v>
      </c>
      <c r="Q39" s="415">
        <f t="shared" si="50"/>
        <v>0</v>
      </c>
      <c r="R39" s="415">
        <f t="shared" si="50"/>
        <v>0</v>
      </c>
      <c r="S39" s="415">
        <f t="shared" si="50"/>
        <v>3</v>
      </c>
      <c r="T39" s="415">
        <f t="shared" si="50"/>
        <v>944</v>
      </c>
      <c r="U39" s="415">
        <f t="shared" si="50"/>
        <v>69</v>
      </c>
      <c r="V39" s="415">
        <f t="shared" si="50"/>
        <v>1017</v>
      </c>
      <c r="AA39" s="289" t="s">
        <v>138</v>
      </c>
      <c r="AB39" s="799">
        <f t="shared" si="51"/>
        <v>0</v>
      </c>
      <c r="AC39" s="799">
        <f t="shared" si="51"/>
        <v>0</v>
      </c>
      <c r="AD39" s="799">
        <f t="shared" si="51"/>
        <v>0</v>
      </c>
      <c r="AE39" s="799">
        <f t="shared" si="51"/>
        <v>0</v>
      </c>
      <c r="AF39" s="799">
        <f t="shared" si="51"/>
        <v>0</v>
      </c>
      <c r="AG39" s="799">
        <f t="shared" si="51"/>
        <v>0</v>
      </c>
      <c r="AH39" s="799">
        <f t="shared" si="51"/>
        <v>0</v>
      </c>
      <c r="AI39" s="799">
        <f t="shared" si="52"/>
        <v>0</v>
      </c>
      <c r="AJ39" s="799">
        <f t="shared" si="52"/>
        <v>0</v>
      </c>
      <c r="AK39" s="799">
        <f t="shared" si="52"/>
        <v>0</v>
      </c>
      <c r="AL39" s="799">
        <f t="shared" si="52"/>
        <v>1</v>
      </c>
      <c r="AM39" s="799">
        <f t="shared" si="52"/>
        <v>3</v>
      </c>
      <c r="AN39" s="799">
        <f t="shared" si="52"/>
        <v>0</v>
      </c>
      <c r="AO39" s="799">
        <f t="shared" si="52"/>
        <v>4</v>
      </c>
      <c r="AP39" s="289">
        <f t="shared" si="53"/>
        <v>0</v>
      </c>
      <c r="AQ39" s="289">
        <f t="shared" si="53"/>
        <v>0</v>
      </c>
      <c r="AR39" s="289">
        <f t="shared" si="53"/>
        <v>0</v>
      </c>
      <c r="AS39" s="289">
        <f t="shared" si="53"/>
        <v>3</v>
      </c>
      <c r="AT39" s="289">
        <f t="shared" si="53"/>
        <v>944</v>
      </c>
      <c r="AU39" s="289">
        <f t="shared" si="53"/>
        <v>69</v>
      </c>
      <c r="AV39" s="289">
        <f t="shared" si="53"/>
        <v>1017</v>
      </c>
      <c r="AW39" s="243"/>
      <c r="AX39" s="243"/>
      <c r="AY39" s="243"/>
      <c r="AZ39" s="243"/>
    </row>
    <row r="40" spans="1:58" s="77" customFormat="1">
      <c r="A40" s="16" t="s">
        <v>63</v>
      </c>
      <c r="B40" s="16">
        <f t="shared" si="54"/>
        <v>0</v>
      </c>
      <c r="C40" s="16">
        <f t="shared" si="48"/>
        <v>0</v>
      </c>
      <c r="D40" s="16">
        <f t="shared" si="48"/>
        <v>1</v>
      </c>
      <c r="E40" s="16">
        <f t="shared" si="48"/>
        <v>0</v>
      </c>
      <c r="F40" s="16">
        <f t="shared" si="48"/>
        <v>1</v>
      </c>
      <c r="G40" s="16">
        <f t="shared" si="48"/>
        <v>0</v>
      </c>
      <c r="H40" s="366">
        <f t="shared" si="48"/>
        <v>6</v>
      </c>
      <c r="I40" s="333">
        <f t="shared" si="55"/>
        <v>1</v>
      </c>
      <c r="J40" s="333">
        <f t="shared" si="49"/>
        <v>1</v>
      </c>
      <c r="K40" s="333">
        <f t="shared" si="49"/>
        <v>0</v>
      </c>
      <c r="L40" s="333">
        <f t="shared" si="49"/>
        <v>1</v>
      </c>
      <c r="M40" s="333">
        <f t="shared" si="49"/>
        <v>2</v>
      </c>
      <c r="N40" s="333">
        <f t="shared" si="49"/>
        <v>0</v>
      </c>
      <c r="O40" s="351">
        <f t="shared" si="49"/>
        <v>13</v>
      </c>
      <c r="P40" s="415">
        <f t="shared" si="56"/>
        <v>0</v>
      </c>
      <c r="Q40" s="415">
        <f t="shared" si="50"/>
        <v>0</v>
      </c>
      <c r="R40" s="415">
        <f t="shared" si="50"/>
        <v>0</v>
      </c>
      <c r="S40" s="415">
        <f t="shared" si="50"/>
        <v>1</v>
      </c>
      <c r="T40" s="415">
        <f t="shared" si="50"/>
        <v>17</v>
      </c>
      <c r="U40" s="415">
        <f t="shared" si="50"/>
        <v>0</v>
      </c>
      <c r="V40" s="415">
        <f t="shared" si="50"/>
        <v>29</v>
      </c>
      <c r="AA40" s="780" t="s">
        <v>63</v>
      </c>
      <c r="AB40" s="799">
        <f t="shared" si="51"/>
        <v>0</v>
      </c>
      <c r="AC40" s="799">
        <f t="shared" si="51"/>
        <v>0</v>
      </c>
      <c r="AD40" s="799">
        <f t="shared" si="51"/>
        <v>1</v>
      </c>
      <c r="AE40" s="799">
        <f t="shared" si="51"/>
        <v>0</v>
      </c>
      <c r="AF40" s="799">
        <f t="shared" si="51"/>
        <v>1</v>
      </c>
      <c r="AG40" s="799">
        <f t="shared" si="51"/>
        <v>0</v>
      </c>
      <c r="AH40" s="799">
        <f t="shared" si="51"/>
        <v>6</v>
      </c>
      <c r="AI40" s="799">
        <f t="shared" si="52"/>
        <v>1</v>
      </c>
      <c r="AJ40" s="799">
        <f t="shared" si="52"/>
        <v>1</v>
      </c>
      <c r="AK40" s="799">
        <f t="shared" si="52"/>
        <v>0</v>
      </c>
      <c r="AL40" s="799">
        <f t="shared" si="52"/>
        <v>1</v>
      </c>
      <c r="AM40" s="799">
        <f t="shared" si="52"/>
        <v>2</v>
      </c>
      <c r="AN40" s="799">
        <f t="shared" si="52"/>
        <v>0</v>
      </c>
      <c r="AO40" s="799">
        <f t="shared" si="52"/>
        <v>13</v>
      </c>
      <c r="AP40" s="289">
        <f t="shared" si="53"/>
        <v>0</v>
      </c>
      <c r="AQ40" s="289">
        <f t="shared" si="53"/>
        <v>0</v>
      </c>
      <c r="AR40" s="289">
        <f t="shared" si="53"/>
        <v>0</v>
      </c>
      <c r="AS40" s="289">
        <f t="shared" si="53"/>
        <v>1</v>
      </c>
      <c r="AT40" s="289">
        <f t="shared" si="53"/>
        <v>17</v>
      </c>
      <c r="AU40" s="289">
        <f t="shared" si="53"/>
        <v>0</v>
      </c>
      <c r="AV40" s="289">
        <f t="shared" si="53"/>
        <v>29</v>
      </c>
      <c r="AW40" s="243"/>
      <c r="AX40" s="243"/>
      <c r="AY40" s="243"/>
      <c r="AZ40" s="243"/>
    </row>
    <row r="41" spans="1:58" s="77" customFormat="1">
      <c r="A41" s="490" t="s">
        <v>614</v>
      </c>
      <c r="B41" s="82"/>
      <c r="C41" s="82"/>
      <c r="D41" s="82"/>
      <c r="E41" s="82"/>
      <c r="F41" s="82"/>
      <c r="G41" s="82"/>
      <c r="H41" s="82"/>
      <c r="I41" s="411"/>
      <c r="J41" s="411"/>
      <c r="K41" s="411"/>
      <c r="L41" s="411"/>
      <c r="M41" s="411"/>
      <c r="N41" s="411"/>
      <c r="O41" s="411"/>
      <c r="P41" s="411"/>
      <c r="Q41" s="411"/>
      <c r="R41" s="411"/>
      <c r="S41" s="411"/>
      <c r="T41" s="411"/>
      <c r="U41" s="411"/>
      <c r="V41" s="411"/>
      <c r="AA41" s="780"/>
      <c r="AB41" s="780"/>
      <c r="AC41" s="780"/>
      <c r="AD41" s="780"/>
      <c r="AE41" s="780"/>
      <c r="AF41" s="780"/>
      <c r="AG41" s="780"/>
      <c r="AH41" s="780"/>
      <c r="AI41" s="780"/>
      <c r="AJ41" s="780"/>
      <c r="AK41" s="780"/>
      <c r="AL41" s="780"/>
      <c r="AM41" s="780"/>
      <c r="AN41" s="780"/>
      <c r="AO41" s="780"/>
      <c r="AP41" s="780"/>
      <c r="AQ41" s="780"/>
      <c r="AR41" s="780"/>
      <c r="AS41" s="780"/>
      <c r="AT41" s="780"/>
      <c r="AU41" s="780"/>
      <c r="AV41" s="780"/>
      <c r="AW41" s="243"/>
      <c r="AX41" s="243"/>
      <c r="AY41" s="243"/>
      <c r="AZ41" s="243"/>
    </row>
    <row r="42" spans="1:58" s="77" customFormat="1">
      <c r="E42" s="454"/>
      <c r="H42" s="274"/>
      <c r="L42" s="454"/>
      <c r="O42" s="274"/>
      <c r="S42" s="454"/>
      <c r="AA42" s="780"/>
      <c r="AB42" s="780"/>
      <c r="AC42" s="780"/>
      <c r="AD42" s="780"/>
      <c r="AE42" s="780"/>
      <c r="AF42" s="780"/>
      <c r="AG42" s="780"/>
      <c r="AH42" s="780"/>
      <c r="AI42" s="780"/>
      <c r="AJ42" s="780"/>
      <c r="AK42" s="780"/>
      <c r="AL42" s="780"/>
      <c r="AM42" s="780"/>
      <c r="AN42" s="780"/>
      <c r="AO42" s="780"/>
      <c r="AP42" s="780"/>
      <c r="AQ42" s="780"/>
      <c r="AR42" s="780"/>
      <c r="AS42" s="780"/>
      <c r="AT42" s="780"/>
      <c r="AU42" s="780"/>
      <c r="AV42" s="780"/>
      <c r="AW42" s="243"/>
      <c r="AX42" s="243"/>
      <c r="AY42" s="243"/>
      <c r="AZ42" s="243"/>
    </row>
    <row r="44" spans="1:58" s="72" customFormat="1" ht="30.75" customHeight="1">
      <c r="A44" s="918" t="str">
        <f>Contents!E18</f>
        <v xml:space="preserve">Table 14: Rate of fetal deaths and infant deaths for each birthweight, by sex, ethnic group, maternal age group, deprivation quintile of residence and gestational age, 2016
</v>
      </c>
      <c r="B44" s="924"/>
      <c r="C44" s="924"/>
      <c r="D44" s="924"/>
      <c r="E44" s="924"/>
      <c r="F44" s="924"/>
      <c r="G44" s="924"/>
      <c r="H44" s="924"/>
      <c r="I44" s="924"/>
      <c r="J44" s="924"/>
      <c r="K44" s="924"/>
      <c r="L44" s="924"/>
      <c r="M44" s="924"/>
      <c r="N44" s="924"/>
      <c r="O44" s="924"/>
      <c r="P44" s="361"/>
      <c r="Q44" s="396"/>
      <c r="R44" s="361"/>
      <c r="S44" s="452"/>
      <c r="T44" s="361"/>
      <c r="U44" s="361"/>
      <c r="V44" s="361"/>
      <c r="AA44" s="785"/>
      <c r="AB44" s="785"/>
      <c r="AC44" s="785"/>
      <c r="AD44" s="785"/>
      <c r="AE44" s="785"/>
      <c r="AF44" s="785"/>
      <c r="AG44" s="785"/>
      <c r="AH44" s="785"/>
      <c r="AI44" s="785"/>
      <c r="AJ44" s="785"/>
      <c r="AK44" s="785"/>
      <c r="AL44" s="785"/>
      <c r="AM44" s="785"/>
      <c r="AN44" s="785"/>
      <c r="AO44" s="785"/>
      <c r="AP44" s="785"/>
      <c r="AQ44" s="785"/>
      <c r="AR44" s="785"/>
      <c r="AS44" s="785"/>
      <c r="AT44" s="785"/>
      <c r="AU44" s="785"/>
      <c r="AV44" s="785"/>
      <c r="AW44" s="546"/>
      <c r="AX44" s="546"/>
      <c r="AY44" s="546"/>
      <c r="AZ44" s="546"/>
    </row>
    <row r="45" spans="1:58" ht="18" customHeight="1">
      <c r="A45" s="914" t="s">
        <v>68</v>
      </c>
      <c r="B45" s="915" t="s">
        <v>168</v>
      </c>
      <c r="C45" s="915"/>
      <c r="D45" s="915"/>
      <c r="E45" s="915"/>
      <c r="F45" s="915"/>
      <c r="G45" s="915"/>
      <c r="H45" s="915"/>
      <c r="I45" s="917" t="s">
        <v>169</v>
      </c>
      <c r="J45" s="915"/>
      <c r="K45" s="915"/>
      <c r="L45" s="915"/>
      <c r="M45" s="915"/>
      <c r="N45" s="915"/>
      <c r="O45" s="915"/>
      <c r="P45" s="86"/>
      <c r="Q45" s="168"/>
    </row>
    <row r="46" spans="1:58" ht="37.5" customHeight="1">
      <c r="A46" s="909"/>
      <c r="B46" s="26" t="s">
        <v>378</v>
      </c>
      <c r="C46" s="26" t="s">
        <v>379</v>
      </c>
      <c r="D46" s="26" t="s">
        <v>384</v>
      </c>
      <c r="E46" s="26" t="s">
        <v>397</v>
      </c>
      <c r="F46" s="26" t="s">
        <v>385</v>
      </c>
      <c r="G46" s="26" t="s">
        <v>383</v>
      </c>
      <c r="H46" s="27" t="s">
        <v>44</v>
      </c>
      <c r="I46" s="26" t="s">
        <v>378</v>
      </c>
      <c r="J46" s="26" t="s">
        <v>379</v>
      </c>
      <c r="K46" s="26" t="s">
        <v>384</v>
      </c>
      <c r="L46" s="26" t="s">
        <v>397</v>
      </c>
      <c r="M46" s="26" t="s">
        <v>385</v>
      </c>
      <c r="N46" s="26" t="s">
        <v>383</v>
      </c>
      <c r="O46" s="97" t="s">
        <v>44</v>
      </c>
      <c r="P46" s="86"/>
      <c r="Q46" s="168"/>
    </row>
    <row r="47" spans="1:58">
      <c r="A47" s="80" t="s">
        <v>104</v>
      </c>
      <c r="B47" s="90"/>
      <c r="C47" s="108"/>
      <c r="D47" s="90"/>
      <c r="E47" s="108"/>
      <c r="F47" s="90"/>
      <c r="G47" s="90"/>
      <c r="H47" s="90"/>
      <c r="I47" s="90"/>
      <c r="J47" s="108"/>
      <c r="K47" s="90"/>
      <c r="L47" s="108"/>
      <c r="M47" s="22"/>
      <c r="N47" s="22"/>
      <c r="O47" s="81"/>
      <c r="P47" s="86"/>
      <c r="Q47" s="168"/>
    </row>
    <row r="48" spans="1:58">
      <c r="A48" s="49" t="s">
        <v>44</v>
      </c>
      <c r="B48" s="17">
        <f t="shared" ref="B48:H48" si="57">B9/(B9+P9)*1000</f>
        <v>726.80412371134014</v>
      </c>
      <c r="C48" s="51">
        <f t="shared" si="57"/>
        <v>331.05802047781566</v>
      </c>
      <c r="D48" s="51">
        <f t="shared" si="57"/>
        <v>75.41899441340783</v>
      </c>
      <c r="E48" s="51">
        <f t="shared" si="57"/>
        <v>14.822134387351777</v>
      </c>
      <c r="F48" s="51">
        <f t="shared" si="57"/>
        <v>1.4597750865051904</v>
      </c>
      <c r="G48" s="51">
        <f t="shared" si="57"/>
        <v>2.8030833917309037</v>
      </c>
      <c r="H48" s="51">
        <f t="shared" si="57"/>
        <v>6.7872931354664825</v>
      </c>
      <c r="I48" s="25">
        <f t="shared" ref="I48:O48" si="58">I9/P9*1000</f>
        <v>698.11320754716974</v>
      </c>
      <c r="J48" s="51">
        <f t="shared" si="58"/>
        <v>290.81632653061223</v>
      </c>
      <c r="K48" s="51">
        <f t="shared" si="58"/>
        <v>24.169184290030213</v>
      </c>
      <c r="L48" s="51">
        <f t="shared" si="58"/>
        <v>11.70177198261451</v>
      </c>
      <c r="M48" s="51">
        <f t="shared" si="58"/>
        <v>1.7145847997545438</v>
      </c>
      <c r="N48" s="51">
        <f t="shared" si="58"/>
        <v>0</v>
      </c>
      <c r="O48" s="51">
        <f t="shared" si="58"/>
        <v>3.9876894566152621</v>
      </c>
      <c r="P48" s="86"/>
      <c r="Q48" s="168"/>
    </row>
    <row r="49" spans="1:52">
      <c r="A49" s="80" t="s">
        <v>69</v>
      </c>
      <c r="B49" s="20"/>
      <c r="C49" s="80"/>
      <c r="D49" s="80"/>
      <c r="E49" s="80"/>
      <c r="F49" s="80"/>
      <c r="G49" s="80"/>
      <c r="H49" s="80"/>
      <c r="I49" s="80"/>
      <c r="J49" s="80"/>
      <c r="K49" s="80"/>
      <c r="L49" s="80"/>
      <c r="M49" s="80"/>
      <c r="N49" s="80"/>
      <c r="O49" s="80"/>
      <c r="P49" s="86"/>
      <c r="Q49" s="168"/>
    </row>
    <row r="50" spans="1:52">
      <c r="A50" s="49" t="s">
        <v>70</v>
      </c>
      <c r="B50" s="17">
        <f t="shared" ref="B50:H51" si="59">B11/(B11+P11)*1000</f>
        <v>717.64705882352939</v>
      </c>
      <c r="C50" s="51">
        <f t="shared" si="59"/>
        <v>370.86092715231791</v>
      </c>
      <c r="D50" s="51">
        <f t="shared" si="59"/>
        <v>62.827225130890049</v>
      </c>
      <c r="E50" s="51">
        <f t="shared" si="59"/>
        <v>22.403258655804478</v>
      </c>
      <c r="F50" s="51">
        <f t="shared" si="59"/>
        <v>1.5508794191251629</v>
      </c>
      <c r="G50" s="51">
        <f t="shared" si="59"/>
        <v>2.1459227467811157</v>
      </c>
      <c r="H50" s="51">
        <f t="shared" si="59"/>
        <v>6.9175340272217776</v>
      </c>
      <c r="I50" s="25">
        <f t="shared" ref="I50:O51" si="60">I11/P11*1000</f>
        <v>708.33333333333337</v>
      </c>
      <c r="J50" s="51">
        <f t="shared" si="60"/>
        <v>357.89473684210526</v>
      </c>
      <c r="K50" s="51">
        <f t="shared" si="60"/>
        <v>22.346368715083798</v>
      </c>
      <c r="L50" s="51">
        <f t="shared" si="60"/>
        <v>14.583333333333334</v>
      </c>
      <c r="M50" s="51">
        <f t="shared" si="60"/>
        <v>1.6591944081618244</v>
      </c>
      <c r="N50" s="51">
        <f t="shared" si="60"/>
        <v>0</v>
      </c>
      <c r="O50" s="51">
        <f t="shared" si="60"/>
        <v>4.0955851526976046</v>
      </c>
      <c r="P50" s="86"/>
      <c r="Q50" s="168"/>
    </row>
    <row r="51" spans="1:52">
      <c r="A51" s="49" t="s">
        <v>71</v>
      </c>
      <c r="B51" s="17">
        <f t="shared" si="59"/>
        <v>715.68627450980398</v>
      </c>
      <c r="C51" s="51">
        <f t="shared" si="59"/>
        <v>288.73239436619718</v>
      </c>
      <c r="D51" s="51">
        <f t="shared" si="59"/>
        <v>89.820359281437121</v>
      </c>
      <c r="E51" s="51">
        <f t="shared" si="59"/>
        <v>7.6775431861804222</v>
      </c>
      <c r="F51" s="51">
        <f t="shared" si="59"/>
        <v>1.36445772024929</v>
      </c>
      <c r="G51" s="51">
        <f t="shared" si="59"/>
        <v>4.0404040404040407</v>
      </c>
      <c r="H51" s="51">
        <f t="shared" si="59"/>
        <v>6.381685575364668</v>
      </c>
      <c r="I51" s="25">
        <f t="shared" si="60"/>
        <v>689.65517241379314</v>
      </c>
      <c r="J51" s="51">
        <f t="shared" si="60"/>
        <v>227.72277227722773</v>
      </c>
      <c r="K51" s="51">
        <f t="shared" si="60"/>
        <v>26.315789473684209</v>
      </c>
      <c r="L51" s="51">
        <f t="shared" si="60"/>
        <v>9.0264345583494521</v>
      </c>
      <c r="M51" s="51">
        <f t="shared" si="60"/>
        <v>1.7725258493353029</v>
      </c>
      <c r="N51" s="51">
        <f t="shared" si="60"/>
        <v>0</v>
      </c>
      <c r="O51" s="51">
        <f t="shared" si="60"/>
        <v>3.8739932714853706</v>
      </c>
      <c r="P51" s="86"/>
      <c r="Q51" s="168"/>
    </row>
    <row r="52" spans="1:52">
      <c r="A52" s="80" t="s">
        <v>73</v>
      </c>
      <c r="B52" s="20"/>
      <c r="C52" s="80"/>
      <c r="D52" s="80"/>
      <c r="E52" s="80"/>
      <c r="F52" s="80"/>
      <c r="G52" s="80"/>
      <c r="H52" s="80"/>
      <c r="I52" s="80"/>
      <c r="J52" s="80"/>
      <c r="K52" s="80"/>
      <c r="L52" s="80"/>
      <c r="M52" s="80"/>
      <c r="N52" s="80"/>
      <c r="O52" s="80"/>
      <c r="P52" s="86"/>
      <c r="Q52" s="168"/>
    </row>
    <row r="53" spans="1:52" s="77" customFormat="1">
      <c r="A53" s="82" t="s">
        <v>74</v>
      </c>
      <c r="B53" s="84">
        <f t="shared" ref="B53:H56" si="61">B15/(B15+P15)*1000</f>
        <v>758.62068965517233</v>
      </c>
      <c r="C53" s="84">
        <f t="shared" si="61"/>
        <v>308.51063829787233</v>
      </c>
      <c r="D53" s="84">
        <f t="shared" si="61"/>
        <v>62.99212598425197</v>
      </c>
      <c r="E53" s="84">
        <f t="shared" si="61"/>
        <v>15.822784810126583</v>
      </c>
      <c r="F53" s="84">
        <f t="shared" si="61"/>
        <v>1.140756701945624</v>
      </c>
      <c r="G53" s="84">
        <f t="shared" si="61"/>
        <v>2.3419203747072599</v>
      </c>
      <c r="H53" s="51">
        <f t="shared" si="61"/>
        <v>6.9910033808950773</v>
      </c>
      <c r="I53" s="660">
        <f>IFERROR(IF(I15/P15*1000&gt;1000, "-", I15/P15*1000), "-")</f>
        <v>928.57142857142856</v>
      </c>
      <c r="J53" s="419">
        <f t="shared" ref="J53:O53" si="62">IFERROR(IF(J15/Q15*1000&gt;1000, "-", J15/Q15*1000), "-")</f>
        <v>307.69230769230774</v>
      </c>
      <c r="K53" s="419">
        <f t="shared" si="62"/>
        <v>33.613445378151262</v>
      </c>
      <c r="L53" s="419">
        <f t="shared" si="62"/>
        <v>16.077170418006428</v>
      </c>
      <c r="M53" s="419">
        <f t="shared" si="62"/>
        <v>2.9820442865300425</v>
      </c>
      <c r="N53" s="419">
        <f t="shared" si="62"/>
        <v>0</v>
      </c>
      <c r="O53" s="419">
        <f t="shared" si="62"/>
        <v>5.943793640717872</v>
      </c>
      <c r="P53" s="319"/>
      <c r="Q53" s="319"/>
      <c r="R53" s="320"/>
      <c r="S53" s="320"/>
      <c r="T53" s="320"/>
      <c r="U53" s="320"/>
      <c r="V53" s="320"/>
      <c r="W53" s="320"/>
      <c r="AA53" s="780"/>
      <c r="AB53" s="780"/>
      <c r="AC53" s="780"/>
      <c r="AD53" s="780"/>
      <c r="AE53" s="780"/>
      <c r="AF53" s="780"/>
      <c r="AG53" s="780"/>
      <c r="AH53" s="780"/>
      <c r="AI53" s="780"/>
      <c r="AJ53" s="780"/>
      <c r="AK53" s="780"/>
      <c r="AL53" s="780"/>
      <c r="AM53" s="780"/>
      <c r="AN53" s="780"/>
      <c r="AO53" s="780"/>
      <c r="AP53" s="780"/>
      <c r="AQ53" s="780"/>
      <c r="AR53" s="780"/>
      <c r="AS53" s="780"/>
      <c r="AT53" s="780"/>
      <c r="AU53" s="780"/>
      <c r="AV53" s="780"/>
      <c r="AW53" s="243"/>
      <c r="AX53" s="243"/>
      <c r="AY53" s="243"/>
      <c r="AZ53" s="243"/>
    </row>
    <row r="54" spans="1:52" s="77" customFormat="1">
      <c r="A54" s="82" t="s">
        <v>320</v>
      </c>
      <c r="B54" s="84">
        <f t="shared" si="61"/>
        <v>583.33333333333337</v>
      </c>
      <c r="C54" s="84">
        <f t="shared" si="61"/>
        <v>250</v>
      </c>
      <c r="D54" s="84">
        <f t="shared" si="61"/>
        <v>153.84615384615387</v>
      </c>
      <c r="E54" s="84">
        <f t="shared" si="61"/>
        <v>27.649769585253459</v>
      </c>
      <c r="F54" s="84">
        <f t="shared" si="61"/>
        <v>2.5626944902068458</v>
      </c>
      <c r="G54" s="84">
        <f t="shared" si="61"/>
        <v>3.8167938931297707</v>
      </c>
      <c r="H54" s="51">
        <f t="shared" si="61"/>
        <v>7.4738415545590433</v>
      </c>
      <c r="I54" s="660" t="str">
        <f t="shared" ref="I54:I56" si="63">IFERROR(IF(I16/P16*1000&gt;1000, "-", I16/P16*1000), "-")</f>
        <v>-</v>
      </c>
      <c r="J54" s="419">
        <f t="shared" ref="J54:J56" si="64">IFERROR(IF(J16/Q16*1000&gt;1000, "-", J16/Q16*1000), "-")</f>
        <v>333.33333333333331</v>
      </c>
      <c r="K54" s="419">
        <f t="shared" ref="K54:K56" si="65">IFERROR(IF(K16/R16*1000&gt;1000, "-", K16/R16*1000), "-")</f>
        <v>0</v>
      </c>
      <c r="L54" s="419">
        <f t="shared" ref="L54:L56" si="66">IFERROR(IF(L16/S16*1000&gt;1000, "-", L16/S16*1000), "-")</f>
        <v>42.654028436018962</v>
      </c>
      <c r="M54" s="419">
        <f t="shared" ref="M54:M56" si="67">IFERROR(IF(M16/T16*1000&gt;1000, "-", M16/T16*1000), "-")</f>
        <v>2.2022389429253071</v>
      </c>
      <c r="N54" s="419">
        <f t="shared" ref="N54:N56" si="68">IFERROR(IF(N16/U16*1000&gt;1000, "-", N16/U16*1000), "-")</f>
        <v>0</v>
      </c>
      <c r="O54" s="419">
        <f t="shared" ref="O54:O56" si="69">IFERROR(IF(O16/V16*1000&gt;1000, "-", O16/V16*1000), "-")</f>
        <v>6.1914323962516731</v>
      </c>
      <c r="P54" s="319"/>
      <c r="Q54" s="319"/>
      <c r="R54" s="320"/>
      <c r="S54" s="320"/>
      <c r="T54" s="320"/>
      <c r="U54" s="320"/>
      <c r="V54" s="320"/>
      <c r="W54" s="320"/>
      <c r="AA54" s="780"/>
      <c r="AB54" s="780"/>
      <c r="AC54" s="780"/>
      <c r="AD54" s="780"/>
      <c r="AE54" s="780"/>
      <c r="AF54" s="780"/>
      <c r="AG54" s="780"/>
      <c r="AH54" s="780"/>
      <c r="AI54" s="780"/>
      <c r="AJ54" s="780"/>
      <c r="AK54" s="780"/>
      <c r="AL54" s="780"/>
      <c r="AM54" s="780"/>
      <c r="AN54" s="780"/>
      <c r="AO54" s="780"/>
      <c r="AP54" s="780"/>
      <c r="AQ54" s="780"/>
      <c r="AR54" s="780"/>
      <c r="AS54" s="780"/>
      <c r="AT54" s="780"/>
      <c r="AU54" s="780"/>
      <c r="AV54" s="780"/>
      <c r="AW54" s="243"/>
      <c r="AX54" s="243"/>
      <c r="AY54" s="243"/>
      <c r="AZ54" s="243"/>
    </row>
    <row r="55" spans="1:52" s="77" customFormat="1">
      <c r="A55" s="310" t="s">
        <v>355</v>
      </c>
      <c r="B55" s="84">
        <f t="shared" si="61"/>
        <v>595.74468085106378</v>
      </c>
      <c r="C55" s="84">
        <f t="shared" si="61"/>
        <v>285.71428571428572</v>
      </c>
      <c r="D55" s="84">
        <f t="shared" si="61"/>
        <v>106.06060606060606</v>
      </c>
      <c r="E55" s="84">
        <f t="shared" si="61"/>
        <v>10.130246020260492</v>
      </c>
      <c r="F55" s="84">
        <f t="shared" si="61"/>
        <v>1.2918612739739641</v>
      </c>
      <c r="G55" s="84">
        <f t="shared" si="61"/>
        <v>0</v>
      </c>
      <c r="H55" s="51">
        <f t="shared" si="61"/>
        <v>6.6514806378132114</v>
      </c>
      <c r="I55" s="660">
        <f t="shared" si="63"/>
        <v>473.68421052631578</v>
      </c>
      <c r="J55" s="419">
        <f t="shared" si="64"/>
        <v>175</v>
      </c>
      <c r="K55" s="419">
        <f t="shared" si="65"/>
        <v>16.949152542372882</v>
      </c>
      <c r="L55" s="419">
        <f t="shared" si="66"/>
        <v>2.9239766081871341</v>
      </c>
      <c r="M55" s="419">
        <f t="shared" si="67"/>
        <v>0.69651741293532343</v>
      </c>
      <c r="N55" s="419">
        <f t="shared" si="68"/>
        <v>0</v>
      </c>
      <c r="O55" s="419">
        <f t="shared" si="69"/>
        <v>2.4766097963676388</v>
      </c>
      <c r="P55" s="319"/>
      <c r="Q55" s="319"/>
      <c r="R55" s="320"/>
      <c r="S55" s="320"/>
      <c r="T55" s="320"/>
      <c r="U55" s="320"/>
      <c r="V55" s="320"/>
      <c r="W55" s="320"/>
      <c r="AA55" s="780"/>
      <c r="AB55" s="780"/>
      <c r="AC55" s="780"/>
      <c r="AD55" s="780"/>
      <c r="AE55" s="780"/>
      <c r="AF55" s="780"/>
      <c r="AG55" s="780"/>
      <c r="AH55" s="780"/>
      <c r="AI55" s="780"/>
      <c r="AJ55" s="780"/>
      <c r="AK55" s="780"/>
      <c r="AL55" s="780"/>
      <c r="AM55" s="780"/>
      <c r="AN55" s="780"/>
      <c r="AO55" s="780"/>
      <c r="AP55" s="780"/>
      <c r="AQ55" s="780"/>
      <c r="AR55" s="780"/>
      <c r="AS55" s="780"/>
      <c r="AT55" s="780"/>
      <c r="AU55" s="780"/>
      <c r="AV55" s="780"/>
      <c r="AW55" s="243"/>
      <c r="AX55" s="243"/>
      <c r="AY55" s="243"/>
      <c r="AZ55" s="243"/>
    </row>
    <row r="56" spans="1:52" s="77" customFormat="1">
      <c r="A56" s="310" t="s">
        <v>356</v>
      </c>
      <c r="B56" s="84">
        <f t="shared" si="61"/>
        <v>805.19480519480521</v>
      </c>
      <c r="C56" s="84">
        <f t="shared" si="61"/>
        <v>401.86915887850466</v>
      </c>
      <c r="D56" s="84">
        <f t="shared" si="61"/>
        <v>57.553956834532379</v>
      </c>
      <c r="E56" s="84">
        <f t="shared" si="61"/>
        <v>14.40677966101695</v>
      </c>
      <c r="F56" s="84">
        <f t="shared" si="61"/>
        <v>1.48864905098623</v>
      </c>
      <c r="G56" s="84">
        <f t="shared" si="61"/>
        <v>2.8818443804034581</v>
      </c>
      <c r="H56" s="51">
        <f t="shared" si="61"/>
        <v>6.5525338989470496</v>
      </c>
      <c r="I56" s="660">
        <f t="shared" si="63"/>
        <v>600</v>
      </c>
      <c r="J56" s="419">
        <f t="shared" si="64"/>
        <v>328.125</v>
      </c>
      <c r="K56" s="419">
        <f t="shared" si="65"/>
        <v>22.900763358778626</v>
      </c>
      <c r="L56" s="419">
        <f t="shared" si="66"/>
        <v>7.7386070507308684</v>
      </c>
      <c r="M56" s="419">
        <f t="shared" si="67"/>
        <v>1.2009773470824532</v>
      </c>
      <c r="N56" s="419">
        <f t="shared" si="68"/>
        <v>0</v>
      </c>
      <c r="O56" s="419">
        <f t="shared" si="69"/>
        <v>2.8213046627778415</v>
      </c>
      <c r="P56" s="319"/>
      <c r="Q56" s="319"/>
      <c r="R56" s="320"/>
      <c r="S56" s="320"/>
      <c r="T56" s="320"/>
      <c r="U56" s="320"/>
      <c r="V56" s="320"/>
      <c r="W56" s="320"/>
      <c r="AA56" s="780"/>
      <c r="AB56" s="780"/>
      <c r="AC56" s="780"/>
      <c r="AD56" s="780"/>
      <c r="AE56" s="780"/>
      <c r="AF56" s="780"/>
      <c r="AG56" s="780"/>
      <c r="AH56" s="780"/>
      <c r="AI56" s="780"/>
      <c r="AJ56" s="780"/>
      <c r="AK56" s="780"/>
      <c r="AL56" s="780"/>
      <c r="AM56" s="780"/>
      <c r="AN56" s="780"/>
      <c r="AO56" s="780"/>
      <c r="AP56" s="780"/>
      <c r="AQ56" s="780"/>
      <c r="AR56" s="780"/>
      <c r="AS56" s="780"/>
      <c r="AT56" s="780"/>
      <c r="AU56" s="780"/>
      <c r="AV56" s="780"/>
      <c r="AW56" s="243"/>
      <c r="AX56" s="243"/>
      <c r="AY56" s="243"/>
      <c r="AZ56" s="243"/>
    </row>
    <row r="57" spans="1:52">
      <c r="A57" s="80" t="s">
        <v>152</v>
      </c>
      <c r="B57" s="22"/>
      <c r="C57" s="81"/>
      <c r="D57" s="81"/>
      <c r="E57" s="81"/>
      <c r="F57" s="81"/>
      <c r="G57" s="81"/>
      <c r="H57" s="81"/>
      <c r="I57" s="81"/>
      <c r="J57" s="81"/>
      <c r="K57" s="81"/>
      <c r="L57" s="81"/>
      <c r="M57" s="81"/>
      <c r="N57" s="81"/>
      <c r="O57" s="81"/>
      <c r="P57" s="321"/>
      <c r="Q57" s="321"/>
      <c r="R57" s="123"/>
      <c r="S57" s="123"/>
      <c r="T57" s="123"/>
      <c r="U57" s="123"/>
      <c r="V57" s="123"/>
      <c r="W57" s="123"/>
    </row>
    <row r="58" spans="1:52">
      <c r="A58" s="422" t="s">
        <v>339</v>
      </c>
      <c r="B58" s="84">
        <f>IFERROR(IF(B20/(B20+P20)*1000&gt;1000, "-", B20/(B20+P20)*1000),"-")</f>
        <v>846.15384615384619</v>
      </c>
      <c r="C58" s="84">
        <f t="shared" ref="C58:H63" si="70">IFERROR(IF(C20/(C20+Q20)*1000&gt;1000, "-", C20/(C20+Q20)*1000),"-")</f>
        <v>296.2962962962963</v>
      </c>
      <c r="D58" s="84">
        <f t="shared" si="70"/>
        <v>125</v>
      </c>
      <c r="E58" s="84">
        <f t="shared" si="70"/>
        <v>40.935672514619881</v>
      </c>
      <c r="F58" s="84">
        <f t="shared" si="70"/>
        <v>2.5795356835769563</v>
      </c>
      <c r="G58" s="84">
        <f t="shared" si="70"/>
        <v>0</v>
      </c>
      <c r="H58" s="420">
        <f t="shared" si="70"/>
        <v>13.872832369942197</v>
      </c>
      <c r="I58" s="736">
        <f>IFERROR(IF(I20/P20*1000&gt;1000, "-", I20/P20*1000),"-")</f>
        <v>1000</v>
      </c>
      <c r="J58" s="419">
        <f t="shared" ref="J58:O63" si="71">IFERROR(IF(J20/Q20*1000&gt;1000, "-", J20/Q20*1000),"-")</f>
        <v>421.05263157894734</v>
      </c>
      <c r="K58" s="419">
        <f t="shared" si="71"/>
        <v>47.619047619047613</v>
      </c>
      <c r="L58" s="419">
        <f t="shared" si="71"/>
        <v>18.292682926829269</v>
      </c>
      <c r="M58" s="419">
        <f t="shared" si="71"/>
        <v>5.1724137931034484</v>
      </c>
      <c r="N58" s="419">
        <f t="shared" si="71"/>
        <v>0</v>
      </c>
      <c r="O58" s="419">
        <f t="shared" si="71"/>
        <v>10.550996483001173</v>
      </c>
      <c r="P58" s="321"/>
      <c r="Q58" s="321"/>
      <c r="R58" s="123"/>
      <c r="S58" s="123"/>
      <c r="T58" s="123"/>
      <c r="U58" s="123"/>
      <c r="V58" s="123"/>
      <c r="W58" s="123"/>
    </row>
    <row r="59" spans="1:52">
      <c r="A59" s="49" t="s">
        <v>77</v>
      </c>
      <c r="B59" s="84">
        <f t="shared" ref="B59:B63" si="72">IFERROR(IF(B21/(B21+P21)*1000&gt;1000, "-", B21/(B21+P21)*1000),"-")</f>
        <v>676.47058823529414</v>
      </c>
      <c r="C59" s="84">
        <f t="shared" si="70"/>
        <v>333.33333333333331</v>
      </c>
      <c r="D59" s="84">
        <f t="shared" si="70"/>
        <v>19.230769230769234</v>
      </c>
      <c r="E59" s="84">
        <f t="shared" si="70"/>
        <v>21.526418786692759</v>
      </c>
      <c r="F59" s="84">
        <f t="shared" si="70"/>
        <v>1.9676432006996065</v>
      </c>
      <c r="G59" s="84">
        <f t="shared" si="70"/>
        <v>0</v>
      </c>
      <c r="H59" s="420">
        <f t="shared" si="70"/>
        <v>7.2948935744978511</v>
      </c>
      <c r="I59" s="736">
        <f t="shared" ref="I59:I63" si="73">IFERROR(IF(I21/P21*1000&gt;1000, "-", I21/P21*1000),"-")</f>
        <v>1000</v>
      </c>
      <c r="J59" s="419">
        <f t="shared" si="71"/>
        <v>466.66666666666669</v>
      </c>
      <c r="K59" s="419">
        <f t="shared" si="71"/>
        <v>0</v>
      </c>
      <c r="L59" s="419">
        <f t="shared" si="71"/>
        <v>20</v>
      </c>
      <c r="M59" s="419">
        <f t="shared" si="71"/>
        <v>2.5191675794085433</v>
      </c>
      <c r="N59" s="419">
        <f t="shared" si="71"/>
        <v>0</v>
      </c>
      <c r="O59" s="419">
        <f t="shared" si="71"/>
        <v>6.1405274813770889</v>
      </c>
      <c r="P59" s="321"/>
      <c r="Q59" s="321"/>
      <c r="R59" s="123"/>
      <c r="S59" s="123"/>
      <c r="T59" s="123"/>
      <c r="U59" s="123"/>
      <c r="V59" s="123"/>
      <c r="W59" s="123"/>
    </row>
    <row r="60" spans="1:52">
      <c r="A60" s="49" t="s">
        <v>78</v>
      </c>
      <c r="B60" s="84">
        <f t="shared" si="72"/>
        <v>754.71698113207549</v>
      </c>
      <c r="C60" s="84">
        <f t="shared" si="70"/>
        <v>323.94366197183098</v>
      </c>
      <c r="D60" s="84">
        <f t="shared" si="70"/>
        <v>103.77358490566039</v>
      </c>
      <c r="E60" s="84">
        <f t="shared" si="70"/>
        <v>6.5789473684210522</v>
      </c>
      <c r="F60" s="84">
        <f t="shared" si="70"/>
        <v>1.1075640106847351</v>
      </c>
      <c r="G60" s="84">
        <f t="shared" si="70"/>
        <v>4.8543689320388346</v>
      </c>
      <c r="H60" s="420">
        <f t="shared" si="70"/>
        <v>6.1430190254666908</v>
      </c>
      <c r="I60" s="736">
        <f t="shared" si="73"/>
        <v>538.46153846153845</v>
      </c>
      <c r="J60" s="419">
        <f t="shared" si="71"/>
        <v>291.66666666666669</v>
      </c>
      <c r="K60" s="419">
        <f t="shared" si="71"/>
        <v>42.105263157894733</v>
      </c>
      <c r="L60" s="419">
        <f t="shared" si="71"/>
        <v>3.9735099337748343</v>
      </c>
      <c r="M60" s="419">
        <f t="shared" si="71"/>
        <v>1.5001304461257499</v>
      </c>
      <c r="N60" s="419">
        <f t="shared" si="71"/>
        <v>0</v>
      </c>
      <c r="O60" s="419">
        <f t="shared" si="71"/>
        <v>3.1204992798847817</v>
      </c>
      <c r="P60" s="321"/>
      <c r="Q60" s="321"/>
      <c r="R60" s="123"/>
      <c r="S60" s="123"/>
      <c r="T60" s="123"/>
      <c r="U60" s="123"/>
      <c r="V60" s="123"/>
      <c r="W60" s="123"/>
    </row>
    <row r="61" spans="1:52">
      <c r="A61" s="49" t="s">
        <v>79</v>
      </c>
      <c r="B61" s="84">
        <f t="shared" si="72"/>
        <v>693.54838709677426</v>
      </c>
      <c r="C61" s="84">
        <f t="shared" si="70"/>
        <v>362.31884057971013</v>
      </c>
      <c r="D61" s="84">
        <f t="shared" si="70"/>
        <v>56.074766355140184</v>
      </c>
      <c r="E61" s="84">
        <f t="shared" si="70"/>
        <v>14.192139737991267</v>
      </c>
      <c r="F61" s="84">
        <f t="shared" si="70"/>
        <v>1.4517159282271646</v>
      </c>
      <c r="G61" s="84">
        <f t="shared" si="70"/>
        <v>0</v>
      </c>
      <c r="H61" s="420">
        <f t="shared" si="70"/>
        <v>6.1056543668701879</v>
      </c>
      <c r="I61" s="736">
        <f t="shared" si="73"/>
        <v>631.57894736842104</v>
      </c>
      <c r="J61" s="419">
        <f t="shared" si="71"/>
        <v>318.18181818181819</v>
      </c>
      <c r="K61" s="419">
        <f t="shared" si="71"/>
        <v>0</v>
      </c>
      <c r="L61" s="419">
        <f t="shared" si="71"/>
        <v>11.07419712070875</v>
      </c>
      <c r="M61" s="419">
        <f t="shared" si="71"/>
        <v>1.2212142358688067</v>
      </c>
      <c r="N61" s="419">
        <f t="shared" si="71"/>
        <v>0</v>
      </c>
      <c r="O61" s="419">
        <f t="shared" si="71"/>
        <v>3.1517094017094016</v>
      </c>
      <c r="P61" s="86"/>
      <c r="Q61" s="168"/>
    </row>
    <row r="62" spans="1:52">
      <c r="A62" s="49" t="s">
        <v>80</v>
      </c>
      <c r="B62" s="84">
        <f t="shared" si="72"/>
        <v>740.74074074074065</v>
      </c>
      <c r="C62" s="84">
        <f t="shared" si="70"/>
        <v>327.86885245901635</v>
      </c>
      <c r="D62" s="84">
        <f t="shared" si="70"/>
        <v>113.20754716981132</v>
      </c>
      <c r="E62" s="84">
        <f t="shared" si="70"/>
        <v>15.625</v>
      </c>
      <c r="F62" s="84">
        <f t="shared" si="70"/>
        <v>1.2971570641011783</v>
      </c>
      <c r="G62" s="84">
        <f t="shared" si="70"/>
        <v>7.6335877862595414</v>
      </c>
      <c r="H62" s="420">
        <f t="shared" si="70"/>
        <v>6.8796068796068797</v>
      </c>
      <c r="I62" s="736">
        <f t="shared" si="73"/>
        <v>428.57142857142856</v>
      </c>
      <c r="J62" s="419">
        <f t="shared" si="71"/>
        <v>73.170731707317074</v>
      </c>
      <c r="K62" s="419">
        <f t="shared" si="71"/>
        <v>42.553191489361701</v>
      </c>
      <c r="L62" s="419">
        <f t="shared" si="71"/>
        <v>11.904761904761903</v>
      </c>
      <c r="M62" s="419">
        <f t="shared" si="71"/>
        <v>1.2988418660028143</v>
      </c>
      <c r="N62" s="419">
        <f t="shared" si="71"/>
        <v>0</v>
      </c>
      <c r="O62" s="419">
        <f t="shared" si="71"/>
        <v>2.5729836714497774</v>
      </c>
      <c r="P62" s="86"/>
      <c r="Q62" s="168"/>
    </row>
    <row r="63" spans="1:52">
      <c r="A63" s="49" t="s">
        <v>81</v>
      </c>
      <c r="B63" s="84">
        <f t="shared" si="72"/>
        <v>800</v>
      </c>
      <c r="C63" s="84">
        <f t="shared" si="70"/>
        <v>300</v>
      </c>
      <c r="D63" s="84">
        <f t="shared" si="70"/>
        <v>0</v>
      </c>
      <c r="E63" s="84">
        <f t="shared" si="70"/>
        <v>6.024096385542169</v>
      </c>
      <c r="F63" s="84">
        <f t="shared" si="70"/>
        <v>1.3679890560875512</v>
      </c>
      <c r="G63" s="84">
        <f t="shared" si="70"/>
        <v>0</v>
      </c>
      <c r="H63" s="420">
        <f t="shared" si="70"/>
        <v>6.4777327935222671</v>
      </c>
      <c r="I63" s="736" t="str">
        <f t="shared" si="73"/>
        <v>-</v>
      </c>
      <c r="J63" s="419">
        <f t="shared" si="71"/>
        <v>285.71428571428572</v>
      </c>
      <c r="K63" s="419">
        <f t="shared" si="71"/>
        <v>62.5</v>
      </c>
      <c r="L63" s="419">
        <f t="shared" si="71"/>
        <v>18.18181818181818</v>
      </c>
      <c r="M63" s="419">
        <f t="shared" si="71"/>
        <v>1.8264840182648401</v>
      </c>
      <c r="N63" s="419">
        <f t="shared" si="71"/>
        <v>0</v>
      </c>
      <c r="O63" s="419">
        <f t="shared" si="71"/>
        <v>6.1124694376528126</v>
      </c>
      <c r="P63" s="86"/>
      <c r="Q63" s="168"/>
    </row>
    <row r="64" spans="1:52">
      <c r="A64" s="80" t="s">
        <v>82</v>
      </c>
      <c r="B64" s="22"/>
      <c r="C64" s="81"/>
      <c r="D64" s="81"/>
      <c r="E64" s="81"/>
      <c r="F64" s="81"/>
      <c r="G64" s="81"/>
      <c r="H64" s="81"/>
      <c r="I64" s="737"/>
      <c r="J64" s="81"/>
      <c r="K64" s="81"/>
      <c r="L64" s="81"/>
      <c r="M64" s="81"/>
      <c r="N64" s="81"/>
      <c r="O64" s="81"/>
      <c r="P64" s="86"/>
      <c r="Q64" s="168"/>
    </row>
    <row r="65" spans="1:52">
      <c r="A65" s="49" t="s">
        <v>83</v>
      </c>
      <c r="B65" s="17">
        <f>IFERROR(IF(B28/(B28+P28)*1000&gt;1000, "-", B28/(B28+P28)*1000),"-")</f>
        <v>560</v>
      </c>
      <c r="C65" s="51">
        <f t="shared" ref="C65:H69" si="74">IFERROR(IF(C28/(C28+Q28)*1000&gt;1000, "-", C28/(C28+Q28)*1000),"-")</f>
        <v>484.84848484848487</v>
      </c>
      <c r="D65" s="51">
        <f t="shared" si="74"/>
        <v>0</v>
      </c>
      <c r="E65" s="51">
        <f t="shared" si="74"/>
        <v>2.4937655860349128</v>
      </c>
      <c r="F65" s="51">
        <f t="shared" si="74"/>
        <v>1.1732957878681216</v>
      </c>
      <c r="G65" s="51">
        <f t="shared" si="74"/>
        <v>0</v>
      </c>
      <c r="H65" s="420">
        <f t="shared" si="74"/>
        <v>4.6551910793547684</v>
      </c>
      <c r="I65" s="736">
        <f>IFERROR(IF(I28/P28*1000&gt;1000, "-", I28/P28*1000),"-")</f>
        <v>363.63636363636363</v>
      </c>
      <c r="J65" s="419">
        <f t="shared" ref="J65:O69" si="75">IFERROR(IF(J28/Q28*1000&gt;1000, "-", J28/Q28*1000),"-")</f>
        <v>235.29411764705881</v>
      </c>
      <c r="K65" s="419">
        <f t="shared" si="75"/>
        <v>19.607843137254903</v>
      </c>
      <c r="L65" s="419">
        <f t="shared" si="75"/>
        <v>5</v>
      </c>
      <c r="M65" s="419">
        <f t="shared" si="75"/>
        <v>1.2921414307529659</v>
      </c>
      <c r="N65" s="419">
        <f t="shared" si="75"/>
        <v>0</v>
      </c>
      <c r="O65" s="419">
        <f t="shared" si="75"/>
        <v>2.6103980857080704</v>
      </c>
      <c r="P65" s="86"/>
      <c r="Q65" s="168"/>
    </row>
    <row r="66" spans="1:52">
      <c r="A66" s="13">
        <v>2</v>
      </c>
      <c r="B66" s="51">
        <f t="shared" ref="B66:B69" si="76">IFERROR(IF(B29/(B29+P29)*1000&gt;1000, "-", B29/(B29+P29)*1000),"-")</f>
        <v>807.69230769230774</v>
      </c>
      <c r="C66" s="51">
        <f t="shared" si="74"/>
        <v>382.97872340425533</v>
      </c>
      <c r="D66" s="51">
        <f t="shared" si="74"/>
        <v>69.767441860465112</v>
      </c>
      <c r="E66" s="51">
        <f t="shared" si="74"/>
        <v>11.286681715575622</v>
      </c>
      <c r="F66" s="51">
        <f t="shared" si="74"/>
        <v>1.5960842732496276</v>
      </c>
      <c r="G66" s="51">
        <f t="shared" si="74"/>
        <v>0</v>
      </c>
      <c r="H66" s="420">
        <f t="shared" si="74"/>
        <v>6.2825169333464217</v>
      </c>
      <c r="I66" s="736">
        <f t="shared" ref="I66:I69" si="77">IFERROR(IF(I29/P29*1000&gt;1000, "-", I29/P29*1000),"-")</f>
        <v>1000</v>
      </c>
      <c r="J66" s="419">
        <f t="shared" si="75"/>
        <v>103.44827586206897</v>
      </c>
      <c r="K66" s="419">
        <f t="shared" si="75"/>
        <v>25</v>
      </c>
      <c r="L66" s="419">
        <f t="shared" si="75"/>
        <v>6.8493150684931505</v>
      </c>
      <c r="M66" s="419">
        <f t="shared" si="75"/>
        <v>1.0657572205051689</v>
      </c>
      <c r="N66" s="419">
        <f t="shared" si="75"/>
        <v>0</v>
      </c>
      <c r="O66" s="419">
        <f t="shared" si="75"/>
        <v>2.3708386841845304</v>
      </c>
      <c r="P66" s="86"/>
      <c r="Q66" s="168"/>
    </row>
    <row r="67" spans="1:52">
      <c r="A67" s="13">
        <v>3</v>
      </c>
      <c r="B67" s="51">
        <f t="shared" si="76"/>
        <v>742.85714285714289</v>
      </c>
      <c r="C67" s="51">
        <f t="shared" si="74"/>
        <v>234.04255319148936</v>
      </c>
      <c r="D67" s="51">
        <f t="shared" si="74"/>
        <v>74.626865671641781</v>
      </c>
      <c r="E67" s="51">
        <f t="shared" si="74"/>
        <v>12.681159420289855</v>
      </c>
      <c r="F67" s="51">
        <f t="shared" si="74"/>
        <v>1.4894250819183796</v>
      </c>
      <c r="G67" s="51">
        <f t="shared" si="74"/>
        <v>0</v>
      </c>
      <c r="H67" s="420">
        <f t="shared" si="74"/>
        <v>6.1599782589002627</v>
      </c>
      <c r="I67" s="736">
        <f t="shared" si="77"/>
        <v>777.77777777777783</v>
      </c>
      <c r="J67" s="419">
        <f t="shared" si="75"/>
        <v>277.77777777777777</v>
      </c>
      <c r="K67" s="419">
        <f t="shared" si="75"/>
        <v>16.129032258064516</v>
      </c>
      <c r="L67" s="419">
        <f t="shared" si="75"/>
        <v>9.1743119266055047</v>
      </c>
      <c r="M67" s="419">
        <f t="shared" si="75"/>
        <v>0.8949880668257757</v>
      </c>
      <c r="N67" s="419">
        <f t="shared" si="75"/>
        <v>0</v>
      </c>
      <c r="O67" s="419">
        <f t="shared" si="75"/>
        <v>2.9167806034089874</v>
      </c>
      <c r="P67" s="86"/>
      <c r="Q67" s="168"/>
    </row>
    <row r="68" spans="1:52">
      <c r="A68" s="13">
        <v>4</v>
      </c>
      <c r="B68" s="51">
        <f t="shared" si="76"/>
        <v>717.9487179487179</v>
      </c>
      <c r="C68" s="51">
        <f t="shared" si="74"/>
        <v>313.43283582089555</v>
      </c>
      <c r="D68" s="51">
        <f t="shared" si="74"/>
        <v>107.14285714285714</v>
      </c>
      <c r="E68" s="51">
        <f t="shared" si="74"/>
        <v>17.241379310344826</v>
      </c>
      <c r="F68" s="51">
        <f t="shared" si="74"/>
        <v>1.3300083125519535</v>
      </c>
      <c r="G68" s="51">
        <f t="shared" si="74"/>
        <v>0</v>
      </c>
      <c r="H68" s="420">
        <f t="shared" si="74"/>
        <v>6.8073519400953026</v>
      </c>
      <c r="I68" s="419">
        <f t="shared" si="77"/>
        <v>727.27272727272725</v>
      </c>
      <c r="J68" s="419">
        <f t="shared" si="75"/>
        <v>326.08695652173913</v>
      </c>
      <c r="K68" s="419">
        <f t="shared" si="75"/>
        <v>26.666666666666668</v>
      </c>
      <c r="L68" s="419">
        <f t="shared" si="75"/>
        <v>7.3099415204678362</v>
      </c>
      <c r="M68" s="419">
        <f t="shared" si="75"/>
        <v>1.8311969369069421</v>
      </c>
      <c r="N68" s="419">
        <f t="shared" si="75"/>
        <v>0</v>
      </c>
      <c r="O68" s="419">
        <f t="shared" si="75"/>
        <v>3.9600944330210957</v>
      </c>
      <c r="P68" s="86"/>
      <c r="Q68" s="168"/>
    </row>
    <row r="69" spans="1:52">
      <c r="A69" s="49" t="s">
        <v>84</v>
      </c>
      <c r="B69" s="51">
        <f t="shared" si="76"/>
        <v>721.31147540983613</v>
      </c>
      <c r="C69" s="51">
        <f t="shared" si="74"/>
        <v>263.73626373626377</v>
      </c>
      <c r="D69" s="51">
        <f t="shared" si="74"/>
        <v>80.357142857142861</v>
      </c>
      <c r="E69" s="51">
        <f t="shared" si="74"/>
        <v>19.189765458422176</v>
      </c>
      <c r="F69" s="51">
        <f t="shared" si="74"/>
        <v>1.3690592607079992</v>
      </c>
      <c r="G69" s="51">
        <f t="shared" si="74"/>
        <v>8.7336244541484707</v>
      </c>
      <c r="H69" s="420">
        <f t="shared" si="74"/>
        <v>7.4065365624265223</v>
      </c>
      <c r="I69" s="419">
        <f t="shared" si="77"/>
        <v>764.7058823529411</v>
      </c>
      <c r="J69" s="419">
        <f t="shared" si="75"/>
        <v>358.20895522388059</v>
      </c>
      <c r="K69" s="419">
        <f t="shared" si="75"/>
        <v>29.126213592233011</v>
      </c>
      <c r="L69" s="419">
        <f t="shared" si="75"/>
        <v>21.739130434782609</v>
      </c>
      <c r="M69" s="419">
        <f t="shared" si="75"/>
        <v>2.8071549810680247</v>
      </c>
      <c r="N69" s="419">
        <f t="shared" si="75"/>
        <v>0</v>
      </c>
      <c r="O69" s="419">
        <f t="shared" si="75"/>
        <v>6.3366102096411225</v>
      </c>
      <c r="P69" s="86"/>
      <c r="Q69" s="168"/>
    </row>
    <row r="70" spans="1:52">
      <c r="A70" s="80" t="s">
        <v>105</v>
      </c>
      <c r="B70" s="22"/>
      <c r="C70" s="81"/>
      <c r="D70" s="81"/>
      <c r="E70" s="81"/>
      <c r="F70" s="81"/>
      <c r="G70" s="81"/>
      <c r="H70" s="81"/>
      <c r="I70" s="81"/>
      <c r="J70" s="81"/>
      <c r="K70" s="81"/>
      <c r="L70" s="81"/>
      <c r="M70" s="81"/>
      <c r="N70" s="81"/>
      <c r="O70" s="81"/>
      <c r="P70" s="86"/>
      <c r="Q70" s="168"/>
    </row>
    <row r="71" spans="1:52">
      <c r="A71" s="404" t="s">
        <v>375</v>
      </c>
      <c r="B71" s="418">
        <f>IFERROR(IF(B35/(B35+P35)*1000&gt;1000, "-", B35/(B35+P35)*1000),"-")</f>
        <v>750</v>
      </c>
      <c r="C71" s="418">
        <f t="shared" ref="C71:H75" si="78">IFERROR(IF(C35/(C35+Q35)*1000&gt;1000, "-", C35/(C35+Q35)*1000),"-")</f>
        <v>351.23966942148758</v>
      </c>
      <c r="D71" s="418">
        <f t="shared" si="78"/>
        <v>111.1111111111111</v>
      </c>
      <c r="E71" s="418">
        <f t="shared" si="78"/>
        <v>0</v>
      </c>
      <c r="F71" s="418">
        <f t="shared" si="78"/>
        <v>333.33333333333331</v>
      </c>
      <c r="G71" s="418" t="str">
        <f t="shared" si="78"/>
        <v>-</v>
      </c>
      <c r="H71" s="420">
        <f t="shared" si="78"/>
        <v>466.11909650924025</v>
      </c>
      <c r="I71" s="419">
        <f>IFERROR(IF(I35/P35*1000&gt;1000, "-", I35/P35*1000),"-")</f>
        <v>878.04878048780483</v>
      </c>
      <c r="J71" s="419">
        <f t="shared" ref="J71:O75" si="79">IFERROR(IF(J35/Q35*1000&gt;1000, "-", J35/Q35*1000),"-")</f>
        <v>350.31847133757958</v>
      </c>
      <c r="K71" s="419">
        <f t="shared" si="79"/>
        <v>53.571428571428569</v>
      </c>
      <c r="L71" s="419">
        <f t="shared" si="79"/>
        <v>333.33333333333331</v>
      </c>
      <c r="M71" s="419">
        <f t="shared" si="79"/>
        <v>0</v>
      </c>
      <c r="N71" s="419" t="str">
        <f t="shared" si="79"/>
        <v>-</v>
      </c>
      <c r="O71" s="419">
        <f t="shared" si="79"/>
        <v>369.23076923076923</v>
      </c>
      <c r="P71" s="86"/>
      <c r="Q71" s="168"/>
    </row>
    <row r="72" spans="1:52" s="397" customFormat="1">
      <c r="A72" s="404" t="s">
        <v>376</v>
      </c>
      <c r="B72" s="418">
        <f t="shared" ref="B72:B75" si="80">IFERROR(IF(B36/(B36+P36)*1000&gt;1000, "-", B36/(B36+P36)*1000),"-")</f>
        <v>1000</v>
      </c>
      <c r="C72" s="418">
        <f t="shared" si="78"/>
        <v>229.16666666666666</v>
      </c>
      <c r="D72" s="418">
        <f t="shared" si="78"/>
        <v>57.142857142857139</v>
      </c>
      <c r="E72" s="418">
        <f t="shared" si="78"/>
        <v>45.714285714285715</v>
      </c>
      <c r="F72" s="418">
        <f t="shared" si="78"/>
        <v>0</v>
      </c>
      <c r="G72" s="418" t="str">
        <f t="shared" si="78"/>
        <v>-</v>
      </c>
      <c r="H72" s="420">
        <f t="shared" si="78"/>
        <v>83.516483516483518</v>
      </c>
      <c r="I72" s="419" t="str">
        <f t="shared" ref="I72:I75" si="81">IFERROR(IF(I36/P36*1000&gt;1000, "-", I36/P36*1000),"-")</f>
        <v>-</v>
      </c>
      <c r="J72" s="419">
        <f t="shared" si="79"/>
        <v>27.027027027027028</v>
      </c>
      <c r="K72" s="419">
        <f t="shared" si="79"/>
        <v>25.252525252525253</v>
      </c>
      <c r="L72" s="419">
        <f t="shared" si="79"/>
        <v>47.904191616766468</v>
      </c>
      <c r="M72" s="419">
        <f t="shared" si="79"/>
        <v>0</v>
      </c>
      <c r="N72" s="419" t="str">
        <f t="shared" si="79"/>
        <v>-</v>
      </c>
      <c r="O72" s="419">
        <f t="shared" si="79"/>
        <v>33.573141486810549</v>
      </c>
      <c r="P72" s="168"/>
      <c r="Q72" s="168"/>
      <c r="S72" s="453"/>
      <c r="AA72" s="289"/>
      <c r="AB72" s="289"/>
      <c r="AC72" s="289"/>
      <c r="AD72" s="289"/>
      <c r="AE72" s="289"/>
      <c r="AF72" s="289"/>
      <c r="AG72" s="289"/>
      <c r="AH72" s="289"/>
      <c r="AI72" s="289"/>
      <c r="AJ72" s="289"/>
      <c r="AK72" s="289"/>
      <c r="AL72" s="289"/>
      <c r="AM72" s="289"/>
      <c r="AN72" s="289"/>
      <c r="AO72" s="289"/>
      <c r="AP72" s="289"/>
      <c r="AQ72" s="289"/>
      <c r="AR72" s="289"/>
      <c r="AS72" s="289"/>
      <c r="AT72" s="289"/>
      <c r="AU72" s="289"/>
      <c r="AV72" s="289"/>
      <c r="AW72" s="245"/>
      <c r="AX72" s="245"/>
      <c r="AY72" s="245"/>
      <c r="AZ72" s="245"/>
    </row>
    <row r="73" spans="1:52">
      <c r="A73" s="49" t="s">
        <v>64</v>
      </c>
      <c r="B73" s="418">
        <f t="shared" si="80"/>
        <v>750</v>
      </c>
      <c r="C73" s="418">
        <f t="shared" si="78"/>
        <v>1000</v>
      </c>
      <c r="D73" s="418">
        <f t="shared" si="78"/>
        <v>76.923076923076934</v>
      </c>
      <c r="E73" s="418">
        <f t="shared" si="78"/>
        <v>16.496018202502846</v>
      </c>
      <c r="F73" s="418">
        <f t="shared" si="78"/>
        <v>7.9168728352300848</v>
      </c>
      <c r="G73" s="418">
        <f t="shared" si="78"/>
        <v>0</v>
      </c>
      <c r="H73" s="420">
        <f t="shared" si="78"/>
        <v>14.470284237726098</v>
      </c>
      <c r="I73" s="419">
        <f t="shared" si="81"/>
        <v>0</v>
      </c>
      <c r="J73" s="419" t="str">
        <f t="shared" si="79"/>
        <v>-</v>
      </c>
      <c r="K73" s="419">
        <f t="shared" si="79"/>
        <v>0</v>
      </c>
      <c r="L73" s="419">
        <f t="shared" si="79"/>
        <v>7.518796992481203</v>
      </c>
      <c r="M73" s="419">
        <f t="shared" si="79"/>
        <v>4.9875311720698257</v>
      </c>
      <c r="N73" s="419">
        <f t="shared" si="79"/>
        <v>0</v>
      </c>
      <c r="O73" s="419">
        <f t="shared" si="79"/>
        <v>6.0304142632406919</v>
      </c>
      <c r="P73" s="86"/>
      <c r="Q73" s="168"/>
    </row>
    <row r="74" spans="1:52">
      <c r="A74" s="49" t="s">
        <v>65</v>
      </c>
      <c r="B74" s="418">
        <f t="shared" si="80"/>
        <v>421.05263157894734</v>
      </c>
      <c r="C74" s="418">
        <f t="shared" si="78"/>
        <v>0</v>
      </c>
      <c r="D74" s="418">
        <f t="shared" si="78"/>
        <v>166.66666666666666</v>
      </c>
      <c r="E74" s="418">
        <f t="shared" si="78"/>
        <v>7.2992700729927007</v>
      </c>
      <c r="F74" s="418">
        <f t="shared" si="78"/>
        <v>1.2002972164535981</v>
      </c>
      <c r="G74" s="418">
        <f t="shared" si="78"/>
        <v>2.9585798816568047</v>
      </c>
      <c r="H74" s="420">
        <f t="shared" si="78"/>
        <v>1.5640629262526142</v>
      </c>
      <c r="I74" s="419">
        <f t="shared" si="81"/>
        <v>0</v>
      </c>
      <c r="J74" s="419">
        <f t="shared" si="79"/>
        <v>0</v>
      </c>
      <c r="K74" s="419">
        <f t="shared" si="79"/>
        <v>0</v>
      </c>
      <c r="L74" s="419">
        <f t="shared" si="79"/>
        <v>10.11029411764706</v>
      </c>
      <c r="M74" s="419">
        <f t="shared" si="79"/>
        <v>1.5260186174271324</v>
      </c>
      <c r="N74" s="419">
        <f t="shared" si="79"/>
        <v>0</v>
      </c>
      <c r="O74" s="419">
        <f t="shared" si="79"/>
        <v>1.6575893914278947</v>
      </c>
      <c r="P74" s="86"/>
      <c r="Q74" s="168"/>
    </row>
    <row r="75" spans="1:52">
      <c r="A75" s="16" t="s">
        <v>66</v>
      </c>
      <c r="B75" s="418" t="str">
        <f t="shared" si="80"/>
        <v>-</v>
      </c>
      <c r="C75" s="418" t="str">
        <f t="shared" si="78"/>
        <v>-</v>
      </c>
      <c r="D75" s="418" t="str">
        <f t="shared" si="78"/>
        <v>-</v>
      </c>
      <c r="E75" s="418">
        <f t="shared" si="78"/>
        <v>0</v>
      </c>
      <c r="F75" s="418">
        <f t="shared" si="78"/>
        <v>0</v>
      </c>
      <c r="G75" s="418">
        <f t="shared" si="78"/>
        <v>0</v>
      </c>
      <c r="H75" s="420">
        <f t="shared" si="78"/>
        <v>0</v>
      </c>
      <c r="I75" s="419" t="str">
        <f t="shared" si="81"/>
        <v>-</v>
      </c>
      <c r="J75" s="419" t="str">
        <f t="shared" si="79"/>
        <v>-</v>
      </c>
      <c r="K75" s="419" t="str">
        <f t="shared" si="79"/>
        <v>-</v>
      </c>
      <c r="L75" s="419">
        <f t="shared" si="79"/>
        <v>333.33333333333331</v>
      </c>
      <c r="M75" s="419">
        <f t="shared" si="79"/>
        <v>3.1779661016949157</v>
      </c>
      <c r="N75" s="419">
        <f t="shared" si="79"/>
        <v>0</v>
      </c>
      <c r="O75" s="419">
        <f t="shared" si="79"/>
        <v>3.9331366764995086</v>
      </c>
      <c r="P75" s="86"/>
      <c r="Q75" s="168"/>
    </row>
    <row r="76" spans="1:52">
      <c r="A76" s="327" t="s">
        <v>344</v>
      </c>
      <c r="B76" s="421"/>
      <c r="C76" s="421"/>
      <c r="D76" s="421"/>
      <c r="E76" s="421"/>
      <c r="F76" s="421"/>
      <c r="G76" s="421"/>
      <c r="H76" s="421"/>
      <c r="I76" s="421"/>
      <c r="J76" s="421"/>
      <c r="K76" s="421"/>
      <c r="L76" s="421"/>
      <c r="M76" s="421"/>
      <c r="N76" s="421"/>
      <c r="O76" s="421"/>
    </row>
    <row r="77" spans="1:52">
      <c r="A77" s="327" t="s">
        <v>398</v>
      </c>
    </row>
    <row r="78" spans="1:52" ht="26.25" customHeight="1">
      <c r="A78" s="903" t="s">
        <v>631</v>
      </c>
      <c r="B78" s="903"/>
      <c r="C78" s="903"/>
      <c r="D78" s="903"/>
      <c r="E78" s="903"/>
      <c r="F78" s="903"/>
      <c r="G78" s="903"/>
      <c r="H78" s="903"/>
      <c r="I78" s="903"/>
      <c r="J78" s="903"/>
      <c r="K78" s="903"/>
      <c r="L78" s="903"/>
      <c r="M78" s="903"/>
      <c r="N78" s="903"/>
      <c r="O78" s="903"/>
    </row>
    <row r="80" spans="1:52">
      <c r="A80" s="167"/>
      <c r="B80" s="167"/>
      <c r="D80" s="167"/>
      <c r="F80" s="167"/>
      <c r="G80" s="167"/>
      <c r="H80" s="167"/>
      <c r="I80" s="167"/>
      <c r="K80" s="167"/>
      <c r="M80" s="167"/>
      <c r="N80" s="167"/>
      <c r="O80" s="167"/>
      <c r="P80" s="167"/>
      <c r="R80" s="167"/>
      <c r="T80" s="167"/>
      <c r="U80" s="167"/>
      <c r="V80" s="167"/>
    </row>
    <row r="81" spans="1:22">
      <c r="A81" s="167"/>
      <c r="B81" s="167"/>
      <c r="D81" s="167"/>
      <c r="F81" s="167"/>
      <c r="G81" s="167"/>
      <c r="H81" s="167"/>
      <c r="I81" s="167"/>
      <c r="K81" s="167"/>
      <c r="M81" s="167"/>
      <c r="N81" s="167"/>
      <c r="O81" s="167"/>
      <c r="P81" s="167"/>
      <c r="R81" s="167"/>
      <c r="T81" s="167"/>
      <c r="U81" s="167"/>
      <c r="V81" s="167"/>
    </row>
    <row r="82" spans="1:22">
      <c r="A82" s="167"/>
      <c r="B82" s="167"/>
      <c r="D82" s="167"/>
      <c r="F82" s="167"/>
      <c r="G82" s="167"/>
      <c r="H82" s="167"/>
      <c r="I82" s="167"/>
      <c r="K82" s="167"/>
      <c r="M82" s="167"/>
      <c r="N82" s="167"/>
      <c r="O82" s="167"/>
      <c r="P82" s="167"/>
      <c r="R82" s="167"/>
      <c r="T82" s="167"/>
      <c r="U82" s="167"/>
      <c r="V82" s="167"/>
    </row>
    <row r="83" spans="1:22">
      <c r="A83" s="167"/>
      <c r="B83" s="167"/>
      <c r="D83" s="167"/>
      <c r="F83" s="167"/>
      <c r="G83" s="167"/>
      <c r="H83" s="167"/>
      <c r="I83" s="167"/>
      <c r="K83" s="167"/>
      <c r="M83" s="167"/>
      <c r="N83" s="167"/>
      <c r="O83" s="167"/>
      <c r="P83" s="167"/>
      <c r="R83" s="167"/>
      <c r="T83" s="167"/>
      <c r="U83" s="167"/>
      <c r="V83" s="167"/>
    </row>
    <row r="84" spans="1:22">
      <c r="A84" s="167"/>
      <c r="B84" s="167"/>
      <c r="D84" s="167"/>
      <c r="F84" s="167"/>
      <c r="G84" s="167"/>
      <c r="H84" s="167"/>
      <c r="I84" s="167"/>
      <c r="K84" s="167"/>
      <c r="M84" s="167"/>
      <c r="N84" s="167"/>
      <c r="O84" s="167"/>
      <c r="P84" s="167"/>
      <c r="R84" s="167"/>
      <c r="T84" s="167"/>
      <c r="U84" s="167"/>
      <c r="V84" s="167"/>
    </row>
    <row r="85" spans="1:22">
      <c r="A85" s="167"/>
      <c r="B85" s="167"/>
      <c r="D85" s="167"/>
      <c r="F85" s="167"/>
      <c r="G85" s="167"/>
      <c r="H85" s="167"/>
      <c r="I85" s="167"/>
      <c r="K85" s="167"/>
      <c r="M85" s="167"/>
      <c r="N85" s="167"/>
      <c r="O85" s="167"/>
      <c r="P85" s="167"/>
      <c r="R85" s="167"/>
      <c r="T85" s="167"/>
      <c r="U85" s="167"/>
      <c r="V85" s="167"/>
    </row>
    <row r="86" spans="1:22">
      <c r="A86" s="167"/>
      <c r="B86" s="167"/>
      <c r="D86" s="167"/>
      <c r="F86" s="167"/>
      <c r="G86" s="167"/>
      <c r="H86" s="167"/>
      <c r="I86" s="167"/>
      <c r="K86" s="167"/>
      <c r="M86" s="167"/>
      <c r="N86" s="167"/>
      <c r="O86" s="167"/>
      <c r="P86" s="167"/>
      <c r="R86" s="167"/>
      <c r="T86" s="167"/>
      <c r="U86" s="167"/>
      <c r="V86" s="167"/>
    </row>
    <row r="87" spans="1:22">
      <c r="A87" s="167"/>
      <c r="B87" s="167"/>
      <c r="D87" s="167"/>
      <c r="F87" s="167"/>
      <c r="G87" s="167"/>
      <c r="H87" s="167"/>
      <c r="I87" s="167"/>
      <c r="K87" s="167"/>
      <c r="M87" s="167"/>
      <c r="N87" s="167"/>
      <c r="O87" s="167"/>
      <c r="P87" s="167"/>
      <c r="R87" s="167"/>
      <c r="T87" s="167"/>
      <c r="U87" s="167"/>
      <c r="V87" s="167"/>
    </row>
    <row r="88" spans="1:22">
      <c r="A88" s="167"/>
      <c r="B88" s="167"/>
      <c r="D88" s="167"/>
      <c r="F88" s="167"/>
      <c r="G88" s="167"/>
      <c r="H88" s="167"/>
      <c r="I88" s="167"/>
      <c r="K88" s="167"/>
      <c r="M88" s="167"/>
      <c r="N88" s="167"/>
      <c r="O88" s="167"/>
      <c r="P88" s="167"/>
      <c r="R88" s="167"/>
      <c r="T88" s="167"/>
      <c r="U88" s="167"/>
      <c r="V88" s="167"/>
    </row>
    <row r="89" spans="1:22">
      <c r="A89" s="167"/>
      <c r="B89" s="167"/>
      <c r="D89" s="167"/>
      <c r="F89" s="167"/>
      <c r="G89" s="167"/>
      <c r="H89" s="167"/>
      <c r="I89" s="167"/>
      <c r="K89" s="167"/>
      <c r="M89" s="167"/>
      <c r="N89" s="167"/>
      <c r="O89" s="167"/>
      <c r="P89" s="167"/>
      <c r="R89" s="167"/>
      <c r="T89" s="167"/>
      <c r="U89" s="167"/>
      <c r="V89" s="167"/>
    </row>
    <row r="90" spans="1:22">
      <c r="A90" s="167"/>
      <c r="B90" s="167"/>
      <c r="D90" s="167"/>
      <c r="F90" s="167"/>
      <c r="G90" s="167"/>
      <c r="H90" s="167"/>
      <c r="I90" s="167"/>
      <c r="K90" s="167"/>
      <c r="M90" s="167"/>
      <c r="N90" s="167"/>
      <c r="O90" s="167"/>
      <c r="P90" s="167"/>
      <c r="R90" s="167"/>
      <c r="T90" s="167"/>
      <c r="U90" s="167"/>
      <c r="V90" s="167"/>
    </row>
    <row r="91" spans="1:22">
      <c r="A91" s="167"/>
      <c r="B91" s="167"/>
      <c r="D91" s="167"/>
      <c r="F91" s="167"/>
      <c r="G91" s="167"/>
      <c r="H91" s="167"/>
      <c r="I91" s="167"/>
      <c r="K91" s="167"/>
      <c r="M91" s="167"/>
      <c r="N91" s="167"/>
      <c r="O91" s="167"/>
      <c r="P91" s="167"/>
      <c r="R91" s="167"/>
      <c r="T91" s="167"/>
      <c r="U91" s="167"/>
      <c r="V91" s="167"/>
    </row>
    <row r="92" spans="1:22">
      <c r="A92" s="167"/>
      <c r="B92" s="167"/>
      <c r="D92" s="167"/>
      <c r="F92" s="167"/>
      <c r="G92" s="167"/>
      <c r="H92" s="167"/>
      <c r="I92" s="167"/>
      <c r="K92" s="167"/>
      <c r="M92" s="167"/>
      <c r="N92" s="167"/>
      <c r="O92" s="167"/>
      <c r="P92" s="167"/>
      <c r="R92" s="167"/>
      <c r="T92" s="167"/>
      <c r="U92" s="167"/>
      <c r="V92" s="167"/>
    </row>
    <row r="93" spans="1:22">
      <c r="A93" s="167"/>
      <c r="B93" s="167"/>
      <c r="D93" s="167"/>
      <c r="F93" s="167"/>
      <c r="G93" s="167"/>
      <c r="H93" s="167"/>
      <c r="I93" s="167"/>
      <c r="K93" s="167"/>
      <c r="M93" s="167"/>
      <c r="N93" s="167"/>
      <c r="O93" s="167"/>
      <c r="P93" s="167"/>
      <c r="R93" s="167"/>
      <c r="T93" s="167"/>
      <c r="U93" s="167"/>
      <c r="V93" s="167"/>
    </row>
    <row r="94" spans="1:22">
      <c r="A94" s="167"/>
      <c r="B94" s="167"/>
      <c r="D94" s="167"/>
      <c r="F94" s="167"/>
      <c r="G94" s="167"/>
      <c r="H94" s="167"/>
      <c r="I94" s="167"/>
      <c r="K94" s="167"/>
      <c r="M94" s="167"/>
      <c r="N94" s="167"/>
      <c r="O94" s="167"/>
      <c r="P94" s="167"/>
      <c r="R94" s="167"/>
      <c r="T94" s="167"/>
      <c r="U94" s="167"/>
      <c r="V94" s="167"/>
    </row>
    <row r="95" spans="1:22">
      <c r="A95" s="167"/>
      <c r="B95" s="167"/>
      <c r="D95" s="167"/>
      <c r="F95" s="167"/>
      <c r="G95" s="167"/>
      <c r="H95" s="167"/>
      <c r="I95" s="167"/>
      <c r="K95" s="167"/>
      <c r="M95" s="167"/>
      <c r="N95" s="167"/>
      <c r="O95" s="167"/>
      <c r="P95" s="167"/>
      <c r="R95" s="167"/>
      <c r="T95" s="167"/>
      <c r="U95" s="167"/>
      <c r="V95" s="167"/>
    </row>
    <row r="96" spans="1:22">
      <c r="A96" s="167"/>
      <c r="B96" s="167"/>
      <c r="D96" s="167"/>
      <c r="F96" s="167"/>
      <c r="G96" s="167"/>
      <c r="H96" s="167"/>
      <c r="I96" s="167"/>
      <c r="K96" s="167"/>
      <c r="M96" s="167"/>
      <c r="N96" s="167"/>
      <c r="O96" s="167"/>
      <c r="P96" s="167"/>
      <c r="R96" s="167"/>
      <c r="T96" s="167"/>
      <c r="U96" s="167"/>
      <c r="V96" s="167"/>
    </row>
    <row r="97" spans="1:22">
      <c r="A97" s="167"/>
      <c r="B97" s="167"/>
      <c r="D97" s="167"/>
      <c r="F97" s="167"/>
      <c r="G97" s="167"/>
      <c r="H97" s="167"/>
      <c r="I97" s="167"/>
      <c r="K97" s="167"/>
      <c r="M97" s="167"/>
      <c r="N97" s="167"/>
      <c r="O97" s="167"/>
      <c r="P97" s="167"/>
      <c r="R97" s="167"/>
      <c r="T97" s="167"/>
      <c r="U97" s="167"/>
      <c r="V97" s="167"/>
    </row>
    <row r="98" spans="1:22">
      <c r="A98" s="167"/>
      <c r="B98" s="167"/>
      <c r="D98" s="167"/>
      <c r="F98" s="167"/>
      <c r="G98" s="167"/>
      <c r="H98" s="167"/>
      <c r="I98" s="167"/>
      <c r="K98" s="167"/>
      <c r="M98" s="167"/>
      <c r="N98" s="167"/>
      <c r="O98" s="167"/>
      <c r="P98" s="167"/>
      <c r="R98" s="167"/>
      <c r="T98" s="167"/>
      <c r="U98" s="167"/>
      <c r="V98" s="167"/>
    </row>
    <row r="99" spans="1:22">
      <c r="A99" s="167"/>
      <c r="B99" s="167"/>
      <c r="D99" s="167"/>
      <c r="F99" s="167"/>
      <c r="G99" s="167"/>
      <c r="H99" s="167"/>
      <c r="I99" s="167"/>
      <c r="K99" s="167"/>
      <c r="M99" s="167"/>
      <c r="N99" s="167"/>
      <c r="O99" s="167"/>
      <c r="P99" s="167"/>
      <c r="R99" s="167"/>
      <c r="T99" s="167"/>
      <c r="U99" s="167"/>
      <c r="V99" s="167"/>
    </row>
    <row r="100" spans="1:22">
      <c r="A100" s="167"/>
      <c r="B100" s="167"/>
      <c r="D100" s="167"/>
      <c r="F100" s="167"/>
      <c r="G100" s="167"/>
      <c r="H100" s="167"/>
      <c r="I100" s="167"/>
      <c r="K100" s="167"/>
      <c r="M100" s="167"/>
      <c r="N100" s="167"/>
      <c r="O100" s="167"/>
      <c r="P100" s="167"/>
      <c r="R100" s="167"/>
      <c r="T100" s="167"/>
      <c r="U100" s="167"/>
      <c r="V100" s="167"/>
    </row>
    <row r="101" spans="1:22">
      <c r="A101" s="167"/>
      <c r="B101" s="167"/>
      <c r="D101" s="167"/>
      <c r="F101" s="167"/>
      <c r="G101" s="167"/>
      <c r="H101" s="167"/>
      <c r="I101" s="167"/>
      <c r="K101" s="167"/>
      <c r="M101" s="167"/>
      <c r="N101" s="167"/>
      <c r="O101" s="167"/>
      <c r="P101" s="167"/>
      <c r="R101" s="167"/>
      <c r="T101" s="167"/>
      <c r="U101" s="167"/>
      <c r="V101" s="167"/>
    </row>
    <row r="102" spans="1:22">
      <c r="A102" s="167"/>
      <c r="B102" s="167"/>
      <c r="D102" s="167"/>
      <c r="F102" s="167"/>
      <c r="G102" s="167"/>
      <c r="H102" s="167"/>
      <c r="I102" s="167"/>
      <c r="K102" s="167"/>
      <c r="M102" s="167"/>
      <c r="N102" s="167"/>
      <c r="O102" s="167"/>
      <c r="P102" s="167"/>
      <c r="R102" s="167"/>
      <c r="T102" s="167"/>
      <c r="U102" s="167"/>
      <c r="V102" s="167"/>
    </row>
    <row r="103" spans="1:22">
      <c r="A103" s="167"/>
      <c r="B103" s="167"/>
      <c r="D103" s="167"/>
      <c r="F103" s="167"/>
      <c r="G103" s="167"/>
      <c r="H103" s="167"/>
      <c r="I103" s="167"/>
      <c r="K103" s="167"/>
      <c r="M103" s="167"/>
      <c r="N103" s="167"/>
      <c r="O103" s="167"/>
      <c r="P103" s="167"/>
      <c r="R103" s="167"/>
      <c r="T103" s="167"/>
      <c r="U103" s="167"/>
      <c r="V103" s="167"/>
    </row>
    <row r="104" spans="1:22">
      <c r="A104" s="167"/>
      <c r="B104" s="167"/>
      <c r="D104" s="167"/>
      <c r="F104" s="167"/>
      <c r="G104" s="167"/>
      <c r="H104" s="167"/>
      <c r="I104" s="167"/>
      <c r="K104" s="167"/>
      <c r="M104" s="167"/>
      <c r="N104" s="167"/>
      <c r="O104" s="167"/>
      <c r="P104" s="167"/>
      <c r="R104" s="167"/>
      <c r="T104" s="167"/>
      <c r="U104" s="167"/>
      <c r="V104" s="167"/>
    </row>
    <row r="105" spans="1:22">
      <c r="A105" s="167"/>
      <c r="B105" s="167"/>
      <c r="D105" s="167"/>
      <c r="F105" s="167"/>
      <c r="G105" s="167"/>
      <c r="H105" s="167"/>
      <c r="I105" s="167"/>
      <c r="K105" s="167"/>
      <c r="M105" s="167"/>
      <c r="N105" s="167"/>
      <c r="O105" s="167"/>
      <c r="P105" s="167"/>
      <c r="R105" s="167"/>
      <c r="T105" s="167"/>
      <c r="U105" s="167"/>
      <c r="V105" s="167"/>
    </row>
    <row r="106" spans="1:22">
      <c r="A106" s="167"/>
      <c r="B106" s="167"/>
      <c r="D106" s="167"/>
      <c r="F106" s="167"/>
      <c r="G106" s="167"/>
      <c r="H106" s="167"/>
      <c r="I106" s="167"/>
      <c r="K106" s="167"/>
      <c r="M106" s="167"/>
      <c r="N106" s="167"/>
      <c r="O106" s="167"/>
      <c r="P106" s="167"/>
      <c r="R106" s="167"/>
      <c r="T106" s="167"/>
      <c r="U106" s="167"/>
      <c r="V106" s="167"/>
    </row>
    <row r="107" spans="1:22">
      <c r="A107" s="167"/>
      <c r="B107" s="167"/>
      <c r="D107" s="167"/>
      <c r="F107" s="167"/>
      <c r="G107" s="167"/>
      <c r="H107" s="167"/>
      <c r="I107" s="167"/>
      <c r="K107" s="167"/>
      <c r="M107" s="167"/>
      <c r="N107" s="167"/>
      <c r="O107" s="167"/>
      <c r="P107" s="167"/>
      <c r="R107" s="167"/>
      <c r="T107" s="167"/>
      <c r="U107" s="167"/>
      <c r="V107" s="167"/>
    </row>
    <row r="108" spans="1:22">
      <c r="A108" s="167"/>
      <c r="B108" s="167"/>
      <c r="D108" s="167"/>
      <c r="F108" s="167"/>
      <c r="G108" s="167"/>
      <c r="H108" s="167"/>
      <c r="I108" s="167"/>
      <c r="K108" s="167"/>
      <c r="M108" s="167"/>
      <c r="N108" s="167"/>
      <c r="O108" s="167"/>
      <c r="P108" s="167"/>
      <c r="R108" s="167"/>
      <c r="T108" s="167"/>
      <c r="U108" s="167"/>
      <c r="V108" s="167"/>
    </row>
    <row r="109" spans="1:22">
      <c r="A109" s="167"/>
      <c r="B109" s="167"/>
      <c r="D109" s="167"/>
      <c r="F109" s="167"/>
      <c r="G109" s="167"/>
      <c r="H109" s="167"/>
      <c r="I109" s="167"/>
      <c r="K109" s="167"/>
      <c r="M109" s="167"/>
      <c r="N109" s="167"/>
      <c r="O109" s="167"/>
      <c r="P109" s="167"/>
      <c r="R109" s="167"/>
      <c r="T109" s="167"/>
      <c r="U109" s="167"/>
      <c r="V109" s="167"/>
    </row>
    <row r="110" spans="1:22">
      <c r="A110" s="167"/>
      <c r="B110" s="167"/>
      <c r="D110" s="167"/>
      <c r="F110" s="167"/>
      <c r="G110" s="167"/>
      <c r="H110" s="167"/>
      <c r="I110" s="167"/>
      <c r="K110" s="167"/>
      <c r="M110" s="167"/>
      <c r="N110" s="167"/>
      <c r="O110" s="167"/>
      <c r="P110" s="167"/>
      <c r="R110" s="167"/>
      <c r="T110" s="167"/>
      <c r="U110" s="167"/>
      <c r="V110" s="167"/>
    </row>
    <row r="111" spans="1:22">
      <c r="A111" s="167"/>
      <c r="B111" s="167"/>
      <c r="D111" s="167"/>
      <c r="F111" s="167"/>
      <c r="G111" s="167"/>
      <c r="H111" s="167"/>
      <c r="I111" s="167"/>
      <c r="K111" s="167"/>
      <c r="M111" s="167"/>
      <c r="N111" s="167"/>
      <c r="O111" s="167"/>
      <c r="P111" s="167"/>
      <c r="R111" s="167"/>
      <c r="T111" s="167"/>
      <c r="U111" s="167"/>
      <c r="V111" s="167"/>
    </row>
    <row r="112" spans="1:22">
      <c r="A112" s="167"/>
      <c r="B112" s="167"/>
      <c r="D112" s="167"/>
      <c r="F112" s="167"/>
      <c r="G112" s="167"/>
      <c r="H112" s="167"/>
      <c r="I112" s="167"/>
      <c r="K112" s="167"/>
      <c r="M112" s="167"/>
      <c r="N112" s="167"/>
      <c r="O112" s="167"/>
      <c r="P112" s="167"/>
      <c r="R112" s="167"/>
      <c r="T112" s="167"/>
      <c r="U112" s="167"/>
      <c r="V112" s="167"/>
    </row>
  </sheetData>
  <mergeCells count="10">
    <mergeCell ref="A78:O78"/>
    <mergeCell ref="A45:A46"/>
    <mergeCell ref="B45:H45"/>
    <mergeCell ref="I45:O45"/>
    <mergeCell ref="A5:V5"/>
    <mergeCell ref="A6:A7"/>
    <mergeCell ref="B6:H6"/>
    <mergeCell ref="I6:O6"/>
    <mergeCell ref="P6:V6"/>
    <mergeCell ref="A44:O44"/>
  </mergeCells>
  <hyperlinks>
    <hyperlink ref="B1" location="Glossary!A1" display="Glossary" xr:uid="{00000000-0004-0000-0A00-000000000000}"/>
    <hyperlink ref="A1" location="Contents!A1" display="Table of contents" xr:uid="{00000000-0004-0000-0A00-000001000000}"/>
    <hyperlink ref="C1" location="About!A1" display="About the publication" xr:uid="{00000000-0004-0000-0A00-000002000000}"/>
    <hyperlink ref="E1" location="KeyFindings!A1" display="Key findings" xr:uid="{00000000-0004-0000-0A00-000003000000}"/>
  </hyperlinks>
  <pageMargins left="0.70866141732283472" right="0.70866141732283472" top="0.74803149606299213" bottom="0.74803149606299213" header="0.31496062992125984" footer="0.31496062992125984"/>
  <pageSetup paperSize="9" scale="40" fitToHeight="2" orientation="portrait" r:id="rId1"/>
  <headerFooter>
    <oddFooter>&amp;L&amp;"Arial,Regular"&amp;8&amp;K01+019Fetal and Infant Deaths 2016&amp;R&amp;"Arial,Regular"&amp;8&amp;K01+018Page &amp;P of &amp;N</oddFooter>
  </headerFooter>
  <rowBreaks count="1" manualBreakCount="1">
    <brk id="42" max="2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pageSetUpPr fitToPage="1"/>
  </sheetPr>
  <dimension ref="A1:AT49"/>
  <sheetViews>
    <sheetView zoomScaleNormal="100" workbookViewId="0">
      <pane ySplit="7" topLeftCell="A8" activePane="bottomLeft" state="frozen"/>
      <selection pane="bottomLeft" activeCell="A8" sqref="A8"/>
    </sheetView>
  </sheetViews>
  <sheetFormatPr defaultRowHeight="15"/>
  <cols>
    <col min="1" max="1" width="25.28515625" bestFit="1" customWidth="1"/>
    <col min="2" max="2" width="11.140625" customWidth="1"/>
    <col min="3" max="6" width="8.5703125" customWidth="1"/>
    <col min="7" max="7" width="8.5703125" style="9" customWidth="1"/>
    <col min="8" max="11" width="8.5703125" style="42" customWidth="1"/>
    <col min="12" max="16" width="8.5703125" customWidth="1"/>
    <col min="17" max="21" width="9.140625" customWidth="1"/>
    <col min="22" max="26" width="9.140625" style="245" customWidth="1"/>
    <col min="27" max="27" width="25.140625" style="289" bestFit="1" customWidth="1"/>
    <col min="28" max="28" width="10.85546875" style="289" bestFit="1" customWidth="1"/>
    <col min="29" max="29" width="12.7109375" style="289" bestFit="1" customWidth="1"/>
    <col min="30" max="33" width="9.140625" style="289"/>
    <col min="34" max="46" width="9.140625" style="245"/>
  </cols>
  <sheetData>
    <row r="1" spans="1:46" s="103" customFormat="1">
      <c r="A1" s="88" t="s">
        <v>158</v>
      </c>
      <c r="B1" s="88" t="s">
        <v>115</v>
      </c>
      <c r="C1" s="88" t="s">
        <v>173</v>
      </c>
      <c r="E1" s="159" t="s">
        <v>353</v>
      </c>
      <c r="F1" s="88"/>
      <c r="G1" s="89"/>
      <c r="V1" s="516"/>
      <c r="W1" s="516"/>
      <c r="X1" s="516"/>
      <c r="Y1" s="516"/>
      <c r="Z1" s="516"/>
      <c r="AA1" s="515"/>
      <c r="AB1" s="515"/>
      <c r="AC1" s="515"/>
      <c r="AD1" s="515"/>
      <c r="AE1" s="515"/>
      <c r="AF1" s="515"/>
      <c r="AG1" s="515"/>
      <c r="AH1" s="516"/>
      <c r="AI1" s="516"/>
      <c r="AJ1" s="516"/>
      <c r="AK1" s="516"/>
      <c r="AL1" s="516"/>
      <c r="AM1" s="516"/>
      <c r="AN1" s="516"/>
      <c r="AO1" s="516"/>
      <c r="AP1" s="516"/>
      <c r="AQ1" s="516"/>
      <c r="AR1" s="516"/>
      <c r="AS1" s="516"/>
      <c r="AT1" s="516"/>
    </row>
    <row r="2" spans="1:46" s="103" customFormat="1" ht="9" customHeight="1">
      <c r="A2" s="88"/>
      <c r="B2" s="89"/>
      <c r="C2" s="62"/>
      <c r="D2" s="62"/>
      <c r="E2" s="62"/>
      <c r="F2" s="62"/>
      <c r="V2" s="516"/>
      <c r="W2" s="516"/>
      <c r="X2" s="516"/>
      <c r="Y2" s="516"/>
      <c r="Z2" s="516"/>
      <c r="AA2" s="515"/>
      <c r="AB2" s="515"/>
      <c r="AC2" s="515"/>
      <c r="AD2" s="515"/>
      <c r="AE2" s="515"/>
      <c r="AF2" s="515"/>
      <c r="AG2" s="515"/>
      <c r="AH2" s="516"/>
      <c r="AI2" s="516"/>
      <c r="AJ2" s="516"/>
      <c r="AK2" s="516"/>
      <c r="AL2" s="516"/>
      <c r="AM2" s="516"/>
      <c r="AN2" s="516"/>
      <c r="AO2" s="516"/>
      <c r="AP2" s="516"/>
      <c r="AQ2" s="516"/>
      <c r="AR2" s="516"/>
      <c r="AS2" s="516"/>
      <c r="AT2" s="516"/>
    </row>
    <row r="3" spans="1:46" s="674" customFormat="1" ht="20.25">
      <c r="A3" s="673" t="s">
        <v>118</v>
      </c>
      <c r="G3" s="675"/>
      <c r="M3" s="675"/>
      <c r="V3" s="676"/>
      <c r="W3" s="676"/>
      <c r="X3" s="676"/>
      <c r="Y3" s="676"/>
      <c r="Z3" s="676"/>
      <c r="AA3" s="800"/>
      <c r="AB3" s="800"/>
      <c r="AC3" s="800"/>
      <c r="AD3" s="800"/>
      <c r="AE3" s="800"/>
      <c r="AF3" s="800"/>
      <c r="AG3" s="800"/>
      <c r="AH3" s="676"/>
      <c r="AI3" s="676"/>
      <c r="AJ3" s="676"/>
      <c r="AK3" s="676"/>
      <c r="AL3" s="676"/>
      <c r="AM3" s="676"/>
      <c r="AN3" s="676"/>
      <c r="AO3" s="676"/>
      <c r="AP3" s="676"/>
      <c r="AQ3" s="676"/>
      <c r="AR3" s="676"/>
      <c r="AS3" s="676"/>
      <c r="AT3" s="676"/>
    </row>
    <row r="4" spans="1:46" s="168" customFormat="1">
      <c r="G4" s="119"/>
      <c r="H4" s="119"/>
      <c r="I4" s="119"/>
      <c r="J4" s="119"/>
      <c r="K4" s="119"/>
      <c r="V4" s="543"/>
      <c r="W4" s="543"/>
      <c r="X4" s="543"/>
      <c r="Y4" s="543"/>
      <c r="Z4" s="543"/>
      <c r="AA4" s="801"/>
      <c r="AB4" s="801"/>
      <c r="AC4" s="801"/>
      <c r="AD4" s="801"/>
      <c r="AE4" s="801"/>
      <c r="AF4" s="801"/>
      <c r="AG4" s="801"/>
      <c r="AH4" s="543"/>
      <c r="AI4" s="543"/>
      <c r="AJ4" s="543"/>
      <c r="AK4" s="543"/>
      <c r="AL4" s="543"/>
      <c r="AM4" s="543"/>
      <c r="AN4" s="543"/>
      <c r="AO4" s="543"/>
      <c r="AP4" s="543"/>
      <c r="AQ4" s="543"/>
      <c r="AR4" s="543"/>
      <c r="AS4" s="543"/>
      <c r="AT4" s="543"/>
    </row>
    <row r="5" spans="1:46" ht="24" customHeight="1">
      <c r="A5" s="913" t="str">
        <f>Contents!E19</f>
        <v xml:space="preserve">Table 15: Number and rate of infant deaths, by age at death, sex, ethnic group, maternal age group, deprivation quintile of residence, gestational age and birthweight, 2016
</v>
      </c>
      <c r="B5" s="913"/>
      <c r="C5" s="913"/>
      <c r="D5" s="913"/>
      <c r="E5" s="913"/>
      <c r="F5" s="913"/>
      <c r="G5" s="913"/>
      <c r="H5" s="913"/>
      <c r="I5" s="913"/>
      <c r="J5" s="913"/>
      <c r="K5" s="913"/>
      <c r="L5" s="913"/>
      <c r="M5" s="913"/>
      <c r="N5" s="913"/>
      <c r="O5" s="913"/>
      <c r="P5" s="913"/>
    </row>
    <row r="6" spans="1:46">
      <c r="A6" s="925" t="s">
        <v>68</v>
      </c>
      <c r="B6" s="929" t="s">
        <v>340</v>
      </c>
      <c r="C6" s="910" t="s">
        <v>55</v>
      </c>
      <c r="D6" s="910"/>
      <c r="E6" s="910"/>
      <c r="F6" s="910"/>
      <c r="G6" s="927"/>
      <c r="H6" s="911" t="s">
        <v>264</v>
      </c>
      <c r="I6" s="910"/>
      <c r="J6" s="910"/>
      <c r="K6" s="927"/>
      <c r="L6" s="911" t="s">
        <v>170</v>
      </c>
      <c r="M6" s="910"/>
      <c r="N6" s="910"/>
      <c r="O6" s="910"/>
      <c r="P6" s="910"/>
      <c r="Q6" s="167"/>
      <c r="R6" s="323"/>
      <c r="S6" s="167"/>
      <c r="T6" s="167"/>
      <c r="U6" s="167"/>
      <c r="AA6" s="289" t="s">
        <v>68</v>
      </c>
      <c r="AB6" s="289" t="s">
        <v>340</v>
      </c>
      <c r="AC6" s="289" t="s">
        <v>55</v>
      </c>
    </row>
    <row r="7" spans="1:46">
      <c r="A7" s="926"/>
      <c r="B7" s="930"/>
      <c r="C7" s="110" t="s">
        <v>116</v>
      </c>
      <c r="D7" s="110" t="s">
        <v>359</v>
      </c>
      <c r="E7" s="110" t="s">
        <v>360</v>
      </c>
      <c r="F7" s="110" t="s">
        <v>117</v>
      </c>
      <c r="G7" s="27" t="s">
        <v>44</v>
      </c>
      <c r="H7" s="111" t="s">
        <v>116</v>
      </c>
      <c r="I7" s="112" t="s">
        <v>359</v>
      </c>
      <c r="J7" s="112" t="s">
        <v>360</v>
      </c>
      <c r="K7" s="112" t="s">
        <v>117</v>
      </c>
      <c r="L7" s="111" t="s">
        <v>116</v>
      </c>
      <c r="M7" s="112" t="s">
        <v>359</v>
      </c>
      <c r="N7" s="112" t="s">
        <v>360</v>
      </c>
      <c r="O7" s="112" t="s">
        <v>117</v>
      </c>
      <c r="P7" s="112" t="s">
        <v>44</v>
      </c>
      <c r="Q7" s="167"/>
      <c r="R7" s="167"/>
      <c r="S7" s="167"/>
      <c r="T7" s="167"/>
      <c r="U7" s="167"/>
      <c r="AC7" s="289" t="s">
        <v>469</v>
      </c>
      <c r="AD7" s="289" t="s">
        <v>470</v>
      </c>
      <c r="AE7" s="289" t="s">
        <v>471</v>
      </c>
      <c r="AF7" s="289" t="s">
        <v>117</v>
      </c>
      <c r="AG7" s="289" t="s">
        <v>44</v>
      </c>
    </row>
    <row r="8" spans="1:46">
      <c r="A8" s="328" t="s">
        <v>104</v>
      </c>
      <c r="B8" s="81"/>
      <c r="C8" s="328"/>
      <c r="D8" s="328"/>
      <c r="E8" s="328"/>
      <c r="F8" s="328"/>
      <c r="G8" s="328"/>
      <c r="H8" s="328"/>
      <c r="I8" s="328"/>
      <c r="J8" s="328"/>
      <c r="K8" s="328"/>
      <c r="L8" s="328"/>
      <c r="M8" s="328"/>
      <c r="N8" s="328"/>
      <c r="O8" s="328"/>
      <c r="P8" s="328"/>
      <c r="Q8" s="167"/>
      <c r="R8" s="167"/>
      <c r="S8" s="167"/>
      <c r="T8" s="167"/>
      <c r="U8" s="167"/>
      <c r="AA8" s="289" t="s">
        <v>104</v>
      </c>
    </row>
    <row r="9" spans="1:46" s="77" customFormat="1">
      <c r="A9" s="364" t="s">
        <v>44</v>
      </c>
      <c r="B9" s="370">
        <f>AB9</f>
        <v>60436</v>
      </c>
      <c r="C9" s="365">
        <f>AC9</f>
        <v>100</v>
      </c>
      <c r="D9" s="365">
        <f t="shared" ref="D9:G9" si="0">AD9</f>
        <v>33</v>
      </c>
      <c r="E9" s="365">
        <f t="shared" si="0"/>
        <v>28</v>
      </c>
      <c r="F9" s="365">
        <f t="shared" si="0"/>
        <v>80</v>
      </c>
      <c r="G9" s="368">
        <f t="shared" si="0"/>
        <v>241</v>
      </c>
      <c r="H9" s="373">
        <f>C9/$G9*100</f>
        <v>41.49377593360996</v>
      </c>
      <c r="I9" s="373">
        <f>D9/$G9*100</f>
        <v>13.692946058091287</v>
      </c>
      <c r="J9" s="373">
        <f>E9/$G9*100</f>
        <v>11.618257261410788</v>
      </c>
      <c r="K9" s="373">
        <f>F9/$G9*100</f>
        <v>33.195020746887963</v>
      </c>
      <c r="L9" s="374">
        <f>C9/$B9*1000</f>
        <v>1.6546429280561255</v>
      </c>
      <c r="M9" s="373">
        <f>D9/$B9*1000</f>
        <v>0.54603216625852136</v>
      </c>
      <c r="N9" s="373">
        <f>E9/$B9*1000</f>
        <v>0.46330001985571517</v>
      </c>
      <c r="O9" s="373">
        <f>F9/$B9*1000</f>
        <v>1.3237143424449005</v>
      </c>
      <c r="P9" s="373">
        <f>G9/$B9*1000</f>
        <v>3.9876894566152621</v>
      </c>
      <c r="V9" s="243"/>
      <c r="W9" s="243"/>
      <c r="X9" s="243"/>
      <c r="Y9" s="243"/>
      <c r="Z9" s="243"/>
      <c r="AA9" s="780" t="s">
        <v>44</v>
      </c>
      <c r="AB9" s="780">
        <f>BirthsTrend!AQ8</f>
        <v>60436</v>
      </c>
      <c r="AC9" s="780">
        <f>IFERROR(VLOOKUP(AC$7&amp;$AA$9&amp;$AA$8, vw.agedeath, 6, FALSE),0)</f>
        <v>100</v>
      </c>
      <c r="AD9" s="780">
        <f>IFERROR(VLOOKUP(AD$7&amp;$AA$9&amp;$AA$8, vw.agedeath, 6, FALSE),0)</f>
        <v>33</v>
      </c>
      <c r="AE9" s="780">
        <f>IFERROR(VLOOKUP(AE$7&amp;$AA$9&amp;$AA$8, vw.agedeath, 6, FALSE),0)</f>
        <v>28</v>
      </c>
      <c r="AF9" s="780">
        <f>IFERROR(VLOOKUP(AF$7&amp;$AA$9&amp;$AA$8, vw.agedeath, 6, FALSE),0)</f>
        <v>80</v>
      </c>
      <c r="AG9" s="780">
        <f>IFERROR(VLOOKUP(AG$7&amp;$AA$9&amp;$AA$8, vw.agedeath, 6, FALSE),0)</f>
        <v>241</v>
      </c>
      <c r="AH9" s="243"/>
      <c r="AI9" s="243"/>
      <c r="AJ9" s="243"/>
      <c r="AK9" s="243"/>
      <c r="AL9" s="243"/>
      <c r="AM9" s="243"/>
      <c r="AN9" s="243"/>
      <c r="AO9" s="243"/>
      <c r="AP9" s="243"/>
      <c r="AQ9" s="243"/>
      <c r="AR9" s="243"/>
      <c r="AS9" s="243"/>
      <c r="AT9" s="243"/>
    </row>
    <row r="10" spans="1:46">
      <c r="A10" s="328" t="s">
        <v>69</v>
      </c>
      <c r="B10" s="81"/>
      <c r="C10" s="328"/>
      <c r="D10" s="328"/>
      <c r="E10" s="328"/>
      <c r="F10" s="328"/>
      <c r="G10" s="328"/>
      <c r="H10" s="328"/>
      <c r="I10" s="328"/>
      <c r="J10" s="328"/>
      <c r="K10" s="328"/>
      <c r="L10" s="328"/>
      <c r="M10" s="328"/>
      <c r="N10" s="328"/>
      <c r="O10" s="328"/>
      <c r="P10" s="35"/>
      <c r="Q10" s="167"/>
      <c r="R10" s="167"/>
      <c r="S10" s="167"/>
      <c r="T10" s="167"/>
      <c r="U10" s="167"/>
      <c r="AA10" s="289" t="s">
        <v>69</v>
      </c>
      <c r="AB10" s="780"/>
      <c r="AC10" s="780"/>
      <c r="AD10" s="780"/>
      <c r="AE10" s="780"/>
      <c r="AF10" s="780"/>
      <c r="AG10" s="780"/>
    </row>
    <row r="11" spans="1:46" s="77" customFormat="1">
      <c r="A11" s="364" t="s">
        <v>70</v>
      </c>
      <c r="B11" s="375">
        <f>AB11</f>
        <v>31009</v>
      </c>
      <c r="C11" s="365">
        <f>AC11</f>
        <v>52</v>
      </c>
      <c r="D11" s="365">
        <f t="shared" ref="D11:G12" si="1">AD11</f>
        <v>15</v>
      </c>
      <c r="E11" s="365">
        <f t="shared" si="1"/>
        <v>13</v>
      </c>
      <c r="F11" s="365">
        <f t="shared" si="1"/>
        <v>47</v>
      </c>
      <c r="G11" s="368">
        <f t="shared" si="1"/>
        <v>127</v>
      </c>
      <c r="H11" s="373">
        <f>C11/$G11*100</f>
        <v>40.944881889763778</v>
      </c>
      <c r="I11" s="373">
        <f t="shared" ref="H11:K12" si="2">D11/$G11*100</f>
        <v>11.811023622047244</v>
      </c>
      <c r="J11" s="373">
        <f t="shared" si="2"/>
        <v>10.236220472440944</v>
      </c>
      <c r="K11" s="373">
        <f t="shared" si="2"/>
        <v>37.00787401574803</v>
      </c>
      <c r="L11" s="374">
        <f t="shared" ref="L11:P12" si="3">C11/$B11*1000</f>
        <v>1.6769325034667355</v>
      </c>
      <c r="M11" s="373">
        <f t="shared" si="3"/>
        <v>0.48373052984617371</v>
      </c>
      <c r="N11" s="373">
        <f t="shared" si="3"/>
        <v>0.41923312586668388</v>
      </c>
      <c r="O11" s="373">
        <f t="shared" si="3"/>
        <v>1.5156889935180109</v>
      </c>
      <c r="P11" s="373">
        <f t="shared" si="3"/>
        <v>4.0955851526976046</v>
      </c>
      <c r="V11" s="243"/>
      <c r="W11" s="243"/>
      <c r="X11" s="243"/>
      <c r="Y11" s="243"/>
      <c r="Z11" s="243"/>
      <c r="AA11" s="780" t="s">
        <v>70</v>
      </c>
      <c r="AB11" s="780">
        <f>BirthsTrend!AQ10</f>
        <v>31009</v>
      </c>
      <c r="AC11" s="780">
        <f>IFERROR(VLOOKUP(AC$7&amp;$AA11&amp;$AA10, vw.agedeath, 6, FALSE),0)</f>
        <v>52</v>
      </c>
      <c r="AD11" s="780">
        <f>IFERROR(VLOOKUP(AD$7&amp;$AA11&amp;$AA10, vw.agedeath, 6, FALSE),0)</f>
        <v>15</v>
      </c>
      <c r="AE11" s="780">
        <f>IFERROR(VLOOKUP(AE$7&amp;$AA11&amp;$AA10, vw.agedeath, 6, FALSE),0)</f>
        <v>13</v>
      </c>
      <c r="AF11" s="780">
        <f>IFERROR(VLOOKUP(AF$7&amp;$AA11&amp;$AA10, vw.agedeath, 6, FALSE),0)</f>
        <v>47</v>
      </c>
      <c r="AG11" s="780">
        <f>IFERROR(VLOOKUP(AG$7&amp;$AA11&amp;$AA10, vw.agedeath, 6, FALSE),0)</f>
        <v>127</v>
      </c>
      <c r="AH11" s="243"/>
      <c r="AI11" s="243"/>
      <c r="AJ11" s="243"/>
      <c r="AK11" s="243"/>
      <c r="AL11" s="243"/>
      <c r="AM11" s="243"/>
      <c r="AN11" s="243"/>
      <c r="AO11" s="243"/>
      <c r="AP11" s="243"/>
      <c r="AQ11" s="243"/>
      <c r="AR11" s="243"/>
      <c r="AS11" s="243"/>
      <c r="AT11" s="243"/>
    </row>
    <row r="12" spans="1:46" s="77" customFormat="1">
      <c r="A12" s="364" t="s">
        <v>71</v>
      </c>
      <c r="B12" s="370">
        <f>AB12</f>
        <v>29427</v>
      </c>
      <c r="C12" s="365">
        <f>AC12</f>
        <v>48</v>
      </c>
      <c r="D12" s="365">
        <f t="shared" si="1"/>
        <v>18</v>
      </c>
      <c r="E12" s="365">
        <f t="shared" si="1"/>
        <v>15</v>
      </c>
      <c r="F12" s="365">
        <f t="shared" si="1"/>
        <v>33</v>
      </c>
      <c r="G12" s="368">
        <f t="shared" si="1"/>
        <v>114</v>
      </c>
      <c r="H12" s="373">
        <f t="shared" si="2"/>
        <v>42.105263157894733</v>
      </c>
      <c r="I12" s="373">
        <f t="shared" si="2"/>
        <v>15.789473684210526</v>
      </c>
      <c r="J12" s="373">
        <f t="shared" si="2"/>
        <v>13.157894736842104</v>
      </c>
      <c r="K12" s="373">
        <f t="shared" si="2"/>
        <v>28.947368421052634</v>
      </c>
      <c r="L12" s="374">
        <f t="shared" si="3"/>
        <v>1.6311550616780508</v>
      </c>
      <c r="M12" s="373">
        <f t="shared" si="3"/>
        <v>0.61168314812926905</v>
      </c>
      <c r="N12" s="373">
        <f t="shared" si="3"/>
        <v>0.50973595677439076</v>
      </c>
      <c r="O12" s="373">
        <f t="shared" si="3"/>
        <v>1.1214191049036599</v>
      </c>
      <c r="P12" s="373">
        <f t="shared" si="3"/>
        <v>3.8739932714853706</v>
      </c>
      <c r="V12" s="243"/>
      <c r="W12" s="243"/>
      <c r="X12" s="243"/>
      <c r="Y12" s="243"/>
      <c r="Z12" s="243"/>
      <c r="AA12" s="780" t="s">
        <v>71</v>
      </c>
      <c r="AB12" s="780">
        <f>BirthsTrend!AQ11</f>
        <v>29427</v>
      </c>
      <c r="AC12" s="780">
        <f>IFERROR(VLOOKUP(AC$7&amp;$AA12&amp;$AA10, vw.agedeath, 6, FALSE),0)</f>
        <v>48</v>
      </c>
      <c r="AD12" s="780">
        <f>IFERROR(VLOOKUP(AD$7&amp;$AA12&amp;$AA10, vw.agedeath, 6, FALSE),0)</f>
        <v>18</v>
      </c>
      <c r="AE12" s="780">
        <f>IFERROR(VLOOKUP(AE$7&amp;$AA12&amp;$AA10, vw.agedeath, 6, FALSE),0)</f>
        <v>15</v>
      </c>
      <c r="AF12" s="780">
        <f>IFERROR(VLOOKUP(AF$7&amp;$AA12&amp;$AA10, vw.agedeath, 6, FALSE),0)</f>
        <v>33</v>
      </c>
      <c r="AG12" s="780">
        <f>IFERROR(VLOOKUP(AG$7&amp;$AA12&amp;$AA10, vw.agedeath, 6, FALSE),0)</f>
        <v>114</v>
      </c>
      <c r="AH12" s="243"/>
      <c r="AI12" s="243"/>
      <c r="AJ12" s="243"/>
      <c r="AK12" s="243"/>
      <c r="AL12" s="243"/>
      <c r="AM12" s="243"/>
      <c r="AN12" s="243"/>
      <c r="AO12" s="243"/>
      <c r="AP12" s="243"/>
      <c r="AQ12" s="243"/>
      <c r="AR12" s="243"/>
      <c r="AS12" s="243"/>
      <c r="AT12" s="243"/>
    </row>
    <row r="13" spans="1:46">
      <c r="A13" s="328" t="s">
        <v>73</v>
      </c>
      <c r="B13" s="328"/>
      <c r="C13" s="328"/>
      <c r="D13" s="328"/>
      <c r="E13" s="328"/>
      <c r="F13" s="328"/>
      <c r="G13" s="328"/>
      <c r="H13" s="328"/>
      <c r="I13" s="328"/>
      <c r="J13" s="328"/>
      <c r="K13" s="328"/>
      <c r="L13" s="328"/>
      <c r="M13" s="328"/>
      <c r="N13" s="35"/>
      <c r="O13" s="35"/>
      <c r="P13" s="35"/>
      <c r="Q13" s="167"/>
      <c r="R13" s="167"/>
      <c r="S13" s="167"/>
      <c r="T13" s="167"/>
      <c r="U13" s="167"/>
      <c r="AA13" s="289" t="s">
        <v>461</v>
      </c>
      <c r="AB13" s="780"/>
      <c r="AC13" s="780"/>
      <c r="AD13" s="780"/>
      <c r="AE13" s="780"/>
      <c r="AF13" s="780"/>
      <c r="AG13" s="780"/>
    </row>
    <row r="14" spans="1:46" s="77" customFormat="1">
      <c r="A14" s="364" t="s">
        <v>74</v>
      </c>
      <c r="B14" s="375">
        <f t="shared" ref="B14:C17" si="4">AB14</f>
        <v>17329</v>
      </c>
      <c r="C14" s="365">
        <f t="shared" si="4"/>
        <v>38</v>
      </c>
      <c r="D14" s="365">
        <f t="shared" ref="D14:G17" si="5">AD14</f>
        <v>14</v>
      </c>
      <c r="E14" s="365">
        <f t="shared" si="5"/>
        <v>12</v>
      </c>
      <c r="F14" s="365">
        <f t="shared" si="5"/>
        <v>39</v>
      </c>
      <c r="G14" s="368">
        <f t="shared" si="5"/>
        <v>103</v>
      </c>
      <c r="H14" s="373">
        <f t="shared" ref="H14:K17" si="6">C14/$G14*100</f>
        <v>36.893203883495147</v>
      </c>
      <c r="I14" s="373">
        <f t="shared" si="6"/>
        <v>13.592233009708737</v>
      </c>
      <c r="J14" s="373">
        <f t="shared" si="6"/>
        <v>11.650485436893204</v>
      </c>
      <c r="K14" s="373">
        <f t="shared" si="6"/>
        <v>37.864077669902912</v>
      </c>
      <c r="L14" s="374">
        <f t="shared" ref="L14:P17" si="7">C14/$B14*1000</f>
        <v>2.1928559062842634</v>
      </c>
      <c r="M14" s="373">
        <f t="shared" si="7"/>
        <v>0.8078942812626233</v>
      </c>
      <c r="N14" s="373">
        <f t="shared" si="7"/>
        <v>0.69248081251082005</v>
      </c>
      <c r="O14" s="373">
        <f t="shared" si="7"/>
        <v>2.2505626406601649</v>
      </c>
      <c r="P14" s="373">
        <f t="shared" si="7"/>
        <v>5.943793640717872</v>
      </c>
      <c r="V14" s="243"/>
      <c r="W14" s="243"/>
      <c r="X14" s="243"/>
      <c r="Y14" s="243"/>
      <c r="Z14" s="243"/>
      <c r="AA14" s="780" t="s">
        <v>129</v>
      </c>
      <c r="AB14" s="780">
        <f>BirthsTrend!AQ13</f>
        <v>17329</v>
      </c>
      <c r="AC14" s="780">
        <f>IFERROR(VLOOKUP(AC$7&amp;$AA14&amp;$AA13, vw.agedeath, 6, FALSE),0)</f>
        <v>38</v>
      </c>
      <c r="AD14" s="780">
        <f>IFERROR(VLOOKUP(AD$7&amp;$AA14&amp;$AA13, vw.agedeath, 6, FALSE),0)</f>
        <v>14</v>
      </c>
      <c r="AE14" s="780">
        <f>IFERROR(VLOOKUP(AE$7&amp;$AA14&amp;$AA13, vw.agedeath, 6, FALSE),0)</f>
        <v>12</v>
      </c>
      <c r="AF14" s="780">
        <f>IFERROR(VLOOKUP(AF$7&amp;$AA14&amp;$AA13, vw.agedeath, 6, FALSE),0)</f>
        <v>39</v>
      </c>
      <c r="AG14" s="780">
        <f>IFERROR(VLOOKUP(AG$7&amp;$AA14&amp;$AA13, vw.agedeath, 6, FALSE),0)</f>
        <v>103</v>
      </c>
      <c r="AH14" s="243"/>
      <c r="AI14" s="243"/>
      <c r="AJ14" s="243"/>
      <c r="AK14" s="243"/>
      <c r="AL14" s="243"/>
      <c r="AM14" s="243"/>
      <c r="AN14" s="243"/>
      <c r="AO14" s="243"/>
      <c r="AP14" s="243"/>
      <c r="AQ14" s="243"/>
      <c r="AR14" s="243"/>
      <c r="AS14" s="243"/>
      <c r="AT14" s="243"/>
    </row>
    <row r="15" spans="1:46" s="77" customFormat="1">
      <c r="A15" s="364" t="s">
        <v>320</v>
      </c>
      <c r="B15" s="375">
        <f t="shared" si="4"/>
        <v>5976</v>
      </c>
      <c r="C15" s="365">
        <f t="shared" si="4"/>
        <v>13</v>
      </c>
      <c r="D15" s="365">
        <f t="shared" si="5"/>
        <v>4</v>
      </c>
      <c r="E15" s="365">
        <f t="shared" si="5"/>
        <v>8</v>
      </c>
      <c r="F15" s="365">
        <f t="shared" si="5"/>
        <v>12</v>
      </c>
      <c r="G15" s="368">
        <f t="shared" si="5"/>
        <v>37</v>
      </c>
      <c r="H15" s="373">
        <f t="shared" si="6"/>
        <v>35.135135135135137</v>
      </c>
      <c r="I15" s="373">
        <f t="shared" si="6"/>
        <v>10.810810810810811</v>
      </c>
      <c r="J15" s="373">
        <f t="shared" si="6"/>
        <v>21.621621621621621</v>
      </c>
      <c r="K15" s="373">
        <f t="shared" si="6"/>
        <v>32.432432432432435</v>
      </c>
      <c r="L15" s="374">
        <f t="shared" si="7"/>
        <v>2.1753681392235609</v>
      </c>
      <c r="M15" s="373">
        <f t="shared" si="7"/>
        <v>0.66934404283801874</v>
      </c>
      <c r="N15" s="373">
        <f t="shared" si="7"/>
        <v>1.3386880856760375</v>
      </c>
      <c r="O15" s="373">
        <f t="shared" si="7"/>
        <v>2.0080321285140559</v>
      </c>
      <c r="P15" s="373">
        <f t="shared" si="7"/>
        <v>6.1914323962516731</v>
      </c>
      <c r="V15" s="243"/>
      <c r="W15" s="243"/>
      <c r="X15" s="243"/>
      <c r="Y15" s="243"/>
      <c r="Z15" s="243"/>
      <c r="AA15" s="780" t="s">
        <v>320</v>
      </c>
      <c r="AB15" s="780">
        <f>BirthsTrend!AQ14</f>
        <v>5976</v>
      </c>
      <c r="AC15" s="780">
        <f>IFERROR(VLOOKUP(AC$7&amp;$AA15&amp;$AA13, vw.agedeath, 6, FALSE),0)</f>
        <v>13</v>
      </c>
      <c r="AD15" s="780">
        <f>IFERROR(VLOOKUP(AD$7&amp;$AA15&amp;$AA13, vw.agedeath, 6, FALSE),0)</f>
        <v>4</v>
      </c>
      <c r="AE15" s="780">
        <f>IFERROR(VLOOKUP(AE$7&amp;$AA15&amp;$AA13, vw.agedeath, 6, FALSE),0)</f>
        <v>8</v>
      </c>
      <c r="AF15" s="780">
        <f>IFERROR(VLOOKUP(AF$7&amp;$AA15&amp;$AA13, vw.agedeath, 6, FALSE),0)</f>
        <v>12</v>
      </c>
      <c r="AG15" s="780">
        <f>IFERROR(VLOOKUP(AG$7&amp;$AA15&amp;$AA13, vw.agedeath, 6, FALSE),0)</f>
        <v>37</v>
      </c>
      <c r="AH15" s="243"/>
      <c r="AI15" s="243"/>
      <c r="AJ15" s="243"/>
      <c r="AK15" s="243"/>
      <c r="AL15" s="243"/>
      <c r="AM15" s="243"/>
      <c r="AN15" s="243"/>
      <c r="AO15" s="243"/>
      <c r="AP15" s="243"/>
      <c r="AQ15" s="243"/>
      <c r="AR15" s="243"/>
      <c r="AS15" s="243"/>
      <c r="AT15" s="243"/>
    </row>
    <row r="16" spans="1:46" s="77" customFormat="1">
      <c r="A16" s="364" t="s">
        <v>355</v>
      </c>
      <c r="B16" s="375">
        <f t="shared" si="4"/>
        <v>10902</v>
      </c>
      <c r="C16" s="365">
        <f t="shared" si="4"/>
        <v>18</v>
      </c>
      <c r="D16" s="365">
        <f t="shared" si="5"/>
        <v>3</v>
      </c>
      <c r="E16" s="365">
        <f t="shared" si="5"/>
        <v>3</v>
      </c>
      <c r="F16" s="365">
        <f t="shared" si="5"/>
        <v>3</v>
      </c>
      <c r="G16" s="368">
        <f t="shared" si="5"/>
        <v>27</v>
      </c>
      <c r="H16" s="373">
        <f t="shared" si="6"/>
        <v>66.666666666666657</v>
      </c>
      <c r="I16" s="373">
        <f t="shared" si="6"/>
        <v>11.111111111111111</v>
      </c>
      <c r="J16" s="373">
        <f t="shared" si="6"/>
        <v>11.111111111111111</v>
      </c>
      <c r="K16" s="373">
        <f t="shared" si="6"/>
        <v>11.111111111111111</v>
      </c>
      <c r="L16" s="374">
        <f t="shared" si="7"/>
        <v>1.6510731975784259</v>
      </c>
      <c r="M16" s="373">
        <f t="shared" si="7"/>
        <v>0.27517886626307098</v>
      </c>
      <c r="N16" s="373">
        <f t="shared" si="7"/>
        <v>0.27517886626307098</v>
      </c>
      <c r="O16" s="373">
        <f t="shared" si="7"/>
        <v>0.27517886626307098</v>
      </c>
      <c r="P16" s="373">
        <f t="shared" si="7"/>
        <v>2.4766097963676388</v>
      </c>
      <c r="V16" s="243"/>
      <c r="W16" s="243"/>
      <c r="X16" s="243"/>
      <c r="Y16" s="243"/>
      <c r="Z16" s="243"/>
      <c r="AA16" s="780" t="s">
        <v>355</v>
      </c>
      <c r="AB16" s="780">
        <f>BirthsTrend!AQ15</f>
        <v>10902</v>
      </c>
      <c r="AC16" s="780">
        <f>IFERROR(VLOOKUP(AC$7&amp;$AA16&amp;$AA13, vw.agedeath, 6, FALSE),0)</f>
        <v>18</v>
      </c>
      <c r="AD16" s="780">
        <f>IFERROR(VLOOKUP(AD$7&amp;$AA16&amp;$AA13, vw.agedeath, 6, FALSE),0)</f>
        <v>3</v>
      </c>
      <c r="AE16" s="780">
        <f>IFERROR(VLOOKUP(AE$7&amp;$AA16&amp;$AA13, vw.agedeath, 6, FALSE),0)</f>
        <v>3</v>
      </c>
      <c r="AF16" s="780">
        <f>IFERROR(VLOOKUP(AF$7&amp;$AA16&amp;$AA13, vw.agedeath, 6, FALSE),0)</f>
        <v>3</v>
      </c>
      <c r="AG16" s="780">
        <f>IFERROR(VLOOKUP(AG$7&amp;$AA16&amp;$AA13, vw.agedeath, 6, FALSE),0)</f>
        <v>27</v>
      </c>
      <c r="AH16" s="243"/>
      <c r="AI16" s="243"/>
      <c r="AJ16" s="243"/>
      <c r="AK16" s="243"/>
      <c r="AL16" s="243"/>
      <c r="AM16" s="243"/>
      <c r="AN16" s="243"/>
      <c r="AO16" s="243"/>
      <c r="AP16" s="243"/>
      <c r="AQ16" s="243"/>
      <c r="AR16" s="243"/>
      <c r="AS16" s="243"/>
      <c r="AT16" s="243"/>
    </row>
    <row r="17" spans="1:46" s="77" customFormat="1">
      <c r="A17" s="364" t="s">
        <v>356</v>
      </c>
      <c r="B17" s="370">
        <f t="shared" si="4"/>
        <v>26229</v>
      </c>
      <c r="C17" s="365">
        <f t="shared" si="4"/>
        <v>31</v>
      </c>
      <c r="D17" s="365">
        <f t="shared" si="5"/>
        <v>12</v>
      </c>
      <c r="E17" s="365">
        <f t="shared" si="5"/>
        <v>5</v>
      </c>
      <c r="F17" s="365">
        <f t="shared" si="5"/>
        <v>26</v>
      </c>
      <c r="G17" s="368">
        <f t="shared" si="5"/>
        <v>74</v>
      </c>
      <c r="H17" s="373">
        <f t="shared" si="6"/>
        <v>41.891891891891895</v>
      </c>
      <c r="I17" s="373">
        <f t="shared" si="6"/>
        <v>16.216216216216218</v>
      </c>
      <c r="J17" s="373">
        <f t="shared" si="6"/>
        <v>6.756756756756757</v>
      </c>
      <c r="K17" s="373">
        <f t="shared" si="6"/>
        <v>35.135135135135137</v>
      </c>
      <c r="L17" s="374">
        <f t="shared" si="7"/>
        <v>1.1818978992717983</v>
      </c>
      <c r="M17" s="373">
        <f t="shared" si="7"/>
        <v>0.45750886423424453</v>
      </c>
      <c r="N17" s="373">
        <f t="shared" si="7"/>
        <v>0.19062869343093525</v>
      </c>
      <c r="O17" s="373">
        <f t="shared" si="7"/>
        <v>0.9912692058408632</v>
      </c>
      <c r="P17" s="373">
        <f t="shared" si="7"/>
        <v>2.8213046627778415</v>
      </c>
      <c r="V17" s="243"/>
      <c r="W17" s="243"/>
      <c r="X17" s="243"/>
      <c r="Y17" s="243"/>
      <c r="Z17" s="243"/>
      <c r="AA17" s="780" t="s">
        <v>356</v>
      </c>
      <c r="AB17" s="780">
        <f>BirthsTrend!AQ16</f>
        <v>26229</v>
      </c>
      <c r="AC17" s="780">
        <f>IFERROR(VLOOKUP(AC$7&amp;$AA17&amp;$AA13, vw.agedeath, 6, FALSE),0)</f>
        <v>31</v>
      </c>
      <c r="AD17" s="780">
        <f>IFERROR(VLOOKUP(AD$7&amp;$AA17&amp;$AA13, vw.agedeath, 6, FALSE),0)</f>
        <v>12</v>
      </c>
      <c r="AE17" s="780">
        <f>IFERROR(VLOOKUP(AE$7&amp;$AA17&amp;$AA13, vw.agedeath, 6, FALSE),0)</f>
        <v>5</v>
      </c>
      <c r="AF17" s="780">
        <f>IFERROR(VLOOKUP(AF$7&amp;$AA17&amp;$AA13, vw.agedeath, 6, FALSE),0)</f>
        <v>26</v>
      </c>
      <c r="AG17" s="780">
        <f>IFERROR(VLOOKUP(AG$7&amp;$AA17&amp;$AA13, vw.agedeath, 6, FALSE),0)</f>
        <v>74</v>
      </c>
      <c r="AH17" s="243"/>
      <c r="AI17" s="243"/>
      <c r="AJ17" s="243"/>
      <c r="AK17" s="243"/>
      <c r="AL17" s="243"/>
      <c r="AM17" s="243"/>
      <c r="AN17" s="243"/>
      <c r="AO17" s="243"/>
      <c r="AP17" s="243"/>
      <c r="AQ17" s="243"/>
      <c r="AR17" s="243"/>
      <c r="AS17" s="243"/>
      <c r="AT17" s="243"/>
    </row>
    <row r="18" spans="1:46">
      <c r="A18" s="328" t="s">
        <v>152</v>
      </c>
      <c r="B18" s="81"/>
      <c r="C18" s="328"/>
      <c r="D18" s="328"/>
      <c r="E18" s="328"/>
      <c r="F18" s="328"/>
      <c r="G18" s="328"/>
      <c r="H18" s="328"/>
      <c r="I18" s="328"/>
      <c r="J18" s="328"/>
      <c r="K18" s="328"/>
      <c r="L18" s="328"/>
      <c r="M18" s="35"/>
      <c r="N18" s="35"/>
      <c r="O18" s="35"/>
      <c r="P18" s="376"/>
      <c r="Q18" s="167"/>
      <c r="R18" s="167"/>
      <c r="S18" s="167"/>
      <c r="T18" s="167"/>
      <c r="U18" s="167"/>
      <c r="AA18" s="289" t="s">
        <v>462</v>
      </c>
      <c r="AB18" s="780"/>
      <c r="AC18" s="780"/>
      <c r="AD18" s="780"/>
      <c r="AE18" s="780"/>
      <c r="AF18" s="780"/>
      <c r="AG18" s="780"/>
    </row>
    <row r="19" spans="1:46">
      <c r="A19" s="430" t="s">
        <v>339</v>
      </c>
      <c r="B19" s="377">
        <f t="shared" ref="B19:C25" si="8">AB19</f>
        <v>2559</v>
      </c>
      <c r="C19" s="365">
        <f t="shared" si="8"/>
        <v>7</v>
      </c>
      <c r="D19" s="365">
        <f t="shared" ref="D19:G25" si="9">AD19</f>
        <v>5</v>
      </c>
      <c r="E19" s="365">
        <f t="shared" si="9"/>
        <v>5</v>
      </c>
      <c r="F19" s="365">
        <f t="shared" si="9"/>
        <v>10</v>
      </c>
      <c r="G19" s="368">
        <f t="shared" si="9"/>
        <v>27</v>
      </c>
      <c r="H19" s="378">
        <f t="shared" ref="H19:H24" si="10">C19/$G19*100</f>
        <v>25.925925925925924</v>
      </c>
      <c r="I19" s="378">
        <f t="shared" ref="I19:I24" si="11">D19/$G19*100</f>
        <v>18.518518518518519</v>
      </c>
      <c r="J19" s="378">
        <f t="shared" ref="J19:J24" si="12">E19/$G19*100</f>
        <v>18.518518518518519</v>
      </c>
      <c r="K19" s="378">
        <f t="shared" ref="K19:K24" si="13">F19/$G19*100</f>
        <v>37.037037037037038</v>
      </c>
      <c r="L19" s="379">
        <f t="shared" ref="L19:L24" si="14">C19/$B19*1000</f>
        <v>2.7354435326299336</v>
      </c>
      <c r="M19" s="378">
        <f t="shared" ref="M19:M24" si="15">D19/$B19*1000</f>
        <v>1.9538882375928095</v>
      </c>
      <c r="N19" s="378">
        <f t="shared" ref="N19:N24" si="16">E19/$B19*1000</f>
        <v>1.9538882375928095</v>
      </c>
      <c r="O19" s="378">
        <f t="shared" ref="O19:O24" si="17">F19/$B19*1000</f>
        <v>3.907776475185619</v>
      </c>
      <c r="P19" s="378">
        <f t="shared" ref="P19:P24" si="18">G19/$B19*1000</f>
        <v>10.550996483001173</v>
      </c>
      <c r="Q19" s="167"/>
      <c r="R19" s="167"/>
      <c r="S19" s="167"/>
      <c r="T19" s="167"/>
      <c r="U19" s="167"/>
      <c r="AA19" s="289" t="s">
        <v>339</v>
      </c>
      <c r="AB19" s="780">
        <f>BirthsTrend!AQ18</f>
        <v>2559</v>
      </c>
      <c r="AC19" s="780">
        <f>IFERROR(VLOOKUP(AC$7&amp;$AA19&amp;$AA18, vw.agedeath, 6, FALSE),0)</f>
        <v>7</v>
      </c>
      <c r="AD19" s="780">
        <f>IFERROR(VLOOKUP(AD$7&amp;$AA19&amp;$AA18, vw.agedeath, 6, FALSE),0)</f>
        <v>5</v>
      </c>
      <c r="AE19" s="780">
        <f>IFERROR(VLOOKUP(AE$7&amp;$AA19&amp;$AA18, vw.agedeath, 6, FALSE),0)</f>
        <v>5</v>
      </c>
      <c r="AF19" s="780">
        <f>IFERROR(VLOOKUP(AF$7&amp;$AA19&amp;$AA18, vw.agedeath, 6, FALSE),0)</f>
        <v>10</v>
      </c>
      <c r="AG19" s="780">
        <f>IFERROR(VLOOKUP(AG$7&amp;$AA19&amp;$AA18, vw.agedeath, 6, FALSE),0)</f>
        <v>27</v>
      </c>
    </row>
    <row r="20" spans="1:46">
      <c r="A20" s="367" t="s">
        <v>77</v>
      </c>
      <c r="B20" s="377">
        <f t="shared" si="8"/>
        <v>9934</v>
      </c>
      <c r="C20" s="365">
        <f t="shared" si="8"/>
        <v>27</v>
      </c>
      <c r="D20" s="365">
        <f t="shared" si="9"/>
        <v>11</v>
      </c>
      <c r="E20" s="365">
        <f t="shared" si="9"/>
        <v>4</v>
      </c>
      <c r="F20" s="365">
        <f t="shared" si="9"/>
        <v>19</v>
      </c>
      <c r="G20" s="368">
        <f t="shared" si="9"/>
        <v>61</v>
      </c>
      <c r="H20" s="378">
        <f t="shared" si="10"/>
        <v>44.26229508196721</v>
      </c>
      <c r="I20" s="378">
        <f t="shared" si="11"/>
        <v>18.032786885245901</v>
      </c>
      <c r="J20" s="378">
        <f t="shared" si="12"/>
        <v>6.557377049180328</v>
      </c>
      <c r="K20" s="378">
        <f t="shared" si="13"/>
        <v>31.147540983606557</v>
      </c>
      <c r="L20" s="379">
        <f t="shared" si="14"/>
        <v>2.7179383933964161</v>
      </c>
      <c r="M20" s="378">
        <f t="shared" si="15"/>
        <v>1.107308234346688</v>
      </c>
      <c r="N20" s="378">
        <f t="shared" si="16"/>
        <v>0.40265753976243207</v>
      </c>
      <c r="O20" s="378">
        <f t="shared" si="17"/>
        <v>1.9126233138715523</v>
      </c>
      <c r="P20" s="378">
        <f t="shared" si="18"/>
        <v>6.1405274813770889</v>
      </c>
      <c r="Q20" s="167"/>
      <c r="R20" s="167"/>
      <c r="S20" s="167"/>
      <c r="T20" s="167"/>
      <c r="U20" s="167"/>
      <c r="AA20" s="289" t="s">
        <v>130</v>
      </c>
      <c r="AB20" s="780">
        <f>BirthsTrend!AQ19</f>
        <v>9934</v>
      </c>
      <c r="AC20" s="780">
        <f>IFERROR(VLOOKUP(AC$7&amp;$AA20&amp;$AA18, vw.agedeath, 6, FALSE),0)</f>
        <v>27</v>
      </c>
      <c r="AD20" s="780">
        <f>IFERROR(VLOOKUP(AD$7&amp;$AA20&amp;$AA18, vw.agedeath, 6, FALSE),0)</f>
        <v>11</v>
      </c>
      <c r="AE20" s="780">
        <f>IFERROR(VLOOKUP(AE$7&amp;$AA20&amp;$AA18, vw.agedeath, 6, FALSE),0)</f>
        <v>4</v>
      </c>
      <c r="AF20" s="780">
        <f>IFERROR(VLOOKUP(AF$7&amp;$AA20&amp;$AA18, vw.agedeath, 6, FALSE),0)</f>
        <v>19</v>
      </c>
      <c r="AG20" s="780">
        <f>IFERROR(VLOOKUP(AG$7&amp;$AA20&amp;$AA18, vw.agedeath, 6, FALSE),0)</f>
        <v>61</v>
      </c>
    </row>
    <row r="21" spans="1:46">
      <c r="A21" s="367" t="s">
        <v>78</v>
      </c>
      <c r="B21" s="377">
        <f t="shared" si="8"/>
        <v>16664</v>
      </c>
      <c r="C21" s="365">
        <f t="shared" si="8"/>
        <v>20</v>
      </c>
      <c r="D21" s="365">
        <f t="shared" si="9"/>
        <v>4</v>
      </c>
      <c r="E21" s="365">
        <f t="shared" si="9"/>
        <v>6</v>
      </c>
      <c r="F21" s="365">
        <f t="shared" si="9"/>
        <v>22</v>
      </c>
      <c r="G21" s="368">
        <f t="shared" si="9"/>
        <v>52</v>
      </c>
      <c r="H21" s="378">
        <f t="shared" si="10"/>
        <v>38.461538461538467</v>
      </c>
      <c r="I21" s="378">
        <f t="shared" si="11"/>
        <v>7.6923076923076925</v>
      </c>
      <c r="J21" s="378">
        <f t="shared" si="12"/>
        <v>11.538461538461538</v>
      </c>
      <c r="K21" s="378">
        <f t="shared" si="13"/>
        <v>42.307692307692307</v>
      </c>
      <c r="L21" s="379">
        <f t="shared" si="14"/>
        <v>1.2001920307249161</v>
      </c>
      <c r="M21" s="378">
        <f t="shared" si="15"/>
        <v>0.24003840614498317</v>
      </c>
      <c r="N21" s="378">
        <f t="shared" si="16"/>
        <v>0.36005760921747482</v>
      </c>
      <c r="O21" s="378">
        <f t="shared" si="17"/>
        <v>1.3202112337974077</v>
      </c>
      <c r="P21" s="378">
        <f t="shared" si="18"/>
        <v>3.1204992798847817</v>
      </c>
      <c r="Q21" s="167"/>
      <c r="R21" s="167"/>
      <c r="S21" s="167"/>
      <c r="T21" s="167"/>
      <c r="U21" s="167"/>
      <c r="AA21" s="289" t="s">
        <v>131</v>
      </c>
      <c r="AB21" s="780">
        <f>BirthsTrend!AQ20</f>
        <v>16664</v>
      </c>
      <c r="AC21" s="780">
        <f>IFERROR(VLOOKUP(AC$7&amp;$AA21&amp;$AA18, vw.agedeath, 6, FALSE),0)</f>
        <v>20</v>
      </c>
      <c r="AD21" s="780">
        <f>IFERROR(VLOOKUP(AD$7&amp;$AA21&amp;$AA18, vw.agedeath, 6, FALSE),0)</f>
        <v>4</v>
      </c>
      <c r="AE21" s="780">
        <f>IFERROR(VLOOKUP(AE$7&amp;$AA21&amp;$AA18, vw.agedeath, 6, FALSE),0)</f>
        <v>6</v>
      </c>
      <c r="AF21" s="780">
        <f>IFERROR(VLOOKUP(AF$7&amp;$AA21&amp;$AA18, vw.agedeath, 6, FALSE),0)</f>
        <v>22</v>
      </c>
      <c r="AG21" s="780">
        <f>IFERROR(VLOOKUP(AG$7&amp;$AA21&amp;$AA18, vw.agedeath, 6, FALSE),0)</f>
        <v>52</v>
      </c>
    </row>
    <row r="22" spans="1:46">
      <c r="A22" s="367" t="s">
        <v>79</v>
      </c>
      <c r="B22" s="377">
        <f t="shared" si="8"/>
        <v>18720</v>
      </c>
      <c r="C22" s="365">
        <f t="shared" si="8"/>
        <v>27</v>
      </c>
      <c r="D22" s="365">
        <f t="shared" si="9"/>
        <v>6</v>
      </c>
      <c r="E22" s="365">
        <f t="shared" si="9"/>
        <v>8</v>
      </c>
      <c r="F22" s="365">
        <f t="shared" si="9"/>
        <v>18</v>
      </c>
      <c r="G22" s="368">
        <f t="shared" si="9"/>
        <v>59</v>
      </c>
      <c r="H22" s="378">
        <f t="shared" si="10"/>
        <v>45.762711864406782</v>
      </c>
      <c r="I22" s="378">
        <f t="shared" si="11"/>
        <v>10.16949152542373</v>
      </c>
      <c r="J22" s="378">
        <f t="shared" si="12"/>
        <v>13.559322033898304</v>
      </c>
      <c r="K22" s="378">
        <f t="shared" si="13"/>
        <v>30.508474576271187</v>
      </c>
      <c r="L22" s="379">
        <f t="shared" si="14"/>
        <v>1.4423076923076923</v>
      </c>
      <c r="M22" s="378">
        <f t="shared" si="15"/>
        <v>0.32051282051282054</v>
      </c>
      <c r="N22" s="378">
        <f t="shared" si="16"/>
        <v>0.42735042735042733</v>
      </c>
      <c r="O22" s="378">
        <f t="shared" si="17"/>
        <v>0.96153846153846156</v>
      </c>
      <c r="P22" s="378">
        <f t="shared" si="18"/>
        <v>3.1517094017094016</v>
      </c>
      <c r="Q22" s="167"/>
      <c r="R22" s="167"/>
      <c r="S22" s="167"/>
      <c r="T22" s="167"/>
      <c r="U22" s="167"/>
      <c r="AA22" s="289" t="s">
        <v>132</v>
      </c>
      <c r="AB22" s="780">
        <f>BirthsTrend!AQ21</f>
        <v>18720</v>
      </c>
      <c r="AC22" s="780">
        <f>IFERROR(VLOOKUP(AC$7&amp;$AA22&amp;$AA18, vw.agedeath, 6, FALSE),0)</f>
        <v>27</v>
      </c>
      <c r="AD22" s="780">
        <f>IFERROR(VLOOKUP(AD$7&amp;$AA22&amp;$AA18, vw.agedeath, 6, FALSE),0)</f>
        <v>6</v>
      </c>
      <c r="AE22" s="780">
        <f>IFERROR(VLOOKUP(AE$7&amp;$AA22&amp;$AA18, vw.agedeath, 6, FALSE),0)</f>
        <v>8</v>
      </c>
      <c r="AF22" s="780">
        <f>IFERROR(VLOOKUP(AF$7&amp;$AA22&amp;$AA18, vw.agedeath, 6, FALSE),0)</f>
        <v>18</v>
      </c>
      <c r="AG22" s="780">
        <f>IFERROR(VLOOKUP(AG$7&amp;$AA22&amp;$AA18, vw.agedeath, 6, FALSE),0)</f>
        <v>59</v>
      </c>
    </row>
    <row r="23" spans="1:46">
      <c r="A23" s="367" t="s">
        <v>80</v>
      </c>
      <c r="B23" s="377">
        <f t="shared" si="8"/>
        <v>10105</v>
      </c>
      <c r="C23" s="365">
        <f t="shared" si="8"/>
        <v>11</v>
      </c>
      <c r="D23" s="365">
        <f t="shared" si="9"/>
        <v>5</v>
      </c>
      <c r="E23" s="365">
        <f t="shared" si="9"/>
        <v>3</v>
      </c>
      <c r="F23" s="365">
        <f t="shared" si="9"/>
        <v>7</v>
      </c>
      <c r="G23" s="368">
        <f t="shared" si="9"/>
        <v>26</v>
      </c>
      <c r="H23" s="378">
        <f t="shared" si="10"/>
        <v>42.307692307692307</v>
      </c>
      <c r="I23" s="378">
        <f t="shared" si="11"/>
        <v>19.230769230769234</v>
      </c>
      <c r="J23" s="378">
        <f t="shared" si="12"/>
        <v>11.538461538461538</v>
      </c>
      <c r="K23" s="378">
        <f t="shared" si="13"/>
        <v>26.923076923076923</v>
      </c>
      <c r="L23" s="379">
        <f t="shared" si="14"/>
        <v>1.0885700148441366</v>
      </c>
      <c r="M23" s="378">
        <f t="shared" si="15"/>
        <v>0.4948045522018803</v>
      </c>
      <c r="N23" s="378">
        <f t="shared" si="16"/>
        <v>0.29688273132112813</v>
      </c>
      <c r="O23" s="378">
        <f t="shared" si="17"/>
        <v>0.6927263730826323</v>
      </c>
      <c r="P23" s="378">
        <f t="shared" si="18"/>
        <v>2.5729836714497774</v>
      </c>
      <c r="Q23" s="167"/>
      <c r="R23" s="167"/>
      <c r="S23" s="167"/>
      <c r="T23" s="167"/>
      <c r="U23" s="167"/>
      <c r="AA23" s="289" t="s">
        <v>133</v>
      </c>
      <c r="AB23" s="780">
        <f>BirthsTrend!AQ22</f>
        <v>10105</v>
      </c>
      <c r="AC23" s="780">
        <f>IFERROR(VLOOKUP(AC$7&amp;$AA23&amp;$AA18, vw.agedeath, 6, FALSE),0)</f>
        <v>11</v>
      </c>
      <c r="AD23" s="780">
        <f>IFERROR(VLOOKUP(AD$7&amp;$AA23&amp;$AA18, vw.agedeath, 6, FALSE),0)</f>
        <v>5</v>
      </c>
      <c r="AE23" s="780">
        <f>IFERROR(VLOOKUP(AE$7&amp;$AA23&amp;$AA18, vw.agedeath, 6, FALSE),0)</f>
        <v>3</v>
      </c>
      <c r="AF23" s="780">
        <f>IFERROR(VLOOKUP(AF$7&amp;$AA23&amp;$AA18, vw.agedeath, 6, FALSE),0)</f>
        <v>7</v>
      </c>
      <c r="AG23" s="780">
        <f>IFERROR(VLOOKUP(AG$7&amp;$AA23&amp;$AA18, vw.agedeath, 6, FALSE),0)</f>
        <v>26</v>
      </c>
    </row>
    <row r="24" spans="1:46">
      <c r="A24" s="367" t="s">
        <v>81</v>
      </c>
      <c r="B24" s="377">
        <f t="shared" si="8"/>
        <v>2454</v>
      </c>
      <c r="C24" s="365">
        <f t="shared" si="8"/>
        <v>8</v>
      </c>
      <c r="D24" s="365">
        <f t="shared" si="9"/>
        <v>2</v>
      </c>
      <c r="E24" s="365">
        <f t="shared" si="9"/>
        <v>2</v>
      </c>
      <c r="F24" s="365">
        <f t="shared" si="9"/>
        <v>3</v>
      </c>
      <c r="G24" s="368">
        <f t="shared" si="9"/>
        <v>15</v>
      </c>
      <c r="H24" s="378">
        <f t="shared" si="10"/>
        <v>53.333333333333336</v>
      </c>
      <c r="I24" s="378">
        <f t="shared" si="11"/>
        <v>13.333333333333334</v>
      </c>
      <c r="J24" s="378">
        <f t="shared" si="12"/>
        <v>13.333333333333334</v>
      </c>
      <c r="K24" s="378">
        <f t="shared" si="13"/>
        <v>20</v>
      </c>
      <c r="L24" s="379">
        <f t="shared" si="14"/>
        <v>3.2599837000814995</v>
      </c>
      <c r="M24" s="378">
        <f t="shared" si="15"/>
        <v>0.81499592502037488</v>
      </c>
      <c r="N24" s="378">
        <f t="shared" si="16"/>
        <v>0.81499592502037488</v>
      </c>
      <c r="O24" s="378">
        <f t="shared" si="17"/>
        <v>1.2224938875305624</v>
      </c>
      <c r="P24" s="378">
        <f t="shared" si="18"/>
        <v>6.1124694376528126</v>
      </c>
      <c r="Q24" s="167"/>
      <c r="R24" s="167"/>
      <c r="S24" s="167"/>
      <c r="T24" s="167"/>
      <c r="U24" s="167"/>
      <c r="AA24" s="289" t="s">
        <v>134</v>
      </c>
      <c r="AB24" s="780">
        <f>BirthsTrend!AQ23</f>
        <v>2454</v>
      </c>
      <c r="AC24" s="780">
        <f>IFERROR(VLOOKUP(AC$7&amp;$AA24&amp;$AA18, vw.agedeath, 6, FALSE),0)</f>
        <v>8</v>
      </c>
      <c r="AD24" s="780">
        <f>IFERROR(VLOOKUP(AD$7&amp;$AA24&amp;$AA18, vw.agedeath, 6, FALSE),0)</f>
        <v>2</v>
      </c>
      <c r="AE24" s="780">
        <f>IFERROR(VLOOKUP(AE$7&amp;$AA24&amp;$AA18, vw.agedeath, 6, FALSE),0)</f>
        <v>2</v>
      </c>
      <c r="AF24" s="780">
        <f>IFERROR(VLOOKUP(AF$7&amp;$AA24&amp;$AA18, vw.agedeath, 6, FALSE),0)</f>
        <v>3</v>
      </c>
      <c r="AG24" s="780">
        <f>IFERROR(VLOOKUP(AG$7&amp;$AA24&amp;$AA18, vw.agedeath, 6, FALSE),0)</f>
        <v>15</v>
      </c>
    </row>
    <row r="25" spans="1:46">
      <c r="A25" s="367" t="s">
        <v>63</v>
      </c>
      <c r="B25" s="380">
        <f t="shared" si="8"/>
        <v>0</v>
      </c>
      <c r="C25" s="367">
        <f t="shared" si="8"/>
        <v>0</v>
      </c>
      <c r="D25" s="367">
        <f t="shared" si="9"/>
        <v>0</v>
      </c>
      <c r="E25" s="367">
        <f t="shared" si="9"/>
        <v>0</v>
      </c>
      <c r="F25" s="367">
        <f t="shared" si="9"/>
        <v>1</v>
      </c>
      <c r="G25" s="368">
        <f t="shared" si="9"/>
        <v>1</v>
      </c>
      <c r="H25" s="381" t="s">
        <v>119</v>
      </c>
      <c r="I25" s="382" t="s">
        <v>119</v>
      </c>
      <c r="J25" s="383" t="s">
        <v>119</v>
      </c>
      <c r="K25" s="383" t="s">
        <v>119</v>
      </c>
      <c r="L25" s="381" t="s">
        <v>119</v>
      </c>
      <c r="M25" s="382" t="s">
        <v>119</v>
      </c>
      <c r="N25" s="383" t="s">
        <v>119</v>
      </c>
      <c r="O25" s="383" t="s">
        <v>119</v>
      </c>
      <c r="P25" s="383" t="s">
        <v>119</v>
      </c>
      <c r="Q25" s="167"/>
      <c r="R25" s="167"/>
      <c r="S25" s="167"/>
      <c r="T25" s="167"/>
      <c r="U25" s="167"/>
      <c r="AA25" s="289" t="s">
        <v>63</v>
      </c>
      <c r="AB25" s="780">
        <f>BirthsTrend!AQ24</f>
        <v>0</v>
      </c>
      <c r="AC25" s="780">
        <f>IFERROR(VLOOKUP(AC$7&amp;$AA25&amp;$AA18, vw.agedeath, 6, FALSE),0)</f>
        <v>0</v>
      </c>
      <c r="AD25" s="780">
        <f>IFERROR(VLOOKUP(AD$7&amp;$AA25&amp;$AA18, vw.agedeath, 6, FALSE),0)</f>
        <v>0</v>
      </c>
      <c r="AE25" s="780">
        <f>IFERROR(VLOOKUP(AE$7&amp;$AA25&amp;$AA18, vw.agedeath, 6, FALSE),0)</f>
        <v>0</v>
      </c>
      <c r="AF25" s="780">
        <f>IFERROR(VLOOKUP(AF$7&amp;$AA25&amp;$AA18, vw.agedeath, 6, FALSE),0)</f>
        <v>1</v>
      </c>
      <c r="AG25" s="780">
        <f>IFERROR(VLOOKUP(AG$7&amp;$AA25&amp;$AA18, vw.agedeath, 6, FALSE),0)</f>
        <v>1</v>
      </c>
      <c r="AH25" s="243"/>
    </row>
    <row r="26" spans="1:46">
      <c r="A26" s="328" t="s">
        <v>82</v>
      </c>
      <c r="B26" s="81"/>
      <c r="C26" s="328"/>
      <c r="D26" s="328"/>
      <c r="E26" s="328"/>
      <c r="F26" s="328"/>
      <c r="G26" s="328"/>
      <c r="H26" s="328"/>
      <c r="I26" s="328"/>
      <c r="J26" s="328"/>
      <c r="K26" s="328"/>
      <c r="L26" s="328"/>
      <c r="M26" s="328"/>
      <c r="N26" s="328"/>
      <c r="O26" s="35"/>
      <c r="P26" s="376"/>
      <c r="Q26" s="167"/>
      <c r="R26" s="167"/>
      <c r="S26" s="167"/>
      <c r="T26" s="167"/>
      <c r="U26" s="167"/>
      <c r="AA26" s="289" t="s">
        <v>463</v>
      </c>
      <c r="AB26" s="780"/>
      <c r="AC26" s="780"/>
      <c r="AD26" s="780"/>
      <c r="AE26" s="780"/>
      <c r="AF26" s="780"/>
      <c r="AG26" s="780"/>
    </row>
    <row r="27" spans="1:46">
      <c r="A27" s="367" t="s">
        <v>83</v>
      </c>
      <c r="B27" s="377">
        <f t="shared" ref="B27:C32" si="19">AB27</f>
        <v>9194</v>
      </c>
      <c r="C27" s="365">
        <f t="shared" si="19"/>
        <v>11</v>
      </c>
      <c r="D27" s="365">
        <f t="shared" ref="D27:G32" si="20">AD27</f>
        <v>5</v>
      </c>
      <c r="E27" s="365">
        <f t="shared" si="20"/>
        <v>3</v>
      </c>
      <c r="F27" s="365">
        <f t="shared" si="20"/>
        <v>5</v>
      </c>
      <c r="G27" s="377">
        <f t="shared" si="20"/>
        <v>24</v>
      </c>
      <c r="H27" s="378">
        <f t="shared" ref="H27:K31" si="21">C27/$G27*100</f>
        <v>45.833333333333329</v>
      </c>
      <c r="I27" s="378">
        <f t="shared" si="21"/>
        <v>20.833333333333336</v>
      </c>
      <c r="J27" s="378">
        <f t="shared" si="21"/>
        <v>12.5</v>
      </c>
      <c r="K27" s="378">
        <f t="shared" si="21"/>
        <v>20.833333333333336</v>
      </c>
      <c r="L27" s="379">
        <f t="shared" ref="L27:P31" si="22">C27/$B27*1000</f>
        <v>1.1964324559495323</v>
      </c>
      <c r="M27" s="378">
        <f t="shared" si="22"/>
        <v>0.54383293452251469</v>
      </c>
      <c r="N27" s="378">
        <f t="shared" si="22"/>
        <v>0.3262997607135088</v>
      </c>
      <c r="O27" s="378">
        <f t="shared" si="22"/>
        <v>0.54383293452251469</v>
      </c>
      <c r="P27" s="378">
        <f t="shared" si="22"/>
        <v>2.6103980857080704</v>
      </c>
      <c r="Q27" s="167"/>
      <c r="R27" s="167"/>
      <c r="S27" s="167"/>
      <c r="T27" s="167"/>
      <c r="U27" s="167"/>
      <c r="AA27" s="289" t="s">
        <v>421</v>
      </c>
      <c r="AB27" s="780">
        <f>BirthsTrend!AQ26</f>
        <v>9194</v>
      </c>
      <c r="AC27" s="780">
        <f>IFERROR(VLOOKUP(AC$7&amp;$AA27&amp;$AA26, vw.agedeath, 6, FALSE),0)</f>
        <v>11</v>
      </c>
      <c r="AD27" s="780">
        <f>IFERROR(VLOOKUP(AD$7&amp;$AA27&amp;$AA26, vw.agedeath, 6, FALSE),0)</f>
        <v>5</v>
      </c>
      <c r="AE27" s="780">
        <f>IFERROR(VLOOKUP(AE$7&amp;$AA27&amp;$AA26, vw.agedeath, 6, FALSE),0)</f>
        <v>3</v>
      </c>
      <c r="AF27" s="780">
        <f>IFERROR(VLOOKUP(AF$7&amp;$AA27&amp;$AA26, vw.agedeath, 6, FALSE),0)</f>
        <v>5</v>
      </c>
      <c r="AG27" s="780">
        <f>IFERROR(VLOOKUP(AG$7&amp;$AA27&amp;$AA26, vw.agedeath, 6, FALSE),0)</f>
        <v>24</v>
      </c>
    </row>
    <row r="28" spans="1:46">
      <c r="A28" s="384">
        <v>2</v>
      </c>
      <c r="B28" s="377">
        <f t="shared" si="19"/>
        <v>10123</v>
      </c>
      <c r="C28" s="365">
        <f t="shared" si="19"/>
        <v>13</v>
      </c>
      <c r="D28" s="365">
        <f t="shared" si="20"/>
        <v>1</v>
      </c>
      <c r="E28" s="365">
        <f t="shared" si="20"/>
        <v>1</v>
      </c>
      <c r="F28" s="365">
        <f t="shared" si="20"/>
        <v>9</v>
      </c>
      <c r="G28" s="377">
        <f t="shared" si="20"/>
        <v>24</v>
      </c>
      <c r="H28" s="378">
        <f t="shared" si="21"/>
        <v>54.166666666666664</v>
      </c>
      <c r="I28" s="378">
        <f t="shared" si="21"/>
        <v>4.1666666666666661</v>
      </c>
      <c r="J28" s="378">
        <f t="shared" si="21"/>
        <v>4.1666666666666661</v>
      </c>
      <c r="K28" s="378">
        <f t="shared" si="21"/>
        <v>37.5</v>
      </c>
      <c r="L28" s="379">
        <f t="shared" si="22"/>
        <v>1.2842042872666206</v>
      </c>
      <c r="M28" s="378">
        <f t="shared" si="22"/>
        <v>9.8784945174355432E-2</v>
      </c>
      <c r="N28" s="378">
        <f t="shared" si="22"/>
        <v>9.8784945174355432E-2</v>
      </c>
      <c r="O28" s="378">
        <f t="shared" si="22"/>
        <v>0.88906450656919889</v>
      </c>
      <c r="P28" s="378">
        <f t="shared" si="22"/>
        <v>2.3708386841845304</v>
      </c>
      <c r="Q28" s="167"/>
      <c r="R28" s="167"/>
      <c r="S28" s="167"/>
      <c r="T28" s="167"/>
      <c r="U28" s="167"/>
      <c r="AA28" s="289" t="s">
        <v>422</v>
      </c>
      <c r="AB28" s="780">
        <f>BirthsTrend!AQ27</f>
        <v>10123</v>
      </c>
      <c r="AC28" s="780">
        <f>IFERROR(VLOOKUP(AC$7&amp;$AA28&amp;$AA26, vw.agedeath, 6, FALSE),0)</f>
        <v>13</v>
      </c>
      <c r="AD28" s="780">
        <f>IFERROR(VLOOKUP(AD$7&amp;$AA28&amp;$AA26, vw.agedeath, 6, FALSE),0)</f>
        <v>1</v>
      </c>
      <c r="AE28" s="780">
        <f>IFERROR(VLOOKUP(AE$7&amp;$AA28&amp;$AA26, vw.agedeath, 6, FALSE),0)</f>
        <v>1</v>
      </c>
      <c r="AF28" s="780">
        <f>IFERROR(VLOOKUP(AF$7&amp;$AA28&amp;$AA26, vw.agedeath, 6, FALSE),0)</f>
        <v>9</v>
      </c>
      <c r="AG28" s="780">
        <f>IFERROR(VLOOKUP(AG$7&amp;$AA28&amp;$AA26, vw.agedeath, 6, FALSE),0)</f>
        <v>24</v>
      </c>
    </row>
    <row r="29" spans="1:46">
      <c r="A29" s="384">
        <v>3</v>
      </c>
      <c r="B29" s="377">
        <f t="shared" si="19"/>
        <v>10971</v>
      </c>
      <c r="C29" s="365">
        <f t="shared" si="19"/>
        <v>16</v>
      </c>
      <c r="D29" s="365">
        <f t="shared" si="20"/>
        <v>6</v>
      </c>
      <c r="E29" s="365">
        <f t="shared" si="20"/>
        <v>1</v>
      </c>
      <c r="F29" s="365">
        <f t="shared" si="20"/>
        <v>9</v>
      </c>
      <c r="G29" s="377">
        <f t="shared" si="20"/>
        <v>32</v>
      </c>
      <c r="H29" s="378">
        <f t="shared" si="21"/>
        <v>50</v>
      </c>
      <c r="I29" s="378">
        <f t="shared" si="21"/>
        <v>18.75</v>
      </c>
      <c r="J29" s="378">
        <f t="shared" si="21"/>
        <v>3.125</v>
      </c>
      <c r="K29" s="378">
        <f t="shared" si="21"/>
        <v>28.125</v>
      </c>
      <c r="L29" s="379">
        <f t="shared" si="22"/>
        <v>1.4583903017044937</v>
      </c>
      <c r="M29" s="378">
        <f t="shared" si="22"/>
        <v>0.5468963631391851</v>
      </c>
      <c r="N29" s="378">
        <f t="shared" si="22"/>
        <v>9.1149393856530855E-2</v>
      </c>
      <c r="O29" s="378">
        <f t="shared" si="22"/>
        <v>0.82034454470877771</v>
      </c>
      <c r="P29" s="378">
        <f t="shared" si="22"/>
        <v>2.9167806034089874</v>
      </c>
      <c r="Q29" s="167"/>
      <c r="R29" s="167"/>
      <c r="S29" s="167"/>
      <c r="T29" s="167"/>
      <c r="U29" s="167"/>
      <c r="AA29" s="289" t="s">
        <v>423</v>
      </c>
      <c r="AB29" s="780">
        <f>BirthsTrend!AQ28</f>
        <v>10971</v>
      </c>
      <c r="AC29" s="780">
        <f>IFERROR(VLOOKUP(AC$7&amp;$AA29&amp;$AA26, vw.agedeath, 6, FALSE),0)</f>
        <v>16</v>
      </c>
      <c r="AD29" s="780">
        <f>IFERROR(VLOOKUP(AD$7&amp;$AA29&amp;$AA26, vw.agedeath, 6, FALSE),0)</f>
        <v>6</v>
      </c>
      <c r="AE29" s="780">
        <f>IFERROR(VLOOKUP(AE$7&amp;$AA29&amp;$AA26, vw.agedeath, 6, FALSE),0)</f>
        <v>1</v>
      </c>
      <c r="AF29" s="780">
        <f>IFERROR(VLOOKUP(AF$7&amp;$AA29&amp;$AA26, vw.agedeath, 6, FALSE),0)</f>
        <v>9</v>
      </c>
      <c r="AG29" s="780">
        <f>IFERROR(VLOOKUP(AG$7&amp;$AA29&amp;$AA26, vw.agedeath, 6, FALSE),0)</f>
        <v>32</v>
      </c>
    </row>
    <row r="30" spans="1:46">
      <c r="A30" s="384">
        <v>4</v>
      </c>
      <c r="B30" s="377">
        <f t="shared" si="19"/>
        <v>13131</v>
      </c>
      <c r="C30" s="365">
        <f t="shared" si="19"/>
        <v>20</v>
      </c>
      <c r="D30" s="365">
        <f t="shared" si="20"/>
        <v>5</v>
      </c>
      <c r="E30" s="365">
        <f t="shared" si="20"/>
        <v>8</v>
      </c>
      <c r="F30" s="365">
        <f t="shared" si="20"/>
        <v>19</v>
      </c>
      <c r="G30" s="377">
        <f t="shared" si="20"/>
        <v>52</v>
      </c>
      <c r="H30" s="378">
        <f t="shared" si="21"/>
        <v>38.461538461538467</v>
      </c>
      <c r="I30" s="378">
        <f t="shared" si="21"/>
        <v>9.6153846153846168</v>
      </c>
      <c r="J30" s="378">
        <f t="shared" si="21"/>
        <v>15.384615384615385</v>
      </c>
      <c r="K30" s="378">
        <f t="shared" si="21"/>
        <v>36.538461538461533</v>
      </c>
      <c r="L30" s="379">
        <f t="shared" si="22"/>
        <v>1.5231132434696519</v>
      </c>
      <c r="M30" s="378">
        <f t="shared" si="22"/>
        <v>0.38077831086741298</v>
      </c>
      <c r="N30" s="378">
        <f t="shared" si="22"/>
        <v>0.60924529738786082</v>
      </c>
      <c r="O30" s="378">
        <f t="shared" si="22"/>
        <v>1.4469575812961695</v>
      </c>
      <c r="P30" s="378">
        <f t="shared" si="22"/>
        <v>3.9600944330210957</v>
      </c>
      <c r="Q30" s="167"/>
      <c r="R30" s="167"/>
      <c r="S30" s="167"/>
      <c r="T30" s="167"/>
      <c r="U30" s="167"/>
      <c r="AA30" s="289" t="s">
        <v>424</v>
      </c>
      <c r="AB30" s="780">
        <f>BirthsTrend!AQ29</f>
        <v>13131</v>
      </c>
      <c r="AC30" s="780">
        <f>IFERROR(VLOOKUP(AC$7&amp;$AA30&amp;$AA26, vw.agedeath, 6, FALSE),0)</f>
        <v>20</v>
      </c>
      <c r="AD30" s="780">
        <f>IFERROR(VLOOKUP(AD$7&amp;$AA30&amp;$AA26, vw.agedeath, 6, FALSE),0)</f>
        <v>5</v>
      </c>
      <c r="AE30" s="780">
        <f>IFERROR(VLOOKUP(AE$7&amp;$AA30&amp;$AA26, vw.agedeath, 6, FALSE),0)</f>
        <v>8</v>
      </c>
      <c r="AF30" s="780">
        <f>IFERROR(VLOOKUP(AF$7&amp;$AA30&amp;$AA26, vw.agedeath, 6, FALSE),0)</f>
        <v>19</v>
      </c>
      <c r="AG30" s="780">
        <f>IFERROR(VLOOKUP(AG$7&amp;$AA30&amp;$AA26, vw.agedeath, 6, FALSE),0)</f>
        <v>52</v>
      </c>
    </row>
    <row r="31" spans="1:46">
      <c r="A31" s="367" t="s">
        <v>84</v>
      </c>
      <c r="B31" s="377">
        <f t="shared" si="19"/>
        <v>16886</v>
      </c>
      <c r="C31" s="365">
        <f t="shared" si="19"/>
        <v>39</v>
      </c>
      <c r="D31" s="365">
        <f t="shared" si="20"/>
        <v>16</v>
      </c>
      <c r="E31" s="365">
        <f t="shared" si="20"/>
        <v>15</v>
      </c>
      <c r="F31" s="365">
        <f t="shared" si="20"/>
        <v>37</v>
      </c>
      <c r="G31" s="377">
        <f t="shared" si="20"/>
        <v>107</v>
      </c>
      <c r="H31" s="378">
        <f t="shared" si="21"/>
        <v>36.44859813084112</v>
      </c>
      <c r="I31" s="378">
        <f t="shared" si="21"/>
        <v>14.953271028037381</v>
      </c>
      <c r="J31" s="378">
        <f t="shared" si="21"/>
        <v>14.018691588785046</v>
      </c>
      <c r="K31" s="378">
        <f t="shared" si="21"/>
        <v>34.579439252336449</v>
      </c>
      <c r="L31" s="379">
        <f t="shared" si="22"/>
        <v>2.3096055904299422</v>
      </c>
      <c r="M31" s="378">
        <f t="shared" si="22"/>
        <v>0.94753049863792493</v>
      </c>
      <c r="N31" s="378">
        <f t="shared" si="22"/>
        <v>0.88830984247305467</v>
      </c>
      <c r="O31" s="378">
        <f t="shared" si="22"/>
        <v>2.1911642781002016</v>
      </c>
      <c r="P31" s="378">
        <f t="shared" si="22"/>
        <v>6.3366102096411225</v>
      </c>
      <c r="Q31" s="167"/>
      <c r="R31" s="167"/>
      <c r="S31" s="167"/>
      <c r="T31" s="167"/>
      <c r="U31" s="167"/>
      <c r="AA31" s="289" t="s">
        <v>425</v>
      </c>
      <c r="AB31" s="780">
        <f>BirthsTrend!AQ30</f>
        <v>16886</v>
      </c>
      <c r="AC31" s="780">
        <f>IFERROR(VLOOKUP(AC$7&amp;$AA31&amp;$AA26, vw.agedeath, 6, FALSE),0)</f>
        <v>39</v>
      </c>
      <c r="AD31" s="780">
        <f>IFERROR(VLOOKUP(AD$7&amp;$AA31&amp;$AA26, vw.agedeath, 6, FALSE),0)</f>
        <v>16</v>
      </c>
      <c r="AE31" s="780">
        <f>IFERROR(VLOOKUP(AE$7&amp;$AA31&amp;$AA26, vw.agedeath, 6, FALSE),0)</f>
        <v>15</v>
      </c>
      <c r="AF31" s="780">
        <f>IFERROR(VLOOKUP(AF$7&amp;$AA31&amp;$AA26, vw.agedeath, 6, FALSE),0)</f>
        <v>37</v>
      </c>
      <c r="AG31" s="780">
        <f>IFERROR(VLOOKUP(AG$7&amp;$AA31&amp;$AA26, vw.agedeath, 6, FALSE),0)</f>
        <v>107</v>
      </c>
    </row>
    <row r="32" spans="1:46">
      <c r="A32" s="367" t="s">
        <v>63</v>
      </c>
      <c r="B32" s="380">
        <f t="shared" si="19"/>
        <v>131</v>
      </c>
      <c r="C32" s="365">
        <f t="shared" si="19"/>
        <v>1</v>
      </c>
      <c r="D32" s="365">
        <f t="shared" si="20"/>
        <v>0</v>
      </c>
      <c r="E32" s="365">
        <f t="shared" si="20"/>
        <v>0</v>
      </c>
      <c r="F32" s="365">
        <f t="shared" si="20"/>
        <v>1</v>
      </c>
      <c r="G32" s="377">
        <f t="shared" si="20"/>
        <v>2</v>
      </c>
      <c r="H32" s="381" t="s">
        <v>119</v>
      </c>
      <c r="I32" s="382" t="s">
        <v>119</v>
      </c>
      <c r="J32" s="383" t="s">
        <v>119</v>
      </c>
      <c r="K32" s="383" t="s">
        <v>119</v>
      </c>
      <c r="L32" s="381" t="s">
        <v>119</v>
      </c>
      <c r="M32" s="382" t="s">
        <v>119</v>
      </c>
      <c r="N32" s="383" t="s">
        <v>119</v>
      </c>
      <c r="O32" s="383" t="s">
        <v>119</v>
      </c>
      <c r="P32" s="383" t="s">
        <v>119</v>
      </c>
      <c r="Q32" s="167"/>
      <c r="R32" s="167"/>
      <c r="S32" s="167"/>
      <c r="T32" s="167"/>
      <c r="U32" s="167"/>
      <c r="AA32" s="289" t="s">
        <v>426</v>
      </c>
      <c r="AB32" s="780">
        <f>BirthsTrend!AQ31</f>
        <v>131</v>
      </c>
      <c r="AC32" s="780">
        <f>IFERROR(IFERROR(VLOOKUP(AC$7&amp;$AA32&amp;$AA26, vw.agedeath, 6, FALSE),0),0)</f>
        <v>1</v>
      </c>
      <c r="AD32" s="780">
        <f>IFERROR(IFERROR(VLOOKUP(AD$7&amp;$AA32&amp;$AA26, vw.agedeath, 6, FALSE),0),0)</f>
        <v>0</v>
      </c>
      <c r="AE32" s="780">
        <f>IFERROR(IFERROR(VLOOKUP(AE$7&amp;$AA32&amp;$AA26, vw.agedeath, 6, FALSE),0),0)</f>
        <v>0</v>
      </c>
      <c r="AF32" s="780">
        <f>IFERROR(IFERROR(VLOOKUP(AF$7&amp;$AA32&amp;$AA26, vw.agedeath, 6, FALSE),0),0)</f>
        <v>1</v>
      </c>
      <c r="AG32" s="780">
        <f>IFERROR(IFERROR(VLOOKUP(AG$7&amp;$AA32&amp;$AA26, vw.agedeath, 6, FALSE),0),0)</f>
        <v>2</v>
      </c>
    </row>
    <row r="33" spans="1:46">
      <c r="A33" s="328" t="s">
        <v>105</v>
      </c>
      <c r="B33" s="81"/>
      <c r="C33" s="328"/>
      <c r="D33" s="328"/>
      <c r="E33" s="328"/>
      <c r="F33" s="328"/>
      <c r="G33" s="328"/>
      <c r="H33" s="328"/>
      <c r="I33" s="328"/>
      <c r="J33" s="328"/>
      <c r="K33" s="328"/>
      <c r="L33" s="328"/>
      <c r="M33" s="328"/>
      <c r="N33" s="328"/>
      <c r="O33" s="328"/>
      <c r="P33" s="376"/>
      <c r="Q33" s="167"/>
      <c r="R33" s="167"/>
      <c r="S33" s="167"/>
      <c r="T33" s="167"/>
      <c r="U33" s="167"/>
      <c r="AA33" s="289" t="s">
        <v>135</v>
      </c>
      <c r="AB33" s="780"/>
      <c r="AC33" s="780"/>
      <c r="AD33" s="780"/>
      <c r="AE33" s="780"/>
      <c r="AF33" s="780"/>
      <c r="AG33" s="780"/>
    </row>
    <row r="34" spans="1:46">
      <c r="A34" s="404" t="s">
        <v>375</v>
      </c>
      <c r="B34" s="377">
        <f t="shared" ref="B34:C39" si="23">AB34</f>
        <v>260</v>
      </c>
      <c r="C34" s="414">
        <f t="shared" si="23"/>
        <v>70</v>
      </c>
      <c r="D34" s="414">
        <f t="shared" ref="D34:G39" si="24">AD34</f>
        <v>8</v>
      </c>
      <c r="E34" s="414">
        <f t="shared" si="24"/>
        <v>8</v>
      </c>
      <c r="F34" s="414">
        <f t="shared" si="24"/>
        <v>10</v>
      </c>
      <c r="G34" s="377">
        <f t="shared" si="24"/>
        <v>96</v>
      </c>
      <c r="H34" s="378">
        <f t="shared" ref="H34:K35" si="25">C34/$G34*100</f>
        <v>72.916666666666657</v>
      </c>
      <c r="I34" s="378">
        <f t="shared" si="25"/>
        <v>8.3333333333333321</v>
      </c>
      <c r="J34" s="378">
        <f t="shared" si="25"/>
        <v>8.3333333333333321</v>
      </c>
      <c r="K34" s="378">
        <f t="shared" si="25"/>
        <v>10.416666666666668</v>
      </c>
      <c r="L34" s="379">
        <f t="shared" ref="L34:P35" si="26">C34/$B34*1000</f>
        <v>269.23076923076923</v>
      </c>
      <c r="M34" s="378">
        <f t="shared" si="26"/>
        <v>30.76923076923077</v>
      </c>
      <c r="N34" s="378">
        <f t="shared" si="26"/>
        <v>30.76923076923077</v>
      </c>
      <c r="O34" s="378">
        <f t="shared" si="26"/>
        <v>38.461538461538467</v>
      </c>
      <c r="P34" s="378">
        <f t="shared" si="26"/>
        <v>369.23076923076923</v>
      </c>
      <c r="Q34" s="167"/>
      <c r="R34" s="167"/>
      <c r="S34" s="167"/>
      <c r="T34" s="167"/>
      <c r="U34" s="167"/>
      <c r="AA34" s="289" t="s">
        <v>375</v>
      </c>
      <c r="AB34" s="780">
        <f>BirthsTrend!AQ33</f>
        <v>260</v>
      </c>
      <c r="AC34" s="780">
        <f>IFERROR(VLOOKUP(AC$7&amp;$AA34&amp;$AA33, vw.agedeath, 6, FALSE),0)</f>
        <v>70</v>
      </c>
      <c r="AD34" s="780">
        <f>IFERROR(VLOOKUP(AD$7&amp;$AA34&amp;$AA33, vw.agedeath, 6, FALSE),0)</f>
        <v>8</v>
      </c>
      <c r="AE34" s="780">
        <f>IFERROR(VLOOKUP(AE$7&amp;$AA34&amp;$AA33, vw.agedeath, 6, FALSE),0)</f>
        <v>8</v>
      </c>
      <c r="AF34" s="780">
        <f>IFERROR(VLOOKUP(AF$7&amp;$AA34&amp;$AA33, vw.agedeath, 6, FALSE),0)</f>
        <v>10</v>
      </c>
      <c r="AG34" s="780">
        <f>IFERROR(VLOOKUP(AG$7&amp;$AA34&amp;$AA33, vw.agedeath, 6, FALSE),0)</f>
        <v>96</v>
      </c>
    </row>
    <row r="35" spans="1:46" s="397" customFormat="1">
      <c r="A35" s="404" t="s">
        <v>376</v>
      </c>
      <c r="B35" s="377">
        <f t="shared" si="23"/>
        <v>417</v>
      </c>
      <c r="C35" s="414">
        <f t="shared" si="23"/>
        <v>4</v>
      </c>
      <c r="D35" s="414">
        <f t="shared" si="24"/>
        <v>4</v>
      </c>
      <c r="E35" s="414">
        <f t="shared" si="24"/>
        <v>3</v>
      </c>
      <c r="F35" s="414">
        <f t="shared" si="24"/>
        <v>3</v>
      </c>
      <c r="G35" s="377">
        <f t="shared" si="24"/>
        <v>14</v>
      </c>
      <c r="H35" s="378">
        <f t="shared" si="25"/>
        <v>28.571428571428569</v>
      </c>
      <c r="I35" s="378">
        <f t="shared" si="25"/>
        <v>28.571428571428569</v>
      </c>
      <c r="J35" s="378">
        <f t="shared" si="25"/>
        <v>21.428571428571427</v>
      </c>
      <c r="K35" s="378">
        <f t="shared" si="25"/>
        <v>21.428571428571427</v>
      </c>
      <c r="L35" s="379">
        <f t="shared" si="26"/>
        <v>9.592326139088728</v>
      </c>
      <c r="M35" s="378">
        <f t="shared" si="26"/>
        <v>9.592326139088728</v>
      </c>
      <c r="N35" s="378">
        <f t="shared" si="26"/>
        <v>7.1942446043165473</v>
      </c>
      <c r="O35" s="378">
        <f t="shared" si="26"/>
        <v>7.1942446043165473</v>
      </c>
      <c r="P35" s="378">
        <f t="shared" si="26"/>
        <v>33.573141486810549</v>
      </c>
      <c r="V35" s="245"/>
      <c r="W35" s="245"/>
      <c r="X35" s="245"/>
      <c r="Y35" s="245"/>
      <c r="Z35" s="245"/>
      <c r="AA35" s="289" t="s">
        <v>395</v>
      </c>
      <c r="AB35" s="780">
        <f>BirthsTrend!AQ34</f>
        <v>417</v>
      </c>
      <c r="AC35" s="780">
        <f>IFERROR(VLOOKUP(AC$7&amp;$AA35&amp;$AA33, vw.agedeath, 6, FALSE),0)</f>
        <v>4</v>
      </c>
      <c r="AD35" s="780">
        <f>IFERROR(VLOOKUP(AD$7&amp;$AA35&amp;$AA33, vw.agedeath, 6, FALSE),0)</f>
        <v>4</v>
      </c>
      <c r="AE35" s="780">
        <f>IFERROR(VLOOKUP(AE$7&amp;$AA35&amp;$AA33, vw.agedeath, 6, FALSE),0)</f>
        <v>3</v>
      </c>
      <c r="AF35" s="780">
        <f>IFERROR(VLOOKUP(AF$7&amp;$AA35&amp;$AA33, vw.agedeath, 6, FALSE),0)</f>
        <v>3</v>
      </c>
      <c r="AG35" s="780">
        <f>IFERROR(VLOOKUP(AG$7&amp;$AA35&amp;$AA33, vw.agedeath, 6, FALSE),0)</f>
        <v>14</v>
      </c>
      <c r="AH35" s="245"/>
      <c r="AI35" s="245"/>
      <c r="AJ35" s="245"/>
      <c r="AK35" s="245"/>
      <c r="AL35" s="245"/>
      <c r="AM35" s="245"/>
      <c r="AN35" s="245"/>
      <c r="AO35" s="245"/>
      <c r="AP35" s="245"/>
      <c r="AQ35" s="245"/>
      <c r="AR35" s="245"/>
      <c r="AS35" s="245"/>
      <c r="AT35" s="245"/>
    </row>
    <row r="36" spans="1:46">
      <c r="A36" s="367" t="s">
        <v>64</v>
      </c>
      <c r="B36" s="377">
        <f t="shared" si="23"/>
        <v>3814</v>
      </c>
      <c r="C36" s="414">
        <f t="shared" si="23"/>
        <v>6</v>
      </c>
      <c r="D36" s="414">
        <f t="shared" si="24"/>
        <v>4</v>
      </c>
      <c r="E36" s="414">
        <f t="shared" si="24"/>
        <v>3</v>
      </c>
      <c r="F36" s="414">
        <f t="shared" si="24"/>
        <v>10</v>
      </c>
      <c r="G36" s="377">
        <f t="shared" si="24"/>
        <v>23</v>
      </c>
      <c r="H36" s="378">
        <f t="shared" ref="H36:K38" si="27">C36/$G36*100</f>
        <v>26.086956521739129</v>
      </c>
      <c r="I36" s="378">
        <f t="shared" si="27"/>
        <v>17.391304347826086</v>
      </c>
      <c r="J36" s="378">
        <f t="shared" si="27"/>
        <v>13.043478260869565</v>
      </c>
      <c r="K36" s="378">
        <f t="shared" si="27"/>
        <v>43.478260869565219</v>
      </c>
      <c r="L36" s="379">
        <f t="shared" ref="L36:P38" si="28">C36/$B36*1000</f>
        <v>1.5731515469323545</v>
      </c>
      <c r="M36" s="378">
        <f t="shared" si="28"/>
        <v>1.048767697954903</v>
      </c>
      <c r="N36" s="378">
        <f t="shared" si="28"/>
        <v>0.78657577346617724</v>
      </c>
      <c r="O36" s="378">
        <f t="shared" si="28"/>
        <v>2.6219192448872577</v>
      </c>
      <c r="P36" s="378">
        <f t="shared" si="28"/>
        <v>6.0304142632406919</v>
      </c>
      <c r="Q36" s="167"/>
      <c r="R36" s="167"/>
      <c r="S36" s="167"/>
      <c r="T36" s="167"/>
      <c r="U36" s="167"/>
      <c r="AA36" s="289" t="s">
        <v>136</v>
      </c>
      <c r="AB36" s="780">
        <f>BirthsTrend!AQ35</f>
        <v>3814</v>
      </c>
      <c r="AC36" s="780">
        <f>IFERROR(VLOOKUP(AC$7&amp;$AA36&amp;$AA33, vw.agedeath, 6, FALSE),0)</f>
        <v>6</v>
      </c>
      <c r="AD36" s="780">
        <f>IFERROR(VLOOKUP(AD$7&amp;$AA36&amp;$AA33, vw.agedeath, 6, FALSE),0)</f>
        <v>4</v>
      </c>
      <c r="AE36" s="780">
        <f>IFERROR(VLOOKUP(AE$7&amp;$AA36&amp;$AA33, vw.agedeath, 6, FALSE),0)</f>
        <v>3</v>
      </c>
      <c r="AF36" s="780">
        <f>IFERROR(VLOOKUP(AF$7&amp;$AA36&amp;$AA33, vw.agedeath, 6, FALSE),0)</f>
        <v>10</v>
      </c>
      <c r="AG36" s="780">
        <f>IFERROR(VLOOKUP(AG$7&amp;$AA36&amp;$AA33, vw.agedeath, 6, FALSE),0)</f>
        <v>23</v>
      </c>
    </row>
    <row r="37" spans="1:46">
      <c r="A37" s="367" t="s">
        <v>65</v>
      </c>
      <c r="B37" s="377">
        <f t="shared" si="23"/>
        <v>54899</v>
      </c>
      <c r="C37" s="414">
        <f t="shared" si="23"/>
        <v>14</v>
      </c>
      <c r="D37" s="414">
        <f t="shared" si="24"/>
        <v>11</v>
      </c>
      <c r="E37" s="414">
        <f t="shared" si="24"/>
        <v>13</v>
      </c>
      <c r="F37" s="414">
        <f t="shared" si="24"/>
        <v>53</v>
      </c>
      <c r="G37" s="377">
        <f t="shared" si="24"/>
        <v>91</v>
      </c>
      <c r="H37" s="378">
        <f t="shared" si="27"/>
        <v>15.384615384615385</v>
      </c>
      <c r="I37" s="378">
        <f t="shared" si="27"/>
        <v>12.087912087912088</v>
      </c>
      <c r="J37" s="378">
        <f t="shared" si="27"/>
        <v>14.285714285714285</v>
      </c>
      <c r="K37" s="378">
        <f t="shared" si="27"/>
        <v>58.241758241758248</v>
      </c>
      <c r="L37" s="379">
        <f t="shared" si="28"/>
        <v>0.25501375252736846</v>
      </c>
      <c r="M37" s="378">
        <f t="shared" si="28"/>
        <v>0.20036794841436092</v>
      </c>
      <c r="N37" s="378">
        <f t="shared" si="28"/>
        <v>0.23679848448969926</v>
      </c>
      <c r="O37" s="378">
        <f t="shared" si="28"/>
        <v>0.96540920599646629</v>
      </c>
      <c r="P37" s="378">
        <f t="shared" si="28"/>
        <v>1.6575893914278947</v>
      </c>
      <c r="Q37" s="167"/>
      <c r="R37" s="167"/>
      <c r="S37" s="167"/>
      <c r="T37" s="167"/>
      <c r="U37" s="167"/>
      <c r="AA37" s="289" t="s">
        <v>137</v>
      </c>
      <c r="AB37" s="780">
        <f>BirthsTrend!AQ36</f>
        <v>54899</v>
      </c>
      <c r="AC37" s="780">
        <f>IFERROR(VLOOKUP(AC$7&amp;$AA37&amp;$AA33, vw.agedeath, 6, FALSE),0)</f>
        <v>14</v>
      </c>
      <c r="AD37" s="780">
        <f>IFERROR(VLOOKUP(AD$7&amp;$AA37&amp;$AA33, vw.agedeath, 6, FALSE),0)</f>
        <v>11</v>
      </c>
      <c r="AE37" s="780">
        <f>IFERROR(VLOOKUP(AE$7&amp;$AA37&amp;$AA33, vw.agedeath, 6, FALSE),0)</f>
        <v>13</v>
      </c>
      <c r="AF37" s="780">
        <f>IFERROR(VLOOKUP(AF$7&amp;$AA37&amp;$AA33, vw.agedeath, 6, FALSE),0)</f>
        <v>53</v>
      </c>
      <c r="AG37" s="780">
        <f>IFERROR(VLOOKUP(AG$7&amp;$AA37&amp;$AA33, vw.agedeath, 6, FALSE),0)</f>
        <v>91</v>
      </c>
    </row>
    <row r="38" spans="1:46">
      <c r="A38" s="367" t="s">
        <v>66</v>
      </c>
      <c r="B38" s="377">
        <f t="shared" si="23"/>
        <v>1017</v>
      </c>
      <c r="C38" s="414">
        <f t="shared" si="23"/>
        <v>1</v>
      </c>
      <c r="D38" s="414">
        <f t="shared" si="24"/>
        <v>2</v>
      </c>
      <c r="E38" s="414">
        <f t="shared" si="24"/>
        <v>0</v>
      </c>
      <c r="F38" s="414">
        <f t="shared" si="24"/>
        <v>1</v>
      </c>
      <c r="G38" s="377">
        <f t="shared" si="24"/>
        <v>4</v>
      </c>
      <c r="H38" s="378">
        <f t="shared" si="27"/>
        <v>25</v>
      </c>
      <c r="I38" s="378">
        <f t="shared" si="27"/>
        <v>50</v>
      </c>
      <c r="J38" s="378">
        <f t="shared" si="27"/>
        <v>0</v>
      </c>
      <c r="K38" s="378">
        <f t="shared" si="27"/>
        <v>25</v>
      </c>
      <c r="L38" s="379">
        <f t="shared" si="28"/>
        <v>0.98328416912487715</v>
      </c>
      <c r="M38" s="378">
        <f t="shared" si="28"/>
        <v>1.9665683382497543</v>
      </c>
      <c r="N38" s="378">
        <f t="shared" si="28"/>
        <v>0</v>
      </c>
      <c r="O38" s="378">
        <f t="shared" si="28"/>
        <v>0.98328416912487715</v>
      </c>
      <c r="P38" s="378">
        <f t="shared" si="28"/>
        <v>3.9331366764995086</v>
      </c>
      <c r="Q38" s="167"/>
      <c r="R38" s="167"/>
      <c r="S38" s="167"/>
      <c r="T38" s="167"/>
      <c r="U38" s="167"/>
      <c r="AA38" s="289" t="s">
        <v>138</v>
      </c>
      <c r="AB38" s="780">
        <f>BirthsTrend!AQ37</f>
        <v>1017</v>
      </c>
      <c r="AC38" s="780">
        <f>IFERROR(VLOOKUP(AC$7&amp;$AA38&amp;$AA33, vw.agedeath, 6, FALSE),0)</f>
        <v>1</v>
      </c>
      <c r="AD38" s="780">
        <f>IFERROR(VLOOKUP(AD$7&amp;$AA38&amp;$AA33, vw.agedeath, 6, FALSE),0)</f>
        <v>2</v>
      </c>
      <c r="AE38" s="780">
        <f>IFERROR(VLOOKUP(AE$7&amp;$AA38&amp;$AA33, vw.agedeath, 6, FALSE),0)</f>
        <v>0</v>
      </c>
      <c r="AF38" s="780">
        <f>IFERROR(VLOOKUP(AF$7&amp;$AA38&amp;$AA33, vw.agedeath, 6, FALSE),0)</f>
        <v>1</v>
      </c>
      <c r="AG38" s="780">
        <f>IFERROR(VLOOKUP(AG$7&amp;$AA38&amp;$AA33, vw.agedeath, 6, FALSE),0)</f>
        <v>4</v>
      </c>
    </row>
    <row r="39" spans="1:46">
      <c r="A39" s="367" t="s">
        <v>63</v>
      </c>
      <c r="B39" s="380">
        <f t="shared" si="23"/>
        <v>29</v>
      </c>
      <c r="C39" s="414">
        <f t="shared" si="23"/>
        <v>5</v>
      </c>
      <c r="D39" s="414">
        <f t="shared" si="24"/>
        <v>4</v>
      </c>
      <c r="E39" s="414">
        <f t="shared" si="24"/>
        <v>1</v>
      </c>
      <c r="F39" s="414">
        <f t="shared" si="24"/>
        <v>3</v>
      </c>
      <c r="G39" s="377">
        <f t="shared" si="24"/>
        <v>13</v>
      </c>
      <c r="H39" s="381" t="s">
        <v>119</v>
      </c>
      <c r="I39" s="382" t="s">
        <v>119</v>
      </c>
      <c r="J39" s="383" t="s">
        <v>119</v>
      </c>
      <c r="K39" s="383" t="s">
        <v>119</v>
      </c>
      <c r="L39" s="381" t="s">
        <v>119</v>
      </c>
      <c r="M39" s="382" t="s">
        <v>119</v>
      </c>
      <c r="N39" s="383" t="s">
        <v>119</v>
      </c>
      <c r="O39" s="383" t="s">
        <v>119</v>
      </c>
      <c r="P39" s="383" t="s">
        <v>119</v>
      </c>
      <c r="Q39" s="167"/>
      <c r="R39" s="167"/>
      <c r="S39" s="167"/>
      <c r="T39" s="167"/>
      <c r="U39" s="167"/>
      <c r="AA39" s="289" t="s">
        <v>63</v>
      </c>
      <c r="AB39" s="780">
        <f>BirthsTrend!AQ38</f>
        <v>29</v>
      </c>
      <c r="AC39" s="780">
        <f>IFERROR(VLOOKUP(AC$7&amp;$AA39&amp;$AA33, vw.agedeath, 6, FALSE),0)</f>
        <v>5</v>
      </c>
      <c r="AD39" s="780">
        <f>IFERROR(VLOOKUP(AD$7&amp;$AA39&amp;$AA33, vw.agedeath, 6, FALSE),0)</f>
        <v>4</v>
      </c>
      <c r="AE39" s="780">
        <f>IFERROR(VLOOKUP(AE$7&amp;$AA39&amp;$AA33, vw.agedeath, 6, FALSE),0)</f>
        <v>1</v>
      </c>
      <c r="AF39" s="780">
        <f>IFERROR(VLOOKUP(AF$7&amp;$AA39&amp;$AA33, vw.agedeath, 6, FALSE),0)</f>
        <v>3</v>
      </c>
      <c r="AG39" s="780">
        <f>IFERROR(VLOOKUP(AG$7&amp;$AA39&amp;$AA33, vw.agedeath, 6, FALSE),0)</f>
        <v>13</v>
      </c>
    </row>
    <row r="40" spans="1:46">
      <c r="A40" s="328" t="s">
        <v>1</v>
      </c>
      <c r="B40" s="81"/>
      <c r="C40" s="328"/>
      <c r="D40" s="328"/>
      <c r="E40" s="328"/>
      <c r="F40" s="328"/>
      <c r="G40" s="328"/>
      <c r="H40" s="328"/>
      <c r="I40" s="328"/>
      <c r="J40" s="328"/>
      <c r="K40" s="328"/>
      <c r="L40" s="328"/>
      <c r="M40" s="328"/>
      <c r="N40" s="328"/>
      <c r="O40" s="328"/>
      <c r="P40" s="376"/>
      <c r="Q40" s="167"/>
      <c r="R40" s="167"/>
      <c r="S40" s="167"/>
      <c r="T40" s="167"/>
      <c r="U40" s="167"/>
      <c r="AA40" s="289" t="s">
        <v>464</v>
      </c>
      <c r="AB40" s="780"/>
      <c r="AC40" s="780"/>
      <c r="AD40" s="780"/>
      <c r="AE40" s="780"/>
      <c r="AF40" s="780"/>
      <c r="AG40" s="780"/>
    </row>
    <row r="41" spans="1:46">
      <c r="A41" s="404" t="s">
        <v>378</v>
      </c>
      <c r="B41" s="375">
        <f>AB41</f>
        <v>53</v>
      </c>
      <c r="C41" s="417">
        <f>AC41</f>
        <v>36</v>
      </c>
      <c r="D41" s="417">
        <f t="shared" ref="D41:G47" si="29">AD41</f>
        <v>1</v>
      </c>
      <c r="E41" s="417">
        <f t="shared" si="29"/>
        <v>0</v>
      </c>
      <c r="F41" s="417">
        <f t="shared" si="29"/>
        <v>0</v>
      </c>
      <c r="G41" s="377">
        <f t="shared" si="29"/>
        <v>37</v>
      </c>
      <c r="H41" s="378">
        <f t="shared" ref="H41:H42" si="30">C41/$G41*100</f>
        <v>97.297297297297305</v>
      </c>
      <c r="I41" s="378">
        <f t="shared" ref="I41:I42" si="31">D41/$G41*100</f>
        <v>2.7027027027027026</v>
      </c>
      <c r="J41" s="378">
        <f t="shared" ref="J41:J42" si="32">E41/$G41*100</f>
        <v>0</v>
      </c>
      <c r="K41" s="378">
        <f t="shared" ref="K41:K42" si="33">F41/$G41*100</f>
        <v>0</v>
      </c>
      <c r="L41" s="374">
        <f t="shared" ref="L41:L42" si="34">C41/$B41*1000</f>
        <v>679.24528301886789</v>
      </c>
      <c r="M41" s="373">
        <f t="shared" ref="M41:M42" si="35">D41/$B41*1000</f>
        <v>18.867924528301884</v>
      </c>
      <c r="N41" s="373">
        <f t="shared" ref="N41:N42" si="36">E41/$B41*1000</f>
        <v>0</v>
      </c>
      <c r="O41" s="373">
        <f t="shared" ref="O41:O42" si="37">F41/$B41*1000</f>
        <v>0</v>
      </c>
      <c r="P41" s="373">
        <f t="shared" ref="P41:P42" si="38">G41/$B41*1000</f>
        <v>698.11320754716974</v>
      </c>
      <c r="Q41" s="167"/>
      <c r="R41" s="167"/>
      <c r="S41" s="167"/>
      <c r="T41" s="167"/>
      <c r="U41" s="167"/>
      <c r="AA41" s="289" t="s">
        <v>427</v>
      </c>
      <c r="AB41" s="780">
        <f>BirthsTrend!AQ40</f>
        <v>53</v>
      </c>
      <c r="AC41" s="780">
        <f>IFERROR(VLOOKUP(AC$7&amp;$AA41&amp;$AA40, vw.agedeath, 6, FALSE),0)</f>
        <v>36</v>
      </c>
      <c r="AD41" s="780">
        <f>IFERROR(VLOOKUP(AD$7&amp;$AA41&amp;$AA40, vw.agedeath, 6, FALSE),0)</f>
        <v>1</v>
      </c>
      <c r="AE41" s="780">
        <f>IFERROR(VLOOKUP(AE$7&amp;$AA41&amp;$AA40, vw.agedeath, 6, FALSE),0)</f>
        <v>0</v>
      </c>
      <c r="AF41" s="780">
        <f>IFERROR(VLOOKUP(AF$7&amp;$AA41&amp;$AA40, vw.agedeath, 6, FALSE),0)</f>
        <v>0</v>
      </c>
      <c r="AG41" s="780">
        <f>IFERROR(VLOOKUP(AG$7&amp;$AA41&amp;$AA40, vw.agedeath, 6, FALSE),0)</f>
        <v>37</v>
      </c>
    </row>
    <row r="42" spans="1:46" s="400" customFormat="1">
      <c r="A42" s="404" t="s">
        <v>386</v>
      </c>
      <c r="B42" s="375">
        <f t="shared" ref="B42:B47" si="39">AB42</f>
        <v>196</v>
      </c>
      <c r="C42" s="417">
        <f t="shared" ref="C42:C47" si="40">AC42</f>
        <v>34</v>
      </c>
      <c r="D42" s="417">
        <f t="shared" si="29"/>
        <v>7</v>
      </c>
      <c r="E42" s="417">
        <f t="shared" si="29"/>
        <v>7</v>
      </c>
      <c r="F42" s="417">
        <f t="shared" si="29"/>
        <v>9</v>
      </c>
      <c r="G42" s="377">
        <f t="shared" si="29"/>
        <v>57</v>
      </c>
      <c r="H42" s="378">
        <f t="shared" si="30"/>
        <v>59.649122807017541</v>
      </c>
      <c r="I42" s="378">
        <f t="shared" si="31"/>
        <v>12.280701754385964</v>
      </c>
      <c r="J42" s="378">
        <f t="shared" si="32"/>
        <v>12.280701754385964</v>
      </c>
      <c r="K42" s="378">
        <f t="shared" si="33"/>
        <v>15.789473684210526</v>
      </c>
      <c r="L42" s="374">
        <f t="shared" si="34"/>
        <v>173.46938775510205</v>
      </c>
      <c r="M42" s="373">
        <f t="shared" si="35"/>
        <v>35.714285714285715</v>
      </c>
      <c r="N42" s="373">
        <f t="shared" si="36"/>
        <v>35.714285714285715</v>
      </c>
      <c r="O42" s="373">
        <f t="shared" si="37"/>
        <v>45.91836734693878</v>
      </c>
      <c r="P42" s="373">
        <f t="shared" si="38"/>
        <v>290.81632653061223</v>
      </c>
      <c r="V42" s="245"/>
      <c r="W42" s="245"/>
      <c r="X42" s="245"/>
      <c r="Y42" s="245"/>
      <c r="Z42" s="245"/>
      <c r="AA42" s="289" t="s">
        <v>428</v>
      </c>
      <c r="AB42" s="780">
        <f>BirthsTrend!AQ41</f>
        <v>196</v>
      </c>
      <c r="AC42" s="780">
        <f>IFERROR(VLOOKUP(AC$7&amp;$AA42&amp;$AA40, vw.agedeath, 6, FALSE),0)</f>
        <v>34</v>
      </c>
      <c r="AD42" s="780">
        <f>IFERROR(VLOOKUP(AD$7&amp;$AA42&amp;$AA40, vw.agedeath, 6, FALSE),0)</f>
        <v>7</v>
      </c>
      <c r="AE42" s="780">
        <f>IFERROR(VLOOKUP(AE$7&amp;$AA42&amp;$AA40, vw.agedeath, 6, FALSE),0)</f>
        <v>7</v>
      </c>
      <c r="AF42" s="780">
        <f>IFERROR(VLOOKUP(AF$7&amp;$AA42&amp;$AA40, vw.agedeath, 6, FALSE),0)</f>
        <v>9</v>
      </c>
      <c r="AG42" s="780">
        <f>IFERROR(VLOOKUP(AG$7&amp;$AA42&amp;$AA40, vw.agedeath, 6, FALSE),0)</f>
        <v>57</v>
      </c>
      <c r="AH42" s="245"/>
      <c r="AI42" s="245"/>
      <c r="AJ42" s="245"/>
      <c r="AK42" s="245"/>
      <c r="AL42" s="245"/>
      <c r="AM42" s="245"/>
      <c r="AN42" s="245"/>
      <c r="AO42" s="245"/>
      <c r="AP42" s="245"/>
      <c r="AQ42" s="245"/>
      <c r="AR42" s="245"/>
      <c r="AS42" s="245"/>
      <c r="AT42" s="245"/>
    </row>
    <row r="43" spans="1:46" s="397" customFormat="1">
      <c r="A43" s="404" t="s">
        <v>387</v>
      </c>
      <c r="B43" s="375">
        <f t="shared" si="39"/>
        <v>331</v>
      </c>
      <c r="C43" s="365">
        <f t="shared" si="40"/>
        <v>2</v>
      </c>
      <c r="D43" s="365">
        <f t="shared" si="29"/>
        <v>2</v>
      </c>
      <c r="E43" s="365">
        <f t="shared" si="29"/>
        <v>2</v>
      </c>
      <c r="F43" s="365">
        <f t="shared" si="29"/>
        <v>2</v>
      </c>
      <c r="G43" s="377">
        <f t="shared" si="29"/>
        <v>8</v>
      </c>
      <c r="H43" s="378">
        <f t="shared" ref="H43:K44" si="41">C43/$G43*100</f>
        <v>25</v>
      </c>
      <c r="I43" s="378">
        <f t="shared" si="41"/>
        <v>25</v>
      </c>
      <c r="J43" s="378">
        <f t="shared" si="41"/>
        <v>25</v>
      </c>
      <c r="K43" s="378">
        <f t="shared" si="41"/>
        <v>25</v>
      </c>
      <c r="L43" s="374">
        <f t="shared" ref="L43:P44" si="42">C43/$B43*1000</f>
        <v>6.0422960725075532</v>
      </c>
      <c r="M43" s="373">
        <f t="shared" si="42"/>
        <v>6.0422960725075532</v>
      </c>
      <c r="N43" s="373">
        <f t="shared" si="42"/>
        <v>6.0422960725075532</v>
      </c>
      <c r="O43" s="373">
        <f t="shared" si="42"/>
        <v>6.0422960725075532</v>
      </c>
      <c r="P43" s="373">
        <f t="shared" si="42"/>
        <v>24.169184290030213</v>
      </c>
      <c r="V43" s="245"/>
      <c r="W43" s="245"/>
      <c r="X43" s="245"/>
      <c r="Y43" s="245"/>
      <c r="Z43" s="245"/>
      <c r="AA43" s="289" t="s">
        <v>429</v>
      </c>
      <c r="AB43" s="780">
        <f>BirthsTrend!AQ42</f>
        <v>331</v>
      </c>
      <c r="AC43" s="780">
        <f>IFERROR(VLOOKUP(AC$7&amp;$AA43&amp;$AA40, vw.agedeath, 6, FALSE),0)</f>
        <v>2</v>
      </c>
      <c r="AD43" s="780">
        <f>IFERROR(VLOOKUP(AD$7&amp;$AA43&amp;$AA40, vw.agedeath, 6, FALSE),0)</f>
        <v>2</v>
      </c>
      <c r="AE43" s="780">
        <f>IFERROR(VLOOKUP(AE$7&amp;$AA43&amp;$AA40, vw.agedeath, 6, FALSE),0)</f>
        <v>2</v>
      </c>
      <c r="AF43" s="780">
        <f>IFERROR(VLOOKUP(AF$7&amp;$AA43&amp;$AA40, vw.agedeath, 6, FALSE),0)</f>
        <v>2</v>
      </c>
      <c r="AG43" s="780">
        <f>IFERROR(VLOOKUP(AG$7&amp;$AA43&amp;$AA40, vw.agedeath, 6, FALSE),0)</f>
        <v>8</v>
      </c>
      <c r="AH43" s="245"/>
      <c r="AI43" s="245"/>
      <c r="AJ43" s="245"/>
      <c r="AK43" s="245"/>
      <c r="AL43" s="245"/>
      <c r="AM43" s="245"/>
      <c r="AN43" s="245"/>
      <c r="AO43" s="245"/>
      <c r="AP43" s="245"/>
      <c r="AQ43" s="245"/>
      <c r="AR43" s="245"/>
      <c r="AS43" s="245"/>
      <c r="AT43" s="245"/>
    </row>
    <row r="44" spans="1:46" s="453" customFormat="1">
      <c r="A44" s="404" t="s">
        <v>381</v>
      </c>
      <c r="B44" s="375">
        <f t="shared" si="39"/>
        <v>2991</v>
      </c>
      <c r="C44" s="365">
        <f t="shared" si="40"/>
        <v>12</v>
      </c>
      <c r="D44" s="365">
        <f t="shared" si="29"/>
        <v>8</v>
      </c>
      <c r="E44" s="365">
        <f t="shared" si="29"/>
        <v>6</v>
      </c>
      <c r="F44" s="365">
        <f t="shared" si="29"/>
        <v>9</v>
      </c>
      <c r="G44" s="377">
        <f t="shared" si="29"/>
        <v>35</v>
      </c>
      <c r="H44" s="378">
        <f t="shared" si="41"/>
        <v>34.285714285714285</v>
      </c>
      <c r="I44" s="378">
        <f t="shared" si="41"/>
        <v>22.857142857142858</v>
      </c>
      <c r="J44" s="378">
        <f t="shared" si="41"/>
        <v>17.142857142857142</v>
      </c>
      <c r="K44" s="378">
        <f t="shared" si="41"/>
        <v>25.714285714285712</v>
      </c>
      <c r="L44" s="374">
        <f t="shared" si="42"/>
        <v>4.0120361083249749</v>
      </c>
      <c r="M44" s="373">
        <f t="shared" si="42"/>
        <v>2.6746907388833163</v>
      </c>
      <c r="N44" s="373">
        <f t="shared" si="42"/>
        <v>2.0060180541624875</v>
      </c>
      <c r="O44" s="373">
        <f t="shared" si="42"/>
        <v>3.009027081243731</v>
      </c>
      <c r="P44" s="373">
        <f t="shared" si="42"/>
        <v>11.70177198261451</v>
      </c>
      <c r="V44" s="245"/>
      <c r="W44" s="245"/>
      <c r="X44" s="245"/>
      <c r="Y44" s="245"/>
      <c r="Z44" s="245"/>
      <c r="AA44" s="289" t="s">
        <v>430</v>
      </c>
      <c r="AB44" s="780">
        <f>BirthsTrend!AQ43</f>
        <v>2991</v>
      </c>
      <c r="AC44" s="780">
        <f>IFERROR(VLOOKUP(AC$7&amp;$AA44&amp;$AA40, vw.agedeath, 6, FALSE),0)</f>
        <v>12</v>
      </c>
      <c r="AD44" s="780">
        <f>IFERROR(VLOOKUP(AD$7&amp;$AA44&amp;$AA40, vw.agedeath, 6, FALSE),0)</f>
        <v>8</v>
      </c>
      <c r="AE44" s="780">
        <f>IFERROR(VLOOKUP(AE$7&amp;$AA44&amp;$AA40, vw.agedeath, 6, FALSE),0)</f>
        <v>6</v>
      </c>
      <c r="AF44" s="780">
        <f>IFERROR(VLOOKUP(AF$7&amp;$AA44&amp;$AA40, vw.agedeath, 6, FALSE),0)</f>
        <v>9</v>
      </c>
      <c r="AG44" s="780">
        <f>IFERROR(VLOOKUP(AG$7&amp;$AA44&amp;$AA40, vw.agedeath, 6, FALSE),0)</f>
        <v>35</v>
      </c>
      <c r="AH44" s="245"/>
      <c r="AI44" s="245"/>
      <c r="AJ44" s="245"/>
      <c r="AK44" s="245"/>
      <c r="AL44" s="245"/>
      <c r="AM44" s="245"/>
      <c r="AN44" s="245"/>
      <c r="AO44" s="245"/>
      <c r="AP44" s="245"/>
      <c r="AQ44" s="245"/>
      <c r="AR44" s="245"/>
      <c r="AS44" s="245"/>
      <c r="AT44" s="245"/>
    </row>
    <row r="45" spans="1:46">
      <c r="A45" s="407" t="s">
        <v>388</v>
      </c>
      <c r="B45" s="375">
        <f t="shared" si="39"/>
        <v>55407</v>
      </c>
      <c r="C45" s="365">
        <f t="shared" si="40"/>
        <v>12</v>
      </c>
      <c r="D45" s="365">
        <f t="shared" si="29"/>
        <v>14</v>
      </c>
      <c r="E45" s="365">
        <f t="shared" si="29"/>
        <v>12</v>
      </c>
      <c r="F45" s="365">
        <f t="shared" si="29"/>
        <v>57</v>
      </c>
      <c r="G45" s="377">
        <f t="shared" si="29"/>
        <v>95</v>
      </c>
      <c r="H45" s="378">
        <f t="shared" ref="H45:K45" si="43">C45/$G45*100</f>
        <v>12.631578947368421</v>
      </c>
      <c r="I45" s="378">
        <f t="shared" si="43"/>
        <v>14.736842105263156</v>
      </c>
      <c r="J45" s="378">
        <f t="shared" si="43"/>
        <v>12.631578947368421</v>
      </c>
      <c r="K45" s="378">
        <f t="shared" si="43"/>
        <v>60</v>
      </c>
      <c r="L45" s="379">
        <f t="shared" ref="L45:P46" si="44">C45/$B45*1000</f>
        <v>0.21657913260057393</v>
      </c>
      <c r="M45" s="378">
        <f t="shared" si="44"/>
        <v>0.25267565470066961</v>
      </c>
      <c r="N45" s="378">
        <f t="shared" si="44"/>
        <v>0.21657913260057393</v>
      </c>
      <c r="O45" s="378">
        <f t="shared" si="44"/>
        <v>1.0287508798527263</v>
      </c>
      <c r="P45" s="378">
        <f t="shared" si="44"/>
        <v>1.7145847997545438</v>
      </c>
      <c r="Q45" s="167"/>
      <c r="R45" s="167"/>
      <c r="S45" s="167"/>
      <c r="T45" s="167"/>
      <c r="U45" s="167"/>
      <c r="AA45" s="289" t="s">
        <v>431</v>
      </c>
      <c r="AB45" s="780">
        <f>BirthsTrend!AQ44</f>
        <v>55407</v>
      </c>
      <c r="AC45" s="780">
        <f>IFERROR(VLOOKUP(AC$7&amp;$AA45&amp;$AA40, vw.agedeath, 6, FALSE),0)</f>
        <v>12</v>
      </c>
      <c r="AD45" s="780">
        <f>IFERROR(VLOOKUP(AD$7&amp;$AA45&amp;$AA40, vw.agedeath, 6, FALSE),0)</f>
        <v>14</v>
      </c>
      <c r="AE45" s="780">
        <f>IFERROR(VLOOKUP(AE$7&amp;$AA45&amp;$AA40, vw.agedeath, 6, FALSE),0)</f>
        <v>12</v>
      </c>
      <c r="AF45" s="780">
        <f>IFERROR(VLOOKUP(AF$7&amp;$AA45&amp;$AA40, vw.agedeath, 6, FALSE),0)</f>
        <v>57</v>
      </c>
      <c r="AG45" s="780">
        <f>IFERROR(VLOOKUP(AG$7&amp;$AA45&amp;$AA40, vw.agedeath, 6, FALSE),0)</f>
        <v>95</v>
      </c>
    </row>
    <row r="46" spans="1:46">
      <c r="A46" s="407" t="s">
        <v>383</v>
      </c>
      <c r="B46" s="375">
        <f t="shared" si="39"/>
        <v>1423</v>
      </c>
      <c r="C46" s="365">
        <f t="shared" si="40"/>
        <v>0</v>
      </c>
      <c r="D46" s="365">
        <f t="shared" si="29"/>
        <v>0</v>
      </c>
      <c r="E46" s="365">
        <f t="shared" si="29"/>
        <v>0</v>
      </c>
      <c r="F46" s="365">
        <f t="shared" si="29"/>
        <v>0</v>
      </c>
      <c r="G46" s="377">
        <f t="shared" si="29"/>
        <v>0</v>
      </c>
      <c r="H46" s="383" t="str">
        <f>IFERROR(C46/$G46*100, "-")</f>
        <v>-</v>
      </c>
      <c r="I46" s="383" t="str">
        <f t="shared" ref="I46:K46" si="45">IFERROR(D46/$G46*100, "-")</f>
        <v>-</v>
      </c>
      <c r="J46" s="383" t="str">
        <f t="shared" si="45"/>
        <v>-</v>
      </c>
      <c r="K46" s="383" t="str">
        <f t="shared" si="45"/>
        <v>-</v>
      </c>
      <c r="L46" s="379">
        <f t="shared" si="44"/>
        <v>0</v>
      </c>
      <c r="M46" s="378">
        <f t="shared" si="44"/>
        <v>0</v>
      </c>
      <c r="N46" s="378">
        <f t="shared" si="44"/>
        <v>0</v>
      </c>
      <c r="O46" s="378">
        <f t="shared" si="44"/>
        <v>0</v>
      </c>
      <c r="P46" s="378">
        <f t="shared" si="44"/>
        <v>0</v>
      </c>
      <c r="Q46" s="167"/>
      <c r="R46" s="167"/>
      <c r="S46" s="167"/>
      <c r="T46" s="167"/>
      <c r="U46" s="167"/>
      <c r="AA46" s="289" t="s">
        <v>432</v>
      </c>
      <c r="AB46" s="780">
        <f>BirthsTrend!AQ45</f>
        <v>1423</v>
      </c>
      <c r="AC46" s="780">
        <f>IFERROR(VLOOKUP(AC$7&amp;$AA46&amp;$AA40, vw.agedeath, 6, FALSE),0)</f>
        <v>0</v>
      </c>
      <c r="AD46" s="780">
        <f>IFERROR(VLOOKUP(AD$7&amp;$AA46&amp;$AA40, vw.agedeath, 6, FALSE),0)</f>
        <v>0</v>
      </c>
      <c r="AE46" s="780">
        <f>IFERROR(VLOOKUP(AE$7&amp;$AA46&amp;$AA40, vw.agedeath, 6, FALSE),0)</f>
        <v>0</v>
      </c>
      <c r="AF46" s="780">
        <f>IFERROR(VLOOKUP(AF$7&amp;$AA46&amp;$AA40, vw.agedeath, 6, FALSE),0)</f>
        <v>0</v>
      </c>
      <c r="AG46" s="780">
        <f>IFERROR(VLOOKUP(AG$7&amp;$AA46&amp;$AA40, vw.agedeath, 6, FALSE),0)</f>
        <v>0</v>
      </c>
    </row>
    <row r="47" spans="1:46">
      <c r="A47" s="372" t="s">
        <v>63</v>
      </c>
      <c r="B47" s="380">
        <f t="shared" si="39"/>
        <v>35</v>
      </c>
      <c r="C47" s="465">
        <f t="shared" si="40"/>
        <v>4</v>
      </c>
      <c r="D47" s="465">
        <f t="shared" si="29"/>
        <v>1</v>
      </c>
      <c r="E47" s="465">
        <f t="shared" si="29"/>
        <v>1</v>
      </c>
      <c r="F47" s="465">
        <f t="shared" si="29"/>
        <v>3</v>
      </c>
      <c r="G47" s="377">
        <f t="shared" si="29"/>
        <v>9</v>
      </c>
      <c r="H47" s="465" t="s">
        <v>119</v>
      </c>
      <c r="I47" s="465" t="s">
        <v>119</v>
      </c>
      <c r="J47" s="465" t="s">
        <v>119</v>
      </c>
      <c r="K47" s="466" t="s">
        <v>119</v>
      </c>
      <c r="L47" s="465" t="s">
        <v>119</v>
      </c>
      <c r="M47" s="465" t="s">
        <v>119</v>
      </c>
      <c r="N47" s="465" t="s">
        <v>119</v>
      </c>
      <c r="O47" s="465" t="s">
        <v>119</v>
      </c>
      <c r="P47" s="465" t="s">
        <v>119</v>
      </c>
      <c r="Q47" s="167"/>
      <c r="R47" s="167"/>
      <c r="S47" s="167"/>
      <c r="T47" s="167"/>
      <c r="U47" s="167"/>
      <c r="AA47" s="289" t="s">
        <v>63</v>
      </c>
      <c r="AB47" s="780">
        <f>BirthsTrend!AQ46</f>
        <v>35</v>
      </c>
      <c r="AC47" s="780">
        <f>IFERROR(VLOOKUP(AC$7&amp;$AA47&amp;$AA40, vw.agedeath, 6, FALSE),0)</f>
        <v>4</v>
      </c>
      <c r="AD47" s="780">
        <f>IFERROR(VLOOKUP(AD$7&amp;$AA47&amp;$AA40, vw.agedeath, 6, FALSE),0)</f>
        <v>1</v>
      </c>
      <c r="AE47" s="780">
        <f>IFERROR(VLOOKUP(AE$7&amp;$AA47&amp;$AA40, vw.agedeath, 6, FALSE),0)</f>
        <v>1</v>
      </c>
      <c r="AF47" s="780">
        <f>IFERROR(VLOOKUP(AF$7&amp;$AA47&amp;$AA40, vw.agedeath, 6, FALSE),0)</f>
        <v>3</v>
      </c>
      <c r="AG47" s="780">
        <f>IFERROR(VLOOKUP(AG$7&amp;$AA47&amp;$AA40, vw.agedeath, 6, FALSE),0)</f>
        <v>9</v>
      </c>
    </row>
    <row r="48" spans="1:46">
      <c r="A48" s="273" t="s">
        <v>345</v>
      </c>
      <c r="G48" s="411"/>
    </row>
    <row r="49" spans="1:1">
      <c r="A49" s="59"/>
    </row>
  </sheetData>
  <mergeCells count="6">
    <mergeCell ref="A5:P5"/>
    <mergeCell ref="L6:P6"/>
    <mergeCell ref="B6:B7"/>
    <mergeCell ref="H6:K6"/>
    <mergeCell ref="A6:A7"/>
    <mergeCell ref="C6:G6"/>
  </mergeCells>
  <hyperlinks>
    <hyperlink ref="B1" location="Glossary!A1" display="Glossary" xr:uid="{00000000-0004-0000-0B00-000000000000}"/>
    <hyperlink ref="A1" location="Contents!A1" display="Table of contents" xr:uid="{00000000-0004-0000-0B00-000001000000}"/>
    <hyperlink ref="C1" location="About!A1" display="About the publication" xr:uid="{00000000-0004-0000-0B00-000002000000}"/>
    <hyperlink ref="E1" location="KeyFindings!A1" display="Key findings" xr:uid="{00000000-0004-0000-0B00-000003000000}"/>
  </hyperlinks>
  <pageMargins left="0.70866141732283472" right="0.70866141732283472" top="0.74803149606299213" bottom="0.74803149606299213" header="0.31496062992125984" footer="0.31496062992125984"/>
  <pageSetup paperSize="9" scale="55" fitToHeight="2" orientation="portrait" r:id="rId1"/>
  <headerFooter>
    <oddFooter>&amp;L&amp;"Arial,Regular"&amp;8&amp;K01+019Fetal and Infant Deaths 2016&amp;R&amp;"Arial,Regular"&amp;8&amp;K01+018Page &amp;P of &amp;N</oddFooter>
  </headerFooter>
  <colBreaks count="1" manualBreakCount="1">
    <brk id="16" max="4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W61"/>
  <sheetViews>
    <sheetView zoomScaleNormal="100" workbookViewId="0">
      <pane ySplit="3" topLeftCell="A4" activePane="bottomLeft" state="frozen"/>
      <selection activeCell="AA1" sqref="AA1:AP1048576"/>
      <selection pane="bottomLeft" activeCell="A4" sqref="A4"/>
    </sheetView>
  </sheetViews>
  <sheetFormatPr defaultRowHeight="15"/>
  <cols>
    <col min="1" max="1" width="51.28515625" style="101" customWidth="1"/>
    <col min="2" max="16" width="8" style="575" customWidth="1"/>
    <col min="17" max="19" width="9.140625" style="575" customWidth="1"/>
    <col min="20" max="20" width="19.85546875" style="245" customWidth="1"/>
    <col min="21" max="26" width="9.140625" style="245" customWidth="1"/>
    <col min="27" max="42" width="9.140625" style="289"/>
    <col min="43" max="49" width="9.140625" style="245"/>
    <col min="50" max="16384" width="9.140625" style="575"/>
  </cols>
  <sheetData>
    <row r="1" spans="1:49" s="103" customFormat="1">
      <c r="A1" s="88" t="s">
        <v>158</v>
      </c>
      <c r="B1" s="88" t="s">
        <v>115</v>
      </c>
      <c r="C1" s="88" t="s">
        <v>173</v>
      </c>
      <c r="E1" s="159"/>
      <c r="F1" s="159" t="s">
        <v>353</v>
      </c>
      <c r="G1" s="582"/>
      <c r="Q1" s="65"/>
      <c r="T1" s="516"/>
      <c r="U1" s="516"/>
      <c r="V1" s="516"/>
      <c r="W1" s="516"/>
      <c r="X1" s="516"/>
      <c r="Y1" s="516"/>
      <c r="Z1" s="516"/>
      <c r="AA1" s="515"/>
      <c r="AB1" s="515"/>
      <c r="AC1" s="515"/>
      <c r="AD1" s="515"/>
      <c r="AE1" s="515"/>
      <c r="AF1" s="515"/>
      <c r="AG1" s="515"/>
      <c r="AH1" s="515"/>
      <c r="AI1" s="515"/>
      <c r="AJ1" s="515"/>
      <c r="AK1" s="515"/>
      <c r="AL1" s="515"/>
      <c r="AM1" s="515"/>
      <c r="AN1" s="515"/>
      <c r="AO1" s="515"/>
      <c r="AP1" s="515"/>
      <c r="AQ1" s="516"/>
      <c r="AR1" s="516"/>
      <c r="AS1" s="516"/>
      <c r="AT1" s="516"/>
      <c r="AU1" s="516"/>
      <c r="AV1" s="516"/>
      <c r="AW1" s="516"/>
    </row>
    <row r="2" spans="1:49" s="103" customFormat="1">
      <c r="A2" s="99"/>
      <c r="B2" s="582"/>
      <c r="C2" s="581"/>
      <c r="D2" s="581"/>
      <c r="E2" s="581"/>
      <c r="F2" s="581"/>
      <c r="Q2" s="65"/>
      <c r="T2" s="516"/>
      <c r="U2" s="516"/>
      <c r="V2" s="516"/>
      <c r="W2" s="516"/>
      <c r="X2" s="516"/>
      <c r="Y2" s="516"/>
      <c r="Z2" s="516"/>
      <c r="AA2" s="515"/>
      <c r="AB2" s="515"/>
      <c r="AC2" s="515"/>
      <c r="AD2" s="515"/>
      <c r="AE2" s="515"/>
      <c r="AF2" s="515"/>
      <c r="AG2" s="515"/>
      <c r="AH2" s="515"/>
      <c r="AI2" s="515"/>
      <c r="AJ2" s="515"/>
      <c r="AK2" s="515"/>
      <c r="AL2" s="515"/>
      <c r="AM2" s="515"/>
      <c r="AN2" s="515"/>
      <c r="AO2" s="515"/>
      <c r="AP2" s="515"/>
      <c r="AQ2" s="516"/>
      <c r="AR2" s="516"/>
      <c r="AS2" s="516"/>
      <c r="AT2" s="516"/>
      <c r="AU2" s="516"/>
      <c r="AV2" s="516"/>
      <c r="AW2" s="516"/>
    </row>
    <row r="3" spans="1:49" s="103" customFormat="1" ht="20.25">
      <c r="A3" s="100" t="s">
        <v>270</v>
      </c>
      <c r="B3" s="65"/>
      <c r="C3" s="65"/>
      <c r="D3" s="65"/>
      <c r="E3" s="65"/>
      <c r="F3" s="65"/>
      <c r="G3" s="69"/>
      <c r="H3" s="65"/>
      <c r="I3" s="65"/>
      <c r="J3" s="65"/>
      <c r="K3" s="65"/>
      <c r="L3" s="65"/>
      <c r="M3" s="65"/>
      <c r="N3" s="65"/>
      <c r="O3" s="65"/>
      <c r="P3" s="65"/>
      <c r="Q3" s="65"/>
      <c r="T3" s="516"/>
      <c r="U3" s="516"/>
      <c r="V3" s="516"/>
      <c r="W3" s="516"/>
      <c r="X3" s="516"/>
      <c r="Y3" s="516"/>
      <c r="Z3" s="516"/>
      <c r="AA3" s="515"/>
      <c r="AB3" s="515"/>
      <c r="AC3" s="515"/>
      <c r="AD3" s="515"/>
      <c r="AE3" s="515"/>
      <c r="AF3" s="515"/>
      <c r="AG3" s="515"/>
      <c r="AH3" s="515"/>
      <c r="AI3" s="515"/>
      <c r="AJ3" s="515"/>
      <c r="AK3" s="515"/>
      <c r="AL3" s="515"/>
      <c r="AM3" s="515"/>
      <c r="AN3" s="515"/>
      <c r="AO3" s="515"/>
      <c r="AP3" s="515"/>
      <c r="AQ3" s="516"/>
      <c r="AR3" s="516"/>
      <c r="AS3" s="516"/>
      <c r="AT3" s="516"/>
      <c r="AU3" s="516"/>
      <c r="AV3" s="516"/>
      <c r="AW3" s="516"/>
    </row>
    <row r="4" spans="1:49" s="548" customFormat="1">
      <c r="A4" s="288"/>
      <c r="B4" s="85"/>
      <c r="C4" s="85"/>
      <c r="D4" s="85"/>
      <c r="E4" s="85"/>
      <c r="F4" s="85"/>
      <c r="G4" s="85"/>
      <c r="H4" s="85"/>
      <c r="I4" s="85"/>
      <c r="J4" s="85"/>
      <c r="K4" s="85"/>
      <c r="L4" s="85"/>
      <c r="M4" s="85"/>
      <c r="N4" s="85"/>
      <c r="O4" s="85"/>
      <c r="P4" s="85"/>
      <c r="Q4" s="85"/>
      <c r="T4" s="243"/>
      <c r="U4" s="243"/>
      <c r="V4" s="243"/>
      <c r="W4" s="243"/>
      <c r="X4" s="243"/>
      <c r="Y4" s="243"/>
      <c r="Z4" s="243"/>
      <c r="AA4" s="780"/>
      <c r="AB4" s="780"/>
      <c r="AC4" s="780"/>
      <c r="AD4" s="780"/>
      <c r="AE4" s="780"/>
      <c r="AF4" s="780"/>
      <c r="AG4" s="780"/>
      <c r="AH4" s="780"/>
      <c r="AI4" s="780"/>
      <c r="AJ4" s="780"/>
      <c r="AK4" s="780"/>
      <c r="AL4" s="780"/>
      <c r="AM4" s="780"/>
      <c r="AN4" s="780"/>
      <c r="AO4" s="780"/>
      <c r="AP4" s="780"/>
      <c r="AQ4" s="243"/>
      <c r="AR4" s="243"/>
      <c r="AS4" s="243"/>
      <c r="AT4" s="243"/>
      <c r="AU4" s="243"/>
      <c r="AV4" s="243"/>
      <c r="AW4" s="243"/>
    </row>
    <row r="5" spans="1:49" s="548" customFormat="1" ht="22.5" customHeight="1">
      <c r="A5" s="932" t="str">
        <f>Contents!E20</f>
        <v xml:space="preserve">Table 16: Number, percentage and rate of fetal deaths by ICD chapter of underlying cause of death, 2012–2016
</v>
      </c>
      <c r="B5" s="932"/>
      <c r="C5" s="932"/>
      <c r="D5" s="932"/>
      <c r="E5" s="932"/>
      <c r="F5" s="932"/>
      <c r="G5" s="932"/>
      <c r="H5" s="932"/>
      <c r="I5" s="932"/>
      <c r="J5" s="932"/>
      <c r="K5" s="932"/>
      <c r="L5" s="932"/>
      <c r="M5" s="932"/>
      <c r="N5" s="932"/>
      <c r="O5" s="932"/>
      <c r="P5" s="932"/>
      <c r="Q5" s="617"/>
      <c r="T5" s="243"/>
      <c r="U5" s="243"/>
      <c r="V5" s="243"/>
      <c r="W5" s="243"/>
      <c r="X5" s="243"/>
      <c r="Y5" s="243"/>
      <c r="Z5" s="243"/>
      <c r="AA5" s="780"/>
      <c r="AB5" s="780" t="s">
        <v>420</v>
      </c>
      <c r="AC5" s="780"/>
      <c r="AD5" s="780"/>
      <c r="AE5" s="780"/>
      <c r="AF5" s="780"/>
      <c r="AG5" s="780"/>
      <c r="AH5" s="780"/>
      <c r="AI5" s="780"/>
      <c r="AJ5" s="780"/>
      <c r="AK5" s="780"/>
      <c r="AL5" s="780"/>
      <c r="AM5" s="780"/>
      <c r="AN5" s="780"/>
      <c r="AO5" s="780"/>
      <c r="AP5" s="780"/>
      <c r="AQ5" s="243"/>
      <c r="AR5" s="243"/>
      <c r="AS5" s="243"/>
      <c r="AT5" s="243"/>
      <c r="AU5" s="243"/>
      <c r="AV5" s="243"/>
      <c r="AW5" s="243"/>
    </row>
    <row r="6" spans="1:49">
      <c r="A6" s="933" t="s">
        <v>327</v>
      </c>
      <c r="B6" s="920" t="s">
        <v>266</v>
      </c>
      <c r="C6" s="920"/>
      <c r="D6" s="920"/>
      <c r="E6" s="920"/>
      <c r="F6" s="935"/>
      <c r="G6" s="936" t="s">
        <v>267</v>
      </c>
      <c r="H6" s="920"/>
      <c r="I6" s="920"/>
      <c r="J6" s="920"/>
      <c r="K6" s="935"/>
      <c r="L6" s="937" t="s">
        <v>328</v>
      </c>
      <c r="M6" s="937"/>
      <c r="N6" s="937"/>
      <c r="O6" s="937"/>
      <c r="P6" s="937"/>
      <c r="Q6" s="168"/>
      <c r="AB6" s="289" t="s">
        <v>416</v>
      </c>
      <c r="AG6" s="289" t="s">
        <v>497</v>
      </c>
      <c r="AL6" s="289" t="s">
        <v>418</v>
      </c>
    </row>
    <row r="7" spans="1:49">
      <c r="A7" s="934"/>
      <c r="B7" s="576">
        <f>AB7</f>
        <v>2012</v>
      </c>
      <c r="C7" s="576">
        <f t="shared" ref="C7:P7" si="0">AC7</f>
        <v>2013</v>
      </c>
      <c r="D7" s="576">
        <f t="shared" si="0"/>
        <v>2014</v>
      </c>
      <c r="E7" s="576">
        <f t="shared" si="0"/>
        <v>2015</v>
      </c>
      <c r="F7" s="577">
        <f t="shared" si="0"/>
        <v>2016</v>
      </c>
      <c r="G7" s="576">
        <f t="shared" si="0"/>
        <v>2012</v>
      </c>
      <c r="H7" s="576">
        <f t="shared" si="0"/>
        <v>2013</v>
      </c>
      <c r="I7" s="576">
        <f t="shared" si="0"/>
        <v>2014</v>
      </c>
      <c r="J7" s="576">
        <f t="shared" si="0"/>
        <v>2015</v>
      </c>
      <c r="K7" s="577">
        <f t="shared" si="0"/>
        <v>2016</v>
      </c>
      <c r="L7" s="576">
        <f t="shared" si="0"/>
        <v>2012</v>
      </c>
      <c r="M7" s="576">
        <f t="shared" si="0"/>
        <v>2013</v>
      </c>
      <c r="N7" s="576">
        <f t="shared" si="0"/>
        <v>2014</v>
      </c>
      <c r="O7" s="576">
        <f t="shared" si="0"/>
        <v>2015</v>
      </c>
      <c r="P7" s="576">
        <f t="shared" si="0"/>
        <v>2016</v>
      </c>
      <c r="Q7" s="168"/>
      <c r="AB7" s="289">
        <f>Ref!B33</f>
        <v>2012</v>
      </c>
      <c r="AC7" s="289">
        <f>Ref!C33</f>
        <v>2013</v>
      </c>
      <c r="AD7" s="289">
        <f>Ref!D33</f>
        <v>2014</v>
      </c>
      <c r="AE7" s="289">
        <f>Ref!E33</f>
        <v>2015</v>
      </c>
      <c r="AF7" s="289">
        <f>Ref!F33</f>
        <v>2016</v>
      </c>
      <c r="AG7" s="289">
        <f>AB7</f>
        <v>2012</v>
      </c>
      <c r="AH7" s="289">
        <f t="shared" ref="AH7:AK7" si="1">AC7</f>
        <v>2013</v>
      </c>
      <c r="AI7" s="289">
        <f t="shared" si="1"/>
        <v>2014</v>
      </c>
      <c r="AJ7" s="289">
        <f t="shared" si="1"/>
        <v>2015</v>
      </c>
      <c r="AK7" s="289">
        <f t="shared" si="1"/>
        <v>2016</v>
      </c>
      <c r="AL7" s="289">
        <f>AG7</f>
        <v>2012</v>
      </c>
      <c r="AM7" s="289">
        <f t="shared" ref="AM7:AP7" si="2">AH7</f>
        <v>2013</v>
      </c>
      <c r="AN7" s="289">
        <f t="shared" si="2"/>
        <v>2014</v>
      </c>
      <c r="AO7" s="289">
        <f t="shared" si="2"/>
        <v>2015</v>
      </c>
      <c r="AP7" s="289">
        <f t="shared" si="2"/>
        <v>2016</v>
      </c>
    </row>
    <row r="8" spans="1:49">
      <c r="A8" s="583" t="s">
        <v>56</v>
      </c>
      <c r="B8" s="584">
        <f>AB8</f>
        <v>0</v>
      </c>
      <c r="C8" s="584">
        <f t="shared" ref="C8:P11" si="3">AC8</f>
        <v>0</v>
      </c>
      <c r="D8" s="584">
        <f t="shared" si="3"/>
        <v>0</v>
      </c>
      <c r="E8" s="584">
        <f t="shared" si="3"/>
        <v>0</v>
      </c>
      <c r="F8" s="585">
        <f t="shared" si="3"/>
        <v>0</v>
      </c>
      <c r="G8" s="586">
        <f t="shared" si="3"/>
        <v>0</v>
      </c>
      <c r="H8" s="586">
        <f t="shared" si="3"/>
        <v>0</v>
      </c>
      <c r="I8" s="586">
        <f t="shared" si="3"/>
        <v>0</v>
      </c>
      <c r="J8" s="586">
        <f t="shared" si="3"/>
        <v>0</v>
      </c>
      <c r="K8" s="587">
        <f t="shared" si="3"/>
        <v>0</v>
      </c>
      <c r="L8" s="586">
        <f t="shared" si="3"/>
        <v>0</v>
      </c>
      <c r="M8" s="586">
        <f t="shared" si="3"/>
        <v>0</v>
      </c>
      <c r="N8" s="586">
        <f t="shared" si="3"/>
        <v>0</v>
      </c>
      <c r="O8" s="586">
        <f t="shared" si="3"/>
        <v>0</v>
      </c>
      <c r="P8" s="586">
        <f t="shared" si="3"/>
        <v>0</v>
      </c>
      <c r="Q8" s="168"/>
      <c r="AA8" s="289" t="s">
        <v>498</v>
      </c>
      <c r="AB8" s="289">
        <f t="shared" ref="AB8:AB28" si="4">IFERROR(VLOOKUP($AB$7&amp;AA8&amp;$AB$5, vw.cod.trend, 4, FALSE),0)</f>
        <v>0</v>
      </c>
      <c r="AC8" s="289">
        <f t="shared" ref="AC8:AC28" si="5">IFERROR(VLOOKUP($AC$7&amp;AA8&amp;$AB$5, vw.cod.trend, 4, FALSE),0)</f>
        <v>0</v>
      </c>
      <c r="AD8" s="289">
        <f t="shared" ref="AD8:AD28" si="6">IFERROR(VLOOKUP($AD$7&amp;AA8&amp;$AB$5, vw.cod.trend, 4, FALSE),0)</f>
        <v>0</v>
      </c>
      <c r="AE8" s="289">
        <f t="shared" ref="AE8:AE28" si="7">IFERROR(VLOOKUP($AE$7&amp;AA8&amp;$AB$5, vw.cod.trend, 4, FALSE),0)</f>
        <v>0</v>
      </c>
      <c r="AF8" s="289">
        <f t="shared" ref="AF8:AF28" si="8">IFERROR(VLOOKUP($AF$7&amp;AA8&amp;$AB$5, vw.cod.trend, 4, FALSE),0)</f>
        <v>0</v>
      </c>
      <c r="AG8" s="289">
        <f t="shared" ref="AG8:AG28" si="9">IFERROR(VLOOKUP($AG$7&amp;AA8&amp;$AB$5, vw.cod.trend, 5, FALSE),0)</f>
        <v>0</v>
      </c>
      <c r="AH8" s="289">
        <f t="shared" ref="AH8:AH28" si="10">IFERROR(VLOOKUP($AH$7&amp;AA8&amp;$AB$5, vw.cod.trend, 5, FALSE),0)</f>
        <v>0</v>
      </c>
      <c r="AI8" s="289">
        <f t="shared" ref="AI8:AI28" si="11">IFERROR(VLOOKUP($AI$7&amp;AA8&amp;$AB$5, vw.cod.trend, 5, FALSE),0)</f>
        <v>0</v>
      </c>
      <c r="AJ8" s="289">
        <f t="shared" ref="AJ8:AJ28" si="12">IFERROR(VLOOKUP($AJ$7&amp;AA8&amp;$AB$5, vw.cod.trend, 5, FALSE),0)</f>
        <v>0</v>
      </c>
      <c r="AK8" s="289">
        <f t="shared" ref="AK8:AK28" si="13">IFERROR(VLOOKUP($AK$7&amp;AA8&amp;$AB$5, vw.cod.trend, 5, FALSE),0)</f>
        <v>0</v>
      </c>
      <c r="AL8" s="289">
        <f t="shared" ref="AL8:AL28" si="14">IFERROR(VLOOKUP($AL$7&amp;AA8&amp;$AB$5, vw.cod.trend, 6, FALSE),0)</f>
        <v>0</v>
      </c>
      <c r="AM8" s="289">
        <f t="shared" ref="AM8:AM28" si="15">IFERROR(VLOOKUP($AM$7&amp;AA8&amp;$AB$5, vw.cod.trend, 6, FALSE),0)</f>
        <v>0</v>
      </c>
      <c r="AN8" s="289">
        <f t="shared" ref="AN8:AN28" si="16">IFERROR(VLOOKUP($AN$7&amp;AA8&amp;$AB$5, vw.cod.trend, 6, FALSE),0)</f>
        <v>0</v>
      </c>
      <c r="AO8" s="289">
        <f t="shared" ref="AO8:AO28" si="17">IFERROR(VLOOKUP($AO$7&amp;AA8&amp;$AB$5, vw.cod.trend, 6, FALSE),0)</f>
        <v>0</v>
      </c>
      <c r="AP8" s="289">
        <f t="shared" ref="AP8:AP28" si="18">IFERROR(VLOOKUP($AP$7&amp;AA8&amp;$AB$5, vw.cod.trend, 6, FALSE),0)</f>
        <v>0</v>
      </c>
    </row>
    <row r="9" spans="1:49">
      <c r="A9" s="583" t="s">
        <v>53</v>
      </c>
      <c r="B9" s="584">
        <f>AB9</f>
        <v>5</v>
      </c>
      <c r="C9" s="584">
        <f t="shared" si="3"/>
        <v>1</v>
      </c>
      <c r="D9" s="584">
        <f t="shared" si="3"/>
        <v>2</v>
      </c>
      <c r="E9" s="584">
        <f t="shared" si="3"/>
        <v>2</v>
      </c>
      <c r="F9" s="585">
        <f t="shared" si="3"/>
        <v>0</v>
      </c>
      <c r="G9" s="586">
        <f t="shared" si="3"/>
        <v>1.1000000000000001</v>
      </c>
      <c r="H9" s="586">
        <f t="shared" si="3"/>
        <v>0.3</v>
      </c>
      <c r="I9" s="586">
        <f t="shared" si="3"/>
        <v>0.4</v>
      </c>
      <c r="J9" s="586">
        <f t="shared" si="3"/>
        <v>0.5</v>
      </c>
      <c r="K9" s="587">
        <f t="shared" si="3"/>
        <v>0</v>
      </c>
      <c r="L9" s="747">
        <f t="shared" si="3"/>
        <v>0.08</v>
      </c>
      <c r="M9" s="747">
        <f t="shared" si="3"/>
        <v>0.02</v>
      </c>
      <c r="N9" s="747">
        <f t="shared" si="3"/>
        <v>0.03</v>
      </c>
      <c r="O9" s="747">
        <f t="shared" si="3"/>
        <v>0.03</v>
      </c>
      <c r="P9" s="747">
        <f t="shared" si="3"/>
        <v>0</v>
      </c>
      <c r="Q9" s="168"/>
      <c r="T9" s="661"/>
      <c r="U9" s="661"/>
      <c r="AA9" s="289" t="s">
        <v>499</v>
      </c>
      <c r="AB9" s="289">
        <f t="shared" si="4"/>
        <v>5</v>
      </c>
      <c r="AC9" s="289">
        <f t="shared" si="5"/>
        <v>1</v>
      </c>
      <c r="AD9" s="289">
        <f t="shared" si="6"/>
        <v>2</v>
      </c>
      <c r="AE9" s="289">
        <f t="shared" si="7"/>
        <v>2</v>
      </c>
      <c r="AF9" s="289">
        <f t="shared" si="8"/>
        <v>0</v>
      </c>
      <c r="AG9" s="289">
        <f t="shared" si="9"/>
        <v>1.1000000000000001</v>
      </c>
      <c r="AH9" s="289">
        <f t="shared" si="10"/>
        <v>0.3</v>
      </c>
      <c r="AI9" s="289">
        <f t="shared" si="11"/>
        <v>0.4</v>
      </c>
      <c r="AJ9" s="289">
        <f t="shared" si="12"/>
        <v>0.5</v>
      </c>
      <c r="AK9" s="289">
        <f t="shared" si="13"/>
        <v>0</v>
      </c>
      <c r="AL9" s="289">
        <f t="shared" si="14"/>
        <v>0.08</v>
      </c>
      <c r="AM9" s="289">
        <f t="shared" si="15"/>
        <v>0.02</v>
      </c>
      <c r="AN9" s="289">
        <f t="shared" si="16"/>
        <v>0.03</v>
      </c>
      <c r="AO9" s="289">
        <f t="shared" si="17"/>
        <v>0.03</v>
      </c>
      <c r="AP9" s="289">
        <f t="shared" si="18"/>
        <v>0</v>
      </c>
    </row>
    <row r="10" spans="1:49" ht="25.5">
      <c r="A10" s="583" t="s">
        <v>215</v>
      </c>
      <c r="B10" s="584">
        <f>AB10</f>
        <v>1</v>
      </c>
      <c r="C10" s="584">
        <f t="shared" si="3"/>
        <v>0</v>
      </c>
      <c r="D10" s="584">
        <f t="shared" si="3"/>
        <v>1</v>
      </c>
      <c r="E10" s="584">
        <f t="shared" si="3"/>
        <v>0</v>
      </c>
      <c r="F10" s="585">
        <f t="shared" si="3"/>
        <v>0</v>
      </c>
      <c r="G10" s="586">
        <f t="shared" si="3"/>
        <v>0.2</v>
      </c>
      <c r="H10" s="586">
        <f t="shared" si="3"/>
        <v>0</v>
      </c>
      <c r="I10" s="586">
        <f t="shared" si="3"/>
        <v>0.2</v>
      </c>
      <c r="J10" s="586">
        <f t="shared" si="3"/>
        <v>0</v>
      </c>
      <c r="K10" s="587">
        <f t="shared" si="3"/>
        <v>0</v>
      </c>
      <c r="L10" s="747">
        <f t="shared" si="3"/>
        <v>0.02</v>
      </c>
      <c r="M10" s="747">
        <f t="shared" si="3"/>
        <v>0</v>
      </c>
      <c r="N10" s="747">
        <f t="shared" si="3"/>
        <v>0.02</v>
      </c>
      <c r="O10" s="747">
        <f t="shared" si="3"/>
        <v>0</v>
      </c>
      <c r="P10" s="747">
        <f t="shared" si="3"/>
        <v>0</v>
      </c>
      <c r="Q10" s="168"/>
      <c r="T10" s="661"/>
      <c r="U10" s="661"/>
      <c r="AA10" s="289" t="s">
        <v>500</v>
      </c>
      <c r="AB10" s="289">
        <f t="shared" si="4"/>
        <v>1</v>
      </c>
      <c r="AC10" s="289">
        <f t="shared" si="5"/>
        <v>0</v>
      </c>
      <c r="AD10" s="289">
        <f t="shared" si="6"/>
        <v>1</v>
      </c>
      <c r="AE10" s="289">
        <f t="shared" si="7"/>
        <v>0</v>
      </c>
      <c r="AF10" s="289">
        <f t="shared" si="8"/>
        <v>0</v>
      </c>
      <c r="AG10" s="289">
        <f t="shared" si="9"/>
        <v>0.2</v>
      </c>
      <c r="AH10" s="289">
        <f t="shared" si="10"/>
        <v>0</v>
      </c>
      <c r="AI10" s="289">
        <f t="shared" si="11"/>
        <v>0.2</v>
      </c>
      <c r="AJ10" s="289">
        <f t="shared" si="12"/>
        <v>0</v>
      </c>
      <c r="AK10" s="289">
        <f t="shared" si="13"/>
        <v>0</v>
      </c>
      <c r="AL10" s="289">
        <f t="shared" si="14"/>
        <v>0.02</v>
      </c>
      <c r="AM10" s="289">
        <f t="shared" si="15"/>
        <v>0</v>
      </c>
      <c r="AN10" s="289">
        <f t="shared" si="16"/>
        <v>0.02</v>
      </c>
      <c r="AO10" s="289">
        <f t="shared" si="17"/>
        <v>0</v>
      </c>
      <c r="AP10" s="802">
        <f t="shared" si="18"/>
        <v>0</v>
      </c>
    </row>
    <row r="11" spans="1:49">
      <c r="A11" s="583" t="s">
        <v>57</v>
      </c>
      <c r="B11" s="584">
        <f>AB11</f>
        <v>0</v>
      </c>
      <c r="C11" s="584">
        <f t="shared" si="3"/>
        <v>0</v>
      </c>
      <c r="D11" s="584">
        <f t="shared" si="3"/>
        <v>1</v>
      </c>
      <c r="E11" s="584">
        <f t="shared" si="3"/>
        <v>0</v>
      </c>
      <c r="F11" s="585">
        <f t="shared" si="3"/>
        <v>1</v>
      </c>
      <c r="G11" s="586">
        <f t="shared" si="3"/>
        <v>0</v>
      </c>
      <c r="H11" s="586">
        <f t="shared" si="3"/>
        <v>0</v>
      </c>
      <c r="I11" s="586">
        <f t="shared" si="3"/>
        <v>0.2</v>
      </c>
      <c r="J11" s="586">
        <f t="shared" si="3"/>
        <v>0</v>
      </c>
      <c r="K11" s="587">
        <f t="shared" si="3"/>
        <v>0.2</v>
      </c>
      <c r="L11" s="747">
        <f t="shared" si="3"/>
        <v>0</v>
      </c>
      <c r="M11" s="747">
        <f t="shared" si="3"/>
        <v>0</v>
      </c>
      <c r="N11" s="747">
        <f t="shared" si="3"/>
        <v>0.02</v>
      </c>
      <c r="O11" s="747">
        <f t="shared" si="3"/>
        <v>0</v>
      </c>
      <c r="P11" s="747">
        <f t="shared" si="3"/>
        <v>1.643E-2</v>
      </c>
      <c r="Q11" s="168"/>
      <c r="T11" s="661"/>
      <c r="U11" s="661"/>
      <c r="AA11" s="289" t="s">
        <v>501</v>
      </c>
      <c r="AB11" s="289">
        <f t="shared" si="4"/>
        <v>0</v>
      </c>
      <c r="AC11" s="289">
        <f t="shared" si="5"/>
        <v>0</v>
      </c>
      <c r="AD11" s="289">
        <f t="shared" si="6"/>
        <v>1</v>
      </c>
      <c r="AE11" s="289">
        <f t="shared" si="7"/>
        <v>0</v>
      </c>
      <c r="AF11" s="289">
        <f t="shared" si="8"/>
        <v>1</v>
      </c>
      <c r="AG11" s="289">
        <f t="shared" si="9"/>
        <v>0</v>
      </c>
      <c r="AH11" s="289">
        <f t="shared" si="10"/>
        <v>0</v>
      </c>
      <c r="AI11" s="289">
        <f t="shared" si="11"/>
        <v>0.2</v>
      </c>
      <c r="AJ11" s="289">
        <f t="shared" si="12"/>
        <v>0</v>
      </c>
      <c r="AK11" s="289">
        <f t="shared" si="13"/>
        <v>0.2</v>
      </c>
      <c r="AL11" s="289">
        <f t="shared" si="14"/>
        <v>0</v>
      </c>
      <c r="AM11" s="289">
        <f t="shared" si="15"/>
        <v>0</v>
      </c>
      <c r="AN11" s="289">
        <f t="shared" si="16"/>
        <v>0.02</v>
      </c>
      <c r="AO11" s="289">
        <f t="shared" si="17"/>
        <v>0</v>
      </c>
      <c r="AP11" s="289">
        <f t="shared" si="18"/>
        <v>1.643E-2</v>
      </c>
    </row>
    <row r="12" spans="1:49">
      <c r="A12" s="583" t="s">
        <v>59</v>
      </c>
      <c r="B12" s="584">
        <f>AB16</f>
        <v>1</v>
      </c>
      <c r="C12" s="584">
        <f t="shared" ref="C12:P12" si="19">AC16</f>
        <v>0</v>
      </c>
      <c r="D12" s="584">
        <f t="shared" si="19"/>
        <v>0</v>
      </c>
      <c r="E12" s="584">
        <f t="shared" si="19"/>
        <v>0</v>
      </c>
      <c r="F12" s="585">
        <f t="shared" si="19"/>
        <v>1</v>
      </c>
      <c r="G12" s="586">
        <f t="shared" si="19"/>
        <v>0.2</v>
      </c>
      <c r="H12" s="586">
        <f t="shared" si="19"/>
        <v>0</v>
      </c>
      <c r="I12" s="586">
        <f t="shared" si="19"/>
        <v>0</v>
      </c>
      <c r="J12" s="586">
        <f t="shared" si="19"/>
        <v>0</v>
      </c>
      <c r="K12" s="587">
        <f t="shared" si="19"/>
        <v>0.2</v>
      </c>
      <c r="L12" s="747">
        <f t="shared" si="19"/>
        <v>0.02</v>
      </c>
      <c r="M12" s="747">
        <f t="shared" si="19"/>
        <v>0</v>
      </c>
      <c r="N12" s="747">
        <f t="shared" si="19"/>
        <v>0</v>
      </c>
      <c r="O12" s="747">
        <f t="shared" si="19"/>
        <v>0</v>
      </c>
      <c r="P12" s="747">
        <f t="shared" si="19"/>
        <v>1.643E-2</v>
      </c>
      <c r="Q12" s="168"/>
      <c r="T12" s="661"/>
      <c r="U12" s="661"/>
      <c r="AA12" s="289" t="s">
        <v>502</v>
      </c>
      <c r="AB12" s="289">
        <f t="shared" si="4"/>
        <v>0</v>
      </c>
      <c r="AC12" s="289">
        <f t="shared" si="5"/>
        <v>0</v>
      </c>
      <c r="AD12" s="289">
        <f t="shared" si="6"/>
        <v>0</v>
      </c>
      <c r="AE12" s="289">
        <f t="shared" si="7"/>
        <v>0</v>
      </c>
      <c r="AF12" s="289">
        <f t="shared" si="8"/>
        <v>0</v>
      </c>
      <c r="AG12" s="289">
        <f t="shared" si="9"/>
        <v>0</v>
      </c>
      <c r="AH12" s="289">
        <f t="shared" si="10"/>
        <v>0</v>
      </c>
      <c r="AI12" s="289">
        <f t="shared" si="11"/>
        <v>0</v>
      </c>
      <c r="AJ12" s="289">
        <f t="shared" si="12"/>
        <v>0</v>
      </c>
      <c r="AK12" s="289">
        <f t="shared" si="13"/>
        <v>0</v>
      </c>
      <c r="AL12" s="289">
        <f t="shared" si="14"/>
        <v>0</v>
      </c>
      <c r="AM12" s="289">
        <f t="shared" si="15"/>
        <v>0</v>
      </c>
      <c r="AN12" s="289">
        <f t="shared" si="16"/>
        <v>0</v>
      </c>
      <c r="AO12" s="289">
        <f t="shared" si="17"/>
        <v>0</v>
      </c>
      <c r="AP12" s="289">
        <f t="shared" si="18"/>
        <v>0</v>
      </c>
    </row>
    <row r="13" spans="1:49" ht="18" customHeight="1">
      <c r="A13" s="583" t="s">
        <v>54</v>
      </c>
      <c r="B13" s="584">
        <f>AB22</f>
        <v>313</v>
      </c>
      <c r="C13" s="584">
        <f t="shared" ref="C13:P14" si="20">AC22</f>
        <v>298</v>
      </c>
      <c r="D13" s="584">
        <f t="shared" si="20"/>
        <v>320</v>
      </c>
      <c r="E13" s="584">
        <f t="shared" si="20"/>
        <v>286</v>
      </c>
      <c r="F13" s="585">
        <f t="shared" si="20"/>
        <v>292</v>
      </c>
      <c r="G13" s="586">
        <f t="shared" si="20"/>
        <v>69.900000000000006</v>
      </c>
      <c r="H13" s="586">
        <f t="shared" si="20"/>
        <v>75.8</v>
      </c>
      <c r="I13" s="586">
        <f t="shared" si="20"/>
        <v>71.599999999999994</v>
      </c>
      <c r="J13" s="586">
        <f t="shared" si="20"/>
        <v>74.5</v>
      </c>
      <c r="K13" s="587">
        <f t="shared" si="20"/>
        <v>70.7</v>
      </c>
      <c r="L13" s="586">
        <f t="shared" si="20"/>
        <v>5.01</v>
      </c>
      <c r="M13" s="586">
        <f t="shared" si="20"/>
        <v>4.96</v>
      </c>
      <c r="N13" s="586">
        <f t="shared" si="20"/>
        <v>5.45</v>
      </c>
      <c r="O13" s="586">
        <f t="shared" si="20"/>
        <v>4.58</v>
      </c>
      <c r="P13" s="586">
        <f t="shared" si="20"/>
        <v>4.7987599999999997</v>
      </c>
      <c r="Q13" s="622"/>
      <c r="T13" s="661"/>
      <c r="U13" s="661"/>
      <c r="AA13" s="289" t="s">
        <v>503</v>
      </c>
      <c r="AB13" s="289">
        <f t="shared" si="4"/>
        <v>0</v>
      </c>
      <c r="AC13" s="289">
        <f t="shared" si="5"/>
        <v>0</v>
      </c>
      <c r="AD13" s="780">
        <f t="shared" si="6"/>
        <v>0</v>
      </c>
      <c r="AE13" s="289">
        <f t="shared" si="7"/>
        <v>0</v>
      </c>
      <c r="AF13" s="289">
        <f t="shared" si="8"/>
        <v>0</v>
      </c>
      <c r="AG13" s="289">
        <f t="shared" si="9"/>
        <v>0</v>
      </c>
      <c r="AH13" s="289">
        <f t="shared" si="10"/>
        <v>0</v>
      </c>
      <c r="AI13" s="289">
        <f t="shared" si="11"/>
        <v>0</v>
      </c>
      <c r="AJ13" s="289">
        <f t="shared" si="12"/>
        <v>0</v>
      </c>
      <c r="AK13" s="289">
        <f t="shared" si="13"/>
        <v>0</v>
      </c>
      <c r="AL13" s="289">
        <f t="shared" si="14"/>
        <v>0</v>
      </c>
      <c r="AM13" s="289">
        <f t="shared" si="15"/>
        <v>0</v>
      </c>
      <c r="AN13" s="289">
        <f t="shared" si="16"/>
        <v>0</v>
      </c>
      <c r="AO13" s="289">
        <f t="shared" si="17"/>
        <v>0</v>
      </c>
      <c r="AP13" s="289">
        <f t="shared" si="18"/>
        <v>0</v>
      </c>
    </row>
    <row r="14" spans="1:49" s="98" customFormat="1" ht="25.5">
      <c r="A14" s="583" t="s">
        <v>399</v>
      </c>
      <c r="B14" s="584">
        <f>AB23</f>
        <v>128</v>
      </c>
      <c r="C14" s="584">
        <f t="shared" si="20"/>
        <v>94</v>
      </c>
      <c r="D14" s="584">
        <f t="shared" si="20"/>
        <v>123</v>
      </c>
      <c r="E14" s="584">
        <f t="shared" si="20"/>
        <v>96</v>
      </c>
      <c r="F14" s="585">
        <f t="shared" si="20"/>
        <v>119</v>
      </c>
      <c r="G14" s="586">
        <f t="shared" si="20"/>
        <v>28.6</v>
      </c>
      <c r="H14" s="586">
        <f t="shared" si="20"/>
        <v>23.9</v>
      </c>
      <c r="I14" s="586">
        <f t="shared" si="20"/>
        <v>27.5</v>
      </c>
      <c r="J14" s="586">
        <f t="shared" si="20"/>
        <v>25</v>
      </c>
      <c r="K14" s="587">
        <f t="shared" si="20"/>
        <v>28.8</v>
      </c>
      <c r="L14" s="586">
        <f t="shared" si="20"/>
        <v>2.0499999999999998</v>
      </c>
      <c r="M14" s="586">
        <f t="shared" si="20"/>
        <v>1.56</v>
      </c>
      <c r="N14" s="586">
        <f t="shared" si="20"/>
        <v>2.09</v>
      </c>
      <c r="O14" s="586">
        <f t="shared" si="20"/>
        <v>1.54</v>
      </c>
      <c r="P14" s="586">
        <f t="shared" si="20"/>
        <v>1.95566</v>
      </c>
      <c r="Q14" s="168"/>
      <c r="R14" s="575"/>
      <c r="S14" s="575"/>
      <c r="T14" s="245"/>
      <c r="U14" s="245"/>
      <c r="V14" s="245"/>
      <c r="W14" s="245"/>
      <c r="X14" s="245"/>
      <c r="Y14" s="245"/>
      <c r="Z14" s="245"/>
      <c r="AA14" s="289" t="s">
        <v>504</v>
      </c>
      <c r="AB14" s="289">
        <f t="shared" si="4"/>
        <v>0</v>
      </c>
      <c r="AC14" s="289">
        <f t="shared" si="5"/>
        <v>0</v>
      </c>
      <c r="AD14" s="289">
        <f t="shared" si="6"/>
        <v>0</v>
      </c>
      <c r="AE14" s="289">
        <f t="shared" si="7"/>
        <v>0</v>
      </c>
      <c r="AF14" s="289">
        <f t="shared" si="8"/>
        <v>0</v>
      </c>
      <c r="AG14" s="289">
        <f t="shared" si="9"/>
        <v>0</v>
      </c>
      <c r="AH14" s="289">
        <f t="shared" si="10"/>
        <v>0</v>
      </c>
      <c r="AI14" s="289">
        <f t="shared" si="11"/>
        <v>0</v>
      </c>
      <c r="AJ14" s="289">
        <f t="shared" si="12"/>
        <v>0</v>
      </c>
      <c r="AK14" s="289">
        <f t="shared" si="13"/>
        <v>0</v>
      </c>
      <c r="AL14" s="289">
        <f t="shared" si="14"/>
        <v>0</v>
      </c>
      <c r="AM14" s="289">
        <f t="shared" si="15"/>
        <v>0</v>
      </c>
      <c r="AN14" s="289">
        <f t="shared" si="16"/>
        <v>0</v>
      </c>
      <c r="AO14" s="289">
        <f t="shared" si="17"/>
        <v>0</v>
      </c>
      <c r="AP14" s="289">
        <f t="shared" si="18"/>
        <v>0</v>
      </c>
      <c r="AQ14" s="245"/>
      <c r="AR14" s="245"/>
      <c r="AS14" s="245"/>
      <c r="AT14" s="245"/>
      <c r="AU14" s="518"/>
      <c r="AV14" s="518"/>
      <c r="AW14" s="518"/>
    </row>
    <row r="15" spans="1:49">
      <c r="A15" s="748" t="s">
        <v>630</v>
      </c>
      <c r="B15" s="584">
        <f>AB26</f>
        <v>0</v>
      </c>
      <c r="C15" s="584">
        <f t="shared" ref="C15:P15" si="21">AC26</f>
        <v>0</v>
      </c>
      <c r="D15" s="584">
        <f t="shared" si="21"/>
        <v>0</v>
      </c>
      <c r="E15" s="584">
        <f t="shared" si="21"/>
        <v>0</v>
      </c>
      <c r="F15" s="585">
        <f t="shared" si="21"/>
        <v>0</v>
      </c>
      <c r="G15" s="586">
        <f t="shared" si="21"/>
        <v>0</v>
      </c>
      <c r="H15" s="586">
        <f t="shared" si="21"/>
        <v>0</v>
      </c>
      <c r="I15" s="586">
        <f t="shared" si="21"/>
        <v>0</v>
      </c>
      <c r="J15" s="586">
        <f t="shared" si="21"/>
        <v>0</v>
      </c>
      <c r="K15" s="587">
        <f t="shared" si="21"/>
        <v>0</v>
      </c>
      <c r="L15" s="586">
        <f t="shared" si="21"/>
        <v>0</v>
      </c>
      <c r="M15" s="586">
        <f t="shared" si="21"/>
        <v>0</v>
      </c>
      <c r="N15" s="586">
        <f t="shared" si="21"/>
        <v>0</v>
      </c>
      <c r="O15" s="586">
        <f t="shared" si="21"/>
        <v>0</v>
      </c>
      <c r="P15" s="586">
        <f t="shared" si="21"/>
        <v>0</v>
      </c>
      <c r="Q15" s="168"/>
      <c r="AA15" s="289" t="s">
        <v>505</v>
      </c>
      <c r="AB15" s="289">
        <f t="shared" si="4"/>
        <v>0</v>
      </c>
      <c r="AC15" s="289">
        <f t="shared" si="5"/>
        <v>0</v>
      </c>
      <c r="AD15" s="289">
        <f t="shared" si="6"/>
        <v>0</v>
      </c>
      <c r="AE15" s="289">
        <f t="shared" si="7"/>
        <v>0</v>
      </c>
      <c r="AF15" s="289">
        <f t="shared" si="8"/>
        <v>0</v>
      </c>
      <c r="AG15" s="289">
        <f t="shared" si="9"/>
        <v>0</v>
      </c>
      <c r="AH15" s="289">
        <f t="shared" si="10"/>
        <v>0</v>
      </c>
      <c r="AI15" s="289">
        <f t="shared" si="11"/>
        <v>0</v>
      </c>
      <c r="AJ15" s="289">
        <f t="shared" si="12"/>
        <v>0</v>
      </c>
      <c r="AK15" s="289">
        <f t="shared" si="13"/>
        <v>0</v>
      </c>
      <c r="AL15" s="289">
        <f t="shared" si="14"/>
        <v>0</v>
      </c>
      <c r="AM15" s="289">
        <f t="shared" si="15"/>
        <v>0</v>
      </c>
      <c r="AN15" s="289">
        <f t="shared" si="16"/>
        <v>0</v>
      </c>
      <c r="AO15" s="289">
        <f t="shared" si="17"/>
        <v>0</v>
      </c>
      <c r="AP15" s="289">
        <f t="shared" si="18"/>
        <v>0</v>
      </c>
    </row>
    <row r="16" spans="1:49">
      <c r="A16" s="652" t="s">
        <v>44</v>
      </c>
      <c r="B16" s="665">
        <f>AB28</f>
        <v>448</v>
      </c>
      <c r="C16" s="665">
        <f t="shared" ref="C16:P16" si="22">AC28</f>
        <v>393</v>
      </c>
      <c r="D16" s="665">
        <f t="shared" si="22"/>
        <v>447</v>
      </c>
      <c r="E16" s="665">
        <f t="shared" si="22"/>
        <v>384</v>
      </c>
      <c r="F16" s="666">
        <f t="shared" si="22"/>
        <v>413</v>
      </c>
      <c r="G16" s="667">
        <f t="shared" si="22"/>
        <v>100</v>
      </c>
      <c r="H16" s="667">
        <f t="shared" si="22"/>
        <v>100</v>
      </c>
      <c r="I16" s="667">
        <f t="shared" si="22"/>
        <v>100</v>
      </c>
      <c r="J16" s="667">
        <f t="shared" si="22"/>
        <v>100</v>
      </c>
      <c r="K16" s="668">
        <f t="shared" si="22"/>
        <v>100</v>
      </c>
      <c r="L16" s="667">
        <f t="shared" si="22"/>
        <v>7.17</v>
      </c>
      <c r="M16" s="667">
        <f t="shared" si="22"/>
        <v>6.54</v>
      </c>
      <c r="N16" s="667">
        <f t="shared" si="22"/>
        <v>7.61</v>
      </c>
      <c r="O16" s="667">
        <f t="shared" si="22"/>
        <v>6.14</v>
      </c>
      <c r="P16" s="667">
        <f t="shared" si="22"/>
        <v>6.7872899999999996</v>
      </c>
      <c r="Q16" s="168"/>
      <c r="AA16" s="289" t="s">
        <v>506</v>
      </c>
      <c r="AB16" s="289">
        <f t="shared" si="4"/>
        <v>1</v>
      </c>
      <c r="AC16" s="289">
        <f t="shared" si="5"/>
        <v>0</v>
      </c>
      <c r="AD16" s="289">
        <f t="shared" si="6"/>
        <v>0</v>
      </c>
      <c r="AE16" s="289">
        <f t="shared" si="7"/>
        <v>0</v>
      </c>
      <c r="AF16" s="289">
        <f t="shared" si="8"/>
        <v>1</v>
      </c>
      <c r="AG16" s="289">
        <f t="shared" si="9"/>
        <v>0.2</v>
      </c>
      <c r="AH16" s="289">
        <f t="shared" si="10"/>
        <v>0</v>
      </c>
      <c r="AI16" s="289">
        <f t="shared" si="11"/>
        <v>0</v>
      </c>
      <c r="AJ16" s="289">
        <f t="shared" si="12"/>
        <v>0</v>
      </c>
      <c r="AK16" s="289">
        <f t="shared" si="13"/>
        <v>0.2</v>
      </c>
      <c r="AL16" s="289">
        <f t="shared" si="14"/>
        <v>0.02</v>
      </c>
      <c r="AM16" s="289">
        <f t="shared" si="15"/>
        <v>0</v>
      </c>
      <c r="AN16" s="289">
        <f t="shared" si="16"/>
        <v>0</v>
      </c>
      <c r="AO16" s="289">
        <f t="shared" si="17"/>
        <v>0</v>
      </c>
      <c r="AP16" s="289">
        <f t="shared" si="18"/>
        <v>1.643E-2</v>
      </c>
    </row>
    <row r="17" spans="1:49" ht="15" customHeight="1">
      <c r="A17" s="680" t="s">
        <v>625</v>
      </c>
      <c r="B17" s="680"/>
      <c r="C17" s="680"/>
      <c r="D17" s="680"/>
      <c r="E17" s="680"/>
      <c r="F17" s="680"/>
      <c r="G17" s="680"/>
      <c r="H17" s="680"/>
      <c r="I17" s="680"/>
      <c r="J17" s="681"/>
      <c r="K17" s="680"/>
      <c r="L17" s="680"/>
      <c r="M17" s="680"/>
      <c r="N17" s="680"/>
      <c r="O17" s="680"/>
      <c r="P17" s="680"/>
      <c r="Q17" s="168"/>
      <c r="R17" s="168"/>
      <c r="AA17" s="289" t="s">
        <v>507</v>
      </c>
      <c r="AB17" s="289">
        <f t="shared" si="4"/>
        <v>0</v>
      </c>
      <c r="AC17" s="289">
        <f t="shared" si="5"/>
        <v>0</v>
      </c>
      <c r="AD17" s="289">
        <f t="shared" si="6"/>
        <v>0</v>
      </c>
      <c r="AE17" s="289">
        <f t="shared" si="7"/>
        <v>0</v>
      </c>
      <c r="AF17" s="289">
        <f t="shared" si="8"/>
        <v>0</v>
      </c>
      <c r="AG17" s="289">
        <f t="shared" si="9"/>
        <v>0</v>
      </c>
      <c r="AH17" s="289">
        <f t="shared" si="10"/>
        <v>0</v>
      </c>
      <c r="AI17" s="289">
        <f t="shared" si="11"/>
        <v>0</v>
      </c>
      <c r="AJ17" s="289">
        <f t="shared" si="12"/>
        <v>0</v>
      </c>
      <c r="AK17" s="289">
        <f t="shared" si="13"/>
        <v>0</v>
      </c>
      <c r="AL17" s="289">
        <f t="shared" si="14"/>
        <v>0</v>
      </c>
      <c r="AM17" s="289">
        <f t="shared" si="15"/>
        <v>0</v>
      </c>
      <c r="AN17" s="289">
        <f t="shared" si="16"/>
        <v>0</v>
      </c>
      <c r="AO17" s="289">
        <f t="shared" si="17"/>
        <v>0</v>
      </c>
      <c r="AP17" s="289">
        <f t="shared" si="18"/>
        <v>0</v>
      </c>
    </row>
    <row r="18" spans="1:49" ht="15" customHeight="1">
      <c r="A18" s="680" t="s">
        <v>346</v>
      </c>
      <c r="B18" s="680"/>
      <c r="C18" s="680"/>
      <c r="D18" s="680"/>
      <c r="E18" s="680"/>
      <c r="F18" s="680"/>
      <c r="G18" s="680"/>
      <c r="H18" s="680"/>
      <c r="I18" s="680"/>
      <c r="J18" s="680"/>
      <c r="K18" s="680"/>
      <c r="L18" s="680"/>
      <c r="M18" s="680"/>
      <c r="N18" s="680"/>
      <c r="O18" s="680"/>
      <c r="P18" s="680"/>
      <c r="Q18" s="168"/>
      <c r="R18" s="168"/>
      <c r="AA18" s="289" t="s">
        <v>508</v>
      </c>
      <c r="AB18" s="289">
        <f t="shared" si="4"/>
        <v>0</v>
      </c>
      <c r="AC18" s="289">
        <f t="shared" si="5"/>
        <v>0</v>
      </c>
      <c r="AD18" s="289">
        <f t="shared" si="6"/>
        <v>0</v>
      </c>
      <c r="AE18" s="289">
        <f t="shared" si="7"/>
        <v>0</v>
      </c>
      <c r="AF18" s="289">
        <f t="shared" si="8"/>
        <v>0</v>
      </c>
      <c r="AG18" s="289">
        <f t="shared" si="9"/>
        <v>0</v>
      </c>
      <c r="AH18" s="289">
        <f t="shared" si="10"/>
        <v>0</v>
      </c>
      <c r="AI18" s="289">
        <f t="shared" si="11"/>
        <v>0</v>
      </c>
      <c r="AJ18" s="289">
        <f t="shared" si="12"/>
        <v>0</v>
      </c>
      <c r="AK18" s="289">
        <f t="shared" si="13"/>
        <v>0</v>
      </c>
      <c r="AL18" s="289">
        <f t="shared" si="14"/>
        <v>0</v>
      </c>
      <c r="AM18" s="289">
        <f t="shared" si="15"/>
        <v>0</v>
      </c>
      <c r="AN18" s="289">
        <f t="shared" si="16"/>
        <v>0</v>
      </c>
      <c r="AO18" s="289">
        <f t="shared" si="17"/>
        <v>0</v>
      </c>
      <c r="AP18" s="289">
        <f t="shared" si="18"/>
        <v>0</v>
      </c>
    </row>
    <row r="19" spans="1:49" s="237" customFormat="1" ht="51" customHeight="1">
      <c r="A19" s="938" t="s">
        <v>372</v>
      </c>
      <c r="B19" s="931"/>
      <c r="C19" s="931"/>
      <c r="D19" s="931"/>
      <c r="E19" s="931"/>
      <c r="F19" s="931"/>
      <c r="G19" s="931"/>
      <c r="H19" s="931"/>
      <c r="I19" s="931"/>
      <c r="J19" s="931"/>
      <c r="K19" s="931"/>
      <c r="L19" s="931"/>
      <c r="M19" s="931"/>
      <c r="N19" s="931"/>
      <c r="O19" s="931"/>
      <c r="P19" s="931"/>
      <c r="Q19" s="275"/>
      <c r="R19" s="275"/>
      <c r="T19" s="579"/>
      <c r="U19" s="579"/>
      <c r="V19" s="579"/>
      <c r="W19" s="579"/>
      <c r="X19" s="579"/>
      <c r="Y19" s="579"/>
      <c r="Z19" s="579"/>
      <c r="AA19" s="803" t="s">
        <v>510</v>
      </c>
      <c r="AB19" s="289">
        <f t="shared" si="4"/>
        <v>0</v>
      </c>
      <c r="AC19" s="289">
        <f t="shared" si="5"/>
        <v>0</v>
      </c>
      <c r="AD19" s="289">
        <f t="shared" si="6"/>
        <v>0</v>
      </c>
      <c r="AE19" s="289">
        <f t="shared" si="7"/>
        <v>0</v>
      </c>
      <c r="AF19" s="289">
        <f t="shared" si="8"/>
        <v>0</v>
      </c>
      <c r="AG19" s="289">
        <f t="shared" si="9"/>
        <v>0</v>
      </c>
      <c r="AH19" s="289">
        <f t="shared" si="10"/>
        <v>0</v>
      </c>
      <c r="AI19" s="289">
        <f t="shared" si="11"/>
        <v>0</v>
      </c>
      <c r="AJ19" s="289">
        <f t="shared" si="12"/>
        <v>0</v>
      </c>
      <c r="AK19" s="289">
        <f t="shared" si="13"/>
        <v>0</v>
      </c>
      <c r="AL19" s="289">
        <f t="shared" si="14"/>
        <v>0</v>
      </c>
      <c r="AM19" s="289">
        <f t="shared" si="15"/>
        <v>0</v>
      </c>
      <c r="AN19" s="289">
        <f t="shared" si="16"/>
        <v>0</v>
      </c>
      <c r="AO19" s="289">
        <f t="shared" si="17"/>
        <v>0</v>
      </c>
      <c r="AP19" s="289">
        <f t="shared" si="18"/>
        <v>0</v>
      </c>
      <c r="AQ19" s="579"/>
      <c r="AR19" s="579"/>
      <c r="AS19" s="579"/>
      <c r="AT19" s="579"/>
      <c r="AU19" s="579"/>
      <c r="AV19" s="579"/>
      <c r="AW19" s="579"/>
    </row>
    <row r="20" spans="1:49">
      <c r="A20" s="588"/>
      <c r="Q20" s="168"/>
      <c r="R20" s="168"/>
      <c r="AA20" s="289" t="s">
        <v>511</v>
      </c>
      <c r="AB20" s="289">
        <f t="shared" si="4"/>
        <v>0</v>
      </c>
      <c r="AC20" s="289">
        <f t="shared" si="5"/>
        <v>0</v>
      </c>
      <c r="AD20" s="289">
        <f t="shared" si="6"/>
        <v>0</v>
      </c>
      <c r="AE20" s="289">
        <f t="shared" si="7"/>
        <v>0</v>
      </c>
      <c r="AF20" s="289">
        <f t="shared" si="8"/>
        <v>0</v>
      </c>
      <c r="AG20" s="289">
        <f t="shared" si="9"/>
        <v>0</v>
      </c>
      <c r="AH20" s="289">
        <f t="shared" si="10"/>
        <v>0</v>
      </c>
      <c r="AI20" s="289">
        <f t="shared" si="11"/>
        <v>0</v>
      </c>
      <c r="AJ20" s="289">
        <f t="shared" si="12"/>
        <v>0</v>
      </c>
      <c r="AK20" s="289">
        <f t="shared" si="13"/>
        <v>0</v>
      </c>
      <c r="AL20" s="289">
        <f t="shared" si="14"/>
        <v>0</v>
      </c>
      <c r="AM20" s="289">
        <f t="shared" si="15"/>
        <v>0</v>
      </c>
      <c r="AN20" s="289">
        <f t="shared" si="16"/>
        <v>0</v>
      </c>
      <c r="AO20" s="289">
        <f t="shared" si="17"/>
        <v>0</v>
      </c>
      <c r="AP20" s="289">
        <f t="shared" si="18"/>
        <v>0</v>
      </c>
    </row>
    <row r="21" spans="1:49">
      <c r="Q21" s="168"/>
      <c r="R21" s="168"/>
      <c r="AA21" s="289" t="s">
        <v>512</v>
      </c>
      <c r="AB21" s="289">
        <f t="shared" si="4"/>
        <v>0</v>
      </c>
      <c r="AC21" s="289">
        <f t="shared" si="5"/>
        <v>0</v>
      </c>
      <c r="AD21" s="289">
        <f t="shared" si="6"/>
        <v>0</v>
      </c>
      <c r="AE21" s="289">
        <f t="shared" si="7"/>
        <v>0</v>
      </c>
      <c r="AF21" s="289">
        <f t="shared" si="8"/>
        <v>0</v>
      </c>
      <c r="AG21" s="289">
        <f t="shared" si="9"/>
        <v>0</v>
      </c>
      <c r="AH21" s="289">
        <f t="shared" si="10"/>
        <v>0</v>
      </c>
      <c r="AI21" s="289">
        <f t="shared" si="11"/>
        <v>0</v>
      </c>
      <c r="AJ21" s="289">
        <f t="shared" si="12"/>
        <v>0</v>
      </c>
      <c r="AK21" s="289">
        <f t="shared" si="13"/>
        <v>0</v>
      </c>
      <c r="AL21" s="289">
        <f t="shared" si="14"/>
        <v>0</v>
      </c>
      <c r="AM21" s="289">
        <f t="shared" si="15"/>
        <v>0</v>
      </c>
      <c r="AN21" s="289">
        <f t="shared" si="16"/>
        <v>0</v>
      </c>
      <c r="AO21" s="289">
        <f t="shared" si="17"/>
        <v>0</v>
      </c>
      <c r="AP21" s="289">
        <f t="shared" si="18"/>
        <v>0</v>
      </c>
    </row>
    <row r="22" spans="1:49" s="101" customFormat="1" ht="25.5" customHeight="1">
      <c r="A22" s="939" t="str">
        <f>Contents!E21</f>
        <v xml:space="preserve">Table 17: Number, percentage and rate of infant deaths by ICD chapter of underlying cause of death, 2012–2016
</v>
      </c>
      <c r="B22" s="939"/>
      <c r="C22" s="939"/>
      <c r="D22" s="939"/>
      <c r="E22" s="939"/>
      <c r="F22" s="939"/>
      <c r="G22" s="939"/>
      <c r="H22" s="939"/>
      <c r="I22" s="939"/>
      <c r="J22" s="939"/>
      <c r="K22" s="939"/>
      <c r="L22" s="939"/>
      <c r="M22" s="939"/>
      <c r="N22" s="939"/>
      <c r="O22" s="939"/>
      <c r="P22" s="939"/>
      <c r="Q22" s="168"/>
      <c r="R22" s="168"/>
      <c r="S22" s="575"/>
      <c r="T22" s="245"/>
      <c r="U22" s="245"/>
      <c r="V22" s="245"/>
      <c r="W22" s="245"/>
      <c r="X22" s="245"/>
      <c r="Y22" s="245"/>
      <c r="Z22" s="245"/>
      <c r="AA22" s="804" t="s">
        <v>513</v>
      </c>
      <c r="AB22" s="289">
        <f t="shared" si="4"/>
        <v>313</v>
      </c>
      <c r="AC22" s="289">
        <f t="shared" si="5"/>
        <v>298</v>
      </c>
      <c r="AD22" s="289">
        <f t="shared" si="6"/>
        <v>320</v>
      </c>
      <c r="AE22" s="289">
        <f t="shared" si="7"/>
        <v>286</v>
      </c>
      <c r="AF22" s="289">
        <f t="shared" si="8"/>
        <v>292</v>
      </c>
      <c r="AG22" s="289">
        <f t="shared" si="9"/>
        <v>69.900000000000006</v>
      </c>
      <c r="AH22" s="289">
        <f t="shared" si="10"/>
        <v>75.8</v>
      </c>
      <c r="AI22" s="289">
        <f t="shared" si="11"/>
        <v>71.599999999999994</v>
      </c>
      <c r="AJ22" s="289">
        <f t="shared" si="12"/>
        <v>74.5</v>
      </c>
      <c r="AK22" s="289">
        <f t="shared" si="13"/>
        <v>70.7</v>
      </c>
      <c r="AL22" s="289">
        <f t="shared" si="14"/>
        <v>5.01</v>
      </c>
      <c r="AM22" s="289">
        <f t="shared" si="15"/>
        <v>4.96</v>
      </c>
      <c r="AN22" s="289">
        <f t="shared" si="16"/>
        <v>5.45</v>
      </c>
      <c r="AO22" s="289">
        <f t="shared" si="17"/>
        <v>4.58</v>
      </c>
      <c r="AP22" s="289">
        <f t="shared" si="18"/>
        <v>4.7987599999999997</v>
      </c>
      <c r="AQ22" s="245"/>
      <c r="AR22" s="245"/>
      <c r="AS22" s="245"/>
      <c r="AT22" s="245"/>
      <c r="AU22" s="589"/>
      <c r="AV22" s="589"/>
      <c r="AW22" s="589"/>
    </row>
    <row r="23" spans="1:49">
      <c r="A23" s="933" t="s">
        <v>327</v>
      </c>
      <c r="B23" s="920" t="s">
        <v>265</v>
      </c>
      <c r="C23" s="920"/>
      <c r="D23" s="920"/>
      <c r="E23" s="920"/>
      <c r="F23" s="935"/>
      <c r="G23" s="936" t="s">
        <v>264</v>
      </c>
      <c r="H23" s="920"/>
      <c r="I23" s="920"/>
      <c r="J23" s="920"/>
      <c r="K23" s="935"/>
      <c r="L23" s="937" t="s">
        <v>329</v>
      </c>
      <c r="M23" s="937"/>
      <c r="N23" s="937"/>
      <c r="O23" s="937"/>
      <c r="P23" s="937"/>
      <c r="Q23" s="168"/>
      <c r="AA23" s="289" t="s">
        <v>514</v>
      </c>
      <c r="AB23" s="289">
        <f t="shared" si="4"/>
        <v>128</v>
      </c>
      <c r="AC23" s="289">
        <f t="shared" si="5"/>
        <v>94</v>
      </c>
      <c r="AD23" s="289">
        <f t="shared" si="6"/>
        <v>123</v>
      </c>
      <c r="AE23" s="289">
        <f t="shared" si="7"/>
        <v>96</v>
      </c>
      <c r="AF23" s="289">
        <f t="shared" si="8"/>
        <v>119</v>
      </c>
      <c r="AG23" s="289">
        <f t="shared" si="9"/>
        <v>28.6</v>
      </c>
      <c r="AH23" s="289">
        <f t="shared" si="10"/>
        <v>23.9</v>
      </c>
      <c r="AI23" s="289">
        <f t="shared" si="11"/>
        <v>27.5</v>
      </c>
      <c r="AJ23" s="289">
        <f t="shared" si="12"/>
        <v>25</v>
      </c>
      <c r="AK23" s="289">
        <f t="shared" si="13"/>
        <v>28.8</v>
      </c>
      <c r="AL23" s="289">
        <f t="shared" si="14"/>
        <v>2.0499999999999998</v>
      </c>
      <c r="AM23" s="289">
        <f t="shared" si="15"/>
        <v>1.56</v>
      </c>
      <c r="AN23" s="289">
        <f t="shared" si="16"/>
        <v>2.09</v>
      </c>
      <c r="AO23" s="289">
        <f t="shared" si="17"/>
        <v>1.54</v>
      </c>
      <c r="AP23" s="289">
        <f t="shared" si="18"/>
        <v>1.95566</v>
      </c>
    </row>
    <row r="24" spans="1:49">
      <c r="A24" s="934"/>
      <c r="B24" s="576">
        <f t="shared" ref="B24:P24" si="23">B7</f>
        <v>2012</v>
      </c>
      <c r="C24" s="576">
        <f t="shared" si="23"/>
        <v>2013</v>
      </c>
      <c r="D24" s="576">
        <f t="shared" si="23"/>
        <v>2014</v>
      </c>
      <c r="E24" s="576">
        <f t="shared" si="23"/>
        <v>2015</v>
      </c>
      <c r="F24" s="577">
        <f t="shared" si="23"/>
        <v>2016</v>
      </c>
      <c r="G24" s="576">
        <f t="shared" si="23"/>
        <v>2012</v>
      </c>
      <c r="H24" s="576">
        <f t="shared" si="23"/>
        <v>2013</v>
      </c>
      <c r="I24" s="576">
        <f t="shared" si="23"/>
        <v>2014</v>
      </c>
      <c r="J24" s="576">
        <f t="shared" si="23"/>
        <v>2015</v>
      </c>
      <c r="K24" s="577">
        <f t="shared" si="23"/>
        <v>2016</v>
      </c>
      <c r="L24" s="576">
        <f t="shared" si="23"/>
        <v>2012</v>
      </c>
      <c r="M24" s="576">
        <f t="shared" si="23"/>
        <v>2013</v>
      </c>
      <c r="N24" s="576">
        <f t="shared" si="23"/>
        <v>2014</v>
      </c>
      <c r="O24" s="576">
        <f t="shared" si="23"/>
        <v>2015</v>
      </c>
      <c r="P24" s="576">
        <f t="shared" si="23"/>
        <v>2016</v>
      </c>
      <c r="Q24" s="168"/>
      <c r="AA24" s="289" t="s">
        <v>515</v>
      </c>
      <c r="AB24" s="289">
        <f t="shared" si="4"/>
        <v>0</v>
      </c>
      <c r="AC24" s="289">
        <f t="shared" si="5"/>
        <v>0</v>
      </c>
      <c r="AD24" s="289">
        <f t="shared" si="6"/>
        <v>0</v>
      </c>
      <c r="AE24" s="289">
        <f t="shared" si="7"/>
        <v>0</v>
      </c>
      <c r="AF24" s="289">
        <f t="shared" si="8"/>
        <v>0</v>
      </c>
      <c r="AG24" s="289">
        <f t="shared" si="9"/>
        <v>0</v>
      </c>
      <c r="AH24" s="289">
        <f t="shared" si="10"/>
        <v>0</v>
      </c>
      <c r="AI24" s="289">
        <f t="shared" si="11"/>
        <v>0</v>
      </c>
      <c r="AJ24" s="289">
        <f t="shared" si="12"/>
        <v>0</v>
      </c>
      <c r="AK24" s="289">
        <f t="shared" si="13"/>
        <v>0</v>
      </c>
      <c r="AL24" s="289">
        <f t="shared" si="14"/>
        <v>0</v>
      </c>
      <c r="AM24" s="289">
        <f t="shared" si="15"/>
        <v>0</v>
      </c>
      <c r="AN24" s="289">
        <f t="shared" si="16"/>
        <v>0</v>
      </c>
      <c r="AO24" s="289">
        <f t="shared" si="17"/>
        <v>0</v>
      </c>
      <c r="AP24" s="289">
        <f t="shared" si="18"/>
        <v>0</v>
      </c>
    </row>
    <row r="25" spans="1:49">
      <c r="A25" s="583" t="s">
        <v>56</v>
      </c>
      <c r="B25" s="584">
        <f t="shared" ref="B25:P28" si="24">AB40</f>
        <v>4</v>
      </c>
      <c r="C25" s="584">
        <f t="shared" si="24"/>
        <v>7</v>
      </c>
      <c r="D25" s="584">
        <f t="shared" si="24"/>
        <v>6</v>
      </c>
      <c r="E25" s="584">
        <f t="shared" si="24"/>
        <v>4</v>
      </c>
      <c r="F25" s="585">
        <f t="shared" si="24"/>
        <v>2</v>
      </c>
      <c r="G25" s="586">
        <f t="shared" si="24"/>
        <v>1.4</v>
      </c>
      <c r="H25" s="586">
        <f t="shared" si="24"/>
        <v>2.4</v>
      </c>
      <c r="I25" s="586">
        <f t="shared" si="24"/>
        <v>1.8</v>
      </c>
      <c r="J25" s="586">
        <f t="shared" si="24"/>
        <v>1.5</v>
      </c>
      <c r="K25" s="587">
        <f t="shared" si="24"/>
        <v>0.8</v>
      </c>
      <c r="L25" s="586">
        <f t="shared" si="24"/>
        <v>0.06</v>
      </c>
      <c r="M25" s="586">
        <f t="shared" si="24"/>
        <v>0.12</v>
      </c>
      <c r="N25" s="586">
        <f t="shared" si="24"/>
        <v>0.1</v>
      </c>
      <c r="O25" s="586">
        <f t="shared" si="24"/>
        <v>0.06</v>
      </c>
      <c r="P25" s="586">
        <f t="shared" si="24"/>
        <v>0.03</v>
      </c>
      <c r="Q25" s="168"/>
      <c r="AA25" s="289" t="s">
        <v>516</v>
      </c>
      <c r="AB25" s="289">
        <f t="shared" si="4"/>
        <v>0</v>
      </c>
      <c r="AC25" s="289">
        <f t="shared" si="5"/>
        <v>0</v>
      </c>
      <c r="AD25" s="289">
        <f t="shared" si="6"/>
        <v>0</v>
      </c>
      <c r="AE25" s="289">
        <f t="shared" si="7"/>
        <v>0</v>
      </c>
      <c r="AF25" s="289">
        <f t="shared" si="8"/>
        <v>0</v>
      </c>
      <c r="AG25" s="289">
        <f t="shared" si="9"/>
        <v>0</v>
      </c>
      <c r="AH25" s="289">
        <f t="shared" si="10"/>
        <v>0</v>
      </c>
      <c r="AI25" s="289">
        <f t="shared" si="11"/>
        <v>0</v>
      </c>
      <c r="AJ25" s="289">
        <f t="shared" si="12"/>
        <v>0</v>
      </c>
      <c r="AK25" s="289">
        <f t="shared" si="13"/>
        <v>0</v>
      </c>
      <c r="AL25" s="289">
        <f t="shared" si="14"/>
        <v>0</v>
      </c>
      <c r="AM25" s="289">
        <f t="shared" si="15"/>
        <v>0</v>
      </c>
      <c r="AN25" s="289">
        <f t="shared" si="16"/>
        <v>0</v>
      </c>
      <c r="AO25" s="289">
        <f t="shared" si="17"/>
        <v>0</v>
      </c>
      <c r="AP25" s="289">
        <f t="shared" si="18"/>
        <v>0</v>
      </c>
    </row>
    <row r="26" spans="1:49">
      <c r="A26" s="583" t="s">
        <v>53</v>
      </c>
      <c r="B26" s="584">
        <f t="shared" si="24"/>
        <v>3</v>
      </c>
      <c r="C26" s="584">
        <f t="shared" si="24"/>
        <v>5</v>
      </c>
      <c r="D26" s="584">
        <f t="shared" si="24"/>
        <v>3</v>
      </c>
      <c r="E26" s="584">
        <f t="shared" si="24"/>
        <v>5</v>
      </c>
      <c r="F26" s="585">
        <f t="shared" si="24"/>
        <v>2</v>
      </c>
      <c r="G26" s="586">
        <f t="shared" si="24"/>
        <v>1</v>
      </c>
      <c r="H26" s="586">
        <f t="shared" si="24"/>
        <v>1.7</v>
      </c>
      <c r="I26" s="586">
        <f t="shared" si="24"/>
        <v>0.9</v>
      </c>
      <c r="J26" s="586">
        <f t="shared" si="24"/>
        <v>1.9</v>
      </c>
      <c r="K26" s="587">
        <f t="shared" si="24"/>
        <v>0.8</v>
      </c>
      <c r="L26" s="586">
        <f t="shared" si="24"/>
        <v>0.05</v>
      </c>
      <c r="M26" s="586">
        <f t="shared" si="24"/>
        <v>0.08</v>
      </c>
      <c r="N26" s="586">
        <f t="shared" si="24"/>
        <v>0.05</v>
      </c>
      <c r="O26" s="586">
        <f t="shared" si="24"/>
        <v>0.08</v>
      </c>
      <c r="P26" s="586">
        <f t="shared" si="24"/>
        <v>0.03</v>
      </c>
      <c r="Q26" s="168"/>
      <c r="AA26" s="289" t="s">
        <v>523</v>
      </c>
      <c r="AB26" s="289">
        <f t="shared" si="4"/>
        <v>0</v>
      </c>
      <c r="AC26" s="289">
        <f t="shared" si="5"/>
        <v>0</v>
      </c>
      <c r="AD26" s="289">
        <f t="shared" si="6"/>
        <v>0</v>
      </c>
      <c r="AE26" s="289">
        <f t="shared" si="7"/>
        <v>0</v>
      </c>
      <c r="AF26" s="289">
        <f t="shared" si="8"/>
        <v>0</v>
      </c>
      <c r="AG26" s="289">
        <f t="shared" si="9"/>
        <v>0</v>
      </c>
      <c r="AH26" s="289">
        <f t="shared" si="10"/>
        <v>0</v>
      </c>
      <c r="AI26" s="289">
        <f t="shared" si="11"/>
        <v>0</v>
      </c>
      <c r="AJ26" s="289">
        <f t="shared" si="12"/>
        <v>0</v>
      </c>
      <c r="AK26" s="289">
        <f t="shared" si="13"/>
        <v>0</v>
      </c>
      <c r="AL26" s="289">
        <f t="shared" si="14"/>
        <v>0</v>
      </c>
      <c r="AM26" s="289">
        <f t="shared" si="15"/>
        <v>0</v>
      </c>
      <c r="AN26" s="289">
        <f t="shared" si="16"/>
        <v>0</v>
      </c>
      <c r="AO26" s="289">
        <f t="shared" si="17"/>
        <v>0</v>
      </c>
      <c r="AP26" s="289">
        <f t="shared" si="18"/>
        <v>0</v>
      </c>
    </row>
    <row r="27" spans="1:49" ht="25.5">
      <c r="A27" s="583" t="s">
        <v>215</v>
      </c>
      <c r="B27" s="584">
        <f t="shared" si="24"/>
        <v>0</v>
      </c>
      <c r="C27" s="584">
        <f t="shared" si="24"/>
        <v>2</v>
      </c>
      <c r="D27" s="584">
        <f t="shared" si="24"/>
        <v>3</v>
      </c>
      <c r="E27" s="584">
        <f t="shared" si="24"/>
        <v>1</v>
      </c>
      <c r="F27" s="585">
        <f t="shared" si="24"/>
        <v>2</v>
      </c>
      <c r="G27" s="586">
        <f t="shared" si="24"/>
        <v>0</v>
      </c>
      <c r="H27" s="586">
        <f t="shared" si="24"/>
        <v>0.7</v>
      </c>
      <c r="I27" s="586">
        <f t="shared" si="24"/>
        <v>0.9</v>
      </c>
      <c r="J27" s="586">
        <f t="shared" si="24"/>
        <v>0.4</v>
      </c>
      <c r="K27" s="587">
        <f t="shared" si="24"/>
        <v>0.8</v>
      </c>
      <c r="L27" s="586">
        <f t="shared" si="24"/>
        <v>0</v>
      </c>
      <c r="M27" s="586">
        <f t="shared" si="24"/>
        <v>0.03</v>
      </c>
      <c r="N27" s="586">
        <f t="shared" si="24"/>
        <v>0.05</v>
      </c>
      <c r="O27" s="586">
        <f t="shared" si="24"/>
        <v>0.02</v>
      </c>
      <c r="P27" s="586">
        <f t="shared" si="24"/>
        <v>0.03</v>
      </c>
      <c r="Q27" s="168"/>
      <c r="AA27" s="289" t="s">
        <v>517</v>
      </c>
      <c r="AB27" s="289">
        <f t="shared" si="4"/>
        <v>0</v>
      </c>
      <c r="AC27" s="289">
        <f t="shared" si="5"/>
        <v>0</v>
      </c>
      <c r="AD27" s="289">
        <f t="shared" si="6"/>
        <v>0</v>
      </c>
      <c r="AE27" s="289">
        <f t="shared" si="7"/>
        <v>0</v>
      </c>
      <c r="AF27" s="289">
        <f t="shared" si="8"/>
        <v>0</v>
      </c>
      <c r="AG27" s="289">
        <f t="shared" si="9"/>
        <v>0</v>
      </c>
      <c r="AH27" s="289">
        <f t="shared" si="10"/>
        <v>0</v>
      </c>
      <c r="AI27" s="289">
        <f t="shared" si="11"/>
        <v>0</v>
      </c>
      <c r="AJ27" s="289">
        <f t="shared" si="12"/>
        <v>0</v>
      </c>
      <c r="AK27" s="289">
        <f t="shared" si="13"/>
        <v>0</v>
      </c>
      <c r="AL27" s="289">
        <f t="shared" si="14"/>
        <v>0</v>
      </c>
      <c r="AM27" s="289">
        <f t="shared" si="15"/>
        <v>0</v>
      </c>
      <c r="AN27" s="289">
        <f t="shared" si="16"/>
        <v>0</v>
      </c>
      <c r="AO27" s="289">
        <f t="shared" si="17"/>
        <v>0</v>
      </c>
      <c r="AP27" s="289">
        <f t="shared" si="18"/>
        <v>0</v>
      </c>
    </row>
    <row r="28" spans="1:49">
      <c r="A28" s="583" t="s">
        <v>57</v>
      </c>
      <c r="B28" s="584">
        <f t="shared" si="24"/>
        <v>3</v>
      </c>
      <c r="C28" s="584">
        <f t="shared" si="24"/>
        <v>3</v>
      </c>
      <c r="D28" s="584">
        <f t="shared" si="24"/>
        <v>3</v>
      </c>
      <c r="E28" s="584">
        <f t="shared" si="24"/>
        <v>6</v>
      </c>
      <c r="F28" s="585">
        <f t="shared" si="24"/>
        <v>3</v>
      </c>
      <c r="G28" s="586">
        <f t="shared" si="24"/>
        <v>1</v>
      </c>
      <c r="H28" s="586">
        <f t="shared" si="24"/>
        <v>1</v>
      </c>
      <c r="I28" s="586">
        <f t="shared" si="24"/>
        <v>0.9</v>
      </c>
      <c r="J28" s="586">
        <f t="shared" si="24"/>
        <v>2.2999999999999998</v>
      </c>
      <c r="K28" s="587">
        <f t="shared" si="24"/>
        <v>1.2</v>
      </c>
      <c r="L28" s="586">
        <f t="shared" si="24"/>
        <v>0.05</v>
      </c>
      <c r="M28" s="586">
        <f t="shared" si="24"/>
        <v>0.05</v>
      </c>
      <c r="N28" s="586">
        <f t="shared" si="24"/>
        <v>0.05</v>
      </c>
      <c r="O28" s="586">
        <f t="shared" si="24"/>
        <v>0.1</v>
      </c>
      <c r="P28" s="586">
        <f t="shared" si="24"/>
        <v>0.05</v>
      </c>
      <c r="Q28" s="168"/>
      <c r="AA28" s="289" t="s">
        <v>518</v>
      </c>
      <c r="AB28" s="289">
        <f t="shared" si="4"/>
        <v>448</v>
      </c>
      <c r="AC28" s="289">
        <f t="shared" si="5"/>
        <v>393</v>
      </c>
      <c r="AD28" s="289">
        <f t="shared" si="6"/>
        <v>447</v>
      </c>
      <c r="AE28" s="289">
        <f t="shared" si="7"/>
        <v>384</v>
      </c>
      <c r="AF28" s="289">
        <f t="shared" si="8"/>
        <v>413</v>
      </c>
      <c r="AG28" s="289">
        <f t="shared" si="9"/>
        <v>100</v>
      </c>
      <c r="AH28" s="289">
        <f t="shared" si="10"/>
        <v>100</v>
      </c>
      <c r="AI28" s="289">
        <f t="shared" si="11"/>
        <v>100</v>
      </c>
      <c r="AJ28" s="289">
        <f t="shared" si="12"/>
        <v>100</v>
      </c>
      <c r="AK28" s="289">
        <f t="shared" si="13"/>
        <v>100</v>
      </c>
      <c r="AL28" s="289">
        <f t="shared" si="14"/>
        <v>7.17</v>
      </c>
      <c r="AM28" s="289">
        <f t="shared" si="15"/>
        <v>6.54</v>
      </c>
      <c r="AN28" s="289">
        <f t="shared" si="16"/>
        <v>7.61</v>
      </c>
      <c r="AO28" s="289">
        <f t="shared" si="17"/>
        <v>6.14</v>
      </c>
      <c r="AP28" s="289">
        <f t="shared" si="18"/>
        <v>6.7872899999999996</v>
      </c>
    </row>
    <row r="29" spans="1:49">
      <c r="A29" s="583" t="s">
        <v>58</v>
      </c>
      <c r="B29" s="584">
        <f>AB45</f>
        <v>7</v>
      </c>
      <c r="C29" s="584">
        <f t="shared" ref="C29:P29" si="25">AC45</f>
        <v>3</v>
      </c>
      <c r="D29" s="584">
        <f t="shared" si="25"/>
        <v>5</v>
      </c>
      <c r="E29" s="584">
        <f t="shared" si="25"/>
        <v>4</v>
      </c>
      <c r="F29" s="585">
        <f t="shared" si="25"/>
        <v>2</v>
      </c>
      <c r="G29" s="586">
        <f t="shared" si="25"/>
        <v>2.4</v>
      </c>
      <c r="H29" s="586">
        <f t="shared" si="25"/>
        <v>1</v>
      </c>
      <c r="I29" s="586">
        <f t="shared" si="25"/>
        <v>1.5</v>
      </c>
      <c r="J29" s="586">
        <f t="shared" si="25"/>
        <v>1.5</v>
      </c>
      <c r="K29" s="587">
        <f t="shared" si="25"/>
        <v>0.8</v>
      </c>
      <c r="L29" s="586">
        <f t="shared" si="25"/>
        <v>0.11</v>
      </c>
      <c r="M29" s="586">
        <f t="shared" si="25"/>
        <v>0.05</v>
      </c>
      <c r="N29" s="586">
        <f t="shared" si="25"/>
        <v>0.09</v>
      </c>
      <c r="O29" s="586">
        <f t="shared" si="25"/>
        <v>0.06</v>
      </c>
      <c r="P29" s="586">
        <f t="shared" si="25"/>
        <v>0.03</v>
      </c>
      <c r="Q29" s="168"/>
    </row>
    <row r="30" spans="1:49">
      <c r="A30" s="583" t="s">
        <v>59</v>
      </c>
      <c r="B30" s="584">
        <f t="shared" ref="B30:P31" si="26">AB48</f>
        <v>3</v>
      </c>
      <c r="C30" s="584">
        <f t="shared" si="26"/>
        <v>4</v>
      </c>
      <c r="D30" s="584">
        <f t="shared" si="26"/>
        <v>6</v>
      </c>
      <c r="E30" s="584">
        <f t="shared" si="26"/>
        <v>2</v>
      </c>
      <c r="F30" s="585">
        <f t="shared" si="26"/>
        <v>1</v>
      </c>
      <c r="G30" s="586">
        <f t="shared" si="26"/>
        <v>1</v>
      </c>
      <c r="H30" s="586">
        <f t="shared" si="26"/>
        <v>1.4</v>
      </c>
      <c r="I30" s="586">
        <f t="shared" si="26"/>
        <v>1.8</v>
      </c>
      <c r="J30" s="586">
        <f t="shared" si="26"/>
        <v>0.8</v>
      </c>
      <c r="K30" s="587">
        <f t="shared" si="26"/>
        <v>0.4</v>
      </c>
      <c r="L30" s="586">
        <f t="shared" si="26"/>
        <v>0.05</v>
      </c>
      <c r="M30" s="586">
        <f t="shared" si="26"/>
        <v>7.0000000000000007E-2</v>
      </c>
      <c r="N30" s="586">
        <f t="shared" si="26"/>
        <v>0.1</v>
      </c>
      <c r="O30" s="586">
        <f t="shared" si="26"/>
        <v>0.03</v>
      </c>
      <c r="P30" s="586">
        <f t="shared" si="26"/>
        <v>0.02</v>
      </c>
      <c r="Q30" s="168"/>
    </row>
    <row r="31" spans="1:49">
      <c r="A31" s="583" t="s">
        <v>60</v>
      </c>
      <c r="B31" s="584">
        <f t="shared" si="26"/>
        <v>12</v>
      </c>
      <c r="C31" s="584">
        <f t="shared" si="26"/>
        <v>3</v>
      </c>
      <c r="D31" s="584">
        <f t="shared" si="26"/>
        <v>7</v>
      </c>
      <c r="E31" s="584">
        <f t="shared" si="26"/>
        <v>3</v>
      </c>
      <c r="F31" s="585">
        <f t="shared" si="26"/>
        <v>3</v>
      </c>
      <c r="G31" s="586">
        <f t="shared" si="26"/>
        <v>4.0999999999999996</v>
      </c>
      <c r="H31" s="586">
        <f t="shared" si="26"/>
        <v>1</v>
      </c>
      <c r="I31" s="586">
        <f t="shared" si="26"/>
        <v>2.1</v>
      </c>
      <c r="J31" s="586">
        <f t="shared" si="26"/>
        <v>1.1000000000000001</v>
      </c>
      <c r="K31" s="587">
        <f t="shared" si="26"/>
        <v>1.2</v>
      </c>
      <c r="L31" s="586">
        <f t="shared" si="26"/>
        <v>0.19</v>
      </c>
      <c r="M31" s="586">
        <f t="shared" si="26"/>
        <v>0.05</v>
      </c>
      <c r="N31" s="586">
        <f t="shared" si="26"/>
        <v>0.12</v>
      </c>
      <c r="O31" s="586">
        <f t="shared" si="26"/>
        <v>0.05</v>
      </c>
      <c r="P31" s="586">
        <f t="shared" si="26"/>
        <v>0.05</v>
      </c>
      <c r="Q31" s="168"/>
    </row>
    <row r="32" spans="1:49">
      <c r="A32" s="583" t="s">
        <v>61</v>
      </c>
      <c r="B32" s="584">
        <f t="shared" ref="B32:P32" si="27">AB50</f>
        <v>0</v>
      </c>
      <c r="C32" s="584">
        <f t="shared" si="27"/>
        <v>2</v>
      </c>
      <c r="D32" s="584">
        <f t="shared" si="27"/>
        <v>0</v>
      </c>
      <c r="E32" s="584">
        <f t="shared" si="27"/>
        <v>1</v>
      </c>
      <c r="F32" s="585">
        <f t="shared" si="27"/>
        <v>1</v>
      </c>
      <c r="G32" s="586">
        <f t="shared" si="27"/>
        <v>0</v>
      </c>
      <c r="H32" s="586">
        <f t="shared" si="27"/>
        <v>0.7</v>
      </c>
      <c r="I32" s="586">
        <f t="shared" si="27"/>
        <v>0</v>
      </c>
      <c r="J32" s="586">
        <f t="shared" si="27"/>
        <v>0.4</v>
      </c>
      <c r="K32" s="587">
        <f t="shared" si="27"/>
        <v>0.4</v>
      </c>
      <c r="L32" s="586">
        <f t="shared" si="27"/>
        <v>0</v>
      </c>
      <c r="M32" s="586">
        <f t="shared" si="27"/>
        <v>0.03</v>
      </c>
      <c r="N32" s="586">
        <f t="shared" si="27"/>
        <v>0</v>
      </c>
      <c r="O32" s="586">
        <f t="shared" si="27"/>
        <v>0.02</v>
      </c>
      <c r="P32" s="586">
        <f t="shared" si="27"/>
        <v>0.02</v>
      </c>
      <c r="Q32" s="168"/>
    </row>
    <row r="33" spans="1:49" ht="15" customHeight="1">
      <c r="A33" s="583" t="s">
        <v>54</v>
      </c>
      <c r="B33" s="584">
        <f>AB55</f>
        <v>146</v>
      </c>
      <c r="C33" s="584">
        <f t="shared" ref="C33:P35" si="28">AC55</f>
        <v>152</v>
      </c>
      <c r="D33" s="584">
        <f t="shared" si="28"/>
        <v>175</v>
      </c>
      <c r="E33" s="584">
        <f t="shared" si="28"/>
        <v>123</v>
      </c>
      <c r="F33" s="585">
        <f t="shared" si="28"/>
        <v>126</v>
      </c>
      <c r="G33" s="586">
        <f t="shared" si="28"/>
        <v>49.7</v>
      </c>
      <c r="H33" s="586">
        <f t="shared" si="28"/>
        <v>51.4</v>
      </c>
      <c r="I33" s="586">
        <f t="shared" si="28"/>
        <v>52.6</v>
      </c>
      <c r="J33" s="586">
        <f t="shared" si="28"/>
        <v>46.2</v>
      </c>
      <c r="K33" s="587">
        <f t="shared" si="28"/>
        <v>52.3</v>
      </c>
      <c r="L33" s="586">
        <f t="shared" si="28"/>
        <v>2.35</v>
      </c>
      <c r="M33" s="586">
        <f t="shared" si="28"/>
        <v>2.5499999999999998</v>
      </c>
      <c r="N33" s="586">
        <f t="shared" si="28"/>
        <v>3</v>
      </c>
      <c r="O33" s="586">
        <f t="shared" si="28"/>
        <v>1.98</v>
      </c>
      <c r="P33" s="586">
        <f t="shared" si="28"/>
        <v>2.08</v>
      </c>
      <c r="Q33" s="168"/>
    </row>
    <row r="34" spans="1:49" ht="25.5">
      <c r="A34" s="583" t="s">
        <v>399</v>
      </c>
      <c r="B34" s="584">
        <f>AB56</f>
        <v>72</v>
      </c>
      <c r="C34" s="584">
        <f t="shared" si="28"/>
        <v>70</v>
      </c>
      <c r="D34" s="584">
        <f t="shared" si="28"/>
        <v>70</v>
      </c>
      <c r="E34" s="584">
        <f t="shared" si="28"/>
        <v>70</v>
      </c>
      <c r="F34" s="585">
        <f t="shared" si="28"/>
        <v>53</v>
      </c>
      <c r="G34" s="586">
        <f t="shared" si="28"/>
        <v>24.5</v>
      </c>
      <c r="H34" s="586">
        <f t="shared" si="28"/>
        <v>23.6</v>
      </c>
      <c r="I34" s="586">
        <f t="shared" si="28"/>
        <v>21</v>
      </c>
      <c r="J34" s="586">
        <f t="shared" si="28"/>
        <v>26.3</v>
      </c>
      <c r="K34" s="587">
        <f t="shared" si="28"/>
        <v>22</v>
      </c>
      <c r="L34" s="586">
        <f t="shared" si="28"/>
        <v>1.1599999999999999</v>
      </c>
      <c r="M34" s="586">
        <f t="shared" si="28"/>
        <v>1.17</v>
      </c>
      <c r="N34" s="586">
        <f t="shared" si="28"/>
        <v>1.2</v>
      </c>
      <c r="O34" s="586">
        <f t="shared" si="28"/>
        <v>1.1299999999999999</v>
      </c>
      <c r="P34" s="586">
        <f t="shared" si="28"/>
        <v>0.88</v>
      </c>
      <c r="Q34" s="168"/>
    </row>
    <row r="35" spans="1:49" ht="25.5">
      <c r="A35" s="583" t="s">
        <v>62</v>
      </c>
      <c r="B35" s="584">
        <f>AB57</f>
        <v>20</v>
      </c>
      <c r="C35" s="584">
        <f t="shared" si="28"/>
        <v>24</v>
      </c>
      <c r="D35" s="584">
        <f t="shared" si="28"/>
        <v>15</v>
      </c>
      <c r="E35" s="584">
        <f t="shared" si="28"/>
        <v>19</v>
      </c>
      <c r="F35" s="585">
        <f t="shared" si="28"/>
        <v>23</v>
      </c>
      <c r="G35" s="586">
        <f t="shared" si="28"/>
        <v>6.8</v>
      </c>
      <c r="H35" s="586">
        <f t="shared" si="28"/>
        <v>8.1</v>
      </c>
      <c r="I35" s="586">
        <f t="shared" si="28"/>
        <v>4.5</v>
      </c>
      <c r="J35" s="586">
        <f t="shared" si="28"/>
        <v>7.1</v>
      </c>
      <c r="K35" s="587">
        <f t="shared" si="28"/>
        <v>9.5</v>
      </c>
      <c r="L35" s="586">
        <f t="shared" si="28"/>
        <v>0.32</v>
      </c>
      <c r="M35" s="586">
        <f t="shared" si="28"/>
        <v>0.4</v>
      </c>
      <c r="N35" s="586">
        <f t="shared" si="28"/>
        <v>0.26</v>
      </c>
      <c r="O35" s="586">
        <f t="shared" si="28"/>
        <v>0.31</v>
      </c>
      <c r="P35" s="586">
        <f t="shared" si="28"/>
        <v>0.38</v>
      </c>
      <c r="Q35" s="168"/>
    </row>
    <row r="36" spans="1:49" ht="20.25" customHeight="1">
      <c r="A36" s="752" t="s">
        <v>630</v>
      </c>
      <c r="B36" s="584">
        <f>AB59</f>
        <v>24</v>
      </c>
      <c r="C36" s="584">
        <f t="shared" ref="C36:P36" si="29">AC59</f>
        <v>21</v>
      </c>
      <c r="D36" s="584">
        <f t="shared" si="29"/>
        <v>40</v>
      </c>
      <c r="E36" s="584">
        <f t="shared" si="29"/>
        <v>28</v>
      </c>
      <c r="F36" s="585">
        <f t="shared" si="29"/>
        <v>23</v>
      </c>
      <c r="G36" s="586">
        <f t="shared" si="29"/>
        <v>8.1999999999999993</v>
      </c>
      <c r="H36" s="586">
        <f t="shared" si="29"/>
        <v>7.1</v>
      </c>
      <c r="I36" s="586">
        <f t="shared" si="29"/>
        <v>12</v>
      </c>
      <c r="J36" s="586">
        <f t="shared" si="29"/>
        <v>10.5</v>
      </c>
      <c r="K36" s="587">
        <f t="shared" si="29"/>
        <v>9.5</v>
      </c>
      <c r="L36" s="586">
        <f t="shared" si="29"/>
        <v>0.39</v>
      </c>
      <c r="M36" s="586">
        <f t="shared" si="29"/>
        <v>0.35</v>
      </c>
      <c r="N36" s="586">
        <f t="shared" si="29"/>
        <v>0.69</v>
      </c>
      <c r="O36" s="586">
        <f t="shared" si="29"/>
        <v>0.45</v>
      </c>
      <c r="P36" s="586">
        <f t="shared" si="29"/>
        <v>0.38</v>
      </c>
      <c r="Q36" s="168"/>
    </row>
    <row r="37" spans="1:49">
      <c r="A37" s="652" t="s">
        <v>44</v>
      </c>
      <c r="B37" s="655">
        <f>AB61</f>
        <v>294</v>
      </c>
      <c r="C37" s="655">
        <f t="shared" ref="C37:P37" si="30">AC61</f>
        <v>296</v>
      </c>
      <c r="D37" s="655">
        <f t="shared" si="30"/>
        <v>333</v>
      </c>
      <c r="E37" s="655">
        <f t="shared" si="30"/>
        <v>266</v>
      </c>
      <c r="F37" s="653">
        <f t="shared" si="30"/>
        <v>241</v>
      </c>
      <c r="G37" s="656">
        <f t="shared" si="30"/>
        <v>100</v>
      </c>
      <c r="H37" s="656">
        <f t="shared" si="30"/>
        <v>100</v>
      </c>
      <c r="I37" s="656">
        <f t="shared" si="30"/>
        <v>100</v>
      </c>
      <c r="J37" s="656">
        <f t="shared" si="30"/>
        <v>100</v>
      </c>
      <c r="K37" s="654">
        <f t="shared" si="30"/>
        <v>100</v>
      </c>
      <c r="L37" s="656">
        <f t="shared" si="30"/>
        <v>4.74</v>
      </c>
      <c r="M37" s="656">
        <f t="shared" si="30"/>
        <v>4.96</v>
      </c>
      <c r="N37" s="656">
        <f t="shared" si="30"/>
        <v>5.71</v>
      </c>
      <c r="O37" s="656">
        <f t="shared" si="30"/>
        <v>4.28</v>
      </c>
      <c r="P37" s="656">
        <f t="shared" si="30"/>
        <v>3.99</v>
      </c>
      <c r="Q37" s="168"/>
      <c r="AB37" s="289" t="s">
        <v>437</v>
      </c>
    </row>
    <row r="38" spans="1:49">
      <c r="A38" s="590" t="s">
        <v>625</v>
      </c>
      <c r="Q38" s="168"/>
      <c r="AB38" s="289" t="s">
        <v>416</v>
      </c>
      <c r="AG38" s="289" t="s">
        <v>497</v>
      </c>
      <c r="AL38" s="289" t="s">
        <v>418</v>
      </c>
    </row>
    <row r="39" spans="1:49">
      <c r="A39" s="590" t="s">
        <v>343</v>
      </c>
      <c r="Q39" s="168"/>
      <c r="AB39" s="289">
        <f t="shared" ref="AB39:AP39" si="31">AB7</f>
        <v>2012</v>
      </c>
      <c r="AC39" s="289">
        <f t="shared" si="31"/>
        <v>2013</v>
      </c>
      <c r="AD39" s="289">
        <f t="shared" si="31"/>
        <v>2014</v>
      </c>
      <c r="AE39" s="289">
        <f t="shared" si="31"/>
        <v>2015</v>
      </c>
      <c r="AF39" s="289">
        <f t="shared" si="31"/>
        <v>2016</v>
      </c>
      <c r="AG39" s="289">
        <f t="shared" si="31"/>
        <v>2012</v>
      </c>
      <c r="AH39" s="289">
        <f t="shared" si="31"/>
        <v>2013</v>
      </c>
      <c r="AI39" s="289">
        <f t="shared" si="31"/>
        <v>2014</v>
      </c>
      <c r="AJ39" s="289">
        <f t="shared" si="31"/>
        <v>2015</v>
      </c>
      <c r="AK39" s="289">
        <f t="shared" si="31"/>
        <v>2016</v>
      </c>
      <c r="AL39" s="289">
        <f t="shared" si="31"/>
        <v>2012</v>
      </c>
      <c r="AM39" s="289">
        <f t="shared" si="31"/>
        <v>2013</v>
      </c>
      <c r="AN39" s="289">
        <f t="shared" si="31"/>
        <v>2014</v>
      </c>
      <c r="AO39" s="289">
        <f t="shared" si="31"/>
        <v>2015</v>
      </c>
      <c r="AP39" s="289">
        <f t="shared" si="31"/>
        <v>2016</v>
      </c>
    </row>
    <row r="40" spans="1:49" s="742" customFormat="1" ht="51.75" customHeight="1">
      <c r="A40" s="931" t="s">
        <v>347</v>
      </c>
      <c r="B40" s="931"/>
      <c r="C40" s="931"/>
      <c r="D40" s="931"/>
      <c r="E40" s="931"/>
      <c r="F40" s="931"/>
      <c r="G40" s="931"/>
      <c r="H40" s="931"/>
      <c r="I40" s="931"/>
      <c r="J40" s="931"/>
      <c r="K40" s="931"/>
      <c r="L40" s="931"/>
      <c r="M40" s="931"/>
      <c r="N40" s="931"/>
      <c r="O40" s="931"/>
      <c r="P40" s="931"/>
      <c r="Q40" s="168"/>
      <c r="T40" s="245"/>
      <c r="U40" s="245"/>
      <c r="V40" s="245"/>
      <c r="W40" s="245"/>
      <c r="X40" s="245"/>
      <c r="Y40" s="245"/>
      <c r="Z40" s="245"/>
      <c r="AA40" s="289" t="s">
        <v>498</v>
      </c>
      <c r="AB40" s="289">
        <f t="shared" ref="AB40:AB61" si="32">IFERROR(VLOOKUP($AB$39&amp;AA40&amp;$AB$37, vw.cod.trend, 4, FALSE),0)</f>
        <v>4</v>
      </c>
      <c r="AC40" s="289">
        <f t="shared" ref="AC40" si="33">IFERROR(VLOOKUP($AC$39&amp;AA40&amp;$AB$37, vw.cod.trend, 4, FALSE),0)</f>
        <v>7</v>
      </c>
      <c r="AD40" s="289">
        <f t="shared" ref="AD40" si="34">IFERROR(VLOOKUP($AD$39&amp;AA40&amp;$AB$37, vw.cod.trend, 4, FALSE),0)</f>
        <v>6</v>
      </c>
      <c r="AE40" s="289">
        <f t="shared" ref="AE40" si="35">IFERROR(VLOOKUP($AE$39&amp;AA40&amp;$AB$37, vw.cod.trend, 4, FALSE),0)</f>
        <v>4</v>
      </c>
      <c r="AF40" s="289">
        <f>IFERROR(VLOOKUP($AF$39&amp;$AA40&amp;$AB$37, vw.cod.trend, 4, FALSE),0)</f>
        <v>2</v>
      </c>
      <c r="AG40" s="289">
        <f>IFERROR(VLOOKUP($AG$39&amp;$AA40&amp;$AB$37, vw.cod.trend, 5, FALSE),0)</f>
        <v>1.4</v>
      </c>
      <c r="AH40" s="289">
        <f>IFERROR(VLOOKUP(AH$39&amp;$AA40&amp;$AB$37, vw.cod.trend, 5, FALSE),0)</f>
        <v>2.4</v>
      </c>
      <c r="AI40" s="289">
        <f>IFERROR(VLOOKUP(AI$39&amp;$AA40&amp;$AB$37, vw.cod.trend, 5, FALSE),0)</f>
        <v>1.8</v>
      </c>
      <c r="AJ40" s="289">
        <f>IFERROR(VLOOKUP(AJ$39&amp;$AA40&amp;$AB$37, vw.cod.trend, 5, FALSE),0)</f>
        <v>1.5</v>
      </c>
      <c r="AK40" s="289">
        <f>IFERROR(VLOOKUP(AK$39&amp;$AA40&amp;$AB$37, vw.cod.trend, 5, FALSE),0)</f>
        <v>0.8</v>
      </c>
      <c r="AL40" s="289">
        <f>IFERROR(VLOOKUP(AL$39&amp;$AA40&amp;$AB$37, vw.cod.trend, 6, FALSE),0)</f>
        <v>0.06</v>
      </c>
      <c r="AM40" s="289">
        <f>IFERROR(VLOOKUP(AM$39&amp;$AA40&amp;$AB$37, vw.cod.trend, 6, FALSE),0)</f>
        <v>0.12</v>
      </c>
      <c r="AN40" s="289">
        <f>IFERROR(VLOOKUP(AN$39&amp;$AA40&amp;$AB$37, vw.cod.trend, 6, FALSE),0)</f>
        <v>0.1</v>
      </c>
      <c r="AO40" s="289">
        <f>IFERROR(VLOOKUP(AO$39&amp;$AA40&amp;$AB$37, vw.cod.trend, 6, FALSE),0)</f>
        <v>0.06</v>
      </c>
      <c r="AP40" s="289">
        <f>IFERROR(VLOOKUP(AP$39&amp;$AA40&amp;$AB$37, vw.cod.trend, 6, FALSE),0)</f>
        <v>0.03</v>
      </c>
      <c r="AQ40" s="245"/>
      <c r="AR40" s="245"/>
      <c r="AS40" s="245"/>
      <c r="AT40" s="245"/>
      <c r="AU40" s="245"/>
      <c r="AV40" s="245"/>
      <c r="AW40" s="245"/>
    </row>
    <row r="41" spans="1:49" ht="50.25" customHeight="1">
      <c r="Q41" s="168"/>
      <c r="AA41" s="289" t="s">
        <v>499</v>
      </c>
      <c r="AB41" s="289">
        <f t="shared" si="32"/>
        <v>3</v>
      </c>
      <c r="AC41" s="289">
        <f t="shared" ref="AC41:AC61" si="36">IFERROR(VLOOKUP($AC$39&amp;AA41&amp;$AB$37, vw.cod.trend, 4, FALSE),0)</f>
        <v>5</v>
      </c>
      <c r="AD41" s="289">
        <f t="shared" ref="AD41:AD61" si="37">IFERROR(VLOOKUP($AD$39&amp;AA41&amp;$AB$37, vw.cod.trend, 4, FALSE),0)</f>
        <v>3</v>
      </c>
      <c r="AE41" s="289">
        <f t="shared" ref="AE41:AE61" si="38">IFERROR(VLOOKUP($AE$39&amp;AA41&amp;$AB$37, vw.cod.trend, 4, FALSE),0)</f>
        <v>5</v>
      </c>
      <c r="AF41" s="289">
        <f t="shared" ref="AF41:AF61" si="39">IFERROR(VLOOKUP($AF$39&amp;$AA41&amp;$AB$37, vw.cod.trend, 4, FALSE),0)</f>
        <v>2</v>
      </c>
      <c r="AG41" s="289">
        <f t="shared" ref="AG41:AG61" si="40">IFERROR(VLOOKUP($AG$39&amp;$AA41&amp;$AB$37, vw.cod.trend, 5, FALSE),0)</f>
        <v>1</v>
      </c>
      <c r="AH41" s="289">
        <f t="shared" ref="AH41:AK61" si="41">IFERROR(VLOOKUP(AH$39&amp;$AA41&amp;$AB$37, vw.cod.trend, 5, FALSE),0)</f>
        <v>1.7</v>
      </c>
      <c r="AI41" s="289">
        <f t="shared" si="41"/>
        <v>0.9</v>
      </c>
      <c r="AJ41" s="289">
        <f t="shared" si="41"/>
        <v>1.9</v>
      </c>
      <c r="AK41" s="289">
        <f t="shared" si="41"/>
        <v>0.8</v>
      </c>
      <c r="AL41" s="289">
        <f t="shared" ref="AL41:AP49" si="42">IFERROR(VLOOKUP(AL$39&amp;$AA41&amp;$AB$37, vw.cod.trend, 6, FALSE),0)</f>
        <v>0.05</v>
      </c>
      <c r="AM41" s="289">
        <f t="shared" si="42"/>
        <v>0.08</v>
      </c>
      <c r="AN41" s="289">
        <f t="shared" si="42"/>
        <v>0.05</v>
      </c>
      <c r="AO41" s="289">
        <f t="shared" si="42"/>
        <v>0.08</v>
      </c>
      <c r="AP41" s="289">
        <f t="shared" si="42"/>
        <v>0.03</v>
      </c>
    </row>
    <row r="42" spans="1:49">
      <c r="Q42" s="168"/>
      <c r="AA42" s="289" t="s">
        <v>500</v>
      </c>
      <c r="AB42" s="289">
        <f t="shared" si="32"/>
        <v>0</v>
      </c>
      <c r="AC42" s="289">
        <f t="shared" si="36"/>
        <v>2</v>
      </c>
      <c r="AD42" s="289">
        <f t="shared" si="37"/>
        <v>3</v>
      </c>
      <c r="AE42" s="289">
        <f t="shared" si="38"/>
        <v>1</v>
      </c>
      <c r="AF42" s="289">
        <f t="shared" si="39"/>
        <v>2</v>
      </c>
      <c r="AG42" s="289">
        <f t="shared" si="40"/>
        <v>0</v>
      </c>
      <c r="AH42" s="289">
        <f t="shared" si="41"/>
        <v>0.7</v>
      </c>
      <c r="AI42" s="289">
        <f t="shared" si="41"/>
        <v>0.9</v>
      </c>
      <c r="AJ42" s="289">
        <f t="shared" si="41"/>
        <v>0.4</v>
      </c>
      <c r="AK42" s="289">
        <f t="shared" si="41"/>
        <v>0.8</v>
      </c>
      <c r="AL42" s="289">
        <f t="shared" si="42"/>
        <v>0</v>
      </c>
      <c r="AM42" s="289">
        <f t="shared" si="42"/>
        <v>0.03</v>
      </c>
      <c r="AN42" s="289">
        <f t="shared" si="42"/>
        <v>0.05</v>
      </c>
      <c r="AO42" s="289">
        <f t="shared" si="42"/>
        <v>0.02</v>
      </c>
      <c r="AP42" s="289">
        <f t="shared" si="42"/>
        <v>0.03</v>
      </c>
    </row>
    <row r="43" spans="1:49">
      <c r="Q43" s="168"/>
      <c r="AA43" s="289" t="s">
        <v>501</v>
      </c>
      <c r="AB43" s="289">
        <f t="shared" si="32"/>
        <v>3</v>
      </c>
      <c r="AC43" s="289">
        <f t="shared" si="36"/>
        <v>3</v>
      </c>
      <c r="AD43" s="289">
        <f t="shared" si="37"/>
        <v>3</v>
      </c>
      <c r="AE43" s="289">
        <f t="shared" si="38"/>
        <v>6</v>
      </c>
      <c r="AF43" s="289">
        <f t="shared" si="39"/>
        <v>3</v>
      </c>
      <c r="AG43" s="289">
        <f t="shared" si="40"/>
        <v>1</v>
      </c>
      <c r="AH43" s="289">
        <f t="shared" si="41"/>
        <v>1</v>
      </c>
      <c r="AI43" s="289">
        <f t="shared" si="41"/>
        <v>0.9</v>
      </c>
      <c r="AJ43" s="289">
        <f t="shared" si="41"/>
        <v>2.2999999999999998</v>
      </c>
      <c r="AK43" s="289">
        <f t="shared" si="41"/>
        <v>1.2</v>
      </c>
      <c r="AL43" s="289">
        <f t="shared" si="42"/>
        <v>0.05</v>
      </c>
      <c r="AM43" s="289">
        <f t="shared" si="42"/>
        <v>0.05</v>
      </c>
      <c r="AN43" s="289">
        <f t="shared" si="42"/>
        <v>0.05</v>
      </c>
      <c r="AO43" s="289">
        <f t="shared" si="42"/>
        <v>0.1</v>
      </c>
      <c r="AP43" s="289">
        <f t="shared" si="42"/>
        <v>0.05</v>
      </c>
    </row>
    <row r="44" spans="1:49" s="72" customFormat="1" ht="51" customHeight="1">
      <c r="A44" s="101"/>
      <c r="B44" s="575"/>
      <c r="C44" s="575"/>
      <c r="D44" s="575"/>
      <c r="E44" s="575"/>
      <c r="F44" s="575"/>
      <c r="G44" s="575"/>
      <c r="H44" s="575"/>
      <c r="I44" s="575"/>
      <c r="J44" s="575"/>
      <c r="K44" s="575"/>
      <c r="L44" s="575"/>
      <c r="M44" s="575"/>
      <c r="N44" s="575"/>
      <c r="O44" s="575"/>
      <c r="P44" s="575"/>
      <c r="Q44" s="109"/>
      <c r="T44" s="546"/>
      <c r="U44" s="546"/>
      <c r="V44" s="546"/>
      <c r="W44" s="546"/>
      <c r="X44" s="546"/>
      <c r="Y44" s="546"/>
      <c r="Z44" s="546"/>
      <c r="AA44" s="289" t="s">
        <v>502</v>
      </c>
      <c r="AB44" s="289">
        <f t="shared" si="32"/>
        <v>0</v>
      </c>
      <c r="AC44" s="289">
        <f t="shared" si="36"/>
        <v>0</v>
      </c>
      <c r="AD44" s="289">
        <f t="shared" si="37"/>
        <v>0</v>
      </c>
      <c r="AE44" s="289">
        <f t="shared" si="38"/>
        <v>0</v>
      </c>
      <c r="AF44" s="289">
        <f t="shared" si="39"/>
        <v>0</v>
      </c>
      <c r="AG44" s="289">
        <f t="shared" si="40"/>
        <v>0</v>
      </c>
      <c r="AH44" s="289">
        <f t="shared" si="41"/>
        <v>0</v>
      </c>
      <c r="AI44" s="289">
        <f t="shared" si="41"/>
        <v>0</v>
      </c>
      <c r="AJ44" s="289">
        <f t="shared" si="41"/>
        <v>0</v>
      </c>
      <c r="AK44" s="289">
        <f t="shared" si="41"/>
        <v>0</v>
      </c>
      <c r="AL44" s="289">
        <f t="shared" si="42"/>
        <v>0</v>
      </c>
      <c r="AM44" s="289">
        <f t="shared" si="42"/>
        <v>0</v>
      </c>
      <c r="AN44" s="289">
        <f t="shared" si="42"/>
        <v>0</v>
      </c>
      <c r="AO44" s="289">
        <f t="shared" si="42"/>
        <v>0</v>
      </c>
      <c r="AP44" s="289">
        <f t="shared" si="42"/>
        <v>0</v>
      </c>
      <c r="AQ44" s="546"/>
      <c r="AR44" s="546"/>
      <c r="AS44" s="546"/>
      <c r="AT44" s="546"/>
      <c r="AU44" s="546"/>
      <c r="AV44" s="546"/>
      <c r="AW44" s="546"/>
    </row>
    <row r="45" spans="1:49">
      <c r="Q45" s="168"/>
      <c r="AA45" s="289" t="s">
        <v>503</v>
      </c>
      <c r="AB45" s="289">
        <f t="shared" si="32"/>
        <v>7</v>
      </c>
      <c r="AC45" s="289">
        <f t="shared" si="36"/>
        <v>3</v>
      </c>
      <c r="AD45" s="289">
        <f t="shared" si="37"/>
        <v>5</v>
      </c>
      <c r="AE45" s="289">
        <f t="shared" si="38"/>
        <v>4</v>
      </c>
      <c r="AF45" s="289">
        <f t="shared" si="39"/>
        <v>2</v>
      </c>
      <c r="AG45" s="289">
        <f t="shared" si="40"/>
        <v>2.4</v>
      </c>
      <c r="AH45" s="289">
        <f t="shared" si="41"/>
        <v>1</v>
      </c>
      <c r="AI45" s="289">
        <f t="shared" si="41"/>
        <v>1.5</v>
      </c>
      <c r="AJ45" s="289">
        <f t="shared" si="41"/>
        <v>1.5</v>
      </c>
      <c r="AK45" s="289">
        <f t="shared" si="41"/>
        <v>0.8</v>
      </c>
      <c r="AL45" s="289">
        <f t="shared" si="42"/>
        <v>0.11</v>
      </c>
      <c r="AM45" s="289">
        <f t="shared" si="42"/>
        <v>0.05</v>
      </c>
      <c r="AN45" s="289">
        <f t="shared" si="42"/>
        <v>0.09</v>
      </c>
      <c r="AO45" s="289">
        <f t="shared" si="42"/>
        <v>0.06</v>
      </c>
      <c r="AP45" s="289">
        <f t="shared" si="42"/>
        <v>0.03</v>
      </c>
    </row>
    <row r="46" spans="1:49">
      <c r="Q46" s="168"/>
      <c r="AA46" s="289" t="s">
        <v>504</v>
      </c>
      <c r="AB46" s="289">
        <f t="shared" si="32"/>
        <v>0</v>
      </c>
      <c r="AC46" s="289">
        <f t="shared" si="36"/>
        <v>0</v>
      </c>
      <c r="AD46" s="289">
        <f t="shared" si="37"/>
        <v>0</v>
      </c>
      <c r="AE46" s="289">
        <f t="shared" si="38"/>
        <v>0</v>
      </c>
      <c r="AF46" s="289">
        <f t="shared" si="39"/>
        <v>0</v>
      </c>
      <c r="AG46" s="289">
        <f t="shared" si="40"/>
        <v>0</v>
      </c>
      <c r="AH46" s="289">
        <f t="shared" si="41"/>
        <v>0</v>
      </c>
      <c r="AI46" s="289">
        <f t="shared" si="41"/>
        <v>0</v>
      </c>
      <c r="AJ46" s="289">
        <f t="shared" si="41"/>
        <v>0</v>
      </c>
      <c r="AK46" s="289">
        <f t="shared" si="41"/>
        <v>0</v>
      </c>
      <c r="AL46" s="289">
        <f t="shared" si="42"/>
        <v>0</v>
      </c>
      <c r="AM46" s="289">
        <f t="shared" si="42"/>
        <v>0</v>
      </c>
      <c r="AN46" s="289">
        <f t="shared" si="42"/>
        <v>0</v>
      </c>
      <c r="AO46" s="289">
        <f t="shared" si="42"/>
        <v>0</v>
      </c>
      <c r="AP46" s="289">
        <f t="shared" si="42"/>
        <v>0</v>
      </c>
    </row>
    <row r="47" spans="1:49">
      <c r="Q47" s="168"/>
      <c r="AA47" s="289" t="s">
        <v>505</v>
      </c>
      <c r="AB47" s="289">
        <f t="shared" si="32"/>
        <v>0</v>
      </c>
      <c r="AC47" s="289">
        <f t="shared" si="36"/>
        <v>0</v>
      </c>
      <c r="AD47" s="289">
        <f t="shared" si="37"/>
        <v>0</v>
      </c>
      <c r="AE47" s="289">
        <f t="shared" si="38"/>
        <v>0</v>
      </c>
      <c r="AF47" s="289">
        <f t="shared" si="39"/>
        <v>0</v>
      </c>
      <c r="AG47" s="289">
        <f t="shared" si="40"/>
        <v>0</v>
      </c>
      <c r="AH47" s="289">
        <f t="shared" si="41"/>
        <v>0</v>
      </c>
      <c r="AI47" s="289">
        <f t="shared" si="41"/>
        <v>0</v>
      </c>
      <c r="AJ47" s="289">
        <f t="shared" si="41"/>
        <v>0</v>
      </c>
      <c r="AK47" s="289">
        <f t="shared" si="41"/>
        <v>0</v>
      </c>
      <c r="AL47" s="289">
        <f t="shared" si="42"/>
        <v>0</v>
      </c>
      <c r="AM47" s="289">
        <f t="shared" si="42"/>
        <v>0</v>
      </c>
      <c r="AN47" s="289">
        <f t="shared" si="42"/>
        <v>0</v>
      </c>
      <c r="AO47" s="289">
        <f t="shared" si="42"/>
        <v>0</v>
      </c>
      <c r="AP47" s="289">
        <f t="shared" si="42"/>
        <v>0</v>
      </c>
    </row>
    <row r="48" spans="1:49">
      <c r="Q48" s="168"/>
      <c r="AA48" s="289" t="s">
        <v>506</v>
      </c>
      <c r="AB48" s="289">
        <f t="shared" si="32"/>
        <v>3</v>
      </c>
      <c r="AC48" s="289">
        <f t="shared" si="36"/>
        <v>4</v>
      </c>
      <c r="AD48" s="289">
        <f t="shared" si="37"/>
        <v>6</v>
      </c>
      <c r="AE48" s="289">
        <f t="shared" si="38"/>
        <v>2</v>
      </c>
      <c r="AF48" s="289">
        <f t="shared" si="39"/>
        <v>1</v>
      </c>
      <c r="AG48" s="289">
        <f t="shared" si="40"/>
        <v>1</v>
      </c>
      <c r="AH48" s="289">
        <f t="shared" si="41"/>
        <v>1.4</v>
      </c>
      <c r="AI48" s="289">
        <f t="shared" si="41"/>
        <v>1.8</v>
      </c>
      <c r="AJ48" s="289">
        <f t="shared" si="41"/>
        <v>0.8</v>
      </c>
      <c r="AK48" s="289">
        <f t="shared" si="41"/>
        <v>0.4</v>
      </c>
      <c r="AL48" s="289">
        <f t="shared" si="42"/>
        <v>0.05</v>
      </c>
      <c r="AM48" s="289">
        <f t="shared" si="42"/>
        <v>7.0000000000000007E-2</v>
      </c>
      <c r="AN48" s="289">
        <f t="shared" si="42"/>
        <v>0.1</v>
      </c>
      <c r="AO48" s="289">
        <f t="shared" si="42"/>
        <v>0.03</v>
      </c>
      <c r="AP48" s="289">
        <f t="shared" si="42"/>
        <v>0.02</v>
      </c>
    </row>
    <row r="49" spans="17:42">
      <c r="Q49" s="168"/>
      <c r="AA49" s="289" t="s">
        <v>507</v>
      </c>
      <c r="AB49" s="289">
        <f t="shared" si="32"/>
        <v>12</v>
      </c>
      <c r="AC49" s="289">
        <f t="shared" si="36"/>
        <v>3</v>
      </c>
      <c r="AD49" s="289">
        <f t="shared" si="37"/>
        <v>7</v>
      </c>
      <c r="AE49" s="289">
        <f t="shared" si="38"/>
        <v>3</v>
      </c>
      <c r="AF49" s="289">
        <f t="shared" si="39"/>
        <v>3</v>
      </c>
      <c r="AG49" s="289">
        <f t="shared" si="40"/>
        <v>4.0999999999999996</v>
      </c>
      <c r="AH49" s="289">
        <f t="shared" si="41"/>
        <v>1</v>
      </c>
      <c r="AI49" s="289">
        <f t="shared" si="41"/>
        <v>2.1</v>
      </c>
      <c r="AJ49" s="289">
        <f t="shared" si="41"/>
        <v>1.1000000000000001</v>
      </c>
      <c r="AK49" s="289">
        <f t="shared" si="41"/>
        <v>1.2</v>
      </c>
      <c r="AL49" s="289">
        <f t="shared" si="42"/>
        <v>0.19</v>
      </c>
      <c r="AM49" s="289">
        <f t="shared" si="42"/>
        <v>0.05</v>
      </c>
      <c r="AN49" s="289">
        <f t="shared" si="42"/>
        <v>0.12</v>
      </c>
      <c r="AO49" s="289">
        <f t="shared" si="42"/>
        <v>0.05</v>
      </c>
      <c r="AP49" s="289">
        <f t="shared" si="42"/>
        <v>0.05</v>
      </c>
    </row>
    <row r="50" spans="17:42">
      <c r="Q50" s="168"/>
      <c r="AA50" s="289" t="s">
        <v>508</v>
      </c>
      <c r="AB50" s="289">
        <f t="shared" si="32"/>
        <v>0</v>
      </c>
      <c r="AC50" s="289">
        <f t="shared" si="36"/>
        <v>2</v>
      </c>
      <c r="AD50" s="289">
        <f t="shared" si="37"/>
        <v>0</v>
      </c>
      <c r="AE50" s="289">
        <f t="shared" si="38"/>
        <v>1</v>
      </c>
      <c r="AF50" s="289">
        <f t="shared" si="39"/>
        <v>1</v>
      </c>
      <c r="AG50" s="289">
        <f t="shared" si="40"/>
        <v>0</v>
      </c>
      <c r="AH50" s="289">
        <f t="shared" si="41"/>
        <v>0.7</v>
      </c>
      <c r="AI50" s="289">
        <f t="shared" si="41"/>
        <v>0</v>
      </c>
      <c r="AJ50" s="289">
        <f t="shared" si="41"/>
        <v>0.4</v>
      </c>
      <c r="AK50" s="289">
        <f t="shared" si="41"/>
        <v>0.4</v>
      </c>
      <c r="AL50" s="289">
        <f t="shared" ref="AL50:AP61" si="43">IFERROR(VLOOKUP(AL$39&amp;$AA50&amp;$AB$37, vw.cod.trend, 6, FALSE),0)</f>
        <v>0</v>
      </c>
      <c r="AM50" s="289">
        <f t="shared" si="43"/>
        <v>0.03</v>
      </c>
      <c r="AN50" s="289">
        <f t="shared" si="43"/>
        <v>0</v>
      </c>
      <c r="AO50" s="289">
        <f t="shared" si="43"/>
        <v>0.02</v>
      </c>
      <c r="AP50" s="289">
        <f t="shared" si="43"/>
        <v>0.02</v>
      </c>
    </row>
    <row r="51" spans="17:42">
      <c r="Q51" s="168"/>
      <c r="AA51" s="289" t="s">
        <v>509</v>
      </c>
      <c r="AB51" s="289">
        <f t="shared" si="32"/>
        <v>0</v>
      </c>
      <c r="AC51" s="289">
        <f t="shared" si="36"/>
        <v>0</v>
      </c>
      <c r="AD51" s="289">
        <f t="shared" si="37"/>
        <v>0</v>
      </c>
      <c r="AE51" s="289">
        <f t="shared" si="38"/>
        <v>0</v>
      </c>
      <c r="AF51" s="289">
        <f t="shared" si="39"/>
        <v>0</v>
      </c>
      <c r="AG51" s="289">
        <f t="shared" si="40"/>
        <v>0</v>
      </c>
      <c r="AH51" s="289">
        <f t="shared" si="41"/>
        <v>0</v>
      </c>
      <c r="AI51" s="289">
        <f t="shared" si="41"/>
        <v>0</v>
      </c>
      <c r="AJ51" s="289">
        <f t="shared" si="41"/>
        <v>0</v>
      </c>
      <c r="AK51" s="289">
        <f t="shared" si="41"/>
        <v>0</v>
      </c>
      <c r="AL51" s="289">
        <f t="shared" si="43"/>
        <v>0</v>
      </c>
      <c r="AM51" s="289">
        <f t="shared" si="43"/>
        <v>0</v>
      </c>
      <c r="AN51" s="289">
        <f t="shared" si="43"/>
        <v>0</v>
      </c>
      <c r="AO51" s="289">
        <f t="shared" si="43"/>
        <v>0</v>
      </c>
      <c r="AP51" s="289">
        <f t="shared" si="43"/>
        <v>0</v>
      </c>
    </row>
    <row r="52" spans="17:42">
      <c r="Q52" s="168"/>
      <c r="AA52" s="289" t="s">
        <v>510</v>
      </c>
      <c r="AB52" s="289">
        <f t="shared" si="32"/>
        <v>0</v>
      </c>
      <c r="AC52" s="289">
        <f t="shared" si="36"/>
        <v>0</v>
      </c>
      <c r="AD52" s="289">
        <f t="shared" si="37"/>
        <v>0</v>
      </c>
      <c r="AE52" s="289">
        <f t="shared" si="38"/>
        <v>0</v>
      </c>
      <c r="AF52" s="289">
        <f t="shared" si="39"/>
        <v>0</v>
      </c>
      <c r="AG52" s="289">
        <f t="shared" si="40"/>
        <v>0</v>
      </c>
      <c r="AH52" s="289">
        <f t="shared" si="41"/>
        <v>0</v>
      </c>
      <c r="AI52" s="289">
        <f t="shared" si="41"/>
        <v>0</v>
      </c>
      <c r="AJ52" s="289">
        <f t="shared" si="41"/>
        <v>0</v>
      </c>
      <c r="AK52" s="289">
        <f t="shared" si="41"/>
        <v>0</v>
      </c>
      <c r="AL52" s="289">
        <f t="shared" si="43"/>
        <v>0</v>
      </c>
      <c r="AM52" s="289">
        <f t="shared" si="43"/>
        <v>0</v>
      </c>
      <c r="AN52" s="289">
        <f t="shared" si="43"/>
        <v>0</v>
      </c>
      <c r="AO52" s="289">
        <f t="shared" si="43"/>
        <v>0</v>
      </c>
      <c r="AP52" s="289">
        <f t="shared" si="43"/>
        <v>0</v>
      </c>
    </row>
    <row r="53" spans="17:42">
      <c r="AA53" s="289" t="s">
        <v>511</v>
      </c>
      <c r="AB53" s="289">
        <f t="shared" si="32"/>
        <v>0</v>
      </c>
      <c r="AC53" s="289">
        <f t="shared" si="36"/>
        <v>0</v>
      </c>
      <c r="AD53" s="289">
        <f t="shared" si="37"/>
        <v>0</v>
      </c>
      <c r="AE53" s="289">
        <f t="shared" si="38"/>
        <v>0</v>
      </c>
      <c r="AF53" s="289">
        <f t="shared" si="39"/>
        <v>0</v>
      </c>
      <c r="AG53" s="289">
        <f t="shared" si="40"/>
        <v>0</v>
      </c>
      <c r="AH53" s="289">
        <f t="shared" si="41"/>
        <v>0</v>
      </c>
      <c r="AI53" s="289">
        <f t="shared" si="41"/>
        <v>0</v>
      </c>
      <c r="AJ53" s="289">
        <f t="shared" si="41"/>
        <v>0</v>
      </c>
      <c r="AK53" s="289">
        <f t="shared" si="41"/>
        <v>0</v>
      </c>
      <c r="AL53" s="289">
        <f t="shared" si="43"/>
        <v>0</v>
      </c>
      <c r="AM53" s="289">
        <f t="shared" si="43"/>
        <v>0</v>
      </c>
      <c r="AN53" s="289">
        <f t="shared" si="43"/>
        <v>0</v>
      </c>
      <c r="AO53" s="289">
        <f t="shared" si="43"/>
        <v>0</v>
      </c>
      <c r="AP53" s="289">
        <f t="shared" si="43"/>
        <v>0</v>
      </c>
    </row>
    <row r="54" spans="17:42">
      <c r="AA54" s="289" t="s">
        <v>512</v>
      </c>
      <c r="AB54" s="289">
        <f t="shared" si="32"/>
        <v>0</v>
      </c>
      <c r="AC54" s="289">
        <f t="shared" si="36"/>
        <v>0</v>
      </c>
      <c r="AD54" s="289">
        <f t="shared" si="37"/>
        <v>0</v>
      </c>
      <c r="AE54" s="289">
        <f t="shared" si="38"/>
        <v>0</v>
      </c>
      <c r="AF54" s="289">
        <f t="shared" si="39"/>
        <v>0</v>
      </c>
      <c r="AG54" s="289">
        <f t="shared" si="40"/>
        <v>0</v>
      </c>
      <c r="AH54" s="289">
        <f t="shared" si="41"/>
        <v>0</v>
      </c>
      <c r="AI54" s="289">
        <f t="shared" si="41"/>
        <v>0</v>
      </c>
      <c r="AJ54" s="289">
        <f t="shared" si="41"/>
        <v>0</v>
      </c>
      <c r="AK54" s="289">
        <f t="shared" si="41"/>
        <v>0</v>
      </c>
      <c r="AL54" s="289">
        <f t="shared" si="43"/>
        <v>0</v>
      </c>
      <c r="AM54" s="289">
        <f t="shared" si="43"/>
        <v>0</v>
      </c>
      <c r="AN54" s="289">
        <f t="shared" si="43"/>
        <v>0</v>
      </c>
      <c r="AO54" s="289">
        <f t="shared" si="43"/>
        <v>0</v>
      </c>
      <c r="AP54" s="289">
        <f t="shared" si="43"/>
        <v>0</v>
      </c>
    </row>
    <row r="55" spans="17:42">
      <c r="AA55" s="289" t="s">
        <v>513</v>
      </c>
      <c r="AB55" s="289">
        <f t="shared" si="32"/>
        <v>146</v>
      </c>
      <c r="AC55" s="289">
        <f t="shared" si="36"/>
        <v>152</v>
      </c>
      <c r="AD55" s="289">
        <f t="shared" si="37"/>
        <v>175</v>
      </c>
      <c r="AE55" s="289">
        <f t="shared" si="38"/>
        <v>123</v>
      </c>
      <c r="AF55" s="289">
        <f t="shared" si="39"/>
        <v>126</v>
      </c>
      <c r="AG55" s="289">
        <f t="shared" si="40"/>
        <v>49.7</v>
      </c>
      <c r="AH55" s="289">
        <f t="shared" si="41"/>
        <v>51.4</v>
      </c>
      <c r="AI55" s="289">
        <f t="shared" si="41"/>
        <v>52.6</v>
      </c>
      <c r="AJ55" s="289">
        <f t="shared" si="41"/>
        <v>46.2</v>
      </c>
      <c r="AK55" s="289">
        <f t="shared" si="41"/>
        <v>52.3</v>
      </c>
      <c r="AL55" s="289">
        <f t="shared" si="43"/>
        <v>2.35</v>
      </c>
      <c r="AM55" s="289">
        <f t="shared" si="43"/>
        <v>2.5499999999999998</v>
      </c>
      <c r="AN55" s="289">
        <f t="shared" si="43"/>
        <v>3</v>
      </c>
      <c r="AO55" s="289">
        <f t="shared" si="43"/>
        <v>1.98</v>
      </c>
      <c r="AP55" s="289">
        <f t="shared" si="43"/>
        <v>2.08</v>
      </c>
    </row>
    <row r="56" spans="17:42">
      <c r="AA56" s="289" t="s">
        <v>514</v>
      </c>
      <c r="AB56" s="289">
        <f t="shared" si="32"/>
        <v>72</v>
      </c>
      <c r="AC56" s="289">
        <f t="shared" si="36"/>
        <v>70</v>
      </c>
      <c r="AD56" s="289">
        <f t="shared" si="37"/>
        <v>70</v>
      </c>
      <c r="AE56" s="289">
        <f t="shared" si="38"/>
        <v>70</v>
      </c>
      <c r="AF56" s="289">
        <f t="shared" si="39"/>
        <v>53</v>
      </c>
      <c r="AG56" s="289">
        <f t="shared" si="40"/>
        <v>24.5</v>
      </c>
      <c r="AH56" s="289">
        <f t="shared" si="41"/>
        <v>23.6</v>
      </c>
      <c r="AI56" s="289">
        <f t="shared" si="41"/>
        <v>21</v>
      </c>
      <c r="AJ56" s="289">
        <f t="shared" si="41"/>
        <v>26.3</v>
      </c>
      <c r="AK56" s="289">
        <f t="shared" si="41"/>
        <v>22</v>
      </c>
      <c r="AL56" s="289">
        <f t="shared" si="43"/>
        <v>1.1599999999999999</v>
      </c>
      <c r="AM56" s="289">
        <f t="shared" si="43"/>
        <v>1.17</v>
      </c>
      <c r="AN56" s="289">
        <f t="shared" si="43"/>
        <v>1.2</v>
      </c>
      <c r="AO56" s="289">
        <f t="shared" si="43"/>
        <v>1.1299999999999999</v>
      </c>
      <c r="AP56" s="289">
        <f t="shared" si="43"/>
        <v>0.88</v>
      </c>
    </row>
    <row r="57" spans="17:42">
      <c r="AA57" s="289" t="s">
        <v>515</v>
      </c>
      <c r="AB57" s="289">
        <f t="shared" si="32"/>
        <v>20</v>
      </c>
      <c r="AC57" s="289">
        <f t="shared" si="36"/>
        <v>24</v>
      </c>
      <c r="AD57" s="289">
        <f t="shared" si="37"/>
        <v>15</v>
      </c>
      <c r="AE57" s="289">
        <f t="shared" si="38"/>
        <v>19</v>
      </c>
      <c r="AF57" s="289">
        <f t="shared" si="39"/>
        <v>23</v>
      </c>
      <c r="AG57" s="289">
        <f t="shared" si="40"/>
        <v>6.8</v>
      </c>
      <c r="AH57" s="289">
        <f t="shared" si="41"/>
        <v>8.1</v>
      </c>
      <c r="AI57" s="289">
        <f t="shared" si="41"/>
        <v>4.5</v>
      </c>
      <c r="AJ57" s="289">
        <f t="shared" si="41"/>
        <v>7.1</v>
      </c>
      <c r="AK57" s="289">
        <f t="shared" si="41"/>
        <v>9.5</v>
      </c>
      <c r="AL57" s="289">
        <f t="shared" si="43"/>
        <v>0.32</v>
      </c>
      <c r="AM57" s="289">
        <f t="shared" si="43"/>
        <v>0.4</v>
      </c>
      <c r="AN57" s="289">
        <f t="shared" si="43"/>
        <v>0.26</v>
      </c>
      <c r="AO57" s="289">
        <f t="shared" si="43"/>
        <v>0.31</v>
      </c>
      <c r="AP57" s="289">
        <f t="shared" si="43"/>
        <v>0.38</v>
      </c>
    </row>
    <row r="58" spans="17:42">
      <c r="AA58" s="289" t="s">
        <v>516</v>
      </c>
      <c r="AB58" s="289">
        <f t="shared" si="32"/>
        <v>0</v>
      </c>
      <c r="AC58" s="289">
        <f t="shared" si="36"/>
        <v>0</v>
      </c>
      <c r="AD58" s="289">
        <f t="shared" si="37"/>
        <v>0</v>
      </c>
      <c r="AE58" s="289">
        <f t="shared" si="38"/>
        <v>0</v>
      </c>
      <c r="AF58" s="289">
        <f t="shared" si="39"/>
        <v>0</v>
      </c>
      <c r="AG58" s="289">
        <f t="shared" si="40"/>
        <v>0</v>
      </c>
      <c r="AH58" s="289">
        <f t="shared" si="41"/>
        <v>0</v>
      </c>
      <c r="AI58" s="289">
        <f t="shared" si="41"/>
        <v>0</v>
      </c>
      <c r="AJ58" s="289">
        <f t="shared" si="41"/>
        <v>0</v>
      </c>
      <c r="AK58" s="289">
        <f t="shared" si="41"/>
        <v>0</v>
      </c>
      <c r="AL58" s="289">
        <f t="shared" si="43"/>
        <v>0</v>
      </c>
      <c r="AM58" s="289">
        <f t="shared" si="43"/>
        <v>0</v>
      </c>
      <c r="AN58" s="289">
        <f t="shared" si="43"/>
        <v>0</v>
      </c>
      <c r="AO58" s="289">
        <f t="shared" si="43"/>
        <v>0</v>
      </c>
      <c r="AP58" s="289">
        <f t="shared" si="43"/>
        <v>0</v>
      </c>
    </row>
    <row r="59" spans="17:42">
      <c r="AA59" s="289" t="s">
        <v>523</v>
      </c>
      <c r="AB59" s="289">
        <f t="shared" si="32"/>
        <v>24</v>
      </c>
      <c r="AC59" s="289">
        <f t="shared" si="36"/>
        <v>21</v>
      </c>
      <c r="AD59" s="289">
        <f t="shared" si="37"/>
        <v>40</v>
      </c>
      <c r="AE59" s="289">
        <f t="shared" si="38"/>
        <v>28</v>
      </c>
      <c r="AF59" s="289">
        <f t="shared" si="39"/>
        <v>23</v>
      </c>
      <c r="AG59" s="289">
        <f t="shared" si="40"/>
        <v>8.1999999999999993</v>
      </c>
      <c r="AH59" s="289">
        <f t="shared" si="41"/>
        <v>7.1</v>
      </c>
      <c r="AI59" s="289">
        <f t="shared" si="41"/>
        <v>12</v>
      </c>
      <c r="AJ59" s="289">
        <f t="shared" si="41"/>
        <v>10.5</v>
      </c>
      <c r="AK59" s="289">
        <f t="shared" si="41"/>
        <v>9.5</v>
      </c>
      <c r="AL59" s="289">
        <f t="shared" si="43"/>
        <v>0.39</v>
      </c>
      <c r="AM59" s="289">
        <f t="shared" si="43"/>
        <v>0.35</v>
      </c>
      <c r="AN59" s="289">
        <f t="shared" si="43"/>
        <v>0.69</v>
      </c>
      <c r="AO59" s="289">
        <f t="shared" si="43"/>
        <v>0.45</v>
      </c>
      <c r="AP59" s="289">
        <f t="shared" si="43"/>
        <v>0.38</v>
      </c>
    </row>
    <row r="60" spans="17:42">
      <c r="AA60" s="289" t="s">
        <v>517</v>
      </c>
      <c r="AB60" s="289">
        <f t="shared" si="32"/>
        <v>0</v>
      </c>
      <c r="AC60" s="289">
        <f t="shared" si="36"/>
        <v>0</v>
      </c>
      <c r="AD60" s="289">
        <f t="shared" si="37"/>
        <v>0</v>
      </c>
      <c r="AE60" s="289">
        <f t="shared" si="38"/>
        <v>0</v>
      </c>
      <c r="AF60" s="289">
        <f t="shared" si="39"/>
        <v>0</v>
      </c>
      <c r="AG60" s="289">
        <f t="shared" si="40"/>
        <v>0</v>
      </c>
      <c r="AH60" s="289">
        <f t="shared" si="41"/>
        <v>0</v>
      </c>
      <c r="AI60" s="289">
        <f t="shared" si="41"/>
        <v>0</v>
      </c>
      <c r="AJ60" s="289">
        <f t="shared" si="41"/>
        <v>0</v>
      </c>
      <c r="AK60" s="289">
        <f t="shared" si="41"/>
        <v>0</v>
      </c>
      <c r="AL60" s="289">
        <f t="shared" si="43"/>
        <v>0</v>
      </c>
      <c r="AM60" s="289">
        <f t="shared" si="43"/>
        <v>0</v>
      </c>
      <c r="AN60" s="289">
        <f t="shared" si="43"/>
        <v>0</v>
      </c>
      <c r="AO60" s="289">
        <f t="shared" si="43"/>
        <v>0</v>
      </c>
      <c r="AP60" s="289">
        <f t="shared" si="43"/>
        <v>0</v>
      </c>
    </row>
    <row r="61" spans="17:42">
      <c r="AA61" s="289" t="s">
        <v>518</v>
      </c>
      <c r="AB61" s="289">
        <f t="shared" si="32"/>
        <v>294</v>
      </c>
      <c r="AC61" s="289">
        <f t="shared" si="36"/>
        <v>296</v>
      </c>
      <c r="AD61" s="289">
        <f t="shared" si="37"/>
        <v>333</v>
      </c>
      <c r="AE61" s="289">
        <f t="shared" si="38"/>
        <v>266</v>
      </c>
      <c r="AF61" s="289">
        <f t="shared" si="39"/>
        <v>241</v>
      </c>
      <c r="AG61" s="289">
        <f t="shared" si="40"/>
        <v>100</v>
      </c>
      <c r="AH61" s="289">
        <f t="shared" si="41"/>
        <v>100</v>
      </c>
      <c r="AI61" s="289">
        <f t="shared" si="41"/>
        <v>100</v>
      </c>
      <c r="AJ61" s="289">
        <f t="shared" si="41"/>
        <v>100</v>
      </c>
      <c r="AK61" s="289">
        <f t="shared" si="41"/>
        <v>100</v>
      </c>
      <c r="AL61" s="289">
        <f t="shared" si="43"/>
        <v>4.74</v>
      </c>
      <c r="AM61" s="289">
        <f t="shared" si="43"/>
        <v>4.96</v>
      </c>
      <c r="AN61" s="289">
        <f t="shared" si="43"/>
        <v>5.71</v>
      </c>
      <c r="AO61" s="289">
        <f t="shared" si="43"/>
        <v>4.28</v>
      </c>
      <c r="AP61" s="289">
        <f t="shared" si="43"/>
        <v>3.99</v>
      </c>
    </row>
  </sheetData>
  <mergeCells count="12">
    <mergeCell ref="A40:P40"/>
    <mergeCell ref="A5:P5"/>
    <mergeCell ref="A6:A7"/>
    <mergeCell ref="B6:F6"/>
    <mergeCell ref="G6:K6"/>
    <mergeCell ref="L6:P6"/>
    <mergeCell ref="A19:P19"/>
    <mergeCell ref="A22:P22"/>
    <mergeCell ref="A23:A24"/>
    <mergeCell ref="B23:F23"/>
    <mergeCell ref="G23:K23"/>
    <mergeCell ref="L23:P23"/>
  </mergeCells>
  <hyperlinks>
    <hyperlink ref="B1" location="Glossary!A1" display="Glossary" xr:uid="{00000000-0004-0000-0C00-000000000000}"/>
    <hyperlink ref="A1" location="Contents!A1" display="Table of contents" xr:uid="{00000000-0004-0000-0C00-000001000000}"/>
    <hyperlink ref="C1" location="About!A1" display="About the publication" xr:uid="{00000000-0004-0000-0C00-000002000000}"/>
    <hyperlink ref="F1" location="KeyFindings!A1" display="Key findings" xr:uid="{00000000-0004-0000-0C00-000003000000}"/>
  </hyperlinks>
  <pageMargins left="0.70866141732283472" right="0.70866141732283472" top="0.74803149606299213" bottom="0.74803149606299213" header="0.31496062992125984" footer="0.31496062992125984"/>
  <pageSetup paperSize="9" scale="50" fitToHeight="2" orientation="portrait" r:id="rId1"/>
  <headerFooter>
    <oddFooter>&amp;L&amp;"Arial,Regular"&amp;8&amp;K01+019Fetal and Infant Deaths 2016&amp;R&amp;"Arial,Regular"&amp;8&amp;K01+018Page &amp;P of &amp;N</oddFooter>
  </headerFooter>
  <rowBreaks count="1" manualBreakCount="1">
    <brk id="20"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B110"/>
  <sheetViews>
    <sheetView zoomScaleNormal="100" workbookViewId="0">
      <pane ySplit="7" topLeftCell="A8" activePane="bottomLeft" state="frozen"/>
      <selection activeCell="AA1" sqref="AA1:AP1048576"/>
      <selection pane="bottomLeft" activeCell="A8" sqref="A8"/>
    </sheetView>
  </sheetViews>
  <sheetFormatPr defaultRowHeight="15"/>
  <cols>
    <col min="1" max="1" width="51.28515625" style="101" customWidth="1"/>
    <col min="2" max="11" width="10.7109375" style="575" customWidth="1"/>
    <col min="12" max="24" width="9.140625" style="245"/>
    <col min="25" max="16384" width="9.140625" style="575"/>
  </cols>
  <sheetData>
    <row r="1" spans="1:28" s="65" customFormat="1">
      <c r="A1" s="64" t="s">
        <v>158</v>
      </c>
      <c r="B1" s="64" t="s">
        <v>115</v>
      </c>
      <c r="C1" s="64" t="s">
        <v>173</v>
      </c>
      <c r="E1" s="159" t="s">
        <v>353</v>
      </c>
      <c r="F1" s="591"/>
      <c r="G1" s="64"/>
      <c r="H1" s="582"/>
      <c r="L1" s="469"/>
      <c r="M1" s="469"/>
      <c r="N1" s="469"/>
      <c r="O1" s="469"/>
      <c r="P1" s="469"/>
      <c r="Q1" s="469"/>
      <c r="R1" s="469"/>
      <c r="S1" s="469"/>
      <c r="T1" s="469"/>
      <c r="U1" s="469"/>
      <c r="V1" s="469"/>
      <c r="W1" s="469"/>
      <c r="X1" s="469"/>
    </row>
    <row r="2" spans="1:28" s="65" customFormat="1">
      <c r="A2" s="481"/>
      <c r="B2" s="582"/>
      <c r="C2" s="591"/>
      <c r="D2" s="591"/>
      <c r="E2" s="591"/>
      <c r="F2" s="591"/>
      <c r="G2" s="682"/>
      <c r="H2" s="85"/>
      <c r="L2" s="469"/>
      <c r="M2" s="469"/>
      <c r="N2" s="469"/>
      <c r="O2" s="469"/>
      <c r="P2" s="469"/>
      <c r="Q2" s="469"/>
      <c r="R2" s="469"/>
      <c r="S2" s="469"/>
      <c r="T2" s="469"/>
      <c r="U2" s="469"/>
      <c r="V2" s="469"/>
      <c r="W2" s="469"/>
      <c r="X2" s="469"/>
    </row>
    <row r="3" spans="1:28" s="479" customFormat="1" ht="20.25">
      <c r="A3" s="480" t="s">
        <v>271</v>
      </c>
      <c r="B3" s="283"/>
      <c r="C3" s="283"/>
      <c r="D3" s="283"/>
      <c r="E3" s="283"/>
      <c r="F3" s="283"/>
      <c r="G3" s="283"/>
      <c r="H3" s="482"/>
      <c r="I3" s="283"/>
      <c r="J3" s="283"/>
      <c r="K3" s="283"/>
      <c r="L3" s="580"/>
      <c r="M3" s="580"/>
      <c r="N3" s="580"/>
      <c r="O3" s="580"/>
      <c r="P3" s="580"/>
      <c r="Q3" s="580"/>
      <c r="R3" s="580"/>
      <c r="S3" s="580"/>
      <c r="T3" s="580"/>
      <c r="U3" s="580"/>
      <c r="V3" s="580"/>
      <c r="W3" s="580"/>
      <c r="X3" s="580"/>
    </row>
    <row r="4" spans="1:28">
      <c r="A4" s="288"/>
      <c r="B4" s="288"/>
      <c r="C4" s="288"/>
      <c r="D4" s="288"/>
      <c r="E4" s="288"/>
      <c r="F4" s="288"/>
      <c r="G4" s="288"/>
      <c r="H4" s="288"/>
      <c r="I4" s="288"/>
      <c r="J4" s="288"/>
      <c r="K4" s="288"/>
    </row>
    <row r="5" spans="1:28" ht="28.5" customHeight="1">
      <c r="A5" s="940" t="str">
        <f>Contents!E22</f>
        <v xml:space="preserve">Table 18: Number of fetal and infant deaths for each ethnic group, by ICD chapter and 3-character-code of underlying cause of death, 2016
</v>
      </c>
      <c r="B5" s="941"/>
      <c r="C5" s="941"/>
      <c r="D5" s="941"/>
      <c r="E5" s="941"/>
      <c r="F5" s="941"/>
      <c r="G5" s="941"/>
      <c r="H5" s="941"/>
      <c r="I5" s="941"/>
      <c r="J5" s="941"/>
      <c r="K5" s="941"/>
      <c r="M5" s="617"/>
    </row>
    <row r="6" spans="1:28">
      <c r="A6" s="919" t="s">
        <v>330</v>
      </c>
      <c r="B6" s="942" t="s">
        <v>143</v>
      </c>
      <c r="C6" s="942"/>
      <c r="D6" s="942"/>
      <c r="E6" s="942"/>
      <c r="F6" s="943"/>
      <c r="G6" s="944" t="s">
        <v>144</v>
      </c>
      <c r="H6" s="944"/>
      <c r="I6" s="944"/>
      <c r="J6" s="944"/>
      <c r="K6" s="944"/>
    </row>
    <row r="7" spans="1:28" ht="24">
      <c r="A7" s="908"/>
      <c r="B7" s="294" t="s">
        <v>74</v>
      </c>
      <c r="C7" s="294" t="s">
        <v>320</v>
      </c>
      <c r="D7" s="294" t="s">
        <v>355</v>
      </c>
      <c r="E7" s="294" t="s">
        <v>356</v>
      </c>
      <c r="F7" s="295" t="s">
        <v>44</v>
      </c>
      <c r="G7" s="26" t="s">
        <v>74</v>
      </c>
      <c r="H7" s="294" t="s">
        <v>320</v>
      </c>
      <c r="I7" s="294" t="s">
        <v>355</v>
      </c>
      <c r="J7" s="294" t="s">
        <v>356</v>
      </c>
      <c r="K7" s="26" t="s">
        <v>44</v>
      </c>
      <c r="L7" s="543"/>
      <c r="M7" s="543"/>
      <c r="N7" s="543"/>
      <c r="O7" s="543"/>
      <c r="P7" s="543"/>
      <c r="Q7" s="543"/>
      <c r="R7" s="543"/>
      <c r="S7" s="543"/>
      <c r="T7" s="543"/>
      <c r="U7" s="543"/>
      <c r="V7" s="543"/>
      <c r="W7" s="543"/>
      <c r="X7" s="543"/>
      <c r="Y7" s="168"/>
      <c r="Z7" s="168"/>
      <c r="AA7" s="168"/>
      <c r="AB7" s="168"/>
    </row>
    <row r="8" spans="1:28" ht="21.95" customHeight="1">
      <c r="A8" s="339" t="s">
        <v>56</v>
      </c>
      <c r="B8" s="336">
        <f>SUM(B9:B10)</f>
        <v>0</v>
      </c>
      <c r="C8" s="336">
        <f t="shared" ref="C8:K8" si="0">SUM(C9:C10)</f>
        <v>0</v>
      </c>
      <c r="D8" s="336">
        <f t="shared" si="0"/>
        <v>0</v>
      </c>
      <c r="E8" s="336">
        <f t="shared" si="0"/>
        <v>0</v>
      </c>
      <c r="F8" s="715">
        <f t="shared" si="0"/>
        <v>0</v>
      </c>
      <c r="G8" s="336">
        <f t="shared" si="0"/>
        <v>1</v>
      </c>
      <c r="H8" s="336">
        <f t="shared" si="0"/>
        <v>1</v>
      </c>
      <c r="I8" s="336">
        <f t="shared" si="0"/>
        <v>0</v>
      </c>
      <c r="J8" s="336">
        <f t="shared" si="0"/>
        <v>0</v>
      </c>
      <c r="K8" s="336">
        <f t="shared" si="0"/>
        <v>2</v>
      </c>
      <c r="L8" s="543"/>
      <c r="M8" s="543"/>
      <c r="N8" s="543"/>
      <c r="O8" s="543"/>
      <c r="P8" s="543"/>
      <c r="Q8" s="543"/>
      <c r="R8" s="543"/>
      <c r="S8" s="543"/>
      <c r="T8" s="543"/>
      <c r="U8" s="543"/>
      <c r="V8" s="543"/>
      <c r="W8" s="543"/>
      <c r="X8" s="543"/>
      <c r="Y8" s="168"/>
      <c r="Z8" s="168"/>
    </row>
    <row r="9" spans="1:28" ht="15" customHeight="1">
      <c r="A9" s="713" t="s">
        <v>588</v>
      </c>
      <c r="B9" s="173"/>
      <c r="C9" s="173"/>
      <c r="D9" s="173"/>
      <c r="E9" s="173"/>
      <c r="F9" s="716"/>
      <c r="G9" s="173">
        <v>1</v>
      </c>
      <c r="H9" s="173"/>
      <c r="I9" s="173"/>
      <c r="J9" s="173"/>
      <c r="K9" s="714">
        <v>1</v>
      </c>
    </row>
    <row r="10" spans="1:28" ht="15" customHeight="1">
      <c r="A10" s="712" t="s">
        <v>589</v>
      </c>
      <c r="B10" s="173"/>
      <c r="C10" s="173"/>
      <c r="D10" s="173"/>
      <c r="E10" s="173"/>
      <c r="F10" s="716"/>
      <c r="G10" s="173"/>
      <c r="H10" s="173">
        <v>1</v>
      </c>
      <c r="I10" s="173"/>
      <c r="J10" s="173"/>
      <c r="K10" s="714">
        <v>1</v>
      </c>
    </row>
    <row r="11" spans="1:28" ht="21.95" customHeight="1">
      <c r="A11" s="339" t="s">
        <v>53</v>
      </c>
      <c r="B11" s="336">
        <v>0</v>
      </c>
      <c r="C11" s="336">
        <f>SUM(C12:C13)</f>
        <v>0</v>
      </c>
      <c r="D11" s="336">
        <f>SUM(D12:D13)</f>
        <v>0</v>
      </c>
      <c r="E11" s="336">
        <f>SUM(E12:E13)</f>
        <v>0</v>
      </c>
      <c r="F11" s="337">
        <v>0</v>
      </c>
      <c r="G11" s="336">
        <f>SUM(G12:G13)</f>
        <v>1</v>
      </c>
      <c r="H11" s="336">
        <f>SUM(H12:H13)</f>
        <v>0</v>
      </c>
      <c r="I11" s="336">
        <f>SUM(I12:I13)</f>
        <v>0</v>
      </c>
      <c r="J11" s="336">
        <f>SUM(J12:J13)</f>
        <v>1</v>
      </c>
      <c r="K11" s="336">
        <f>SUM(K12:K13)</f>
        <v>2</v>
      </c>
    </row>
    <row r="12" spans="1:28" ht="30" customHeight="1">
      <c r="A12" s="712" t="s">
        <v>590</v>
      </c>
      <c r="B12" s="173"/>
      <c r="C12" s="173"/>
      <c r="D12" s="173"/>
      <c r="E12" s="173"/>
      <c r="F12" s="716"/>
      <c r="G12" s="173">
        <v>1</v>
      </c>
      <c r="H12" s="173"/>
      <c r="I12" s="173"/>
      <c r="J12" s="173"/>
      <c r="K12" s="714">
        <v>1</v>
      </c>
    </row>
    <row r="13" spans="1:28" ht="30" customHeight="1">
      <c r="A13" s="712" t="s">
        <v>591</v>
      </c>
      <c r="B13" s="173"/>
      <c r="C13" s="173"/>
      <c r="D13" s="173"/>
      <c r="E13" s="173"/>
      <c r="F13" s="716"/>
      <c r="G13" s="173"/>
      <c r="H13" s="173"/>
      <c r="I13" s="173"/>
      <c r="J13" s="173">
        <v>1</v>
      </c>
      <c r="K13" s="714">
        <v>1</v>
      </c>
    </row>
    <row r="14" spans="1:28" ht="42" customHeight="1">
      <c r="A14" s="339" t="s">
        <v>215</v>
      </c>
      <c r="B14" s="336">
        <f>SUM(B15:B16)</f>
        <v>0</v>
      </c>
      <c r="C14" s="336">
        <f t="shared" ref="C14:K14" si="1">SUM(C15:C16)</f>
        <v>0</v>
      </c>
      <c r="D14" s="336">
        <f t="shared" si="1"/>
        <v>0</v>
      </c>
      <c r="E14" s="336">
        <f t="shared" si="1"/>
        <v>0</v>
      </c>
      <c r="F14" s="337">
        <f t="shared" si="1"/>
        <v>0</v>
      </c>
      <c r="G14" s="336">
        <f t="shared" si="1"/>
        <v>2</v>
      </c>
      <c r="H14" s="336">
        <f t="shared" si="1"/>
        <v>0</v>
      </c>
      <c r="I14" s="336">
        <f t="shared" si="1"/>
        <v>0</v>
      </c>
      <c r="J14" s="336">
        <f t="shared" si="1"/>
        <v>0</v>
      </c>
      <c r="K14" s="336">
        <f t="shared" si="1"/>
        <v>2</v>
      </c>
    </row>
    <row r="15" spans="1:28" ht="30" customHeight="1">
      <c r="A15" s="712" t="s">
        <v>538</v>
      </c>
      <c r="B15" s="173"/>
      <c r="C15" s="173"/>
      <c r="D15" s="173"/>
      <c r="E15" s="173"/>
      <c r="F15" s="716"/>
      <c r="G15" s="173">
        <v>1</v>
      </c>
      <c r="H15" s="173"/>
      <c r="I15" s="173"/>
      <c r="J15" s="173"/>
      <c r="K15" s="714">
        <v>1</v>
      </c>
    </row>
    <row r="16" spans="1:28" ht="15" customHeight="1">
      <c r="A16" s="713" t="s">
        <v>592</v>
      </c>
      <c r="B16" s="173"/>
      <c r="C16" s="173"/>
      <c r="D16" s="173"/>
      <c r="E16" s="173"/>
      <c r="F16" s="717"/>
      <c r="G16" s="173">
        <v>1</v>
      </c>
      <c r="H16" s="173"/>
      <c r="I16" s="173"/>
      <c r="J16" s="173"/>
      <c r="K16" s="714">
        <v>1</v>
      </c>
    </row>
    <row r="17" spans="1:24" s="698" customFormat="1" ht="15" customHeight="1">
      <c r="A17" s="339" t="s">
        <v>57</v>
      </c>
      <c r="B17" s="336">
        <f t="shared" ref="B17:K17" si="2">SUM(B18:B21)</f>
        <v>0</v>
      </c>
      <c r="C17" s="336">
        <f t="shared" si="2"/>
        <v>0</v>
      </c>
      <c r="D17" s="336">
        <f t="shared" si="2"/>
        <v>0</v>
      </c>
      <c r="E17" s="336">
        <f t="shared" si="2"/>
        <v>1</v>
      </c>
      <c r="F17" s="337">
        <f t="shared" si="2"/>
        <v>1</v>
      </c>
      <c r="G17" s="338">
        <f t="shared" si="2"/>
        <v>2</v>
      </c>
      <c r="H17" s="338">
        <f t="shared" si="2"/>
        <v>0</v>
      </c>
      <c r="I17" s="338">
        <f t="shared" si="2"/>
        <v>0</v>
      </c>
      <c r="J17" s="338">
        <f t="shared" si="2"/>
        <v>1</v>
      </c>
      <c r="K17" s="338">
        <f t="shared" si="2"/>
        <v>3</v>
      </c>
      <c r="L17" s="245"/>
      <c r="M17" s="245"/>
      <c r="N17" s="245"/>
      <c r="O17" s="245"/>
      <c r="P17" s="245"/>
      <c r="Q17" s="245"/>
      <c r="R17" s="245"/>
      <c r="S17" s="245"/>
      <c r="T17" s="245"/>
      <c r="U17" s="245"/>
      <c r="V17" s="245"/>
      <c r="W17" s="245"/>
      <c r="X17" s="245"/>
    </row>
    <row r="18" spans="1:24" s="237" customFormat="1" ht="15" customHeight="1">
      <c r="A18" s="713" t="s">
        <v>593</v>
      </c>
      <c r="B18" s="173"/>
      <c r="C18" s="173"/>
      <c r="D18" s="173"/>
      <c r="E18" s="173">
        <v>1</v>
      </c>
      <c r="F18" s="716">
        <v>1</v>
      </c>
      <c r="G18" s="173"/>
      <c r="H18" s="173"/>
      <c r="I18" s="173"/>
      <c r="J18" s="173"/>
      <c r="K18" s="714"/>
      <c r="L18" s="579"/>
      <c r="M18" s="579"/>
      <c r="N18" s="579"/>
      <c r="O18" s="579"/>
      <c r="P18" s="579"/>
      <c r="Q18" s="579"/>
      <c r="R18" s="579"/>
      <c r="S18" s="579"/>
      <c r="T18" s="579"/>
      <c r="U18" s="579"/>
      <c r="V18" s="579"/>
      <c r="W18" s="579"/>
      <c r="X18" s="579"/>
    </row>
    <row r="19" spans="1:24" ht="15" customHeight="1">
      <c r="A19" s="712" t="s">
        <v>594</v>
      </c>
      <c r="B19" s="173"/>
      <c r="C19" s="173"/>
      <c r="D19" s="173"/>
      <c r="E19" s="173"/>
      <c r="F19" s="716"/>
      <c r="G19" s="173">
        <v>1</v>
      </c>
      <c r="H19" s="173"/>
      <c r="I19" s="173"/>
      <c r="J19" s="173"/>
      <c r="K19" s="714">
        <v>1</v>
      </c>
    </row>
    <row r="20" spans="1:24" ht="15" customHeight="1">
      <c r="A20" s="712" t="s">
        <v>595</v>
      </c>
      <c r="B20" s="173"/>
      <c r="C20" s="173"/>
      <c r="D20" s="173"/>
      <c r="E20" s="173"/>
      <c r="F20" s="716"/>
      <c r="G20" s="173">
        <v>1</v>
      </c>
      <c r="H20" s="173"/>
      <c r="I20" s="173"/>
      <c r="J20" s="173"/>
      <c r="K20" s="714">
        <v>1</v>
      </c>
    </row>
    <row r="21" spans="1:24" ht="15" customHeight="1">
      <c r="A21" s="712" t="s">
        <v>596</v>
      </c>
      <c r="B21" s="173"/>
      <c r="C21" s="173"/>
      <c r="D21" s="173"/>
      <c r="E21" s="173"/>
      <c r="F21" s="716"/>
      <c r="G21" s="173"/>
      <c r="H21" s="173"/>
      <c r="I21" s="173"/>
      <c r="J21" s="173">
        <v>1</v>
      </c>
      <c r="K21" s="714">
        <v>1</v>
      </c>
    </row>
    <row r="22" spans="1:24" ht="15" customHeight="1">
      <c r="A22" s="339" t="s">
        <v>58</v>
      </c>
      <c r="B22" s="336">
        <f t="shared" ref="B22:K22" si="3">SUM(B23:B24)</f>
        <v>0</v>
      </c>
      <c r="C22" s="336">
        <f t="shared" si="3"/>
        <v>0</v>
      </c>
      <c r="D22" s="336">
        <f t="shared" si="3"/>
        <v>0</v>
      </c>
      <c r="E22" s="336">
        <f t="shared" si="3"/>
        <v>0</v>
      </c>
      <c r="F22" s="337">
        <f t="shared" si="3"/>
        <v>0</v>
      </c>
      <c r="G22" s="338">
        <f t="shared" si="3"/>
        <v>2</v>
      </c>
      <c r="H22" s="338">
        <f t="shared" si="3"/>
        <v>0</v>
      </c>
      <c r="I22" s="338">
        <f t="shared" si="3"/>
        <v>0</v>
      </c>
      <c r="J22" s="338">
        <f t="shared" si="3"/>
        <v>0</v>
      </c>
      <c r="K22" s="338">
        <f t="shared" si="3"/>
        <v>2</v>
      </c>
    </row>
    <row r="23" spans="1:24" ht="21.95" customHeight="1">
      <c r="A23" s="712" t="s">
        <v>529</v>
      </c>
      <c r="B23" s="593"/>
      <c r="C23" s="593"/>
      <c r="D23" s="593"/>
      <c r="E23" s="593"/>
      <c r="F23" s="716"/>
      <c r="G23" s="594">
        <v>1</v>
      </c>
      <c r="H23" s="594"/>
      <c r="I23" s="594"/>
      <c r="J23" s="594"/>
      <c r="K23" s="714">
        <v>1</v>
      </c>
    </row>
    <row r="24" spans="1:24" ht="15" customHeight="1">
      <c r="A24" s="712" t="s">
        <v>362</v>
      </c>
      <c r="B24" s="593"/>
      <c r="C24" s="593"/>
      <c r="D24" s="593"/>
      <c r="E24" s="593"/>
      <c r="F24" s="717"/>
      <c r="G24" s="594">
        <v>1</v>
      </c>
      <c r="H24" s="594"/>
      <c r="I24" s="594"/>
      <c r="J24" s="594"/>
      <c r="K24" s="714">
        <v>1</v>
      </c>
    </row>
    <row r="25" spans="1:24" ht="15" customHeight="1">
      <c r="A25" s="339" t="s">
        <v>59</v>
      </c>
      <c r="B25" s="340">
        <f t="shared" ref="B25:K25" si="4">SUM(B26:B27)</f>
        <v>0</v>
      </c>
      <c r="C25" s="340">
        <f t="shared" si="4"/>
        <v>0</v>
      </c>
      <c r="D25" s="340">
        <f t="shared" si="4"/>
        <v>1</v>
      </c>
      <c r="E25" s="340">
        <f t="shared" si="4"/>
        <v>0</v>
      </c>
      <c r="F25" s="718">
        <f t="shared" si="4"/>
        <v>1</v>
      </c>
      <c r="G25" s="341">
        <f t="shared" si="4"/>
        <v>0</v>
      </c>
      <c r="H25" s="341">
        <f t="shared" si="4"/>
        <v>0</v>
      </c>
      <c r="I25" s="341">
        <f t="shared" si="4"/>
        <v>0</v>
      </c>
      <c r="J25" s="341">
        <f t="shared" si="4"/>
        <v>1</v>
      </c>
      <c r="K25" s="341">
        <f t="shared" si="4"/>
        <v>1</v>
      </c>
    </row>
    <row r="26" spans="1:24" ht="15" customHeight="1">
      <c r="A26" s="712" t="s">
        <v>254</v>
      </c>
      <c r="B26" s="173"/>
      <c r="C26" s="173"/>
      <c r="D26" s="173">
        <v>1</v>
      </c>
      <c r="E26" s="173"/>
      <c r="F26" s="716">
        <v>1</v>
      </c>
      <c r="G26" s="173"/>
      <c r="H26" s="173"/>
      <c r="I26" s="173"/>
      <c r="J26" s="173"/>
      <c r="K26" s="714"/>
    </row>
    <row r="27" spans="1:24" ht="15" customHeight="1">
      <c r="A27" s="713" t="s">
        <v>597</v>
      </c>
      <c r="B27" s="173"/>
      <c r="C27" s="173"/>
      <c r="D27" s="173"/>
      <c r="E27" s="173"/>
      <c r="F27" s="716"/>
      <c r="G27" s="173"/>
      <c r="H27" s="173"/>
      <c r="I27" s="173"/>
      <c r="J27" s="173">
        <v>1</v>
      </c>
      <c r="K27" s="714">
        <v>1</v>
      </c>
    </row>
    <row r="28" spans="1:24" ht="15" customHeight="1">
      <c r="A28" s="339" t="s">
        <v>60</v>
      </c>
      <c r="B28" s="336">
        <f t="shared" ref="B28:K28" si="5">SUM(B29:B31)</f>
        <v>0</v>
      </c>
      <c r="C28" s="336">
        <f t="shared" si="5"/>
        <v>0</v>
      </c>
      <c r="D28" s="336">
        <f t="shared" si="5"/>
        <v>0</v>
      </c>
      <c r="E28" s="336">
        <f t="shared" si="5"/>
        <v>0</v>
      </c>
      <c r="F28" s="337">
        <f t="shared" si="5"/>
        <v>0</v>
      </c>
      <c r="G28" s="338">
        <f t="shared" si="5"/>
        <v>1</v>
      </c>
      <c r="H28" s="338">
        <f t="shared" si="5"/>
        <v>1</v>
      </c>
      <c r="I28" s="338">
        <f t="shared" si="5"/>
        <v>1</v>
      </c>
      <c r="J28" s="338">
        <f t="shared" si="5"/>
        <v>0</v>
      </c>
      <c r="K28" s="338">
        <f t="shared" si="5"/>
        <v>3</v>
      </c>
    </row>
    <row r="29" spans="1:24" ht="15" customHeight="1">
      <c r="A29" s="712" t="s">
        <v>363</v>
      </c>
      <c r="B29" s="173"/>
      <c r="C29" s="173"/>
      <c r="D29" s="173"/>
      <c r="E29" s="173"/>
      <c r="F29" s="716"/>
      <c r="G29" s="173">
        <v>1</v>
      </c>
      <c r="H29" s="173"/>
      <c r="I29" s="173"/>
      <c r="J29" s="173"/>
      <c r="K29" s="714">
        <v>1</v>
      </c>
    </row>
    <row r="30" spans="1:24" ht="15" customHeight="1">
      <c r="A30" s="712" t="s">
        <v>598</v>
      </c>
      <c r="B30" s="173"/>
      <c r="C30" s="173"/>
      <c r="D30" s="173"/>
      <c r="E30" s="173"/>
      <c r="F30" s="716"/>
      <c r="G30" s="173"/>
      <c r="H30" s="173"/>
      <c r="I30" s="173">
        <v>1</v>
      </c>
      <c r="J30" s="173"/>
      <c r="K30" s="714">
        <v>1</v>
      </c>
    </row>
    <row r="31" spans="1:24" s="698" customFormat="1" ht="15" customHeight="1">
      <c r="A31" s="712" t="s">
        <v>599</v>
      </c>
      <c r="B31" s="173"/>
      <c r="C31" s="173"/>
      <c r="D31" s="173"/>
      <c r="E31" s="173"/>
      <c r="F31" s="716"/>
      <c r="G31" s="173"/>
      <c r="H31" s="173">
        <v>1</v>
      </c>
      <c r="I31" s="173"/>
      <c r="J31" s="173"/>
      <c r="K31" s="714">
        <v>1</v>
      </c>
      <c r="L31" s="245"/>
      <c r="M31" s="245"/>
      <c r="N31" s="245"/>
      <c r="O31" s="245"/>
      <c r="P31" s="245"/>
      <c r="Q31" s="245"/>
      <c r="R31" s="245"/>
      <c r="S31" s="245"/>
      <c r="T31" s="245"/>
      <c r="U31" s="245"/>
      <c r="V31" s="245"/>
      <c r="W31" s="245"/>
      <c r="X31" s="245"/>
    </row>
    <row r="32" spans="1:24" ht="15" customHeight="1">
      <c r="A32" s="339" t="s">
        <v>61</v>
      </c>
      <c r="B32" s="339">
        <f>SUM(B33)</f>
        <v>0</v>
      </c>
      <c r="C32" s="339">
        <f t="shared" ref="C32:K32" si="6">SUM(C33)</f>
        <v>0</v>
      </c>
      <c r="D32" s="339">
        <f t="shared" si="6"/>
        <v>0</v>
      </c>
      <c r="E32" s="339">
        <f t="shared" si="6"/>
        <v>0</v>
      </c>
      <c r="F32" s="719">
        <f t="shared" si="6"/>
        <v>0</v>
      </c>
      <c r="G32" s="339">
        <f t="shared" si="6"/>
        <v>1</v>
      </c>
      <c r="H32" s="339">
        <f t="shared" si="6"/>
        <v>0</v>
      </c>
      <c r="I32" s="339">
        <f t="shared" si="6"/>
        <v>0</v>
      </c>
      <c r="J32" s="339">
        <f t="shared" si="6"/>
        <v>0</v>
      </c>
      <c r="K32" s="339">
        <f t="shared" si="6"/>
        <v>1</v>
      </c>
    </row>
    <row r="33" spans="1:24" ht="15" customHeight="1">
      <c r="A33" s="721" t="s">
        <v>600</v>
      </c>
      <c r="B33" s="173"/>
      <c r="C33" s="173"/>
      <c r="D33" s="173"/>
      <c r="E33" s="173"/>
      <c r="F33" s="720"/>
      <c r="G33" s="173">
        <v>1</v>
      </c>
      <c r="H33" s="173"/>
      <c r="I33" s="173"/>
      <c r="J33" s="173"/>
      <c r="K33" s="714">
        <v>1</v>
      </c>
    </row>
    <row r="34" spans="1:24" s="548" customFormat="1" ht="15" customHeight="1">
      <c r="A34" s="339" t="s">
        <v>54</v>
      </c>
      <c r="B34" s="336">
        <f>SUM(B35:B59)</f>
        <v>83</v>
      </c>
      <c r="C34" s="336">
        <f>SUM(C35:C59)</f>
        <v>40</v>
      </c>
      <c r="D34" s="336">
        <f t="shared" ref="D34:F34" si="7">SUM(D35:D59)</f>
        <v>49</v>
      </c>
      <c r="E34" s="336">
        <f t="shared" si="7"/>
        <v>120</v>
      </c>
      <c r="F34" s="337">
        <f t="shared" si="7"/>
        <v>292</v>
      </c>
      <c r="G34" s="336">
        <f>SUM(G35:G59)</f>
        <v>50</v>
      </c>
      <c r="H34" s="336">
        <f>SUM(H35:H59)</f>
        <v>16</v>
      </c>
      <c r="I34" s="336">
        <f t="shared" ref="I34" si="8">SUM(I35:I59)</f>
        <v>19</v>
      </c>
      <c r="J34" s="336">
        <f t="shared" ref="J34" si="9">SUM(J35:J59)</f>
        <v>41</v>
      </c>
      <c r="K34" s="336">
        <f>SUM(K35:K59)</f>
        <v>126</v>
      </c>
      <c r="L34" s="243"/>
      <c r="M34" s="243"/>
      <c r="N34" s="243"/>
      <c r="O34" s="243"/>
      <c r="P34" s="243"/>
      <c r="Q34" s="243"/>
      <c r="R34" s="243"/>
      <c r="S34" s="243"/>
      <c r="T34" s="243"/>
      <c r="U34" s="243"/>
      <c r="V34" s="243"/>
      <c r="W34" s="243"/>
      <c r="X34" s="243"/>
    </row>
    <row r="35" spans="1:24" ht="15" customHeight="1">
      <c r="A35" s="712" t="s">
        <v>222</v>
      </c>
      <c r="B35" s="173">
        <v>5</v>
      </c>
      <c r="C35" s="173">
        <v>4</v>
      </c>
      <c r="D35" s="173">
        <v>7</v>
      </c>
      <c r="E35" s="173">
        <v>18</v>
      </c>
      <c r="F35" s="716">
        <f>SUM(B35:E35)</f>
        <v>34</v>
      </c>
      <c r="G35" s="173">
        <v>2</v>
      </c>
      <c r="H35" s="173"/>
      <c r="I35" s="173">
        <v>2</v>
      </c>
      <c r="J35" s="173"/>
      <c r="K35" s="714">
        <v>4</v>
      </c>
    </row>
    <row r="36" spans="1:24" ht="15" customHeight="1">
      <c r="A36" s="712" t="s">
        <v>223</v>
      </c>
      <c r="B36" s="173">
        <v>8</v>
      </c>
      <c r="C36" s="173">
        <v>3</v>
      </c>
      <c r="D36" s="173">
        <v>2</v>
      </c>
      <c r="E36" s="173">
        <v>4</v>
      </c>
      <c r="F36" s="716">
        <f t="shared" ref="F36:F51" si="10">SUM(B36:E36)</f>
        <v>17</v>
      </c>
      <c r="G36" s="173">
        <v>19</v>
      </c>
      <c r="H36" s="173">
        <v>5</v>
      </c>
      <c r="I36" s="173">
        <v>12</v>
      </c>
      <c r="J36" s="173">
        <v>10</v>
      </c>
      <c r="K36" s="714">
        <v>46</v>
      </c>
    </row>
    <row r="37" spans="1:24" ht="15" customHeight="1">
      <c r="A37" s="712" t="s">
        <v>389</v>
      </c>
      <c r="B37" s="173">
        <v>1</v>
      </c>
      <c r="C37" s="173"/>
      <c r="D37" s="173"/>
      <c r="E37" s="173"/>
      <c r="F37" s="716">
        <f t="shared" si="10"/>
        <v>1</v>
      </c>
      <c r="G37" s="173"/>
      <c r="H37" s="173"/>
      <c r="I37" s="173"/>
      <c r="J37" s="173"/>
      <c r="K37" s="714"/>
    </row>
    <row r="38" spans="1:24" ht="15" customHeight="1">
      <c r="A38" s="712" t="s">
        <v>530</v>
      </c>
      <c r="B38" s="173"/>
      <c r="C38" s="173"/>
      <c r="D38" s="173"/>
      <c r="E38" s="173"/>
      <c r="F38" s="716"/>
      <c r="G38" s="173">
        <v>1</v>
      </c>
      <c r="H38" s="173"/>
      <c r="I38" s="173"/>
      <c r="J38" s="173"/>
      <c r="K38" s="714">
        <v>1</v>
      </c>
    </row>
    <row r="39" spans="1:24" ht="15" customHeight="1">
      <c r="A39" s="712" t="s">
        <v>224</v>
      </c>
      <c r="B39" s="173">
        <v>2</v>
      </c>
      <c r="C39" s="173">
        <v>1</v>
      </c>
      <c r="D39" s="173">
        <v>2</v>
      </c>
      <c r="E39" s="173">
        <v>10</v>
      </c>
      <c r="F39" s="716">
        <f t="shared" si="10"/>
        <v>15</v>
      </c>
      <c r="G39" s="173">
        <v>1</v>
      </c>
      <c r="H39" s="173"/>
      <c r="I39" s="173"/>
      <c r="J39" s="173"/>
      <c r="K39" s="714">
        <v>1</v>
      </c>
    </row>
    <row r="40" spans="1:24" ht="15" customHeight="1">
      <c r="A40" s="712" t="s">
        <v>255</v>
      </c>
      <c r="B40" s="173"/>
      <c r="C40" s="173"/>
      <c r="D40" s="173"/>
      <c r="E40" s="173"/>
      <c r="F40" s="716"/>
      <c r="G40" s="173"/>
      <c r="H40" s="173"/>
      <c r="I40" s="173"/>
      <c r="J40" s="173">
        <v>3</v>
      </c>
      <c r="K40" s="714">
        <v>3</v>
      </c>
    </row>
    <row r="41" spans="1:24" ht="15" customHeight="1">
      <c r="A41" s="712" t="s">
        <v>225</v>
      </c>
      <c r="B41" s="173">
        <v>2</v>
      </c>
      <c r="C41" s="173">
        <v>1</v>
      </c>
      <c r="D41" s="173">
        <v>2</v>
      </c>
      <c r="E41" s="173">
        <v>3</v>
      </c>
      <c r="F41" s="716">
        <f t="shared" si="10"/>
        <v>8</v>
      </c>
      <c r="G41" s="173">
        <v>2</v>
      </c>
      <c r="H41" s="173"/>
      <c r="I41" s="173"/>
      <c r="J41" s="173">
        <v>1</v>
      </c>
      <c r="K41" s="714">
        <v>3</v>
      </c>
    </row>
    <row r="42" spans="1:24" ht="15" customHeight="1">
      <c r="A42" s="712" t="s">
        <v>226</v>
      </c>
      <c r="B42" s="173"/>
      <c r="C42" s="173"/>
      <c r="D42" s="173">
        <v>1</v>
      </c>
      <c r="E42" s="173">
        <v>2</v>
      </c>
      <c r="F42" s="716">
        <f t="shared" si="10"/>
        <v>3</v>
      </c>
      <c r="G42" s="173"/>
      <c r="H42" s="173"/>
      <c r="I42" s="173"/>
      <c r="J42" s="173">
        <v>1</v>
      </c>
      <c r="K42" s="714">
        <v>1</v>
      </c>
    </row>
    <row r="43" spans="1:24" ht="15" customHeight="1">
      <c r="A43" s="712" t="s">
        <v>227</v>
      </c>
      <c r="B43" s="173"/>
      <c r="C43" s="173"/>
      <c r="D43" s="173"/>
      <c r="E43" s="173">
        <v>4</v>
      </c>
      <c r="F43" s="716">
        <f t="shared" si="10"/>
        <v>4</v>
      </c>
      <c r="G43" s="173"/>
      <c r="H43" s="173">
        <v>2</v>
      </c>
      <c r="I43" s="173"/>
      <c r="J43" s="173">
        <v>1</v>
      </c>
      <c r="K43" s="714">
        <v>3</v>
      </c>
    </row>
    <row r="44" spans="1:24" ht="30" customHeight="1">
      <c r="A44" s="712" t="s">
        <v>256</v>
      </c>
      <c r="B44" s="173"/>
      <c r="C44" s="173"/>
      <c r="D44" s="173"/>
      <c r="E44" s="173"/>
      <c r="F44" s="716"/>
      <c r="G44" s="173">
        <v>2</v>
      </c>
      <c r="H44" s="173">
        <v>1</v>
      </c>
      <c r="I44" s="173"/>
      <c r="J44" s="173">
        <v>4</v>
      </c>
      <c r="K44" s="714">
        <v>7</v>
      </c>
    </row>
    <row r="45" spans="1:24" ht="30" customHeight="1">
      <c r="A45" s="712" t="s">
        <v>257</v>
      </c>
      <c r="B45" s="173"/>
      <c r="C45" s="173"/>
      <c r="D45" s="173"/>
      <c r="E45" s="173"/>
      <c r="F45" s="716"/>
      <c r="G45" s="173">
        <v>3</v>
      </c>
      <c r="H45" s="173"/>
      <c r="I45" s="173"/>
      <c r="J45" s="173">
        <v>1</v>
      </c>
      <c r="K45" s="714">
        <v>4</v>
      </c>
    </row>
    <row r="46" spans="1:24" ht="30" customHeight="1">
      <c r="A46" s="712" t="s">
        <v>531</v>
      </c>
      <c r="B46" s="173"/>
      <c r="C46" s="173"/>
      <c r="D46" s="173"/>
      <c r="E46" s="173"/>
      <c r="F46" s="716"/>
      <c r="G46" s="173"/>
      <c r="H46" s="173">
        <v>1</v>
      </c>
      <c r="I46" s="173"/>
      <c r="J46" s="173"/>
      <c r="K46" s="714">
        <v>1</v>
      </c>
    </row>
    <row r="47" spans="1:24" ht="15" customHeight="1">
      <c r="A47" s="712" t="s">
        <v>532</v>
      </c>
      <c r="B47" s="173"/>
      <c r="C47" s="173"/>
      <c r="D47" s="173"/>
      <c r="E47" s="173">
        <v>1</v>
      </c>
      <c r="F47" s="716">
        <f t="shared" si="10"/>
        <v>1</v>
      </c>
      <c r="G47" s="173"/>
      <c r="H47" s="173"/>
      <c r="I47" s="173"/>
      <c r="J47" s="173"/>
      <c r="K47" s="714"/>
    </row>
    <row r="48" spans="1:24" ht="15" customHeight="1">
      <c r="A48" s="712" t="s">
        <v>228</v>
      </c>
      <c r="B48" s="173">
        <v>1</v>
      </c>
      <c r="C48" s="173"/>
      <c r="D48" s="173"/>
      <c r="E48" s="173"/>
      <c r="F48" s="716">
        <f t="shared" si="10"/>
        <v>1</v>
      </c>
      <c r="G48" s="173">
        <v>4</v>
      </c>
      <c r="H48" s="173">
        <v>3</v>
      </c>
      <c r="I48" s="173"/>
      <c r="J48" s="173">
        <v>1</v>
      </c>
      <c r="K48" s="714">
        <v>8</v>
      </c>
    </row>
    <row r="49" spans="1:24" ht="15" customHeight="1">
      <c r="A49" s="712" t="s">
        <v>229</v>
      </c>
      <c r="B49" s="173">
        <v>5</v>
      </c>
      <c r="C49" s="173">
        <v>1</v>
      </c>
      <c r="D49" s="173">
        <v>1</v>
      </c>
      <c r="E49" s="173">
        <v>8</v>
      </c>
      <c r="F49" s="716">
        <f t="shared" si="10"/>
        <v>15</v>
      </c>
      <c r="G49" s="173"/>
      <c r="H49" s="173"/>
      <c r="I49" s="173"/>
      <c r="J49" s="173"/>
      <c r="K49" s="714"/>
    </row>
    <row r="50" spans="1:24" ht="15" customHeight="1">
      <c r="A50" s="712" t="s">
        <v>230</v>
      </c>
      <c r="B50" s="173">
        <v>2</v>
      </c>
      <c r="C50" s="173"/>
      <c r="D50" s="173">
        <v>2</v>
      </c>
      <c r="E50" s="173">
        <v>3</v>
      </c>
      <c r="F50" s="716">
        <f t="shared" si="10"/>
        <v>7</v>
      </c>
      <c r="G50" s="173">
        <v>2</v>
      </c>
      <c r="H50" s="173">
        <v>3</v>
      </c>
      <c r="I50" s="173"/>
      <c r="J50" s="173">
        <v>3</v>
      </c>
      <c r="K50" s="714">
        <v>8</v>
      </c>
    </row>
    <row r="51" spans="1:24" ht="15" customHeight="1">
      <c r="A51" s="712" t="s">
        <v>601</v>
      </c>
      <c r="B51" s="173"/>
      <c r="C51" s="173"/>
      <c r="D51" s="173"/>
      <c r="E51" s="173"/>
      <c r="F51" s="716">
        <f t="shared" si="10"/>
        <v>0</v>
      </c>
      <c r="G51" s="173"/>
      <c r="H51" s="173"/>
      <c r="I51" s="173"/>
      <c r="J51" s="173">
        <v>1</v>
      </c>
      <c r="K51" s="714">
        <v>1</v>
      </c>
    </row>
    <row r="52" spans="1:24" s="698" customFormat="1" ht="15" customHeight="1">
      <c r="A52" s="712" t="s">
        <v>533</v>
      </c>
      <c r="B52" s="173"/>
      <c r="C52" s="173"/>
      <c r="D52" s="173"/>
      <c r="E52" s="173">
        <v>1</v>
      </c>
      <c r="F52" s="716">
        <v>1</v>
      </c>
      <c r="G52" s="173"/>
      <c r="H52" s="173"/>
      <c r="I52" s="173"/>
      <c r="J52" s="173"/>
      <c r="K52" s="714"/>
      <c r="L52" s="245"/>
      <c r="M52" s="245"/>
      <c r="N52" s="245"/>
      <c r="O52" s="245"/>
      <c r="P52" s="245"/>
      <c r="Q52" s="245"/>
      <c r="R52" s="245"/>
      <c r="S52" s="245"/>
      <c r="T52" s="245"/>
      <c r="U52" s="245"/>
      <c r="V52" s="245"/>
      <c r="W52" s="245"/>
      <c r="X52" s="245"/>
    </row>
    <row r="53" spans="1:24" ht="15" customHeight="1">
      <c r="A53" s="712" t="s">
        <v>602</v>
      </c>
      <c r="B53" s="173">
        <v>1</v>
      </c>
      <c r="C53" s="173"/>
      <c r="D53" s="173"/>
      <c r="E53" s="173">
        <v>3</v>
      </c>
      <c r="F53" s="716">
        <v>4</v>
      </c>
      <c r="G53" s="173"/>
      <c r="H53" s="173"/>
      <c r="I53" s="173"/>
      <c r="J53" s="173">
        <v>1</v>
      </c>
      <c r="K53" s="714">
        <v>1</v>
      </c>
    </row>
    <row r="54" spans="1:24" s="698" customFormat="1" ht="15" customHeight="1">
      <c r="A54" s="712" t="s">
        <v>603</v>
      </c>
      <c r="B54" s="173"/>
      <c r="C54" s="173">
        <v>1</v>
      </c>
      <c r="D54" s="173"/>
      <c r="E54" s="173"/>
      <c r="F54" s="716">
        <v>1</v>
      </c>
      <c r="G54" s="173"/>
      <c r="H54" s="173"/>
      <c r="I54" s="173"/>
      <c r="J54" s="173"/>
      <c r="K54" s="714"/>
      <c r="L54" s="245"/>
      <c r="M54" s="245"/>
      <c r="N54" s="245"/>
      <c r="O54" s="245"/>
      <c r="P54" s="245"/>
      <c r="Q54" s="245"/>
      <c r="R54" s="245"/>
      <c r="S54" s="245"/>
      <c r="T54" s="245"/>
      <c r="U54" s="245"/>
      <c r="V54" s="245"/>
      <c r="W54" s="245"/>
      <c r="X54" s="245"/>
    </row>
    <row r="55" spans="1:24" s="698" customFormat="1" ht="15" customHeight="1">
      <c r="A55" s="712" t="s">
        <v>258</v>
      </c>
      <c r="B55" s="173"/>
      <c r="C55" s="173"/>
      <c r="D55" s="173"/>
      <c r="E55" s="173"/>
      <c r="F55" s="716"/>
      <c r="G55" s="173">
        <v>3</v>
      </c>
      <c r="H55" s="173">
        <v>1</v>
      </c>
      <c r="I55" s="173">
        <v>1</v>
      </c>
      <c r="J55" s="173">
        <v>3</v>
      </c>
      <c r="K55" s="714">
        <v>8</v>
      </c>
      <c r="L55" s="245"/>
      <c r="M55" s="245"/>
      <c r="N55" s="245"/>
      <c r="O55" s="245"/>
      <c r="P55" s="245"/>
      <c r="Q55" s="245"/>
      <c r="R55" s="245"/>
      <c r="S55" s="245"/>
      <c r="T55" s="245"/>
      <c r="U55" s="245"/>
      <c r="V55" s="245"/>
      <c r="W55" s="245"/>
      <c r="X55" s="245"/>
    </row>
    <row r="56" spans="1:24" ht="15" customHeight="1">
      <c r="A56" s="712" t="s">
        <v>231</v>
      </c>
      <c r="B56" s="173">
        <v>1</v>
      </c>
      <c r="C56" s="173">
        <v>1</v>
      </c>
      <c r="D56" s="173">
        <v>1</v>
      </c>
      <c r="E56" s="173"/>
      <c r="F56" s="716">
        <v>3</v>
      </c>
      <c r="G56" s="173">
        <v>1</v>
      </c>
      <c r="H56" s="173"/>
      <c r="I56" s="173"/>
      <c r="J56" s="173">
        <v>1</v>
      </c>
      <c r="K56" s="714">
        <v>2</v>
      </c>
    </row>
    <row r="57" spans="1:24" ht="30" customHeight="1">
      <c r="A57" s="712" t="s">
        <v>232</v>
      </c>
      <c r="B57" s="173">
        <v>2</v>
      </c>
      <c r="C57" s="173"/>
      <c r="D57" s="173">
        <v>2</v>
      </c>
      <c r="E57" s="173"/>
      <c r="F57" s="716">
        <v>4</v>
      </c>
      <c r="G57" s="173">
        <v>4</v>
      </c>
      <c r="H57" s="173"/>
      <c r="I57" s="173">
        <v>3</v>
      </c>
      <c r="J57" s="173">
        <v>6</v>
      </c>
      <c r="K57" s="714">
        <v>13</v>
      </c>
    </row>
    <row r="58" spans="1:24" ht="15" customHeight="1">
      <c r="A58" s="712" t="s">
        <v>233</v>
      </c>
      <c r="B58" s="173">
        <v>50</v>
      </c>
      <c r="C58" s="173">
        <v>26</v>
      </c>
      <c r="D58" s="173">
        <v>27</v>
      </c>
      <c r="E58" s="173">
        <v>60</v>
      </c>
      <c r="F58" s="716">
        <v>163</v>
      </c>
      <c r="G58" s="173"/>
      <c r="H58" s="173"/>
      <c r="I58" s="173"/>
      <c r="J58" s="173"/>
      <c r="K58" s="714"/>
    </row>
    <row r="59" spans="1:24" ht="15" customHeight="1">
      <c r="A59" s="712" t="s">
        <v>234</v>
      </c>
      <c r="B59" s="173">
        <v>3</v>
      </c>
      <c r="C59" s="173">
        <v>2</v>
      </c>
      <c r="D59" s="173">
        <v>2</v>
      </c>
      <c r="E59" s="173">
        <v>3</v>
      </c>
      <c r="F59" s="717">
        <v>10</v>
      </c>
      <c r="G59" s="173">
        <v>6</v>
      </c>
      <c r="H59" s="173"/>
      <c r="I59" s="173">
        <v>1</v>
      </c>
      <c r="J59" s="173">
        <v>4</v>
      </c>
      <c r="K59" s="714">
        <v>11</v>
      </c>
    </row>
    <row r="60" spans="1:24" ht="15" customHeight="1">
      <c r="A60" s="339" t="s">
        <v>611</v>
      </c>
      <c r="B60" s="336">
        <f t="shared" ref="B60:K60" si="11">SUM(B61:B96)</f>
        <v>39</v>
      </c>
      <c r="C60" s="336">
        <f t="shared" si="11"/>
        <v>5</v>
      </c>
      <c r="D60" s="336">
        <f t="shared" si="11"/>
        <v>23</v>
      </c>
      <c r="E60" s="336">
        <f t="shared" si="11"/>
        <v>52</v>
      </c>
      <c r="F60" s="337">
        <f t="shared" si="11"/>
        <v>119</v>
      </c>
      <c r="G60" s="338">
        <f t="shared" si="11"/>
        <v>15</v>
      </c>
      <c r="H60" s="338">
        <f t="shared" si="11"/>
        <v>13</v>
      </c>
      <c r="I60" s="338">
        <f t="shared" si="11"/>
        <v>5</v>
      </c>
      <c r="J60" s="338">
        <f t="shared" si="11"/>
        <v>20</v>
      </c>
      <c r="K60" s="338">
        <f t="shared" si="11"/>
        <v>53</v>
      </c>
    </row>
    <row r="61" spans="1:24" ht="15" customHeight="1">
      <c r="A61" s="712" t="s">
        <v>235</v>
      </c>
      <c r="B61" s="593"/>
      <c r="C61" s="593"/>
      <c r="D61" s="593">
        <v>1</v>
      </c>
      <c r="E61" s="593">
        <v>1</v>
      </c>
      <c r="F61" s="716">
        <f>SUM(B61:E61)</f>
        <v>2</v>
      </c>
      <c r="G61" s="594"/>
      <c r="H61" s="594"/>
      <c r="I61" s="594"/>
      <c r="J61" s="594"/>
      <c r="K61" s="714"/>
    </row>
    <row r="62" spans="1:24" ht="15" customHeight="1">
      <c r="A62" s="712" t="s">
        <v>236</v>
      </c>
      <c r="B62" s="593"/>
      <c r="C62" s="593">
        <v>1</v>
      </c>
      <c r="D62" s="593"/>
      <c r="E62" s="593">
        <v>2</v>
      </c>
      <c r="F62" s="716">
        <f t="shared" ref="F62:F96" si="12">SUM(B62:E62)</f>
        <v>3</v>
      </c>
      <c r="H62" s="575">
        <v>1</v>
      </c>
      <c r="J62" s="575">
        <v>1</v>
      </c>
      <c r="K62" s="714">
        <v>2</v>
      </c>
    </row>
    <row r="63" spans="1:24" ht="15" customHeight="1">
      <c r="A63" s="712" t="s">
        <v>237</v>
      </c>
      <c r="B63" s="593">
        <v>1</v>
      </c>
      <c r="C63" s="593"/>
      <c r="D63" s="593">
        <v>1</v>
      </c>
      <c r="E63" s="593">
        <v>2</v>
      </c>
      <c r="F63" s="716">
        <f t="shared" si="12"/>
        <v>4</v>
      </c>
      <c r="G63" s="594">
        <v>1</v>
      </c>
      <c r="H63" s="594"/>
      <c r="I63" s="594">
        <v>2</v>
      </c>
      <c r="J63" s="594"/>
      <c r="K63" s="714">
        <v>3</v>
      </c>
    </row>
    <row r="64" spans="1:24" ht="15" customHeight="1">
      <c r="A64" s="712" t="s">
        <v>238</v>
      </c>
      <c r="B64" s="593">
        <v>2</v>
      </c>
      <c r="C64" s="593"/>
      <c r="D64" s="593">
        <v>1</v>
      </c>
      <c r="E64" s="593">
        <v>2</v>
      </c>
      <c r="F64" s="716">
        <f t="shared" si="12"/>
        <v>5</v>
      </c>
      <c r="G64" s="594"/>
      <c r="H64" s="594"/>
      <c r="I64" s="594"/>
      <c r="J64" s="594">
        <v>1</v>
      </c>
      <c r="K64" s="714">
        <v>1</v>
      </c>
    </row>
    <row r="65" spans="1:24" ht="15" customHeight="1">
      <c r="A65" s="712" t="s">
        <v>239</v>
      </c>
      <c r="B65" s="593">
        <v>3</v>
      </c>
      <c r="C65" s="593"/>
      <c r="D65" s="593">
        <v>1</v>
      </c>
      <c r="E65" s="593">
        <v>6</v>
      </c>
      <c r="F65" s="716">
        <f t="shared" si="12"/>
        <v>10</v>
      </c>
      <c r="G65" s="594"/>
      <c r="H65" s="594"/>
      <c r="I65" s="594"/>
      <c r="J65" s="594"/>
      <c r="K65" s="714"/>
    </row>
    <row r="66" spans="1:24" ht="15" customHeight="1">
      <c r="A66" s="712" t="s">
        <v>240</v>
      </c>
      <c r="B66" s="593">
        <v>1</v>
      </c>
      <c r="C66" s="593"/>
      <c r="D66" s="593">
        <v>4</v>
      </c>
      <c r="E66" s="593">
        <v>2</v>
      </c>
      <c r="F66" s="716">
        <f t="shared" si="12"/>
        <v>7</v>
      </c>
      <c r="G66" s="594"/>
      <c r="H66" s="594"/>
      <c r="I66" s="594">
        <v>1</v>
      </c>
      <c r="J66" s="594"/>
      <c r="K66" s="714">
        <v>1</v>
      </c>
    </row>
    <row r="67" spans="1:24" ht="15" customHeight="1">
      <c r="A67" s="712" t="s">
        <v>259</v>
      </c>
      <c r="B67" s="593">
        <v>1</v>
      </c>
      <c r="C67" s="593"/>
      <c r="D67" s="593"/>
      <c r="E67" s="593"/>
      <c r="F67" s="716">
        <f t="shared" si="12"/>
        <v>1</v>
      </c>
      <c r="G67" s="594">
        <v>1</v>
      </c>
      <c r="H67" s="594">
        <v>1</v>
      </c>
      <c r="I67" s="594"/>
      <c r="J67" s="594"/>
      <c r="K67" s="714">
        <v>2</v>
      </c>
    </row>
    <row r="68" spans="1:24" ht="15" customHeight="1">
      <c r="A68" s="712" t="s">
        <v>241</v>
      </c>
      <c r="B68" s="593">
        <v>1</v>
      </c>
      <c r="C68" s="593"/>
      <c r="D68" s="593"/>
      <c r="E68" s="593">
        <v>1</v>
      </c>
      <c r="F68" s="716">
        <f t="shared" si="12"/>
        <v>2</v>
      </c>
      <c r="G68" s="594"/>
      <c r="H68" s="594">
        <v>3</v>
      </c>
      <c r="I68" s="594"/>
      <c r="J68" s="594"/>
      <c r="K68" s="714">
        <v>3</v>
      </c>
    </row>
    <row r="69" spans="1:24" ht="15" customHeight="1">
      <c r="A69" s="712" t="s">
        <v>242</v>
      </c>
      <c r="B69" s="593"/>
      <c r="C69" s="593"/>
      <c r="D69" s="593">
        <v>1</v>
      </c>
      <c r="E69" s="593">
        <v>3</v>
      </c>
      <c r="F69" s="716">
        <f t="shared" si="12"/>
        <v>4</v>
      </c>
      <c r="G69" s="594">
        <v>2</v>
      </c>
      <c r="H69" s="594"/>
      <c r="I69" s="594"/>
      <c r="J69" s="594"/>
      <c r="K69" s="714">
        <v>2</v>
      </c>
    </row>
    <row r="70" spans="1:24" ht="15" customHeight="1">
      <c r="A70" s="712" t="s">
        <v>243</v>
      </c>
      <c r="B70" s="173">
        <v>5</v>
      </c>
      <c r="C70" s="173">
        <v>1</v>
      </c>
      <c r="D70" s="173">
        <v>1</v>
      </c>
      <c r="E70" s="173">
        <v>4</v>
      </c>
      <c r="F70" s="716">
        <f t="shared" si="12"/>
        <v>11</v>
      </c>
      <c r="G70" s="594"/>
      <c r="H70" s="594"/>
      <c r="I70" s="594"/>
      <c r="J70" s="594">
        <v>1</v>
      </c>
      <c r="K70" s="714">
        <v>1</v>
      </c>
    </row>
    <row r="71" spans="1:24" ht="15" customHeight="1">
      <c r="A71" s="712" t="s">
        <v>244</v>
      </c>
      <c r="F71" s="716"/>
      <c r="G71" s="594">
        <v>1</v>
      </c>
      <c r="H71" s="594">
        <v>1</v>
      </c>
      <c r="I71" s="594"/>
      <c r="J71" s="594">
        <v>1</v>
      </c>
      <c r="K71" s="714">
        <v>3</v>
      </c>
    </row>
    <row r="72" spans="1:24" ht="15" customHeight="1">
      <c r="A72" s="712" t="s">
        <v>604</v>
      </c>
      <c r="B72" s="173"/>
      <c r="C72" s="173"/>
      <c r="D72" s="173"/>
      <c r="E72" s="173">
        <v>1</v>
      </c>
      <c r="F72" s="716">
        <f t="shared" si="12"/>
        <v>1</v>
      </c>
      <c r="G72" s="594"/>
      <c r="H72" s="594"/>
      <c r="I72" s="594"/>
      <c r="J72" s="594"/>
      <c r="K72" s="714"/>
    </row>
    <row r="73" spans="1:24" s="698" customFormat="1" ht="15" customHeight="1">
      <c r="A73" s="712" t="s">
        <v>534</v>
      </c>
      <c r="B73" s="575"/>
      <c r="C73" s="575"/>
      <c r="D73" s="575"/>
      <c r="E73" s="575"/>
      <c r="F73" s="716"/>
      <c r="G73" s="594"/>
      <c r="H73" s="594"/>
      <c r="I73" s="594"/>
      <c r="J73" s="594">
        <v>1</v>
      </c>
      <c r="K73" s="714">
        <v>1</v>
      </c>
      <c r="L73" s="245"/>
      <c r="M73" s="245"/>
      <c r="N73" s="245"/>
      <c r="O73" s="245"/>
      <c r="P73" s="245"/>
      <c r="Q73" s="245"/>
      <c r="R73" s="245"/>
      <c r="S73" s="245"/>
      <c r="T73" s="245"/>
      <c r="U73" s="245"/>
      <c r="V73" s="245"/>
      <c r="W73" s="245"/>
      <c r="X73" s="245"/>
    </row>
    <row r="74" spans="1:24" ht="15" customHeight="1">
      <c r="A74" s="712" t="s">
        <v>605</v>
      </c>
      <c r="B74" s="173">
        <v>1</v>
      </c>
      <c r="C74" s="173"/>
      <c r="D74" s="173"/>
      <c r="E74" s="173"/>
      <c r="F74" s="716">
        <f t="shared" si="12"/>
        <v>1</v>
      </c>
      <c r="G74" s="594"/>
      <c r="H74" s="594"/>
      <c r="I74" s="594"/>
      <c r="J74" s="594"/>
      <c r="K74" s="714"/>
    </row>
    <row r="75" spans="1:24" s="698" customFormat="1" ht="15" customHeight="1">
      <c r="A75" s="712" t="s">
        <v>392</v>
      </c>
      <c r="B75" s="593"/>
      <c r="C75" s="593"/>
      <c r="D75" s="593"/>
      <c r="E75" s="593"/>
      <c r="F75" s="716"/>
      <c r="G75" s="575">
        <v>1</v>
      </c>
      <c r="H75" s="575"/>
      <c r="I75" s="575"/>
      <c r="J75" s="575">
        <v>1</v>
      </c>
      <c r="K75" s="714">
        <v>2</v>
      </c>
      <c r="L75" s="245"/>
      <c r="M75" s="245"/>
      <c r="N75" s="245"/>
      <c r="O75" s="245"/>
      <c r="P75" s="245"/>
      <c r="Q75" s="245"/>
      <c r="R75" s="245"/>
      <c r="S75" s="245"/>
      <c r="T75" s="245"/>
      <c r="U75" s="245"/>
      <c r="V75" s="245"/>
      <c r="W75" s="245"/>
      <c r="X75" s="245"/>
    </row>
    <row r="76" spans="1:24" ht="15" customHeight="1">
      <c r="A76" s="712" t="s">
        <v>606</v>
      </c>
      <c r="B76" s="593"/>
      <c r="C76" s="593"/>
      <c r="D76" s="593"/>
      <c r="E76" s="593"/>
      <c r="F76" s="716"/>
      <c r="G76" s="698"/>
      <c r="H76" s="698"/>
      <c r="I76" s="698">
        <v>1</v>
      </c>
      <c r="J76" s="698"/>
      <c r="K76" s="714">
        <v>1</v>
      </c>
    </row>
    <row r="77" spans="1:24" s="698" customFormat="1" ht="15" customHeight="1">
      <c r="A77" s="712" t="s">
        <v>393</v>
      </c>
      <c r="B77" s="575"/>
      <c r="C77" s="575"/>
      <c r="D77" s="575"/>
      <c r="E77" s="575"/>
      <c r="F77" s="716"/>
      <c r="G77" s="594">
        <v>1</v>
      </c>
      <c r="H77" s="594"/>
      <c r="I77" s="594"/>
      <c r="J77" s="594"/>
      <c r="K77" s="714">
        <v>1</v>
      </c>
      <c r="L77" s="245"/>
      <c r="M77" s="245"/>
      <c r="N77" s="245"/>
      <c r="O77" s="245"/>
      <c r="P77" s="245"/>
      <c r="Q77" s="245"/>
      <c r="R77" s="245"/>
      <c r="S77" s="245"/>
      <c r="T77" s="245"/>
      <c r="U77" s="245"/>
      <c r="V77" s="245"/>
      <c r="W77" s="245"/>
      <c r="X77" s="245"/>
    </row>
    <row r="78" spans="1:24" s="698" customFormat="1" ht="15" customHeight="1">
      <c r="A78" s="712" t="s">
        <v>245</v>
      </c>
      <c r="B78" s="593">
        <v>2</v>
      </c>
      <c r="C78" s="593"/>
      <c r="D78" s="593"/>
      <c r="E78" s="593"/>
      <c r="F78" s="716">
        <f t="shared" si="12"/>
        <v>2</v>
      </c>
      <c r="G78" s="594"/>
      <c r="H78" s="594">
        <v>1</v>
      </c>
      <c r="I78" s="594"/>
      <c r="J78" s="594">
        <v>1</v>
      </c>
      <c r="K78" s="714">
        <v>2</v>
      </c>
      <c r="L78" s="245"/>
      <c r="M78" s="245"/>
      <c r="N78" s="245"/>
      <c r="O78" s="245"/>
      <c r="P78" s="245"/>
      <c r="Q78" s="245"/>
      <c r="R78" s="245"/>
      <c r="S78" s="245"/>
      <c r="T78" s="245"/>
      <c r="U78" s="245"/>
      <c r="V78" s="245"/>
      <c r="W78" s="245"/>
      <c r="X78" s="245"/>
    </row>
    <row r="79" spans="1:24" ht="15" customHeight="1">
      <c r="A79" s="712" t="s">
        <v>246</v>
      </c>
      <c r="B79" s="593"/>
      <c r="C79" s="593"/>
      <c r="D79" s="593"/>
      <c r="E79" s="593">
        <v>1</v>
      </c>
      <c r="F79" s="716">
        <f t="shared" si="12"/>
        <v>1</v>
      </c>
      <c r="G79" s="594"/>
      <c r="H79" s="594"/>
      <c r="I79" s="594"/>
      <c r="J79" s="594"/>
      <c r="K79" s="714"/>
    </row>
    <row r="80" spans="1:24" ht="15" customHeight="1">
      <c r="A80" s="712" t="s">
        <v>607</v>
      </c>
      <c r="B80" s="593"/>
      <c r="C80" s="593"/>
      <c r="D80" s="593">
        <v>1</v>
      </c>
      <c r="E80" s="593"/>
      <c r="F80" s="716">
        <f t="shared" si="12"/>
        <v>1</v>
      </c>
      <c r="K80" s="714"/>
    </row>
    <row r="81" spans="1:24" ht="15" customHeight="1">
      <c r="A81" s="712" t="s">
        <v>247</v>
      </c>
      <c r="B81" s="593"/>
      <c r="C81" s="593"/>
      <c r="D81" s="593"/>
      <c r="E81" s="593">
        <v>1</v>
      </c>
      <c r="F81" s="716">
        <f t="shared" si="12"/>
        <v>1</v>
      </c>
      <c r="J81" s="575">
        <v>2</v>
      </c>
      <c r="K81" s="714">
        <v>2</v>
      </c>
    </row>
    <row r="82" spans="1:24" ht="15" customHeight="1">
      <c r="A82" s="712" t="s">
        <v>535</v>
      </c>
      <c r="B82" s="593"/>
      <c r="C82" s="593"/>
      <c r="D82" s="593"/>
      <c r="E82" s="593">
        <v>1</v>
      </c>
      <c r="F82" s="716">
        <f t="shared" si="12"/>
        <v>1</v>
      </c>
      <c r="K82" s="714"/>
    </row>
    <row r="83" spans="1:24" ht="15" customHeight="1">
      <c r="A83" s="712" t="s">
        <v>628</v>
      </c>
      <c r="B83" s="593"/>
      <c r="C83" s="593"/>
      <c r="D83" s="593">
        <v>1</v>
      </c>
      <c r="E83" s="593"/>
      <c r="F83" s="716">
        <f t="shared" si="12"/>
        <v>1</v>
      </c>
      <c r="G83" s="742"/>
      <c r="H83" s="742"/>
      <c r="I83" s="742"/>
      <c r="J83" s="742"/>
      <c r="K83" s="714"/>
    </row>
    <row r="84" spans="1:24" ht="15" customHeight="1">
      <c r="A84" s="712" t="s">
        <v>536</v>
      </c>
      <c r="B84" s="593"/>
      <c r="C84" s="593"/>
      <c r="D84" s="593"/>
      <c r="E84" s="593">
        <v>1</v>
      </c>
      <c r="F84" s="716">
        <f t="shared" si="12"/>
        <v>1</v>
      </c>
      <c r="K84" s="714"/>
    </row>
    <row r="85" spans="1:24" s="742" customFormat="1" ht="15" customHeight="1">
      <c r="A85" s="712" t="s">
        <v>608</v>
      </c>
      <c r="B85" s="593">
        <v>1</v>
      </c>
      <c r="C85" s="593"/>
      <c r="D85" s="593"/>
      <c r="E85" s="593"/>
      <c r="F85" s="716">
        <f t="shared" si="12"/>
        <v>1</v>
      </c>
      <c r="G85" s="594">
        <v>1</v>
      </c>
      <c r="H85" s="594"/>
      <c r="I85" s="594"/>
      <c r="J85" s="594"/>
      <c r="K85" s="714">
        <v>1</v>
      </c>
      <c r="L85" s="245"/>
      <c r="M85" s="245"/>
      <c r="N85" s="245"/>
      <c r="O85" s="245"/>
      <c r="P85" s="245"/>
      <c r="Q85" s="245"/>
      <c r="R85" s="245"/>
      <c r="S85" s="245"/>
      <c r="T85" s="245"/>
      <c r="U85" s="245"/>
      <c r="V85" s="245"/>
      <c r="W85" s="245"/>
      <c r="X85" s="245"/>
    </row>
    <row r="86" spans="1:24" ht="15" customHeight="1">
      <c r="A86" s="712" t="s">
        <v>341</v>
      </c>
      <c r="B86" s="593">
        <v>2</v>
      </c>
      <c r="C86" s="593"/>
      <c r="D86" s="593"/>
      <c r="E86" s="593">
        <v>1</v>
      </c>
      <c r="F86" s="716">
        <f t="shared" si="12"/>
        <v>3</v>
      </c>
      <c r="G86" s="594">
        <v>1</v>
      </c>
      <c r="H86" s="594"/>
      <c r="I86" s="594"/>
      <c r="J86" s="594"/>
      <c r="K86" s="714">
        <v>1</v>
      </c>
    </row>
    <row r="87" spans="1:24" ht="15" customHeight="1">
      <c r="A87" s="712" t="s">
        <v>248</v>
      </c>
      <c r="B87" s="593">
        <v>2</v>
      </c>
      <c r="C87" s="593"/>
      <c r="D87" s="593"/>
      <c r="E87" s="593">
        <v>2</v>
      </c>
      <c r="F87" s="716">
        <f t="shared" si="12"/>
        <v>4</v>
      </c>
      <c r="G87" s="594">
        <v>1</v>
      </c>
      <c r="H87" s="594"/>
      <c r="I87" s="594"/>
      <c r="J87" s="594">
        <v>3</v>
      </c>
      <c r="K87" s="714">
        <v>4</v>
      </c>
    </row>
    <row r="88" spans="1:24" ht="15" customHeight="1">
      <c r="A88" s="712" t="s">
        <v>249</v>
      </c>
      <c r="B88" s="593">
        <v>1</v>
      </c>
      <c r="C88" s="593"/>
      <c r="D88" s="593"/>
      <c r="E88" s="593">
        <v>2</v>
      </c>
      <c r="F88" s="716">
        <f t="shared" si="12"/>
        <v>3</v>
      </c>
      <c r="G88" s="594">
        <v>1</v>
      </c>
      <c r="H88" s="594">
        <v>1</v>
      </c>
      <c r="I88" s="594"/>
      <c r="J88" s="594">
        <v>1</v>
      </c>
      <c r="K88" s="714">
        <v>3</v>
      </c>
    </row>
    <row r="89" spans="1:24" ht="15" customHeight="1">
      <c r="A89" s="712" t="s">
        <v>250</v>
      </c>
      <c r="B89" s="593">
        <v>4</v>
      </c>
      <c r="C89" s="593"/>
      <c r="D89" s="593">
        <v>3</v>
      </c>
      <c r="E89" s="593">
        <v>2</v>
      </c>
      <c r="F89" s="716">
        <f t="shared" si="12"/>
        <v>9</v>
      </c>
      <c r="G89" s="594">
        <v>2</v>
      </c>
      <c r="H89" s="594"/>
      <c r="I89" s="594">
        <v>1</v>
      </c>
      <c r="J89" s="594">
        <v>1</v>
      </c>
      <c r="K89" s="714">
        <v>4</v>
      </c>
    </row>
    <row r="90" spans="1:24" ht="15" customHeight="1">
      <c r="A90" s="712" t="s">
        <v>251</v>
      </c>
      <c r="B90" s="593">
        <v>4</v>
      </c>
      <c r="C90" s="593">
        <v>2</v>
      </c>
      <c r="D90" s="593">
        <v>3</v>
      </c>
      <c r="E90" s="593">
        <v>4</v>
      </c>
      <c r="F90" s="716">
        <f t="shared" si="12"/>
        <v>13</v>
      </c>
      <c r="G90" s="594">
        <v>1</v>
      </c>
      <c r="H90" s="594">
        <v>1</v>
      </c>
      <c r="I90" s="594"/>
      <c r="J90" s="594">
        <v>2</v>
      </c>
      <c r="K90" s="714">
        <v>4</v>
      </c>
    </row>
    <row r="91" spans="1:24" s="698" customFormat="1" ht="15" customHeight="1">
      <c r="A91" s="712" t="s">
        <v>252</v>
      </c>
      <c r="B91" s="593">
        <v>3</v>
      </c>
      <c r="C91" s="593"/>
      <c r="D91" s="593">
        <v>1</v>
      </c>
      <c r="E91" s="593">
        <v>3</v>
      </c>
      <c r="F91" s="716">
        <f t="shared" si="12"/>
        <v>7</v>
      </c>
      <c r="G91" s="594"/>
      <c r="H91" s="594">
        <v>3</v>
      </c>
      <c r="I91" s="594"/>
      <c r="J91" s="594">
        <v>2</v>
      </c>
      <c r="K91" s="714">
        <v>5</v>
      </c>
      <c r="L91" s="245"/>
      <c r="M91" s="245"/>
      <c r="N91" s="245"/>
      <c r="O91" s="245"/>
      <c r="P91" s="245"/>
      <c r="Q91" s="245"/>
      <c r="R91" s="245"/>
      <c r="S91" s="245"/>
      <c r="T91" s="245"/>
      <c r="U91" s="245"/>
      <c r="V91" s="245"/>
      <c r="W91" s="245"/>
      <c r="X91" s="245"/>
    </row>
    <row r="92" spans="1:24" ht="15" customHeight="1">
      <c r="A92" s="712" t="s">
        <v>537</v>
      </c>
      <c r="B92" s="593">
        <v>1</v>
      </c>
      <c r="C92" s="593">
        <v>1</v>
      </c>
      <c r="D92" s="593">
        <v>1</v>
      </c>
      <c r="E92" s="593">
        <v>1</v>
      </c>
      <c r="F92" s="716">
        <f t="shared" si="12"/>
        <v>4</v>
      </c>
      <c r="G92" s="594">
        <v>1</v>
      </c>
      <c r="H92" s="594"/>
      <c r="I92" s="594"/>
      <c r="J92" s="594">
        <v>2</v>
      </c>
      <c r="K92" s="714">
        <v>3</v>
      </c>
    </row>
    <row r="93" spans="1:24" ht="15" customHeight="1">
      <c r="A93" s="712" t="s">
        <v>260</v>
      </c>
      <c r="B93" s="593">
        <v>1</v>
      </c>
      <c r="C93" s="593"/>
      <c r="D93" s="593">
        <v>1</v>
      </c>
      <c r="E93" s="593">
        <v>2</v>
      </c>
      <c r="F93" s="716">
        <f t="shared" si="12"/>
        <v>4</v>
      </c>
      <c r="G93" s="594"/>
      <c r="H93" s="594">
        <v>1</v>
      </c>
      <c r="I93" s="594"/>
      <c r="J93" s="594"/>
      <c r="K93" s="714">
        <v>1</v>
      </c>
    </row>
    <row r="94" spans="1:24" ht="15" customHeight="1">
      <c r="A94" s="712" t="s">
        <v>390</v>
      </c>
      <c r="B94" s="593"/>
      <c r="C94" s="593"/>
      <c r="D94" s="593">
        <v>2</v>
      </c>
      <c r="E94" s="593">
        <v>1</v>
      </c>
      <c r="F94" s="716">
        <f t="shared" si="12"/>
        <v>3</v>
      </c>
      <c r="G94" s="594"/>
      <c r="H94" s="594"/>
      <c r="I94" s="594"/>
      <c r="J94" s="594"/>
      <c r="K94" s="714"/>
    </row>
    <row r="95" spans="1:24" ht="15" customHeight="1">
      <c r="A95" s="712" t="s">
        <v>391</v>
      </c>
      <c r="B95" s="593"/>
      <c r="C95" s="593"/>
      <c r="D95" s="593"/>
      <c r="E95" s="593">
        <v>1</v>
      </c>
      <c r="F95" s="716">
        <f t="shared" si="12"/>
        <v>1</v>
      </c>
      <c r="G95" s="594"/>
      <c r="H95" s="594"/>
      <c r="I95" s="594"/>
      <c r="J95" s="594"/>
      <c r="K95" s="714"/>
    </row>
    <row r="96" spans="1:24" ht="15" customHeight="1">
      <c r="A96" s="712" t="s">
        <v>253</v>
      </c>
      <c r="B96" s="593">
        <v>3</v>
      </c>
      <c r="C96" s="593"/>
      <c r="D96" s="593"/>
      <c r="E96" s="593">
        <v>5</v>
      </c>
      <c r="F96" s="716">
        <f t="shared" si="12"/>
        <v>8</v>
      </c>
      <c r="G96" s="594"/>
      <c r="H96" s="594"/>
      <c r="I96" s="594"/>
      <c r="J96" s="594"/>
      <c r="K96" s="714"/>
    </row>
    <row r="97" spans="1:24" ht="30" customHeight="1">
      <c r="A97" s="339" t="s">
        <v>62</v>
      </c>
      <c r="B97" s="336">
        <f>SUM(B98:B99)</f>
        <v>0</v>
      </c>
      <c r="C97" s="336">
        <f t="shared" ref="C97:K97" si="13">SUM(C98:C99)</f>
        <v>0</v>
      </c>
      <c r="D97" s="336">
        <f>SUM(D98:D99)</f>
        <v>0</v>
      </c>
      <c r="E97" s="336">
        <f>SUM(E98:E99)</f>
        <v>0</v>
      </c>
      <c r="F97" s="337">
        <f t="shared" si="13"/>
        <v>0</v>
      </c>
      <c r="G97" s="338">
        <f t="shared" si="13"/>
        <v>14</v>
      </c>
      <c r="H97" s="338">
        <f t="shared" si="13"/>
        <v>4</v>
      </c>
      <c r="I97" s="338">
        <f t="shared" si="13"/>
        <v>0</v>
      </c>
      <c r="J97" s="338">
        <f>SUM(J98:J99)</f>
        <v>5</v>
      </c>
      <c r="K97" s="338">
        <f t="shared" si="13"/>
        <v>23</v>
      </c>
    </row>
    <row r="98" spans="1:24" ht="15" customHeight="1">
      <c r="A98" s="712" t="s">
        <v>261</v>
      </c>
      <c r="B98" s="173"/>
      <c r="C98" s="173"/>
      <c r="D98" s="173"/>
      <c r="E98" s="173"/>
      <c r="F98" s="716"/>
      <c r="G98" s="173">
        <v>12</v>
      </c>
      <c r="H98" s="173">
        <v>3</v>
      </c>
      <c r="I98" s="173"/>
      <c r="J98" s="173">
        <v>4</v>
      </c>
      <c r="K98" s="714">
        <v>19</v>
      </c>
    </row>
    <row r="99" spans="1:24" ht="15" customHeight="1">
      <c r="A99" s="712" t="s">
        <v>262</v>
      </c>
      <c r="B99" s="173"/>
      <c r="C99" s="173"/>
      <c r="D99" s="173"/>
      <c r="E99" s="173"/>
      <c r="F99" s="717"/>
      <c r="G99" s="173">
        <v>2</v>
      </c>
      <c r="H99" s="173">
        <v>1</v>
      </c>
      <c r="I99" s="173"/>
      <c r="J99" s="173">
        <v>1</v>
      </c>
      <c r="K99" s="714">
        <v>4</v>
      </c>
    </row>
    <row r="100" spans="1:24" ht="15" customHeight="1">
      <c r="A100" s="339" t="s">
        <v>630</v>
      </c>
      <c r="B100" s="336">
        <f>SUM(B101:B105)</f>
        <v>0</v>
      </c>
      <c r="C100" s="336">
        <f t="shared" ref="C100:K100" si="14">SUM(C101:C105)</f>
        <v>0</v>
      </c>
      <c r="D100" s="336">
        <f t="shared" si="14"/>
        <v>0</v>
      </c>
      <c r="E100" s="336">
        <f t="shared" si="14"/>
        <v>0</v>
      </c>
      <c r="F100" s="337">
        <f t="shared" si="14"/>
        <v>0</v>
      </c>
      <c r="G100" s="336">
        <f t="shared" si="14"/>
        <v>14</v>
      </c>
      <c r="H100" s="336">
        <f t="shared" si="14"/>
        <v>2</v>
      </c>
      <c r="I100" s="336">
        <f t="shared" si="14"/>
        <v>2</v>
      </c>
      <c r="J100" s="336">
        <f t="shared" si="14"/>
        <v>5</v>
      </c>
      <c r="K100" s="336">
        <f t="shared" si="14"/>
        <v>23</v>
      </c>
    </row>
    <row r="101" spans="1:24" ht="30" customHeight="1">
      <c r="A101" s="713" t="s">
        <v>609</v>
      </c>
      <c r="B101" s="173"/>
      <c r="C101" s="173"/>
      <c r="D101" s="173"/>
      <c r="E101" s="173"/>
      <c r="F101" s="716"/>
      <c r="G101" s="173"/>
      <c r="H101" s="173"/>
      <c r="I101" s="173">
        <v>1</v>
      </c>
      <c r="J101" s="173"/>
      <c r="K101" s="714">
        <v>1</v>
      </c>
    </row>
    <row r="102" spans="1:24" ht="30" customHeight="1">
      <c r="A102" s="713" t="s">
        <v>610</v>
      </c>
      <c r="B102" s="173"/>
      <c r="C102" s="173"/>
      <c r="D102" s="173"/>
      <c r="E102" s="173"/>
      <c r="F102" s="716"/>
      <c r="G102" s="173"/>
      <c r="H102" s="173"/>
      <c r="I102" s="173"/>
      <c r="J102" s="173">
        <v>1</v>
      </c>
      <c r="K102" s="714">
        <v>1</v>
      </c>
    </row>
    <row r="103" spans="1:24" s="592" customFormat="1" ht="15" customHeight="1">
      <c r="A103" s="713" t="s">
        <v>629</v>
      </c>
      <c r="B103" s="173"/>
      <c r="C103" s="173"/>
      <c r="D103" s="173"/>
      <c r="E103" s="173"/>
      <c r="F103" s="716"/>
      <c r="G103" s="173"/>
      <c r="H103" s="173"/>
      <c r="I103" s="173"/>
      <c r="J103" s="173">
        <v>1</v>
      </c>
      <c r="K103" s="714">
        <v>1</v>
      </c>
    </row>
    <row r="104" spans="1:24" ht="15" customHeight="1">
      <c r="A104" s="713" t="s">
        <v>263</v>
      </c>
      <c r="B104" s="173"/>
      <c r="C104" s="173"/>
      <c r="D104" s="173"/>
      <c r="E104" s="173"/>
      <c r="F104" s="716"/>
      <c r="G104" s="173">
        <v>13</v>
      </c>
      <c r="H104" s="173">
        <v>2</v>
      </c>
      <c r="I104" s="173">
        <v>1</v>
      </c>
      <c r="J104" s="173">
        <v>3</v>
      </c>
      <c r="K104" s="714">
        <v>19</v>
      </c>
    </row>
    <row r="105" spans="1:24" s="698" customFormat="1" ht="15" customHeight="1">
      <c r="A105" s="712" t="s">
        <v>394</v>
      </c>
      <c r="B105" s="173"/>
      <c r="C105" s="173"/>
      <c r="D105" s="173"/>
      <c r="E105" s="173"/>
      <c r="F105" s="717"/>
      <c r="G105" s="173">
        <v>1</v>
      </c>
      <c r="H105" s="173"/>
      <c r="I105" s="173"/>
      <c r="J105" s="173"/>
      <c r="K105" s="714">
        <v>1</v>
      </c>
      <c r="L105" s="245"/>
      <c r="M105" s="245"/>
      <c r="N105" s="245"/>
      <c r="O105" s="245"/>
      <c r="P105" s="245"/>
      <c r="Q105" s="245"/>
      <c r="R105" s="245"/>
      <c r="S105" s="245"/>
      <c r="T105" s="245"/>
      <c r="U105" s="245"/>
      <c r="V105" s="245"/>
      <c r="W105" s="245"/>
      <c r="X105" s="245"/>
    </row>
    <row r="106" spans="1:24" ht="15" customHeight="1">
      <c r="A106" s="722" t="s">
        <v>44</v>
      </c>
      <c r="B106" s="342">
        <f>SUM(B8,B11,B14,B17,B22,B25,B28,B34,B60,B97,B100)</f>
        <v>122</v>
      </c>
      <c r="C106" s="342">
        <f>SUM(C8,C11,C14,C17,C22,C25,C28,C34,C60,C97,C100)</f>
        <v>45</v>
      </c>
      <c r="D106" s="342">
        <f>SUM(D8,D11,D14,D17,D22,D25,D28,D34,D60,D97,D100)</f>
        <v>73</v>
      </c>
      <c r="E106" s="342">
        <f>SUM(E8,E11,E14,E17,E22,E25,E28,E34,E60,E97,E100)</f>
        <v>173</v>
      </c>
      <c r="F106" s="343">
        <f>SUM(F8,F11,F14,F17,F22,F25,F28,F34,F60,F97,F100)</f>
        <v>413</v>
      </c>
      <c r="G106" s="342">
        <f>SUM(G8,G11,G14,G17,G22,G25,G28,G32,G34,G60,G97,G100)</f>
        <v>103</v>
      </c>
      <c r="H106" s="342">
        <f>SUM(H8,H11,H14,H17,H22,H25,H28,H32,H34,H60,H97,H100)</f>
        <v>37</v>
      </c>
      <c r="I106" s="342">
        <f>SUM(I8,I11,I14,I17,I22,I25,I28,I32,I34,I60,I97,I100)</f>
        <v>27</v>
      </c>
      <c r="J106" s="342">
        <f>SUM(J8,J11,J14,J17,J22,J25,J28, J32, J34,J60,J97,J100)</f>
        <v>74</v>
      </c>
      <c r="K106" s="342">
        <f>SUM(K8,K11,K14,K17,K22,K25,K28, K32, K34,K60,K97,K100)</f>
        <v>241</v>
      </c>
    </row>
    <row r="107" spans="1:24" ht="15" customHeight="1">
      <c r="A107" s="683" t="s">
        <v>625</v>
      </c>
      <c r="B107" s="48"/>
      <c r="C107" s="48"/>
      <c r="D107" s="48"/>
      <c r="E107" s="48"/>
      <c r="F107" s="48"/>
      <c r="G107" s="48"/>
      <c r="H107" s="48"/>
      <c r="I107" s="48"/>
      <c r="J107" s="48"/>
      <c r="K107" s="48"/>
    </row>
    <row r="108" spans="1:24" ht="54" customHeight="1">
      <c r="A108" s="938" t="s">
        <v>373</v>
      </c>
      <c r="B108" s="931"/>
      <c r="C108" s="931"/>
      <c r="D108" s="931"/>
      <c r="E108" s="931"/>
      <c r="F108" s="931"/>
      <c r="G108" s="931"/>
      <c r="H108" s="931"/>
      <c r="I108" s="931"/>
      <c r="J108" s="931"/>
      <c r="K108" s="931"/>
    </row>
    <row r="109" spans="1:24" s="72" customFormat="1">
      <c r="A109" s="101"/>
      <c r="B109" s="575"/>
      <c r="C109" s="575"/>
      <c r="D109" s="575"/>
      <c r="E109" s="575"/>
      <c r="F109" s="575"/>
      <c r="G109" s="575"/>
      <c r="H109" s="575"/>
      <c r="I109" s="575"/>
      <c r="J109" s="575"/>
      <c r="K109" s="575"/>
      <c r="L109" s="546"/>
      <c r="M109" s="546"/>
      <c r="N109" s="546"/>
      <c r="O109" s="546"/>
      <c r="P109" s="546"/>
      <c r="Q109" s="546"/>
      <c r="R109" s="546"/>
      <c r="S109" s="546"/>
      <c r="T109" s="546"/>
      <c r="U109" s="546"/>
      <c r="V109" s="546"/>
      <c r="W109" s="546"/>
      <c r="X109" s="546"/>
    </row>
    <row r="110" spans="1:24" s="237" customFormat="1" ht="53.25" customHeight="1">
      <c r="A110" s="101"/>
      <c r="B110" s="575"/>
      <c r="C110" s="575"/>
      <c r="D110" s="575"/>
      <c r="E110" s="575"/>
      <c r="F110" s="575"/>
      <c r="G110" s="575"/>
      <c r="H110" s="575"/>
      <c r="I110" s="575"/>
      <c r="J110" s="575"/>
      <c r="K110" s="575"/>
      <c r="L110" s="579"/>
      <c r="M110" s="579"/>
      <c r="N110" s="579"/>
      <c r="O110" s="579"/>
      <c r="P110" s="579"/>
      <c r="Q110" s="579"/>
      <c r="R110" s="579"/>
      <c r="S110" s="579"/>
      <c r="T110" s="579"/>
      <c r="U110" s="579"/>
      <c r="V110" s="579"/>
      <c r="W110" s="579"/>
      <c r="X110" s="579"/>
    </row>
  </sheetData>
  <mergeCells count="5">
    <mergeCell ref="A5:K5"/>
    <mergeCell ref="A6:A7"/>
    <mergeCell ref="B6:F6"/>
    <mergeCell ref="G6:K6"/>
    <mergeCell ref="A108:K108"/>
  </mergeCells>
  <hyperlinks>
    <hyperlink ref="B1" location="Glossary!A1" display="Glossary" xr:uid="{00000000-0004-0000-0D00-000000000000}"/>
    <hyperlink ref="A1" location="Contents!A1" display="Table of contents" xr:uid="{00000000-0004-0000-0D00-000001000000}"/>
    <hyperlink ref="C1" location="About!A1" display="About the publication" xr:uid="{00000000-0004-0000-0D00-000002000000}"/>
    <hyperlink ref="E1" location="KeyFindings!A1" display="Key findings" xr:uid="{00000000-0004-0000-0D00-000003000000}"/>
  </hyperlinks>
  <pageMargins left="0.70866141732283472" right="0.70866141732283472" top="0.74803149606299213" bottom="0.74803149606299213" header="0.31496062992125984" footer="0.31496062992125984"/>
  <pageSetup paperSize="9" scale="55" fitToHeight="2" orientation="portrait" r:id="rId1"/>
  <headerFooter>
    <oddFooter>&amp;L&amp;"Arial,Regular"&amp;8&amp;K01+019Fetal and Infant Deaths 2016&amp;R&amp;"Arial,Regular"&amp;8&amp;K01+018Page &amp;P of &amp;N</oddFooter>
  </headerFooter>
  <rowBreaks count="3" manualBreakCount="3">
    <brk id="34" max="16383" man="1"/>
    <brk id="60" max="16383" man="1"/>
    <brk id="96"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pageSetUpPr fitToPage="1"/>
  </sheetPr>
  <dimension ref="A1:BG74"/>
  <sheetViews>
    <sheetView zoomScaleNormal="100" workbookViewId="0">
      <pane ySplit="8" topLeftCell="A9" activePane="bottomLeft" state="frozen"/>
      <selection activeCell="AA1" sqref="AA1:AP1048576"/>
      <selection pane="bottomLeft" activeCell="A9" sqref="A9"/>
    </sheetView>
  </sheetViews>
  <sheetFormatPr defaultRowHeight="15"/>
  <cols>
    <col min="1" max="1" width="25.42578125" style="77" customWidth="1"/>
    <col min="2" max="9" width="8.28515625" style="77" customWidth="1"/>
    <col min="10" max="10" width="8.28515625" style="548" customWidth="1"/>
    <col min="11" max="11" width="8.28515625" style="77" customWidth="1"/>
    <col min="12" max="17" width="10.42578125" style="77" customWidth="1"/>
    <col min="18" max="18" width="14.7109375" style="77" customWidth="1"/>
    <col min="19" max="19" width="9.140625" style="77" customWidth="1"/>
    <col min="20" max="21" width="9.140625" style="243" customWidth="1"/>
    <col min="22" max="39" width="9.140625" style="780"/>
    <col min="40" max="49" width="9.140625" style="243"/>
    <col min="50" max="16384" width="9.140625" style="77"/>
  </cols>
  <sheetData>
    <row r="1" spans="1:59" s="103" customFormat="1">
      <c r="A1" s="88" t="s">
        <v>158</v>
      </c>
      <c r="B1" s="88" t="s">
        <v>115</v>
      </c>
      <c r="C1" s="88" t="s">
        <v>173</v>
      </c>
      <c r="F1" s="159" t="s">
        <v>353</v>
      </c>
      <c r="T1" s="516"/>
      <c r="U1" s="516"/>
      <c r="V1" s="515"/>
      <c r="W1" s="515"/>
      <c r="X1" s="515"/>
      <c r="Y1" s="515"/>
      <c r="Z1" s="515"/>
      <c r="AA1" s="515"/>
      <c r="AB1" s="515"/>
      <c r="AC1" s="515"/>
      <c r="AD1" s="515"/>
      <c r="AE1" s="515"/>
      <c r="AF1" s="515"/>
      <c r="AG1" s="515"/>
      <c r="AH1" s="515"/>
      <c r="AI1" s="515"/>
      <c r="AJ1" s="515"/>
      <c r="AK1" s="515"/>
      <c r="AL1" s="515"/>
      <c r="AM1" s="515"/>
      <c r="AN1" s="516"/>
      <c r="AO1" s="516"/>
      <c r="AP1" s="516"/>
      <c r="AQ1" s="516"/>
      <c r="AR1" s="516"/>
      <c r="AS1" s="516"/>
      <c r="AT1" s="516"/>
      <c r="AU1" s="516"/>
      <c r="AV1" s="516"/>
      <c r="AW1" s="516"/>
    </row>
    <row r="2" spans="1:59" s="103" customFormat="1" ht="9" customHeight="1">
      <c r="A2" s="88"/>
      <c r="T2" s="516"/>
      <c r="U2" s="516"/>
      <c r="V2" s="515"/>
      <c r="W2" s="515"/>
      <c r="X2" s="515"/>
      <c r="Y2" s="515"/>
      <c r="Z2" s="515"/>
      <c r="AA2" s="515"/>
      <c r="AB2" s="515"/>
      <c r="AC2" s="515"/>
      <c r="AD2" s="515"/>
      <c r="AE2" s="515"/>
      <c r="AF2" s="515"/>
      <c r="AG2" s="515"/>
      <c r="AH2" s="515"/>
      <c r="AI2" s="515"/>
      <c r="AJ2" s="515"/>
      <c r="AK2" s="515"/>
      <c r="AL2" s="515"/>
      <c r="AM2" s="515"/>
      <c r="AN2" s="516"/>
      <c r="AO2" s="516"/>
      <c r="AP2" s="516"/>
      <c r="AQ2" s="516"/>
      <c r="AR2" s="516"/>
      <c r="AS2" s="516"/>
      <c r="AT2" s="516"/>
      <c r="AU2" s="516"/>
      <c r="AV2" s="516"/>
      <c r="AW2" s="516"/>
    </row>
    <row r="3" spans="1:59" s="283" customFormat="1" ht="20.25">
      <c r="A3" s="1000" t="s">
        <v>481</v>
      </c>
      <c r="T3" s="471"/>
      <c r="U3" s="471"/>
      <c r="V3" s="805"/>
      <c r="W3" s="805"/>
      <c r="X3" s="805"/>
      <c r="Y3" s="805"/>
      <c r="Z3" s="805"/>
      <c r="AA3" s="805"/>
      <c r="AB3" s="805"/>
      <c r="AC3" s="805"/>
      <c r="AD3" s="805"/>
      <c r="AE3" s="805"/>
      <c r="AF3" s="805"/>
      <c r="AG3" s="805"/>
      <c r="AH3" s="805"/>
      <c r="AI3" s="805"/>
      <c r="AJ3" s="805"/>
      <c r="AK3" s="805"/>
      <c r="AL3" s="805"/>
      <c r="AM3" s="805"/>
      <c r="AN3" s="471"/>
      <c r="AO3" s="471"/>
      <c r="AP3" s="471"/>
      <c r="AQ3" s="471"/>
      <c r="AR3" s="471"/>
      <c r="AS3" s="471"/>
      <c r="AT3" s="471"/>
      <c r="AU3" s="471"/>
      <c r="AV3" s="471"/>
      <c r="AW3" s="471"/>
    </row>
    <row r="4" spans="1:59" s="483" customFormat="1">
      <c r="A4" s="288"/>
      <c r="B4" s="288"/>
      <c r="C4" s="288"/>
      <c r="D4" s="288"/>
      <c r="E4" s="288"/>
      <c r="F4" s="288"/>
      <c r="G4" s="288"/>
      <c r="H4" s="288"/>
      <c r="I4" s="288"/>
      <c r="J4" s="288"/>
      <c r="K4" s="288"/>
      <c r="L4" s="288"/>
      <c r="M4" s="288"/>
      <c r="N4" s="288"/>
      <c r="O4" s="288"/>
      <c r="P4" s="288"/>
      <c r="Q4" s="288"/>
      <c r="R4" s="288"/>
      <c r="S4" s="288"/>
      <c r="T4" s="609"/>
      <c r="U4" s="609"/>
      <c r="V4" s="806"/>
      <c r="W4" s="806"/>
      <c r="X4" s="806"/>
      <c r="Y4" s="806"/>
      <c r="Z4" s="806"/>
      <c r="AA4" s="806"/>
      <c r="AB4" s="806"/>
      <c r="AC4" s="806"/>
      <c r="AD4" s="806"/>
      <c r="AE4" s="806"/>
      <c r="AF4" s="806"/>
      <c r="AG4" s="806"/>
      <c r="AH4" s="806"/>
      <c r="AI4" s="806"/>
      <c r="AJ4" s="806"/>
      <c r="AK4" s="806"/>
      <c r="AL4" s="806"/>
      <c r="AM4" s="806"/>
      <c r="AN4" s="609"/>
      <c r="AO4" s="609"/>
      <c r="AP4" s="609"/>
      <c r="AQ4" s="609"/>
      <c r="AR4" s="609"/>
      <c r="AS4" s="609"/>
      <c r="AT4" s="609"/>
      <c r="AU4" s="609"/>
      <c r="AV4" s="609"/>
      <c r="AW4" s="609"/>
      <c r="AX4" s="288"/>
      <c r="AY4" s="288"/>
      <c r="AZ4" s="288"/>
      <c r="BA4" s="288"/>
      <c r="BB4" s="288"/>
      <c r="BC4" s="288"/>
      <c r="BD4" s="288"/>
      <c r="BE4" s="288"/>
      <c r="BF4" s="288"/>
      <c r="BG4" s="288"/>
    </row>
    <row r="5" spans="1:59" s="431" customFormat="1" ht="45.75" customHeight="1">
      <c r="A5" s="949" t="str">
        <f>Contents!E23</f>
        <v xml:space="preserve">Table 19: Number of infant deaths classified as sudden infant death syndrome (SIDS) and sudden unexpected death in infancy (SUDI) in those aged &lt;1 year, by sex, ethnic group, maternal age group, deprivation quintile of residence, gestational age, birthweight and DHB of domicile during 2007−2016, and rates for the aggregate period 2012−2016
</v>
      </c>
      <c r="B5" s="949"/>
      <c r="C5" s="949"/>
      <c r="D5" s="949"/>
      <c r="E5" s="949"/>
      <c r="F5" s="949"/>
      <c r="G5" s="949"/>
      <c r="H5" s="949"/>
      <c r="I5" s="949"/>
      <c r="J5" s="949"/>
      <c r="K5" s="949"/>
      <c r="L5" s="949"/>
      <c r="M5" s="949"/>
      <c r="N5" s="949"/>
      <c r="O5" s="77"/>
      <c r="P5" s="77"/>
      <c r="Q5" s="77"/>
      <c r="R5" s="77"/>
      <c r="S5" s="77"/>
      <c r="T5" s="243"/>
      <c r="U5" s="243"/>
      <c r="V5" s="780"/>
      <c r="W5" s="780" t="s">
        <v>419</v>
      </c>
      <c r="X5" s="807"/>
      <c r="Y5" s="780"/>
      <c r="Z5" s="780"/>
      <c r="AA5" s="780"/>
      <c r="AB5" s="780"/>
      <c r="AC5" s="780"/>
      <c r="AD5" s="780"/>
      <c r="AE5" s="780"/>
      <c r="AF5" s="780"/>
      <c r="AG5" s="780"/>
      <c r="AH5" s="780"/>
      <c r="AI5" s="780"/>
      <c r="AJ5" s="780"/>
      <c r="AK5" s="780"/>
      <c r="AL5" s="780"/>
      <c r="AM5" s="780"/>
      <c r="AN5" s="243"/>
      <c r="AO5" s="243"/>
      <c r="AP5" s="243"/>
      <c r="AQ5" s="243"/>
      <c r="AR5" s="610"/>
      <c r="AS5" s="610"/>
      <c r="AT5" s="610"/>
      <c r="AU5" s="610"/>
      <c r="AV5" s="610"/>
      <c r="AW5" s="610"/>
    </row>
    <row r="6" spans="1:59" s="431" customFormat="1" ht="18.75" customHeight="1">
      <c r="A6" s="549" t="s">
        <v>542</v>
      </c>
      <c r="B6" s="549" t="s">
        <v>33</v>
      </c>
      <c r="C6" s="549"/>
      <c r="D6" s="549"/>
      <c r="E6" s="549"/>
      <c r="F6" s="549"/>
      <c r="G6" s="549"/>
      <c r="H6" s="549"/>
      <c r="I6" s="549"/>
      <c r="J6" s="562"/>
      <c r="K6" s="549"/>
      <c r="L6" s="549"/>
      <c r="M6" s="549"/>
      <c r="N6" s="549"/>
      <c r="O6" s="548"/>
      <c r="P6" s="548"/>
      <c r="Q6" s="548"/>
      <c r="R6" s="548"/>
      <c r="S6" s="548"/>
      <c r="T6" s="243"/>
      <c r="U6" s="243"/>
      <c r="V6" s="780"/>
      <c r="W6" s="780" t="str">
        <f>B6</f>
        <v>SUDI</v>
      </c>
      <c r="X6" s="780"/>
      <c r="Y6" s="780"/>
      <c r="Z6" s="780"/>
      <c r="AA6" s="780"/>
      <c r="AB6" s="780"/>
      <c r="AC6" s="780"/>
      <c r="AD6" s="780"/>
      <c r="AE6" s="780"/>
      <c r="AF6" s="780"/>
      <c r="AG6" s="780"/>
      <c r="AH6" s="780"/>
      <c r="AI6" s="780"/>
      <c r="AJ6" s="780"/>
      <c r="AK6" s="780"/>
      <c r="AL6" s="780"/>
      <c r="AM6" s="780"/>
      <c r="AN6" s="243"/>
      <c r="AO6" s="243"/>
      <c r="AP6" s="243"/>
      <c r="AQ6" s="243"/>
      <c r="AR6" s="610"/>
      <c r="AS6" s="610"/>
      <c r="AT6" s="610"/>
      <c r="AU6" s="610"/>
      <c r="AV6" s="610"/>
      <c r="AW6" s="610"/>
    </row>
    <row r="7" spans="1:59" s="431" customFormat="1" ht="15" customHeight="1">
      <c r="A7" s="950" t="s">
        <v>68</v>
      </c>
      <c r="B7" s="953"/>
      <c r="C7" s="953"/>
      <c r="D7" s="953"/>
      <c r="E7" s="953"/>
      <c r="F7" s="953"/>
      <c r="G7" s="953"/>
      <c r="H7" s="953"/>
      <c r="I7" s="953"/>
      <c r="J7" s="953"/>
      <c r="K7" s="954"/>
      <c r="L7" s="952" t="s">
        <v>582</v>
      </c>
      <c r="M7" s="952"/>
      <c r="N7" s="952"/>
      <c r="O7" s="548"/>
      <c r="P7" s="548"/>
      <c r="Q7" s="548"/>
      <c r="R7" s="548"/>
      <c r="S7" s="548"/>
      <c r="T7" s="243"/>
      <c r="U7" s="243"/>
      <c r="V7" s="780"/>
      <c r="W7" s="780"/>
      <c r="X7" s="780"/>
      <c r="Y7" s="780"/>
      <c r="Z7" s="780"/>
      <c r="AA7" s="780"/>
      <c r="AB7" s="780"/>
      <c r="AC7" s="780"/>
      <c r="AD7" s="780"/>
      <c r="AE7" s="780"/>
      <c r="AF7" s="780"/>
      <c r="AG7" s="780"/>
      <c r="AH7" s="780"/>
      <c r="AI7" s="780"/>
      <c r="AJ7" s="780"/>
      <c r="AK7" s="780"/>
      <c r="AL7" s="780"/>
      <c r="AM7" s="780"/>
      <c r="AN7" s="243"/>
      <c r="AO7" s="243"/>
      <c r="AP7" s="243"/>
      <c r="AQ7" s="243"/>
      <c r="AR7" s="610"/>
      <c r="AS7" s="610"/>
      <c r="AT7" s="610"/>
      <c r="AU7" s="610"/>
      <c r="AV7" s="610"/>
      <c r="AW7" s="610"/>
    </row>
    <row r="8" spans="1:59">
      <c r="A8" s="951"/>
      <c r="B8" s="437">
        <v>2007</v>
      </c>
      <c r="C8" s="437">
        <v>2008</v>
      </c>
      <c r="D8" s="437">
        <v>2009</v>
      </c>
      <c r="E8" s="437">
        <v>2010</v>
      </c>
      <c r="F8" s="437">
        <v>2011</v>
      </c>
      <c r="G8" s="437">
        <v>2012</v>
      </c>
      <c r="H8" s="437">
        <v>2013</v>
      </c>
      <c r="I8" s="437">
        <v>2014</v>
      </c>
      <c r="J8" s="437">
        <v>2015</v>
      </c>
      <c r="K8" s="571">
        <v>2016</v>
      </c>
      <c r="L8" s="438" t="s">
        <v>299</v>
      </c>
      <c r="M8" s="438" t="s">
        <v>67</v>
      </c>
      <c r="N8" s="438" t="s">
        <v>220</v>
      </c>
      <c r="P8" s="945" t="s">
        <v>583</v>
      </c>
      <c r="Q8" s="946"/>
      <c r="R8" s="946"/>
      <c r="W8" s="780">
        <v>2000</v>
      </c>
      <c r="X8" s="780">
        <v>2001</v>
      </c>
      <c r="Y8" s="780">
        <v>2002</v>
      </c>
      <c r="Z8" s="780">
        <v>2003</v>
      </c>
      <c r="AA8" s="780">
        <v>2004</v>
      </c>
      <c r="AB8" s="780">
        <v>2005</v>
      </c>
      <c r="AC8" s="780">
        <v>2006</v>
      </c>
      <c r="AD8" s="780">
        <v>2007</v>
      </c>
      <c r="AE8" s="780">
        <v>2008</v>
      </c>
      <c r="AF8" s="780">
        <v>2009</v>
      </c>
      <c r="AG8" s="780">
        <v>2010</v>
      </c>
      <c r="AH8" s="780">
        <v>2011</v>
      </c>
      <c r="AI8" s="780">
        <v>2012</v>
      </c>
      <c r="AJ8" s="780">
        <v>2013</v>
      </c>
      <c r="AK8" s="780">
        <v>2014</v>
      </c>
      <c r="AL8" s="780">
        <v>2015</v>
      </c>
      <c r="AM8" s="780">
        <v>2016</v>
      </c>
    </row>
    <row r="9" spans="1:59">
      <c r="A9" s="80" t="s">
        <v>104</v>
      </c>
      <c r="B9" s="80"/>
      <c r="C9" s="80"/>
      <c r="D9" s="80"/>
      <c r="E9" s="80"/>
      <c r="F9" s="80"/>
      <c r="G9" s="80"/>
      <c r="H9" s="80"/>
      <c r="I9" s="80"/>
      <c r="J9" s="80"/>
      <c r="K9" s="80"/>
      <c r="L9" s="80"/>
      <c r="M9" s="80"/>
      <c r="N9" s="80"/>
      <c r="V9" s="780" t="s">
        <v>104</v>
      </c>
    </row>
    <row r="10" spans="1:59">
      <c r="A10" s="57" t="s">
        <v>44</v>
      </c>
      <c r="B10" s="432">
        <f>AD10</f>
        <v>64</v>
      </c>
      <c r="C10" s="432">
        <f t="shared" ref="C10:K10" si="0">AE10</f>
        <v>66</v>
      </c>
      <c r="D10" s="432">
        <f t="shared" si="0"/>
        <v>66</v>
      </c>
      <c r="E10" s="432">
        <f t="shared" si="0"/>
        <v>60</v>
      </c>
      <c r="F10" s="432">
        <f t="shared" si="0"/>
        <v>54</v>
      </c>
      <c r="G10" s="432">
        <f t="shared" si="0"/>
        <v>37</v>
      </c>
      <c r="H10" s="432">
        <f t="shared" si="0"/>
        <v>41</v>
      </c>
      <c r="I10" s="432">
        <f t="shared" si="0"/>
        <v>45</v>
      </c>
      <c r="J10" s="432">
        <f t="shared" si="0"/>
        <v>44</v>
      </c>
      <c r="K10" s="432">
        <f t="shared" si="0"/>
        <v>42</v>
      </c>
      <c r="L10" s="57">
        <f>SUM(G10:K10)</f>
        <v>209</v>
      </c>
      <c r="M10" s="57">
        <f>SUM(BirthsTrend!G8:K8)</f>
        <v>302579</v>
      </c>
      <c r="N10" s="267">
        <f>L10/M10*1000</f>
        <v>0.69072870225627025</v>
      </c>
      <c r="V10" s="780" t="s">
        <v>44</v>
      </c>
      <c r="W10" s="780">
        <f t="shared" ref="W10:AK10" si="1">VLOOKUP(W8&amp;$V10&amp;$V9&amp;$W$6,vw.sidsudi,5,FALSE)</f>
        <v>82</v>
      </c>
      <c r="X10" s="780">
        <f t="shared" si="1"/>
        <v>71</v>
      </c>
      <c r="Y10" s="780">
        <f t="shared" si="1"/>
        <v>58</v>
      </c>
      <c r="Z10" s="780">
        <f t="shared" si="1"/>
        <v>61</v>
      </c>
      <c r="AA10" s="780">
        <f t="shared" si="1"/>
        <v>62</v>
      </c>
      <c r="AB10" s="780">
        <f t="shared" si="1"/>
        <v>53</v>
      </c>
      <c r="AC10" s="780">
        <f t="shared" si="1"/>
        <v>66</v>
      </c>
      <c r="AD10" s="780">
        <f t="shared" si="1"/>
        <v>64</v>
      </c>
      <c r="AE10" s="780">
        <f t="shared" si="1"/>
        <v>66</v>
      </c>
      <c r="AF10" s="780">
        <f t="shared" si="1"/>
        <v>66</v>
      </c>
      <c r="AG10" s="780">
        <f t="shared" si="1"/>
        <v>60</v>
      </c>
      <c r="AH10" s="780">
        <f t="shared" si="1"/>
        <v>54</v>
      </c>
      <c r="AI10" s="780">
        <f t="shared" si="1"/>
        <v>37</v>
      </c>
      <c r="AJ10" s="780">
        <f t="shared" si="1"/>
        <v>41</v>
      </c>
      <c r="AK10" s="780">
        <f t="shared" si="1"/>
        <v>45</v>
      </c>
      <c r="AL10" s="780">
        <f t="shared" ref="AL10:AM10" si="2">VLOOKUP(AL8&amp;$V10&amp;$V9&amp;$W$6,vw.sidsudi,5,FALSE)</f>
        <v>44</v>
      </c>
      <c r="AM10" s="780">
        <f t="shared" si="2"/>
        <v>42</v>
      </c>
    </row>
    <row r="11" spans="1:59">
      <c r="A11" s="80" t="s">
        <v>69</v>
      </c>
      <c r="B11" s="80"/>
      <c r="C11" s="80"/>
      <c r="D11" s="80"/>
      <c r="E11" s="80"/>
      <c r="F11" s="80"/>
      <c r="G11" s="80"/>
      <c r="H11" s="80"/>
      <c r="I11" s="80"/>
      <c r="J11" s="80"/>
      <c r="K11" s="80"/>
      <c r="L11" s="80"/>
      <c r="M11" s="80"/>
      <c r="N11" s="80"/>
      <c r="V11" s="780" t="s">
        <v>69</v>
      </c>
    </row>
    <row r="12" spans="1:59">
      <c r="A12" s="82" t="s">
        <v>70</v>
      </c>
      <c r="B12" s="82">
        <f>AD12</f>
        <v>40</v>
      </c>
      <c r="C12" s="82">
        <f t="shared" ref="C12:K13" si="3">AE12</f>
        <v>37</v>
      </c>
      <c r="D12" s="82">
        <f t="shared" si="3"/>
        <v>41</v>
      </c>
      <c r="E12" s="82">
        <f t="shared" si="3"/>
        <v>37</v>
      </c>
      <c r="F12" s="82">
        <f t="shared" si="3"/>
        <v>35</v>
      </c>
      <c r="G12" s="82">
        <f t="shared" si="3"/>
        <v>22</v>
      </c>
      <c r="H12" s="82">
        <f t="shared" si="3"/>
        <v>25</v>
      </c>
      <c r="I12" s="82">
        <f t="shared" si="3"/>
        <v>29</v>
      </c>
      <c r="J12" s="82">
        <f t="shared" si="3"/>
        <v>23</v>
      </c>
      <c r="K12" s="82">
        <f t="shared" si="3"/>
        <v>22</v>
      </c>
      <c r="L12" s="57">
        <f>SUM(G12:K12)</f>
        <v>121</v>
      </c>
      <c r="M12" s="57">
        <f>SUM(BirthsTrend!G10:K10)</f>
        <v>155391</v>
      </c>
      <c r="N12" s="267">
        <f>L12/M12*1000</f>
        <v>0.77868087598380864</v>
      </c>
      <c r="V12" s="780" t="s">
        <v>70</v>
      </c>
      <c r="W12" s="780">
        <f t="shared" ref="W12:AK12" si="4">VLOOKUP(W$8&amp;$V12&amp;$V11&amp;$W$6,vw.sidsudi,5,FALSE)</f>
        <v>45</v>
      </c>
      <c r="X12" s="780">
        <f t="shared" si="4"/>
        <v>46</v>
      </c>
      <c r="Y12" s="780">
        <f t="shared" si="4"/>
        <v>29</v>
      </c>
      <c r="Z12" s="780">
        <f t="shared" si="4"/>
        <v>40</v>
      </c>
      <c r="AA12" s="780">
        <f t="shared" si="4"/>
        <v>30</v>
      </c>
      <c r="AB12" s="780">
        <f t="shared" si="4"/>
        <v>23</v>
      </c>
      <c r="AC12" s="780">
        <f t="shared" si="4"/>
        <v>37</v>
      </c>
      <c r="AD12" s="780">
        <f t="shared" si="4"/>
        <v>40</v>
      </c>
      <c r="AE12" s="780">
        <f t="shared" si="4"/>
        <v>37</v>
      </c>
      <c r="AF12" s="780">
        <f t="shared" si="4"/>
        <v>41</v>
      </c>
      <c r="AG12" s="780">
        <f t="shared" si="4"/>
        <v>37</v>
      </c>
      <c r="AH12" s="780">
        <f t="shared" si="4"/>
        <v>35</v>
      </c>
      <c r="AI12" s="780">
        <f t="shared" si="4"/>
        <v>22</v>
      </c>
      <c r="AJ12" s="780">
        <f t="shared" si="4"/>
        <v>25</v>
      </c>
      <c r="AK12" s="780">
        <f t="shared" si="4"/>
        <v>29</v>
      </c>
      <c r="AL12" s="780">
        <f t="shared" ref="AL12:AM12" si="5">VLOOKUP(AL$8&amp;$V12&amp;$V11&amp;$W$6,vw.sidsudi,5,FALSE)</f>
        <v>23</v>
      </c>
      <c r="AM12" s="780">
        <f t="shared" si="5"/>
        <v>22</v>
      </c>
    </row>
    <row r="13" spans="1:59">
      <c r="A13" s="82" t="s">
        <v>71</v>
      </c>
      <c r="B13" s="82">
        <f>AD13</f>
        <v>24</v>
      </c>
      <c r="C13" s="82">
        <f t="shared" si="3"/>
        <v>29</v>
      </c>
      <c r="D13" s="82">
        <f t="shared" si="3"/>
        <v>25</v>
      </c>
      <c r="E13" s="82">
        <f t="shared" si="3"/>
        <v>23</v>
      </c>
      <c r="F13" s="82">
        <f t="shared" si="3"/>
        <v>19</v>
      </c>
      <c r="G13" s="82">
        <f t="shared" si="3"/>
        <v>15</v>
      </c>
      <c r="H13" s="82">
        <f t="shared" si="3"/>
        <v>16</v>
      </c>
      <c r="I13" s="82">
        <f t="shared" si="3"/>
        <v>16</v>
      </c>
      <c r="J13" s="82">
        <f t="shared" si="3"/>
        <v>21</v>
      </c>
      <c r="K13" s="82">
        <f t="shared" si="3"/>
        <v>20</v>
      </c>
      <c r="L13" s="57">
        <f>SUM(G13:K13)</f>
        <v>88</v>
      </c>
      <c r="M13" s="57">
        <f>SUM(BirthsTrend!G11:K11)</f>
        <v>147188</v>
      </c>
      <c r="N13" s="267">
        <f>L13/M13*1000</f>
        <v>0.59787482675218095</v>
      </c>
      <c r="V13" s="780" t="s">
        <v>71</v>
      </c>
      <c r="W13" s="780">
        <f t="shared" ref="W13:AK13" si="6">VLOOKUP(W$8&amp;$V13&amp;$V11&amp;$W$6,vw.sidsudi,5,FALSE)</f>
        <v>37</v>
      </c>
      <c r="X13" s="780">
        <f t="shared" si="6"/>
        <v>25</v>
      </c>
      <c r="Y13" s="780">
        <f t="shared" si="6"/>
        <v>29</v>
      </c>
      <c r="Z13" s="780">
        <f t="shared" si="6"/>
        <v>21</v>
      </c>
      <c r="AA13" s="780">
        <f t="shared" si="6"/>
        <v>32</v>
      </c>
      <c r="AB13" s="780">
        <f t="shared" si="6"/>
        <v>30</v>
      </c>
      <c r="AC13" s="780">
        <f t="shared" si="6"/>
        <v>29</v>
      </c>
      <c r="AD13" s="780">
        <f t="shared" si="6"/>
        <v>24</v>
      </c>
      <c r="AE13" s="780">
        <f t="shared" si="6"/>
        <v>29</v>
      </c>
      <c r="AF13" s="780">
        <f t="shared" si="6"/>
        <v>25</v>
      </c>
      <c r="AG13" s="780">
        <f t="shared" si="6"/>
        <v>23</v>
      </c>
      <c r="AH13" s="780">
        <f t="shared" si="6"/>
        <v>19</v>
      </c>
      <c r="AI13" s="780">
        <f t="shared" si="6"/>
        <v>15</v>
      </c>
      <c r="AJ13" s="780">
        <f t="shared" si="6"/>
        <v>16</v>
      </c>
      <c r="AK13" s="780">
        <f t="shared" si="6"/>
        <v>16</v>
      </c>
      <c r="AL13" s="780">
        <f t="shared" ref="AL13:AM13" si="7">VLOOKUP(AL$8&amp;$V13&amp;$V11&amp;$W$6,vw.sidsudi,5,FALSE)</f>
        <v>21</v>
      </c>
      <c r="AM13" s="780">
        <f t="shared" si="7"/>
        <v>20</v>
      </c>
    </row>
    <row r="14" spans="1:59">
      <c r="A14" s="80" t="s">
        <v>73</v>
      </c>
      <c r="B14" s="80"/>
      <c r="C14" s="80"/>
      <c r="D14" s="80"/>
      <c r="E14" s="80"/>
      <c r="F14" s="80"/>
      <c r="G14" s="80"/>
      <c r="H14" s="80"/>
      <c r="I14" s="80"/>
      <c r="J14" s="80"/>
      <c r="K14" s="80"/>
      <c r="L14" s="80"/>
      <c r="M14" s="80"/>
      <c r="N14" s="80"/>
      <c r="V14" s="780" t="s">
        <v>461</v>
      </c>
    </row>
    <row r="15" spans="1:59">
      <c r="A15" s="82" t="s">
        <v>74</v>
      </c>
      <c r="B15" s="82">
        <f>AD15</f>
        <v>34</v>
      </c>
      <c r="C15" s="82">
        <f t="shared" ref="C15:K18" si="8">AE15</f>
        <v>46</v>
      </c>
      <c r="D15" s="82">
        <f t="shared" si="8"/>
        <v>41</v>
      </c>
      <c r="E15" s="82">
        <f t="shared" si="8"/>
        <v>39</v>
      </c>
      <c r="F15" s="82">
        <f t="shared" si="8"/>
        <v>41</v>
      </c>
      <c r="G15" s="82">
        <f t="shared" si="8"/>
        <v>19</v>
      </c>
      <c r="H15" s="82">
        <f t="shared" si="8"/>
        <v>20</v>
      </c>
      <c r="I15" s="82">
        <f t="shared" si="8"/>
        <v>30</v>
      </c>
      <c r="J15" s="82">
        <f t="shared" si="8"/>
        <v>20</v>
      </c>
      <c r="K15" s="82">
        <f t="shared" si="8"/>
        <v>27</v>
      </c>
      <c r="L15" s="57">
        <f>SUM(G15:K15)</f>
        <v>116</v>
      </c>
      <c r="M15" s="57">
        <f>SUM(BirthsTrend!G13:K13)</f>
        <v>86686</v>
      </c>
      <c r="N15" s="267">
        <f>L15/M15*1000</f>
        <v>1.3381630251713081</v>
      </c>
      <c r="V15" s="780" t="s">
        <v>129</v>
      </c>
      <c r="W15" s="780">
        <f t="shared" ref="W15:AK15" si="9">VLOOKUP(W$8&amp;$V15&amp;$V14&amp;$W$6,vw.sidsudi,5,FALSE)</f>
        <v>53</v>
      </c>
      <c r="X15" s="780">
        <f t="shared" si="9"/>
        <v>47</v>
      </c>
      <c r="Y15" s="780">
        <f t="shared" si="9"/>
        <v>38</v>
      </c>
      <c r="Z15" s="780">
        <f t="shared" si="9"/>
        <v>43</v>
      </c>
      <c r="AA15" s="780">
        <f t="shared" si="9"/>
        <v>46</v>
      </c>
      <c r="AB15" s="780">
        <f t="shared" si="9"/>
        <v>39</v>
      </c>
      <c r="AC15" s="780">
        <f t="shared" si="9"/>
        <v>37</v>
      </c>
      <c r="AD15" s="780">
        <f t="shared" si="9"/>
        <v>34</v>
      </c>
      <c r="AE15" s="780">
        <f t="shared" si="9"/>
        <v>46</v>
      </c>
      <c r="AF15" s="780">
        <f t="shared" si="9"/>
        <v>41</v>
      </c>
      <c r="AG15" s="780">
        <f t="shared" si="9"/>
        <v>39</v>
      </c>
      <c r="AH15" s="780">
        <f t="shared" si="9"/>
        <v>41</v>
      </c>
      <c r="AI15" s="780">
        <f t="shared" si="9"/>
        <v>19</v>
      </c>
      <c r="AJ15" s="780">
        <f t="shared" si="9"/>
        <v>20</v>
      </c>
      <c r="AK15" s="780">
        <f t="shared" si="9"/>
        <v>30</v>
      </c>
      <c r="AL15" s="780">
        <f t="shared" ref="AL15:AM15" si="10">VLOOKUP(AL$8&amp;$V15&amp;$V14&amp;$W$6,vw.sidsudi,5,FALSE)</f>
        <v>20</v>
      </c>
      <c r="AM15" s="780">
        <f t="shared" si="10"/>
        <v>27</v>
      </c>
    </row>
    <row r="16" spans="1:59">
      <c r="A16" s="82" t="s">
        <v>320</v>
      </c>
      <c r="B16" s="82">
        <f>AD16</f>
        <v>10</v>
      </c>
      <c r="C16" s="82">
        <f t="shared" si="8"/>
        <v>8</v>
      </c>
      <c r="D16" s="82">
        <f t="shared" si="8"/>
        <v>7</v>
      </c>
      <c r="E16" s="82">
        <f t="shared" si="8"/>
        <v>6</v>
      </c>
      <c r="F16" s="82">
        <f t="shared" si="8"/>
        <v>3</v>
      </c>
      <c r="G16" s="82">
        <f t="shared" si="8"/>
        <v>5</v>
      </c>
      <c r="H16" s="82">
        <f t="shared" si="8"/>
        <v>8</v>
      </c>
      <c r="I16" s="82">
        <f t="shared" si="8"/>
        <v>6</v>
      </c>
      <c r="J16" s="82">
        <f t="shared" si="8"/>
        <v>14</v>
      </c>
      <c r="K16" s="82">
        <f t="shared" si="8"/>
        <v>6</v>
      </c>
      <c r="L16" s="57">
        <f t="shared" ref="L16:L18" si="11">SUM(G16:K16)</f>
        <v>39</v>
      </c>
      <c r="M16" s="57">
        <f>SUM(BirthsTrend!G14:K14)</f>
        <v>31942</v>
      </c>
      <c r="N16" s="267">
        <f>L16/M16*1000</f>
        <v>1.2209629954292156</v>
      </c>
      <c r="V16" s="780" t="s">
        <v>320</v>
      </c>
      <c r="W16" s="780">
        <f t="shared" ref="W16:AK16" si="12">IFERROR(VLOOKUP(W$8&amp;$V16&amp;$V14&amp;$W$6,vw.sidsudi,5,FALSE),0)</f>
        <v>11</v>
      </c>
      <c r="X16" s="780">
        <f t="shared" si="12"/>
        <v>8</v>
      </c>
      <c r="Y16" s="780">
        <f t="shared" si="12"/>
        <v>8</v>
      </c>
      <c r="Z16" s="780">
        <f t="shared" si="12"/>
        <v>3</v>
      </c>
      <c r="AA16" s="780">
        <f t="shared" si="12"/>
        <v>4</v>
      </c>
      <c r="AB16" s="780">
        <f t="shared" si="12"/>
        <v>4</v>
      </c>
      <c r="AC16" s="780">
        <f t="shared" si="12"/>
        <v>10</v>
      </c>
      <c r="AD16" s="780">
        <f t="shared" si="12"/>
        <v>10</v>
      </c>
      <c r="AE16" s="780">
        <f t="shared" si="12"/>
        <v>8</v>
      </c>
      <c r="AF16" s="780">
        <f t="shared" si="12"/>
        <v>7</v>
      </c>
      <c r="AG16" s="780">
        <f t="shared" si="12"/>
        <v>6</v>
      </c>
      <c r="AH16" s="780">
        <f t="shared" si="12"/>
        <v>3</v>
      </c>
      <c r="AI16" s="780">
        <f t="shared" si="12"/>
        <v>5</v>
      </c>
      <c r="AJ16" s="780">
        <f t="shared" si="12"/>
        <v>8</v>
      </c>
      <c r="AK16" s="780">
        <f t="shared" si="12"/>
        <v>6</v>
      </c>
      <c r="AL16" s="780">
        <f t="shared" ref="AL16:AM16" si="13">IFERROR(VLOOKUP(AL$8&amp;$V16&amp;$V14&amp;$W$6,vw.sidsudi,5,FALSE),0)</f>
        <v>14</v>
      </c>
      <c r="AM16" s="780">
        <f t="shared" si="13"/>
        <v>6</v>
      </c>
    </row>
    <row r="17" spans="1:39">
      <c r="A17" s="310" t="s">
        <v>355</v>
      </c>
      <c r="B17" s="82">
        <f>AD17</f>
        <v>1</v>
      </c>
      <c r="C17" s="82">
        <f t="shared" si="8"/>
        <v>1</v>
      </c>
      <c r="D17" s="82">
        <f t="shared" si="8"/>
        <v>1</v>
      </c>
      <c r="E17" s="82">
        <f t="shared" si="8"/>
        <v>2</v>
      </c>
      <c r="F17" s="82">
        <f t="shared" si="8"/>
        <v>0</v>
      </c>
      <c r="G17" s="82">
        <f t="shared" si="8"/>
        <v>0</v>
      </c>
      <c r="H17" s="82">
        <f t="shared" si="8"/>
        <v>1</v>
      </c>
      <c r="I17" s="82">
        <f t="shared" si="8"/>
        <v>2</v>
      </c>
      <c r="J17" s="82">
        <f t="shared" si="8"/>
        <v>2</v>
      </c>
      <c r="K17" s="82">
        <f t="shared" si="8"/>
        <v>1</v>
      </c>
      <c r="L17" s="57">
        <f t="shared" si="11"/>
        <v>6</v>
      </c>
      <c r="M17" s="57">
        <f>SUM(BirthsTrend!G15:K15)</f>
        <v>47731</v>
      </c>
      <c r="N17" s="267">
        <f>L17/M17*1000</f>
        <v>0.12570446879386563</v>
      </c>
      <c r="V17" s="780" t="s">
        <v>355</v>
      </c>
      <c r="W17" s="780">
        <f t="shared" ref="W17:AK17" si="14">IFERROR(VLOOKUP(W$8&amp;$V17&amp;$V14&amp;$W$6,vw.sidsudi,5,FALSE),0)</f>
        <v>0</v>
      </c>
      <c r="X17" s="780">
        <f t="shared" si="14"/>
        <v>2</v>
      </c>
      <c r="Y17" s="780">
        <f t="shared" si="14"/>
        <v>2</v>
      </c>
      <c r="Z17" s="780">
        <f t="shared" si="14"/>
        <v>1</v>
      </c>
      <c r="AA17" s="780">
        <f t="shared" si="14"/>
        <v>0</v>
      </c>
      <c r="AB17" s="780">
        <f t="shared" si="14"/>
        <v>0</v>
      </c>
      <c r="AC17" s="780">
        <f t="shared" si="14"/>
        <v>2</v>
      </c>
      <c r="AD17" s="780">
        <f t="shared" si="14"/>
        <v>1</v>
      </c>
      <c r="AE17" s="780">
        <f t="shared" si="14"/>
        <v>1</v>
      </c>
      <c r="AF17" s="780">
        <f t="shared" si="14"/>
        <v>1</v>
      </c>
      <c r="AG17" s="780">
        <f t="shared" si="14"/>
        <v>2</v>
      </c>
      <c r="AH17" s="780">
        <f t="shared" si="14"/>
        <v>0</v>
      </c>
      <c r="AI17" s="780">
        <f t="shared" si="14"/>
        <v>0</v>
      </c>
      <c r="AJ17" s="780">
        <f t="shared" si="14"/>
        <v>1</v>
      </c>
      <c r="AK17" s="780">
        <f t="shared" si="14"/>
        <v>2</v>
      </c>
      <c r="AL17" s="780">
        <f t="shared" ref="AL17:AM17" si="15">IFERROR(VLOOKUP(AL$8&amp;$V17&amp;$V14&amp;$W$6,vw.sidsudi,5,FALSE),0)</f>
        <v>2</v>
      </c>
      <c r="AM17" s="780">
        <f t="shared" si="15"/>
        <v>1</v>
      </c>
    </row>
    <row r="18" spans="1:39">
      <c r="A18" s="310" t="s">
        <v>356</v>
      </c>
      <c r="B18" s="82">
        <f>AD18</f>
        <v>19</v>
      </c>
      <c r="C18" s="82">
        <f t="shared" si="8"/>
        <v>11</v>
      </c>
      <c r="D18" s="82">
        <f t="shared" si="8"/>
        <v>17</v>
      </c>
      <c r="E18" s="82">
        <f t="shared" si="8"/>
        <v>13</v>
      </c>
      <c r="F18" s="82">
        <f t="shared" si="8"/>
        <v>10</v>
      </c>
      <c r="G18" s="82">
        <f t="shared" si="8"/>
        <v>13</v>
      </c>
      <c r="H18" s="82">
        <f t="shared" si="8"/>
        <v>12</v>
      </c>
      <c r="I18" s="82">
        <f t="shared" si="8"/>
        <v>7</v>
      </c>
      <c r="J18" s="82">
        <f t="shared" si="8"/>
        <v>8</v>
      </c>
      <c r="K18" s="82">
        <f t="shared" si="8"/>
        <v>8</v>
      </c>
      <c r="L18" s="57">
        <f t="shared" si="11"/>
        <v>48</v>
      </c>
      <c r="M18" s="439">
        <f>SUM(BirthsTrend!G16:K16)</f>
        <v>136220</v>
      </c>
      <c r="N18" s="267">
        <f>L18/M18*1000</f>
        <v>0.35237116429305537</v>
      </c>
      <c r="V18" s="780" t="s">
        <v>356</v>
      </c>
      <c r="W18" s="780">
        <f t="shared" ref="W18:AK18" si="16">IFERROR(VLOOKUP(W$8&amp;$V18&amp;$V14&amp;$W$6,vw.sidsudi,5,FALSE),0)</f>
        <v>18</v>
      </c>
      <c r="X18" s="780">
        <f t="shared" si="16"/>
        <v>14</v>
      </c>
      <c r="Y18" s="780">
        <f t="shared" si="16"/>
        <v>10</v>
      </c>
      <c r="Z18" s="780">
        <f t="shared" si="16"/>
        <v>14</v>
      </c>
      <c r="AA18" s="780">
        <f t="shared" si="16"/>
        <v>12</v>
      </c>
      <c r="AB18" s="780">
        <f t="shared" si="16"/>
        <v>10</v>
      </c>
      <c r="AC18" s="780">
        <f t="shared" si="16"/>
        <v>17</v>
      </c>
      <c r="AD18" s="780">
        <f t="shared" si="16"/>
        <v>19</v>
      </c>
      <c r="AE18" s="780">
        <f t="shared" si="16"/>
        <v>11</v>
      </c>
      <c r="AF18" s="780">
        <f t="shared" si="16"/>
        <v>17</v>
      </c>
      <c r="AG18" s="780">
        <f t="shared" si="16"/>
        <v>13</v>
      </c>
      <c r="AH18" s="780">
        <f t="shared" si="16"/>
        <v>10</v>
      </c>
      <c r="AI18" s="780">
        <f t="shared" si="16"/>
        <v>13</v>
      </c>
      <c r="AJ18" s="780">
        <f t="shared" si="16"/>
        <v>12</v>
      </c>
      <c r="AK18" s="780">
        <f t="shared" si="16"/>
        <v>7</v>
      </c>
      <c r="AL18" s="780">
        <f t="shared" ref="AL18:AM18" si="17">IFERROR(VLOOKUP(AL$8&amp;$V18&amp;$V14&amp;$W$6,vw.sidsudi,5,FALSE),0)</f>
        <v>8</v>
      </c>
      <c r="AM18" s="780">
        <f t="shared" si="17"/>
        <v>8</v>
      </c>
    </row>
    <row r="19" spans="1:39">
      <c r="A19" s="80" t="s">
        <v>152</v>
      </c>
      <c r="B19" s="80"/>
      <c r="C19" s="80"/>
      <c r="D19" s="80"/>
      <c r="E19" s="80"/>
      <c r="F19" s="80"/>
      <c r="G19" s="80"/>
      <c r="H19" s="80"/>
      <c r="I19" s="80"/>
      <c r="J19" s="80"/>
      <c r="K19" s="80"/>
      <c r="L19" s="80"/>
      <c r="M19" s="80"/>
      <c r="N19" s="80"/>
      <c r="V19" s="780" t="s">
        <v>462</v>
      </c>
    </row>
    <row r="20" spans="1:39">
      <c r="A20" s="440" t="s">
        <v>339</v>
      </c>
      <c r="B20" s="82">
        <f t="shared" ref="B20:B26" si="18">AD20</f>
        <v>13</v>
      </c>
      <c r="C20" s="82">
        <f t="shared" ref="C20:K26" si="19">AE20</f>
        <v>18</v>
      </c>
      <c r="D20" s="82">
        <f t="shared" si="19"/>
        <v>16</v>
      </c>
      <c r="E20" s="82">
        <f t="shared" si="19"/>
        <v>13</v>
      </c>
      <c r="F20" s="82">
        <f t="shared" si="19"/>
        <v>9</v>
      </c>
      <c r="G20" s="82">
        <f t="shared" si="19"/>
        <v>5</v>
      </c>
      <c r="H20" s="82">
        <f t="shared" si="19"/>
        <v>7</v>
      </c>
      <c r="I20" s="82">
        <f t="shared" si="19"/>
        <v>12</v>
      </c>
      <c r="J20" s="82">
        <f t="shared" si="19"/>
        <v>6</v>
      </c>
      <c r="K20" s="82">
        <f t="shared" si="19"/>
        <v>6</v>
      </c>
      <c r="L20" s="82">
        <f>SUM(G20:K20)</f>
        <v>36</v>
      </c>
      <c r="M20" s="57">
        <f>SUM(BirthsTrend!G18:K18)</f>
        <v>15843</v>
      </c>
      <c r="N20" s="267">
        <f t="shared" ref="N20:N32" si="20">L20/M20*1000</f>
        <v>2.272296913463359</v>
      </c>
      <c r="V20" s="780" t="s">
        <v>339</v>
      </c>
      <c r="W20" s="780">
        <f t="shared" ref="W20:AK20" si="21">VLOOKUP(W$8&amp;$V20&amp;$V19&amp;$W$6,vw.sidsudi,5,FALSE)</f>
        <v>15</v>
      </c>
      <c r="X20" s="780">
        <f t="shared" si="21"/>
        <v>14</v>
      </c>
      <c r="Y20" s="780">
        <f t="shared" si="21"/>
        <v>8</v>
      </c>
      <c r="Z20" s="780">
        <f t="shared" si="21"/>
        <v>5</v>
      </c>
      <c r="AA20" s="780">
        <f t="shared" si="21"/>
        <v>11</v>
      </c>
      <c r="AB20" s="780">
        <f t="shared" si="21"/>
        <v>11</v>
      </c>
      <c r="AC20" s="780">
        <f t="shared" si="21"/>
        <v>10</v>
      </c>
      <c r="AD20" s="780">
        <f t="shared" si="21"/>
        <v>13</v>
      </c>
      <c r="AE20" s="780">
        <f t="shared" si="21"/>
        <v>18</v>
      </c>
      <c r="AF20" s="780">
        <f t="shared" si="21"/>
        <v>16</v>
      </c>
      <c r="AG20" s="780">
        <f t="shared" si="21"/>
        <v>13</v>
      </c>
      <c r="AH20" s="780">
        <f t="shared" si="21"/>
        <v>9</v>
      </c>
      <c r="AI20" s="780">
        <f t="shared" si="21"/>
        <v>5</v>
      </c>
      <c r="AJ20" s="780">
        <f t="shared" si="21"/>
        <v>7</v>
      </c>
      <c r="AK20" s="780">
        <f t="shared" si="21"/>
        <v>12</v>
      </c>
      <c r="AL20" s="780">
        <f t="shared" ref="AL20:AM20" si="22">VLOOKUP(AL$8&amp;$V20&amp;$V19&amp;$W$6,vw.sidsudi,5,FALSE)</f>
        <v>6</v>
      </c>
      <c r="AM20" s="780">
        <f t="shared" si="22"/>
        <v>6</v>
      </c>
    </row>
    <row r="21" spans="1:39">
      <c r="A21" s="82" t="s">
        <v>77</v>
      </c>
      <c r="B21" s="82">
        <f t="shared" si="18"/>
        <v>21</v>
      </c>
      <c r="C21" s="82">
        <f t="shared" si="19"/>
        <v>20</v>
      </c>
      <c r="D21" s="82">
        <f t="shared" si="19"/>
        <v>25</v>
      </c>
      <c r="E21" s="82">
        <f t="shared" si="19"/>
        <v>19</v>
      </c>
      <c r="F21" s="82">
        <f t="shared" si="19"/>
        <v>23</v>
      </c>
      <c r="G21" s="82">
        <f t="shared" si="19"/>
        <v>14</v>
      </c>
      <c r="H21" s="82">
        <f t="shared" si="19"/>
        <v>17</v>
      </c>
      <c r="I21" s="82">
        <f t="shared" si="19"/>
        <v>14</v>
      </c>
      <c r="J21" s="82">
        <f t="shared" si="19"/>
        <v>17</v>
      </c>
      <c r="K21" s="82">
        <f t="shared" si="19"/>
        <v>13</v>
      </c>
      <c r="L21" s="82">
        <f t="shared" ref="L21:L26" si="23">SUM(G21:K21)</f>
        <v>75</v>
      </c>
      <c r="M21" s="57">
        <f>SUM(BirthsTrend!G19:K19)</f>
        <v>53477</v>
      </c>
      <c r="N21" s="267">
        <f t="shared" si="20"/>
        <v>1.4024720908053929</v>
      </c>
      <c r="V21" s="780" t="s">
        <v>130</v>
      </c>
      <c r="W21" s="780">
        <f t="shared" ref="W21:AK21" si="24">VLOOKUP(W$8&amp;$V21&amp;$V19&amp;$W$6,vw.sidsudi,5,FALSE)</f>
        <v>30</v>
      </c>
      <c r="X21" s="780">
        <f t="shared" si="24"/>
        <v>21</v>
      </c>
      <c r="Y21" s="780">
        <f t="shared" si="24"/>
        <v>19</v>
      </c>
      <c r="Z21" s="780">
        <f t="shared" si="24"/>
        <v>16</v>
      </c>
      <c r="AA21" s="780">
        <f t="shared" si="24"/>
        <v>18</v>
      </c>
      <c r="AB21" s="780">
        <f t="shared" si="24"/>
        <v>19</v>
      </c>
      <c r="AC21" s="780">
        <f t="shared" si="24"/>
        <v>21</v>
      </c>
      <c r="AD21" s="780">
        <f t="shared" si="24"/>
        <v>21</v>
      </c>
      <c r="AE21" s="780">
        <f t="shared" si="24"/>
        <v>20</v>
      </c>
      <c r="AF21" s="780">
        <f t="shared" si="24"/>
        <v>25</v>
      </c>
      <c r="AG21" s="780">
        <f t="shared" si="24"/>
        <v>19</v>
      </c>
      <c r="AH21" s="780">
        <f t="shared" si="24"/>
        <v>23</v>
      </c>
      <c r="AI21" s="780">
        <f t="shared" si="24"/>
        <v>14</v>
      </c>
      <c r="AJ21" s="780">
        <f t="shared" si="24"/>
        <v>17</v>
      </c>
      <c r="AK21" s="780">
        <f t="shared" si="24"/>
        <v>14</v>
      </c>
      <c r="AL21" s="780">
        <f t="shared" ref="AL21:AM21" si="25">VLOOKUP(AL$8&amp;$V21&amp;$V19&amp;$W$6,vw.sidsudi,5,FALSE)</f>
        <v>17</v>
      </c>
      <c r="AM21" s="780">
        <f t="shared" si="25"/>
        <v>13</v>
      </c>
    </row>
    <row r="22" spans="1:39">
      <c r="A22" s="82" t="s">
        <v>78</v>
      </c>
      <c r="B22" s="82">
        <f t="shared" si="18"/>
        <v>12</v>
      </c>
      <c r="C22" s="82">
        <f t="shared" si="19"/>
        <v>15</v>
      </c>
      <c r="D22" s="82">
        <f t="shared" si="19"/>
        <v>9</v>
      </c>
      <c r="E22" s="82">
        <f t="shared" si="19"/>
        <v>17</v>
      </c>
      <c r="F22" s="82">
        <f t="shared" si="19"/>
        <v>8</v>
      </c>
      <c r="G22" s="82">
        <f t="shared" si="19"/>
        <v>7</v>
      </c>
      <c r="H22" s="82">
        <f t="shared" si="19"/>
        <v>8</v>
      </c>
      <c r="I22" s="82">
        <f t="shared" si="19"/>
        <v>8</v>
      </c>
      <c r="J22" s="82">
        <f t="shared" si="19"/>
        <v>7</v>
      </c>
      <c r="K22" s="82">
        <f t="shared" si="19"/>
        <v>13</v>
      </c>
      <c r="L22" s="82">
        <f t="shared" si="23"/>
        <v>43</v>
      </c>
      <c r="M22" s="57">
        <f>SUM(BirthsTrend!G20:K20)</f>
        <v>80193</v>
      </c>
      <c r="N22" s="267">
        <f t="shared" si="20"/>
        <v>0.53620640205504222</v>
      </c>
      <c r="V22" s="780" t="s">
        <v>131</v>
      </c>
      <c r="W22" s="780">
        <f t="shared" ref="W22:AK22" si="26">VLOOKUP(W$8&amp;$V22&amp;$V19&amp;$W$6,vw.sidsudi,5,FALSE)</f>
        <v>13</v>
      </c>
      <c r="X22" s="780">
        <f t="shared" si="26"/>
        <v>18</v>
      </c>
      <c r="Y22" s="780">
        <f t="shared" si="26"/>
        <v>11</v>
      </c>
      <c r="Z22" s="780">
        <f t="shared" si="26"/>
        <v>23</v>
      </c>
      <c r="AA22" s="780">
        <f t="shared" si="26"/>
        <v>13</v>
      </c>
      <c r="AB22" s="780">
        <f t="shared" si="26"/>
        <v>8</v>
      </c>
      <c r="AC22" s="780">
        <f t="shared" si="26"/>
        <v>15</v>
      </c>
      <c r="AD22" s="780">
        <f t="shared" si="26"/>
        <v>12</v>
      </c>
      <c r="AE22" s="780">
        <f t="shared" si="26"/>
        <v>15</v>
      </c>
      <c r="AF22" s="780">
        <f t="shared" si="26"/>
        <v>9</v>
      </c>
      <c r="AG22" s="780">
        <f t="shared" si="26"/>
        <v>17</v>
      </c>
      <c r="AH22" s="780">
        <f t="shared" si="26"/>
        <v>8</v>
      </c>
      <c r="AI22" s="780">
        <f t="shared" si="26"/>
        <v>7</v>
      </c>
      <c r="AJ22" s="780">
        <f t="shared" si="26"/>
        <v>8</v>
      </c>
      <c r="AK22" s="780">
        <f t="shared" si="26"/>
        <v>8</v>
      </c>
      <c r="AL22" s="780">
        <f t="shared" ref="AL22:AM22" si="27">VLOOKUP(AL$8&amp;$V22&amp;$V19&amp;$W$6,vw.sidsudi,5,FALSE)</f>
        <v>7</v>
      </c>
      <c r="AM22" s="780">
        <f t="shared" si="27"/>
        <v>13</v>
      </c>
    </row>
    <row r="23" spans="1:39">
      <c r="A23" s="82" t="s">
        <v>79</v>
      </c>
      <c r="B23" s="82">
        <f t="shared" si="18"/>
        <v>10</v>
      </c>
      <c r="C23" s="82">
        <f t="shared" si="19"/>
        <v>7</v>
      </c>
      <c r="D23" s="82">
        <f t="shared" si="19"/>
        <v>10</v>
      </c>
      <c r="E23" s="82">
        <f t="shared" si="19"/>
        <v>4</v>
      </c>
      <c r="F23" s="82">
        <f t="shared" si="19"/>
        <v>7</v>
      </c>
      <c r="G23" s="82">
        <f t="shared" si="19"/>
        <v>6</v>
      </c>
      <c r="H23" s="82">
        <f t="shared" si="19"/>
        <v>5</v>
      </c>
      <c r="I23" s="82">
        <f t="shared" si="19"/>
        <v>5</v>
      </c>
      <c r="J23" s="82">
        <f t="shared" si="19"/>
        <v>8</v>
      </c>
      <c r="K23" s="82">
        <f t="shared" si="19"/>
        <v>7</v>
      </c>
      <c r="L23" s="82">
        <f t="shared" si="23"/>
        <v>31</v>
      </c>
      <c r="M23" s="57">
        <f>SUM(BirthsTrend!G21:K21)</f>
        <v>89493</v>
      </c>
      <c r="N23" s="267">
        <f t="shared" si="20"/>
        <v>0.34639580749332349</v>
      </c>
      <c r="V23" s="780" t="s">
        <v>132</v>
      </c>
      <c r="W23" s="780">
        <f t="shared" ref="W23:AK23" si="28">VLOOKUP(W$8&amp;$V23&amp;$V19&amp;$W$6,vw.sidsudi,5,FALSE)</f>
        <v>16</v>
      </c>
      <c r="X23" s="780">
        <f t="shared" si="28"/>
        <v>15</v>
      </c>
      <c r="Y23" s="780">
        <f t="shared" si="28"/>
        <v>11</v>
      </c>
      <c r="Z23" s="780">
        <f t="shared" si="28"/>
        <v>9</v>
      </c>
      <c r="AA23" s="780">
        <f t="shared" si="28"/>
        <v>14</v>
      </c>
      <c r="AB23" s="780">
        <f t="shared" si="28"/>
        <v>10</v>
      </c>
      <c r="AC23" s="780">
        <f t="shared" si="28"/>
        <v>10</v>
      </c>
      <c r="AD23" s="780">
        <f t="shared" si="28"/>
        <v>10</v>
      </c>
      <c r="AE23" s="780">
        <f t="shared" si="28"/>
        <v>7</v>
      </c>
      <c r="AF23" s="780">
        <f t="shared" si="28"/>
        <v>10</v>
      </c>
      <c r="AG23" s="780">
        <f t="shared" si="28"/>
        <v>4</v>
      </c>
      <c r="AH23" s="780">
        <f t="shared" si="28"/>
        <v>7</v>
      </c>
      <c r="AI23" s="780">
        <f t="shared" si="28"/>
        <v>6</v>
      </c>
      <c r="AJ23" s="780">
        <f t="shared" si="28"/>
        <v>5</v>
      </c>
      <c r="AK23" s="780">
        <f t="shared" si="28"/>
        <v>5</v>
      </c>
      <c r="AL23" s="780">
        <f t="shared" ref="AL23:AM23" si="29">VLOOKUP(AL$8&amp;$V23&amp;$V19&amp;$W$6,vw.sidsudi,5,FALSE)</f>
        <v>8</v>
      </c>
      <c r="AM23" s="780">
        <f t="shared" si="29"/>
        <v>7</v>
      </c>
    </row>
    <row r="24" spans="1:39">
      <c r="A24" s="82" t="s">
        <v>80</v>
      </c>
      <c r="B24" s="82">
        <f t="shared" si="18"/>
        <v>6</v>
      </c>
      <c r="C24" s="82">
        <f t="shared" si="19"/>
        <v>4</v>
      </c>
      <c r="D24" s="82">
        <f t="shared" si="19"/>
        <v>5</v>
      </c>
      <c r="E24" s="82">
        <f t="shared" si="19"/>
        <v>4</v>
      </c>
      <c r="F24" s="82">
        <f t="shared" si="19"/>
        <v>3</v>
      </c>
      <c r="G24" s="82">
        <f t="shared" si="19"/>
        <v>5</v>
      </c>
      <c r="H24" s="82">
        <f t="shared" si="19"/>
        <v>2</v>
      </c>
      <c r="I24" s="82">
        <f t="shared" si="19"/>
        <v>4</v>
      </c>
      <c r="J24" s="82">
        <f t="shared" si="19"/>
        <v>3</v>
      </c>
      <c r="K24" s="82">
        <f t="shared" si="19"/>
        <v>2</v>
      </c>
      <c r="L24" s="82">
        <f t="shared" si="23"/>
        <v>16</v>
      </c>
      <c r="M24" s="57">
        <f>SUM(BirthsTrend!G22:K22)</f>
        <v>50760</v>
      </c>
      <c r="N24" s="267">
        <f t="shared" si="20"/>
        <v>0.31520882584712373</v>
      </c>
      <c r="V24" s="780" t="s">
        <v>133</v>
      </c>
      <c r="W24" s="780">
        <f t="shared" ref="W24:AK24" si="30">VLOOKUP(W$8&amp;$V24&amp;$V19&amp;$W$6,vw.sidsudi,5,FALSE)</f>
        <v>8</v>
      </c>
      <c r="X24" s="780">
        <f t="shared" si="30"/>
        <v>3</v>
      </c>
      <c r="Y24" s="780">
        <f t="shared" si="30"/>
        <v>8</v>
      </c>
      <c r="Z24" s="780">
        <f t="shared" si="30"/>
        <v>6</v>
      </c>
      <c r="AA24" s="780">
        <f t="shared" si="30"/>
        <v>6</v>
      </c>
      <c r="AB24" s="780">
        <f t="shared" si="30"/>
        <v>4</v>
      </c>
      <c r="AC24" s="780">
        <f t="shared" si="30"/>
        <v>7</v>
      </c>
      <c r="AD24" s="780">
        <f t="shared" si="30"/>
        <v>6</v>
      </c>
      <c r="AE24" s="780">
        <f t="shared" si="30"/>
        <v>4</v>
      </c>
      <c r="AF24" s="780">
        <f t="shared" si="30"/>
        <v>5</v>
      </c>
      <c r="AG24" s="780">
        <f t="shared" si="30"/>
        <v>4</v>
      </c>
      <c r="AH24" s="780">
        <f t="shared" si="30"/>
        <v>3</v>
      </c>
      <c r="AI24" s="780">
        <f t="shared" si="30"/>
        <v>5</v>
      </c>
      <c r="AJ24" s="780">
        <f t="shared" si="30"/>
        <v>2</v>
      </c>
      <c r="AK24" s="780">
        <f t="shared" si="30"/>
        <v>4</v>
      </c>
      <c r="AL24" s="780">
        <f t="shared" ref="AL24:AM24" si="31">VLOOKUP(AL$8&amp;$V24&amp;$V19&amp;$W$6,vw.sidsudi,5,FALSE)</f>
        <v>3</v>
      </c>
      <c r="AM24" s="780">
        <f t="shared" si="31"/>
        <v>2</v>
      </c>
    </row>
    <row r="25" spans="1:39">
      <c r="A25" s="82" t="s">
        <v>81</v>
      </c>
      <c r="B25" s="82">
        <f t="shared" si="18"/>
        <v>2</v>
      </c>
      <c r="C25" s="82">
        <f t="shared" si="19"/>
        <v>0</v>
      </c>
      <c r="D25" s="82">
        <f t="shared" si="19"/>
        <v>1</v>
      </c>
      <c r="E25" s="82">
        <f t="shared" si="19"/>
        <v>1</v>
      </c>
      <c r="F25" s="82">
        <f t="shared" si="19"/>
        <v>1</v>
      </c>
      <c r="G25" s="82">
        <f t="shared" si="19"/>
        <v>0</v>
      </c>
      <c r="H25" s="82">
        <f t="shared" si="19"/>
        <v>2</v>
      </c>
      <c r="I25" s="82">
        <f t="shared" si="19"/>
        <v>1</v>
      </c>
      <c r="J25" s="82">
        <f t="shared" si="19"/>
        <v>0</v>
      </c>
      <c r="K25" s="82">
        <f t="shared" si="19"/>
        <v>1</v>
      </c>
      <c r="L25" s="82">
        <f t="shared" si="23"/>
        <v>4</v>
      </c>
      <c r="M25" s="82">
        <f>SUM(BirthsTrend!G23:K23)</f>
        <v>12813</v>
      </c>
      <c r="N25" s="267">
        <f t="shared" si="20"/>
        <v>0.31218293920237261</v>
      </c>
      <c r="V25" s="780" t="s">
        <v>134</v>
      </c>
      <c r="W25" s="780">
        <f t="shared" ref="W25:AK25" si="32">IFERROR(VLOOKUP(W$8&amp;$V25&amp;$V19&amp;$W$6,vw.sidsudi,5,FALSE),0)</f>
        <v>0</v>
      </c>
      <c r="X25" s="780">
        <f t="shared" si="32"/>
        <v>0</v>
      </c>
      <c r="Y25" s="780">
        <f t="shared" si="32"/>
        <v>1</v>
      </c>
      <c r="Z25" s="780">
        <f t="shared" si="32"/>
        <v>2</v>
      </c>
      <c r="AA25" s="780">
        <f t="shared" si="32"/>
        <v>0</v>
      </c>
      <c r="AB25" s="780">
        <f t="shared" si="32"/>
        <v>0</v>
      </c>
      <c r="AC25" s="780">
        <f t="shared" si="32"/>
        <v>2</v>
      </c>
      <c r="AD25" s="780">
        <f t="shared" si="32"/>
        <v>2</v>
      </c>
      <c r="AE25" s="780">
        <f t="shared" si="32"/>
        <v>0</v>
      </c>
      <c r="AF25" s="780">
        <f t="shared" si="32"/>
        <v>1</v>
      </c>
      <c r="AG25" s="780">
        <f t="shared" si="32"/>
        <v>1</v>
      </c>
      <c r="AH25" s="780">
        <f t="shared" si="32"/>
        <v>1</v>
      </c>
      <c r="AI25" s="780">
        <f t="shared" si="32"/>
        <v>0</v>
      </c>
      <c r="AJ25" s="780">
        <f t="shared" si="32"/>
        <v>2</v>
      </c>
      <c r="AK25" s="780">
        <f t="shared" si="32"/>
        <v>1</v>
      </c>
      <c r="AL25" s="780">
        <f t="shared" ref="AL25:AM25" si="33">IFERROR(VLOOKUP(AL$8&amp;$V25&amp;$V19&amp;$W$6,vw.sidsudi,5,FALSE),0)</f>
        <v>0</v>
      </c>
      <c r="AM25" s="780">
        <f t="shared" si="33"/>
        <v>1</v>
      </c>
    </row>
    <row r="26" spans="1:39">
      <c r="A26" s="82" t="s">
        <v>63</v>
      </c>
      <c r="B26" s="82">
        <f t="shared" si="18"/>
        <v>0</v>
      </c>
      <c r="C26" s="82">
        <f t="shared" si="19"/>
        <v>2</v>
      </c>
      <c r="D26" s="82">
        <f t="shared" si="19"/>
        <v>0</v>
      </c>
      <c r="E26" s="82">
        <f t="shared" si="19"/>
        <v>2</v>
      </c>
      <c r="F26" s="82">
        <f t="shared" si="19"/>
        <v>3</v>
      </c>
      <c r="G26" s="82">
        <f t="shared" si="19"/>
        <v>0</v>
      </c>
      <c r="H26" s="82">
        <f t="shared" si="19"/>
        <v>0</v>
      </c>
      <c r="I26" s="82">
        <f t="shared" si="19"/>
        <v>1</v>
      </c>
      <c r="J26" s="82">
        <f t="shared" si="19"/>
        <v>3</v>
      </c>
      <c r="K26" s="82">
        <f t="shared" si="19"/>
        <v>0</v>
      </c>
      <c r="L26" s="82">
        <f t="shared" si="23"/>
        <v>4</v>
      </c>
      <c r="M26" s="82">
        <f>SUM(BirthsTrend!G24:K24)</f>
        <v>0</v>
      </c>
      <c r="N26" s="433" t="s">
        <v>119</v>
      </c>
      <c r="V26" s="780" t="s">
        <v>63</v>
      </c>
      <c r="W26" s="780">
        <f t="shared" ref="W26:AK26" si="34">IFERROR(VLOOKUP(W$8&amp;$V26&amp;$V19&amp;$W$6,vw.sidsudi,5,FALSE),0)</f>
        <v>0</v>
      </c>
      <c r="X26" s="780">
        <f t="shared" si="34"/>
        <v>0</v>
      </c>
      <c r="Y26" s="780">
        <f t="shared" si="34"/>
        <v>0</v>
      </c>
      <c r="Z26" s="780">
        <f t="shared" si="34"/>
        <v>0</v>
      </c>
      <c r="AA26" s="780">
        <f t="shared" si="34"/>
        <v>0</v>
      </c>
      <c r="AB26" s="780">
        <f t="shared" si="34"/>
        <v>1</v>
      </c>
      <c r="AC26" s="780">
        <f t="shared" si="34"/>
        <v>1</v>
      </c>
      <c r="AD26" s="780">
        <f t="shared" si="34"/>
        <v>0</v>
      </c>
      <c r="AE26" s="780">
        <f t="shared" si="34"/>
        <v>2</v>
      </c>
      <c r="AF26" s="780">
        <f t="shared" si="34"/>
        <v>0</v>
      </c>
      <c r="AG26" s="780">
        <f t="shared" si="34"/>
        <v>2</v>
      </c>
      <c r="AH26" s="780">
        <f t="shared" si="34"/>
        <v>3</v>
      </c>
      <c r="AI26" s="780">
        <f t="shared" si="34"/>
        <v>0</v>
      </c>
      <c r="AJ26" s="780">
        <f t="shared" si="34"/>
        <v>0</v>
      </c>
      <c r="AK26" s="780">
        <f t="shared" si="34"/>
        <v>1</v>
      </c>
      <c r="AL26" s="780">
        <f t="shared" ref="AL26:AM26" si="35">IFERROR(VLOOKUP(AL$8&amp;$V26&amp;$V19&amp;$W$6,vw.sidsudi,5,FALSE),0)</f>
        <v>3</v>
      </c>
      <c r="AM26" s="780">
        <f t="shared" si="35"/>
        <v>0</v>
      </c>
    </row>
    <row r="27" spans="1:39">
      <c r="A27" s="80" t="s">
        <v>82</v>
      </c>
      <c r="B27" s="80"/>
      <c r="C27" s="80"/>
      <c r="D27" s="80"/>
      <c r="E27" s="80"/>
      <c r="F27" s="80"/>
      <c r="G27" s="80"/>
      <c r="H27" s="80"/>
      <c r="I27" s="80"/>
      <c r="J27" s="80"/>
      <c r="K27" s="80"/>
      <c r="L27" s="80"/>
      <c r="M27" s="80"/>
      <c r="N27" s="80"/>
      <c r="V27" s="780" t="s">
        <v>463</v>
      </c>
    </row>
    <row r="28" spans="1:39">
      <c r="A28" s="82" t="s">
        <v>83</v>
      </c>
      <c r="B28" s="82">
        <f t="shared" ref="B28:B33" si="36">AD28</f>
        <v>5</v>
      </c>
      <c r="C28" s="82">
        <f t="shared" ref="C28:K33" si="37">AE28</f>
        <v>1</v>
      </c>
      <c r="D28" s="82">
        <f t="shared" si="37"/>
        <v>6</v>
      </c>
      <c r="E28" s="82">
        <f t="shared" si="37"/>
        <v>2</v>
      </c>
      <c r="F28" s="82">
        <f t="shared" si="37"/>
        <v>1</v>
      </c>
      <c r="G28" s="82">
        <f t="shared" si="37"/>
        <v>3</v>
      </c>
      <c r="H28" s="82">
        <f t="shared" si="37"/>
        <v>1</v>
      </c>
      <c r="I28" s="82">
        <f t="shared" si="37"/>
        <v>1</v>
      </c>
      <c r="J28" s="82">
        <f t="shared" si="37"/>
        <v>2</v>
      </c>
      <c r="K28" s="82">
        <f t="shared" si="37"/>
        <v>1</v>
      </c>
      <c r="L28" s="57">
        <f>SUM(G28:K28)</f>
        <v>8</v>
      </c>
      <c r="M28" s="57">
        <f>SUM(BirthsTrend!G26:K26)</f>
        <v>43331</v>
      </c>
      <c r="N28" s="267">
        <f t="shared" si="20"/>
        <v>0.18462532597909118</v>
      </c>
      <c r="V28" s="780" t="s">
        <v>421</v>
      </c>
      <c r="W28" s="780">
        <f t="shared" ref="W28:AK28" si="38">IFERROR(VLOOKUP(W$8&amp;$V28&amp;$V27&amp;$W$6,vw.sidsudi,5,FALSE),0)</f>
        <v>3</v>
      </c>
      <c r="X28" s="780">
        <f t="shared" si="38"/>
        <v>4</v>
      </c>
      <c r="Y28" s="780">
        <f t="shared" si="38"/>
        <v>1</v>
      </c>
      <c r="Z28" s="780">
        <f t="shared" si="38"/>
        <v>3</v>
      </c>
      <c r="AA28" s="780">
        <f t="shared" si="38"/>
        <v>3</v>
      </c>
      <c r="AB28" s="780">
        <f t="shared" si="38"/>
        <v>1</v>
      </c>
      <c r="AC28" s="780">
        <f t="shared" si="38"/>
        <v>4</v>
      </c>
      <c r="AD28" s="780">
        <f t="shared" si="38"/>
        <v>5</v>
      </c>
      <c r="AE28" s="780">
        <f t="shared" si="38"/>
        <v>1</v>
      </c>
      <c r="AF28" s="780">
        <f t="shared" si="38"/>
        <v>6</v>
      </c>
      <c r="AG28" s="780">
        <f t="shared" si="38"/>
        <v>2</v>
      </c>
      <c r="AH28" s="780">
        <f t="shared" si="38"/>
        <v>1</v>
      </c>
      <c r="AI28" s="780">
        <f t="shared" si="38"/>
        <v>3</v>
      </c>
      <c r="AJ28" s="780">
        <f t="shared" si="38"/>
        <v>1</v>
      </c>
      <c r="AK28" s="780">
        <f t="shared" si="38"/>
        <v>1</v>
      </c>
      <c r="AL28" s="780">
        <f t="shared" ref="AL28:AM28" si="39">IFERROR(VLOOKUP(AL$8&amp;$V28&amp;$V27&amp;$W$6,vw.sidsudi,5,FALSE),0)</f>
        <v>2</v>
      </c>
      <c r="AM28" s="780">
        <f t="shared" si="39"/>
        <v>1</v>
      </c>
    </row>
    <row r="29" spans="1:39">
      <c r="A29" s="269">
        <v>2</v>
      </c>
      <c r="B29" s="82">
        <f t="shared" si="36"/>
        <v>5</v>
      </c>
      <c r="C29" s="82">
        <f t="shared" si="37"/>
        <v>3</v>
      </c>
      <c r="D29" s="82">
        <f t="shared" si="37"/>
        <v>3</v>
      </c>
      <c r="E29" s="82">
        <f t="shared" si="37"/>
        <v>6</v>
      </c>
      <c r="F29" s="82">
        <f t="shared" si="37"/>
        <v>3</v>
      </c>
      <c r="G29" s="82">
        <f t="shared" si="37"/>
        <v>3</v>
      </c>
      <c r="H29" s="82">
        <f t="shared" si="37"/>
        <v>4</v>
      </c>
      <c r="I29" s="82">
        <f t="shared" si="37"/>
        <v>4</v>
      </c>
      <c r="J29" s="82">
        <f t="shared" si="37"/>
        <v>2</v>
      </c>
      <c r="K29" s="82">
        <f t="shared" si="37"/>
        <v>4</v>
      </c>
      <c r="L29" s="57">
        <f t="shared" ref="L29:L33" si="40">SUM(G29:K29)</f>
        <v>17</v>
      </c>
      <c r="M29" s="57">
        <f>SUM(BirthsTrend!G27:K27)</f>
        <v>47884</v>
      </c>
      <c r="N29" s="267">
        <f t="shared" si="20"/>
        <v>0.35502464288697683</v>
      </c>
      <c r="V29" s="780" t="s">
        <v>422</v>
      </c>
      <c r="W29" s="780">
        <f t="shared" ref="W29:AK29" si="41">IFERROR(VLOOKUP(W$8&amp;$V29&amp;$V27&amp;$W$6,vw.sidsudi,5,FALSE),0)</f>
        <v>7</v>
      </c>
      <c r="X29" s="780">
        <f t="shared" si="41"/>
        <v>5</v>
      </c>
      <c r="Y29" s="780">
        <f t="shared" si="41"/>
        <v>5</v>
      </c>
      <c r="Z29" s="780">
        <f t="shared" si="41"/>
        <v>4</v>
      </c>
      <c r="AA29" s="780">
        <f t="shared" si="41"/>
        <v>6</v>
      </c>
      <c r="AB29" s="780">
        <f t="shared" si="41"/>
        <v>6</v>
      </c>
      <c r="AC29" s="780">
        <f t="shared" si="41"/>
        <v>6</v>
      </c>
      <c r="AD29" s="780">
        <f t="shared" si="41"/>
        <v>5</v>
      </c>
      <c r="AE29" s="780">
        <f t="shared" si="41"/>
        <v>3</v>
      </c>
      <c r="AF29" s="780">
        <f t="shared" si="41"/>
        <v>3</v>
      </c>
      <c r="AG29" s="780">
        <f t="shared" si="41"/>
        <v>6</v>
      </c>
      <c r="AH29" s="780">
        <f t="shared" si="41"/>
        <v>3</v>
      </c>
      <c r="AI29" s="780">
        <f t="shared" si="41"/>
        <v>3</v>
      </c>
      <c r="AJ29" s="780">
        <f t="shared" si="41"/>
        <v>4</v>
      </c>
      <c r="AK29" s="780">
        <f t="shared" si="41"/>
        <v>4</v>
      </c>
      <c r="AL29" s="780">
        <f t="shared" ref="AL29:AM29" si="42">IFERROR(VLOOKUP(AL$8&amp;$V29&amp;$V27&amp;$W$6,vw.sidsudi,5,FALSE),0)</f>
        <v>2</v>
      </c>
      <c r="AM29" s="780">
        <f t="shared" si="42"/>
        <v>4</v>
      </c>
    </row>
    <row r="30" spans="1:39">
      <c r="A30" s="269">
        <v>3</v>
      </c>
      <c r="B30" s="82">
        <f t="shared" si="36"/>
        <v>8</v>
      </c>
      <c r="C30" s="82">
        <f t="shared" si="37"/>
        <v>3</v>
      </c>
      <c r="D30" s="82">
        <f t="shared" si="37"/>
        <v>7</v>
      </c>
      <c r="E30" s="82">
        <f t="shared" si="37"/>
        <v>5</v>
      </c>
      <c r="F30" s="82">
        <f t="shared" si="37"/>
        <v>8</v>
      </c>
      <c r="G30" s="82">
        <f t="shared" si="37"/>
        <v>1</v>
      </c>
      <c r="H30" s="82">
        <f t="shared" si="37"/>
        <v>6</v>
      </c>
      <c r="I30" s="82">
        <f t="shared" si="37"/>
        <v>4</v>
      </c>
      <c r="J30" s="82">
        <f t="shared" si="37"/>
        <v>5</v>
      </c>
      <c r="K30" s="82">
        <f t="shared" si="37"/>
        <v>5</v>
      </c>
      <c r="L30" s="57">
        <f t="shared" si="40"/>
        <v>21</v>
      </c>
      <c r="M30" s="57">
        <f>SUM(BirthsTrend!G28:K28)</f>
        <v>53275</v>
      </c>
      <c r="N30" s="267">
        <f t="shared" si="20"/>
        <v>0.39418113561708118</v>
      </c>
      <c r="Q30" s="82"/>
      <c r="V30" s="780" t="s">
        <v>423</v>
      </c>
      <c r="W30" s="780">
        <f t="shared" ref="W30:AK30" si="43">IFERROR(VLOOKUP(W$8&amp;$V30&amp;$V27&amp;$W$6,vw.sidsudi,5,FALSE),0)</f>
        <v>6</v>
      </c>
      <c r="X30" s="780">
        <f t="shared" si="43"/>
        <v>12</v>
      </c>
      <c r="Y30" s="780">
        <f t="shared" si="43"/>
        <v>3</v>
      </c>
      <c r="Z30" s="780">
        <f t="shared" si="43"/>
        <v>10</v>
      </c>
      <c r="AA30" s="780">
        <f t="shared" si="43"/>
        <v>6</v>
      </c>
      <c r="AB30" s="780">
        <f t="shared" si="43"/>
        <v>9</v>
      </c>
      <c r="AC30" s="780">
        <f t="shared" si="43"/>
        <v>8</v>
      </c>
      <c r="AD30" s="780">
        <f t="shared" si="43"/>
        <v>8</v>
      </c>
      <c r="AE30" s="780">
        <f t="shared" si="43"/>
        <v>3</v>
      </c>
      <c r="AF30" s="780">
        <f t="shared" si="43"/>
        <v>7</v>
      </c>
      <c r="AG30" s="780">
        <f t="shared" si="43"/>
        <v>5</v>
      </c>
      <c r="AH30" s="780">
        <f t="shared" si="43"/>
        <v>8</v>
      </c>
      <c r="AI30" s="780">
        <f t="shared" si="43"/>
        <v>1</v>
      </c>
      <c r="AJ30" s="780">
        <f t="shared" si="43"/>
        <v>6</v>
      </c>
      <c r="AK30" s="780">
        <f t="shared" si="43"/>
        <v>4</v>
      </c>
      <c r="AL30" s="780">
        <f t="shared" ref="AL30:AM30" si="44">IFERROR(VLOOKUP(AL$8&amp;$V30&amp;$V27&amp;$W$6,vw.sidsudi,5,FALSE),0)</f>
        <v>5</v>
      </c>
      <c r="AM30" s="780">
        <f t="shared" si="44"/>
        <v>5</v>
      </c>
    </row>
    <row r="31" spans="1:39">
      <c r="A31" s="269">
        <v>4</v>
      </c>
      <c r="B31" s="82">
        <f t="shared" si="36"/>
        <v>9</v>
      </c>
      <c r="C31" s="82">
        <f t="shared" si="37"/>
        <v>21</v>
      </c>
      <c r="D31" s="82">
        <f t="shared" si="37"/>
        <v>11</v>
      </c>
      <c r="E31" s="82">
        <f t="shared" si="37"/>
        <v>14</v>
      </c>
      <c r="F31" s="82">
        <f t="shared" si="37"/>
        <v>13</v>
      </c>
      <c r="G31" s="82">
        <f t="shared" si="37"/>
        <v>11</v>
      </c>
      <c r="H31" s="82">
        <f t="shared" si="37"/>
        <v>5</v>
      </c>
      <c r="I31" s="82">
        <f t="shared" si="37"/>
        <v>10</v>
      </c>
      <c r="J31" s="82">
        <f t="shared" si="37"/>
        <v>10</v>
      </c>
      <c r="K31" s="82">
        <f t="shared" si="37"/>
        <v>11</v>
      </c>
      <c r="L31" s="57">
        <f t="shared" si="40"/>
        <v>47</v>
      </c>
      <c r="M31" s="57">
        <f>SUM(BirthsTrend!G29:K29)</f>
        <v>65338</v>
      </c>
      <c r="N31" s="267">
        <f t="shared" si="20"/>
        <v>0.71933637393247418</v>
      </c>
      <c r="V31" s="780" t="s">
        <v>424</v>
      </c>
      <c r="W31" s="780">
        <f t="shared" ref="W31:AK31" si="45">IFERROR(VLOOKUP(W$8&amp;$V31&amp;$V27&amp;$W$6,vw.sidsudi,5,FALSE),0)</f>
        <v>15</v>
      </c>
      <c r="X31" s="780">
        <f t="shared" si="45"/>
        <v>12</v>
      </c>
      <c r="Y31" s="780">
        <f t="shared" si="45"/>
        <v>15</v>
      </c>
      <c r="Z31" s="780">
        <f t="shared" si="45"/>
        <v>11</v>
      </c>
      <c r="AA31" s="780">
        <f t="shared" si="45"/>
        <v>16</v>
      </c>
      <c r="AB31" s="780">
        <f t="shared" si="45"/>
        <v>7</v>
      </c>
      <c r="AC31" s="780">
        <f t="shared" si="45"/>
        <v>10</v>
      </c>
      <c r="AD31" s="780">
        <f t="shared" si="45"/>
        <v>9</v>
      </c>
      <c r="AE31" s="780">
        <f t="shared" si="45"/>
        <v>21</v>
      </c>
      <c r="AF31" s="780">
        <f t="shared" si="45"/>
        <v>11</v>
      </c>
      <c r="AG31" s="780">
        <f t="shared" si="45"/>
        <v>14</v>
      </c>
      <c r="AH31" s="780">
        <f t="shared" si="45"/>
        <v>13</v>
      </c>
      <c r="AI31" s="780">
        <f t="shared" si="45"/>
        <v>11</v>
      </c>
      <c r="AJ31" s="780">
        <f t="shared" si="45"/>
        <v>5</v>
      </c>
      <c r="AK31" s="780">
        <f t="shared" si="45"/>
        <v>10</v>
      </c>
      <c r="AL31" s="780">
        <f t="shared" ref="AL31:AM31" si="46">IFERROR(VLOOKUP(AL$8&amp;$V31&amp;$V27&amp;$W$6,vw.sidsudi,5,FALSE),0)</f>
        <v>10</v>
      </c>
      <c r="AM31" s="780">
        <f t="shared" si="46"/>
        <v>11</v>
      </c>
    </row>
    <row r="32" spans="1:39">
      <c r="A32" s="82" t="s">
        <v>84</v>
      </c>
      <c r="B32" s="82">
        <f t="shared" si="36"/>
        <v>31</v>
      </c>
      <c r="C32" s="82">
        <f t="shared" si="37"/>
        <v>32</v>
      </c>
      <c r="D32" s="82">
        <f t="shared" si="37"/>
        <v>37</v>
      </c>
      <c r="E32" s="82">
        <f t="shared" si="37"/>
        <v>32</v>
      </c>
      <c r="F32" s="82">
        <f t="shared" si="37"/>
        <v>29</v>
      </c>
      <c r="G32" s="82">
        <f t="shared" si="37"/>
        <v>18</v>
      </c>
      <c r="H32" s="82">
        <f t="shared" si="37"/>
        <v>25</v>
      </c>
      <c r="I32" s="82">
        <f t="shared" si="37"/>
        <v>25</v>
      </c>
      <c r="J32" s="82">
        <f t="shared" si="37"/>
        <v>25</v>
      </c>
      <c r="K32" s="82">
        <f t="shared" si="37"/>
        <v>21</v>
      </c>
      <c r="L32" s="57">
        <f t="shared" si="40"/>
        <v>114</v>
      </c>
      <c r="M32" s="57">
        <f>SUM(BirthsTrend!G30:K30)</f>
        <v>84636</v>
      </c>
      <c r="N32" s="267">
        <f t="shared" si="20"/>
        <v>1.3469445625974763</v>
      </c>
      <c r="V32" s="780" t="s">
        <v>425</v>
      </c>
      <c r="W32" s="780">
        <f t="shared" ref="W32:AK32" si="47">IFERROR(VLOOKUP(W$8&amp;$V32&amp;$V27&amp;$W$6,vw.sidsudi,5,FALSE),0)</f>
        <v>47</v>
      </c>
      <c r="X32" s="780">
        <f t="shared" si="47"/>
        <v>32</v>
      </c>
      <c r="Y32" s="780">
        <f t="shared" si="47"/>
        <v>30</v>
      </c>
      <c r="Z32" s="780">
        <f t="shared" si="47"/>
        <v>27</v>
      </c>
      <c r="AA32" s="780">
        <f t="shared" si="47"/>
        <v>28</v>
      </c>
      <c r="AB32" s="780">
        <f t="shared" si="47"/>
        <v>27</v>
      </c>
      <c r="AC32" s="780">
        <f t="shared" si="47"/>
        <v>35</v>
      </c>
      <c r="AD32" s="780">
        <f t="shared" si="47"/>
        <v>31</v>
      </c>
      <c r="AE32" s="780">
        <f t="shared" si="47"/>
        <v>32</v>
      </c>
      <c r="AF32" s="780">
        <f t="shared" si="47"/>
        <v>37</v>
      </c>
      <c r="AG32" s="780">
        <f t="shared" si="47"/>
        <v>32</v>
      </c>
      <c r="AH32" s="780">
        <f t="shared" si="47"/>
        <v>29</v>
      </c>
      <c r="AI32" s="780">
        <f t="shared" si="47"/>
        <v>18</v>
      </c>
      <c r="AJ32" s="780">
        <f t="shared" si="47"/>
        <v>25</v>
      </c>
      <c r="AK32" s="780">
        <f t="shared" si="47"/>
        <v>25</v>
      </c>
      <c r="AL32" s="780">
        <f t="shared" ref="AL32:AM32" si="48">IFERROR(VLOOKUP(AL$8&amp;$V32&amp;$V27&amp;$W$6,vw.sidsudi,5,FALSE),0)</f>
        <v>25</v>
      </c>
      <c r="AM32" s="780">
        <f t="shared" si="48"/>
        <v>21</v>
      </c>
    </row>
    <row r="33" spans="1:49">
      <c r="A33" s="82" t="s">
        <v>63</v>
      </c>
      <c r="B33" s="82">
        <f t="shared" si="36"/>
        <v>6</v>
      </c>
      <c r="C33" s="82">
        <f t="shared" si="37"/>
        <v>6</v>
      </c>
      <c r="D33" s="82">
        <f t="shared" si="37"/>
        <v>2</v>
      </c>
      <c r="E33" s="82">
        <f t="shared" si="37"/>
        <v>1</v>
      </c>
      <c r="F33" s="82">
        <f t="shared" si="37"/>
        <v>0</v>
      </c>
      <c r="G33" s="82">
        <f t="shared" si="37"/>
        <v>1</v>
      </c>
      <c r="H33" s="82">
        <f t="shared" si="37"/>
        <v>0</v>
      </c>
      <c r="I33" s="82">
        <f t="shared" si="37"/>
        <v>1</v>
      </c>
      <c r="J33" s="82">
        <f t="shared" si="37"/>
        <v>0</v>
      </c>
      <c r="K33" s="82">
        <f t="shared" si="37"/>
        <v>0</v>
      </c>
      <c r="L33" s="57">
        <f t="shared" si="40"/>
        <v>2</v>
      </c>
      <c r="M33" s="439">
        <f>SUM(BirthsTrend!G31:K31)</f>
        <v>8115</v>
      </c>
      <c r="N33" s="433" t="s">
        <v>119</v>
      </c>
      <c r="V33" s="780" t="s">
        <v>426</v>
      </c>
      <c r="W33" s="780">
        <f t="shared" ref="W33:AK33" si="49">IFERROR(VLOOKUP(W$8&amp;$V33&amp;$V27&amp;$W$6,vw.sidsudi,5,FALSE),0)</f>
        <v>4</v>
      </c>
      <c r="X33" s="780">
        <f t="shared" si="49"/>
        <v>6</v>
      </c>
      <c r="Y33" s="780">
        <f t="shared" si="49"/>
        <v>4</v>
      </c>
      <c r="Z33" s="780">
        <f t="shared" si="49"/>
        <v>6</v>
      </c>
      <c r="AA33" s="780">
        <f t="shared" si="49"/>
        <v>3</v>
      </c>
      <c r="AB33" s="780">
        <f t="shared" si="49"/>
        <v>3</v>
      </c>
      <c r="AC33" s="780">
        <f t="shared" si="49"/>
        <v>3</v>
      </c>
      <c r="AD33" s="780">
        <f t="shared" si="49"/>
        <v>6</v>
      </c>
      <c r="AE33" s="780">
        <f t="shared" si="49"/>
        <v>6</v>
      </c>
      <c r="AF33" s="780">
        <f t="shared" si="49"/>
        <v>2</v>
      </c>
      <c r="AG33" s="780">
        <f t="shared" si="49"/>
        <v>1</v>
      </c>
      <c r="AH33" s="780">
        <f t="shared" si="49"/>
        <v>0</v>
      </c>
      <c r="AI33" s="780">
        <f t="shared" si="49"/>
        <v>1</v>
      </c>
      <c r="AJ33" s="780">
        <f t="shared" si="49"/>
        <v>0</v>
      </c>
      <c r="AK33" s="780">
        <f t="shared" si="49"/>
        <v>1</v>
      </c>
      <c r="AL33" s="780">
        <f t="shared" ref="AL33:AM33" si="50">IFERROR(VLOOKUP(AL$8&amp;$V33&amp;$V27&amp;$W$6,vw.sidsudi,5,FALSE),0)</f>
        <v>0</v>
      </c>
      <c r="AM33" s="780">
        <f t="shared" si="50"/>
        <v>0</v>
      </c>
    </row>
    <row r="34" spans="1:49">
      <c r="A34" s="80" t="s">
        <v>105</v>
      </c>
      <c r="B34" s="80"/>
      <c r="C34" s="80"/>
      <c r="D34" s="80"/>
      <c r="E34" s="80"/>
      <c r="F34" s="80"/>
      <c r="G34" s="80"/>
      <c r="H34" s="80"/>
      <c r="I34" s="80"/>
      <c r="J34" s="80"/>
      <c r="K34" s="80"/>
      <c r="L34" s="80"/>
      <c r="M34" s="80"/>
      <c r="N34" s="80"/>
      <c r="V34" s="780" t="s">
        <v>135</v>
      </c>
    </row>
    <row r="35" spans="1:49">
      <c r="A35" s="434" t="s">
        <v>375</v>
      </c>
      <c r="B35" s="410">
        <f t="shared" ref="B35:B40" si="51">AD35</f>
        <v>0</v>
      </c>
      <c r="C35" s="410">
        <f t="shared" ref="C35:K40" si="52">AE35</f>
        <v>1</v>
      </c>
      <c r="D35" s="410">
        <f t="shared" si="52"/>
        <v>0</v>
      </c>
      <c r="E35" s="410">
        <f t="shared" si="52"/>
        <v>2</v>
      </c>
      <c r="F35" s="410">
        <f t="shared" si="52"/>
        <v>0</v>
      </c>
      <c r="G35" s="410">
        <f t="shared" si="52"/>
        <v>0</v>
      </c>
      <c r="H35" s="410">
        <f t="shared" si="52"/>
        <v>0</v>
      </c>
      <c r="I35" s="410">
        <f t="shared" si="52"/>
        <v>0</v>
      </c>
      <c r="J35" s="410">
        <f t="shared" si="52"/>
        <v>0</v>
      </c>
      <c r="K35" s="410">
        <f t="shared" si="52"/>
        <v>0</v>
      </c>
      <c r="L35" s="57">
        <f>SUM(G35:K35)</f>
        <v>0</v>
      </c>
      <c r="M35" s="57">
        <f>SUM(BirthsTrend!G33:K33)</f>
        <v>1446</v>
      </c>
      <c r="N35" s="267">
        <f>L35/M35*1000</f>
        <v>0</v>
      </c>
      <c r="V35" s="780" t="s">
        <v>375</v>
      </c>
      <c r="W35" s="780">
        <f t="shared" ref="W35:AK35" si="53">IFERROR(VLOOKUP(W$8&amp;$V35&amp;$V34&amp;$W$6,vw.sidsudi,5,FALSE),0)</f>
        <v>0</v>
      </c>
      <c r="X35" s="780">
        <f t="shared" si="53"/>
        <v>1</v>
      </c>
      <c r="Y35" s="780">
        <f t="shared" si="53"/>
        <v>1</v>
      </c>
      <c r="Z35" s="780">
        <f t="shared" si="53"/>
        <v>1</v>
      </c>
      <c r="AA35" s="780">
        <f t="shared" si="53"/>
        <v>1</v>
      </c>
      <c r="AB35" s="780">
        <f t="shared" si="53"/>
        <v>1</v>
      </c>
      <c r="AC35" s="780">
        <f t="shared" si="53"/>
        <v>1</v>
      </c>
      <c r="AD35" s="780">
        <f t="shared" si="53"/>
        <v>0</v>
      </c>
      <c r="AE35" s="780">
        <f t="shared" si="53"/>
        <v>1</v>
      </c>
      <c r="AF35" s="780">
        <f t="shared" si="53"/>
        <v>0</v>
      </c>
      <c r="AG35" s="780">
        <f t="shared" si="53"/>
        <v>2</v>
      </c>
      <c r="AH35" s="780">
        <f t="shared" si="53"/>
        <v>0</v>
      </c>
      <c r="AI35" s="780">
        <f t="shared" si="53"/>
        <v>0</v>
      </c>
      <c r="AJ35" s="780">
        <f t="shared" si="53"/>
        <v>0</v>
      </c>
      <c r="AK35" s="780">
        <f t="shared" si="53"/>
        <v>0</v>
      </c>
      <c r="AL35" s="780">
        <f t="shared" ref="AL35:AM35" si="54">IFERROR(VLOOKUP(AL$8&amp;$V35&amp;$V34&amp;$W$6,vw.sidsudi,5,FALSE),0)</f>
        <v>0</v>
      </c>
      <c r="AM35" s="780">
        <f t="shared" si="54"/>
        <v>0</v>
      </c>
    </row>
    <row r="36" spans="1:49">
      <c r="A36" s="434" t="s">
        <v>376</v>
      </c>
      <c r="B36" s="410">
        <f t="shared" si="51"/>
        <v>4</v>
      </c>
      <c r="C36" s="410">
        <f t="shared" si="52"/>
        <v>0</v>
      </c>
      <c r="D36" s="410">
        <f t="shared" si="52"/>
        <v>0</v>
      </c>
      <c r="E36" s="410">
        <f t="shared" si="52"/>
        <v>1</v>
      </c>
      <c r="F36" s="410">
        <f t="shared" si="52"/>
        <v>3</v>
      </c>
      <c r="G36" s="410">
        <f t="shared" si="52"/>
        <v>0</v>
      </c>
      <c r="H36" s="410">
        <f t="shared" si="52"/>
        <v>1</v>
      </c>
      <c r="I36" s="410">
        <f t="shared" si="52"/>
        <v>0</v>
      </c>
      <c r="J36" s="410">
        <f t="shared" si="52"/>
        <v>1</v>
      </c>
      <c r="K36" s="410">
        <f t="shared" si="52"/>
        <v>1</v>
      </c>
      <c r="L36" s="57">
        <f t="shared" ref="L36:L40" si="55">SUM(G36:K36)</f>
        <v>3</v>
      </c>
      <c r="M36" s="57">
        <f>SUM(BirthsTrend!G34:K34)</f>
        <v>2254</v>
      </c>
      <c r="N36" s="267">
        <f>L36/M36*1000</f>
        <v>1.3309671694764862</v>
      </c>
      <c r="V36" s="780" t="s">
        <v>395</v>
      </c>
      <c r="W36" s="780">
        <f t="shared" ref="W36:AK36" si="56">IFERROR(VLOOKUP(W$8&amp;$V36&amp;$V34&amp;$W$6,vw.sidsudi,5,FALSE),0)</f>
        <v>5</v>
      </c>
      <c r="X36" s="780">
        <f t="shared" si="56"/>
        <v>1</v>
      </c>
      <c r="Y36" s="780">
        <f t="shared" si="56"/>
        <v>1</v>
      </c>
      <c r="Z36" s="780">
        <f t="shared" si="56"/>
        <v>1</v>
      </c>
      <c r="AA36" s="780">
        <f t="shared" si="56"/>
        <v>4</v>
      </c>
      <c r="AB36" s="780">
        <f t="shared" si="56"/>
        <v>1</v>
      </c>
      <c r="AC36" s="780">
        <f t="shared" si="56"/>
        <v>1</v>
      </c>
      <c r="AD36" s="780">
        <f t="shared" si="56"/>
        <v>4</v>
      </c>
      <c r="AE36" s="780">
        <f t="shared" si="56"/>
        <v>0</v>
      </c>
      <c r="AF36" s="780">
        <f t="shared" si="56"/>
        <v>0</v>
      </c>
      <c r="AG36" s="780">
        <f t="shared" si="56"/>
        <v>1</v>
      </c>
      <c r="AH36" s="780">
        <f t="shared" si="56"/>
        <v>3</v>
      </c>
      <c r="AI36" s="780">
        <f t="shared" si="56"/>
        <v>0</v>
      </c>
      <c r="AJ36" s="780">
        <f t="shared" si="56"/>
        <v>1</v>
      </c>
      <c r="AK36" s="780">
        <f t="shared" si="56"/>
        <v>0</v>
      </c>
      <c r="AL36" s="780">
        <f t="shared" ref="AL36:AM36" si="57">IFERROR(VLOOKUP(AL$8&amp;$V36&amp;$V34&amp;$W$6,vw.sidsudi,5,FALSE),0)</f>
        <v>1</v>
      </c>
      <c r="AM36" s="780">
        <f t="shared" si="57"/>
        <v>1</v>
      </c>
    </row>
    <row r="37" spans="1:49">
      <c r="A37" s="82" t="s">
        <v>64</v>
      </c>
      <c r="B37" s="410">
        <f t="shared" si="51"/>
        <v>6</v>
      </c>
      <c r="C37" s="410">
        <f t="shared" si="52"/>
        <v>12</v>
      </c>
      <c r="D37" s="410">
        <f t="shared" si="52"/>
        <v>10</v>
      </c>
      <c r="E37" s="410">
        <f t="shared" si="52"/>
        <v>8</v>
      </c>
      <c r="F37" s="410">
        <f t="shared" si="52"/>
        <v>9</v>
      </c>
      <c r="G37" s="410">
        <f t="shared" si="52"/>
        <v>7</v>
      </c>
      <c r="H37" s="410">
        <f t="shared" si="52"/>
        <v>9</v>
      </c>
      <c r="I37" s="410">
        <f t="shared" si="52"/>
        <v>10</v>
      </c>
      <c r="J37" s="410">
        <f t="shared" si="52"/>
        <v>4</v>
      </c>
      <c r="K37" s="410">
        <f t="shared" si="52"/>
        <v>7</v>
      </c>
      <c r="L37" s="57">
        <f t="shared" si="55"/>
        <v>37</v>
      </c>
      <c r="M37" s="57">
        <f>SUM(BirthsTrend!G35:K35)</f>
        <v>18952</v>
      </c>
      <c r="N37" s="267">
        <f>L37/M37*1000</f>
        <v>1.9523005487547489</v>
      </c>
      <c r="V37" s="780" t="s">
        <v>136</v>
      </c>
      <c r="W37" s="780">
        <f t="shared" ref="W37:AK37" si="58">VLOOKUP(W$8&amp;$V37&amp;$V34&amp;$W$6,vw.sidsudi,5,FALSE)</f>
        <v>19</v>
      </c>
      <c r="X37" s="780">
        <f t="shared" si="58"/>
        <v>9</v>
      </c>
      <c r="Y37" s="780">
        <f t="shared" si="58"/>
        <v>9</v>
      </c>
      <c r="Z37" s="780">
        <f t="shared" si="58"/>
        <v>6</v>
      </c>
      <c r="AA37" s="780">
        <f t="shared" si="58"/>
        <v>10</v>
      </c>
      <c r="AB37" s="780">
        <f t="shared" si="58"/>
        <v>10</v>
      </c>
      <c r="AC37" s="780">
        <f t="shared" si="58"/>
        <v>5</v>
      </c>
      <c r="AD37" s="780">
        <f t="shared" si="58"/>
        <v>6</v>
      </c>
      <c r="AE37" s="780">
        <f t="shared" si="58"/>
        <v>12</v>
      </c>
      <c r="AF37" s="780">
        <f t="shared" si="58"/>
        <v>10</v>
      </c>
      <c r="AG37" s="780">
        <f t="shared" si="58"/>
        <v>8</v>
      </c>
      <c r="AH37" s="780">
        <f t="shared" si="58"/>
        <v>9</v>
      </c>
      <c r="AI37" s="780">
        <f t="shared" si="58"/>
        <v>7</v>
      </c>
      <c r="AJ37" s="780">
        <f t="shared" si="58"/>
        <v>9</v>
      </c>
      <c r="AK37" s="780">
        <f t="shared" si="58"/>
        <v>10</v>
      </c>
      <c r="AL37" s="780">
        <f t="shared" ref="AL37:AM37" si="59">VLOOKUP(AL$8&amp;$V37&amp;$V34&amp;$W$6,vw.sidsudi,5,FALSE)</f>
        <v>4</v>
      </c>
      <c r="AM37" s="780">
        <f t="shared" si="59"/>
        <v>7</v>
      </c>
    </row>
    <row r="38" spans="1:49">
      <c r="A38" s="82" t="s">
        <v>65</v>
      </c>
      <c r="B38" s="410">
        <f t="shared" si="51"/>
        <v>49</v>
      </c>
      <c r="C38" s="410">
        <f t="shared" si="52"/>
        <v>46</v>
      </c>
      <c r="D38" s="410">
        <f t="shared" si="52"/>
        <v>49</v>
      </c>
      <c r="E38" s="410">
        <f t="shared" si="52"/>
        <v>43</v>
      </c>
      <c r="F38" s="410">
        <f t="shared" si="52"/>
        <v>37</v>
      </c>
      <c r="G38" s="410">
        <f t="shared" si="52"/>
        <v>29</v>
      </c>
      <c r="H38" s="410">
        <f t="shared" si="52"/>
        <v>27</v>
      </c>
      <c r="I38" s="410">
        <f t="shared" si="52"/>
        <v>33</v>
      </c>
      <c r="J38" s="410">
        <f t="shared" si="52"/>
        <v>32</v>
      </c>
      <c r="K38" s="410">
        <f t="shared" si="52"/>
        <v>33</v>
      </c>
      <c r="L38" s="57">
        <f t="shared" si="55"/>
        <v>154</v>
      </c>
      <c r="M38" s="57">
        <f>SUM(BirthsTrend!G36:K36)</f>
        <v>273857</v>
      </c>
      <c r="N38" s="267">
        <f>L38/M38*1000</f>
        <v>0.5623372782145426</v>
      </c>
      <c r="V38" s="780" t="s">
        <v>137</v>
      </c>
      <c r="W38" s="780">
        <f t="shared" ref="W38:AK38" si="60">VLOOKUP(W$8&amp;$V38&amp;$V34&amp;$W$6,vw.sidsudi,5,FALSE)</f>
        <v>58</v>
      </c>
      <c r="X38" s="780">
        <f t="shared" si="60"/>
        <v>59</v>
      </c>
      <c r="Y38" s="780">
        <f t="shared" si="60"/>
        <v>41</v>
      </c>
      <c r="Z38" s="780">
        <f t="shared" si="60"/>
        <v>49</v>
      </c>
      <c r="AA38" s="780">
        <f t="shared" si="60"/>
        <v>41</v>
      </c>
      <c r="AB38" s="780">
        <f t="shared" si="60"/>
        <v>32</v>
      </c>
      <c r="AC38" s="780">
        <f t="shared" si="60"/>
        <v>55</v>
      </c>
      <c r="AD38" s="780">
        <f t="shared" si="60"/>
        <v>49</v>
      </c>
      <c r="AE38" s="780">
        <f t="shared" si="60"/>
        <v>46</v>
      </c>
      <c r="AF38" s="780">
        <f t="shared" si="60"/>
        <v>49</v>
      </c>
      <c r="AG38" s="780">
        <f t="shared" si="60"/>
        <v>43</v>
      </c>
      <c r="AH38" s="780">
        <f t="shared" si="60"/>
        <v>37</v>
      </c>
      <c r="AI38" s="780">
        <f t="shared" si="60"/>
        <v>29</v>
      </c>
      <c r="AJ38" s="780">
        <f t="shared" si="60"/>
        <v>27</v>
      </c>
      <c r="AK38" s="780">
        <f t="shared" si="60"/>
        <v>33</v>
      </c>
      <c r="AL38" s="780">
        <f t="shared" ref="AL38:AM38" si="61">VLOOKUP(AL$8&amp;$V38&amp;$V34&amp;$W$6,vw.sidsudi,5,FALSE)</f>
        <v>32</v>
      </c>
      <c r="AM38" s="780">
        <f t="shared" si="61"/>
        <v>33</v>
      </c>
    </row>
    <row r="39" spans="1:49">
      <c r="A39" s="82" t="s">
        <v>66</v>
      </c>
      <c r="B39" s="410">
        <f t="shared" si="51"/>
        <v>0</v>
      </c>
      <c r="C39" s="410">
        <f t="shared" si="52"/>
        <v>1</v>
      </c>
      <c r="D39" s="410">
        <f t="shared" si="52"/>
        <v>1</v>
      </c>
      <c r="E39" s="410">
        <f t="shared" si="52"/>
        <v>1</v>
      </c>
      <c r="F39" s="410">
        <f t="shared" si="52"/>
        <v>1</v>
      </c>
      <c r="G39" s="410">
        <f t="shared" si="52"/>
        <v>0</v>
      </c>
      <c r="H39" s="410">
        <f t="shared" si="52"/>
        <v>0</v>
      </c>
      <c r="I39" s="410">
        <f t="shared" si="52"/>
        <v>0</v>
      </c>
      <c r="J39" s="410">
        <f t="shared" si="52"/>
        <v>1</v>
      </c>
      <c r="K39" s="410">
        <f t="shared" si="52"/>
        <v>0</v>
      </c>
      <c r="L39" s="57">
        <f t="shared" si="55"/>
        <v>1</v>
      </c>
      <c r="M39" s="57">
        <f>SUM(BirthsTrend!G37:K37)</f>
        <v>5975</v>
      </c>
      <c r="N39" s="267">
        <f>L39/M39*1000</f>
        <v>0.16736401673640169</v>
      </c>
      <c r="V39" s="780" t="s">
        <v>138</v>
      </c>
      <c r="W39" s="780">
        <f t="shared" ref="W39:AK39" si="62">IFERROR(VLOOKUP(W$8&amp;$V39&amp;$V34&amp;$W$6,vw.sidsudi,5,FALSE),0)</f>
        <v>0</v>
      </c>
      <c r="X39" s="780">
        <f t="shared" si="62"/>
        <v>1</v>
      </c>
      <c r="Y39" s="780">
        <f t="shared" si="62"/>
        <v>1</v>
      </c>
      <c r="Z39" s="780">
        <f t="shared" si="62"/>
        <v>0</v>
      </c>
      <c r="AA39" s="780">
        <f t="shared" si="62"/>
        <v>1</v>
      </c>
      <c r="AB39" s="780">
        <f t="shared" si="62"/>
        <v>1</v>
      </c>
      <c r="AC39" s="780">
        <f t="shared" si="62"/>
        <v>0</v>
      </c>
      <c r="AD39" s="780">
        <f t="shared" si="62"/>
        <v>0</v>
      </c>
      <c r="AE39" s="780">
        <f t="shared" si="62"/>
        <v>1</v>
      </c>
      <c r="AF39" s="780">
        <f t="shared" si="62"/>
        <v>1</v>
      </c>
      <c r="AG39" s="780">
        <f t="shared" si="62"/>
        <v>1</v>
      </c>
      <c r="AH39" s="780">
        <f t="shared" si="62"/>
        <v>1</v>
      </c>
      <c r="AI39" s="780">
        <f t="shared" si="62"/>
        <v>0</v>
      </c>
      <c r="AJ39" s="780">
        <f t="shared" si="62"/>
        <v>0</v>
      </c>
      <c r="AK39" s="780">
        <f t="shared" si="62"/>
        <v>0</v>
      </c>
      <c r="AL39" s="780">
        <f t="shared" ref="AL39:AM39" si="63">IFERROR(VLOOKUP(AL$8&amp;$V39&amp;$V34&amp;$W$6,vw.sidsudi,5,FALSE),0)</f>
        <v>1</v>
      </c>
      <c r="AM39" s="780">
        <f t="shared" si="63"/>
        <v>0</v>
      </c>
    </row>
    <row r="40" spans="1:49">
      <c r="A40" s="82" t="s">
        <v>63</v>
      </c>
      <c r="B40" s="410">
        <f t="shared" si="51"/>
        <v>5</v>
      </c>
      <c r="C40" s="410">
        <f t="shared" si="52"/>
        <v>6</v>
      </c>
      <c r="D40" s="410">
        <f t="shared" si="52"/>
        <v>6</v>
      </c>
      <c r="E40" s="410">
        <f t="shared" si="52"/>
        <v>5</v>
      </c>
      <c r="F40" s="410">
        <f t="shared" si="52"/>
        <v>4</v>
      </c>
      <c r="G40" s="410">
        <f t="shared" si="52"/>
        <v>1</v>
      </c>
      <c r="H40" s="410">
        <f t="shared" si="52"/>
        <v>4</v>
      </c>
      <c r="I40" s="410">
        <f t="shared" si="52"/>
        <v>2</v>
      </c>
      <c r="J40" s="410">
        <f t="shared" si="52"/>
        <v>6</v>
      </c>
      <c r="K40" s="410">
        <f t="shared" si="52"/>
        <v>1</v>
      </c>
      <c r="L40" s="57">
        <f t="shared" si="55"/>
        <v>14</v>
      </c>
      <c r="M40" s="439">
        <f>SUM(BirthsTrend!G38:K38)</f>
        <v>95</v>
      </c>
      <c r="N40" s="433" t="s">
        <v>119</v>
      </c>
      <c r="V40" s="780" t="s">
        <v>63</v>
      </c>
      <c r="W40" s="780">
        <f t="shared" ref="W40:AK40" si="64">IFERROR(VLOOKUP(W$8&amp;$V40&amp;$V34&amp;$W$6,vw.sidsudi,5,FALSE),0)</f>
        <v>0</v>
      </c>
      <c r="X40" s="780">
        <f t="shared" si="64"/>
        <v>0</v>
      </c>
      <c r="Y40" s="780">
        <f t="shared" si="64"/>
        <v>5</v>
      </c>
      <c r="Z40" s="780">
        <f t="shared" si="64"/>
        <v>4</v>
      </c>
      <c r="AA40" s="780">
        <f t="shared" si="64"/>
        <v>5</v>
      </c>
      <c r="AB40" s="780">
        <f t="shared" si="64"/>
        <v>8</v>
      </c>
      <c r="AC40" s="780">
        <f t="shared" si="64"/>
        <v>4</v>
      </c>
      <c r="AD40" s="780">
        <f t="shared" si="64"/>
        <v>5</v>
      </c>
      <c r="AE40" s="780">
        <f t="shared" si="64"/>
        <v>6</v>
      </c>
      <c r="AF40" s="780">
        <f t="shared" si="64"/>
        <v>6</v>
      </c>
      <c r="AG40" s="780">
        <f t="shared" si="64"/>
        <v>5</v>
      </c>
      <c r="AH40" s="780">
        <f t="shared" si="64"/>
        <v>4</v>
      </c>
      <c r="AI40" s="780">
        <f t="shared" si="64"/>
        <v>1</v>
      </c>
      <c r="AJ40" s="780">
        <f t="shared" si="64"/>
        <v>4</v>
      </c>
      <c r="AK40" s="780">
        <f t="shared" si="64"/>
        <v>2</v>
      </c>
      <c r="AL40" s="780">
        <f t="shared" ref="AL40:AM40" si="65">IFERROR(VLOOKUP(AL$8&amp;$V40&amp;$V34&amp;$W$6,vw.sidsudi,5,FALSE),0)</f>
        <v>6</v>
      </c>
      <c r="AM40" s="780">
        <f t="shared" si="65"/>
        <v>1</v>
      </c>
    </row>
    <row r="41" spans="1:49">
      <c r="A41" s="80" t="s">
        <v>1</v>
      </c>
      <c r="B41" s="80"/>
      <c r="C41" s="80"/>
      <c r="D41" s="80"/>
      <c r="E41" s="80"/>
      <c r="F41" s="80"/>
      <c r="G41" s="80"/>
      <c r="H41" s="80"/>
      <c r="I41" s="80"/>
      <c r="J41" s="80"/>
      <c r="K41" s="80"/>
      <c r="L41" s="80"/>
      <c r="M41" s="80"/>
      <c r="N41" s="80"/>
      <c r="V41" s="780" t="s">
        <v>464</v>
      </c>
    </row>
    <row r="42" spans="1:49">
      <c r="A42" s="434" t="s">
        <v>378</v>
      </c>
      <c r="B42" s="410">
        <f t="shared" ref="B42:B48" si="66">AD42</f>
        <v>0</v>
      </c>
      <c r="C42" s="410">
        <f t="shared" ref="C42:K48" si="67">AE42</f>
        <v>0</v>
      </c>
      <c r="D42" s="410">
        <f t="shared" si="67"/>
        <v>0</v>
      </c>
      <c r="E42" s="410">
        <f t="shared" si="67"/>
        <v>0</v>
      </c>
      <c r="F42" s="410">
        <f t="shared" si="67"/>
        <v>0</v>
      </c>
      <c r="G42" s="410">
        <f t="shared" si="67"/>
        <v>0</v>
      </c>
      <c r="H42" s="410">
        <f t="shared" si="67"/>
        <v>0</v>
      </c>
      <c r="I42" s="410">
        <f t="shared" si="67"/>
        <v>0</v>
      </c>
      <c r="J42" s="410">
        <f t="shared" si="67"/>
        <v>0</v>
      </c>
      <c r="K42" s="410">
        <f t="shared" si="67"/>
        <v>0</v>
      </c>
      <c r="L42" s="57">
        <f>SUM(G42:K42)</f>
        <v>0</v>
      </c>
      <c r="M42" s="57">
        <f>SUM(BirthsTrend!G40:K40)</f>
        <v>343</v>
      </c>
      <c r="N42" s="267">
        <f t="shared" ref="N42:N43" si="68">L42/M42*1000</f>
        <v>0</v>
      </c>
      <c r="V42" s="780" t="s">
        <v>427</v>
      </c>
      <c r="W42" s="780">
        <f t="shared" ref="W42:AK42" si="69">IFERROR(VLOOKUP(W$8&amp;$V42&amp;$V41&amp;$W$6,vw.sidsudi,5,FALSE),0)</f>
        <v>0</v>
      </c>
      <c r="X42" s="780">
        <f t="shared" si="69"/>
        <v>0</v>
      </c>
      <c r="Y42" s="780">
        <f t="shared" si="69"/>
        <v>0</v>
      </c>
      <c r="Z42" s="780">
        <f t="shared" si="69"/>
        <v>0</v>
      </c>
      <c r="AA42" s="780">
        <f t="shared" si="69"/>
        <v>0</v>
      </c>
      <c r="AB42" s="780">
        <f t="shared" si="69"/>
        <v>0</v>
      </c>
      <c r="AC42" s="780">
        <f t="shared" si="69"/>
        <v>0</v>
      </c>
      <c r="AD42" s="780">
        <f t="shared" si="69"/>
        <v>0</v>
      </c>
      <c r="AE42" s="780">
        <f t="shared" si="69"/>
        <v>0</v>
      </c>
      <c r="AF42" s="780">
        <f t="shared" si="69"/>
        <v>0</v>
      </c>
      <c r="AG42" s="780">
        <f t="shared" si="69"/>
        <v>0</v>
      </c>
      <c r="AH42" s="780">
        <f t="shared" si="69"/>
        <v>0</v>
      </c>
      <c r="AI42" s="780">
        <f t="shared" si="69"/>
        <v>0</v>
      </c>
      <c r="AJ42" s="780">
        <f t="shared" si="69"/>
        <v>0</v>
      </c>
      <c r="AK42" s="780">
        <f t="shared" si="69"/>
        <v>0</v>
      </c>
      <c r="AL42" s="780">
        <f t="shared" ref="AL42:AM42" si="70">IFERROR(VLOOKUP(AL$8&amp;$V42&amp;$V41&amp;$W$6,vw.sidsudi,5,FALSE),0)</f>
        <v>0</v>
      </c>
      <c r="AM42" s="780">
        <f t="shared" si="70"/>
        <v>0</v>
      </c>
    </row>
    <row r="43" spans="1:49">
      <c r="A43" s="434" t="s">
        <v>386</v>
      </c>
      <c r="B43" s="410">
        <f t="shared" si="66"/>
        <v>0</v>
      </c>
      <c r="C43" s="410">
        <f t="shared" si="67"/>
        <v>0</v>
      </c>
      <c r="D43" s="410">
        <f t="shared" si="67"/>
        <v>0</v>
      </c>
      <c r="E43" s="410">
        <f t="shared" si="67"/>
        <v>1</v>
      </c>
      <c r="F43" s="410">
        <f t="shared" si="67"/>
        <v>0</v>
      </c>
      <c r="G43" s="410">
        <f t="shared" si="67"/>
        <v>0</v>
      </c>
      <c r="H43" s="410">
        <f t="shared" si="67"/>
        <v>0</v>
      </c>
      <c r="I43" s="410">
        <f t="shared" si="67"/>
        <v>0</v>
      </c>
      <c r="J43" s="410">
        <f t="shared" si="67"/>
        <v>0</v>
      </c>
      <c r="K43" s="410">
        <f t="shared" si="67"/>
        <v>0</v>
      </c>
      <c r="L43" s="57">
        <f t="shared" ref="L43:L48" si="71">SUM(G43:K43)</f>
        <v>0</v>
      </c>
      <c r="M43" s="57">
        <f>SUM(BirthsTrend!G41:K41)</f>
        <v>1041</v>
      </c>
      <c r="N43" s="267">
        <f t="shared" si="68"/>
        <v>0</v>
      </c>
      <c r="V43" s="780" t="s">
        <v>428</v>
      </c>
      <c r="W43" s="780">
        <f t="shared" ref="W43:AK43" si="72">IFERROR(VLOOKUP(W$8&amp;$V43&amp;$V41&amp;$W$6,vw.sidsudi,5,FALSE),0)</f>
        <v>0</v>
      </c>
      <c r="X43" s="780">
        <f t="shared" si="72"/>
        <v>1</v>
      </c>
      <c r="Y43" s="780">
        <f t="shared" si="72"/>
        <v>1</v>
      </c>
      <c r="Z43" s="780">
        <f t="shared" si="72"/>
        <v>1</v>
      </c>
      <c r="AA43" s="780">
        <f t="shared" si="72"/>
        <v>1</v>
      </c>
      <c r="AB43" s="780">
        <f t="shared" si="72"/>
        <v>0</v>
      </c>
      <c r="AC43" s="780">
        <f t="shared" si="72"/>
        <v>1</v>
      </c>
      <c r="AD43" s="780">
        <f t="shared" si="72"/>
        <v>0</v>
      </c>
      <c r="AE43" s="780">
        <f t="shared" si="72"/>
        <v>0</v>
      </c>
      <c r="AF43" s="780">
        <f t="shared" si="72"/>
        <v>0</v>
      </c>
      <c r="AG43" s="780">
        <f t="shared" si="72"/>
        <v>1</v>
      </c>
      <c r="AH43" s="780">
        <f t="shared" si="72"/>
        <v>0</v>
      </c>
      <c r="AI43" s="780">
        <f t="shared" si="72"/>
        <v>0</v>
      </c>
      <c r="AJ43" s="780">
        <f t="shared" si="72"/>
        <v>0</v>
      </c>
      <c r="AK43" s="780">
        <f t="shared" si="72"/>
        <v>0</v>
      </c>
      <c r="AL43" s="780">
        <f t="shared" ref="AL43:AM43" si="73">IFERROR(VLOOKUP(AL$8&amp;$V43&amp;$V41&amp;$W$6,vw.sidsudi,5,FALSE),0)</f>
        <v>0</v>
      </c>
      <c r="AM43" s="780">
        <f t="shared" si="73"/>
        <v>0</v>
      </c>
    </row>
    <row r="44" spans="1:49">
      <c r="A44" s="434" t="s">
        <v>387</v>
      </c>
      <c r="B44" s="410">
        <f t="shared" si="66"/>
        <v>3</v>
      </c>
      <c r="C44" s="410">
        <f t="shared" si="67"/>
        <v>1</v>
      </c>
      <c r="D44" s="410">
        <f t="shared" si="67"/>
        <v>0</v>
      </c>
      <c r="E44" s="410">
        <f t="shared" si="67"/>
        <v>2</v>
      </c>
      <c r="F44" s="410">
        <f t="shared" si="67"/>
        <v>2</v>
      </c>
      <c r="G44" s="410">
        <f t="shared" si="67"/>
        <v>1</v>
      </c>
      <c r="H44" s="410">
        <f t="shared" si="67"/>
        <v>1</v>
      </c>
      <c r="I44" s="410">
        <f t="shared" si="67"/>
        <v>0</v>
      </c>
      <c r="J44" s="410">
        <f t="shared" si="67"/>
        <v>0</v>
      </c>
      <c r="K44" s="410">
        <f t="shared" si="67"/>
        <v>0</v>
      </c>
      <c r="L44" s="57">
        <f t="shared" si="71"/>
        <v>2</v>
      </c>
      <c r="M44" s="57">
        <f>SUM(BirthsTrend!G42:K42)</f>
        <v>1708</v>
      </c>
      <c r="N44" s="267">
        <f>L44/M44*1000</f>
        <v>1.1709601873536299</v>
      </c>
      <c r="V44" s="780" t="s">
        <v>429</v>
      </c>
      <c r="W44" s="780">
        <f t="shared" ref="W44:AK44" si="74">IFERROR(VLOOKUP(W$8&amp;$V44&amp;$V41&amp;$W$6,vw.sidsudi,5,FALSE),0)</f>
        <v>1</v>
      </c>
      <c r="X44" s="780">
        <f t="shared" si="74"/>
        <v>1</v>
      </c>
      <c r="Y44" s="780">
        <f t="shared" si="74"/>
        <v>1</v>
      </c>
      <c r="Z44" s="780">
        <f t="shared" si="74"/>
        <v>1</v>
      </c>
      <c r="AA44" s="780">
        <f t="shared" si="74"/>
        <v>1</v>
      </c>
      <c r="AB44" s="780">
        <f t="shared" si="74"/>
        <v>1</v>
      </c>
      <c r="AC44" s="780">
        <f t="shared" si="74"/>
        <v>0</v>
      </c>
      <c r="AD44" s="780">
        <f t="shared" si="74"/>
        <v>3</v>
      </c>
      <c r="AE44" s="780">
        <f t="shared" si="74"/>
        <v>1</v>
      </c>
      <c r="AF44" s="780">
        <f t="shared" si="74"/>
        <v>0</v>
      </c>
      <c r="AG44" s="780">
        <f t="shared" si="74"/>
        <v>2</v>
      </c>
      <c r="AH44" s="780">
        <f t="shared" si="74"/>
        <v>2</v>
      </c>
      <c r="AI44" s="780">
        <f t="shared" si="74"/>
        <v>1</v>
      </c>
      <c r="AJ44" s="780">
        <f t="shared" si="74"/>
        <v>1</v>
      </c>
      <c r="AK44" s="780">
        <f t="shared" si="74"/>
        <v>0</v>
      </c>
      <c r="AL44" s="780">
        <f t="shared" ref="AL44:AM44" si="75">IFERROR(VLOOKUP(AL$8&amp;$V44&amp;$V41&amp;$W$6,vw.sidsudi,5,FALSE),0)</f>
        <v>0</v>
      </c>
      <c r="AM44" s="780">
        <f t="shared" si="75"/>
        <v>0</v>
      </c>
    </row>
    <row r="45" spans="1:49" s="454" customFormat="1">
      <c r="A45" s="564" t="s">
        <v>477</v>
      </c>
      <c r="B45" s="410">
        <f t="shared" si="66"/>
        <v>6</v>
      </c>
      <c r="C45" s="410">
        <f t="shared" si="67"/>
        <v>8</v>
      </c>
      <c r="D45" s="410">
        <f t="shared" si="67"/>
        <v>10</v>
      </c>
      <c r="E45" s="410">
        <f t="shared" si="67"/>
        <v>5</v>
      </c>
      <c r="F45" s="410">
        <f t="shared" si="67"/>
        <v>13</v>
      </c>
      <c r="G45" s="410">
        <f t="shared" si="67"/>
        <v>4</v>
      </c>
      <c r="H45" s="410">
        <f t="shared" si="67"/>
        <v>5</v>
      </c>
      <c r="I45" s="410">
        <f t="shared" si="67"/>
        <v>9</v>
      </c>
      <c r="J45" s="410">
        <f t="shared" si="67"/>
        <v>5</v>
      </c>
      <c r="K45" s="410">
        <f t="shared" si="67"/>
        <v>7</v>
      </c>
      <c r="L45" s="57">
        <f t="shared" si="71"/>
        <v>30</v>
      </c>
      <c r="M45" s="57">
        <f>SUM(BirthsTrend!G43:K43)</f>
        <v>14882</v>
      </c>
      <c r="N45" s="267">
        <f>L45/M45*1000</f>
        <v>2.0158580835909152</v>
      </c>
      <c r="T45" s="243"/>
      <c r="U45" s="243"/>
      <c r="V45" s="780" t="s">
        <v>430</v>
      </c>
      <c r="W45" s="780">
        <f t="shared" ref="W45:AK45" si="76">IFERROR(VLOOKUP(W$8&amp;$V45&amp;$V41&amp;$W$6,vw.sidsudi,5,FALSE),0)</f>
        <v>22</v>
      </c>
      <c r="X45" s="780">
        <f t="shared" si="76"/>
        <v>12</v>
      </c>
      <c r="Y45" s="780">
        <f t="shared" si="76"/>
        <v>8</v>
      </c>
      <c r="Z45" s="780">
        <f t="shared" si="76"/>
        <v>10</v>
      </c>
      <c r="AA45" s="780">
        <f t="shared" si="76"/>
        <v>13</v>
      </c>
      <c r="AB45" s="780">
        <f t="shared" si="76"/>
        <v>9</v>
      </c>
      <c r="AC45" s="780">
        <f t="shared" si="76"/>
        <v>9</v>
      </c>
      <c r="AD45" s="780">
        <f t="shared" si="76"/>
        <v>6</v>
      </c>
      <c r="AE45" s="780">
        <f t="shared" si="76"/>
        <v>8</v>
      </c>
      <c r="AF45" s="780">
        <f t="shared" si="76"/>
        <v>10</v>
      </c>
      <c r="AG45" s="780">
        <f t="shared" si="76"/>
        <v>5</v>
      </c>
      <c r="AH45" s="780">
        <f t="shared" si="76"/>
        <v>13</v>
      </c>
      <c r="AI45" s="780">
        <f t="shared" si="76"/>
        <v>4</v>
      </c>
      <c r="AJ45" s="780">
        <f t="shared" si="76"/>
        <v>5</v>
      </c>
      <c r="AK45" s="780">
        <f t="shared" si="76"/>
        <v>9</v>
      </c>
      <c r="AL45" s="780">
        <f t="shared" ref="AL45:AM45" si="77">IFERROR(VLOOKUP(AL$8&amp;$V45&amp;$V41&amp;$W$6,vw.sidsudi,5,FALSE),0)</f>
        <v>5</v>
      </c>
      <c r="AM45" s="780">
        <f t="shared" si="77"/>
        <v>7</v>
      </c>
      <c r="AN45" s="243"/>
      <c r="AO45" s="243"/>
      <c r="AP45" s="243"/>
      <c r="AQ45" s="243"/>
      <c r="AR45" s="243"/>
      <c r="AS45" s="243"/>
      <c r="AT45" s="243"/>
      <c r="AU45" s="243"/>
      <c r="AV45" s="243"/>
      <c r="AW45" s="243"/>
    </row>
    <row r="46" spans="1:49">
      <c r="A46" s="406" t="s">
        <v>388</v>
      </c>
      <c r="B46" s="410">
        <f t="shared" si="66"/>
        <v>53</v>
      </c>
      <c r="C46" s="410">
        <f t="shared" si="67"/>
        <v>55</v>
      </c>
      <c r="D46" s="410">
        <f t="shared" si="67"/>
        <v>51</v>
      </c>
      <c r="E46" s="410">
        <f t="shared" si="67"/>
        <v>46</v>
      </c>
      <c r="F46" s="410">
        <f t="shared" si="67"/>
        <v>36</v>
      </c>
      <c r="G46" s="410">
        <f t="shared" si="67"/>
        <v>31</v>
      </c>
      <c r="H46" s="410">
        <f t="shared" si="67"/>
        <v>31</v>
      </c>
      <c r="I46" s="410">
        <f t="shared" si="67"/>
        <v>34</v>
      </c>
      <c r="J46" s="410">
        <f t="shared" si="67"/>
        <v>33</v>
      </c>
      <c r="K46" s="410">
        <f>AM46</f>
        <v>34</v>
      </c>
      <c r="L46" s="57">
        <f t="shared" si="71"/>
        <v>163</v>
      </c>
      <c r="M46" s="57">
        <f>SUM(BirthsTrend!G44:K44)</f>
        <v>276994</v>
      </c>
      <c r="N46" s="267">
        <f>L46/M46*1000</f>
        <v>0.58846039986425702</v>
      </c>
      <c r="V46" s="780" t="s">
        <v>431</v>
      </c>
      <c r="W46" s="780">
        <f t="shared" ref="W46:AK46" si="78">IFERROR(VLOOKUP(W$8&amp;$V46&amp;$V41&amp;$W$6,vw.sidsudi,5,FALSE),0)</f>
        <v>59</v>
      </c>
      <c r="X46" s="780">
        <f t="shared" si="78"/>
        <v>57</v>
      </c>
      <c r="Y46" s="780">
        <f t="shared" si="78"/>
        <v>43</v>
      </c>
      <c r="Z46" s="780">
        <f t="shared" si="78"/>
        <v>48</v>
      </c>
      <c r="AA46" s="780">
        <f t="shared" si="78"/>
        <v>44</v>
      </c>
      <c r="AB46" s="780">
        <f t="shared" si="78"/>
        <v>41</v>
      </c>
      <c r="AC46" s="780">
        <f t="shared" si="78"/>
        <v>52</v>
      </c>
      <c r="AD46" s="780">
        <f t="shared" si="78"/>
        <v>53</v>
      </c>
      <c r="AE46" s="780">
        <f t="shared" si="78"/>
        <v>55</v>
      </c>
      <c r="AF46" s="780">
        <f t="shared" si="78"/>
        <v>51</v>
      </c>
      <c r="AG46" s="780">
        <f t="shared" si="78"/>
        <v>46</v>
      </c>
      <c r="AH46" s="780">
        <f t="shared" si="78"/>
        <v>36</v>
      </c>
      <c r="AI46" s="780">
        <f t="shared" si="78"/>
        <v>31</v>
      </c>
      <c r="AJ46" s="780">
        <f t="shared" si="78"/>
        <v>31</v>
      </c>
      <c r="AK46" s="780">
        <f t="shared" si="78"/>
        <v>34</v>
      </c>
      <c r="AL46" s="780">
        <f t="shared" ref="AL46:AM46" si="79">IFERROR(VLOOKUP(AL$8&amp;$V46&amp;$V41&amp;$W$6,vw.sidsudi,5,FALSE),0)</f>
        <v>33</v>
      </c>
      <c r="AM46" s="780">
        <f t="shared" si="79"/>
        <v>34</v>
      </c>
    </row>
    <row r="47" spans="1:49">
      <c r="A47" s="406" t="s">
        <v>383</v>
      </c>
      <c r="B47" s="410">
        <f t="shared" si="66"/>
        <v>0</v>
      </c>
      <c r="C47" s="410">
        <f t="shared" si="67"/>
        <v>0</v>
      </c>
      <c r="D47" s="410">
        <f t="shared" si="67"/>
        <v>0</v>
      </c>
      <c r="E47" s="410">
        <f t="shared" si="67"/>
        <v>1</v>
      </c>
      <c r="F47" s="410">
        <f t="shared" si="67"/>
        <v>0</v>
      </c>
      <c r="G47" s="410">
        <f t="shared" si="67"/>
        <v>0</v>
      </c>
      <c r="H47" s="410">
        <f t="shared" si="67"/>
        <v>0</v>
      </c>
      <c r="I47" s="410">
        <f t="shared" si="67"/>
        <v>0</v>
      </c>
      <c r="J47" s="410">
        <f t="shared" si="67"/>
        <v>1</v>
      </c>
      <c r="K47" s="410">
        <f t="shared" si="67"/>
        <v>0</v>
      </c>
      <c r="L47" s="57">
        <f t="shared" si="71"/>
        <v>1</v>
      </c>
      <c r="M47" s="57">
        <f>SUM(BirthsTrend!G45:K45)</f>
        <v>7444</v>
      </c>
      <c r="N47" s="267">
        <f>L47/M47*1000</f>
        <v>0.13433637829124129</v>
      </c>
      <c r="V47" s="780" t="s">
        <v>432</v>
      </c>
      <c r="W47" s="780">
        <f t="shared" ref="W47:AK47" si="80">IFERROR(VLOOKUP(W$8&amp;$V47&amp;$V41&amp;$W$6,vw.sidsudi,5,FALSE),0)</f>
        <v>0</v>
      </c>
      <c r="X47" s="780">
        <f t="shared" si="80"/>
        <v>0</v>
      </c>
      <c r="Y47" s="780">
        <f t="shared" si="80"/>
        <v>0</v>
      </c>
      <c r="Z47" s="780">
        <f t="shared" si="80"/>
        <v>0</v>
      </c>
      <c r="AA47" s="780">
        <f t="shared" si="80"/>
        <v>0</v>
      </c>
      <c r="AB47" s="780">
        <f t="shared" si="80"/>
        <v>0</v>
      </c>
      <c r="AC47" s="780">
        <f t="shared" si="80"/>
        <v>1</v>
      </c>
      <c r="AD47" s="780">
        <f t="shared" si="80"/>
        <v>0</v>
      </c>
      <c r="AE47" s="780">
        <f t="shared" si="80"/>
        <v>0</v>
      </c>
      <c r="AF47" s="780">
        <f t="shared" si="80"/>
        <v>0</v>
      </c>
      <c r="AG47" s="780">
        <f t="shared" si="80"/>
        <v>1</v>
      </c>
      <c r="AH47" s="780">
        <f t="shared" si="80"/>
        <v>0</v>
      </c>
      <c r="AI47" s="780">
        <f t="shared" si="80"/>
        <v>0</v>
      </c>
      <c r="AJ47" s="780">
        <f t="shared" si="80"/>
        <v>0</v>
      </c>
      <c r="AK47" s="780">
        <f t="shared" si="80"/>
        <v>0</v>
      </c>
      <c r="AL47" s="780">
        <f t="shared" ref="AL47:AM47" si="81">IFERROR(VLOOKUP(AL$8&amp;$V47&amp;$V41&amp;$W$6,vw.sidsudi,5,FALSE),0)</f>
        <v>1</v>
      </c>
      <c r="AM47" s="780">
        <f t="shared" si="81"/>
        <v>0</v>
      </c>
    </row>
    <row r="48" spans="1:49">
      <c r="A48" s="58" t="s">
        <v>63</v>
      </c>
      <c r="B48" s="410">
        <f t="shared" si="66"/>
        <v>2</v>
      </c>
      <c r="C48" s="410">
        <f t="shared" si="67"/>
        <v>2</v>
      </c>
      <c r="D48" s="410">
        <f t="shared" si="67"/>
        <v>5</v>
      </c>
      <c r="E48" s="410">
        <f t="shared" si="67"/>
        <v>5</v>
      </c>
      <c r="F48" s="410">
        <f t="shared" si="67"/>
        <v>3</v>
      </c>
      <c r="G48" s="410">
        <f t="shared" si="67"/>
        <v>1</v>
      </c>
      <c r="H48" s="410">
        <f t="shared" si="67"/>
        <v>4</v>
      </c>
      <c r="I48" s="410">
        <f t="shared" si="67"/>
        <v>2</v>
      </c>
      <c r="J48" s="410">
        <f t="shared" si="67"/>
        <v>5</v>
      </c>
      <c r="K48" s="410">
        <f t="shared" si="67"/>
        <v>1</v>
      </c>
      <c r="L48" s="57">
        <f t="shared" si="71"/>
        <v>13</v>
      </c>
      <c r="M48" s="439">
        <f>SUM(BirthsTrend!G46:K46)</f>
        <v>167</v>
      </c>
      <c r="N48" s="433" t="s">
        <v>119</v>
      </c>
      <c r="V48" s="780" t="s">
        <v>63</v>
      </c>
      <c r="W48" s="780">
        <f t="shared" ref="W48:AK48" si="82">IFERROR(VLOOKUP(W$8&amp;$V48&amp;$V41&amp;$W$6,vw.sidsudi,5,FALSE),0)</f>
        <v>0</v>
      </c>
      <c r="X48" s="780">
        <f t="shared" si="82"/>
        <v>0</v>
      </c>
      <c r="Y48" s="780">
        <f t="shared" si="82"/>
        <v>5</v>
      </c>
      <c r="Z48" s="780">
        <f t="shared" si="82"/>
        <v>1</v>
      </c>
      <c r="AA48" s="780">
        <f t="shared" si="82"/>
        <v>3</v>
      </c>
      <c r="AB48" s="780">
        <f t="shared" si="82"/>
        <v>2</v>
      </c>
      <c r="AC48" s="780">
        <f t="shared" si="82"/>
        <v>3</v>
      </c>
      <c r="AD48" s="780">
        <f t="shared" si="82"/>
        <v>2</v>
      </c>
      <c r="AE48" s="780">
        <f t="shared" si="82"/>
        <v>2</v>
      </c>
      <c r="AF48" s="780">
        <f t="shared" si="82"/>
        <v>5</v>
      </c>
      <c r="AG48" s="780">
        <f t="shared" si="82"/>
        <v>5</v>
      </c>
      <c r="AH48" s="780">
        <f t="shared" si="82"/>
        <v>3</v>
      </c>
      <c r="AI48" s="780">
        <f t="shared" si="82"/>
        <v>1</v>
      </c>
      <c r="AJ48" s="780">
        <f t="shared" si="82"/>
        <v>4</v>
      </c>
      <c r="AK48" s="780">
        <f t="shared" si="82"/>
        <v>2</v>
      </c>
      <c r="AL48" s="780">
        <f t="shared" ref="AL48:AM48" si="83">IFERROR(VLOOKUP(AL$8&amp;$V48&amp;$V41&amp;$W$6,vw.sidsudi,5,FALSE),0)</f>
        <v>5</v>
      </c>
      <c r="AM48" s="780">
        <f t="shared" si="83"/>
        <v>1</v>
      </c>
    </row>
    <row r="49" spans="1:39">
      <c r="A49" s="80" t="s">
        <v>322</v>
      </c>
      <c r="B49" s="80"/>
      <c r="C49" s="80"/>
      <c r="D49" s="80"/>
      <c r="E49" s="80"/>
      <c r="F49" s="80"/>
      <c r="G49" s="80"/>
      <c r="H49" s="80"/>
      <c r="I49" s="80"/>
      <c r="J49" s="80"/>
      <c r="K49" s="80"/>
      <c r="L49" s="80"/>
      <c r="M49" s="80"/>
      <c r="N49" s="80"/>
      <c r="V49" s="780" t="s">
        <v>139</v>
      </c>
    </row>
    <row r="50" spans="1:39">
      <c r="A50" s="82" t="s">
        <v>85</v>
      </c>
      <c r="B50" s="82">
        <f t="shared" ref="B50:B70" si="84">AD50</f>
        <v>3</v>
      </c>
      <c r="C50" s="82">
        <f t="shared" ref="C50:K65" si="85">AE50</f>
        <v>5</v>
      </c>
      <c r="D50" s="82">
        <f t="shared" si="85"/>
        <v>9</v>
      </c>
      <c r="E50" s="82">
        <f t="shared" si="85"/>
        <v>6</v>
      </c>
      <c r="F50" s="82">
        <f t="shared" si="85"/>
        <v>1</v>
      </c>
      <c r="G50" s="82">
        <f t="shared" si="85"/>
        <v>3</v>
      </c>
      <c r="H50" s="82">
        <f t="shared" si="85"/>
        <v>2</v>
      </c>
      <c r="I50" s="82">
        <f t="shared" si="85"/>
        <v>3</v>
      </c>
      <c r="J50" s="82">
        <f t="shared" si="85"/>
        <v>2</v>
      </c>
      <c r="K50" s="82">
        <f t="shared" si="85"/>
        <v>1</v>
      </c>
      <c r="L50" s="82">
        <f>SUM(G50:K50)</f>
        <v>11</v>
      </c>
      <c r="M50" s="57">
        <f>SUM(BirthsTrend!G48:K48)</f>
        <v>11317</v>
      </c>
      <c r="N50" s="267">
        <f t="shared" ref="N50:N69" si="86">L50/M50*1000</f>
        <v>0.9719890430326058</v>
      </c>
      <c r="V50" s="780" t="s">
        <v>85</v>
      </c>
      <c r="W50" s="780">
        <f t="shared" ref="W50:AK50" si="87">IFERROR(VLOOKUP(W$8&amp;$V50&amp;$V49&amp;$W$6,vw.sidsudi,5,FALSE),0)</f>
        <v>8</v>
      </c>
      <c r="X50" s="780">
        <f t="shared" si="87"/>
        <v>4</v>
      </c>
      <c r="Y50" s="780">
        <f t="shared" si="87"/>
        <v>3</v>
      </c>
      <c r="Z50" s="780">
        <f t="shared" si="87"/>
        <v>5</v>
      </c>
      <c r="AA50" s="780">
        <f t="shared" si="87"/>
        <v>8</v>
      </c>
      <c r="AB50" s="780">
        <f t="shared" si="87"/>
        <v>5</v>
      </c>
      <c r="AC50" s="780">
        <f t="shared" si="87"/>
        <v>4</v>
      </c>
      <c r="AD50" s="780">
        <f t="shared" si="87"/>
        <v>3</v>
      </c>
      <c r="AE50" s="780">
        <f t="shared" si="87"/>
        <v>5</v>
      </c>
      <c r="AF50" s="780">
        <f t="shared" si="87"/>
        <v>9</v>
      </c>
      <c r="AG50" s="780">
        <f t="shared" si="87"/>
        <v>6</v>
      </c>
      <c r="AH50" s="780">
        <f t="shared" si="87"/>
        <v>1</v>
      </c>
      <c r="AI50" s="780">
        <f t="shared" si="87"/>
        <v>3</v>
      </c>
      <c r="AJ50" s="780">
        <f t="shared" si="87"/>
        <v>2</v>
      </c>
      <c r="AK50" s="780">
        <f t="shared" si="87"/>
        <v>3</v>
      </c>
      <c r="AL50" s="780">
        <f t="shared" ref="AL50:AM50" si="88">IFERROR(VLOOKUP(AL$8&amp;$V50&amp;$V49&amp;$W$6,vw.sidsudi,5,FALSE),0)</f>
        <v>2</v>
      </c>
      <c r="AM50" s="780">
        <f t="shared" si="88"/>
        <v>1</v>
      </c>
    </row>
    <row r="51" spans="1:39">
      <c r="A51" s="82" t="s">
        <v>86</v>
      </c>
      <c r="B51" s="82">
        <f t="shared" si="84"/>
        <v>6</v>
      </c>
      <c r="C51" s="82">
        <f t="shared" si="85"/>
        <v>5</v>
      </c>
      <c r="D51" s="82">
        <f t="shared" si="85"/>
        <v>2</v>
      </c>
      <c r="E51" s="82">
        <f t="shared" si="85"/>
        <v>6</v>
      </c>
      <c r="F51" s="82">
        <f t="shared" si="85"/>
        <v>3</v>
      </c>
      <c r="G51" s="82">
        <f t="shared" si="85"/>
        <v>0</v>
      </c>
      <c r="H51" s="82">
        <f t="shared" si="85"/>
        <v>1</v>
      </c>
      <c r="I51" s="82">
        <f t="shared" si="85"/>
        <v>2</v>
      </c>
      <c r="J51" s="82">
        <f t="shared" si="85"/>
        <v>1</v>
      </c>
      <c r="K51" s="82">
        <f t="shared" si="85"/>
        <v>3</v>
      </c>
      <c r="L51" s="82">
        <f t="shared" ref="L51:L70" si="89">SUM(G51:K51)</f>
        <v>7</v>
      </c>
      <c r="M51" s="57">
        <f>SUM(BirthsTrend!G49:K49)</f>
        <v>39511</v>
      </c>
      <c r="N51" s="267">
        <f t="shared" si="86"/>
        <v>0.17716585254739187</v>
      </c>
      <c r="V51" s="780" t="s">
        <v>86</v>
      </c>
      <c r="W51" s="780">
        <f t="shared" ref="W51:AK51" si="90">IFERROR(VLOOKUP(W$8&amp;$V51&amp;$V49&amp;$W$6,vw.sidsudi,5,FALSE),0)</f>
        <v>8</v>
      </c>
      <c r="X51" s="780">
        <f t="shared" si="90"/>
        <v>8</v>
      </c>
      <c r="Y51" s="780">
        <f t="shared" si="90"/>
        <v>9</v>
      </c>
      <c r="Z51" s="780">
        <f t="shared" si="90"/>
        <v>6</v>
      </c>
      <c r="AA51" s="780">
        <f t="shared" si="90"/>
        <v>7</v>
      </c>
      <c r="AB51" s="780">
        <f t="shared" si="90"/>
        <v>6</v>
      </c>
      <c r="AC51" s="780">
        <f t="shared" si="90"/>
        <v>3</v>
      </c>
      <c r="AD51" s="780">
        <f t="shared" si="90"/>
        <v>6</v>
      </c>
      <c r="AE51" s="780">
        <f t="shared" si="90"/>
        <v>5</v>
      </c>
      <c r="AF51" s="780">
        <f t="shared" si="90"/>
        <v>2</v>
      </c>
      <c r="AG51" s="780">
        <f t="shared" si="90"/>
        <v>6</v>
      </c>
      <c r="AH51" s="780">
        <f t="shared" si="90"/>
        <v>3</v>
      </c>
      <c r="AI51" s="780">
        <f t="shared" si="90"/>
        <v>0</v>
      </c>
      <c r="AJ51" s="780">
        <f t="shared" si="90"/>
        <v>1</v>
      </c>
      <c r="AK51" s="780">
        <f t="shared" si="90"/>
        <v>2</v>
      </c>
      <c r="AL51" s="780">
        <f t="shared" ref="AL51:AM51" si="91">IFERROR(VLOOKUP(AL$8&amp;$V51&amp;$V49&amp;$W$6,vw.sidsudi,5,FALSE),0)</f>
        <v>1</v>
      </c>
      <c r="AM51" s="780">
        <f t="shared" si="91"/>
        <v>3</v>
      </c>
    </row>
    <row r="52" spans="1:39">
      <c r="A52" s="82" t="s">
        <v>87</v>
      </c>
      <c r="B52" s="82">
        <f t="shared" si="84"/>
        <v>6</v>
      </c>
      <c r="C52" s="82">
        <f t="shared" si="85"/>
        <v>8</v>
      </c>
      <c r="D52" s="82">
        <f t="shared" si="85"/>
        <v>5</v>
      </c>
      <c r="E52" s="82">
        <f t="shared" si="85"/>
        <v>4</v>
      </c>
      <c r="F52" s="82">
        <f t="shared" si="85"/>
        <v>2</v>
      </c>
      <c r="G52" s="82">
        <f t="shared" si="85"/>
        <v>2</v>
      </c>
      <c r="H52" s="82">
        <f t="shared" si="85"/>
        <v>1</v>
      </c>
      <c r="I52" s="82">
        <f t="shared" si="85"/>
        <v>2</v>
      </c>
      <c r="J52" s="82">
        <f t="shared" si="85"/>
        <v>6</v>
      </c>
      <c r="K52" s="82">
        <f t="shared" si="85"/>
        <v>2</v>
      </c>
      <c r="L52" s="82">
        <f t="shared" si="89"/>
        <v>13</v>
      </c>
      <c r="M52" s="57">
        <f>SUM(BirthsTrend!G50:K50)</f>
        <v>31014</v>
      </c>
      <c r="N52" s="267">
        <f t="shared" si="86"/>
        <v>0.41916553814406399</v>
      </c>
      <c r="V52" s="780" t="s">
        <v>87</v>
      </c>
      <c r="W52" s="780">
        <f t="shared" ref="W52:AK52" si="92">IFERROR(VLOOKUP(W$8&amp;$V52&amp;$V49&amp;$W$6,vw.sidsudi,5,FALSE),0)</f>
        <v>3</v>
      </c>
      <c r="X52" s="780">
        <f t="shared" si="92"/>
        <v>4</v>
      </c>
      <c r="Y52" s="780">
        <f t="shared" si="92"/>
        <v>3</v>
      </c>
      <c r="Z52" s="780">
        <f t="shared" si="92"/>
        <v>3</v>
      </c>
      <c r="AA52" s="780">
        <f t="shared" si="92"/>
        <v>4</v>
      </c>
      <c r="AB52" s="780">
        <f t="shared" si="92"/>
        <v>3</v>
      </c>
      <c r="AC52" s="780">
        <f t="shared" si="92"/>
        <v>1</v>
      </c>
      <c r="AD52" s="780">
        <f t="shared" si="92"/>
        <v>6</v>
      </c>
      <c r="AE52" s="780">
        <f t="shared" si="92"/>
        <v>8</v>
      </c>
      <c r="AF52" s="780">
        <f t="shared" si="92"/>
        <v>5</v>
      </c>
      <c r="AG52" s="780">
        <f t="shared" si="92"/>
        <v>4</v>
      </c>
      <c r="AH52" s="780">
        <f t="shared" si="92"/>
        <v>2</v>
      </c>
      <c r="AI52" s="780">
        <f t="shared" si="92"/>
        <v>2</v>
      </c>
      <c r="AJ52" s="780">
        <f t="shared" si="92"/>
        <v>1</v>
      </c>
      <c r="AK52" s="780">
        <f t="shared" si="92"/>
        <v>2</v>
      </c>
      <c r="AL52" s="780">
        <f t="shared" ref="AL52:AM52" si="93">IFERROR(VLOOKUP(AL$8&amp;$V52&amp;$V49&amp;$W$6,vw.sidsudi,5,FALSE),0)</f>
        <v>6</v>
      </c>
      <c r="AM52" s="780">
        <f t="shared" si="93"/>
        <v>2</v>
      </c>
    </row>
    <row r="53" spans="1:39">
      <c r="A53" s="82" t="s">
        <v>88</v>
      </c>
      <c r="B53" s="82">
        <f t="shared" si="84"/>
        <v>12</v>
      </c>
      <c r="C53" s="82">
        <f t="shared" si="85"/>
        <v>8</v>
      </c>
      <c r="D53" s="82">
        <f t="shared" si="85"/>
        <v>17</v>
      </c>
      <c r="E53" s="82">
        <f t="shared" si="85"/>
        <v>7</v>
      </c>
      <c r="F53" s="82">
        <f t="shared" si="85"/>
        <v>9</v>
      </c>
      <c r="G53" s="82">
        <f t="shared" si="85"/>
        <v>4</v>
      </c>
      <c r="H53" s="82">
        <f t="shared" si="85"/>
        <v>11</v>
      </c>
      <c r="I53" s="82">
        <f t="shared" si="85"/>
        <v>9</v>
      </c>
      <c r="J53" s="82">
        <f t="shared" si="85"/>
        <v>9</v>
      </c>
      <c r="K53" s="82">
        <f t="shared" si="85"/>
        <v>10</v>
      </c>
      <c r="L53" s="82">
        <f t="shared" si="89"/>
        <v>43</v>
      </c>
      <c r="M53" s="57">
        <f>SUM(BirthsTrend!G51:K51)</f>
        <v>42107</v>
      </c>
      <c r="N53" s="267">
        <f t="shared" si="86"/>
        <v>1.021207875175149</v>
      </c>
      <c r="V53" s="780" t="s">
        <v>88</v>
      </c>
      <c r="W53" s="780">
        <f t="shared" ref="W53:AK53" si="94">IFERROR(VLOOKUP(W$8&amp;$V53&amp;$V49&amp;$W$6,vw.sidsudi,5,FALSE),0)</f>
        <v>14</v>
      </c>
      <c r="X53" s="780">
        <f t="shared" si="94"/>
        <v>14</v>
      </c>
      <c r="Y53" s="780">
        <f t="shared" si="94"/>
        <v>11</v>
      </c>
      <c r="Z53" s="780">
        <f t="shared" si="94"/>
        <v>12</v>
      </c>
      <c r="AA53" s="780">
        <f t="shared" si="94"/>
        <v>14</v>
      </c>
      <c r="AB53" s="780">
        <f t="shared" si="94"/>
        <v>11</v>
      </c>
      <c r="AC53" s="780">
        <f t="shared" si="94"/>
        <v>14</v>
      </c>
      <c r="AD53" s="780">
        <f t="shared" si="94"/>
        <v>12</v>
      </c>
      <c r="AE53" s="780">
        <f t="shared" si="94"/>
        <v>8</v>
      </c>
      <c r="AF53" s="780">
        <f t="shared" si="94"/>
        <v>17</v>
      </c>
      <c r="AG53" s="780">
        <f t="shared" si="94"/>
        <v>7</v>
      </c>
      <c r="AH53" s="780">
        <f t="shared" si="94"/>
        <v>9</v>
      </c>
      <c r="AI53" s="780">
        <f t="shared" si="94"/>
        <v>4</v>
      </c>
      <c r="AJ53" s="780">
        <f t="shared" si="94"/>
        <v>11</v>
      </c>
      <c r="AK53" s="780">
        <f t="shared" si="94"/>
        <v>9</v>
      </c>
      <c r="AL53" s="780">
        <f t="shared" ref="AL53:AM53" si="95">IFERROR(VLOOKUP(AL$8&amp;$V53&amp;$V49&amp;$W$6,vw.sidsudi,5,FALSE),0)</f>
        <v>9</v>
      </c>
      <c r="AM53" s="780">
        <f t="shared" si="95"/>
        <v>10</v>
      </c>
    </row>
    <row r="54" spans="1:39">
      <c r="A54" s="82" t="s">
        <v>89</v>
      </c>
      <c r="B54" s="82">
        <f t="shared" si="84"/>
        <v>10</v>
      </c>
      <c r="C54" s="82">
        <f t="shared" si="85"/>
        <v>6</v>
      </c>
      <c r="D54" s="82">
        <f t="shared" si="85"/>
        <v>7</v>
      </c>
      <c r="E54" s="82">
        <f t="shared" si="85"/>
        <v>3</v>
      </c>
      <c r="F54" s="82">
        <f t="shared" si="85"/>
        <v>3</v>
      </c>
      <c r="G54" s="82">
        <f t="shared" si="85"/>
        <v>4</v>
      </c>
      <c r="H54" s="82">
        <f t="shared" si="85"/>
        <v>4</v>
      </c>
      <c r="I54" s="82">
        <f t="shared" si="85"/>
        <v>6</v>
      </c>
      <c r="J54" s="82">
        <f t="shared" si="85"/>
        <v>9</v>
      </c>
      <c r="K54" s="82">
        <f t="shared" si="85"/>
        <v>6</v>
      </c>
      <c r="L54" s="82">
        <f t="shared" si="89"/>
        <v>29</v>
      </c>
      <c r="M54" s="57">
        <f>SUM(BirthsTrend!G52:K52)</f>
        <v>27204</v>
      </c>
      <c r="N54" s="267">
        <f t="shared" si="86"/>
        <v>1.066019702984855</v>
      </c>
      <c r="V54" s="780" t="s">
        <v>89</v>
      </c>
      <c r="W54" s="780">
        <f t="shared" ref="W54:AK54" si="96">IFERROR(VLOOKUP(W$8&amp;$V54&amp;$V49&amp;$W$6,vw.sidsudi,5,FALSE),0)</f>
        <v>2</v>
      </c>
      <c r="X54" s="780">
        <f t="shared" si="96"/>
        <v>7</v>
      </c>
      <c r="Y54" s="780">
        <f t="shared" si="96"/>
        <v>9</v>
      </c>
      <c r="Z54" s="780">
        <f t="shared" si="96"/>
        <v>8</v>
      </c>
      <c r="AA54" s="780">
        <f t="shared" si="96"/>
        <v>4</v>
      </c>
      <c r="AB54" s="780">
        <f t="shared" si="96"/>
        <v>4</v>
      </c>
      <c r="AC54" s="780">
        <f t="shared" si="96"/>
        <v>11</v>
      </c>
      <c r="AD54" s="780">
        <f t="shared" si="96"/>
        <v>10</v>
      </c>
      <c r="AE54" s="780">
        <f t="shared" si="96"/>
        <v>6</v>
      </c>
      <c r="AF54" s="780">
        <f t="shared" si="96"/>
        <v>7</v>
      </c>
      <c r="AG54" s="780">
        <f t="shared" si="96"/>
        <v>3</v>
      </c>
      <c r="AH54" s="780">
        <f t="shared" si="96"/>
        <v>3</v>
      </c>
      <c r="AI54" s="780">
        <f t="shared" si="96"/>
        <v>4</v>
      </c>
      <c r="AJ54" s="780">
        <f t="shared" si="96"/>
        <v>4</v>
      </c>
      <c r="AK54" s="780">
        <f t="shared" si="96"/>
        <v>6</v>
      </c>
      <c r="AL54" s="780">
        <f t="shared" ref="AL54:AM54" si="97">IFERROR(VLOOKUP(AL$8&amp;$V54&amp;$V49&amp;$W$6,vw.sidsudi,5,FALSE),0)</f>
        <v>9</v>
      </c>
      <c r="AM54" s="780">
        <f t="shared" si="97"/>
        <v>6</v>
      </c>
    </row>
    <row r="55" spans="1:39">
      <c r="A55" s="82" t="s">
        <v>90</v>
      </c>
      <c r="B55" s="82">
        <f t="shared" si="84"/>
        <v>5</v>
      </c>
      <c r="C55" s="82">
        <f t="shared" si="85"/>
        <v>4</v>
      </c>
      <c r="D55" s="82">
        <f t="shared" si="85"/>
        <v>0</v>
      </c>
      <c r="E55" s="82">
        <f t="shared" si="85"/>
        <v>4</v>
      </c>
      <c r="F55" s="82">
        <f t="shared" si="85"/>
        <v>6</v>
      </c>
      <c r="G55" s="82">
        <f t="shared" si="85"/>
        <v>1</v>
      </c>
      <c r="H55" s="82">
        <f t="shared" si="85"/>
        <v>1</v>
      </c>
      <c r="I55" s="82">
        <f t="shared" si="85"/>
        <v>3</v>
      </c>
      <c r="J55" s="82">
        <f t="shared" si="85"/>
        <v>1</v>
      </c>
      <c r="K55" s="82">
        <f t="shared" si="85"/>
        <v>0</v>
      </c>
      <c r="L55" s="82">
        <f t="shared" si="89"/>
        <v>6</v>
      </c>
      <c r="M55" s="57">
        <f>SUM(BirthsTrend!G53:K53)</f>
        <v>7521</v>
      </c>
      <c r="N55" s="267">
        <f t="shared" si="86"/>
        <v>0.7977662544874351</v>
      </c>
      <c r="V55" s="780" t="s">
        <v>90</v>
      </c>
      <c r="W55" s="780">
        <f t="shared" ref="W55:AK55" si="98">IFERROR(VLOOKUP(W$8&amp;$V55&amp;$V49&amp;$W$6,vw.sidsudi,5,FALSE),0)</f>
        <v>4</v>
      </c>
      <c r="X55" s="780">
        <f t="shared" si="98"/>
        <v>3</v>
      </c>
      <c r="Y55" s="780">
        <f t="shared" si="98"/>
        <v>1</v>
      </c>
      <c r="Z55" s="780">
        <f t="shared" si="98"/>
        <v>3</v>
      </c>
      <c r="AA55" s="780">
        <f t="shared" si="98"/>
        <v>1</v>
      </c>
      <c r="AB55" s="780">
        <f t="shared" si="98"/>
        <v>1</v>
      </c>
      <c r="AC55" s="780">
        <f t="shared" si="98"/>
        <v>2</v>
      </c>
      <c r="AD55" s="780">
        <f t="shared" si="98"/>
        <v>5</v>
      </c>
      <c r="AE55" s="780">
        <f t="shared" si="98"/>
        <v>4</v>
      </c>
      <c r="AF55" s="780">
        <f t="shared" si="98"/>
        <v>0</v>
      </c>
      <c r="AG55" s="780">
        <f t="shared" si="98"/>
        <v>4</v>
      </c>
      <c r="AH55" s="780">
        <f t="shared" si="98"/>
        <v>6</v>
      </c>
      <c r="AI55" s="780">
        <f t="shared" si="98"/>
        <v>1</v>
      </c>
      <c r="AJ55" s="780">
        <f t="shared" si="98"/>
        <v>1</v>
      </c>
      <c r="AK55" s="780">
        <f t="shared" si="98"/>
        <v>3</v>
      </c>
      <c r="AL55" s="780">
        <f t="shared" ref="AL55:AM55" si="99">IFERROR(VLOOKUP(AL$8&amp;$V55&amp;$V49&amp;$W$6,vw.sidsudi,5,FALSE),0)</f>
        <v>1</v>
      </c>
      <c r="AM55" s="780">
        <f t="shared" si="99"/>
        <v>0</v>
      </c>
    </row>
    <row r="56" spans="1:39">
      <c r="A56" s="82" t="s">
        <v>91</v>
      </c>
      <c r="B56" s="82">
        <f t="shared" si="84"/>
        <v>3</v>
      </c>
      <c r="C56" s="82">
        <f t="shared" si="85"/>
        <v>2</v>
      </c>
      <c r="D56" s="82">
        <f t="shared" si="85"/>
        <v>3</v>
      </c>
      <c r="E56" s="82">
        <f t="shared" si="85"/>
        <v>3</v>
      </c>
      <c r="F56" s="82">
        <f t="shared" si="85"/>
        <v>6</v>
      </c>
      <c r="G56" s="82">
        <f t="shared" si="85"/>
        <v>2</v>
      </c>
      <c r="H56" s="82">
        <f t="shared" si="85"/>
        <v>2</v>
      </c>
      <c r="I56" s="82">
        <f t="shared" si="85"/>
        <v>0</v>
      </c>
      <c r="J56" s="82">
        <f t="shared" si="85"/>
        <v>1</v>
      </c>
      <c r="K56" s="82">
        <f t="shared" si="85"/>
        <v>0</v>
      </c>
      <c r="L56" s="82">
        <f t="shared" si="89"/>
        <v>5</v>
      </c>
      <c r="M56" s="57">
        <f>SUM(BirthsTrend!G54:K54)</f>
        <v>14358</v>
      </c>
      <c r="N56" s="267">
        <f t="shared" si="86"/>
        <v>0.34823791614430977</v>
      </c>
      <c r="V56" s="780" t="s">
        <v>91</v>
      </c>
      <c r="W56" s="780">
        <f t="shared" ref="W56:AK56" si="100">IFERROR(VLOOKUP(W$8&amp;$V56&amp;$V49&amp;$W$6,vw.sidsudi,5,FALSE),0)</f>
        <v>7</v>
      </c>
      <c r="X56" s="780">
        <f t="shared" si="100"/>
        <v>3</v>
      </c>
      <c r="Y56" s="780">
        <f t="shared" si="100"/>
        <v>3</v>
      </c>
      <c r="Z56" s="780">
        <f t="shared" si="100"/>
        <v>5</v>
      </c>
      <c r="AA56" s="780">
        <f t="shared" si="100"/>
        <v>5</v>
      </c>
      <c r="AB56" s="780">
        <f t="shared" si="100"/>
        <v>2</v>
      </c>
      <c r="AC56" s="780">
        <f t="shared" si="100"/>
        <v>2</v>
      </c>
      <c r="AD56" s="780">
        <f t="shared" si="100"/>
        <v>3</v>
      </c>
      <c r="AE56" s="780">
        <f t="shared" si="100"/>
        <v>2</v>
      </c>
      <c r="AF56" s="780">
        <f t="shared" si="100"/>
        <v>3</v>
      </c>
      <c r="AG56" s="780">
        <f t="shared" si="100"/>
        <v>3</v>
      </c>
      <c r="AH56" s="780">
        <f t="shared" si="100"/>
        <v>6</v>
      </c>
      <c r="AI56" s="780">
        <f t="shared" si="100"/>
        <v>2</v>
      </c>
      <c r="AJ56" s="780">
        <f t="shared" si="100"/>
        <v>2</v>
      </c>
      <c r="AK56" s="780">
        <f t="shared" si="100"/>
        <v>0</v>
      </c>
      <c r="AL56" s="780">
        <f t="shared" ref="AL56:AM56" si="101">IFERROR(VLOOKUP(AL$8&amp;$V56&amp;$V49&amp;$W$6,vw.sidsudi,5,FALSE),0)</f>
        <v>1</v>
      </c>
      <c r="AM56" s="780">
        <f t="shared" si="101"/>
        <v>0</v>
      </c>
    </row>
    <row r="57" spans="1:39">
      <c r="A57" s="82" t="s">
        <v>366</v>
      </c>
      <c r="B57" s="82">
        <f t="shared" si="84"/>
        <v>1</v>
      </c>
      <c r="C57" s="82">
        <f t="shared" si="85"/>
        <v>1</v>
      </c>
      <c r="D57" s="82">
        <f t="shared" si="85"/>
        <v>1</v>
      </c>
      <c r="E57" s="82">
        <f t="shared" si="85"/>
        <v>1</v>
      </c>
      <c r="F57" s="82">
        <f t="shared" si="85"/>
        <v>3</v>
      </c>
      <c r="G57" s="82">
        <f t="shared" si="85"/>
        <v>1</v>
      </c>
      <c r="H57" s="82">
        <f t="shared" si="85"/>
        <v>0</v>
      </c>
      <c r="I57" s="82">
        <f t="shared" si="85"/>
        <v>4</v>
      </c>
      <c r="J57" s="82">
        <f t="shared" si="85"/>
        <v>0</v>
      </c>
      <c r="K57" s="82">
        <f t="shared" si="85"/>
        <v>2</v>
      </c>
      <c r="L57" s="82">
        <f t="shared" si="89"/>
        <v>7</v>
      </c>
      <c r="M57" s="57">
        <f>SUM(BirthsTrend!G55:K55)</f>
        <v>3616</v>
      </c>
      <c r="N57" s="267">
        <f t="shared" si="86"/>
        <v>1.9358407079646018</v>
      </c>
      <c r="V57" s="780" t="s">
        <v>433</v>
      </c>
      <c r="W57" s="780">
        <f t="shared" ref="W57:AK57" si="102">IFERROR(VLOOKUP(W$8&amp;$V57&amp;$V49&amp;$W$6,vw.sidsudi,5,FALSE),0)</f>
        <v>3</v>
      </c>
      <c r="X57" s="780">
        <f t="shared" si="102"/>
        <v>0</v>
      </c>
      <c r="Y57" s="780">
        <f t="shared" si="102"/>
        <v>0</v>
      </c>
      <c r="Z57" s="780">
        <f t="shared" si="102"/>
        <v>3</v>
      </c>
      <c r="AA57" s="780">
        <f t="shared" si="102"/>
        <v>1</v>
      </c>
      <c r="AB57" s="780">
        <f t="shared" si="102"/>
        <v>2</v>
      </c>
      <c r="AC57" s="780">
        <f t="shared" si="102"/>
        <v>2</v>
      </c>
      <c r="AD57" s="780">
        <f t="shared" si="102"/>
        <v>1</v>
      </c>
      <c r="AE57" s="780">
        <f t="shared" si="102"/>
        <v>1</v>
      </c>
      <c r="AF57" s="780">
        <f t="shared" si="102"/>
        <v>1</v>
      </c>
      <c r="AG57" s="780">
        <f t="shared" si="102"/>
        <v>1</v>
      </c>
      <c r="AH57" s="780">
        <f t="shared" si="102"/>
        <v>3</v>
      </c>
      <c r="AI57" s="780">
        <f t="shared" si="102"/>
        <v>1</v>
      </c>
      <c r="AJ57" s="780">
        <f t="shared" si="102"/>
        <v>0</v>
      </c>
      <c r="AK57" s="780">
        <f t="shared" si="102"/>
        <v>4</v>
      </c>
      <c r="AL57" s="780">
        <f t="shared" ref="AL57:AM57" si="103">IFERROR(VLOOKUP(AL$8&amp;$V57&amp;$V49&amp;$W$6,vw.sidsudi,5,FALSE),0)</f>
        <v>0</v>
      </c>
      <c r="AM57" s="780">
        <f t="shared" si="103"/>
        <v>2</v>
      </c>
    </row>
    <row r="58" spans="1:39">
      <c r="A58" s="82" t="s">
        <v>92</v>
      </c>
      <c r="B58" s="82">
        <f t="shared" si="84"/>
        <v>2</v>
      </c>
      <c r="C58" s="82">
        <f t="shared" si="85"/>
        <v>3</v>
      </c>
      <c r="D58" s="82">
        <f t="shared" si="85"/>
        <v>3</v>
      </c>
      <c r="E58" s="82">
        <f t="shared" si="85"/>
        <v>5</v>
      </c>
      <c r="F58" s="82">
        <f t="shared" si="85"/>
        <v>4</v>
      </c>
      <c r="G58" s="82">
        <f t="shared" si="85"/>
        <v>1</v>
      </c>
      <c r="H58" s="82">
        <f t="shared" si="85"/>
        <v>1</v>
      </c>
      <c r="I58" s="82">
        <f t="shared" si="85"/>
        <v>3</v>
      </c>
      <c r="J58" s="82">
        <f t="shared" si="85"/>
        <v>1</v>
      </c>
      <c r="K58" s="82">
        <f t="shared" si="85"/>
        <v>3</v>
      </c>
      <c r="L58" s="82">
        <f t="shared" si="89"/>
        <v>9</v>
      </c>
      <c r="M58" s="57">
        <f>SUM(BirthsTrend!G56:K56)</f>
        <v>10891</v>
      </c>
      <c r="N58" s="267">
        <f t="shared" si="86"/>
        <v>0.82637039757598019</v>
      </c>
      <c r="V58" s="780" t="s">
        <v>92</v>
      </c>
      <c r="W58" s="780">
        <f t="shared" ref="W58:AK58" si="104">IFERROR(VLOOKUP(W$8&amp;$V58&amp;$V49&amp;$W$6,vw.sidsudi,5,FALSE),0)</f>
        <v>7</v>
      </c>
      <c r="X58" s="780">
        <f t="shared" si="104"/>
        <v>3</v>
      </c>
      <c r="Y58" s="780">
        <f t="shared" si="104"/>
        <v>0</v>
      </c>
      <c r="Z58" s="780">
        <f t="shared" si="104"/>
        <v>0</v>
      </c>
      <c r="AA58" s="780">
        <f t="shared" si="104"/>
        <v>1</v>
      </c>
      <c r="AB58" s="780">
        <f t="shared" si="104"/>
        <v>2</v>
      </c>
      <c r="AC58" s="780">
        <f t="shared" si="104"/>
        <v>4</v>
      </c>
      <c r="AD58" s="780">
        <f t="shared" si="104"/>
        <v>2</v>
      </c>
      <c r="AE58" s="780">
        <f t="shared" si="104"/>
        <v>3</v>
      </c>
      <c r="AF58" s="780">
        <f t="shared" si="104"/>
        <v>3</v>
      </c>
      <c r="AG58" s="780">
        <f t="shared" si="104"/>
        <v>5</v>
      </c>
      <c r="AH58" s="780">
        <f t="shared" si="104"/>
        <v>4</v>
      </c>
      <c r="AI58" s="780">
        <f t="shared" si="104"/>
        <v>1</v>
      </c>
      <c r="AJ58" s="780">
        <f t="shared" si="104"/>
        <v>1</v>
      </c>
      <c r="AK58" s="780">
        <f t="shared" si="104"/>
        <v>3</v>
      </c>
      <c r="AL58" s="780">
        <f t="shared" ref="AL58:AM58" si="105">IFERROR(VLOOKUP(AL$8&amp;$V58&amp;$V49&amp;$W$6,vw.sidsudi,5,FALSE),0)</f>
        <v>1</v>
      </c>
      <c r="AM58" s="780">
        <f t="shared" si="105"/>
        <v>3</v>
      </c>
    </row>
    <row r="59" spans="1:39">
      <c r="A59" s="82" t="s">
        <v>93</v>
      </c>
      <c r="B59" s="82">
        <f t="shared" si="84"/>
        <v>1</v>
      </c>
      <c r="C59" s="82">
        <f t="shared" si="85"/>
        <v>1</v>
      </c>
      <c r="D59" s="82">
        <f t="shared" si="85"/>
        <v>2</v>
      </c>
      <c r="E59" s="82">
        <f t="shared" si="85"/>
        <v>1</v>
      </c>
      <c r="F59" s="82">
        <f t="shared" si="85"/>
        <v>3</v>
      </c>
      <c r="G59" s="82">
        <f t="shared" si="85"/>
        <v>1</v>
      </c>
      <c r="H59" s="82">
        <f t="shared" si="85"/>
        <v>1</v>
      </c>
      <c r="I59" s="82">
        <f t="shared" si="85"/>
        <v>1</v>
      </c>
      <c r="J59" s="82">
        <f t="shared" si="85"/>
        <v>1</v>
      </c>
      <c r="K59" s="82">
        <f t="shared" si="85"/>
        <v>3</v>
      </c>
      <c r="L59" s="82">
        <f t="shared" si="89"/>
        <v>7</v>
      </c>
      <c r="M59" s="57">
        <f>SUM(BirthsTrend!G57:K57)</f>
        <v>7738</v>
      </c>
      <c r="N59" s="267">
        <f t="shared" si="86"/>
        <v>0.90462651848022746</v>
      </c>
      <c r="V59" s="780" t="s">
        <v>93</v>
      </c>
      <c r="W59" s="780">
        <f t="shared" ref="W59:AK59" si="106">IFERROR(VLOOKUP(W$8&amp;$V59&amp;$V49&amp;$W$6,vw.sidsudi,5,FALSE),0)</f>
        <v>2</v>
      </c>
      <c r="X59" s="780">
        <f t="shared" si="106"/>
        <v>1</v>
      </c>
      <c r="Y59" s="780">
        <f t="shared" si="106"/>
        <v>2</v>
      </c>
      <c r="Z59" s="780">
        <f t="shared" si="106"/>
        <v>4</v>
      </c>
      <c r="AA59" s="780">
        <f t="shared" si="106"/>
        <v>2</v>
      </c>
      <c r="AB59" s="780">
        <f t="shared" si="106"/>
        <v>2</v>
      </c>
      <c r="AC59" s="780">
        <f t="shared" si="106"/>
        <v>2</v>
      </c>
      <c r="AD59" s="780">
        <f t="shared" si="106"/>
        <v>1</v>
      </c>
      <c r="AE59" s="780">
        <f t="shared" si="106"/>
        <v>1</v>
      </c>
      <c r="AF59" s="780">
        <f t="shared" si="106"/>
        <v>2</v>
      </c>
      <c r="AG59" s="780">
        <f t="shared" si="106"/>
        <v>1</v>
      </c>
      <c r="AH59" s="780">
        <f t="shared" si="106"/>
        <v>3</v>
      </c>
      <c r="AI59" s="780">
        <f t="shared" si="106"/>
        <v>1</v>
      </c>
      <c r="AJ59" s="780">
        <f t="shared" si="106"/>
        <v>1</v>
      </c>
      <c r="AK59" s="780">
        <f t="shared" si="106"/>
        <v>1</v>
      </c>
      <c r="AL59" s="780">
        <f t="shared" ref="AL59:AM59" si="107">IFERROR(VLOOKUP(AL$8&amp;$V59&amp;$V49&amp;$W$6,vw.sidsudi,5,FALSE),0)</f>
        <v>1</v>
      </c>
      <c r="AM59" s="780">
        <f t="shared" si="107"/>
        <v>3</v>
      </c>
    </row>
    <row r="60" spans="1:39">
      <c r="A60" s="82" t="s">
        <v>94</v>
      </c>
      <c r="B60" s="82">
        <f t="shared" si="84"/>
        <v>2</v>
      </c>
      <c r="C60" s="82">
        <f t="shared" si="85"/>
        <v>5</v>
      </c>
      <c r="D60" s="82">
        <f t="shared" si="85"/>
        <v>1</v>
      </c>
      <c r="E60" s="82">
        <f t="shared" si="85"/>
        <v>3</v>
      </c>
      <c r="F60" s="82">
        <f t="shared" si="85"/>
        <v>2</v>
      </c>
      <c r="G60" s="82">
        <f t="shared" si="85"/>
        <v>2</v>
      </c>
      <c r="H60" s="82">
        <f t="shared" si="85"/>
        <v>0</v>
      </c>
      <c r="I60" s="82">
        <f t="shared" si="85"/>
        <v>0</v>
      </c>
      <c r="J60" s="82">
        <f t="shared" si="85"/>
        <v>2</v>
      </c>
      <c r="K60" s="82">
        <f t="shared" si="85"/>
        <v>3</v>
      </c>
      <c r="L60" s="82">
        <f t="shared" si="89"/>
        <v>7</v>
      </c>
      <c r="M60" s="57">
        <f>SUM(BirthsTrend!G58:K58)</f>
        <v>10743</v>
      </c>
      <c r="N60" s="267">
        <f t="shared" si="86"/>
        <v>0.65158707995904308</v>
      </c>
      <c r="V60" s="780" t="s">
        <v>94</v>
      </c>
      <c r="W60" s="780">
        <f t="shared" ref="W60:AK60" si="108">IFERROR(VLOOKUP(W$8&amp;$V60&amp;$V49&amp;$W$6,vw.sidsudi,5,FALSE),0)</f>
        <v>5</v>
      </c>
      <c r="X60" s="780">
        <f t="shared" si="108"/>
        <v>3</v>
      </c>
      <c r="Y60" s="780">
        <f t="shared" si="108"/>
        <v>2</v>
      </c>
      <c r="Z60" s="780">
        <f t="shared" si="108"/>
        <v>3</v>
      </c>
      <c r="AA60" s="780">
        <f t="shared" si="108"/>
        <v>2</v>
      </c>
      <c r="AB60" s="780">
        <f t="shared" si="108"/>
        <v>4</v>
      </c>
      <c r="AC60" s="780">
        <f t="shared" si="108"/>
        <v>4</v>
      </c>
      <c r="AD60" s="780">
        <f t="shared" si="108"/>
        <v>2</v>
      </c>
      <c r="AE60" s="780">
        <f t="shared" si="108"/>
        <v>5</v>
      </c>
      <c r="AF60" s="780">
        <f t="shared" si="108"/>
        <v>1</v>
      </c>
      <c r="AG60" s="780">
        <f t="shared" si="108"/>
        <v>3</v>
      </c>
      <c r="AH60" s="780">
        <f t="shared" si="108"/>
        <v>2</v>
      </c>
      <c r="AI60" s="780">
        <f t="shared" si="108"/>
        <v>2</v>
      </c>
      <c r="AJ60" s="780">
        <f t="shared" si="108"/>
        <v>0</v>
      </c>
      <c r="AK60" s="780">
        <f t="shared" si="108"/>
        <v>0</v>
      </c>
      <c r="AL60" s="780">
        <f t="shared" ref="AL60:AM60" si="109">IFERROR(VLOOKUP(AL$8&amp;$V60&amp;$V49&amp;$W$6,vw.sidsudi,5,FALSE),0)</f>
        <v>2</v>
      </c>
      <c r="AM60" s="780">
        <f t="shared" si="109"/>
        <v>3</v>
      </c>
    </row>
    <row r="61" spans="1:39">
      <c r="A61" s="82" t="s">
        <v>95</v>
      </c>
      <c r="B61" s="82">
        <f t="shared" si="84"/>
        <v>2</v>
      </c>
      <c r="C61" s="82">
        <f t="shared" si="85"/>
        <v>3</v>
      </c>
      <c r="D61" s="82">
        <f t="shared" si="85"/>
        <v>2</v>
      </c>
      <c r="E61" s="82">
        <f t="shared" si="85"/>
        <v>2</v>
      </c>
      <c r="F61" s="82">
        <f t="shared" si="85"/>
        <v>0</v>
      </c>
      <c r="G61" s="82">
        <f t="shared" si="85"/>
        <v>2</v>
      </c>
      <c r="H61" s="82">
        <f t="shared" si="85"/>
        <v>2</v>
      </c>
      <c r="I61" s="82">
        <f t="shared" si="85"/>
        <v>1</v>
      </c>
      <c r="J61" s="82">
        <f t="shared" si="85"/>
        <v>1</v>
      </c>
      <c r="K61" s="82">
        <f t="shared" si="85"/>
        <v>1</v>
      </c>
      <c r="L61" s="82">
        <f t="shared" si="89"/>
        <v>7</v>
      </c>
      <c r="M61" s="57">
        <f>SUM(BirthsTrend!G59:K59)</f>
        <v>4229</v>
      </c>
      <c r="N61" s="267">
        <f t="shared" si="86"/>
        <v>1.6552376448332939</v>
      </c>
      <c r="V61" s="780" t="s">
        <v>95</v>
      </c>
      <c r="W61" s="780">
        <f t="shared" ref="W61:AK61" si="110">IFERROR(VLOOKUP(W$8&amp;$V61&amp;$V49&amp;$W$6,vw.sidsudi,5,FALSE),0)</f>
        <v>0</v>
      </c>
      <c r="X61" s="780">
        <f t="shared" si="110"/>
        <v>5</v>
      </c>
      <c r="Y61" s="780">
        <f t="shared" si="110"/>
        <v>1</v>
      </c>
      <c r="Z61" s="780">
        <f t="shared" si="110"/>
        <v>1</v>
      </c>
      <c r="AA61" s="780">
        <f t="shared" si="110"/>
        <v>1</v>
      </c>
      <c r="AB61" s="780">
        <f t="shared" si="110"/>
        <v>2</v>
      </c>
      <c r="AC61" s="780">
        <f t="shared" si="110"/>
        <v>0</v>
      </c>
      <c r="AD61" s="780">
        <f t="shared" si="110"/>
        <v>2</v>
      </c>
      <c r="AE61" s="780">
        <f t="shared" si="110"/>
        <v>3</v>
      </c>
      <c r="AF61" s="780">
        <f t="shared" si="110"/>
        <v>2</v>
      </c>
      <c r="AG61" s="780">
        <f t="shared" si="110"/>
        <v>2</v>
      </c>
      <c r="AH61" s="780">
        <f t="shared" si="110"/>
        <v>0</v>
      </c>
      <c r="AI61" s="780">
        <f t="shared" si="110"/>
        <v>2</v>
      </c>
      <c r="AJ61" s="780">
        <f t="shared" si="110"/>
        <v>2</v>
      </c>
      <c r="AK61" s="780">
        <f t="shared" si="110"/>
        <v>1</v>
      </c>
      <c r="AL61" s="780">
        <f t="shared" ref="AL61:AM61" si="111">IFERROR(VLOOKUP(AL$8&amp;$V61&amp;$V49&amp;$W$6,vw.sidsudi,5,FALSE),0)</f>
        <v>1</v>
      </c>
      <c r="AM61" s="780">
        <f t="shared" si="111"/>
        <v>1</v>
      </c>
    </row>
    <row r="62" spans="1:39">
      <c r="A62" s="82" t="s">
        <v>96</v>
      </c>
      <c r="B62" s="82">
        <f t="shared" si="84"/>
        <v>0</v>
      </c>
      <c r="C62" s="82">
        <f t="shared" si="85"/>
        <v>2</v>
      </c>
      <c r="D62" s="82">
        <f t="shared" si="85"/>
        <v>2</v>
      </c>
      <c r="E62" s="82">
        <f t="shared" si="85"/>
        <v>3</v>
      </c>
      <c r="F62" s="82">
        <f t="shared" si="85"/>
        <v>1</v>
      </c>
      <c r="G62" s="82">
        <f t="shared" si="85"/>
        <v>4</v>
      </c>
      <c r="H62" s="82">
        <f t="shared" si="85"/>
        <v>3</v>
      </c>
      <c r="I62" s="82">
        <f t="shared" si="85"/>
        <v>2</v>
      </c>
      <c r="J62" s="82">
        <f t="shared" si="85"/>
        <v>3</v>
      </c>
      <c r="K62" s="82">
        <f t="shared" si="85"/>
        <v>1</v>
      </c>
      <c r="L62" s="82">
        <f t="shared" si="89"/>
        <v>13</v>
      </c>
      <c r="M62" s="57">
        <f>SUM(BirthsTrend!G60:K60)</f>
        <v>18172</v>
      </c>
      <c r="N62" s="267">
        <f t="shared" si="86"/>
        <v>0.71538630860664754</v>
      </c>
      <c r="V62" s="780" t="s">
        <v>96</v>
      </c>
      <c r="W62" s="780">
        <f t="shared" ref="W62:AK62" si="112">IFERROR(VLOOKUP(W$8&amp;$V62&amp;$V49&amp;$W$6,vw.sidsudi,5,FALSE),0)</f>
        <v>4</v>
      </c>
      <c r="X62" s="780">
        <f t="shared" si="112"/>
        <v>3</v>
      </c>
      <c r="Y62" s="780">
        <f t="shared" si="112"/>
        <v>1</v>
      </c>
      <c r="Z62" s="780">
        <f t="shared" si="112"/>
        <v>1</v>
      </c>
      <c r="AA62" s="780">
        <f t="shared" si="112"/>
        <v>5</v>
      </c>
      <c r="AB62" s="780">
        <f t="shared" si="112"/>
        <v>1</v>
      </c>
      <c r="AC62" s="780">
        <f t="shared" si="112"/>
        <v>3</v>
      </c>
      <c r="AD62" s="780">
        <f t="shared" si="112"/>
        <v>0</v>
      </c>
      <c r="AE62" s="780">
        <f t="shared" si="112"/>
        <v>2</v>
      </c>
      <c r="AF62" s="780">
        <f t="shared" si="112"/>
        <v>2</v>
      </c>
      <c r="AG62" s="780">
        <f t="shared" si="112"/>
        <v>3</v>
      </c>
      <c r="AH62" s="780">
        <f t="shared" si="112"/>
        <v>1</v>
      </c>
      <c r="AI62" s="780">
        <f t="shared" si="112"/>
        <v>4</v>
      </c>
      <c r="AJ62" s="780">
        <f t="shared" si="112"/>
        <v>3</v>
      </c>
      <c r="AK62" s="780">
        <f t="shared" si="112"/>
        <v>2</v>
      </c>
      <c r="AL62" s="780">
        <f t="shared" ref="AL62:AM62" si="113">IFERROR(VLOOKUP(AL$8&amp;$V62&amp;$V49&amp;$W$6,vw.sidsudi,5,FALSE),0)</f>
        <v>3</v>
      </c>
      <c r="AM62" s="780">
        <f t="shared" si="113"/>
        <v>1</v>
      </c>
    </row>
    <row r="63" spans="1:39">
      <c r="A63" s="82" t="s">
        <v>97</v>
      </c>
      <c r="B63" s="82">
        <f t="shared" si="84"/>
        <v>3</v>
      </c>
      <c r="C63" s="82">
        <f t="shared" si="85"/>
        <v>6</v>
      </c>
      <c r="D63" s="82">
        <f t="shared" si="85"/>
        <v>4</v>
      </c>
      <c r="E63" s="82">
        <f t="shared" si="85"/>
        <v>4</v>
      </c>
      <c r="F63" s="82">
        <f t="shared" si="85"/>
        <v>1</v>
      </c>
      <c r="G63" s="82">
        <f t="shared" si="85"/>
        <v>2</v>
      </c>
      <c r="H63" s="82">
        <f t="shared" si="85"/>
        <v>4</v>
      </c>
      <c r="I63" s="82">
        <f t="shared" si="85"/>
        <v>0</v>
      </c>
      <c r="J63" s="82">
        <f t="shared" si="85"/>
        <v>1</v>
      </c>
      <c r="K63" s="82">
        <f t="shared" si="85"/>
        <v>1</v>
      </c>
      <c r="L63" s="82">
        <f t="shared" si="89"/>
        <v>8</v>
      </c>
      <c r="M63" s="57">
        <f>SUM(BirthsTrend!G61:K61)</f>
        <v>9853</v>
      </c>
      <c r="N63" s="267">
        <f t="shared" si="86"/>
        <v>0.81193545113163501</v>
      </c>
      <c r="V63" s="780" t="s">
        <v>97</v>
      </c>
      <c r="W63" s="780">
        <f t="shared" ref="W63:AK63" si="114">IFERROR(VLOOKUP(W$8&amp;$V63&amp;$V49&amp;$W$6,vw.sidsudi,5,FALSE),0)</f>
        <v>2</v>
      </c>
      <c r="X63" s="780">
        <f t="shared" si="114"/>
        <v>3</v>
      </c>
      <c r="Y63" s="780">
        <f t="shared" si="114"/>
        <v>5</v>
      </c>
      <c r="Z63" s="780">
        <f t="shared" si="114"/>
        <v>3</v>
      </c>
      <c r="AA63" s="780">
        <f t="shared" si="114"/>
        <v>3</v>
      </c>
      <c r="AB63" s="780">
        <f t="shared" si="114"/>
        <v>0</v>
      </c>
      <c r="AC63" s="780">
        <f t="shared" si="114"/>
        <v>5</v>
      </c>
      <c r="AD63" s="780">
        <f t="shared" si="114"/>
        <v>3</v>
      </c>
      <c r="AE63" s="780">
        <f t="shared" si="114"/>
        <v>6</v>
      </c>
      <c r="AF63" s="780">
        <f t="shared" si="114"/>
        <v>4</v>
      </c>
      <c r="AG63" s="780">
        <f t="shared" si="114"/>
        <v>4</v>
      </c>
      <c r="AH63" s="780">
        <f t="shared" si="114"/>
        <v>1</v>
      </c>
      <c r="AI63" s="780">
        <f t="shared" si="114"/>
        <v>2</v>
      </c>
      <c r="AJ63" s="780">
        <f t="shared" si="114"/>
        <v>4</v>
      </c>
      <c r="AK63" s="780">
        <f t="shared" si="114"/>
        <v>0</v>
      </c>
      <c r="AL63" s="780">
        <f t="shared" ref="AL63:AM63" si="115">IFERROR(VLOOKUP(AL$8&amp;$V63&amp;$V49&amp;$W$6,vw.sidsudi,5,FALSE),0)</f>
        <v>1</v>
      </c>
      <c r="AM63" s="780">
        <f t="shared" si="115"/>
        <v>1</v>
      </c>
    </row>
    <row r="64" spans="1:39">
      <c r="A64" s="82" t="s">
        <v>98</v>
      </c>
      <c r="B64" s="82">
        <f t="shared" si="84"/>
        <v>0</v>
      </c>
      <c r="C64" s="82">
        <f t="shared" si="85"/>
        <v>1</v>
      </c>
      <c r="D64" s="82">
        <f t="shared" si="85"/>
        <v>1</v>
      </c>
      <c r="E64" s="82">
        <f t="shared" si="85"/>
        <v>1</v>
      </c>
      <c r="F64" s="82">
        <f t="shared" si="85"/>
        <v>0</v>
      </c>
      <c r="G64" s="82">
        <f t="shared" si="85"/>
        <v>0</v>
      </c>
      <c r="H64" s="82">
        <f t="shared" si="85"/>
        <v>1</v>
      </c>
      <c r="I64" s="82">
        <f t="shared" si="85"/>
        <v>0</v>
      </c>
      <c r="J64" s="82">
        <f t="shared" si="85"/>
        <v>0</v>
      </c>
      <c r="K64" s="82">
        <f t="shared" si="85"/>
        <v>0</v>
      </c>
      <c r="L64" s="82">
        <f t="shared" si="89"/>
        <v>1</v>
      </c>
      <c r="M64" s="57">
        <f>SUM(BirthsTrend!G62:K62)</f>
        <v>2478</v>
      </c>
      <c r="N64" s="267">
        <f t="shared" si="86"/>
        <v>0.40355125100887812</v>
      </c>
      <c r="V64" s="780" t="s">
        <v>98</v>
      </c>
      <c r="W64" s="780">
        <f t="shared" ref="W64:AK64" si="116">IFERROR(VLOOKUP(W$8&amp;$V64&amp;$V49&amp;$W$6,vw.sidsudi,5,FALSE),0)</f>
        <v>1</v>
      </c>
      <c r="X64" s="780">
        <f t="shared" si="116"/>
        <v>1</v>
      </c>
      <c r="Y64" s="780">
        <f t="shared" si="116"/>
        <v>1</v>
      </c>
      <c r="Z64" s="780">
        <f t="shared" si="116"/>
        <v>0</v>
      </c>
      <c r="AA64" s="780">
        <f t="shared" si="116"/>
        <v>0</v>
      </c>
      <c r="AB64" s="780">
        <f t="shared" si="116"/>
        <v>1</v>
      </c>
      <c r="AC64" s="780">
        <f t="shared" si="116"/>
        <v>0</v>
      </c>
      <c r="AD64" s="780">
        <f t="shared" si="116"/>
        <v>0</v>
      </c>
      <c r="AE64" s="780">
        <f t="shared" si="116"/>
        <v>1</v>
      </c>
      <c r="AF64" s="780">
        <f t="shared" si="116"/>
        <v>1</v>
      </c>
      <c r="AG64" s="780">
        <f t="shared" si="116"/>
        <v>1</v>
      </c>
      <c r="AH64" s="780">
        <f t="shared" si="116"/>
        <v>0</v>
      </c>
      <c r="AI64" s="780">
        <f t="shared" si="116"/>
        <v>0</v>
      </c>
      <c r="AJ64" s="780">
        <f t="shared" si="116"/>
        <v>1</v>
      </c>
      <c r="AK64" s="780">
        <f t="shared" si="116"/>
        <v>0</v>
      </c>
      <c r="AL64" s="780">
        <f t="shared" ref="AL64:AM64" si="117">IFERROR(VLOOKUP(AL$8&amp;$V64&amp;$V49&amp;$W$6,vw.sidsudi,5,FALSE),0)</f>
        <v>0</v>
      </c>
      <c r="AM64" s="780">
        <f t="shared" si="117"/>
        <v>0</v>
      </c>
    </row>
    <row r="65" spans="1:39">
      <c r="A65" s="82" t="s">
        <v>99</v>
      </c>
      <c r="B65" s="82">
        <f t="shared" si="84"/>
        <v>1</v>
      </c>
      <c r="C65" s="82">
        <f t="shared" si="85"/>
        <v>0</v>
      </c>
      <c r="D65" s="82">
        <f t="shared" si="85"/>
        <v>0</v>
      </c>
      <c r="E65" s="82">
        <f t="shared" si="85"/>
        <v>0</v>
      </c>
      <c r="F65" s="82">
        <f t="shared" si="85"/>
        <v>2</v>
      </c>
      <c r="G65" s="82">
        <f t="shared" si="85"/>
        <v>0</v>
      </c>
      <c r="H65" s="82">
        <f t="shared" si="85"/>
        <v>0</v>
      </c>
      <c r="I65" s="82">
        <f t="shared" si="85"/>
        <v>3</v>
      </c>
      <c r="J65" s="82">
        <f t="shared" si="85"/>
        <v>0</v>
      </c>
      <c r="K65" s="82">
        <f t="shared" si="85"/>
        <v>0</v>
      </c>
      <c r="L65" s="82">
        <f t="shared" si="89"/>
        <v>3</v>
      </c>
      <c r="M65" s="57">
        <f>SUM(BirthsTrend!G63:K63)</f>
        <v>7574</v>
      </c>
      <c r="N65" s="267">
        <f t="shared" si="86"/>
        <v>0.39609189331925004</v>
      </c>
      <c r="V65" s="780" t="s">
        <v>99</v>
      </c>
      <c r="W65" s="780">
        <f t="shared" ref="W65:AK65" si="118">IFERROR(VLOOKUP(W$8&amp;$V65&amp;$V49&amp;$W$6,vw.sidsudi,5,FALSE),0)</f>
        <v>2</v>
      </c>
      <c r="X65" s="780">
        <f t="shared" si="118"/>
        <v>0</v>
      </c>
      <c r="Y65" s="780">
        <f t="shared" si="118"/>
        <v>1</v>
      </c>
      <c r="Z65" s="780">
        <f t="shared" si="118"/>
        <v>1</v>
      </c>
      <c r="AA65" s="780">
        <f t="shared" si="118"/>
        <v>0</v>
      </c>
      <c r="AB65" s="780">
        <f t="shared" si="118"/>
        <v>0</v>
      </c>
      <c r="AC65" s="780">
        <f t="shared" si="118"/>
        <v>1</v>
      </c>
      <c r="AD65" s="780">
        <f t="shared" si="118"/>
        <v>1</v>
      </c>
      <c r="AE65" s="780">
        <f t="shared" si="118"/>
        <v>0</v>
      </c>
      <c r="AF65" s="780">
        <f t="shared" si="118"/>
        <v>0</v>
      </c>
      <c r="AG65" s="780">
        <f t="shared" si="118"/>
        <v>0</v>
      </c>
      <c r="AH65" s="780">
        <f t="shared" si="118"/>
        <v>2</v>
      </c>
      <c r="AI65" s="780">
        <f t="shared" si="118"/>
        <v>0</v>
      </c>
      <c r="AJ65" s="780">
        <f t="shared" si="118"/>
        <v>0</v>
      </c>
      <c r="AK65" s="780">
        <f t="shared" si="118"/>
        <v>3</v>
      </c>
      <c r="AL65" s="780">
        <f t="shared" ref="AL65:AM65" si="119">IFERROR(VLOOKUP(AL$8&amp;$V65&amp;$V49&amp;$W$6,vw.sidsudi,5,FALSE),0)</f>
        <v>0</v>
      </c>
      <c r="AM65" s="780">
        <f t="shared" si="119"/>
        <v>0</v>
      </c>
    </row>
    <row r="66" spans="1:39">
      <c r="A66" s="82" t="s">
        <v>100</v>
      </c>
      <c r="B66" s="82">
        <f t="shared" si="84"/>
        <v>0</v>
      </c>
      <c r="C66" s="82">
        <f t="shared" ref="C66:K70" si="120">AE66</f>
        <v>0</v>
      </c>
      <c r="D66" s="82">
        <f t="shared" si="120"/>
        <v>0</v>
      </c>
      <c r="E66" s="82">
        <f t="shared" si="120"/>
        <v>0</v>
      </c>
      <c r="F66" s="82">
        <f t="shared" si="120"/>
        <v>1</v>
      </c>
      <c r="G66" s="82">
        <f t="shared" si="120"/>
        <v>0</v>
      </c>
      <c r="H66" s="82">
        <f t="shared" si="120"/>
        <v>0</v>
      </c>
      <c r="I66" s="82">
        <f t="shared" si="120"/>
        <v>0</v>
      </c>
      <c r="J66" s="82">
        <f t="shared" si="120"/>
        <v>0</v>
      </c>
      <c r="K66" s="82">
        <f t="shared" si="120"/>
        <v>0</v>
      </c>
      <c r="L66" s="82">
        <f t="shared" si="89"/>
        <v>0</v>
      </c>
      <c r="M66" s="57">
        <f>SUM(BirthsTrend!G64:K64)</f>
        <v>1908</v>
      </c>
      <c r="N66" s="267">
        <f t="shared" si="86"/>
        <v>0</v>
      </c>
      <c r="V66" s="780" t="s">
        <v>100</v>
      </c>
      <c r="W66" s="780">
        <f t="shared" ref="W66:AK66" si="121">IFERROR(VLOOKUP(W$8&amp;$V66&amp;$V49&amp;$W$6,vw.sidsudi,5,FALSE),0)</f>
        <v>0</v>
      </c>
      <c r="X66" s="780">
        <f t="shared" si="121"/>
        <v>0</v>
      </c>
      <c r="Y66" s="780">
        <f t="shared" si="121"/>
        <v>1</v>
      </c>
      <c r="Z66" s="780">
        <f t="shared" si="121"/>
        <v>0</v>
      </c>
      <c r="AA66" s="780">
        <f t="shared" si="121"/>
        <v>0</v>
      </c>
      <c r="AB66" s="780">
        <f t="shared" si="121"/>
        <v>0</v>
      </c>
      <c r="AC66" s="780">
        <f t="shared" si="121"/>
        <v>0</v>
      </c>
      <c r="AD66" s="780">
        <f t="shared" si="121"/>
        <v>0</v>
      </c>
      <c r="AE66" s="780">
        <f t="shared" si="121"/>
        <v>0</v>
      </c>
      <c r="AF66" s="780">
        <f t="shared" si="121"/>
        <v>0</v>
      </c>
      <c r="AG66" s="780">
        <f t="shared" si="121"/>
        <v>0</v>
      </c>
      <c r="AH66" s="780">
        <f t="shared" si="121"/>
        <v>1</v>
      </c>
      <c r="AI66" s="780">
        <f t="shared" si="121"/>
        <v>0</v>
      </c>
      <c r="AJ66" s="780">
        <f t="shared" si="121"/>
        <v>0</v>
      </c>
      <c r="AK66" s="780">
        <f t="shared" si="121"/>
        <v>0</v>
      </c>
      <c r="AL66" s="780">
        <f t="shared" ref="AL66:AM66" si="122">IFERROR(VLOOKUP(AL$8&amp;$V66&amp;$V49&amp;$W$6,vw.sidsudi,5,FALSE),0)</f>
        <v>0</v>
      </c>
      <c r="AM66" s="780">
        <f t="shared" si="122"/>
        <v>0</v>
      </c>
    </row>
    <row r="67" spans="1:39">
      <c r="A67" s="82" t="s">
        <v>101</v>
      </c>
      <c r="B67" s="82">
        <f t="shared" si="84"/>
        <v>4</v>
      </c>
      <c r="C67" s="82">
        <f t="shared" si="120"/>
        <v>2</v>
      </c>
      <c r="D67" s="82">
        <f t="shared" si="120"/>
        <v>5</v>
      </c>
      <c r="E67" s="82">
        <f t="shared" si="120"/>
        <v>6</v>
      </c>
      <c r="F67" s="82">
        <f t="shared" si="120"/>
        <v>3</v>
      </c>
      <c r="G67" s="82">
        <f t="shared" si="120"/>
        <v>6</v>
      </c>
      <c r="H67" s="82">
        <f t="shared" si="120"/>
        <v>6</v>
      </c>
      <c r="I67" s="82">
        <f t="shared" si="120"/>
        <v>3</v>
      </c>
      <c r="J67" s="82">
        <f t="shared" si="120"/>
        <v>4</v>
      </c>
      <c r="K67" s="82">
        <f t="shared" si="120"/>
        <v>2</v>
      </c>
      <c r="L67" s="82">
        <f t="shared" si="89"/>
        <v>21</v>
      </c>
      <c r="M67" s="57">
        <f>SUM(BirthsTrend!G65:K65)</f>
        <v>30817</v>
      </c>
      <c r="N67" s="267">
        <f t="shared" si="86"/>
        <v>0.68144206119998696</v>
      </c>
      <c r="V67" s="780" t="s">
        <v>101</v>
      </c>
      <c r="W67" s="780">
        <f t="shared" ref="W67:AK67" si="123">IFERROR(VLOOKUP(W$8&amp;$V67&amp;$V49&amp;$W$6,vw.sidsudi,5,FALSE),0)</f>
        <v>2</v>
      </c>
      <c r="X67" s="780">
        <f t="shared" si="123"/>
        <v>7</v>
      </c>
      <c r="Y67" s="780">
        <f t="shared" si="123"/>
        <v>3</v>
      </c>
      <c r="Z67" s="780">
        <f t="shared" si="123"/>
        <v>0</v>
      </c>
      <c r="AA67" s="780">
        <f t="shared" si="123"/>
        <v>1</v>
      </c>
      <c r="AB67" s="780">
        <f t="shared" si="123"/>
        <v>3</v>
      </c>
      <c r="AC67" s="780">
        <f t="shared" si="123"/>
        <v>6</v>
      </c>
      <c r="AD67" s="780">
        <f t="shared" si="123"/>
        <v>4</v>
      </c>
      <c r="AE67" s="780">
        <f t="shared" si="123"/>
        <v>2</v>
      </c>
      <c r="AF67" s="780">
        <f t="shared" si="123"/>
        <v>5</v>
      </c>
      <c r="AG67" s="780">
        <f t="shared" si="123"/>
        <v>6</v>
      </c>
      <c r="AH67" s="780">
        <f t="shared" si="123"/>
        <v>3</v>
      </c>
      <c r="AI67" s="780">
        <f t="shared" si="123"/>
        <v>6</v>
      </c>
      <c r="AJ67" s="780">
        <f t="shared" si="123"/>
        <v>6</v>
      </c>
      <c r="AK67" s="780">
        <f t="shared" si="123"/>
        <v>3</v>
      </c>
      <c r="AL67" s="780">
        <f t="shared" ref="AL67:AM67" si="124">IFERROR(VLOOKUP(AL$8&amp;$V67&amp;$V49&amp;$W$6,vw.sidsudi,5,FALSE),0)</f>
        <v>4</v>
      </c>
      <c r="AM67" s="780">
        <f t="shared" si="124"/>
        <v>2</v>
      </c>
    </row>
    <row r="68" spans="1:39">
      <c r="A68" s="82" t="s">
        <v>102</v>
      </c>
      <c r="B68" s="82">
        <f t="shared" si="84"/>
        <v>1</v>
      </c>
      <c r="C68" s="82">
        <f t="shared" si="120"/>
        <v>1</v>
      </c>
      <c r="D68" s="82">
        <f t="shared" si="120"/>
        <v>1</v>
      </c>
      <c r="E68" s="82">
        <f t="shared" si="120"/>
        <v>0</v>
      </c>
      <c r="F68" s="82">
        <f t="shared" si="120"/>
        <v>0</v>
      </c>
      <c r="G68" s="82">
        <f t="shared" si="120"/>
        <v>0</v>
      </c>
      <c r="H68" s="82">
        <f t="shared" si="120"/>
        <v>0</v>
      </c>
      <c r="I68" s="82">
        <f t="shared" si="120"/>
        <v>1</v>
      </c>
      <c r="J68" s="82">
        <f t="shared" si="120"/>
        <v>0</v>
      </c>
      <c r="K68" s="82">
        <f t="shared" si="120"/>
        <v>1</v>
      </c>
      <c r="L68" s="82">
        <f t="shared" si="89"/>
        <v>2</v>
      </c>
      <c r="M68" s="57">
        <f>SUM(BirthsTrend!G66:K66)</f>
        <v>3202</v>
      </c>
      <c r="N68" s="267">
        <f t="shared" si="86"/>
        <v>0.62460961898813239</v>
      </c>
      <c r="V68" s="780" t="s">
        <v>102</v>
      </c>
      <c r="W68" s="780">
        <f t="shared" ref="W68:AK68" si="125">IFERROR(VLOOKUP(W$8&amp;$V68&amp;$V49&amp;$W$6,vw.sidsudi,5,FALSE),0)</f>
        <v>1</v>
      </c>
      <c r="X68" s="780">
        <f t="shared" si="125"/>
        <v>1</v>
      </c>
      <c r="Y68" s="780">
        <f t="shared" si="125"/>
        <v>0</v>
      </c>
      <c r="Z68" s="780">
        <f t="shared" si="125"/>
        <v>0</v>
      </c>
      <c r="AA68" s="780">
        <f t="shared" si="125"/>
        <v>0</v>
      </c>
      <c r="AB68" s="780">
        <f t="shared" si="125"/>
        <v>0</v>
      </c>
      <c r="AC68" s="780">
        <f t="shared" si="125"/>
        <v>0</v>
      </c>
      <c r="AD68" s="780">
        <f t="shared" si="125"/>
        <v>1</v>
      </c>
      <c r="AE68" s="780">
        <f t="shared" si="125"/>
        <v>1</v>
      </c>
      <c r="AF68" s="780">
        <f t="shared" si="125"/>
        <v>1</v>
      </c>
      <c r="AG68" s="780">
        <f t="shared" si="125"/>
        <v>0</v>
      </c>
      <c r="AH68" s="780">
        <f t="shared" si="125"/>
        <v>0</v>
      </c>
      <c r="AI68" s="780">
        <f t="shared" si="125"/>
        <v>0</v>
      </c>
      <c r="AJ68" s="780">
        <f t="shared" si="125"/>
        <v>0</v>
      </c>
      <c r="AK68" s="780">
        <f t="shared" si="125"/>
        <v>1</v>
      </c>
      <c r="AL68" s="780">
        <f t="shared" ref="AL68:AM68" si="126">IFERROR(VLOOKUP(AL$8&amp;$V68&amp;$V49&amp;$W$6,vw.sidsudi,5,FALSE),0)</f>
        <v>0</v>
      </c>
      <c r="AM68" s="780">
        <f t="shared" si="126"/>
        <v>1</v>
      </c>
    </row>
    <row r="69" spans="1:39">
      <c r="A69" s="82" t="s">
        <v>103</v>
      </c>
      <c r="B69" s="82">
        <f t="shared" si="84"/>
        <v>2</v>
      </c>
      <c r="C69" s="82">
        <f t="shared" si="120"/>
        <v>3</v>
      </c>
      <c r="D69" s="82">
        <f t="shared" si="120"/>
        <v>0</v>
      </c>
      <c r="E69" s="82">
        <f t="shared" si="120"/>
        <v>1</v>
      </c>
      <c r="F69" s="82">
        <f t="shared" si="120"/>
        <v>4</v>
      </c>
      <c r="G69" s="82">
        <f t="shared" si="120"/>
        <v>2</v>
      </c>
      <c r="H69" s="82">
        <f t="shared" si="120"/>
        <v>1</v>
      </c>
      <c r="I69" s="82">
        <f t="shared" si="120"/>
        <v>2</v>
      </c>
      <c r="J69" s="82">
        <f t="shared" si="120"/>
        <v>2</v>
      </c>
      <c r="K69" s="82">
        <f t="shared" si="120"/>
        <v>3</v>
      </c>
      <c r="L69" s="82">
        <f t="shared" si="89"/>
        <v>10</v>
      </c>
      <c r="M69" s="57">
        <f>SUM(BirthsTrend!G67:K67)</f>
        <v>17427</v>
      </c>
      <c r="N69" s="267">
        <f t="shared" si="86"/>
        <v>0.57382222987318521</v>
      </c>
      <c r="V69" s="780" t="s">
        <v>103</v>
      </c>
      <c r="W69" s="780">
        <f t="shared" ref="W69:AK69" si="127">IFERROR(VLOOKUP(W$8&amp;$V69&amp;$V49&amp;$W$6,vw.sidsudi,5,FALSE),0)</f>
        <v>7</v>
      </c>
      <c r="X69" s="780">
        <f t="shared" si="127"/>
        <v>1</v>
      </c>
      <c r="Y69" s="780">
        <f t="shared" si="127"/>
        <v>2</v>
      </c>
      <c r="Z69" s="780">
        <f t="shared" si="127"/>
        <v>3</v>
      </c>
      <c r="AA69" s="780">
        <f t="shared" si="127"/>
        <v>3</v>
      </c>
      <c r="AB69" s="780">
        <f t="shared" si="127"/>
        <v>4</v>
      </c>
      <c r="AC69" s="780">
        <f t="shared" si="127"/>
        <v>2</v>
      </c>
      <c r="AD69" s="780">
        <f t="shared" si="127"/>
        <v>2</v>
      </c>
      <c r="AE69" s="780">
        <f t="shared" si="127"/>
        <v>3</v>
      </c>
      <c r="AF69" s="780">
        <f t="shared" si="127"/>
        <v>0</v>
      </c>
      <c r="AG69" s="780">
        <f t="shared" si="127"/>
        <v>1</v>
      </c>
      <c r="AH69" s="780">
        <f t="shared" si="127"/>
        <v>4</v>
      </c>
      <c r="AI69" s="780">
        <f t="shared" si="127"/>
        <v>2</v>
      </c>
      <c r="AJ69" s="780">
        <f t="shared" si="127"/>
        <v>1</v>
      </c>
      <c r="AK69" s="780">
        <f t="shared" si="127"/>
        <v>2</v>
      </c>
      <c r="AL69" s="780">
        <f t="shared" ref="AL69:AM69" si="128">IFERROR(VLOOKUP(AL$8&amp;$V69&amp;$V49&amp;$W$6,vw.sidsudi,5,FALSE),0)</f>
        <v>2</v>
      </c>
      <c r="AM69" s="780">
        <f t="shared" si="128"/>
        <v>3</v>
      </c>
    </row>
    <row r="70" spans="1:39">
      <c r="A70" s="58" t="s">
        <v>63</v>
      </c>
      <c r="B70" s="58">
        <f t="shared" si="84"/>
        <v>0</v>
      </c>
      <c r="C70" s="58">
        <f t="shared" si="120"/>
        <v>0</v>
      </c>
      <c r="D70" s="58">
        <f t="shared" si="120"/>
        <v>1</v>
      </c>
      <c r="E70" s="58">
        <f t="shared" si="120"/>
        <v>0</v>
      </c>
      <c r="F70" s="58">
        <f t="shared" si="120"/>
        <v>0</v>
      </c>
      <c r="G70" s="58">
        <f t="shared" si="120"/>
        <v>0</v>
      </c>
      <c r="H70" s="58">
        <f t="shared" si="120"/>
        <v>0</v>
      </c>
      <c r="I70" s="58">
        <f t="shared" si="120"/>
        <v>0</v>
      </c>
      <c r="J70" s="58">
        <f t="shared" si="120"/>
        <v>0</v>
      </c>
      <c r="K70" s="58">
        <f t="shared" si="120"/>
        <v>0</v>
      </c>
      <c r="L70" s="58">
        <f t="shared" si="89"/>
        <v>0</v>
      </c>
      <c r="M70" s="439">
        <f>SUM(BirthsTrend!G68:K68)</f>
        <v>899</v>
      </c>
      <c r="N70" s="268" t="s">
        <v>119</v>
      </c>
      <c r="V70" s="780" t="s">
        <v>63</v>
      </c>
      <c r="W70" s="780">
        <f t="shared" ref="W70:AK70" si="129">IFERROR(VLOOKUP(W$8&amp;$V70&amp;$V49&amp;$W$6,vw.sidsudi,5,FALSE),0)</f>
        <v>0</v>
      </c>
      <c r="X70" s="780">
        <f t="shared" si="129"/>
        <v>0</v>
      </c>
      <c r="Y70" s="780">
        <f t="shared" si="129"/>
        <v>0</v>
      </c>
      <c r="Z70" s="780">
        <f t="shared" si="129"/>
        <v>0</v>
      </c>
      <c r="AA70" s="780">
        <f t="shared" si="129"/>
        <v>0</v>
      </c>
      <c r="AB70" s="780">
        <f t="shared" si="129"/>
        <v>0</v>
      </c>
      <c r="AC70" s="780">
        <f t="shared" si="129"/>
        <v>0</v>
      </c>
      <c r="AD70" s="780">
        <f t="shared" si="129"/>
        <v>0</v>
      </c>
      <c r="AE70" s="780">
        <f t="shared" si="129"/>
        <v>0</v>
      </c>
      <c r="AF70" s="780">
        <f t="shared" si="129"/>
        <v>1</v>
      </c>
      <c r="AG70" s="780">
        <f t="shared" si="129"/>
        <v>0</v>
      </c>
      <c r="AH70" s="780">
        <f t="shared" si="129"/>
        <v>0</v>
      </c>
      <c r="AI70" s="780">
        <f t="shared" si="129"/>
        <v>0</v>
      </c>
      <c r="AJ70" s="780">
        <f t="shared" si="129"/>
        <v>0</v>
      </c>
      <c r="AK70" s="780">
        <f t="shared" si="129"/>
        <v>0</v>
      </c>
      <c r="AL70" s="780">
        <f t="shared" ref="AL70:AM70" si="130">IFERROR(VLOOKUP(AL$8&amp;$V70&amp;$V49&amp;$W$6,vw.sidsudi,5,FALSE),0)</f>
        <v>0</v>
      </c>
      <c r="AM70" s="780">
        <f t="shared" si="130"/>
        <v>0</v>
      </c>
    </row>
    <row r="71" spans="1:39">
      <c r="A71" s="435" t="s">
        <v>345</v>
      </c>
      <c r="B71" s="436"/>
      <c r="C71" s="436"/>
      <c r="D71" s="436"/>
      <c r="E71" s="436"/>
      <c r="F71" s="436"/>
      <c r="G71" s="436"/>
      <c r="H71" s="436"/>
      <c r="I71" s="436"/>
      <c r="J71" s="85"/>
      <c r="K71" s="552"/>
      <c r="L71" s="85"/>
    </row>
    <row r="72" spans="1:39" ht="38.25" customHeight="1">
      <c r="A72" s="947" t="s">
        <v>584</v>
      </c>
      <c r="B72" s="948"/>
      <c r="C72" s="948"/>
      <c r="D72" s="948"/>
      <c r="E72" s="948"/>
      <c r="F72" s="948"/>
      <c r="G72" s="948"/>
      <c r="H72" s="948"/>
      <c r="I72" s="948"/>
      <c r="J72" s="948"/>
      <c r="K72" s="948"/>
      <c r="L72" s="948"/>
      <c r="M72" s="948"/>
      <c r="N72" s="948"/>
    </row>
    <row r="73" spans="1:39">
      <c r="A73" s="403"/>
    </row>
    <row r="74" spans="1:39">
      <c r="A74" s="403"/>
    </row>
  </sheetData>
  <mergeCells count="6">
    <mergeCell ref="P8:R8"/>
    <mergeCell ref="A72:N72"/>
    <mergeCell ref="A5:N5"/>
    <mergeCell ref="A7:A8"/>
    <mergeCell ref="L7:N7"/>
    <mergeCell ref="B7:K7"/>
  </mergeCells>
  <hyperlinks>
    <hyperlink ref="B1" location="Glossary!A1" display="Glossary" xr:uid="{00000000-0004-0000-0E00-000000000000}"/>
    <hyperlink ref="A1" location="Contents!A1" display="Table of contents" xr:uid="{00000000-0004-0000-0E00-000001000000}"/>
    <hyperlink ref="C1" location="About!A1" display="About the publication" xr:uid="{00000000-0004-0000-0E00-000002000000}"/>
    <hyperlink ref="P8:R8" location="GraphsNZ!B140" display="Rates of SIDS and SUDI by year (2000–2015)" xr:uid="{00000000-0004-0000-0E00-000003000000}"/>
    <hyperlink ref="F1" location="KeyFindings!A1" display="Key findings" xr:uid="{00000000-0004-0000-0E00-000004000000}"/>
  </hyperlinks>
  <pageMargins left="0.70866141732283472" right="0.70866141732283472" top="0.74803149606299213" bottom="0.74803149606299213" header="0.31496062992125984" footer="0.31496062992125984"/>
  <pageSetup paperSize="9" scale="62" fitToHeight="2" orientation="portrait" r:id="rId1"/>
  <headerFooter>
    <oddFooter>&amp;L&amp;"Arial,Regular"&amp;8&amp;K01+019Fetal and Infant Deaths 2016&amp;R&amp;"Arial,Regular"&amp;8&amp;K01+018Page &amp;P of &amp;N</oddFooter>
  </headerFooter>
  <ignoredErrors>
    <ignoredError sqref="L14:M14 L49:M49 L19:M19 L27:M27 L34:M34 L41:M41" formulaRange="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Ref!$H$19:$H$20</xm:f>
          </x14:formula1>
          <xm:sqref>B6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A1:BL130"/>
  <sheetViews>
    <sheetView zoomScaleNormal="100" workbookViewId="0">
      <pane ySplit="3" topLeftCell="A4" activePane="bottomLeft" state="frozen"/>
      <selection activeCell="AA1" sqref="AA1:AP1048576"/>
      <selection pane="bottomLeft" activeCell="A4" sqref="A4"/>
    </sheetView>
  </sheetViews>
  <sheetFormatPr defaultRowHeight="15"/>
  <cols>
    <col min="1" max="1" width="26.7109375" style="39" customWidth="1"/>
    <col min="2" max="4" width="10" style="39" customWidth="1"/>
    <col min="5" max="5" width="10" style="308" customWidth="1"/>
    <col min="6" max="6" width="10" style="39" customWidth="1"/>
    <col min="7" max="9" width="10.42578125" style="39" customWidth="1"/>
    <col min="10" max="10" width="10.42578125" style="308" customWidth="1"/>
    <col min="11" max="12" width="10.42578125" style="39" customWidth="1"/>
    <col min="13" max="20" width="10.42578125" style="245" customWidth="1"/>
    <col min="21" max="23" width="10.42578125" style="289" customWidth="1"/>
    <col min="24" max="31" width="9.140625" style="289"/>
    <col min="32" max="64" width="9.140625" style="245"/>
    <col min="65" max="16384" width="9.140625" style="39"/>
  </cols>
  <sheetData>
    <row r="1" spans="1:64" s="103" customFormat="1">
      <c r="A1" s="88" t="s">
        <v>158</v>
      </c>
      <c r="B1" s="88" t="s">
        <v>115</v>
      </c>
      <c r="C1" s="88" t="s">
        <v>173</v>
      </c>
      <c r="E1" s="159" t="s">
        <v>353</v>
      </c>
      <c r="F1" s="62"/>
      <c r="G1" s="88"/>
      <c r="H1" s="89"/>
      <c r="M1" s="516"/>
      <c r="N1" s="516"/>
      <c r="O1" s="516"/>
      <c r="P1" s="516"/>
      <c r="Q1" s="516"/>
      <c r="R1" s="516"/>
      <c r="S1" s="516"/>
      <c r="T1" s="516"/>
      <c r="U1" s="515"/>
      <c r="V1" s="515"/>
      <c r="W1" s="515"/>
      <c r="X1" s="515"/>
      <c r="Y1" s="515"/>
      <c r="Z1" s="515"/>
      <c r="AA1" s="515"/>
      <c r="AB1" s="515"/>
      <c r="AC1" s="515"/>
      <c r="AD1" s="515"/>
      <c r="AE1" s="515"/>
      <c r="AF1" s="516"/>
      <c r="AG1" s="516"/>
      <c r="AH1" s="516"/>
      <c r="AI1" s="516"/>
      <c r="AJ1" s="516"/>
      <c r="AK1" s="516"/>
      <c r="AL1" s="516"/>
      <c r="AM1" s="516"/>
      <c r="AN1" s="516"/>
      <c r="AO1" s="516"/>
      <c r="AP1" s="516"/>
      <c r="AQ1" s="516"/>
      <c r="AR1" s="516"/>
      <c r="AS1" s="516"/>
      <c r="AT1" s="516"/>
      <c r="AU1" s="516"/>
      <c r="AV1" s="516"/>
      <c r="AW1" s="516"/>
      <c r="AX1" s="516"/>
      <c r="AY1" s="516"/>
      <c r="AZ1" s="516"/>
      <c r="BA1" s="516"/>
      <c r="BB1" s="516"/>
      <c r="BC1" s="516"/>
      <c r="BD1" s="516"/>
      <c r="BE1" s="516"/>
      <c r="BF1" s="516"/>
      <c r="BG1" s="516"/>
      <c r="BH1" s="516"/>
      <c r="BI1" s="516"/>
      <c r="BJ1" s="516"/>
      <c r="BK1" s="516"/>
      <c r="BL1" s="516"/>
    </row>
    <row r="2" spans="1:64" s="5" customFormat="1" ht="9" customHeight="1">
      <c r="A2" s="60"/>
      <c r="B2" s="61"/>
      <c r="C2" s="62"/>
      <c r="D2" s="62"/>
      <c r="E2" s="62"/>
      <c r="F2" s="62"/>
      <c r="G2" s="62"/>
      <c r="J2" s="103"/>
      <c r="M2" s="516"/>
      <c r="N2" s="516"/>
      <c r="O2" s="516"/>
      <c r="P2" s="516"/>
      <c r="Q2" s="516"/>
      <c r="R2" s="516"/>
      <c r="S2" s="516"/>
      <c r="T2" s="516"/>
      <c r="U2" s="515"/>
      <c r="V2" s="515"/>
      <c r="W2" s="515"/>
      <c r="X2" s="515"/>
      <c r="Y2" s="515"/>
      <c r="Z2" s="515"/>
      <c r="AA2" s="515"/>
      <c r="AB2" s="515"/>
      <c r="AC2" s="515"/>
      <c r="AD2" s="515"/>
      <c r="AE2" s="515"/>
      <c r="AF2" s="516"/>
      <c r="AG2" s="516"/>
      <c r="AH2" s="516"/>
      <c r="AI2" s="516"/>
      <c r="AJ2" s="516"/>
      <c r="AK2" s="516"/>
      <c r="AL2" s="516"/>
      <c r="AM2" s="516"/>
      <c r="AN2" s="516"/>
      <c r="AO2" s="516"/>
      <c r="AP2" s="516"/>
      <c r="AQ2" s="516"/>
      <c r="AR2" s="516"/>
      <c r="AS2" s="516"/>
      <c r="AT2" s="516"/>
      <c r="AU2" s="516"/>
      <c r="AV2" s="516"/>
      <c r="AW2" s="516"/>
      <c r="AX2" s="516"/>
      <c r="AY2" s="516"/>
      <c r="AZ2" s="516"/>
      <c r="BA2" s="516"/>
      <c r="BB2" s="516"/>
      <c r="BC2" s="516"/>
      <c r="BD2" s="516"/>
      <c r="BE2" s="516"/>
      <c r="BF2" s="516"/>
      <c r="BG2" s="516"/>
      <c r="BH2" s="516"/>
      <c r="BI2" s="516"/>
      <c r="BJ2" s="516"/>
      <c r="BK2" s="516"/>
      <c r="BL2" s="516"/>
    </row>
    <row r="3" spans="1:64" s="103" customFormat="1" ht="20.25">
      <c r="A3" s="876" t="s">
        <v>272</v>
      </c>
      <c r="B3" s="283"/>
      <c r="C3" s="283"/>
      <c r="D3" s="283"/>
      <c r="E3" s="283"/>
      <c r="F3" s="283"/>
      <c r="G3" s="283"/>
      <c r="H3" s="482"/>
      <c r="I3" s="283"/>
      <c r="J3" s="283"/>
      <c r="K3" s="283"/>
      <c r="M3" s="516"/>
      <c r="N3" s="555"/>
      <c r="O3" s="516"/>
      <c r="P3" s="516"/>
      <c r="Q3" s="516"/>
      <c r="R3" s="516"/>
      <c r="S3" s="516"/>
      <c r="T3" s="516"/>
      <c r="U3" s="515"/>
      <c r="V3" s="515"/>
      <c r="W3" s="515"/>
      <c r="X3" s="515"/>
      <c r="Y3" s="515"/>
      <c r="Z3" s="515"/>
      <c r="AA3" s="515"/>
      <c r="AB3" s="515"/>
      <c r="AC3" s="515"/>
      <c r="AD3" s="515"/>
      <c r="AE3" s="515"/>
      <c r="AF3" s="516"/>
      <c r="AG3" s="516"/>
      <c r="AH3" s="516"/>
      <c r="AI3" s="516"/>
      <c r="AJ3" s="516"/>
      <c r="AK3" s="516"/>
      <c r="AL3" s="516"/>
      <c r="AM3" s="516"/>
      <c r="AN3" s="516"/>
      <c r="AO3" s="516"/>
      <c r="AP3" s="516"/>
      <c r="AQ3" s="516"/>
      <c r="AR3" s="516"/>
      <c r="AS3" s="516"/>
      <c r="AT3" s="516"/>
      <c r="AU3" s="516"/>
      <c r="AV3" s="516"/>
      <c r="AW3" s="516"/>
      <c r="AX3" s="516"/>
      <c r="AY3" s="516"/>
      <c r="AZ3" s="516"/>
      <c r="BA3" s="516"/>
      <c r="BB3" s="516"/>
      <c r="BC3" s="516"/>
      <c r="BD3" s="516"/>
      <c r="BE3" s="516"/>
      <c r="BF3" s="516"/>
      <c r="BG3" s="516"/>
      <c r="BH3" s="516"/>
      <c r="BI3" s="516"/>
      <c r="BJ3" s="516"/>
      <c r="BK3" s="516"/>
      <c r="BL3" s="516"/>
    </row>
    <row r="4" spans="1:64" s="11" customFormat="1" ht="12.75">
      <c r="M4" s="517"/>
      <c r="N4" s="517"/>
      <c r="O4" s="517"/>
      <c r="P4" s="517"/>
      <c r="Q4" s="517"/>
      <c r="R4" s="517"/>
      <c r="S4" s="517"/>
      <c r="T4" s="517"/>
      <c r="U4" s="765"/>
      <c r="V4" s="765"/>
      <c r="W4" s="765"/>
      <c r="X4" s="765"/>
      <c r="Y4" s="765"/>
      <c r="Z4" s="765"/>
      <c r="AA4" s="765"/>
      <c r="AB4" s="765"/>
      <c r="AC4" s="765"/>
      <c r="AD4" s="765"/>
      <c r="AE4" s="765"/>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row>
    <row r="5" spans="1:64" s="11" customFormat="1" ht="40.5" customHeight="1">
      <c r="A5" s="918" t="str">
        <f>Contents!E24</f>
        <v xml:space="preserve">Table 20: Number of infant deaths classified as sudden infant death syndrome (SIDS) and sudden unexpected death in infancy (SUDI) in those aged &lt;1 year, for each ethnic group, by sex, maternal age group, deprivation quintile of residence, gestational age, birthweight and DHB of domicile, 2016
</v>
      </c>
      <c r="B5" s="924"/>
      <c r="C5" s="924"/>
      <c r="D5" s="924"/>
      <c r="E5" s="924"/>
      <c r="F5" s="924"/>
      <c r="G5" s="924"/>
      <c r="H5" s="924"/>
      <c r="I5" s="924"/>
      <c r="J5" s="924"/>
      <c r="K5" s="924"/>
      <c r="L5" s="361"/>
      <c r="M5" s="556"/>
      <c r="N5" s="556"/>
      <c r="O5" s="517"/>
      <c r="P5" s="517"/>
      <c r="Q5" s="517"/>
      <c r="R5" s="517"/>
      <c r="S5" s="557"/>
      <c r="T5" s="517"/>
      <c r="U5" s="765"/>
      <c r="V5" s="765" t="s">
        <v>419</v>
      </c>
      <c r="W5" s="765">
        <f>Ref!B27</f>
        <v>2016</v>
      </c>
      <c r="X5" s="765"/>
      <c r="Y5" s="765"/>
      <c r="Z5" s="765"/>
      <c r="AA5" s="765"/>
      <c r="AB5" s="765"/>
      <c r="AC5" s="765"/>
      <c r="AD5" s="765"/>
      <c r="AE5" s="765"/>
      <c r="AF5" s="517"/>
      <c r="AG5" s="517"/>
      <c r="AH5" s="517"/>
      <c r="AI5" s="517"/>
      <c r="AJ5" s="517"/>
      <c r="AK5" s="517"/>
      <c r="AL5" s="517"/>
      <c r="AM5" s="517"/>
      <c r="AN5" s="517"/>
      <c r="AO5" s="517"/>
      <c r="AP5" s="517"/>
      <c r="AQ5" s="517"/>
      <c r="AR5" s="517"/>
      <c r="AS5" s="517"/>
      <c r="AT5" s="517"/>
      <c r="AU5" s="517"/>
      <c r="AV5" s="517"/>
      <c r="AW5" s="517"/>
      <c r="AX5" s="517"/>
      <c r="AY5" s="517"/>
      <c r="AZ5" s="517"/>
      <c r="BA5" s="517"/>
      <c r="BB5" s="517"/>
      <c r="BC5" s="517"/>
      <c r="BD5" s="517"/>
      <c r="BE5" s="517"/>
      <c r="BF5" s="517"/>
      <c r="BG5" s="517"/>
      <c r="BH5" s="517"/>
      <c r="BI5" s="517"/>
      <c r="BJ5" s="517"/>
      <c r="BK5" s="517"/>
      <c r="BL5" s="517"/>
    </row>
    <row r="6" spans="1:64">
      <c r="A6" s="914" t="s">
        <v>68</v>
      </c>
      <c r="B6" s="959" t="s">
        <v>200</v>
      </c>
      <c r="C6" s="959"/>
      <c r="D6" s="959"/>
      <c r="E6" s="959"/>
      <c r="F6" s="960"/>
      <c r="G6" s="961" t="s">
        <v>201</v>
      </c>
      <c r="H6" s="959"/>
      <c r="I6" s="959"/>
      <c r="J6" s="959"/>
      <c r="K6" s="960"/>
      <c r="L6" s="167"/>
      <c r="V6" s="289" t="s">
        <v>32</v>
      </c>
      <c r="AA6" s="289" t="s">
        <v>33</v>
      </c>
    </row>
    <row r="7" spans="1:64" ht="24">
      <c r="A7" s="909"/>
      <c r="B7" s="294" t="s">
        <v>74</v>
      </c>
      <c r="C7" s="294" t="s">
        <v>320</v>
      </c>
      <c r="D7" s="294" t="s">
        <v>355</v>
      </c>
      <c r="E7" s="294" t="s">
        <v>356</v>
      </c>
      <c r="F7" s="296" t="s">
        <v>44</v>
      </c>
      <c r="G7" s="294" t="s">
        <v>74</v>
      </c>
      <c r="H7" s="294" t="s">
        <v>320</v>
      </c>
      <c r="I7" s="294" t="s">
        <v>355</v>
      </c>
      <c r="J7" s="294" t="s">
        <v>356</v>
      </c>
      <c r="K7" s="294" t="s">
        <v>44</v>
      </c>
      <c r="L7" s="167"/>
      <c r="V7" s="289" t="s">
        <v>129</v>
      </c>
      <c r="W7" s="289" t="s">
        <v>320</v>
      </c>
      <c r="X7" s="289" t="s">
        <v>355</v>
      </c>
      <c r="Y7" s="289" t="s">
        <v>356</v>
      </c>
      <c r="AA7" s="289" t="s">
        <v>129</v>
      </c>
      <c r="AB7" s="289" t="s">
        <v>320</v>
      </c>
      <c r="AC7" s="289" t="s">
        <v>355</v>
      </c>
      <c r="AD7" s="289" t="s">
        <v>356</v>
      </c>
    </row>
    <row r="8" spans="1:64">
      <c r="A8" s="80" t="s">
        <v>104</v>
      </c>
      <c r="B8" s="80"/>
      <c r="C8" s="80"/>
      <c r="D8" s="80"/>
      <c r="E8" s="80"/>
      <c r="F8" s="108"/>
      <c r="G8" s="108"/>
      <c r="H8" s="81"/>
      <c r="I8" s="81"/>
      <c r="J8" s="81"/>
      <c r="K8" s="81"/>
      <c r="L8" s="167"/>
      <c r="U8" s="289" t="s">
        <v>104</v>
      </c>
    </row>
    <row r="9" spans="1:64">
      <c r="A9" s="49" t="s">
        <v>44</v>
      </c>
      <c r="B9" s="388">
        <f>V9</f>
        <v>15</v>
      </c>
      <c r="C9" s="388">
        <f t="shared" ref="C9:E9" si="0">W9</f>
        <v>3</v>
      </c>
      <c r="D9" s="388">
        <f t="shared" si="0"/>
        <v>1</v>
      </c>
      <c r="E9" s="388">
        <f t="shared" si="0"/>
        <v>4</v>
      </c>
      <c r="F9" s="389">
        <f>SUM(B9:E9)</f>
        <v>23</v>
      </c>
      <c r="G9" s="388">
        <f>AA9</f>
        <v>27</v>
      </c>
      <c r="H9" s="388">
        <f t="shared" ref="H9:J9" si="1">AB9</f>
        <v>6</v>
      </c>
      <c r="I9" s="388">
        <f t="shared" si="1"/>
        <v>1</v>
      </c>
      <c r="J9" s="388">
        <f t="shared" si="1"/>
        <v>8</v>
      </c>
      <c r="K9" s="390">
        <f>SUM(G9:J9)</f>
        <v>42</v>
      </c>
      <c r="L9" s="167"/>
      <c r="U9" s="289" t="s">
        <v>44</v>
      </c>
      <c r="V9" s="289">
        <f>IFERROR(VLOOKUP($W$5&amp;V$7&amp;$U$9&amp;$U$8&amp;$V$6, vw.sidssudi.eth, 6, FALSE),0)</f>
        <v>15</v>
      </c>
      <c r="W9" s="289">
        <f>IFERROR(VLOOKUP($W$5&amp;W$7&amp;$U$9&amp;$U$8&amp;$V$6, vw.sidssudi.eth, 6, FALSE),0)</f>
        <v>3</v>
      </c>
      <c r="X9" s="289">
        <f>IFERROR(VLOOKUP($W$5&amp;X$7&amp;$U$9&amp;$U$8&amp;$V$6, vw.sidssudi.eth, 6, FALSE),0)</f>
        <v>1</v>
      </c>
      <c r="Y9" s="289">
        <f>IFERROR(VLOOKUP($W$5&amp;Y$7&amp;$U$9&amp;$U$8&amp;$V$6, vw.sidssudi.eth, 6, FALSE),0)</f>
        <v>4</v>
      </c>
      <c r="AA9" s="289">
        <f>IFERROR(VLOOKUP($W$5&amp;AA$7&amp;$U$9&amp;$U$8&amp;$AA$6, vw.sidssudi.eth, 6, FALSE),0)</f>
        <v>27</v>
      </c>
      <c r="AB9" s="289">
        <f>IFERROR(VLOOKUP($W$5&amp;AB$7&amp;$U$9&amp;$U$8&amp;$AA$6, vw.sidssudi.eth, 6, FALSE),0)</f>
        <v>6</v>
      </c>
      <c r="AC9" s="289">
        <f>IFERROR(VLOOKUP($W$5&amp;AC$7&amp;$U$9&amp;$U$8&amp;$AA$6, vw.sidssudi.eth, 6, FALSE),0)</f>
        <v>1</v>
      </c>
      <c r="AD9" s="289">
        <f>IFERROR(VLOOKUP($W$5&amp;AD$7&amp;$U$9&amp;$U$8&amp;$AA$6, vw.sidssudi.eth, 6, FALSE),0)</f>
        <v>8</v>
      </c>
    </row>
    <row r="10" spans="1:64">
      <c r="A10" s="80" t="s">
        <v>69</v>
      </c>
      <c r="B10" s="81"/>
      <c r="C10" s="81"/>
      <c r="D10" s="81"/>
      <c r="E10" s="81"/>
      <c r="F10" s="328"/>
      <c r="G10" s="328"/>
      <c r="H10" s="81"/>
      <c r="I10" s="81"/>
      <c r="J10" s="81"/>
      <c r="K10" s="81"/>
      <c r="L10" s="167"/>
      <c r="U10" s="289" t="s">
        <v>69</v>
      </c>
    </row>
    <row r="11" spans="1:64">
      <c r="A11" s="49" t="s">
        <v>70</v>
      </c>
      <c r="B11" s="388">
        <f>V11</f>
        <v>9</v>
      </c>
      <c r="C11" s="388">
        <f t="shared" ref="C11:E12" si="2">W11</f>
        <v>1</v>
      </c>
      <c r="D11" s="388">
        <f t="shared" si="2"/>
        <v>1</v>
      </c>
      <c r="E11" s="388">
        <f t="shared" si="2"/>
        <v>2</v>
      </c>
      <c r="F11" s="389">
        <f>SUM(B11:E11)</f>
        <v>13</v>
      </c>
      <c r="G11" s="388">
        <f>AA11</f>
        <v>13</v>
      </c>
      <c r="H11" s="388">
        <f t="shared" ref="H11:J12" si="3">AB11</f>
        <v>4</v>
      </c>
      <c r="I11" s="388">
        <f t="shared" si="3"/>
        <v>1</v>
      </c>
      <c r="J11" s="388">
        <f t="shared" si="3"/>
        <v>4</v>
      </c>
      <c r="K11" s="390">
        <f>SUM(G11:J11)</f>
        <v>22</v>
      </c>
      <c r="L11" s="167"/>
      <c r="U11" s="289" t="s">
        <v>70</v>
      </c>
      <c r="V11" s="289">
        <f>IFERROR(VLOOKUP($W$5&amp;V$7&amp;$U11&amp;$U10&amp;$V$6, vw.sidssudi.eth, 6, FALSE),0)</f>
        <v>9</v>
      </c>
      <c r="W11" s="289">
        <f>IFERROR(VLOOKUP($W$5&amp;W$7&amp;$U11&amp;$U10&amp;$V$6, vw.sidssudi.eth, 6, FALSE),0)</f>
        <v>1</v>
      </c>
      <c r="X11" s="289">
        <f>IFERROR(VLOOKUP($W$5&amp;X$7&amp;$U11&amp;$U10&amp;$V$6, vw.sidssudi.eth, 6, FALSE),0)</f>
        <v>1</v>
      </c>
      <c r="Y11" s="289">
        <f>IFERROR(VLOOKUP($W$5&amp;Y$7&amp;$U11&amp;$U10&amp;$V$6, vw.sidssudi.eth, 6, FALSE),0)</f>
        <v>2</v>
      </c>
      <c r="AA11" s="289">
        <f>IFERROR(VLOOKUP($W$5&amp;AA$7&amp;$U11&amp;$U10&amp;$AA$6, vw.sidssudi.eth, 6, FALSE),0)</f>
        <v>13</v>
      </c>
      <c r="AB11" s="289">
        <f>IFERROR(VLOOKUP($W$5&amp;AB$7&amp;$U11&amp;$U10&amp;$AA$6, vw.sidssudi.eth, 6, FALSE),0)</f>
        <v>4</v>
      </c>
      <c r="AC11" s="289">
        <f>IFERROR(VLOOKUP($W$5&amp;AC$7&amp;$U11&amp;$U10&amp;$AA$6, vw.sidssudi.eth, 6, FALSE),0)</f>
        <v>1</v>
      </c>
      <c r="AD11" s="289">
        <f>IFERROR(VLOOKUP($W$5&amp;AD$7&amp;$U11&amp;$U10&amp;$AA$6, vw.sidssudi.eth, 6, FALSE),0)</f>
        <v>4</v>
      </c>
    </row>
    <row r="12" spans="1:64">
      <c r="A12" s="49" t="s">
        <v>71</v>
      </c>
      <c r="B12" s="388">
        <f>V12</f>
        <v>6</v>
      </c>
      <c r="C12" s="388">
        <f t="shared" si="2"/>
        <v>2</v>
      </c>
      <c r="D12" s="388">
        <f t="shared" si="2"/>
        <v>0</v>
      </c>
      <c r="E12" s="388">
        <f t="shared" si="2"/>
        <v>2</v>
      </c>
      <c r="F12" s="389">
        <f>SUM(B12:E12)</f>
        <v>10</v>
      </c>
      <c r="G12" s="388">
        <f>AA12</f>
        <v>14</v>
      </c>
      <c r="H12" s="388">
        <f t="shared" si="3"/>
        <v>2</v>
      </c>
      <c r="I12" s="388">
        <f t="shared" si="3"/>
        <v>0</v>
      </c>
      <c r="J12" s="388">
        <f t="shared" si="3"/>
        <v>4</v>
      </c>
      <c r="K12" s="390">
        <f>SUM(G12:J12)</f>
        <v>20</v>
      </c>
      <c r="L12" s="167"/>
      <c r="U12" s="289" t="s">
        <v>71</v>
      </c>
      <c r="V12" s="289">
        <f>IFERROR(VLOOKUP($W$5&amp;V$7&amp;$U12&amp;$U10&amp;$V$6, vw.sidssudi.eth, 6, FALSE),0)</f>
        <v>6</v>
      </c>
      <c r="W12" s="289">
        <f>IFERROR(VLOOKUP($W$5&amp;W$7&amp;$U12&amp;$U10&amp;$V$6, vw.sidssudi.eth, 6, FALSE),0)</f>
        <v>2</v>
      </c>
      <c r="X12" s="289">
        <f>IFERROR(VLOOKUP($W$5&amp;X$7&amp;$U12&amp;$U10&amp;$V$6, vw.sidssudi.eth, 6, FALSE),0)</f>
        <v>0</v>
      </c>
      <c r="Y12" s="289">
        <f>IFERROR(VLOOKUP($W$5&amp;Y$7&amp;$U12&amp;$U10&amp;$V$6, vw.sidssudi.eth, 6, FALSE),0)</f>
        <v>2</v>
      </c>
      <c r="AA12" s="289">
        <f>IFERROR(VLOOKUP($W$5&amp;AA$7&amp;$U12&amp;$U10&amp;$AA$6, vw.sidssudi.eth, 6, FALSE),0)</f>
        <v>14</v>
      </c>
      <c r="AB12" s="289">
        <f>IFERROR(VLOOKUP($W$5&amp;AB$7&amp;$U12&amp;$U10&amp;$AA$6, vw.sidssudi.eth, 6, FALSE),0)</f>
        <v>2</v>
      </c>
      <c r="AC12" s="289">
        <f>IFERROR(VLOOKUP($W$5&amp;AC$7&amp;$U12&amp;$U10&amp;$AA$6, vw.sidssudi.eth, 6, FALSE),0)</f>
        <v>0</v>
      </c>
      <c r="AD12" s="289">
        <f>IFERROR(VLOOKUP($W$5&amp;AD$7&amp;$U12&amp;$U10&amp;$AA$6, vw.sidssudi.eth, 6, FALSE),0)</f>
        <v>4</v>
      </c>
    </row>
    <row r="13" spans="1:64">
      <c r="A13" s="80" t="s">
        <v>152</v>
      </c>
      <c r="B13" s="81"/>
      <c r="C13" s="81"/>
      <c r="D13" s="81"/>
      <c r="E13" s="81"/>
      <c r="F13" s="328"/>
      <c r="G13" s="328"/>
      <c r="H13" s="81"/>
      <c r="I13" s="81"/>
      <c r="J13" s="81"/>
      <c r="K13" s="391"/>
      <c r="L13" s="167"/>
      <c r="U13" s="289" t="s">
        <v>462</v>
      </c>
    </row>
    <row r="14" spans="1:64">
      <c r="A14" s="442" t="s">
        <v>339</v>
      </c>
      <c r="B14" s="388">
        <f>V14</f>
        <v>2</v>
      </c>
      <c r="C14" s="388">
        <f t="shared" ref="C14:E20" si="4">W14</f>
        <v>1</v>
      </c>
      <c r="D14" s="388">
        <f t="shared" si="4"/>
        <v>0</v>
      </c>
      <c r="E14" s="388">
        <f t="shared" si="4"/>
        <v>0</v>
      </c>
      <c r="F14" s="389">
        <f t="shared" ref="F14:F20" si="5">SUM(B14:E14)</f>
        <v>3</v>
      </c>
      <c r="G14" s="388">
        <f>AA14</f>
        <v>4</v>
      </c>
      <c r="H14" s="388">
        <f t="shared" ref="H14:J20" si="6">AB14</f>
        <v>2</v>
      </c>
      <c r="I14" s="388">
        <f t="shared" si="6"/>
        <v>0</v>
      </c>
      <c r="J14" s="388">
        <f t="shared" si="6"/>
        <v>0</v>
      </c>
      <c r="K14" s="390">
        <f t="shared" ref="K14:K20" si="7">SUM(G14:J14)</f>
        <v>6</v>
      </c>
      <c r="L14" s="310"/>
      <c r="M14" s="476"/>
      <c r="O14" s="476"/>
      <c r="P14" s="476"/>
      <c r="U14" s="289" t="s">
        <v>339</v>
      </c>
      <c r="V14" s="289">
        <f t="shared" ref="V14:Y20" si="8">IFERROR(VLOOKUP($W$5&amp;V$7&amp;$U14&amp;$U$13&amp;$V$6, vw.sidssudi.eth, 6, FALSE),0)</f>
        <v>2</v>
      </c>
      <c r="W14" s="289">
        <f t="shared" si="8"/>
        <v>1</v>
      </c>
      <c r="X14" s="289">
        <f t="shared" si="8"/>
        <v>0</v>
      </c>
      <c r="Y14" s="289">
        <f t="shared" si="8"/>
        <v>0</v>
      </c>
      <c r="AA14" s="289">
        <f t="shared" ref="AA14:AD20" si="9">IFERROR(VLOOKUP($W$5&amp;AA$7&amp;$U14&amp;$U$13&amp;$AA$6, vw.sidssudi.eth, 6, FALSE),0)</f>
        <v>4</v>
      </c>
      <c r="AB14" s="289">
        <f t="shared" si="9"/>
        <v>2</v>
      </c>
      <c r="AC14" s="289">
        <f t="shared" si="9"/>
        <v>0</v>
      </c>
      <c r="AD14" s="289">
        <f t="shared" si="9"/>
        <v>0</v>
      </c>
    </row>
    <row r="15" spans="1:64">
      <c r="A15" s="49" t="s">
        <v>77</v>
      </c>
      <c r="B15" s="388">
        <f t="shared" ref="B15:B20" si="10">V15</f>
        <v>6</v>
      </c>
      <c r="C15" s="388">
        <f t="shared" si="4"/>
        <v>1</v>
      </c>
      <c r="D15" s="388">
        <f t="shared" si="4"/>
        <v>0</v>
      </c>
      <c r="E15" s="388">
        <f t="shared" si="4"/>
        <v>2</v>
      </c>
      <c r="F15" s="389">
        <f t="shared" si="5"/>
        <v>9</v>
      </c>
      <c r="G15" s="388">
        <f t="shared" ref="G15:G20" si="11">AA15</f>
        <v>8</v>
      </c>
      <c r="H15" s="388">
        <f t="shared" si="6"/>
        <v>2</v>
      </c>
      <c r="I15" s="388">
        <f t="shared" si="6"/>
        <v>0</v>
      </c>
      <c r="J15" s="388">
        <f t="shared" si="6"/>
        <v>3</v>
      </c>
      <c r="K15" s="390">
        <f t="shared" si="7"/>
        <v>13</v>
      </c>
      <c r="L15" s="310"/>
      <c r="M15" s="476"/>
      <c r="O15" s="476"/>
      <c r="P15" s="476"/>
      <c r="U15" s="289" t="s">
        <v>130</v>
      </c>
      <c r="V15" s="289">
        <f t="shared" si="8"/>
        <v>6</v>
      </c>
      <c r="W15" s="289">
        <f t="shared" si="8"/>
        <v>1</v>
      </c>
      <c r="X15" s="289">
        <f t="shared" si="8"/>
        <v>0</v>
      </c>
      <c r="Y15" s="289">
        <f t="shared" si="8"/>
        <v>2</v>
      </c>
      <c r="AA15" s="289">
        <f t="shared" si="9"/>
        <v>8</v>
      </c>
      <c r="AB15" s="289">
        <f t="shared" si="9"/>
        <v>2</v>
      </c>
      <c r="AC15" s="289">
        <f t="shared" si="9"/>
        <v>0</v>
      </c>
      <c r="AD15" s="289">
        <f t="shared" si="9"/>
        <v>3</v>
      </c>
    </row>
    <row r="16" spans="1:64">
      <c r="A16" s="49" t="s">
        <v>78</v>
      </c>
      <c r="B16" s="388">
        <f t="shared" si="10"/>
        <v>4</v>
      </c>
      <c r="C16" s="388">
        <f t="shared" si="4"/>
        <v>0</v>
      </c>
      <c r="D16" s="388">
        <f t="shared" si="4"/>
        <v>1</v>
      </c>
      <c r="E16" s="388">
        <f t="shared" si="4"/>
        <v>1</v>
      </c>
      <c r="F16" s="389">
        <f t="shared" si="5"/>
        <v>6</v>
      </c>
      <c r="G16" s="388">
        <f t="shared" si="11"/>
        <v>8</v>
      </c>
      <c r="H16" s="388">
        <f t="shared" si="6"/>
        <v>1</v>
      </c>
      <c r="I16" s="388">
        <f t="shared" si="6"/>
        <v>1</v>
      </c>
      <c r="J16" s="388">
        <f t="shared" si="6"/>
        <v>3</v>
      </c>
      <c r="K16" s="390">
        <f t="shared" si="7"/>
        <v>13</v>
      </c>
      <c r="L16" s="310"/>
      <c r="M16" s="476"/>
      <c r="O16" s="476"/>
      <c r="P16" s="476"/>
      <c r="U16" s="289" t="s">
        <v>131</v>
      </c>
      <c r="V16" s="289">
        <f t="shared" si="8"/>
        <v>4</v>
      </c>
      <c r="W16" s="289">
        <f t="shared" si="8"/>
        <v>0</v>
      </c>
      <c r="X16" s="289">
        <f t="shared" si="8"/>
        <v>1</v>
      </c>
      <c r="Y16" s="289">
        <f t="shared" si="8"/>
        <v>1</v>
      </c>
      <c r="AA16" s="289">
        <f t="shared" si="9"/>
        <v>8</v>
      </c>
      <c r="AB16" s="289">
        <f t="shared" si="9"/>
        <v>1</v>
      </c>
      <c r="AC16" s="289">
        <f t="shared" si="9"/>
        <v>1</v>
      </c>
      <c r="AD16" s="289">
        <f t="shared" si="9"/>
        <v>3</v>
      </c>
    </row>
    <row r="17" spans="1:64">
      <c r="A17" s="49" t="s">
        <v>79</v>
      </c>
      <c r="B17" s="388">
        <f t="shared" si="10"/>
        <v>3</v>
      </c>
      <c r="C17" s="388">
        <f t="shared" si="4"/>
        <v>0</v>
      </c>
      <c r="D17" s="388">
        <f t="shared" si="4"/>
        <v>0</v>
      </c>
      <c r="E17" s="388">
        <f t="shared" si="4"/>
        <v>1</v>
      </c>
      <c r="F17" s="389">
        <f t="shared" si="5"/>
        <v>4</v>
      </c>
      <c r="G17" s="388">
        <f t="shared" si="11"/>
        <v>6</v>
      </c>
      <c r="H17" s="388">
        <f t="shared" si="6"/>
        <v>0</v>
      </c>
      <c r="I17" s="388">
        <f t="shared" si="6"/>
        <v>0</v>
      </c>
      <c r="J17" s="388">
        <f t="shared" si="6"/>
        <v>1</v>
      </c>
      <c r="K17" s="390">
        <f t="shared" si="7"/>
        <v>7</v>
      </c>
      <c r="L17" s="310"/>
      <c r="M17" s="476"/>
      <c r="O17" s="476"/>
      <c r="P17" s="476"/>
      <c r="U17" s="289" t="s">
        <v>132</v>
      </c>
      <c r="V17" s="289">
        <f t="shared" si="8"/>
        <v>3</v>
      </c>
      <c r="W17" s="289">
        <f t="shared" si="8"/>
        <v>0</v>
      </c>
      <c r="X17" s="289">
        <f t="shared" si="8"/>
        <v>0</v>
      </c>
      <c r="Y17" s="289">
        <f t="shared" si="8"/>
        <v>1</v>
      </c>
      <c r="AA17" s="289">
        <f t="shared" si="9"/>
        <v>6</v>
      </c>
      <c r="AB17" s="289">
        <f t="shared" si="9"/>
        <v>0</v>
      </c>
      <c r="AC17" s="289">
        <f t="shared" si="9"/>
        <v>0</v>
      </c>
      <c r="AD17" s="289">
        <f t="shared" si="9"/>
        <v>1</v>
      </c>
    </row>
    <row r="18" spans="1:64">
      <c r="A18" s="49" t="s">
        <v>80</v>
      </c>
      <c r="B18" s="388">
        <f t="shared" si="10"/>
        <v>0</v>
      </c>
      <c r="C18" s="388">
        <f t="shared" si="4"/>
        <v>1</v>
      </c>
      <c r="D18" s="388">
        <f t="shared" si="4"/>
        <v>0</v>
      </c>
      <c r="E18" s="388">
        <f t="shared" si="4"/>
        <v>0</v>
      </c>
      <c r="F18" s="389">
        <f t="shared" si="5"/>
        <v>1</v>
      </c>
      <c r="G18" s="388">
        <f t="shared" si="11"/>
        <v>1</v>
      </c>
      <c r="H18" s="388">
        <f t="shared" si="6"/>
        <v>1</v>
      </c>
      <c r="I18" s="388">
        <f t="shared" si="6"/>
        <v>0</v>
      </c>
      <c r="J18" s="388">
        <f t="shared" si="6"/>
        <v>0</v>
      </c>
      <c r="K18" s="390">
        <f t="shared" si="7"/>
        <v>2</v>
      </c>
      <c r="L18" s="310"/>
      <c r="M18" s="476"/>
      <c r="O18" s="476"/>
      <c r="P18" s="476"/>
      <c r="U18" s="289" t="s">
        <v>133</v>
      </c>
      <c r="V18" s="289">
        <f t="shared" si="8"/>
        <v>0</v>
      </c>
      <c r="W18" s="289">
        <f t="shared" si="8"/>
        <v>1</v>
      </c>
      <c r="X18" s="289">
        <f t="shared" si="8"/>
        <v>0</v>
      </c>
      <c r="Y18" s="289">
        <f t="shared" si="8"/>
        <v>0</v>
      </c>
      <c r="AA18" s="289">
        <f t="shared" si="9"/>
        <v>1</v>
      </c>
      <c r="AB18" s="289">
        <f t="shared" si="9"/>
        <v>1</v>
      </c>
      <c r="AC18" s="289">
        <f t="shared" si="9"/>
        <v>0</v>
      </c>
      <c r="AD18" s="289">
        <f t="shared" si="9"/>
        <v>0</v>
      </c>
    </row>
    <row r="19" spans="1:64">
      <c r="A19" s="49" t="s">
        <v>81</v>
      </c>
      <c r="B19" s="388">
        <f t="shared" si="10"/>
        <v>0</v>
      </c>
      <c r="C19" s="388">
        <f t="shared" si="4"/>
        <v>0</v>
      </c>
      <c r="D19" s="388">
        <f t="shared" si="4"/>
        <v>0</v>
      </c>
      <c r="E19" s="388">
        <f t="shared" si="4"/>
        <v>0</v>
      </c>
      <c r="F19" s="389">
        <f t="shared" si="5"/>
        <v>0</v>
      </c>
      <c r="G19" s="388">
        <f t="shared" si="11"/>
        <v>0</v>
      </c>
      <c r="H19" s="388">
        <f t="shared" si="6"/>
        <v>0</v>
      </c>
      <c r="I19" s="388">
        <f t="shared" si="6"/>
        <v>0</v>
      </c>
      <c r="J19" s="388">
        <f t="shared" si="6"/>
        <v>1</v>
      </c>
      <c r="K19" s="390">
        <f t="shared" si="7"/>
        <v>1</v>
      </c>
      <c r="L19" s="310"/>
      <c r="O19" s="476"/>
      <c r="U19" s="289" t="s">
        <v>134</v>
      </c>
      <c r="V19" s="289">
        <f t="shared" si="8"/>
        <v>0</v>
      </c>
      <c r="W19" s="289">
        <f t="shared" si="8"/>
        <v>0</v>
      </c>
      <c r="X19" s="289">
        <f t="shared" si="8"/>
        <v>0</v>
      </c>
      <c r="Y19" s="289">
        <f t="shared" si="8"/>
        <v>0</v>
      </c>
      <c r="AA19" s="289">
        <f t="shared" si="9"/>
        <v>0</v>
      </c>
      <c r="AB19" s="289">
        <f t="shared" si="9"/>
        <v>0</v>
      </c>
      <c r="AC19" s="289">
        <f t="shared" si="9"/>
        <v>0</v>
      </c>
      <c r="AD19" s="289">
        <f t="shared" si="9"/>
        <v>1</v>
      </c>
    </row>
    <row r="20" spans="1:64">
      <c r="A20" s="49" t="s">
        <v>63</v>
      </c>
      <c r="B20" s="388">
        <f t="shared" si="10"/>
        <v>0</v>
      </c>
      <c r="C20" s="388">
        <f t="shared" si="4"/>
        <v>0</v>
      </c>
      <c r="D20" s="388">
        <f t="shared" si="4"/>
        <v>0</v>
      </c>
      <c r="E20" s="388">
        <f t="shared" si="4"/>
        <v>0</v>
      </c>
      <c r="F20" s="389">
        <f t="shared" si="5"/>
        <v>0</v>
      </c>
      <c r="G20" s="388">
        <f t="shared" si="11"/>
        <v>0</v>
      </c>
      <c r="H20" s="388">
        <f t="shared" si="6"/>
        <v>0</v>
      </c>
      <c r="I20" s="388">
        <f t="shared" si="6"/>
        <v>0</v>
      </c>
      <c r="J20" s="388">
        <f t="shared" si="6"/>
        <v>0</v>
      </c>
      <c r="K20" s="390">
        <f t="shared" si="7"/>
        <v>0</v>
      </c>
      <c r="L20" s="310"/>
      <c r="M20" s="476"/>
      <c r="O20" s="476"/>
      <c r="U20" s="289" t="s">
        <v>63</v>
      </c>
      <c r="V20" s="289">
        <f t="shared" si="8"/>
        <v>0</v>
      </c>
      <c r="W20" s="289">
        <f t="shared" si="8"/>
        <v>0</v>
      </c>
      <c r="X20" s="289">
        <f t="shared" si="8"/>
        <v>0</v>
      </c>
      <c r="Y20" s="289">
        <f t="shared" si="8"/>
        <v>0</v>
      </c>
      <c r="AA20" s="289">
        <f t="shared" si="9"/>
        <v>0</v>
      </c>
      <c r="AB20" s="289">
        <f t="shared" si="9"/>
        <v>0</v>
      </c>
      <c r="AC20" s="289">
        <f t="shared" si="9"/>
        <v>0</v>
      </c>
      <c r="AD20" s="289">
        <f t="shared" si="9"/>
        <v>0</v>
      </c>
    </row>
    <row r="21" spans="1:64">
      <c r="A21" s="80" t="s">
        <v>82</v>
      </c>
      <c r="B21" s="81"/>
      <c r="C21" s="81"/>
      <c r="D21" s="81"/>
      <c r="E21" s="81"/>
      <c r="F21" s="328"/>
      <c r="G21" s="328"/>
      <c r="H21" s="81"/>
      <c r="I21" s="81"/>
      <c r="J21" s="81"/>
      <c r="K21" s="391"/>
      <c r="L21" s="167"/>
      <c r="U21" s="289" t="s">
        <v>463</v>
      </c>
    </row>
    <row r="22" spans="1:64">
      <c r="A22" s="49" t="s">
        <v>83</v>
      </c>
      <c r="B22" s="388">
        <f>V22</f>
        <v>0</v>
      </c>
      <c r="C22" s="388">
        <f t="shared" ref="C22:E27" si="12">W22</f>
        <v>0</v>
      </c>
      <c r="D22" s="388">
        <f t="shared" si="12"/>
        <v>0</v>
      </c>
      <c r="E22" s="388">
        <f t="shared" si="12"/>
        <v>0</v>
      </c>
      <c r="F22" s="389">
        <f t="shared" ref="F22:F27" si="13">SUM(B22:E22)</f>
        <v>0</v>
      </c>
      <c r="G22" s="388">
        <f>AA22</f>
        <v>1</v>
      </c>
      <c r="H22" s="388">
        <f t="shared" ref="H22:J27" si="14">AB22</f>
        <v>0</v>
      </c>
      <c r="I22" s="388">
        <f t="shared" si="14"/>
        <v>0</v>
      </c>
      <c r="J22" s="388">
        <f t="shared" si="14"/>
        <v>0</v>
      </c>
      <c r="K22" s="390">
        <f t="shared" ref="K22:K27" si="15">SUM(G22:J22)</f>
        <v>1</v>
      </c>
      <c r="L22" s="167"/>
      <c r="U22" s="289" t="s">
        <v>421</v>
      </c>
      <c r="V22" s="289">
        <f t="shared" ref="V22:Y27" si="16">IFERROR(VLOOKUP($W$5&amp;V$7&amp;$U22&amp;$U$21&amp;$V$6, vw.sidssudi.eth, 6, FALSE),0)</f>
        <v>0</v>
      </c>
      <c r="W22" s="289">
        <f t="shared" si="16"/>
        <v>0</v>
      </c>
      <c r="X22" s="289">
        <f t="shared" si="16"/>
        <v>0</v>
      </c>
      <c r="Y22" s="289">
        <f t="shared" si="16"/>
        <v>0</v>
      </c>
      <c r="AA22" s="289">
        <f t="shared" ref="AA22:AD27" si="17">IFERROR(VLOOKUP($W$5&amp;AA$7&amp;$U22&amp;$U$21&amp;$AA$6, vw.sidssudi.eth, 6, FALSE),0)</f>
        <v>1</v>
      </c>
      <c r="AB22" s="289">
        <f t="shared" si="17"/>
        <v>0</v>
      </c>
      <c r="AC22" s="289">
        <f t="shared" si="17"/>
        <v>0</v>
      </c>
      <c r="AD22" s="289">
        <f t="shared" si="17"/>
        <v>0</v>
      </c>
    </row>
    <row r="23" spans="1:64">
      <c r="A23" s="13">
        <v>2</v>
      </c>
      <c r="B23" s="388">
        <f t="shared" ref="B23:B27" si="18">V23</f>
        <v>0</v>
      </c>
      <c r="C23" s="388">
        <f t="shared" si="12"/>
        <v>0</v>
      </c>
      <c r="D23" s="388">
        <f t="shared" si="12"/>
        <v>0</v>
      </c>
      <c r="E23" s="388">
        <f t="shared" si="12"/>
        <v>2</v>
      </c>
      <c r="F23" s="389">
        <f t="shared" si="13"/>
        <v>2</v>
      </c>
      <c r="G23" s="388">
        <f t="shared" ref="G23:G27" si="19">AA23</f>
        <v>1</v>
      </c>
      <c r="H23" s="388">
        <f t="shared" si="14"/>
        <v>0</v>
      </c>
      <c r="I23" s="388">
        <f t="shared" si="14"/>
        <v>0</v>
      </c>
      <c r="J23" s="388">
        <f t="shared" si="14"/>
        <v>3</v>
      </c>
      <c r="K23" s="390">
        <f t="shared" si="15"/>
        <v>4</v>
      </c>
      <c r="L23" s="167"/>
      <c r="U23" s="289" t="s">
        <v>422</v>
      </c>
      <c r="V23" s="289">
        <f t="shared" si="16"/>
        <v>0</v>
      </c>
      <c r="W23" s="289">
        <f t="shared" si="16"/>
        <v>0</v>
      </c>
      <c r="X23" s="289">
        <f t="shared" si="16"/>
        <v>0</v>
      </c>
      <c r="Y23" s="289">
        <f t="shared" si="16"/>
        <v>2</v>
      </c>
      <c r="AA23" s="289">
        <f t="shared" si="17"/>
        <v>1</v>
      </c>
      <c r="AB23" s="289">
        <f t="shared" si="17"/>
        <v>0</v>
      </c>
      <c r="AC23" s="289">
        <f t="shared" si="17"/>
        <v>0</v>
      </c>
      <c r="AD23" s="289">
        <f t="shared" si="17"/>
        <v>3</v>
      </c>
    </row>
    <row r="24" spans="1:64">
      <c r="A24" s="13">
        <v>3</v>
      </c>
      <c r="B24" s="388">
        <f t="shared" si="18"/>
        <v>1</v>
      </c>
      <c r="C24" s="388">
        <f t="shared" si="12"/>
        <v>0</v>
      </c>
      <c r="D24" s="388">
        <f t="shared" si="12"/>
        <v>0</v>
      </c>
      <c r="E24" s="388">
        <f t="shared" si="12"/>
        <v>1</v>
      </c>
      <c r="F24" s="389">
        <f t="shared" si="13"/>
        <v>2</v>
      </c>
      <c r="G24" s="388">
        <f t="shared" si="19"/>
        <v>2</v>
      </c>
      <c r="H24" s="388">
        <f t="shared" si="14"/>
        <v>0</v>
      </c>
      <c r="I24" s="388">
        <f t="shared" si="14"/>
        <v>0</v>
      </c>
      <c r="J24" s="388">
        <f t="shared" si="14"/>
        <v>3</v>
      </c>
      <c r="K24" s="390">
        <f t="shared" si="15"/>
        <v>5</v>
      </c>
      <c r="L24" s="167"/>
      <c r="U24" s="289" t="s">
        <v>423</v>
      </c>
      <c r="V24" s="289">
        <f t="shared" si="16"/>
        <v>1</v>
      </c>
      <c r="W24" s="289">
        <f t="shared" si="16"/>
        <v>0</v>
      </c>
      <c r="X24" s="289">
        <f t="shared" si="16"/>
        <v>0</v>
      </c>
      <c r="Y24" s="289">
        <f t="shared" si="16"/>
        <v>1</v>
      </c>
      <c r="AA24" s="289">
        <f t="shared" si="17"/>
        <v>2</v>
      </c>
      <c r="AB24" s="289">
        <f t="shared" si="17"/>
        <v>0</v>
      </c>
      <c r="AC24" s="289">
        <f t="shared" si="17"/>
        <v>0</v>
      </c>
      <c r="AD24" s="289">
        <f t="shared" si="17"/>
        <v>3</v>
      </c>
    </row>
    <row r="25" spans="1:64">
      <c r="A25" s="13">
        <v>4</v>
      </c>
      <c r="B25" s="388">
        <f t="shared" si="18"/>
        <v>5</v>
      </c>
      <c r="C25" s="388">
        <f t="shared" si="12"/>
        <v>0</v>
      </c>
      <c r="D25" s="388">
        <f t="shared" si="12"/>
        <v>0</v>
      </c>
      <c r="E25" s="388">
        <f t="shared" si="12"/>
        <v>1</v>
      </c>
      <c r="F25" s="389">
        <f t="shared" si="13"/>
        <v>6</v>
      </c>
      <c r="G25" s="388">
        <f t="shared" si="19"/>
        <v>7</v>
      </c>
      <c r="H25" s="388">
        <f t="shared" si="14"/>
        <v>2</v>
      </c>
      <c r="I25" s="388">
        <f t="shared" si="14"/>
        <v>0</v>
      </c>
      <c r="J25" s="388">
        <f t="shared" si="14"/>
        <v>2</v>
      </c>
      <c r="K25" s="390">
        <f t="shared" si="15"/>
        <v>11</v>
      </c>
      <c r="L25" s="167"/>
      <c r="U25" s="289" t="s">
        <v>424</v>
      </c>
      <c r="V25" s="289">
        <f t="shared" si="16"/>
        <v>5</v>
      </c>
      <c r="W25" s="289">
        <f t="shared" si="16"/>
        <v>0</v>
      </c>
      <c r="X25" s="289">
        <f t="shared" si="16"/>
        <v>0</v>
      </c>
      <c r="Y25" s="289">
        <f t="shared" si="16"/>
        <v>1</v>
      </c>
      <c r="AA25" s="289">
        <f t="shared" si="17"/>
        <v>7</v>
      </c>
      <c r="AB25" s="289">
        <f t="shared" si="17"/>
        <v>2</v>
      </c>
      <c r="AC25" s="289">
        <f t="shared" si="17"/>
        <v>0</v>
      </c>
      <c r="AD25" s="289">
        <f t="shared" si="17"/>
        <v>2</v>
      </c>
    </row>
    <row r="26" spans="1:64">
      <c r="A26" s="49" t="s">
        <v>84</v>
      </c>
      <c r="B26" s="388">
        <f t="shared" si="18"/>
        <v>9</v>
      </c>
      <c r="C26" s="388">
        <f t="shared" si="12"/>
        <v>3</v>
      </c>
      <c r="D26" s="388">
        <f t="shared" si="12"/>
        <v>1</v>
      </c>
      <c r="E26" s="388">
        <f t="shared" si="12"/>
        <v>0</v>
      </c>
      <c r="F26" s="389">
        <f t="shared" si="13"/>
        <v>13</v>
      </c>
      <c r="G26" s="388">
        <f t="shared" si="19"/>
        <v>16</v>
      </c>
      <c r="H26" s="388">
        <f t="shared" si="14"/>
        <v>4</v>
      </c>
      <c r="I26" s="388">
        <f t="shared" si="14"/>
        <v>1</v>
      </c>
      <c r="J26" s="388">
        <f t="shared" si="14"/>
        <v>0</v>
      </c>
      <c r="K26" s="390">
        <f t="shared" si="15"/>
        <v>21</v>
      </c>
      <c r="L26" s="167"/>
      <c r="U26" s="289" t="s">
        <v>425</v>
      </c>
      <c r="V26" s="289">
        <f t="shared" si="16"/>
        <v>9</v>
      </c>
      <c r="W26" s="289">
        <f t="shared" si="16"/>
        <v>3</v>
      </c>
      <c r="X26" s="289">
        <f t="shared" si="16"/>
        <v>1</v>
      </c>
      <c r="Y26" s="289">
        <f t="shared" si="16"/>
        <v>0</v>
      </c>
      <c r="AA26" s="289">
        <f t="shared" si="17"/>
        <v>16</v>
      </c>
      <c r="AB26" s="289">
        <f t="shared" si="17"/>
        <v>4</v>
      </c>
      <c r="AC26" s="289">
        <f t="shared" si="17"/>
        <v>1</v>
      </c>
      <c r="AD26" s="289">
        <f t="shared" si="17"/>
        <v>0</v>
      </c>
    </row>
    <row r="27" spans="1:64">
      <c r="A27" s="49" t="s">
        <v>63</v>
      </c>
      <c r="B27" s="388">
        <f t="shared" si="18"/>
        <v>0</v>
      </c>
      <c r="C27" s="388">
        <f t="shared" si="12"/>
        <v>0</v>
      </c>
      <c r="D27" s="388">
        <f t="shared" si="12"/>
        <v>0</v>
      </c>
      <c r="E27" s="388">
        <f t="shared" si="12"/>
        <v>0</v>
      </c>
      <c r="F27" s="389">
        <f t="shared" si="13"/>
        <v>0</v>
      </c>
      <c r="G27" s="388">
        <f t="shared" si="19"/>
        <v>0</v>
      </c>
      <c r="H27" s="388">
        <f t="shared" si="14"/>
        <v>0</v>
      </c>
      <c r="I27" s="388">
        <f t="shared" si="14"/>
        <v>0</v>
      </c>
      <c r="J27" s="388">
        <f t="shared" si="14"/>
        <v>0</v>
      </c>
      <c r="K27" s="390">
        <f t="shared" si="15"/>
        <v>0</v>
      </c>
      <c r="L27" s="167"/>
      <c r="U27" s="289" t="s">
        <v>426</v>
      </c>
      <c r="V27" s="289">
        <f t="shared" si="16"/>
        <v>0</v>
      </c>
      <c r="W27" s="289">
        <f t="shared" si="16"/>
        <v>0</v>
      </c>
      <c r="X27" s="289">
        <f t="shared" si="16"/>
        <v>0</v>
      </c>
      <c r="Y27" s="289">
        <f t="shared" si="16"/>
        <v>0</v>
      </c>
      <c r="AA27" s="289">
        <f t="shared" si="17"/>
        <v>0</v>
      </c>
      <c r="AB27" s="289">
        <f t="shared" si="17"/>
        <v>0</v>
      </c>
      <c r="AC27" s="289">
        <f t="shared" si="17"/>
        <v>0</v>
      </c>
      <c r="AD27" s="289">
        <f t="shared" si="17"/>
        <v>0</v>
      </c>
    </row>
    <row r="28" spans="1:64">
      <c r="A28" s="80" t="s">
        <v>105</v>
      </c>
      <c r="B28" s="81"/>
      <c r="C28" s="81"/>
      <c r="D28" s="81"/>
      <c r="E28" s="81"/>
      <c r="F28" s="328"/>
      <c r="G28" s="328"/>
      <c r="H28" s="81"/>
      <c r="I28" s="81"/>
      <c r="J28" s="81"/>
      <c r="K28" s="391"/>
      <c r="L28" s="167"/>
      <c r="U28" s="289" t="s">
        <v>135</v>
      </c>
    </row>
    <row r="29" spans="1:64" s="77" customFormat="1">
      <c r="A29" s="404" t="s">
        <v>375</v>
      </c>
      <c r="B29" s="443">
        <f>V29</f>
        <v>0</v>
      </c>
      <c r="C29" s="443">
        <f t="shared" ref="C29:E34" si="20">W29</f>
        <v>0</v>
      </c>
      <c r="D29" s="443">
        <f t="shared" si="20"/>
        <v>0</v>
      </c>
      <c r="E29" s="443">
        <f t="shared" si="20"/>
        <v>0</v>
      </c>
      <c r="F29" s="389">
        <f t="shared" ref="F29:F34" si="21">SUM(B29:E29)</f>
        <v>0</v>
      </c>
      <c r="G29" s="440">
        <f>AA29</f>
        <v>0</v>
      </c>
      <c r="H29" s="440">
        <f t="shared" ref="H29:J34" si="22">AB29</f>
        <v>0</v>
      </c>
      <c r="I29" s="440">
        <f t="shared" si="22"/>
        <v>0</v>
      </c>
      <c r="J29" s="440">
        <f t="shared" si="22"/>
        <v>0</v>
      </c>
      <c r="K29" s="390">
        <f t="shared" ref="K29:K34" si="23">SUM(G29:J29)</f>
        <v>0</v>
      </c>
      <c r="M29" s="243"/>
      <c r="N29" s="243"/>
      <c r="O29" s="243"/>
      <c r="P29" s="243"/>
      <c r="Q29" s="243"/>
      <c r="R29" s="243"/>
      <c r="S29" s="243"/>
      <c r="T29" s="243"/>
      <c r="U29" s="780" t="s">
        <v>375</v>
      </c>
      <c r="V29" s="289">
        <f t="shared" ref="V29:Y34" si="24">IFERROR(VLOOKUP($W$5&amp;V$7&amp;$U29&amp;$U$28&amp;$V$6, vw.sidssudi.eth, 6, FALSE),0)</f>
        <v>0</v>
      </c>
      <c r="W29" s="289">
        <f t="shared" si="24"/>
        <v>0</v>
      </c>
      <c r="X29" s="289">
        <f t="shared" si="24"/>
        <v>0</v>
      </c>
      <c r="Y29" s="289">
        <f t="shared" si="24"/>
        <v>0</v>
      </c>
      <c r="Z29" s="780"/>
      <c r="AA29" s="289">
        <f t="shared" ref="AA29:AD34" si="25">IFERROR(VLOOKUP($W$5&amp;AA$7&amp;$U29&amp;$U$28&amp;$AA$6, vw.sidssudi.eth, 6, FALSE),0)</f>
        <v>0</v>
      </c>
      <c r="AB29" s="289">
        <f t="shared" si="25"/>
        <v>0</v>
      </c>
      <c r="AC29" s="289">
        <f t="shared" si="25"/>
        <v>0</v>
      </c>
      <c r="AD29" s="289">
        <f t="shared" si="25"/>
        <v>0</v>
      </c>
      <c r="AE29" s="780"/>
      <c r="AF29" s="243"/>
      <c r="AG29" s="243"/>
      <c r="AH29" s="243"/>
      <c r="AI29" s="243"/>
      <c r="AJ29" s="243"/>
      <c r="AK29" s="243"/>
      <c r="AL29" s="243"/>
      <c r="AM29" s="243"/>
      <c r="AN29" s="243"/>
      <c r="AO29" s="243"/>
      <c r="AP29" s="243"/>
      <c r="AQ29" s="243"/>
      <c r="AR29" s="243"/>
      <c r="AS29" s="243"/>
      <c r="AT29" s="243"/>
      <c r="AU29" s="243"/>
      <c r="AV29" s="243"/>
      <c r="AW29" s="243"/>
      <c r="AX29" s="243"/>
      <c r="AY29" s="243"/>
      <c r="AZ29" s="243"/>
      <c r="BA29" s="243"/>
      <c r="BB29" s="243"/>
      <c r="BC29" s="243"/>
      <c r="BD29" s="243"/>
      <c r="BE29" s="243"/>
      <c r="BF29" s="243"/>
      <c r="BG29" s="243"/>
      <c r="BH29" s="243"/>
      <c r="BI29" s="243"/>
      <c r="BJ29" s="243"/>
      <c r="BK29" s="243"/>
      <c r="BL29" s="243"/>
    </row>
    <row r="30" spans="1:64" s="77" customFormat="1">
      <c r="A30" s="404" t="s">
        <v>376</v>
      </c>
      <c r="B30" s="443">
        <f t="shared" ref="B30:B34" si="26">V30</f>
        <v>0</v>
      </c>
      <c r="C30" s="443">
        <f t="shared" si="20"/>
        <v>1</v>
      </c>
      <c r="D30" s="443">
        <f t="shared" si="20"/>
        <v>0</v>
      </c>
      <c r="E30" s="443">
        <f t="shared" si="20"/>
        <v>0</v>
      </c>
      <c r="F30" s="389">
        <f t="shared" si="21"/>
        <v>1</v>
      </c>
      <c r="G30" s="440">
        <f t="shared" ref="G30:G34" si="27">AA30</f>
        <v>0</v>
      </c>
      <c r="H30" s="440">
        <f t="shared" si="22"/>
        <v>1</v>
      </c>
      <c r="I30" s="440">
        <f t="shared" si="22"/>
        <v>0</v>
      </c>
      <c r="J30" s="440">
        <f t="shared" si="22"/>
        <v>0</v>
      </c>
      <c r="K30" s="390">
        <f t="shared" si="23"/>
        <v>1</v>
      </c>
      <c r="M30" s="243"/>
      <c r="N30" s="243"/>
      <c r="O30" s="243"/>
      <c r="P30" s="243"/>
      <c r="Q30" s="243"/>
      <c r="R30" s="243"/>
      <c r="S30" s="243"/>
      <c r="T30" s="243"/>
      <c r="U30" s="780" t="s">
        <v>395</v>
      </c>
      <c r="V30" s="289">
        <f t="shared" si="24"/>
        <v>0</v>
      </c>
      <c r="W30" s="289">
        <f t="shared" si="24"/>
        <v>1</v>
      </c>
      <c r="X30" s="289">
        <f t="shared" si="24"/>
        <v>0</v>
      </c>
      <c r="Y30" s="289">
        <f t="shared" si="24"/>
        <v>0</v>
      </c>
      <c r="Z30" s="780"/>
      <c r="AA30" s="289">
        <f t="shared" si="25"/>
        <v>0</v>
      </c>
      <c r="AB30" s="289">
        <f t="shared" si="25"/>
        <v>1</v>
      </c>
      <c r="AC30" s="289">
        <f t="shared" si="25"/>
        <v>0</v>
      </c>
      <c r="AD30" s="289">
        <f t="shared" si="25"/>
        <v>0</v>
      </c>
      <c r="AE30" s="780"/>
      <c r="AF30" s="243"/>
      <c r="AG30" s="243"/>
      <c r="AH30" s="243"/>
      <c r="AI30" s="243"/>
      <c r="AJ30" s="243"/>
      <c r="AK30" s="243"/>
      <c r="AL30" s="243"/>
      <c r="AM30" s="243"/>
      <c r="AN30" s="243"/>
      <c r="AO30" s="243"/>
      <c r="AP30" s="243"/>
      <c r="AQ30" s="243"/>
      <c r="AR30" s="243"/>
      <c r="AS30" s="243"/>
      <c r="AT30" s="243"/>
      <c r="AU30" s="243"/>
      <c r="AV30" s="243"/>
      <c r="AW30" s="243"/>
      <c r="AX30" s="243"/>
      <c r="AY30" s="243"/>
      <c r="AZ30" s="243"/>
      <c r="BA30" s="243"/>
      <c r="BB30" s="243"/>
      <c r="BC30" s="243"/>
      <c r="BD30" s="243"/>
      <c r="BE30" s="243"/>
      <c r="BF30" s="243"/>
      <c r="BG30" s="243"/>
      <c r="BH30" s="243"/>
      <c r="BI30" s="243"/>
      <c r="BJ30" s="243"/>
      <c r="BK30" s="243"/>
      <c r="BL30" s="243"/>
    </row>
    <row r="31" spans="1:64" s="77" customFormat="1">
      <c r="A31" s="82" t="s">
        <v>64</v>
      </c>
      <c r="B31" s="443">
        <f t="shared" si="26"/>
        <v>2</v>
      </c>
      <c r="C31" s="443">
        <f t="shared" si="20"/>
        <v>0</v>
      </c>
      <c r="D31" s="443">
        <f t="shared" si="20"/>
        <v>0</v>
      </c>
      <c r="E31" s="443">
        <f t="shared" si="20"/>
        <v>1</v>
      </c>
      <c r="F31" s="389">
        <f t="shared" si="21"/>
        <v>3</v>
      </c>
      <c r="G31" s="440">
        <f t="shared" si="27"/>
        <v>4</v>
      </c>
      <c r="H31" s="440">
        <f t="shared" si="22"/>
        <v>2</v>
      </c>
      <c r="I31" s="440">
        <f t="shared" si="22"/>
        <v>0</v>
      </c>
      <c r="J31" s="440">
        <f t="shared" si="22"/>
        <v>1</v>
      </c>
      <c r="K31" s="390">
        <f t="shared" si="23"/>
        <v>7</v>
      </c>
      <c r="M31" s="243"/>
      <c r="N31" s="243"/>
      <c r="O31" s="243"/>
      <c r="P31" s="243"/>
      <c r="Q31" s="243"/>
      <c r="R31" s="243"/>
      <c r="S31" s="243"/>
      <c r="T31" s="243"/>
      <c r="U31" s="780" t="s">
        <v>136</v>
      </c>
      <c r="V31" s="289">
        <f t="shared" si="24"/>
        <v>2</v>
      </c>
      <c r="W31" s="289">
        <f t="shared" si="24"/>
        <v>0</v>
      </c>
      <c r="X31" s="289">
        <f t="shared" si="24"/>
        <v>0</v>
      </c>
      <c r="Y31" s="289">
        <f t="shared" si="24"/>
        <v>1</v>
      </c>
      <c r="Z31" s="780"/>
      <c r="AA31" s="289">
        <f t="shared" si="25"/>
        <v>4</v>
      </c>
      <c r="AB31" s="289">
        <f t="shared" si="25"/>
        <v>2</v>
      </c>
      <c r="AC31" s="289">
        <f t="shared" si="25"/>
        <v>0</v>
      </c>
      <c r="AD31" s="289">
        <f t="shared" si="25"/>
        <v>1</v>
      </c>
      <c r="AE31" s="780"/>
      <c r="AF31" s="243"/>
      <c r="AG31" s="243"/>
      <c r="AH31" s="243"/>
      <c r="AI31" s="243"/>
      <c r="AJ31" s="243"/>
      <c r="AK31" s="243"/>
      <c r="AL31" s="243"/>
      <c r="AM31" s="243"/>
      <c r="AN31" s="243"/>
      <c r="AO31" s="243"/>
      <c r="AP31" s="243"/>
      <c r="AQ31" s="243"/>
      <c r="AR31" s="243"/>
      <c r="AS31" s="243"/>
      <c r="AT31" s="243"/>
      <c r="AU31" s="243"/>
      <c r="AV31" s="243"/>
      <c r="AW31" s="243"/>
      <c r="AX31" s="243"/>
      <c r="AY31" s="243"/>
      <c r="AZ31" s="243"/>
      <c r="BA31" s="243"/>
      <c r="BB31" s="243"/>
      <c r="BC31" s="243"/>
      <c r="BD31" s="243"/>
      <c r="BE31" s="243"/>
      <c r="BF31" s="243"/>
      <c r="BG31" s="243"/>
      <c r="BH31" s="243"/>
      <c r="BI31" s="243"/>
      <c r="BJ31" s="243"/>
      <c r="BK31" s="243"/>
      <c r="BL31" s="243"/>
    </row>
    <row r="32" spans="1:64" s="77" customFormat="1">
      <c r="A32" s="82" t="s">
        <v>65</v>
      </c>
      <c r="B32" s="443">
        <f t="shared" si="26"/>
        <v>12</v>
      </c>
      <c r="C32" s="443">
        <f t="shared" si="20"/>
        <v>2</v>
      </c>
      <c r="D32" s="443">
        <f t="shared" si="20"/>
        <v>1</v>
      </c>
      <c r="E32" s="443">
        <f t="shared" si="20"/>
        <v>3</v>
      </c>
      <c r="F32" s="389">
        <f t="shared" si="21"/>
        <v>18</v>
      </c>
      <c r="G32" s="440">
        <f t="shared" si="27"/>
        <v>22</v>
      </c>
      <c r="H32" s="440">
        <f t="shared" si="22"/>
        <v>3</v>
      </c>
      <c r="I32" s="440">
        <f t="shared" si="22"/>
        <v>1</v>
      </c>
      <c r="J32" s="440">
        <f t="shared" si="22"/>
        <v>7</v>
      </c>
      <c r="K32" s="390">
        <f t="shared" si="23"/>
        <v>33</v>
      </c>
      <c r="L32" s="310"/>
      <c r="M32" s="476"/>
      <c r="N32" s="476"/>
      <c r="O32" s="476"/>
      <c r="P32" s="476"/>
      <c r="Q32" s="243"/>
      <c r="R32" s="243"/>
      <c r="S32" s="243"/>
      <c r="T32" s="243"/>
      <c r="U32" s="780" t="s">
        <v>137</v>
      </c>
      <c r="V32" s="289">
        <f t="shared" si="24"/>
        <v>12</v>
      </c>
      <c r="W32" s="289">
        <f t="shared" si="24"/>
        <v>2</v>
      </c>
      <c r="X32" s="289">
        <f t="shared" si="24"/>
        <v>1</v>
      </c>
      <c r="Y32" s="289">
        <f t="shared" si="24"/>
        <v>3</v>
      </c>
      <c r="Z32" s="780"/>
      <c r="AA32" s="289">
        <f t="shared" si="25"/>
        <v>22</v>
      </c>
      <c r="AB32" s="289">
        <f t="shared" si="25"/>
        <v>3</v>
      </c>
      <c r="AC32" s="289">
        <f t="shared" si="25"/>
        <v>1</v>
      </c>
      <c r="AD32" s="289">
        <f t="shared" si="25"/>
        <v>7</v>
      </c>
      <c r="AE32" s="780"/>
      <c r="AF32" s="243"/>
      <c r="AG32" s="243"/>
      <c r="AH32" s="243"/>
      <c r="AI32" s="243"/>
      <c r="AJ32" s="243"/>
      <c r="AK32" s="243"/>
      <c r="AL32" s="243"/>
      <c r="AM32" s="243"/>
      <c r="AN32" s="243"/>
      <c r="AO32" s="243"/>
      <c r="AP32" s="243"/>
      <c r="AQ32" s="243"/>
      <c r="AR32" s="243"/>
      <c r="AS32" s="243"/>
      <c r="AT32" s="243"/>
      <c r="AU32" s="243"/>
      <c r="AV32" s="243"/>
      <c r="AW32" s="243"/>
      <c r="AX32" s="243"/>
      <c r="AY32" s="243"/>
      <c r="AZ32" s="243"/>
      <c r="BA32" s="243"/>
      <c r="BB32" s="243"/>
      <c r="BC32" s="243"/>
      <c r="BD32" s="243"/>
      <c r="BE32" s="243"/>
      <c r="BF32" s="243"/>
      <c r="BG32" s="243"/>
      <c r="BH32" s="243"/>
      <c r="BI32" s="243"/>
      <c r="BJ32" s="243"/>
      <c r="BK32" s="243"/>
      <c r="BL32" s="243"/>
    </row>
    <row r="33" spans="1:64" s="77" customFormat="1">
      <c r="A33" s="82" t="s">
        <v>66</v>
      </c>
      <c r="B33" s="443">
        <f t="shared" si="26"/>
        <v>0</v>
      </c>
      <c r="C33" s="443">
        <f t="shared" si="20"/>
        <v>0</v>
      </c>
      <c r="D33" s="443">
        <f t="shared" si="20"/>
        <v>0</v>
      </c>
      <c r="E33" s="443">
        <f t="shared" si="20"/>
        <v>0</v>
      </c>
      <c r="F33" s="389">
        <f t="shared" si="21"/>
        <v>0</v>
      </c>
      <c r="G33" s="440">
        <f t="shared" si="27"/>
        <v>0</v>
      </c>
      <c r="H33" s="440">
        <f t="shared" si="22"/>
        <v>0</v>
      </c>
      <c r="I33" s="440">
        <f t="shared" si="22"/>
        <v>0</v>
      </c>
      <c r="J33" s="440">
        <f t="shared" si="22"/>
        <v>0</v>
      </c>
      <c r="K33" s="390">
        <f t="shared" si="23"/>
        <v>0</v>
      </c>
      <c r="M33" s="243"/>
      <c r="N33" s="243"/>
      <c r="O33" s="243"/>
      <c r="P33" s="243"/>
      <c r="Q33" s="243"/>
      <c r="R33" s="243"/>
      <c r="S33" s="243"/>
      <c r="T33" s="243"/>
      <c r="U33" s="780" t="s">
        <v>138</v>
      </c>
      <c r="V33" s="289">
        <f t="shared" si="24"/>
        <v>0</v>
      </c>
      <c r="W33" s="289">
        <f t="shared" si="24"/>
        <v>0</v>
      </c>
      <c r="X33" s="289">
        <f t="shared" si="24"/>
        <v>0</v>
      </c>
      <c r="Y33" s="289">
        <f t="shared" si="24"/>
        <v>0</v>
      </c>
      <c r="Z33" s="780"/>
      <c r="AA33" s="289">
        <f t="shared" si="25"/>
        <v>0</v>
      </c>
      <c r="AB33" s="289">
        <f t="shared" si="25"/>
        <v>0</v>
      </c>
      <c r="AC33" s="289">
        <f t="shared" si="25"/>
        <v>0</v>
      </c>
      <c r="AD33" s="289">
        <f t="shared" si="25"/>
        <v>0</v>
      </c>
      <c r="AE33" s="780"/>
      <c r="AF33" s="243"/>
      <c r="AG33" s="243"/>
      <c r="AH33" s="243"/>
      <c r="AI33" s="243"/>
      <c r="AJ33" s="243"/>
      <c r="AK33" s="243"/>
      <c r="AL33" s="243"/>
      <c r="AM33" s="243"/>
      <c r="AN33" s="243"/>
      <c r="AO33" s="243"/>
      <c r="AP33" s="243"/>
      <c r="AQ33" s="243"/>
      <c r="AR33" s="243"/>
      <c r="AS33" s="243"/>
      <c r="AT33" s="243"/>
      <c r="AU33" s="243"/>
      <c r="AV33" s="243"/>
      <c r="AW33" s="243"/>
      <c r="AX33" s="243"/>
      <c r="AY33" s="243"/>
      <c r="AZ33" s="243"/>
      <c r="BA33" s="243"/>
      <c r="BB33" s="243"/>
      <c r="BC33" s="243"/>
      <c r="BD33" s="243"/>
      <c r="BE33" s="243"/>
      <c r="BF33" s="243"/>
      <c r="BG33" s="243"/>
      <c r="BH33" s="243"/>
      <c r="BI33" s="243"/>
      <c r="BJ33" s="243"/>
      <c r="BK33" s="243"/>
      <c r="BL33" s="243"/>
    </row>
    <row r="34" spans="1:64" s="77" customFormat="1">
      <c r="A34" s="82" t="s">
        <v>63</v>
      </c>
      <c r="B34" s="443">
        <f t="shared" si="26"/>
        <v>1</v>
      </c>
      <c r="C34" s="443">
        <f t="shared" si="20"/>
        <v>0</v>
      </c>
      <c r="D34" s="443">
        <f t="shared" si="20"/>
        <v>0</v>
      </c>
      <c r="E34" s="443">
        <f t="shared" si="20"/>
        <v>0</v>
      </c>
      <c r="F34" s="389">
        <f t="shared" si="21"/>
        <v>1</v>
      </c>
      <c r="G34" s="440">
        <f t="shared" si="27"/>
        <v>1</v>
      </c>
      <c r="H34" s="440">
        <f t="shared" si="22"/>
        <v>0</v>
      </c>
      <c r="I34" s="440">
        <f t="shared" si="22"/>
        <v>0</v>
      </c>
      <c r="J34" s="440">
        <f t="shared" si="22"/>
        <v>0</v>
      </c>
      <c r="K34" s="390">
        <f t="shared" si="23"/>
        <v>1</v>
      </c>
      <c r="M34" s="243"/>
      <c r="N34" s="243"/>
      <c r="O34" s="243"/>
      <c r="P34" s="243"/>
      <c r="Q34" s="243"/>
      <c r="R34" s="243"/>
      <c r="S34" s="243"/>
      <c r="T34" s="243"/>
      <c r="U34" s="780" t="s">
        <v>63</v>
      </c>
      <c r="V34" s="289">
        <f t="shared" si="24"/>
        <v>1</v>
      </c>
      <c r="W34" s="289">
        <f t="shared" si="24"/>
        <v>0</v>
      </c>
      <c r="X34" s="289">
        <f t="shared" si="24"/>
        <v>0</v>
      </c>
      <c r="Y34" s="289">
        <f t="shared" si="24"/>
        <v>0</v>
      </c>
      <c r="Z34" s="780"/>
      <c r="AA34" s="289">
        <f t="shared" si="25"/>
        <v>1</v>
      </c>
      <c r="AB34" s="289">
        <f t="shared" si="25"/>
        <v>0</v>
      </c>
      <c r="AC34" s="289">
        <f t="shared" si="25"/>
        <v>0</v>
      </c>
      <c r="AD34" s="289">
        <f t="shared" si="25"/>
        <v>0</v>
      </c>
      <c r="AE34" s="780"/>
      <c r="AF34" s="243"/>
      <c r="AG34" s="243"/>
      <c r="AH34" s="243"/>
      <c r="AI34" s="243"/>
      <c r="AJ34" s="243"/>
      <c r="AK34" s="243"/>
      <c r="AL34" s="243"/>
      <c r="AM34" s="243"/>
      <c r="AN34" s="243"/>
      <c r="AO34" s="243"/>
      <c r="AP34" s="243"/>
      <c r="AQ34" s="243"/>
      <c r="AR34" s="243"/>
      <c r="AS34" s="243"/>
      <c r="AT34" s="243"/>
      <c r="AU34" s="243"/>
      <c r="AV34" s="243"/>
      <c r="AW34" s="243"/>
      <c r="AX34" s="243"/>
      <c r="AY34" s="243"/>
      <c r="AZ34" s="243"/>
      <c r="BA34" s="243"/>
      <c r="BB34" s="243"/>
      <c r="BC34" s="243"/>
      <c r="BD34" s="243"/>
      <c r="BE34" s="243"/>
      <c r="BF34" s="243"/>
      <c r="BG34" s="243"/>
      <c r="BH34" s="243"/>
      <c r="BI34" s="243"/>
      <c r="BJ34" s="243"/>
      <c r="BK34" s="243"/>
      <c r="BL34" s="243"/>
    </row>
    <row r="35" spans="1:64">
      <c r="A35" s="80" t="s">
        <v>1</v>
      </c>
      <c r="B35" s="81"/>
      <c r="C35" s="81"/>
      <c r="D35" s="81"/>
      <c r="E35" s="81"/>
      <c r="F35" s="328"/>
      <c r="G35" s="328"/>
      <c r="H35" s="81"/>
      <c r="I35" s="81"/>
      <c r="J35" s="81"/>
      <c r="K35" s="391"/>
      <c r="L35" s="167"/>
      <c r="U35" s="289" t="s">
        <v>464</v>
      </c>
    </row>
    <row r="36" spans="1:64" s="77" customFormat="1">
      <c r="A36" s="404" t="s">
        <v>378</v>
      </c>
      <c r="B36" s="443">
        <f>V36</f>
        <v>0</v>
      </c>
      <c r="C36" s="443">
        <f t="shared" ref="C36:E42" si="28">W36</f>
        <v>0</v>
      </c>
      <c r="D36" s="443">
        <f t="shared" si="28"/>
        <v>0</v>
      </c>
      <c r="E36" s="443">
        <f t="shared" si="28"/>
        <v>0</v>
      </c>
      <c r="F36" s="389">
        <f t="shared" ref="F36:F39" si="29">SUM(B36:E36)</f>
        <v>0</v>
      </c>
      <c r="G36" s="445">
        <f>AA36</f>
        <v>0</v>
      </c>
      <c r="H36" s="445">
        <f t="shared" ref="H36:J42" si="30">AB36</f>
        <v>0</v>
      </c>
      <c r="I36" s="445">
        <f t="shared" si="30"/>
        <v>0</v>
      </c>
      <c r="J36" s="445">
        <f t="shared" si="30"/>
        <v>0</v>
      </c>
      <c r="K36" s="390">
        <f t="shared" ref="K36:K37" si="31">SUM(G36:J36)</f>
        <v>0</v>
      </c>
      <c r="M36" s="243"/>
      <c r="N36" s="243"/>
      <c r="O36" s="243"/>
      <c r="P36" s="243"/>
      <c r="Q36" s="243"/>
      <c r="R36" s="243"/>
      <c r="S36" s="243"/>
      <c r="T36" s="243"/>
      <c r="U36" s="780" t="s">
        <v>427</v>
      </c>
      <c r="V36" s="289">
        <f t="shared" ref="V36:Y42" si="32">IFERROR(VLOOKUP($W$5&amp;V$7&amp;$U36&amp;$U$35&amp;$V$6, vw.sidssudi.eth, 6, FALSE),0)</f>
        <v>0</v>
      </c>
      <c r="W36" s="289">
        <f t="shared" si="32"/>
        <v>0</v>
      </c>
      <c r="X36" s="289">
        <f t="shared" si="32"/>
        <v>0</v>
      </c>
      <c r="Y36" s="289">
        <f t="shared" si="32"/>
        <v>0</v>
      </c>
      <c r="Z36" s="780"/>
      <c r="AA36" s="289">
        <f t="shared" ref="AA36:AD42" si="33">IFERROR(VLOOKUP($W$5&amp;AA$7&amp;$U36&amp;$U$35&amp;$AA$6, vw.sidssudi.eth, 6, FALSE),0)</f>
        <v>0</v>
      </c>
      <c r="AB36" s="289">
        <f t="shared" si="33"/>
        <v>0</v>
      </c>
      <c r="AC36" s="289">
        <f t="shared" si="33"/>
        <v>0</v>
      </c>
      <c r="AD36" s="289">
        <f t="shared" si="33"/>
        <v>0</v>
      </c>
      <c r="AE36" s="780"/>
      <c r="AF36" s="243"/>
      <c r="AG36" s="243"/>
      <c r="AH36" s="243"/>
      <c r="AI36" s="243"/>
      <c r="AJ36" s="243"/>
      <c r="AK36" s="243"/>
      <c r="AL36" s="243"/>
      <c r="AM36" s="243"/>
      <c r="AN36" s="243"/>
      <c r="AO36" s="243"/>
      <c r="AP36" s="243"/>
      <c r="AQ36" s="243"/>
      <c r="AR36" s="243"/>
      <c r="AS36" s="243"/>
      <c r="AT36" s="243"/>
      <c r="AU36" s="243"/>
      <c r="AV36" s="243"/>
      <c r="AW36" s="243"/>
      <c r="AX36" s="243"/>
      <c r="AY36" s="243"/>
      <c r="AZ36" s="243"/>
      <c r="BA36" s="243"/>
      <c r="BB36" s="243"/>
      <c r="BC36" s="243"/>
      <c r="BD36" s="243"/>
      <c r="BE36" s="243"/>
      <c r="BF36" s="243"/>
      <c r="BG36" s="243"/>
      <c r="BH36" s="243"/>
      <c r="BI36" s="243"/>
      <c r="BJ36" s="243"/>
      <c r="BK36" s="243"/>
      <c r="BL36" s="243"/>
    </row>
    <row r="37" spans="1:64" s="77" customFormat="1">
      <c r="A37" s="404" t="s">
        <v>386</v>
      </c>
      <c r="B37" s="443">
        <f t="shared" ref="B37:B42" si="34">V37</f>
        <v>0</v>
      </c>
      <c r="C37" s="443">
        <f t="shared" si="28"/>
        <v>0</v>
      </c>
      <c r="D37" s="443">
        <f t="shared" si="28"/>
        <v>0</v>
      </c>
      <c r="E37" s="443">
        <f t="shared" si="28"/>
        <v>0</v>
      </c>
      <c r="F37" s="389">
        <f t="shared" si="29"/>
        <v>0</v>
      </c>
      <c r="G37" s="445">
        <f t="shared" ref="G37:G42" si="35">AA37</f>
        <v>0</v>
      </c>
      <c r="H37" s="445">
        <f t="shared" si="30"/>
        <v>0</v>
      </c>
      <c r="I37" s="445">
        <f t="shared" si="30"/>
        <v>0</v>
      </c>
      <c r="J37" s="445">
        <f t="shared" si="30"/>
        <v>0</v>
      </c>
      <c r="K37" s="390">
        <f t="shared" si="31"/>
        <v>0</v>
      </c>
      <c r="M37" s="243"/>
      <c r="N37" s="243"/>
      <c r="O37" s="243"/>
      <c r="P37" s="243"/>
      <c r="Q37" s="243"/>
      <c r="R37" s="243"/>
      <c r="S37" s="243"/>
      <c r="T37" s="243"/>
      <c r="U37" s="780" t="s">
        <v>428</v>
      </c>
      <c r="V37" s="289">
        <f t="shared" si="32"/>
        <v>0</v>
      </c>
      <c r="W37" s="289">
        <f t="shared" si="32"/>
        <v>0</v>
      </c>
      <c r="X37" s="289">
        <f t="shared" si="32"/>
        <v>0</v>
      </c>
      <c r="Y37" s="289">
        <f t="shared" si="32"/>
        <v>0</v>
      </c>
      <c r="Z37" s="780"/>
      <c r="AA37" s="289">
        <f t="shared" si="33"/>
        <v>0</v>
      </c>
      <c r="AB37" s="289">
        <f t="shared" si="33"/>
        <v>0</v>
      </c>
      <c r="AC37" s="289">
        <f t="shared" si="33"/>
        <v>0</v>
      </c>
      <c r="AD37" s="289">
        <f t="shared" si="33"/>
        <v>0</v>
      </c>
      <c r="AE37" s="780"/>
      <c r="AF37" s="243"/>
      <c r="AG37" s="243"/>
      <c r="AH37" s="243"/>
      <c r="AI37" s="243"/>
      <c r="AJ37" s="243"/>
      <c r="AK37" s="243"/>
      <c r="AL37" s="243"/>
      <c r="AM37" s="243"/>
      <c r="AN37" s="243"/>
      <c r="AO37" s="243"/>
      <c r="AP37" s="243"/>
      <c r="AQ37" s="243"/>
      <c r="AR37" s="243"/>
      <c r="AS37" s="243"/>
      <c r="AT37" s="243"/>
      <c r="AU37" s="243"/>
      <c r="AV37" s="243"/>
      <c r="AW37" s="243"/>
      <c r="AX37" s="243"/>
      <c r="AY37" s="243"/>
      <c r="AZ37" s="243"/>
      <c r="BA37" s="243"/>
      <c r="BB37" s="243"/>
      <c r="BC37" s="243"/>
      <c r="BD37" s="243"/>
      <c r="BE37" s="243"/>
      <c r="BF37" s="243"/>
      <c r="BG37" s="243"/>
      <c r="BH37" s="243"/>
      <c r="BI37" s="243"/>
      <c r="BJ37" s="243"/>
      <c r="BK37" s="243"/>
      <c r="BL37" s="243"/>
    </row>
    <row r="38" spans="1:64" s="77" customFormat="1">
      <c r="A38" s="404" t="s">
        <v>387</v>
      </c>
      <c r="B38" s="443">
        <f t="shared" si="34"/>
        <v>0</v>
      </c>
      <c r="C38" s="443">
        <f t="shared" si="28"/>
        <v>0</v>
      </c>
      <c r="D38" s="443">
        <f t="shared" si="28"/>
        <v>0</v>
      </c>
      <c r="E38" s="443">
        <f t="shared" si="28"/>
        <v>0</v>
      </c>
      <c r="F38" s="389">
        <f t="shared" si="29"/>
        <v>0</v>
      </c>
      <c r="G38" s="445">
        <f t="shared" si="35"/>
        <v>0</v>
      </c>
      <c r="H38" s="445">
        <f t="shared" si="30"/>
        <v>0</v>
      </c>
      <c r="I38" s="445">
        <f t="shared" si="30"/>
        <v>0</v>
      </c>
      <c r="J38" s="445">
        <f t="shared" si="30"/>
        <v>0</v>
      </c>
      <c r="K38" s="390">
        <f>SUM(G38:J38)</f>
        <v>0</v>
      </c>
      <c r="M38" s="243"/>
      <c r="N38" s="243"/>
      <c r="O38" s="243"/>
      <c r="P38" s="243"/>
      <c r="Q38" s="243"/>
      <c r="R38" s="243"/>
      <c r="S38" s="243"/>
      <c r="T38" s="243"/>
      <c r="U38" s="780" t="s">
        <v>429</v>
      </c>
      <c r="V38" s="289">
        <f t="shared" si="32"/>
        <v>0</v>
      </c>
      <c r="W38" s="289">
        <f t="shared" si="32"/>
        <v>0</v>
      </c>
      <c r="X38" s="289">
        <f t="shared" si="32"/>
        <v>0</v>
      </c>
      <c r="Y38" s="289">
        <f t="shared" si="32"/>
        <v>0</v>
      </c>
      <c r="Z38" s="780"/>
      <c r="AA38" s="289">
        <f t="shared" si="33"/>
        <v>0</v>
      </c>
      <c r="AB38" s="289">
        <f t="shared" si="33"/>
        <v>0</v>
      </c>
      <c r="AC38" s="289">
        <f t="shared" si="33"/>
        <v>0</v>
      </c>
      <c r="AD38" s="289">
        <f t="shared" si="33"/>
        <v>0</v>
      </c>
      <c r="AE38" s="780"/>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243"/>
      <c r="BB38" s="243"/>
      <c r="BC38" s="243"/>
      <c r="BD38" s="243"/>
      <c r="BE38" s="243"/>
      <c r="BF38" s="243"/>
      <c r="BG38" s="243"/>
      <c r="BH38" s="243"/>
      <c r="BI38" s="243"/>
      <c r="BJ38" s="243"/>
      <c r="BK38" s="243"/>
      <c r="BL38" s="243"/>
    </row>
    <row r="39" spans="1:64" s="454" customFormat="1">
      <c r="A39" s="563" t="s">
        <v>477</v>
      </c>
      <c r="B39" s="443">
        <f t="shared" si="34"/>
        <v>1</v>
      </c>
      <c r="C39" s="443">
        <f t="shared" si="28"/>
        <v>1</v>
      </c>
      <c r="D39" s="443">
        <f t="shared" si="28"/>
        <v>0</v>
      </c>
      <c r="E39" s="443">
        <f t="shared" si="28"/>
        <v>1</v>
      </c>
      <c r="F39" s="389">
        <f t="shared" si="29"/>
        <v>3</v>
      </c>
      <c r="G39" s="445">
        <f t="shared" si="35"/>
        <v>4</v>
      </c>
      <c r="H39" s="445">
        <f t="shared" si="30"/>
        <v>2</v>
      </c>
      <c r="I39" s="445">
        <f t="shared" si="30"/>
        <v>0</v>
      </c>
      <c r="J39" s="445">
        <f t="shared" si="30"/>
        <v>1</v>
      </c>
      <c r="K39" s="390">
        <f t="shared" ref="K39:K41" si="36">SUM(G39:J39)</f>
        <v>7</v>
      </c>
      <c r="M39" s="243"/>
      <c r="N39" s="243"/>
      <c r="O39" s="243"/>
      <c r="P39" s="243"/>
      <c r="Q39" s="243"/>
      <c r="R39" s="243"/>
      <c r="S39" s="243"/>
      <c r="T39" s="243"/>
      <c r="U39" s="780" t="s">
        <v>430</v>
      </c>
      <c r="V39" s="289">
        <f t="shared" si="32"/>
        <v>1</v>
      </c>
      <c r="W39" s="289">
        <f t="shared" si="32"/>
        <v>1</v>
      </c>
      <c r="X39" s="289">
        <f t="shared" si="32"/>
        <v>0</v>
      </c>
      <c r="Y39" s="289">
        <f t="shared" si="32"/>
        <v>1</v>
      </c>
      <c r="Z39" s="780"/>
      <c r="AA39" s="289">
        <f t="shared" si="33"/>
        <v>4</v>
      </c>
      <c r="AB39" s="289">
        <f t="shared" si="33"/>
        <v>2</v>
      </c>
      <c r="AC39" s="289">
        <f t="shared" si="33"/>
        <v>0</v>
      </c>
      <c r="AD39" s="289">
        <f t="shared" si="33"/>
        <v>1</v>
      </c>
      <c r="AE39" s="780"/>
      <c r="AF39" s="243"/>
      <c r="AG39" s="243"/>
      <c r="AH39" s="243"/>
      <c r="AI39" s="243"/>
      <c r="AJ39" s="243"/>
      <c r="AK39" s="243"/>
      <c r="AL39" s="243"/>
      <c r="AM39" s="243"/>
      <c r="AN39" s="243"/>
      <c r="AO39" s="243"/>
      <c r="AP39" s="243"/>
      <c r="AQ39" s="243"/>
      <c r="AR39" s="243"/>
      <c r="AS39" s="243"/>
      <c r="AT39" s="243"/>
      <c r="AU39" s="243"/>
      <c r="AV39" s="243"/>
      <c r="AW39" s="243"/>
      <c r="AX39" s="243"/>
      <c r="AY39" s="243"/>
      <c r="AZ39" s="243"/>
      <c r="BA39" s="243"/>
      <c r="BB39" s="243"/>
      <c r="BC39" s="243"/>
      <c r="BD39" s="243"/>
      <c r="BE39" s="243"/>
      <c r="BF39" s="243"/>
      <c r="BG39" s="243"/>
      <c r="BH39" s="243"/>
      <c r="BI39" s="243"/>
      <c r="BJ39" s="243"/>
      <c r="BK39" s="243"/>
      <c r="BL39" s="243"/>
    </row>
    <row r="40" spans="1:64" s="77" customFormat="1">
      <c r="A40" s="407" t="s">
        <v>388</v>
      </c>
      <c r="B40" s="443">
        <f t="shared" si="34"/>
        <v>13</v>
      </c>
      <c r="C40" s="443">
        <f t="shared" si="28"/>
        <v>2</v>
      </c>
      <c r="D40" s="443">
        <f t="shared" si="28"/>
        <v>1</v>
      </c>
      <c r="E40" s="443">
        <f t="shared" si="28"/>
        <v>3</v>
      </c>
      <c r="F40" s="389">
        <f t="shared" ref="F40:F42" si="37">SUM(B40:E40)</f>
        <v>19</v>
      </c>
      <c r="G40" s="445">
        <f t="shared" si="35"/>
        <v>22</v>
      </c>
      <c r="H40" s="445">
        <f t="shared" si="30"/>
        <v>4</v>
      </c>
      <c r="I40" s="445">
        <f t="shared" si="30"/>
        <v>1</v>
      </c>
      <c r="J40" s="445">
        <f t="shared" si="30"/>
        <v>7</v>
      </c>
      <c r="K40" s="390">
        <f t="shared" si="36"/>
        <v>34</v>
      </c>
      <c r="M40" s="243"/>
      <c r="N40" s="243"/>
      <c r="O40" s="243"/>
      <c r="P40" s="243"/>
      <c r="Q40" s="243"/>
      <c r="R40" s="243"/>
      <c r="S40" s="243"/>
      <c r="T40" s="243"/>
      <c r="U40" s="780" t="s">
        <v>431</v>
      </c>
      <c r="V40" s="289">
        <f t="shared" si="32"/>
        <v>13</v>
      </c>
      <c r="W40" s="289">
        <f t="shared" si="32"/>
        <v>2</v>
      </c>
      <c r="X40" s="289">
        <f t="shared" si="32"/>
        <v>1</v>
      </c>
      <c r="Y40" s="289">
        <f t="shared" si="32"/>
        <v>3</v>
      </c>
      <c r="Z40" s="780"/>
      <c r="AA40" s="289">
        <f t="shared" si="33"/>
        <v>22</v>
      </c>
      <c r="AB40" s="289">
        <f t="shared" si="33"/>
        <v>4</v>
      </c>
      <c r="AC40" s="289">
        <f t="shared" si="33"/>
        <v>1</v>
      </c>
      <c r="AD40" s="289">
        <f t="shared" si="33"/>
        <v>7</v>
      </c>
      <c r="AE40" s="780"/>
      <c r="AF40" s="243"/>
      <c r="AG40" s="243"/>
      <c r="AH40" s="243"/>
      <c r="AI40" s="243"/>
      <c r="AJ40" s="243"/>
      <c r="AK40" s="243"/>
      <c r="AL40" s="243"/>
      <c r="AM40" s="243"/>
      <c r="AN40" s="243"/>
      <c r="AO40" s="243"/>
      <c r="AP40" s="243"/>
      <c r="AQ40" s="243"/>
      <c r="AR40" s="243"/>
      <c r="AS40" s="243"/>
      <c r="AT40" s="243"/>
      <c r="AU40" s="243"/>
      <c r="AV40" s="243"/>
      <c r="AW40" s="243"/>
      <c r="AX40" s="243"/>
      <c r="AY40" s="243"/>
      <c r="AZ40" s="243"/>
      <c r="BA40" s="243"/>
      <c r="BB40" s="243"/>
      <c r="BC40" s="243"/>
      <c r="BD40" s="243"/>
      <c r="BE40" s="243"/>
      <c r="BF40" s="243"/>
      <c r="BG40" s="243"/>
      <c r="BH40" s="243"/>
      <c r="BI40" s="243"/>
      <c r="BJ40" s="243"/>
      <c r="BK40" s="243"/>
      <c r="BL40" s="243"/>
    </row>
    <row r="41" spans="1:64" s="77" customFormat="1">
      <c r="A41" s="407" t="s">
        <v>383</v>
      </c>
      <c r="B41" s="443">
        <f t="shared" si="34"/>
        <v>0</v>
      </c>
      <c r="C41" s="443">
        <f t="shared" si="28"/>
        <v>0</v>
      </c>
      <c r="D41" s="443">
        <f t="shared" si="28"/>
        <v>0</v>
      </c>
      <c r="E41" s="443">
        <f t="shared" si="28"/>
        <v>0</v>
      </c>
      <c r="F41" s="389">
        <f t="shared" si="37"/>
        <v>0</v>
      </c>
      <c r="G41" s="445">
        <f t="shared" si="35"/>
        <v>0</v>
      </c>
      <c r="H41" s="445">
        <f t="shared" si="30"/>
        <v>0</v>
      </c>
      <c r="I41" s="445">
        <f t="shared" si="30"/>
        <v>0</v>
      </c>
      <c r="J41" s="445">
        <f t="shared" si="30"/>
        <v>0</v>
      </c>
      <c r="K41" s="390">
        <f t="shared" si="36"/>
        <v>0</v>
      </c>
      <c r="M41" s="243"/>
      <c r="N41" s="243"/>
      <c r="O41" s="243"/>
      <c r="P41" s="243"/>
      <c r="Q41" s="243"/>
      <c r="R41" s="243"/>
      <c r="S41" s="243"/>
      <c r="T41" s="243"/>
      <c r="U41" s="780" t="s">
        <v>432</v>
      </c>
      <c r="V41" s="289">
        <f t="shared" si="32"/>
        <v>0</v>
      </c>
      <c r="W41" s="289">
        <f t="shared" si="32"/>
        <v>0</v>
      </c>
      <c r="X41" s="289">
        <f t="shared" si="32"/>
        <v>0</v>
      </c>
      <c r="Y41" s="289">
        <f t="shared" si="32"/>
        <v>0</v>
      </c>
      <c r="Z41" s="780"/>
      <c r="AA41" s="289">
        <f t="shared" si="33"/>
        <v>0</v>
      </c>
      <c r="AB41" s="289">
        <f t="shared" si="33"/>
        <v>0</v>
      </c>
      <c r="AC41" s="289">
        <f t="shared" si="33"/>
        <v>0</v>
      </c>
      <c r="AD41" s="289">
        <f t="shared" si="33"/>
        <v>0</v>
      </c>
      <c r="AE41" s="780"/>
      <c r="AF41" s="243"/>
      <c r="AG41" s="243"/>
      <c r="AH41" s="243"/>
      <c r="AI41" s="243"/>
      <c r="AJ41" s="243"/>
      <c r="AK41" s="243"/>
      <c r="AL41" s="243"/>
      <c r="AM41" s="243"/>
      <c r="AN41" s="243"/>
      <c r="AO41" s="243"/>
      <c r="AP41" s="243"/>
      <c r="AQ41" s="243"/>
      <c r="AR41" s="243"/>
      <c r="AS41" s="243"/>
      <c r="AT41" s="243"/>
      <c r="AU41" s="243"/>
      <c r="AV41" s="243"/>
      <c r="AW41" s="243"/>
      <c r="AX41" s="243"/>
      <c r="AY41" s="243"/>
      <c r="AZ41" s="243"/>
      <c r="BA41" s="243"/>
      <c r="BB41" s="243"/>
      <c r="BC41" s="243"/>
      <c r="BD41" s="243"/>
      <c r="BE41" s="243"/>
      <c r="BF41" s="243"/>
      <c r="BG41" s="243"/>
      <c r="BH41" s="243"/>
      <c r="BI41" s="243"/>
      <c r="BJ41" s="243"/>
      <c r="BK41" s="243"/>
      <c r="BL41" s="243"/>
    </row>
    <row r="42" spans="1:64" s="77" customFormat="1">
      <c r="A42" s="83" t="s">
        <v>63</v>
      </c>
      <c r="B42" s="443">
        <f t="shared" si="34"/>
        <v>1</v>
      </c>
      <c r="C42" s="443">
        <f t="shared" si="28"/>
        <v>0</v>
      </c>
      <c r="D42" s="443">
        <f t="shared" si="28"/>
        <v>0</v>
      </c>
      <c r="E42" s="443">
        <f t="shared" si="28"/>
        <v>0</v>
      </c>
      <c r="F42" s="392">
        <f t="shared" si="37"/>
        <v>1</v>
      </c>
      <c r="G42" s="445">
        <f t="shared" si="35"/>
        <v>1</v>
      </c>
      <c r="H42" s="445">
        <f t="shared" si="30"/>
        <v>0</v>
      </c>
      <c r="I42" s="445">
        <f t="shared" si="30"/>
        <v>0</v>
      </c>
      <c r="J42" s="445">
        <f t="shared" si="30"/>
        <v>0</v>
      </c>
      <c r="K42" s="393">
        <f t="shared" ref="K42" si="38">SUM(G42:J42)</f>
        <v>1</v>
      </c>
      <c r="M42" s="243"/>
      <c r="N42" s="243"/>
      <c r="O42" s="243"/>
      <c r="P42" s="243"/>
      <c r="Q42" s="243"/>
      <c r="R42" s="243"/>
      <c r="S42" s="243"/>
      <c r="T42" s="243"/>
      <c r="U42" s="780" t="s">
        <v>63</v>
      </c>
      <c r="V42" s="289">
        <f t="shared" si="32"/>
        <v>1</v>
      </c>
      <c r="W42" s="289">
        <f t="shared" si="32"/>
        <v>0</v>
      </c>
      <c r="X42" s="289">
        <f t="shared" si="32"/>
        <v>0</v>
      </c>
      <c r="Y42" s="289">
        <f t="shared" si="32"/>
        <v>0</v>
      </c>
      <c r="Z42" s="780"/>
      <c r="AA42" s="289">
        <f t="shared" si="33"/>
        <v>1</v>
      </c>
      <c r="AB42" s="289">
        <f t="shared" si="33"/>
        <v>0</v>
      </c>
      <c r="AC42" s="289">
        <f t="shared" si="33"/>
        <v>0</v>
      </c>
      <c r="AD42" s="289">
        <f t="shared" si="33"/>
        <v>0</v>
      </c>
      <c r="AE42" s="780"/>
      <c r="AF42" s="243"/>
      <c r="AG42" s="243"/>
      <c r="AH42" s="243"/>
      <c r="AI42" s="243"/>
      <c r="AJ42" s="243"/>
      <c r="AK42" s="243"/>
      <c r="AL42" s="243"/>
      <c r="AM42" s="243"/>
      <c r="AN42" s="243"/>
      <c r="AO42" s="243"/>
      <c r="AP42" s="243"/>
      <c r="AQ42" s="243"/>
      <c r="AR42" s="243"/>
      <c r="AS42" s="243"/>
      <c r="AT42" s="243"/>
      <c r="AU42" s="243"/>
      <c r="AV42" s="243"/>
      <c r="AW42" s="243"/>
      <c r="AX42" s="243"/>
      <c r="AY42" s="243"/>
      <c r="AZ42" s="243"/>
      <c r="BA42" s="243"/>
      <c r="BB42" s="243"/>
      <c r="BC42" s="243"/>
      <c r="BD42" s="243"/>
      <c r="BE42" s="243"/>
      <c r="BF42" s="243"/>
      <c r="BG42" s="243"/>
      <c r="BH42" s="243"/>
      <c r="BI42" s="243"/>
      <c r="BJ42" s="243"/>
      <c r="BK42" s="243"/>
      <c r="BL42" s="243"/>
    </row>
    <row r="43" spans="1:64">
      <c r="A43" s="108" t="s">
        <v>322</v>
      </c>
      <c r="B43" s="81"/>
      <c r="C43" s="81"/>
      <c r="D43" s="81"/>
      <c r="E43" s="81"/>
      <c r="F43" s="81"/>
      <c r="G43" s="81"/>
      <c r="H43" s="81"/>
      <c r="I43" s="81"/>
      <c r="J43" s="81"/>
      <c r="K43" s="81"/>
      <c r="L43" s="265"/>
      <c r="U43" s="289" t="s">
        <v>139</v>
      </c>
    </row>
    <row r="44" spans="1:64" s="77" customFormat="1">
      <c r="A44" s="82" t="s">
        <v>85</v>
      </c>
      <c r="B44" s="388">
        <f>V44</f>
        <v>0</v>
      </c>
      <c r="C44" s="388">
        <f t="shared" ref="C44:E59" si="39">W44</f>
        <v>0</v>
      </c>
      <c r="D44" s="388">
        <f t="shared" si="39"/>
        <v>0</v>
      </c>
      <c r="E44" s="388">
        <f t="shared" si="39"/>
        <v>0</v>
      </c>
      <c r="F44" s="389">
        <f t="shared" ref="F44:F64" si="40">SUM(B44:E44)</f>
        <v>0</v>
      </c>
      <c r="G44" s="388">
        <f>AA44</f>
        <v>0</v>
      </c>
      <c r="H44" s="388">
        <f t="shared" ref="H44:J59" si="41">AB44</f>
        <v>0</v>
      </c>
      <c r="I44" s="388">
        <f t="shared" si="41"/>
        <v>0</v>
      </c>
      <c r="J44" s="388">
        <f t="shared" si="41"/>
        <v>1</v>
      </c>
      <c r="K44" s="390">
        <f t="shared" ref="K44:K64" si="42">SUM(G44:J44)</f>
        <v>1</v>
      </c>
      <c r="M44" s="243"/>
      <c r="N44" s="243"/>
      <c r="O44" s="243"/>
      <c r="P44" s="243"/>
      <c r="Q44" s="243"/>
      <c r="R44" s="243"/>
      <c r="S44" s="243"/>
      <c r="T44" s="243"/>
      <c r="U44" s="780" t="s">
        <v>85</v>
      </c>
      <c r="V44" s="289">
        <f t="shared" ref="V44:Y64" si="43">IFERROR(VLOOKUP($W$5&amp;V$7&amp;$U44&amp;$U$43&amp;$V$6, vw.sidssudi.eth, 6, FALSE),0)</f>
        <v>0</v>
      </c>
      <c r="W44" s="289">
        <f t="shared" si="43"/>
        <v>0</v>
      </c>
      <c r="X44" s="289">
        <f t="shared" si="43"/>
        <v>0</v>
      </c>
      <c r="Y44" s="289">
        <f t="shared" si="43"/>
        <v>0</v>
      </c>
      <c r="Z44" s="780"/>
      <c r="AA44" s="289">
        <f t="shared" ref="AA44:AD64" si="44">IFERROR(VLOOKUP($W$5&amp;AA$7&amp;$U44&amp;$U$43&amp;$AA$6, vw.sidssudi.eth, 6, FALSE),0)</f>
        <v>0</v>
      </c>
      <c r="AB44" s="289">
        <f t="shared" si="44"/>
        <v>0</v>
      </c>
      <c r="AC44" s="289">
        <f t="shared" si="44"/>
        <v>0</v>
      </c>
      <c r="AD44" s="289">
        <f t="shared" si="44"/>
        <v>1</v>
      </c>
      <c r="AE44" s="780"/>
      <c r="AF44" s="243"/>
      <c r="AG44" s="243"/>
      <c r="AH44" s="243"/>
      <c r="AI44" s="243"/>
      <c r="AJ44" s="243"/>
      <c r="AK44" s="243"/>
      <c r="AL44" s="243"/>
      <c r="AM44" s="243"/>
      <c r="AN44" s="243"/>
      <c r="AO44" s="243"/>
      <c r="AP44" s="243"/>
      <c r="AQ44" s="243"/>
      <c r="AR44" s="243"/>
      <c r="AS44" s="243"/>
      <c r="AT44" s="243"/>
      <c r="AU44" s="243"/>
      <c r="AV44" s="243"/>
      <c r="AW44" s="243"/>
      <c r="AX44" s="243"/>
      <c r="AY44" s="243"/>
      <c r="AZ44" s="243"/>
      <c r="BA44" s="243"/>
      <c r="BB44" s="243"/>
      <c r="BC44" s="243"/>
      <c r="BD44" s="243"/>
      <c r="BE44" s="243"/>
      <c r="BF44" s="243"/>
      <c r="BG44" s="243"/>
      <c r="BH44" s="243"/>
      <c r="BI44" s="243"/>
      <c r="BJ44" s="243"/>
      <c r="BK44" s="243"/>
      <c r="BL44" s="243"/>
    </row>
    <row r="45" spans="1:64" s="77" customFormat="1">
      <c r="A45" s="82" t="s">
        <v>86</v>
      </c>
      <c r="B45" s="388">
        <f t="shared" ref="B45:B64" si="45">V45</f>
        <v>0</v>
      </c>
      <c r="C45" s="388">
        <f t="shared" si="39"/>
        <v>0</v>
      </c>
      <c r="D45" s="388">
        <f t="shared" si="39"/>
        <v>0</v>
      </c>
      <c r="E45" s="388">
        <f t="shared" si="39"/>
        <v>0</v>
      </c>
      <c r="F45" s="389">
        <f t="shared" si="40"/>
        <v>0</v>
      </c>
      <c r="G45" s="388">
        <f t="shared" ref="G45:G64" si="46">AA45</f>
        <v>1</v>
      </c>
      <c r="H45" s="388">
        <f t="shared" si="41"/>
        <v>1</v>
      </c>
      <c r="I45" s="388">
        <f t="shared" si="41"/>
        <v>0</v>
      </c>
      <c r="J45" s="388">
        <f t="shared" si="41"/>
        <v>1</v>
      </c>
      <c r="K45" s="390">
        <f t="shared" si="42"/>
        <v>3</v>
      </c>
      <c r="M45" s="243"/>
      <c r="N45" s="243"/>
      <c r="O45" s="243"/>
      <c r="P45" s="243"/>
      <c r="Q45" s="243"/>
      <c r="R45" s="243"/>
      <c r="S45" s="243"/>
      <c r="T45" s="243"/>
      <c r="U45" s="780" t="s">
        <v>86</v>
      </c>
      <c r="V45" s="289">
        <f t="shared" si="43"/>
        <v>0</v>
      </c>
      <c r="W45" s="289">
        <f t="shared" si="43"/>
        <v>0</v>
      </c>
      <c r="X45" s="289">
        <f t="shared" si="43"/>
        <v>0</v>
      </c>
      <c r="Y45" s="289">
        <f t="shared" si="43"/>
        <v>0</v>
      </c>
      <c r="Z45" s="780"/>
      <c r="AA45" s="289">
        <f t="shared" si="44"/>
        <v>1</v>
      </c>
      <c r="AB45" s="289">
        <f t="shared" si="44"/>
        <v>1</v>
      </c>
      <c r="AC45" s="289">
        <f t="shared" si="44"/>
        <v>0</v>
      </c>
      <c r="AD45" s="289">
        <f t="shared" si="44"/>
        <v>1</v>
      </c>
      <c r="AE45" s="780"/>
      <c r="AF45" s="243"/>
      <c r="AG45" s="243"/>
      <c r="AH45" s="243"/>
      <c r="AI45" s="243"/>
      <c r="AJ45" s="243"/>
      <c r="AK45" s="243"/>
      <c r="AL45" s="243"/>
      <c r="AM45" s="243"/>
      <c r="AN45" s="243"/>
      <c r="AO45" s="243"/>
      <c r="AP45" s="243"/>
      <c r="AQ45" s="243"/>
      <c r="AR45" s="243"/>
      <c r="AS45" s="243"/>
      <c r="AT45" s="243"/>
      <c r="AU45" s="243"/>
      <c r="AV45" s="243"/>
      <c r="AW45" s="243"/>
      <c r="AX45" s="243"/>
      <c r="AY45" s="243"/>
      <c r="AZ45" s="243"/>
      <c r="BA45" s="243"/>
      <c r="BB45" s="243"/>
      <c r="BC45" s="243"/>
      <c r="BD45" s="243"/>
      <c r="BE45" s="243"/>
      <c r="BF45" s="243"/>
      <c r="BG45" s="243"/>
      <c r="BH45" s="243"/>
      <c r="BI45" s="243"/>
      <c r="BJ45" s="243"/>
      <c r="BK45" s="243"/>
      <c r="BL45" s="243"/>
    </row>
    <row r="46" spans="1:64" s="77" customFormat="1">
      <c r="A46" s="82" t="s">
        <v>87</v>
      </c>
      <c r="B46" s="388">
        <f t="shared" si="45"/>
        <v>0</v>
      </c>
      <c r="C46" s="388">
        <f t="shared" si="39"/>
        <v>0</v>
      </c>
      <c r="D46" s="388">
        <f t="shared" si="39"/>
        <v>0</v>
      </c>
      <c r="E46" s="388">
        <f t="shared" si="39"/>
        <v>0</v>
      </c>
      <c r="F46" s="389">
        <f t="shared" si="40"/>
        <v>0</v>
      </c>
      <c r="G46" s="388">
        <f t="shared" si="46"/>
        <v>2</v>
      </c>
      <c r="H46" s="388">
        <f t="shared" si="41"/>
        <v>0</v>
      </c>
      <c r="I46" s="388">
        <f t="shared" si="41"/>
        <v>0</v>
      </c>
      <c r="J46" s="388">
        <f t="shared" si="41"/>
        <v>0</v>
      </c>
      <c r="K46" s="390">
        <f t="shared" si="42"/>
        <v>2</v>
      </c>
      <c r="M46" s="243"/>
      <c r="N46" s="243"/>
      <c r="O46" s="243"/>
      <c r="P46" s="243"/>
      <c r="Q46" s="243"/>
      <c r="R46" s="243"/>
      <c r="S46" s="243"/>
      <c r="T46" s="243"/>
      <c r="U46" s="780" t="s">
        <v>87</v>
      </c>
      <c r="V46" s="289">
        <f t="shared" si="43"/>
        <v>0</v>
      </c>
      <c r="W46" s="289">
        <f t="shared" si="43"/>
        <v>0</v>
      </c>
      <c r="X46" s="289">
        <f t="shared" si="43"/>
        <v>0</v>
      </c>
      <c r="Y46" s="289">
        <f t="shared" si="43"/>
        <v>0</v>
      </c>
      <c r="Z46" s="780"/>
      <c r="AA46" s="289">
        <f t="shared" si="44"/>
        <v>2</v>
      </c>
      <c r="AB46" s="289">
        <f t="shared" si="44"/>
        <v>0</v>
      </c>
      <c r="AC46" s="289">
        <f t="shared" si="44"/>
        <v>0</v>
      </c>
      <c r="AD46" s="289">
        <f t="shared" si="44"/>
        <v>0</v>
      </c>
      <c r="AE46" s="780"/>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row>
    <row r="47" spans="1:64" s="77" customFormat="1">
      <c r="A47" s="82" t="s">
        <v>88</v>
      </c>
      <c r="B47" s="388">
        <f t="shared" si="45"/>
        <v>1</v>
      </c>
      <c r="C47" s="388">
        <f t="shared" si="39"/>
        <v>2</v>
      </c>
      <c r="D47" s="388">
        <f t="shared" si="39"/>
        <v>1</v>
      </c>
      <c r="E47" s="388">
        <f t="shared" si="39"/>
        <v>0</v>
      </c>
      <c r="F47" s="389">
        <f t="shared" si="40"/>
        <v>4</v>
      </c>
      <c r="G47" s="388">
        <f t="shared" si="46"/>
        <v>5</v>
      </c>
      <c r="H47" s="388">
        <f t="shared" si="41"/>
        <v>3</v>
      </c>
      <c r="I47" s="388">
        <f t="shared" si="41"/>
        <v>1</v>
      </c>
      <c r="J47" s="388">
        <f t="shared" si="41"/>
        <v>1</v>
      </c>
      <c r="K47" s="390">
        <f t="shared" si="42"/>
        <v>10</v>
      </c>
      <c r="M47" s="243"/>
      <c r="N47" s="243"/>
      <c r="O47" s="243"/>
      <c r="P47" s="243"/>
      <c r="Q47" s="243"/>
      <c r="R47" s="243"/>
      <c r="S47" s="243"/>
      <c r="T47" s="243"/>
      <c r="U47" s="780" t="s">
        <v>88</v>
      </c>
      <c r="V47" s="289">
        <f t="shared" si="43"/>
        <v>1</v>
      </c>
      <c r="W47" s="289">
        <f t="shared" si="43"/>
        <v>2</v>
      </c>
      <c r="X47" s="289">
        <f t="shared" si="43"/>
        <v>1</v>
      </c>
      <c r="Y47" s="289">
        <f t="shared" si="43"/>
        <v>0</v>
      </c>
      <c r="Z47" s="780"/>
      <c r="AA47" s="289">
        <f t="shared" si="44"/>
        <v>5</v>
      </c>
      <c r="AB47" s="289">
        <f t="shared" si="44"/>
        <v>3</v>
      </c>
      <c r="AC47" s="289">
        <f t="shared" si="44"/>
        <v>1</v>
      </c>
      <c r="AD47" s="289">
        <f t="shared" si="44"/>
        <v>1</v>
      </c>
      <c r="AE47" s="780"/>
      <c r="AF47" s="243"/>
      <c r="AG47" s="243"/>
      <c r="AH47" s="243"/>
      <c r="AI47" s="243"/>
      <c r="AJ47" s="243"/>
      <c r="AK47" s="243"/>
      <c r="AL47" s="243"/>
      <c r="AM47" s="243"/>
      <c r="AN47" s="243"/>
      <c r="AO47" s="243"/>
      <c r="AP47" s="243"/>
      <c r="AQ47" s="243"/>
      <c r="AR47" s="243"/>
      <c r="AS47" s="243"/>
      <c r="AT47" s="243"/>
      <c r="AU47" s="243"/>
      <c r="AV47" s="243"/>
      <c r="AW47" s="243"/>
      <c r="AX47" s="243"/>
      <c r="AY47" s="243"/>
      <c r="AZ47" s="243"/>
      <c r="BA47" s="243"/>
      <c r="BB47" s="243"/>
      <c r="BC47" s="243"/>
      <c r="BD47" s="243"/>
      <c r="BE47" s="243"/>
      <c r="BF47" s="243"/>
      <c r="BG47" s="243"/>
      <c r="BH47" s="243"/>
      <c r="BI47" s="243"/>
      <c r="BJ47" s="243"/>
      <c r="BK47" s="243"/>
      <c r="BL47" s="243"/>
    </row>
    <row r="48" spans="1:64" s="77" customFormat="1">
      <c r="A48" s="82" t="s">
        <v>89</v>
      </c>
      <c r="B48" s="388">
        <f t="shared" si="45"/>
        <v>2</v>
      </c>
      <c r="C48" s="388">
        <f t="shared" si="39"/>
        <v>0</v>
      </c>
      <c r="D48" s="388">
        <f t="shared" si="39"/>
        <v>0</v>
      </c>
      <c r="E48" s="388">
        <f t="shared" si="39"/>
        <v>1</v>
      </c>
      <c r="F48" s="389">
        <f t="shared" si="40"/>
        <v>3</v>
      </c>
      <c r="G48" s="388">
        <f t="shared" si="46"/>
        <v>3</v>
      </c>
      <c r="H48" s="388">
        <f t="shared" si="41"/>
        <v>1</v>
      </c>
      <c r="I48" s="388">
        <f t="shared" si="41"/>
        <v>0</v>
      </c>
      <c r="J48" s="388">
        <f t="shared" si="41"/>
        <v>2</v>
      </c>
      <c r="K48" s="390">
        <f t="shared" si="42"/>
        <v>6</v>
      </c>
      <c r="M48" s="243"/>
      <c r="N48" s="243"/>
      <c r="O48" s="243"/>
      <c r="P48" s="243"/>
      <c r="Q48" s="243"/>
      <c r="R48" s="243"/>
      <c r="S48" s="243"/>
      <c r="T48" s="243"/>
      <c r="U48" s="780" t="s">
        <v>89</v>
      </c>
      <c r="V48" s="289">
        <f t="shared" si="43"/>
        <v>2</v>
      </c>
      <c r="W48" s="289">
        <f t="shared" si="43"/>
        <v>0</v>
      </c>
      <c r="X48" s="289">
        <f t="shared" si="43"/>
        <v>0</v>
      </c>
      <c r="Y48" s="289">
        <f t="shared" si="43"/>
        <v>1</v>
      </c>
      <c r="Z48" s="780"/>
      <c r="AA48" s="289">
        <f t="shared" si="44"/>
        <v>3</v>
      </c>
      <c r="AB48" s="289">
        <f t="shared" si="44"/>
        <v>1</v>
      </c>
      <c r="AC48" s="289">
        <f t="shared" si="44"/>
        <v>0</v>
      </c>
      <c r="AD48" s="289">
        <f t="shared" si="44"/>
        <v>2</v>
      </c>
      <c r="AE48" s="780"/>
      <c r="AF48" s="243"/>
      <c r="AG48" s="243"/>
      <c r="AH48" s="243"/>
      <c r="AI48" s="243"/>
      <c r="AJ48" s="243"/>
      <c r="AK48" s="243"/>
      <c r="AL48" s="243"/>
      <c r="AM48" s="243"/>
      <c r="AN48" s="243"/>
      <c r="AO48" s="243"/>
      <c r="AP48" s="243"/>
      <c r="AQ48" s="243"/>
      <c r="AR48" s="243"/>
      <c r="AS48" s="243"/>
      <c r="AT48" s="243"/>
      <c r="AU48" s="243"/>
      <c r="AV48" s="243"/>
      <c r="AW48" s="243"/>
      <c r="AX48" s="243"/>
      <c r="AY48" s="243"/>
      <c r="AZ48" s="243"/>
      <c r="BA48" s="243"/>
      <c r="BB48" s="243"/>
      <c r="BC48" s="243"/>
      <c r="BD48" s="243"/>
      <c r="BE48" s="243"/>
      <c r="BF48" s="243"/>
      <c r="BG48" s="243"/>
      <c r="BH48" s="243"/>
      <c r="BI48" s="243"/>
      <c r="BJ48" s="243"/>
      <c r="BK48" s="243"/>
      <c r="BL48" s="243"/>
    </row>
    <row r="49" spans="1:64" s="77" customFormat="1">
      <c r="A49" s="82" t="s">
        <v>90</v>
      </c>
      <c r="B49" s="388">
        <f t="shared" si="45"/>
        <v>0</v>
      </c>
      <c r="C49" s="388">
        <f t="shared" si="39"/>
        <v>0</v>
      </c>
      <c r="D49" s="388">
        <f t="shared" si="39"/>
        <v>0</v>
      </c>
      <c r="E49" s="388">
        <f t="shared" si="39"/>
        <v>0</v>
      </c>
      <c r="F49" s="389">
        <f t="shared" si="40"/>
        <v>0</v>
      </c>
      <c r="G49" s="388">
        <f t="shared" si="46"/>
        <v>0</v>
      </c>
      <c r="H49" s="388">
        <f t="shared" si="41"/>
        <v>0</v>
      </c>
      <c r="I49" s="388">
        <f t="shared" si="41"/>
        <v>0</v>
      </c>
      <c r="J49" s="388">
        <f t="shared" si="41"/>
        <v>0</v>
      </c>
      <c r="K49" s="390">
        <f t="shared" si="42"/>
        <v>0</v>
      </c>
      <c r="M49" s="243"/>
      <c r="N49" s="243"/>
      <c r="O49" s="243"/>
      <c r="P49" s="243"/>
      <c r="Q49" s="243"/>
      <c r="R49" s="243"/>
      <c r="S49" s="243"/>
      <c r="T49" s="243"/>
      <c r="U49" s="780" t="s">
        <v>90</v>
      </c>
      <c r="V49" s="289">
        <f t="shared" si="43"/>
        <v>0</v>
      </c>
      <c r="W49" s="289">
        <f t="shared" si="43"/>
        <v>0</v>
      </c>
      <c r="X49" s="289">
        <f t="shared" si="43"/>
        <v>0</v>
      </c>
      <c r="Y49" s="289">
        <f t="shared" si="43"/>
        <v>0</v>
      </c>
      <c r="Z49" s="780"/>
      <c r="AA49" s="289">
        <f t="shared" si="44"/>
        <v>0</v>
      </c>
      <c r="AB49" s="289">
        <f t="shared" si="44"/>
        <v>0</v>
      </c>
      <c r="AC49" s="289">
        <f t="shared" si="44"/>
        <v>0</v>
      </c>
      <c r="AD49" s="289">
        <f t="shared" si="44"/>
        <v>0</v>
      </c>
      <c r="AE49" s="780"/>
      <c r="AF49" s="243"/>
      <c r="AG49" s="243"/>
      <c r="AH49" s="243"/>
      <c r="AI49" s="243"/>
      <c r="AJ49" s="243"/>
      <c r="AK49" s="243"/>
      <c r="AL49" s="243"/>
      <c r="AM49" s="243"/>
      <c r="AN49" s="243"/>
      <c r="AO49" s="243"/>
      <c r="AP49" s="243"/>
      <c r="AQ49" s="243"/>
      <c r="AR49" s="243"/>
      <c r="AS49" s="243"/>
      <c r="AT49" s="243"/>
      <c r="AU49" s="243"/>
      <c r="AV49" s="243"/>
      <c r="AW49" s="243"/>
      <c r="AX49" s="243"/>
      <c r="AY49" s="243"/>
      <c r="AZ49" s="243"/>
      <c r="BA49" s="243"/>
      <c r="BB49" s="243"/>
      <c r="BC49" s="243"/>
      <c r="BD49" s="243"/>
      <c r="BE49" s="243"/>
      <c r="BF49" s="243"/>
      <c r="BG49" s="243"/>
      <c r="BH49" s="243"/>
      <c r="BI49" s="243"/>
      <c r="BJ49" s="243"/>
      <c r="BK49" s="243"/>
      <c r="BL49" s="243"/>
    </row>
    <row r="50" spans="1:64" s="77" customFormat="1">
      <c r="A50" s="82" t="s">
        <v>91</v>
      </c>
      <c r="B50" s="388">
        <f t="shared" si="45"/>
        <v>0</v>
      </c>
      <c r="C50" s="388">
        <f t="shared" si="39"/>
        <v>0</v>
      </c>
      <c r="D50" s="388">
        <f t="shared" si="39"/>
        <v>0</v>
      </c>
      <c r="E50" s="388">
        <f t="shared" si="39"/>
        <v>0</v>
      </c>
      <c r="F50" s="389">
        <f t="shared" si="40"/>
        <v>0</v>
      </c>
      <c r="G50" s="388">
        <f t="shared" si="46"/>
        <v>0</v>
      </c>
      <c r="H50" s="388">
        <f t="shared" si="41"/>
        <v>0</v>
      </c>
      <c r="I50" s="388">
        <f t="shared" si="41"/>
        <v>0</v>
      </c>
      <c r="J50" s="388">
        <f t="shared" si="41"/>
        <v>0</v>
      </c>
      <c r="K50" s="390">
        <f t="shared" si="42"/>
        <v>0</v>
      </c>
      <c r="M50" s="243"/>
      <c r="N50" s="243"/>
      <c r="O50" s="243"/>
      <c r="P50" s="243"/>
      <c r="Q50" s="243"/>
      <c r="R50" s="243"/>
      <c r="S50" s="243"/>
      <c r="T50" s="243"/>
      <c r="U50" s="780" t="s">
        <v>91</v>
      </c>
      <c r="V50" s="289">
        <f t="shared" si="43"/>
        <v>0</v>
      </c>
      <c r="W50" s="289">
        <f t="shared" si="43"/>
        <v>0</v>
      </c>
      <c r="X50" s="289">
        <f t="shared" si="43"/>
        <v>0</v>
      </c>
      <c r="Y50" s="289">
        <f t="shared" si="43"/>
        <v>0</v>
      </c>
      <c r="Z50" s="780"/>
      <c r="AA50" s="289">
        <f t="shared" si="44"/>
        <v>0</v>
      </c>
      <c r="AB50" s="289">
        <f t="shared" si="44"/>
        <v>0</v>
      </c>
      <c r="AC50" s="289">
        <f t="shared" si="44"/>
        <v>0</v>
      </c>
      <c r="AD50" s="289">
        <f t="shared" si="44"/>
        <v>0</v>
      </c>
      <c r="AE50" s="780"/>
      <c r="AF50" s="243"/>
      <c r="AG50" s="243"/>
      <c r="AH50" s="243"/>
      <c r="AI50" s="243"/>
      <c r="AJ50" s="243"/>
      <c r="AK50" s="243"/>
      <c r="AL50" s="243"/>
      <c r="AM50" s="243"/>
      <c r="AN50" s="243"/>
      <c r="AO50" s="243"/>
      <c r="AP50" s="243"/>
      <c r="AQ50" s="243"/>
      <c r="AR50" s="243"/>
      <c r="AS50" s="243"/>
      <c r="AT50" s="243"/>
      <c r="AU50" s="243"/>
      <c r="AV50" s="243"/>
      <c r="AW50" s="243"/>
      <c r="AX50" s="243"/>
      <c r="AY50" s="243"/>
      <c r="AZ50" s="243"/>
      <c r="BA50" s="243"/>
      <c r="BB50" s="243"/>
      <c r="BC50" s="243"/>
      <c r="BD50" s="243"/>
      <c r="BE50" s="243"/>
      <c r="BF50" s="243"/>
      <c r="BG50" s="243"/>
      <c r="BH50" s="243"/>
      <c r="BI50" s="243"/>
      <c r="BJ50" s="243"/>
      <c r="BK50" s="243"/>
      <c r="BL50" s="243"/>
    </row>
    <row r="51" spans="1:64" s="77" customFormat="1">
      <c r="A51" s="82" t="s">
        <v>366</v>
      </c>
      <c r="B51" s="388">
        <f t="shared" si="45"/>
        <v>1</v>
      </c>
      <c r="C51" s="388">
        <f t="shared" si="39"/>
        <v>0</v>
      </c>
      <c r="D51" s="388">
        <f t="shared" si="39"/>
        <v>0</v>
      </c>
      <c r="E51" s="388">
        <f t="shared" si="39"/>
        <v>0</v>
      </c>
      <c r="F51" s="389">
        <f t="shared" si="40"/>
        <v>1</v>
      </c>
      <c r="G51" s="388">
        <f t="shared" si="46"/>
        <v>2</v>
      </c>
      <c r="H51" s="388">
        <f t="shared" si="41"/>
        <v>0</v>
      </c>
      <c r="I51" s="388">
        <f t="shared" si="41"/>
        <v>0</v>
      </c>
      <c r="J51" s="388">
        <f t="shared" si="41"/>
        <v>0</v>
      </c>
      <c r="K51" s="390">
        <f t="shared" si="42"/>
        <v>2</v>
      </c>
      <c r="M51" s="243"/>
      <c r="N51" s="243"/>
      <c r="O51" s="243"/>
      <c r="P51" s="243"/>
      <c r="Q51" s="243"/>
      <c r="R51" s="243"/>
      <c r="S51" s="243"/>
      <c r="T51" s="243"/>
      <c r="U51" s="780" t="s">
        <v>433</v>
      </c>
      <c r="V51" s="289">
        <f t="shared" si="43"/>
        <v>1</v>
      </c>
      <c r="W51" s="289">
        <f t="shared" si="43"/>
        <v>0</v>
      </c>
      <c r="X51" s="289">
        <f t="shared" si="43"/>
        <v>0</v>
      </c>
      <c r="Y51" s="289">
        <f t="shared" si="43"/>
        <v>0</v>
      </c>
      <c r="Z51" s="780"/>
      <c r="AA51" s="289">
        <f t="shared" si="44"/>
        <v>2</v>
      </c>
      <c r="AB51" s="289">
        <f t="shared" si="44"/>
        <v>0</v>
      </c>
      <c r="AC51" s="289">
        <f t="shared" si="44"/>
        <v>0</v>
      </c>
      <c r="AD51" s="289">
        <f t="shared" si="44"/>
        <v>0</v>
      </c>
      <c r="AE51" s="780"/>
      <c r="AF51" s="243"/>
      <c r="AG51" s="243"/>
      <c r="AH51" s="243"/>
      <c r="AI51" s="243"/>
      <c r="AJ51" s="243"/>
      <c r="AK51" s="243"/>
      <c r="AL51" s="243"/>
      <c r="AM51" s="243"/>
      <c r="AN51" s="243"/>
      <c r="AO51" s="243"/>
      <c r="AP51" s="243"/>
      <c r="AQ51" s="243"/>
      <c r="AR51" s="243"/>
      <c r="AS51" s="243"/>
      <c r="AT51" s="243"/>
      <c r="AU51" s="243"/>
      <c r="AV51" s="243"/>
      <c r="AW51" s="243"/>
      <c r="AX51" s="243"/>
      <c r="AY51" s="243"/>
      <c r="AZ51" s="243"/>
      <c r="BA51" s="243"/>
      <c r="BB51" s="243"/>
      <c r="BC51" s="243"/>
      <c r="BD51" s="243"/>
      <c r="BE51" s="243"/>
      <c r="BF51" s="243"/>
      <c r="BG51" s="243"/>
      <c r="BH51" s="243"/>
      <c r="BI51" s="243"/>
      <c r="BJ51" s="243"/>
      <c r="BK51" s="243"/>
      <c r="BL51" s="243"/>
    </row>
    <row r="52" spans="1:64" s="77" customFormat="1">
      <c r="A52" s="82" t="s">
        <v>92</v>
      </c>
      <c r="B52" s="388">
        <f t="shared" si="45"/>
        <v>3</v>
      </c>
      <c r="C52" s="388">
        <f t="shared" si="39"/>
        <v>0</v>
      </c>
      <c r="D52" s="388">
        <f t="shared" si="39"/>
        <v>0</v>
      </c>
      <c r="E52" s="388">
        <f t="shared" si="39"/>
        <v>0</v>
      </c>
      <c r="F52" s="389">
        <f t="shared" si="40"/>
        <v>3</v>
      </c>
      <c r="G52" s="388">
        <f t="shared" si="46"/>
        <v>3</v>
      </c>
      <c r="H52" s="388">
        <f t="shared" si="41"/>
        <v>0</v>
      </c>
      <c r="I52" s="388">
        <f t="shared" si="41"/>
        <v>0</v>
      </c>
      <c r="J52" s="388">
        <f t="shared" si="41"/>
        <v>0</v>
      </c>
      <c r="K52" s="390">
        <f t="shared" si="42"/>
        <v>3</v>
      </c>
      <c r="M52" s="243"/>
      <c r="N52" s="243"/>
      <c r="O52" s="243"/>
      <c r="P52" s="243"/>
      <c r="Q52" s="243"/>
      <c r="R52" s="243"/>
      <c r="S52" s="243"/>
      <c r="T52" s="243"/>
      <c r="U52" s="780" t="s">
        <v>92</v>
      </c>
      <c r="V52" s="289">
        <f t="shared" si="43"/>
        <v>3</v>
      </c>
      <c r="W52" s="289">
        <f t="shared" si="43"/>
        <v>0</v>
      </c>
      <c r="X52" s="289">
        <f t="shared" si="43"/>
        <v>0</v>
      </c>
      <c r="Y52" s="289">
        <f t="shared" si="43"/>
        <v>0</v>
      </c>
      <c r="Z52" s="780"/>
      <c r="AA52" s="289">
        <f t="shared" si="44"/>
        <v>3</v>
      </c>
      <c r="AB52" s="289">
        <f t="shared" si="44"/>
        <v>0</v>
      </c>
      <c r="AC52" s="289">
        <f t="shared" si="44"/>
        <v>0</v>
      </c>
      <c r="AD52" s="289">
        <f t="shared" si="44"/>
        <v>0</v>
      </c>
      <c r="AE52" s="780"/>
      <c r="AF52" s="243"/>
      <c r="AG52" s="243"/>
      <c r="AH52" s="243"/>
      <c r="AI52" s="243"/>
      <c r="AJ52" s="243"/>
      <c r="AK52" s="243"/>
      <c r="AL52" s="243"/>
      <c r="AM52" s="243"/>
      <c r="AN52" s="243"/>
      <c r="AO52" s="243"/>
      <c r="AP52" s="243"/>
      <c r="AQ52" s="243"/>
      <c r="AR52" s="243"/>
      <c r="AS52" s="243"/>
      <c r="AT52" s="243"/>
      <c r="AU52" s="243"/>
      <c r="AV52" s="243"/>
      <c r="AW52" s="243"/>
      <c r="AX52" s="243"/>
      <c r="AY52" s="243"/>
      <c r="AZ52" s="243"/>
      <c r="BA52" s="243"/>
      <c r="BB52" s="243"/>
      <c r="BC52" s="243"/>
      <c r="BD52" s="243"/>
      <c r="BE52" s="243"/>
      <c r="BF52" s="243"/>
      <c r="BG52" s="243"/>
      <c r="BH52" s="243"/>
      <c r="BI52" s="243"/>
      <c r="BJ52" s="243"/>
      <c r="BK52" s="243"/>
      <c r="BL52" s="243"/>
    </row>
    <row r="53" spans="1:64" s="77" customFormat="1">
      <c r="A53" s="82" t="s">
        <v>93</v>
      </c>
      <c r="B53" s="388">
        <f t="shared" si="45"/>
        <v>2</v>
      </c>
      <c r="C53" s="388">
        <f t="shared" si="39"/>
        <v>0</v>
      </c>
      <c r="D53" s="388">
        <f t="shared" si="39"/>
        <v>0</v>
      </c>
      <c r="E53" s="388">
        <f t="shared" si="39"/>
        <v>1</v>
      </c>
      <c r="F53" s="389">
        <f t="shared" si="40"/>
        <v>3</v>
      </c>
      <c r="G53" s="388">
        <f t="shared" si="46"/>
        <v>2</v>
      </c>
      <c r="H53" s="388">
        <f t="shared" si="41"/>
        <v>0</v>
      </c>
      <c r="I53" s="388">
        <f t="shared" si="41"/>
        <v>0</v>
      </c>
      <c r="J53" s="388">
        <f t="shared" si="41"/>
        <v>1</v>
      </c>
      <c r="K53" s="390">
        <f t="shared" si="42"/>
        <v>3</v>
      </c>
      <c r="M53" s="243"/>
      <c r="N53" s="243"/>
      <c r="O53" s="243"/>
      <c r="P53" s="243"/>
      <c r="Q53" s="243"/>
      <c r="R53" s="243"/>
      <c r="S53" s="243"/>
      <c r="T53" s="243"/>
      <c r="U53" s="780" t="s">
        <v>93</v>
      </c>
      <c r="V53" s="289">
        <f t="shared" si="43"/>
        <v>2</v>
      </c>
      <c r="W53" s="289">
        <f t="shared" si="43"/>
        <v>0</v>
      </c>
      <c r="X53" s="289">
        <f t="shared" si="43"/>
        <v>0</v>
      </c>
      <c r="Y53" s="289">
        <f t="shared" si="43"/>
        <v>1</v>
      </c>
      <c r="Z53" s="780"/>
      <c r="AA53" s="289">
        <f t="shared" si="44"/>
        <v>2</v>
      </c>
      <c r="AB53" s="289">
        <f t="shared" si="44"/>
        <v>0</v>
      </c>
      <c r="AC53" s="289">
        <f t="shared" si="44"/>
        <v>0</v>
      </c>
      <c r="AD53" s="289">
        <f t="shared" si="44"/>
        <v>1</v>
      </c>
      <c r="AE53" s="780"/>
      <c r="AF53" s="243"/>
      <c r="AG53" s="243"/>
      <c r="AH53" s="243"/>
      <c r="AI53" s="243"/>
      <c r="AJ53" s="243"/>
      <c r="AK53" s="243"/>
      <c r="AL53" s="243"/>
      <c r="AM53" s="243"/>
      <c r="AN53" s="243"/>
      <c r="AO53" s="243"/>
      <c r="AP53" s="243"/>
      <c r="AQ53" s="243"/>
      <c r="AR53" s="243"/>
      <c r="AS53" s="243"/>
      <c r="AT53" s="243"/>
      <c r="AU53" s="243"/>
      <c r="AV53" s="243"/>
      <c r="AW53" s="243"/>
      <c r="AX53" s="243"/>
      <c r="AY53" s="243"/>
      <c r="AZ53" s="243"/>
      <c r="BA53" s="243"/>
      <c r="BB53" s="243"/>
      <c r="BC53" s="243"/>
      <c r="BD53" s="243"/>
      <c r="BE53" s="243"/>
      <c r="BF53" s="243"/>
      <c r="BG53" s="243"/>
      <c r="BH53" s="243"/>
      <c r="BI53" s="243"/>
      <c r="BJ53" s="243"/>
      <c r="BK53" s="243"/>
      <c r="BL53" s="243"/>
    </row>
    <row r="54" spans="1:64" s="77" customFormat="1">
      <c r="A54" s="82" t="s">
        <v>94</v>
      </c>
      <c r="B54" s="388">
        <f t="shared" si="45"/>
        <v>2</v>
      </c>
      <c r="C54" s="388">
        <f t="shared" si="39"/>
        <v>0</v>
      </c>
      <c r="D54" s="388">
        <f t="shared" si="39"/>
        <v>0</v>
      </c>
      <c r="E54" s="388">
        <f t="shared" si="39"/>
        <v>1</v>
      </c>
      <c r="F54" s="389">
        <f t="shared" si="40"/>
        <v>3</v>
      </c>
      <c r="G54" s="388">
        <f t="shared" si="46"/>
        <v>2</v>
      </c>
      <c r="H54" s="388">
        <f t="shared" si="41"/>
        <v>0</v>
      </c>
      <c r="I54" s="388">
        <f t="shared" si="41"/>
        <v>0</v>
      </c>
      <c r="J54" s="388">
        <f t="shared" si="41"/>
        <v>1</v>
      </c>
      <c r="K54" s="390">
        <f t="shared" si="42"/>
        <v>3</v>
      </c>
      <c r="M54" s="243"/>
      <c r="N54" s="243"/>
      <c r="O54" s="243"/>
      <c r="P54" s="243"/>
      <c r="Q54" s="243"/>
      <c r="R54" s="243"/>
      <c r="S54" s="243"/>
      <c r="T54" s="243"/>
      <c r="U54" s="780" t="s">
        <v>94</v>
      </c>
      <c r="V54" s="289">
        <f t="shared" si="43"/>
        <v>2</v>
      </c>
      <c r="W54" s="289">
        <f t="shared" si="43"/>
        <v>0</v>
      </c>
      <c r="X54" s="289">
        <f t="shared" si="43"/>
        <v>0</v>
      </c>
      <c r="Y54" s="289">
        <f t="shared" si="43"/>
        <v>1</v>
      </c>
      <c r="Z54" s="780"/>
      <c r="AA54" s="289">
        <f t="shared" si="44"/>
        <v>2</v>
      </c>
      <c r="AB54" s="289">
        <f t="shared" si="44"/>
        <v>0</v>
      </c>
      <c r="AC54" s="289">
        <f t="shared" si="44"/>
        <v>0</v>
      </c>
      <c r="AD54" s="289">
        <f t="shared" si="44"/>
        <v>1</v>
      </c>
      <c r="AE54" s="780"/>
      <c r="AF54" s="243"/>
      <c r="AG54" s="243"/>
      <c r="AH54" s="243"/>
      <c r="AI54" s="243"/>
      <c r="AJ54" s="243"/>
      <c r="AK54" s="243"/>
      <c r="AL54" s="243"/>
      <c r="AM54" s="243"/>
      <c r="AN54" s="243"/>
      <c r="AO54" s="243"/>
      <c r="AP54" s="243"/>
      <c r="AQ54" s="243"/>
      <c r="AR54" s="243"/>
      <c r="AS54" s="243"/>
      <c r="AT54" s="243"/>
      <c r="AU54" s="243"/>
      <c r="AV54" s="243"/>
      <c r="AW54" s="243"/>
      <c r="AX54" s="243"/>
      <c r="AY54" s="243"/>
      <c r="AZ54" s="243"/>
      <c r="BA54" s="243"/>
      <c r="BB54" s="243"/>
      <c r="BC54" s="243"/>
      <c r="BD54" s="243"/>
      <c r="BE54" s="243"/>
      <c r="BF54" s="243"/>
      <c r="BG54" s="243"/>
      <c r="BH54" s="243"/>
      <c r="BI54" s="243"/>
      <c r="BJ54" s="243"/>
      <c r="BK54" s="243"/>
      <c r="BL54" s="243"/>
    </row>
    <row r="55" spans="1:64" s="77" customFormat="1">
      <c r="A55" s="82" t="s">
        <v>95</v>
      </c>
      <c r="B55" s="388">
        <f t="shared" si="45"/>
        <v>0</v>
      </c>
      <c r="C55" s="388">
        <f t="shared" si="39"/>
        <v>1</v>
      </c>
      <c r="D55" s="388">
        <f t="shared" si="39"/>
        <v>0</v>
      </c>
      <c r="E55" s="388">
        <f t="shared" si="39"/>
        <v>0</v>
      </c>
      <c r="F55" s="389">
        <f t="shared" si="40"/>
        <v>1</v>
      </c>
      <c r="G55" s="388">
        <f t="shared" si="46"/>
        <v>0</v>
      </c>
      <c r="H55" s="388">
        <f t="shared" si="41"/>
        <v>1</v>
      </c>
      <c r="I55" s="388">
        <f t="shared" si="41"/>
        <v>0</v>
      </c>
      <c r="J55" s="388">
        <f t="shared" si="41"/>
        <v>0</v>
      </c>
      <c r="K55" s="390">
        <f t="shared" si="42"/>
        <v>1</v>
      </c>
      <c r="M55" s="243"/>
      <c r="N55" s="243"/>
      <c r="O55" s="243"/>
      <c r="P55" s="243"/>
      <c r="Q55" s="243"/>
      <c r="R55" s="243"/>
      <c r="S55" s="243"/>
      <c r="T55" s="243"/>
      <c r="U55" s="780" t="s">
        <v>95</v>
      </c>
      <c r="V55" s="289">
        <f t="shared" si="43"/>
        <v>0</v>
      </c>
      <c r="W55" s="289">
        <f t="shared" si="43"/>
        <v>1</v>
      </c>
      <c r="X55" s="289">
        <f t="shared" si="43"/>
        <v>0</v>
      </c>
      <c r="Y55" s="289">
        <f t="shared" si="43"/>
        <v>0</v>
      </c>
      <c r="Z55" s="780"/>
      <c r="AA55" s="289">
        <f t="shared" si="44"/>
        <v>0</v>
      </c>
      <c r="AB55" s="289">
        <f t="shared" si="44"/>
        <v>1</v>
      </c>
      <c r="AC55" s="289">
        <f t="shared" si="44"/>
        <v>0</v>
      </c>
      <c r="AD55" s="289">
        <f t="shared" si="44"/>
        <v>0</v>
      </c>
      <c r="AE55" s="780"/>
      <c r="AF55" s="243"/>
      <c r="AG55" s="243"/>
      <c r="AH55" s="243"/>
      <c r="AI55" s="243"/>
      <c r="AJ55" s="243"/>
      <c r="AK55" s="243"/>
      <c r="AL55" s="243"/>
      <c r="AM55" s="243"/>
      <c r="AN55" s="243"/>
      <c r="AO55" s="243"/>
      <c r="AP55" s="243"/>
      <c r="AQ55" s="243"/>
      <c r="AR55" s="243"/>
      <c r="AS55" s="243"/>
      <c r="AT55" s="243"/>
      <c r="AU55" s="243"/>
      <c r="AV55" s="243"/>
      <c r="AW55" s="243"/>
      <c r="AX55" s="243"/>
      <c r="AY55" s="243"/>
      <c r="AZ55" s="243"/>
      <c r="BA55" s="243"/>
      <c r="BB55" s="243"/>
      <c r="BC55" s="243"/>
      <c r="BD55" s="243"/>
      <c r="BE55" s="243"/>
      <c r="BF55" s="243"/>
      <c r="BG55" s="243"/>
      <c r="BH55" s="243"/>
      <c r="BI55" s="243"/>
      <c r="BJ55" s="243"/>
      <c r="BK55" s="243"/>
      <c r="BL55" s="243"/>
    </row>
    <row r="56" spans="1:64" s="77" customFormat="1">
      <c r="A56" s="82" t="s">
        <v>96</v>
      </c>
      <c r="B56" s="388">
        <f t="shared" si="45"/>
        <v>0</v>
      </c>
      <c r="C56" s="388">
        <f t="shared" si="39"/>
        <v>0</v>
      </c>
      <c r="D56" s="388">
        <f t="shared" si="39"/>
        <v>0</v>
      </c>
      <c r="E56" s="388">
        <f t="shared" si="39"/>
        <v>0</v>
      </c>
      <c r="F56" s="389">
        <f t="shared" si="40"/>
        <v>0</v>
      </c>
      <c r="G56" s="388">
        <f t="shared" si="46"/>
        <v>1</v>
      </c>
      <c r="H56" s="388">
        <f t="shared" si="41"/>
        <v>0</v>
      </c>
      <c r="I56" s="388">
        <f t="shared" si="41"/>
        <v>0</v>
      </c>
      <c r="J56" s="388">
        <f t="shared" si="41"/>
        <v>0</v>
      </c>
      <c r="K56" s="390">
        <f t="shared" si="42"/>
        <v>1</v>
      </c>
      <c r="M56" s="243"/>
      <c r="N56" s="243"/>
      <c r="O56" s="243"/>
      <c r="P56" s="243"/>
      <c r="Q56" s="243"/>
      <c r="R56" s="243"/>
      <c r="S56" s="243"/>
      <c r="T56" s="243"/>
      <c r="U56" s="780" t="s">
        <v>96</v>
      </c>
      <c r="V56" s="289">
        <f t="shared" si="43"/>
        <v>0</v>
      </c>
      <c r="W56" s="289">
        <f t="shared" si="43"/>
        <v>0</v>
      </c>
      <c r="X56" s="289">
        <f t="shared" si="43"/>
        <v>0</v>
      </c>
      <c r="Y56" s="289">
        <f t="shared" si="43"/>
        <v>0</v>
      </c>
      <c r="Z56" s="780"/>
      <c r="AA56" s="289">
        <f t="shared" si="44"/>
        <v>1</v>
      </c>
      <c r="AB56" s="289">
        <f t="shared" si="44"/>
        <v>0</v>
      </c>
      <c r="AC56" s="289">
        <f t="shared" si="44"/>
        <v>0</v>
      </c>
      <c r="AD56" s="289">
        <f t="shared" si="44"/>
        <v>0</v>
      </c>
      <c r="AE56" s="780"/>
      <c r="AF56" s="243"/>
      <c r="AG56" s="243"/>
      <c r="AH56" s="243"/>
      <c r="AI56" s="243"/>
      <c r="AJ56" s="243"/>
      <c r="AK56" s="243"/>
      <c r="AL56" s="243"/>
      <c r="AM56" s="243"/>
      <c r="AN56" s="243"/>
      <c r="AO56" s="243"/>
      <c r="AP56" s="243"/>
      <c r="AQ56" s="243"/>
      <c r="AR56" s="243"/>
      <c r="AS56" s="243"/>
      <c r="AT56" s="243"/>
      <c r="AU56" s="243"/>
      <c r="AV56" s="243"/>
      <c r="AW56" s="243"/>
      <c r="AX56" s="243"/>
      <c r="AY56" s="243"/>
      <c r="AZ56" s="243"/>
      <c r="BA56" s="243"/>
      <c r="BB56" s="243"/>
      <c r="BC56" s="243"/>
      <c r="BD56" s="243"/>
      <c r="BE56" s="243"/>
      <c r="BF56" s="243"/>
      <c r="BG56" s="243"/>
      <c r="BH56" s="243"/>
      <c r="BI56" s="243"/>
      <c r="BJ56" s="243"/>
      <c r="BK56" s="243"/>
      <c r="BL56" s="243"/>
    </row>
    <row r="57" spans="1:64" s="77" customFormat="1">
      <c r="A57" s="82" t="s">
        <v>97</v>
      </c>
      <c r="B57" s="388">
        <f t="shared" si="45"/>
        <v>1</v>
      </c>
      <c r="C57" s="388">
        <f t="shared" si="39"/>
        <v>0</v>
      </c>
      <c r="D57" s="388">
        <f t="shared" si="39"/>
        <v>0</v>
      </c>
      <c r="E57" s="388">
        <f t="shared" si="39"/>
        <v>0</v>
      </c>
      <c r="F57" s="389">
        <f t="shared" si="40"/>
        <v>1</v>
      </c>
      <c r="G57" s="388">
        <f t="shared" si="46"/>
        <v>1</v>
      </c>
      <c r="H57" s="388">
        <f t="shared" si="41"/>
        <v>0</v>
      </c>
      <c r="I57" s="388">
        <f t="shared" si="41"/>
        <v>0</v>
      </c>
      <c r="J57" s="388">
        <f t="shared" si="41"/>
        <v>0</v>
      </c>
      <c r="K57" s="390">
        <f t="shared" si="42"/>
        <v>1</v>
      </c>
      <c r="M57" s="243"/>
      <c r="N57" s="243"/>
      <c r="O57" s="243"/>
      <c r="P57" s="243"/>
      <c r="Q57" s="243"/>
      <c r="R57" s="243"/>
      <c r="S57" s="243"/>
      <c r="T57" s="243"/>
      <c r="U57" s="780" t="s">
        <v>97</v>
      </c>
      <c r="V57" s="289">
        <f t="shared" si="43"/>
        <v>1</v>
      </c>
      <c r="W57" s="289">
        <f t="shared" si="43"/>
        <v>0</v>
      </c>
      <c r="X57" s="289">
        <f t="shared" si="43"/>
        <v>0</v>
      </c>
      <c r="Y57" s="289">
        <f t="shared" si="43"/>
        <v>0</v>
      </c>
      <c r="Z57" s="780"/>
      <c r="AA57" s="289">
        <f t="shared" si="44"/>
        <v>1</v>
      </c>
      <c r="AB57" s="289">
        <f t="shared" si="44"/>
        <v>0</v>
      </c>
      <c r="AC57" s="289">
        <f t="shared" si="44"/>
        <v>0</v>
      </c>
      <c r="AD57" s="289">
        <f t="shared" si="44"/>
        <v>0</v>
      </c>
      <c r="AE57" s="780"/>
      <c r="AF57" s="243"/>
      <c r="AG57" s="243"/>
      <c r="AH57" s="243"/>
      <c r="AI57" s="243"/>
      <c r="AJ57" s="243"/>
      <c r="AK57" s="243"/>
      <c r="AL57" s="243"/>
      <c r="AM57" s="243"/>
      <c r="AN57" s="243"/>
      <c r="AO57" s="243"/>
      <c r="AP57" s="243"/>
      <c r="AQ57" s="243"/>
      <c r="AR57" s="243"/>
      <c r="AS57" s="243"/>
      <c r="AT57" s="243"/>
      <c r="AU57" s="243"/>
      <c r="AV57" s="243"/>
      <c r="AW57" s="243"/>
      <c r="AX57" s="243"/>
      <c r="AY57" s="243"/>
      <c r="AZ57" s="243"/>
      <c r="BA57" s="243"/>
      <c r="BB57" s="243"/>
      <c r="BC57" s="243"/>
      <c r="BD57" s="243"/>
      <c r="BE57" s="243"/>
      <c r="BF57" s="243"/>
      <c r="BG57" s="243"/>
      <c r="BH57" s="243"/>
      <c r="BI57" s="243"/>
      <c r="BJ57" s="243"/>
      <c r="BK57" s="243"/>
      <c r="BL57" s="243"/>
    </row>
    <row r="58" spans="1:64" s="77" customFormat="1">
      <c r="A58" s="82" t="s">
        <v>98</v>
      </c>
      <c r="B58" s="388">
        <f t="shared" si="45"/>
        <v>0</v>
      </c>
      <c r="C58" s="388">
        <f t="shared" si="39"/>
        <v>0</v>
      </c>
      <c r="D58" s="388">
        <f t="shared" si="39"/>
        <v>0</v>
      </c>
      <c r="E58" s="388">
        <f t="shared" si="39"/>
        <v>0</v>
      </c>
      <c r="F58" s="389">
        <f t="shared" si="40"/>
        <v>0</v>
      </c>
      <c r="G58" s="388">
        <f t="shared" si="46"/>
        <v>0</v>
      </c>
      <c r="H58" s="388">
        <f t="shared" si="41"/>
        <v>0</v>
      </c>
      <c r="I58" s="388">
        <f t="shared" si="41"/>
        <v>0</v>
      </c>
      <c r="J58" s="388">
        <f t="shared" si="41"/>
        <v>0</v>
      </c>
      <c r="K58" s="390">
        <f t="shared" si="42"/>
        <v>0</v>
      </c>
      <c r="M58" s="243"/>
      <c r="N58" s="243"/>
      <c r="O58" s="243"/>
      <c r="P58" s="243"/>
      <c r="Q58" s="243"/>
      <c r="R58" s="243"/>
      <c r="S58" s="243"/>
      <c r="T58" s="243"/>
      <c r="U58" s="780" t="s">
        <v>98</v>
      </c>
      <c r="V58" s="289">
        <f t="shared" si="43"/>
        <v>0</v>
      </c>
      <c r="W58" s="289">
        <f t="shared" si="43"/>
        <v>0</v>
      </c>
      <c r="X58" s="289">
        <f t="shared" si="43"/>
        <v>0</v>
      </c>
      <c r="Y58" s="289">
        <f t="shared" si="43"/>
        <v>0</v>
      </c>
      <c r="Z58" s="780"/>
      <c r="AA58" s="289">
        <f t="shared" si="44"/>
        <v>0</v>
      </c>
      <c r="AB58" s="289">
        <f t="shared" si="44"/>
        <v>0</v>
      </c>
      <c r="AC58" s="289">
        <f t="shared" si="44"/>
        <v>0</v>
      </c>
      <c r="AD58" s="289">
        <f t="shared" si="44"/>
        <v>0</v>
      </c>
      <c r="AE58" s="780"/>
      <c r="AF58" s="243"/>
      <c r="AG58" s="243"/>
      <c r="AH58" s="243"/>
      <c r="AI58" s="243"/>
      <c r="AJ58" s="243"/>
      <c r="AK58" s="243"/>
      <c r="AL58" s="243"/>
      <c r="AM58" s="243"/>
      <c r="AN58" s="243"/>
      <c r="AO58" s="243"/>
      <c r="AP58" s="243"/>
      <c r="AQ58" s="243"/>
      <c r="AR58" s="243"/>
      <c r="AS58" s="243"/>
      <c r="AT58" s="243"/>
      <c r="AU58" s="243"/>
      <c r="AV58" s="243"/>
      <c r="AW58" s="243"/>
      <c r="AX58" s="243"/>
      <c r="AY58" s="243"/>
      <c r="AZ58" s="243"/>
      <c r="BA58" s="243"/>
      <c r="BB58" s="243"/>
      <c r="BC58" s="243"/>
      <c r="BD58" s="243"/>
      <c r="BE58" s="243"/>
      <c r="BF58" s="243"/>
      <c r="BG58" s="243"/>
      <c r="BH58" s="243"/>
      <c r="BI58" s="243"/>
      <c r="BJ58" s="243"/>
      <c r="BK58" s="243"/>
      <c r="BL58" s="243"/>
    </row>
    <row r="59" spans="1:64" s="77" customFormat="1">
      <c r="A59" s="82" t="s">
        <v>99</v>
      </c>
      <c r="B59" s="388">
        <f t="shared" si="45"/>
        <v>0</v>
      </c>
      <c r="C59" s="388">
        <f t="shared" si="39"/>
        <v>0</v>
      </c>
      <c r="D59" s="388">
        <f t="shared" si="39"/>
        <v>0</v>
      </c>
      <c r="E59" s="388">
        <f t="shared" si="39"/>
        <v>0</v>
      </c>
      <c r="F59" s="389">
        <f t="shared" si="40"/>
        <v>0</v>
      </c>
      <c r="G59" s="388">
        <f t="shared" si="46"/>
        <v>0</v>
      </c>
      <c r="H59" s="388">
        <f t="shared" si="41"/>
        <v>0</v>
      </c>
      <c r="I59" s="388">
        <f t="shared" si="41"/>
        <v>0</v>
      </c>
      <c r="J59" s="388">
        <f t="shared" si="41"/>
        <v>0</v>
      </c>
      <c r="K59" s="390">
        <f t="shared" si="42"/>
        <v>0</v>
      </c>
      <c r="M59" s="243"/>
      <c r="N59" s="243"/>
      <c r="O59" s="243"/>
      <c r="P59" s="243"/>
      <c r="Q59" s="243"/>
      <c r="R59" s="243"/>
      <c r="S59" s="243"/>
      <c r="T59" s="243"/>
      <c r="U59" s="780" t="s">
        <v>99</v>
      </c>
      <c r="V59" s="289">
        <f t="shared" si="43"/>
        <v>0</v>
      </c>
      <c r="W59" s="289">
        <f t="shared" si="43"/>
        <v>0</v>
      </c>
      <c r="X59" s="289">
        <f t="shared" si="43"/>
        <v>0</v>
      </c>
      <c r="Y59" s="289">
        <f t="shared" si="43"/>
        <v>0</v>
      </c>
      <c r="Z59" s="780"/>
      <c r="AA59" s="289">
        <f t="shared" si="44"/>
        <v>0</v>
      </c>
      <c r="AB59" s="289">
        <f t="shared" si="44"/>
        <v>0</v>
      </c>
      <c r="AC59" s="289">
        <f t="shared" si="44"/>
        <v>0</v>
      </c>
      <c r="AD59" s="289">
        <f t="shared" si="44"/>
        <v>0</v>
      </c>
      <c r="AE59" s="780"/>
      <c r="AF59" s="243"/>
      <c r="AG59" s="243"/>
      <c r="AH59" s="243"/>
      <c r="AI59" s="243"/>
      <c r="AJ59" s="243"/>
      <c r="AK59" s="243"/>
      <c r="AL59" s="243"/>
      <c r="AM59" s="243"/>
      <c r="AN59" s="243"/>
      <c r="AO59" s="243"/>
      <c r="AP59" s="243"/>
      <c r="AQ59" s="243"/>
      <c r="AR59" s="243"/>
      <c r="AS59" s="243"/>
      <c r="AT59" s="243"/>
      <c r="AU59" s="243"/>
      <c r="AV59" s="243"/>
      <c r="AW59" s="243"/>
      <c r="AX59" s="243"/>
      <c r="AY59" s="243"/>
      <c r="AZ59" s="243"/>
      <c r="BA59" s="243"/>
      <c r="BB59" s="243"/>
      <c r="BC59" s="243"/>
      <c r="BD59" s="243"/>
      <c r="BE59" s="243"/>
      <c r="BF59" s="243"/>
      <c r="BG59" s="243"/>
      <c r="BH59" s="243"/>
      <c r="BI59" s="243"/>
      <c r="BJ59" s="243"/>
      <c r="BK59" s="243"/>
      <c r="BL59" s="243"/>
    </row>
    <row r="60" spans="1:64" s="77" customFormat="1">
      <c r="A60" s="82" t="s">
        <v>100</v>
      </c>
      <c r="B60" s="388">
        <f t="shared" si="45"/>
        <v>0</v>
      </c>
      <c r="C60" s="388">
        <f t="shared" ref="C60:C64" si="47">W60</f>
        <v>0</v>
      </c>
      <c r="D60" s="388">
        <f t="shared" ref="D60:D64" si="48">X60</f>
        <v>0</v>
      </c>
      <c r="E60" s="388">
        <f t="shared" ref="E60:E64" si="49">Y60</f>
        <v>0</v>
      </c>
      <c r="F60" s="389">
        <f t="shared" si="40"/>
        <v>0</v>
      </c>
      <c r="G60" s="388">
        <f t="shared" si="46"/>
        <v>0</v>
      </c>
      <c r="H60" s="388">
        <f t="shared" ref="H60:H64" si="50">AB60</f>
        <v>0</v>
      </c>
      <c r="I60" s="388">
        <f t="shared" ref="I60:I64" si="51">AC60</f>
        <v>0</v>
      </c>
      <c r="J60" s="388">
        <f t="shared" ref="J60:J64" si="52">AD60</f>
        <v>0</v>
      </c>
      <c r="K60" s="390">
        <f t="shared" si="42"/>
        <v>0</v>
      </c>
      <c r="M60" s="243"/>
      <c r="N60" s="243"/>
      <c r="O60" s="243"/>
      <c r="P60" s="243"/>
      <c r="Q60" s="243"/>
      <c r="R60" s="243"/>
      <c r="S60" s="243"/>
      <c r="T60" s="243"/>
      <c r="U60" s="780" t="s">
        <v>100</v>
      </c>
      <c r="V60" s="289">
        <f t="shared" si="43"/>
        <v>0</v>
      </c>
      <c r="W60" s="289">
        <f t="shared" si="43"/>
        <v>0</v>
      </c>
      <c r="X60" s="289">
        <f t="shared" si="43"/>
        <v>0</v>
      </c>
      <c r="Y60" s="289">
        <f t="shared" si="43"/>
        <v>0</v>
      </c>
      <c r="Z60" s="780"/>
      <c r="AA60" s="289">
        <f t="shared" si="44"/>
        <v>0</v>
      </c>
      <c r="AB60" s="289">
        <f t="shared" si="44"/>
        <v>0</v>
      </c>
      <c r="AC60" s="289">
        <f t="shared" si="44"/>
        <v>0</v>
      </c>
      <c r="AD60" s="289">
        <f t="shared" si="44"/>
        <v>0</v>
      </c>
      <c r="AE60" s="780"/>
      <c r="AF60" s="243"/>
      <c r="AG60" s="243"/>
      <c r="AH60" s="243"/>
      <c r="AI60" s="243"/>
      <c r="AJ60" s="243"/>
      <c r="AK60" s="243"/>
      <c r="AL60" s="243"/>
      <c r="AM60" s="243"/>
      <c r="AN60" s="243"/>
      <c r="AO60" s="243"/>
      <c r="AP60" s="243"/>
      <c r="AQ60" s="243"/>
      <c r="AR60" s="243"/>
      <c r="AS60" s="243"/>
      <c r="AT60" s="243"/>
      <c r="AU60" s="243"/>
      <c r="AV60" s="243"/>
      <c r="AW60" s="243"/>
      <c r="AX60" s="243"/>
      <c r="AY60" s="243"/>
      <c r="AZ60" s="243"/>
      <c r="BA60" s="243"/>
      <c r="BB60" s="243"/>
      <c r="BC60" s="243"/>
      <c r="BD60" s="243"/>
      <c r="BE60" s="243"/>
      <c r="BF60" s="243"/>
      <c r="BG60" s="243"/>
      <c r="BH60" s="243"/>
      <c r="BI60" s="243"/>
      <c r="BJ60" s="243"/>
      <c r="BK60" s="243"/>
      <c r="BL60" s="243"/>
    </row>
    <row r="61" spans="1:64" s="77" customFormat="1">
      <c r="A61" s="82" t="s">
        <v>101</v>
      </c>
      <c r="B61" s="388">
        <f t="shared" si="45"/>
        <v>1</v>
      </c>
      <c r="C61" s="388">
        <f t="shared" si="47"/>
        <v>0</v>
      </c>
      <c r="D61" s="388">
        <f t="shared" si="48"/>
        <v>0</v>
      </c>
      <c r="E61" s="388">
        <f t="shared" si="49"/>
        <v>1</v>
      </c>
      <c r="F61" s="389">
        <f t="shared" si="40"/>
        <v>2</v>
      </c>
      <c r="G61" s="388">
        <f t="shared" si="46"/>
        <v>1</v>
      </c>
      <c r="H61" s="388">
        <f t="shared" si="50"/>
        <v>0</v>
      </c>
      <c r="I61" s="388">
        <f t="shared" si="51"/>
        <v>0</v>
      </c>
      <c r="J61" s="388">
        <f t="shared" si="52"/>
        <v>1</v>
      </c>
      <c r="K61" s="390">
        <f t="shared" si="42"/>
        <v>2</v>
      </c>
      <c r="M61" s="243"/>
      <c r="N61" s="243"/>
      <c r="O61" s="243"/>
      <c r="P61" s="243"/>
      <c r="Q61" s="243"/>
      <c r="R61" s="243"/>
      <c r="S61" s="243"/>
      <c r="T61" s="243"/>
      <c r="U61" s="780" t="s">
        <v>101</v>
      </c>
      <c r="V61" s="289">
        <f t="shared" si="43"/>
        <v>1</v>
      </c>
      <c r="W61" s="289">
        <f t="shared" si="43"/>
        <v>0</v>
      </c>
      <c r="X61" s="289">
        <f t="shared" si="43"/>
        <v>0</v>
      </c>
      <c r="Y61" s="289">
        <f t="shared" si="43"/>
        <v>1</v>
      </c>
      <c r="Z61" s="780"/>
      <c r="AA61" s="289">
        <f t="shared" si="44"/>
        <v>1</v>
      </c>
      <c r="AB61" s="289">
        <f t="shared" si="44"/>
        <v>0</v>
      </c>
      <c r="AC61" s="289">
        <f t="shared" si="44"/>
        <v>0</v>
      </c>
      <c r="AD61" s="289">
        <f t="shared" si="44"/>
        <v>1</v>
      </c>
      <c r="AE61" s="780"/>
      <c r="AF61" s="243"/>
      <c r="AG61" s="243"/>
      <c r="AH61" s="243"/>
      <c r="AI61" s="243"/>
      <c r="AJ61" s="243"/>
      <c r="AK61" s="243"/>
      <c r="AL61" s="243"/>
      <c r="AM61" s="243"/>
      <c r="AN61" s="243"/>
      <c r="AO61" s="243"/>
      <c r="AP61" s="243"/>
      <c r="AQ61" s="243"/>
      <c r="AR61" s="243"/>
      <c r="AS61" s="243"/>
      <c r="AT61" s="243"/>
      <c r="AU61" s="243"/>
      <c r="AV61" s="243"/>
      <c r="AW61" s="243"/>
      <c r="AX61" s="243"/>
      <c r="AY61" s="243"/>
      <c r="AZ61" s="243"/>
      <c r="BA61" s="243"/>
      <c r="BB61" s="243"/>
      <c r="BC61" s="243"/>
      <c r="BD61" s="243"/>
      <c r="BE61" s="243"/>
      <c r="BF61" s="243"/>
      <c r="BG61" s="243"/>
      <c r="BH61" s="243"/>
      <c r="BI61" s="243"/>
      <c r="BJ61" s="243"/>
      <c r="BK61" s="243"/>
      <c r="BL61" s="243"/>
    </row>
    <row r="62" spans="1:64" s="77" customFormat="1">
      <c r="A62" s="82" t="s">
        <v>102</v>
      </c>
      <c r="B62" s="388">
        <f t="shared" si="45"/>
        <v>0</v>
      </c>
      <c r="C62" s="388">
        <f t="shared" si="47"/>
        <v>0</v>
      </c>
      <c r="D62" s="388">
        <f t="shared" si="48"/>
        <v>0</v>
      </c>
      <c r="E62" s="388">
        <f t="shared" si="49"/>
        <v>0</v>
      </c>
      <c r="F62" s="389">
        <f t="shared" si="40"/>
        <v>0</v>
      </c>
      <c r="G62" s="388">
        <f t="shared" si="46"/>
        <v>1</v>
      </c>
      <c r="H62" s="388">
        <f t="shared" si="50"/>
        <v>0</v>
      </c>
      <c r="I62" s="388">
        <f t="shared" si="51"/>
        <v>0</v>
      </c>
      <c r="J62" s="388">
        <f t="shared" si="52"/>
        <v>0</v>
      </c>
      <c r="K62" s="390">
        <f t="shared" si="42"/>
        <v>1</v>
      </c>
      <c r="M62" s="243"/>
      <c r="N62" s="243"/>
      <c r="O62" s="243"/>
      <c r="P62" s="243"/>
      <c r="Q62" s="243"/>
      <c r="R62" s="243"/>
      <c r="S62" s="243"/>
      <c r="T62" s="243"/>
      <c r="U62" s="780" t="s">
        <v>102</v>
      </c>
      <c r="V62" s="289">
        <f t="shared" si="43"/>
        <v>0</v>
      </c>
      <c r="W62" s="289">
        <f t="shared" si="43"/>
        <v>0</v>
      </c>
      <c r="X62" s="289">
        <f t="shared" si="43"/>
        <v>0</v>
      </c>
      <c r="Y62" s="289">
        <f t="shared" si="43"/>
        <v>0</v>
      </c>
      <c r="Z62" s="780"/>
      <c r="AA62" s="289">
        <f t="shared" si="44"/>
        <v>1</v>
      </c>
      <c r="AB62" s="289">
        <f t="shared" si="44"/>
        <v>0</v>
      </c>
      <c r="AC62" s="289">
        <f t="shared" si="44"/>
        <v>0</v>
      </c>
      <c r="AD62" s="289">
        <f t="shared" si="44"/>
        <v>0</v>
      </c>
      <c r="AE62" s="780"/>
      <c r="AF62" s="243"/>
      <c r="AG62" s="243"/>
      <c r="AH62" s="243"/>
      <c r="AI62" s="243"/>
      <c r="AJ62" s="243"/>
      <c r="AK62" s="243"/>
      <c r="AL62" s="243"/>
      <c r="AM62" s="243"/>
      <c r="AN62" s="243"/>
      <c r="AO62" s="243"/>
      <c r="AP62" s="243"/>
      <c r="AQ62" s="243"/>
      <c r="AR62" s="243"/>
      <c r="AS62" s="243"/>
      <c r="AT62" s="243"/>
      <c r="AU62" s="243"/>
      <c r="AV62" s="243"/>
      <c r="AW62" s="243"/>
      <c r="AX62" s="243"/>
      <c r="AY62" s="243"/>
      <c r="AZ62" s="243"/>
      <c r="BA62" s="243"/>
      <c r="BB62" s="243"/>
      <c r="BC62" s="243"/>
      <c r="BD62" s="243"/>
      <c r="BE62" s="243"/>
      <c r="BF62" s="243"/>
      <c r="BG62" s="243"/>
      <c r="BH62" s="243"/>
      <c r="BI62" s="243"/>
      <c r="BJ62" s="243"/>
      <c r="BK62" s="243"/>
      <c r="BL62" s="243"/>
    </row>
    <row r="63" spans="1:64" s="77" customFormat="1">
      <c r="A63" s="82" t="s">
        <v>103</v>
      </c>
      <c r="B63" s="388">
        <f t="shared" si="45"/>
        <v>2</v>
      </c>
      <c r="C63" s="388">
        <f t="shared" si="47"/>
        <v>0</v>
      </c>
      <c r="D63" s="388">
        <f t="shared" si="48"/>
        <v>0</v>
      </c>
      <c r="E63" s="388">
        <f t="shared" si="49"/>
        <v>0</v>
      </c>
      <c r="F63" s="389">
        <f t="shared" si="40"/>
        <v>2</v>
      </c>
      <c r="G63" s="388">
        <f t="shared" si="46"/>
        <v>3</v>
      </c>
      <c r="H63" s="388">
        <f t="shared" si="50"/>
        <v>0</v>
      </c>
      <c r="I63" s="388">
        <f t="shared" si="51"/>
        <v>0</v>
      </c>
      <c r="J63" s="388">
        <f t="shared" si="52"/>
        <v>0</v>
      </c>
      <c r="K63" s="390">
        <f t="shared" si="42"/>
        <v>3</v>
      </c>
      <c r="M63" s="243"/>
      <c r="N63" s="243"/>
      <c r="O63" s="243"/>
      <c r="P63" s="243"/>
      <c r="Q63" s="243"/>
      <c r="R63" s="243"/>
      <c r="S63" s="243"/>
      <c r="T63" s="243"/>
      <c r="U63" s="780" t="s">
        <v>103</v>
      </c>
      <c r="V63" s="289">
        <f t="shared" si="43"/>
        <v>2</v>
      </c>
      <c r="W63" s="289">
        <f t="shared" si="43"/>
        <v>0</v>
      </c>
      <c r="X63" s="289">
        <f t="shared" si="43"/>
        <v>0</v>
      </c>
      <c r="Y63" s="289">
        <f t="shared" si="43"/>
        <v>0</v>
      </c>
      <c r="Z63" s="780"/>
      <c r="AA63" s="289">
        <f t="shared" si="44"/>
        <v>3</v>
      </c>
      <c r="AB63" s="289">
        <f t="shared" si="44"/>
        <v>0</v>
      </c>
      <c r="AC63" s="289">
        <f t="shared" si="44"/>
        <v>0</v>
      </c>
      <c r="AD63" s="289">
        <f t="shared" si="44"/>
        <v>0</v>
      </c>
      <c r="AE63" s="780"/>
      <c r="AF63" s="243"/>
      <c r="AG63" s="243"/>
      <c r="AH63" s="243"/>
      <c r="AI63" s="243"/>
      <c r="AJ63" s="243"/>
      <c r="AK63" s="243"/>
      <c r="AL63" s="243"/>
      <c r="AM63" s="243"/>
      <c r="AN63" s="243"/>
      <c r="AO63" s="243"/>
      <c r="AP63" s="243"/>
      <c r="AQ63" s="243"/>
      <c r="AR63" s="243"/>
      <c r="AS63" s="243"/>
      <c r="AT63" s="243"/>
      <c r="AU63" s="243"/>
      <c r="AV63" s="243"/>
      <c r="AW63" s="243"/>
      <c r="AX63" s="243"/>
      <c r="AY63" s="243"/>
      <c r="AZ63" s="243"/>
      <c r="BA63" s="243"/>
      <c r="BB63" s="243"/>
      <c r="BC63" s="243"/>
      <c r="BD63" s="243"/>
      <c r="BE63" s="243"/>
      <c r="BF63" s="243"/>
      <c r="BG63" s="243"/>
      <c r="BH63" s="243"/>
      <c r="BI63" s="243"/>
      <c r="BJ63" s="243"/>
      <c r="BK63" s="243"/>
      <c r="BL63" s="243"/>
    </row>
    <row r="64" spans="1:64" s="77" customFormat="1">
      <c r="A64" s="271" t="s">
        <v>63</v>
      </c>
      <c r="B64" s="271">
        <f t="shared" si="45"/>
        <v>0</v>
      </c>
      <c r="C64" s="271">
        <f t="shared" si="47"/>
        <v>0</v>
      </c>
      <c r="D64" s="271">
        <f t="shared" si="48"/>
        <v>0</v>
      </c>
      <c r="E64" s="271">
        <f t="shared" si="49"/>
        <v>0</v>
      </c>
      <c r="F64" s="392">
        <f t="shared" si="40"/>
        <v>0</v>
      </c>
      <c r="G64" s="271">
        <f t="shared" si="46"/>
        <v>0</v>
      </c>
      <c r="H64" s="271">
        <f t="shared" si="50"/>
        <v>0</v>
      </c>
      <c r="I64" s="271">
        <f t="shared" si="51"/>
        <v>0</v>
      </c>
      <c r="J64" s="271">
        <f t="shared" si="52"/>
        <v>0</v>
      </c>
      <c r="K64" s="393">
        <f t="shared" si="42"/>
        <v>0</v>
      </c>
      <c r="M64" s="243"/>
      <c r="N64" s="243"/>
      <c r="O64" s="243"/>
      <c r="P64" s="243"/>
      <c r="Q64" s="243"/>
      <c r="R64" s="243"/>
      <c r="S64" s="243"/>
      <c r="T64" s="243"/>
      <c r="U64" s="780" t="s">
        <v>63</v>
      </c>
      <c r="V64" s="289">
        <f t="shared" si="43"/>
        <v>0</v>
      </c>
      <c r="W64" s="289">
        <f t="shared" si="43"/>
        <v>0</v>
      </c>
      <c r="X64" s="289">
        <f t="shared" si="43"/>
        <v>0</v>
      </c>
      <c r="Y64" s="289">
        <f t="shared" si="43"/>
        <v>0</v>
      </c>
      <c r="Z64" s="780"/>
      <c r="AA64" s="289">
        <f t="shared" si="44"/>
        <v>0</v>
      </c>
      <c r="AB64" s="289">
        <f t="shared" si="44"/>
        <v>0</v>
      </c>
      <c r="AC64" s="289">
        <f t="shared" si="44"/>
        <v>0</v>
      </c>
      <c r="AD64" s="289">
        <f t="shared" si="44"/>
        <v>0</v>
      </c>
      <c r="AE64" s="780"/>
      <c r="AF64" s="243"/>
      <c r="AG64" s="243"/>
      <c r="AH64" s="243"/>
      <c r="AI64" s="243"/>
      <c r="AJ64" s="243"/>
      <c r="AK64" s="243"/>
      <c r="AL64" s="243"/>
      <c r="AM64" s="243"/>
      <c r="AN64" s="243"/>
      <c r="AO64" s="243"/>
      <c r="AP64" s="243"/>
      <c r="AQ64" s="243"/>
      <c r="AR64" s="243"/>
      <c r="AS64" s="243"/>
      <c r="AT64" s="243"/>
      <c r="AU64" s="243"/>
      <c r="AV64" s="243"/>
      <c r="AW64" s="243"/>
      <c r="AX64" s="243"/>
      <c r="AY64" s="243"/>
      <c r="AZ64" s="243"/>
      <c r="BA64" s="243"/>
      <c r="BB64" s="243"/>
      <c r="BC64" s="243"/>
      <c r="BD64" s="243"/>
      <c r="BE64" s="243"/>
      <c r="BF64" s="243"/>
      <c r="BG64" s="243"/>
      <c r="BH64" s="243"/>
      <c r="BI64" s="243"/>
      <c r="BJ64" s="243"/>
      <c r="BK64" s="243"/>
      <c r="BL64" s="243"/>
    </row>
    <row r="65" spans="1:30" ht="26.25" customHeight="1">
      <c r="A65" s="955" t="s">
        <v>351</v>
      </c>
      <c r="B65" s="956"/>
      <c r="C65" s="956"/>
      <c r="D65" s="956"/>
      <c r="E65" s="956"/>
      <c r="F65" s="956"/>
      <c r="G65" s="956"/>
      <c r="H65" s="956"/>
      <c r="I65" s="956"/>
      <c r="J65" s="956"/>
      <c r="K65" s="956"/>
      <c r="L65" s="362"/>
      <c r="M65" s="558"/>
      <c r="N65" s="558"/>
    </row>
    <row r="66" spans="1:30">
      <c r="A66" s="59"/>
    </row>
    <row r="67" spans="1:30">
      <c r="A67" s="332"/>
    </row>
    <row r="68" spans="1:30" ht="41.25" customHeight="1">
      <c r="A68" s="918" t="str">
        <f>Contents!E25</f>
        <v xml:space="preserve">Table 21: Number of infant deaths classified as sudden infant death syndrome (SIDS) and sudden unexpected death in infancy (SUDI) in those aged &lt;1 year, for each ethnic group, by sex, maternal age group, deprivation quintile of residence, gestational age, birthweight and DHB of domicile, 2012–2016
</v>
      </c>
      <c r="B68" s="924"/>
      <c r="C68" s="924"/>
      <c r="D68" s="924"/>
      <c r="E68" s="924"/>
      <c r="F68" s="924"/>
      <c r="G68" s="924"/>
      <c r="H68" s="924"/>
      <c r="I68" s="924"/>
      <c r="J68" s="924"/>
      <c r="K68" s="924"/>
      <c r="L68" s="361"/>
      <c r="M68" s="556"/>
      <c r="N68" s="556"/>
      <c r="V68" s="808" t="s">
        <v>419</v>
      </c>
      <c r="W68" s="808" t="s">
        <v>476</v>
      </c>
    </row>
    <row r="69" spans="1:30">
      <c r="A69" s="914" t="s">
        <v>68</v>
      </c>
      <c r="B69" s="959" t="s">
        <v>200</v>
      </c>
      <c r="C69" s="959"/>
      <c r="D69" s="959"/>
      <c r="E69" s="959"/>
      <c r="F69" s="960"/>
      <c r="G69" s="961" t="s">
        <v>201</v>
      </c>
      <c r="H69" s="959"/>
      <c r="I69" s="959"/>
      <c r="J69" s="959"/>
      <c r="K69" s="960"/>
      <c r="L69" s="168"/>
      <c r="U69" s="289" t="s">
        <v>68</v>
      </c>
      <c r="V69" s="289" t="s">
        <v>32</v>
      </c>
      <c r="W69" s="289" t="s">
        <v>475</v>
      </c>
      <c r="AA69" s="289" t="s">
        <v>33</v>
      </c>
    </row>
    <row r="70" spans="1:30" ht="24">
      <c r="A70" s="909"/>
      <c r="B70" s="294" t="s">
        <v>74</v>
      </c>
      <c r="C70" s="294" t="s">
        <v>320</v>
      </c>
      <c r="D70" s="294" t="s">
        <v>355</v>
      </c>
      <c r="E70" s="294" t="s">
        <v>356</v>
      </c>
      <c r="F70" s="296" t="s">
        <v>44</v>
      </c>
      <c r="G70" s="294" t="s">
        <v>74</v>
      </c>
      <c r="H70" s="294" t="s">
        <v>320</v>
      </c>
      <c r="I70" s="294" t="s">
        <v>355</v>
      </c>
      <c r="J70" s="294" t="s">
        <v>356</v>
      </c>
      <c r="K70" s="294" t="s">
        <v>44</v>
      </c>
      <c r="L70" s="168"/>
      <c r="V70" s="289" t="s">
        <v>129</v>
      </c>
      <c r="W70" s="289" t="s">
        <v>320</v>
      </c>
      <c r="X70" s="289" t="s">
        <v>355</v>
      </c>
      <c r="Y70" s="289" t="s">
        <v>356</v>
      </c>
      <c r="AA70" s="289" t="s">
        <v>129</v>
      </c>
      <c r="AB70" s="289" t="s">
        <v>320</v>
      </c>
      <c r="AC70" s="289" t="s">
        <v>355</v>
      </c>
      <c r="AD70" s="289" t="s">
        <v>356</v>
      </c>
    </row>
    <row r="71" spans="1:30">
      <c r="A71" s="80" t="s">
        <v>104</v>
      </c>
      <c r="B71" s="80"/>
      <c r="C71" s="80"/>
      <c r="D71" s="80"/>
      <c r="E71" s="80"/>
      <c r="F71" s="108"/>
      <c r="G71" s="108"/>
      <c r="H71" s="81"/>
      <c r="I71" s="81"/>
      <c r="J71" s="81"/>
      <c r="K71" s="81"/>
      <c r="L71" s="168"/>
      <c r="U71" s="289" t="s">
        <v>104</v>
      </c>
    </row>
    <row r="72" spans="1:30">
      <c r="A72" s="49" t="s">
        <v>44</v>
      </c>
      <c r="B72" s="364">
        <f>V72</f>
        <v>54</v>
      </c>
      <c r="C72" s="364">
        <f t="shared" ref="C72:E72" si="53">W72</f>
        <v>12</v>
      </c>
      <c r="D72" s="364">
        <f t="shared" si="53"/>
        <v>4</v>
      </c>
      <c r="E72" s="364">
        <f t="shared" si="53"/>
        <v>31</v>
      </c>
      <c r="F72" s="375">
        <f>SUM(B72:E72)</f>
        <v>101</v>
      </c>
      <c r="G72" s="364">
        <f>AA72</f>
        <v>116</v>
      </c>
      <c r="H72" s="364">
        <f t="shared" ref="H72:J72" si="54">AB72</f>
        <v>39</v>
      </c>
      <c r="I72" s="364">
        <f t="shared" si="54"/>
        <v>6</v>
      </c>
      <c r="J72" s="364">
        <f t="shared" si="54"/>
        <v>48</v>
      </c>
      <c r="K72" s="364">
        <f>SUM(G72:J72)</f>
        <v>209</v>
      </c>
      <c r="L72" s="168"/>
      <c r="U72" s="289" t="s">
        <v>44</v>
      </c>
      <c r="V72" s="289">
        <f>VLOOKUP($W$69&amp;V$70&amp;$U$72&amp;$U$71&amp;$V$69, vw.sidssudi.eth, 6, FALSE)</f>
        <v>54</v>
      </c>
      <c r="W72" s="289">
        <f>VLOOKUP($W$69&amp;W$70&amp;$U$72&amp;$U$71&amp;$V$69, vw.sidssudi.eth, 6, FALSE)</f>
        <v>12</v>
      </c>
      <c r="X72" s="289">
        <f>VLOOKUP($W$69&amp;X$70&amp;$U$72&amp;$U$71&amp;$V$69, vw.sidssudi.eth, 6, FALSE)</f>
        <v>4</v>
      </c>
      <c r="Y72" s="289">
        <f>VLOOKUP($W$69&amp;Y$70&amp;$U$72&amp;$U$71&amp;$V$69, vw.sidssudi.eth, 6, FALSE)</f>
        <v>31</v>
      </c>
      <c r="AA72" s="289">
        <f>VLOOKUP($W$69&amp;AA$70&amp;$U$72&amp;$U$71&amp;$AA$69, vw.sidssudi.eth, 6, FALSE)</f>
        <v>116</v>
      </c>
      <c r="AB72" s="289">
        <f>VLOOKUP($W$69&amp;AB$70&amp;$U$72&amp;$U$71&amp;$AA$69, vw.sidssudi.eth, 6, FALSE)</f>
        <v>39</v>
      </c>
      <c r="AC72" s="289">
        <f>VLOOKUP($W$69&amp;AC$70&amp;$U$72&amp;$U$71&amp;$AA$69, vw.sidssudi.eth, 6, FALSE)</f>
        <v>6</v>
      </c>
      <c r="AD72" s="289">
        <f>VLOOKUP($W$69&amp;AD$70&amp;$U$72&amp;$U$71&amp;$AA$69, vw.sidssudi.eth, 6, FALSE)</f>
        <v>48</v>
      </c>
    </row>
    <row r="73" spans="1:30">
      <c r="A73" s="80" t="s">
        <v>69</v>
      </c>
      <c r="B73" s="81"/>
      <c r="C73" s="81"/>
      <c r="D73" s="81"/>
      <c r="E73" s="81"/>
      <c r="F73" s="328"/>
      <c r="G73" s="328"/>
      <c r="H73" s="81"/>
      <c r="I73" s="81"/>
      <c r="J73" s="81"/>
      <c r="K73" s="81"/>
      <c r="L73" s="168"/>
      <c r="U73" s="289" t="s">
        <v>69</v>
      </c>
    </row>
    <row r="74" spans="1:30">
      <c r="A74" s="49" t="s">
        <v>70</v>
      </c>
      <c r="B74" s="364">
        <f>V74</f>
        <v>39</v>
      </c>
      <c r="C74" s="364">
        <f t="shared" ref="C74:E75" si="55">W74</f>
        <v>8</v>
      </c>
      <c r="D74" s="364">
        <f t="shared" si="55"/>
        <v>2</v>
      </c>
      <c r="E74" s="364">
        <f t="shared" si="55"/>
        <v>17</v>
      </c>
      <c r="F74" s="375">
        <f>SUM(B74:E74)</f>
        <v>66</v>
      </c>
      <c r="G74" s="364">
        <f>AA74</f>
        <v>70</v>
      </c>
      <c r="H74" s="364">
        <f t="shared" ref="H74:J75" si="56">AB74</f>
        <v>22</v>
      </c>
      <c r="I74" s="364">
        <f t="shared" si="56"/>
        <v>3</v>
      </c>
      <c r="J74" s="364">
        <f t="shared" si="56"/>
        <v>26</v>
      </c>
      <c r="K74" s="364">
        <f>SUM(G74:J74)</f>
        <v>121</v>
      </c>
      <c r="L74" s="168"/>
      <c r="U74" s="289" t="s">
        <v>70</v>
      </c>
      <c r="V74" s="289">
        <f>VLOOKUP($W$69&amp;V$70&amp;$U$74&amp;$U$73&amp;$V$69, vw.sidssudi.eth, 6, FALSE)</f>
        <v>39</v>
      </c>
      <c r="W74" s="289">
        <f>VLOOKUP($W$69&amp;W$70&amp;$U$74&amp;$U$73&amp;$V$69, vw.sidssudi.eth, 6, FALSE)</f>
        <v>8</v>
      </c>
      <c r="X74" s="289">
        <f>VLOOKUP($W$69&amp;X$70&amp;$U$74&amp;$U$73&amp;$V$69, vw.sidssudi.eth, 6, FALSE)</f>
        <v>2</v>
      </c>
      <c r="Y74" s="289">
        <f>VLOOKUP($W$69&amp;Y$70&amp;$U$74&amp;$U$73&amp;$V$69, vw.sidssudi.eth, 6, FALSE)</f>
        <v>17</v>
      </c>
      <c r="AA74" s="289">
        <f>VLOOKUP($W$69&amp;AA$70&amp;$U$74&amp;$U$73&amp;$AA$69, vw.sidssudi.eth, 6, FALSE)</f>
        <v>70</v>
      </c>
      <c r="AB74" s="289">
        <f>VLOOKUP($W$69&amp;AB$70&amp;$U$74&amp;$U$73&amp;$AA$69, vw.sidssudi.eth, 6, FALSE)</f>
        <v>22</v>
      </c>
      <c r="AC74" s="289">
        <f>VLOOKUP($W$69&amp;AC$70&amp;$U$74&amp;$U$73&amp;$AA$69, vw.sidssudi.eth, 6, FALSE)</f>
        <v>3</v>
      </c>
      <c r="AD74" s="289">
        <f>VLOOKUP($W$69&amp;AD$70&amp;$U$74&amp;$U$73&amp;$AA$69, vw.sidssudi.eth, 6, FALSE)</f>
        <v>26</v>
      </c>
    </row>
    <row r="75" spans="1:30">
      <c r="A75" s="49" t="s">
        <v>71</v>
      </c>
      <c r="B75" s="364">
        <f>V75</f>
        <v>15</v>
      </c>
      <c r="C75" s="364">
        <f t="shared" si="55"/>
        <v>4</v>
      </c>
      <c r="D75" s="364">
        <f t="shared" si="55"/>
        <v>2</v>
      </c>
      <c r="E75" s="364">
        <f t="shared" si="55"/>
        <v>14</v>
      </c>
      <c r="F75" s="375">
        <f>SUM(B75:E75)</f>
        <v>35</v>
      </c>
      <c r="G75" s="364">
        <f>AA75</f>
        <v>46</v>
      </c>
      <c r="H75" s="364">
        <f t="shared" si="56"/>
        <v>17</v>
      </c>
      <c r="I75" s="364">
        <f t="shared" si="56"/>
        <v>3</v>
      </c>
      <c r="J75" s="364">
        <f t="shared" si="56"/>
        <v>22</v>
      </c>
      <c r="K75" s="364">
        <f>SUM(G75:J75)</f>
        <v>88</v>
      </c>
      <c r="L75" s="168"/>
      <c r="U75" s="289" t="s">
        <v>71</v>
      </c>
      <c r="V75" s="289">
        <f>VLOOKUP($W$69&amp;V$70&amp;$U$75&amp;$U$73&amp;$V$69, vw.sidssudi.eth, 6, FALSE)</f>
        <v>15</v>
      </c>
      <c r="W75" s="289">
        <f>VLOOKUP($W$69&amp;W$70&amp;$U$75&amp;$U$73&amp;$V$69, vw.sidssudi.eth, 6, FALSE)</f>
        <v>4</v>
      </c>
      <c r="X75" s="289">
        <f>VLOOKUP($W$69&amp;X$70&amp;$U$75&amp;$U$73&amp;$V$69, vw.sidssudi.eth, 6, FALSE)</f>
        <v>2</v>
      </c>
      <c r="Y75" s="289">
        <f>VLOOKUP($W$69&amp;Y$70&amp;$U$75&amp;$U$73&amp;$V$69, vw.sidssudi.eth, 6, FALSE)</f>
        <v>14</v>
      </c>
      <c r="AA75" s="289">
        <f>VLOOKUP($W$69&amp;AA$70&amp;$U$75&amp;$U$73&amp;$AA$69, vw.sidssudi.eth, 6, FALSE)</f>
        <v>46</v>
      </c>
      <c r="AB75" s="289">
        <f>VLOOKUP($W$69&amp;AB$70&amp;$U$75&amp;$U$73&amp;$AA$69, vw.sidssudi.eth, 6, FALSE)</f>
        <v>17</v>
      </c>
      <c r="AC75" s="289">
        <f>VLOOKUP($W$69&amp;AC$70&amp;$U$75&amp;$U$73&amp;$AA$69, vw.sidssudi.eth, 6, FALSE)</f>
        <v>3</v>
      </c>
      <c r="AD75" s="289">
        <f>VLOOKUP($W$69&amp;AD$70&amp;$U$75&amp;$U$73&amp;$AA$69, vw.sidssudi.eth, 6, FALSE)</f>
        <v>22</v>
      </c>
    </row>
    <row r="76" spans="1:30">
      <c r="A76" s="80" t="s">
        <v>152</v>
      </c>
      <c r="B76" s="81"/>
      <c r="C76" s="81"/>
      <c r="D76" s="81"/>
      <c r="E76" s="81"/>
      <c r="F76" s="328"/>
      <c r="G76" s="328"/>
      <c r="H76" s="81"/>
      <c r="I76" s="81"/>
      <c r="J76" s="81"/>
      <c r="K76" s="369"/>
      <c r="L76" s="168"/>
      <c r="U76" s="289" t="s">
        <v>462</v>
      </c>
    </row>
    <row r="77" spans="1:30">
      <c r="A77" s="442" t="s">
        <v>339</v>
      </c>
      <c r="B77" s="364">
        <f>V77</f>
        <v>11</v>
      </c>
      <c r="C77" s="364">
        <f t="shared" ref="C77:E83" si="57">W77</f>
        <v>1</v>
      </c>
      <c r="D77" s="364">
        <f t="shared" si="57"/>
        <v>0</v>
      </c>
      <c r="E77" s="364">
        <f t="shared" si="57"/>
        <v>5</v>
      </c>
      <c r="F77" s="375">
        <f>SUM(B77:E77)</f>
        <v>17</v>
      </c>
      <c r="G77" s="364">
        <f>AA77</f>
        <v>26</v>
      </c>
      <c r="H77" s="364">
        <f t="shared" ref="H77:J83" si="58">AB77</f>
        <v>4</v>
      </c>
      <c r="I77" s="364">
        <f t="shared" si="58"/>
        <v>1</v>
      </c>
      <c r="J77" s="364">
        <f t="shared" si="58"/>
        <v>5</v>
      </c>
      <c r="K77" s="364">
        <f>SUM(G77:J77)</f>
        <v>36</v>
      </c>
      <c r="L77" s="168"/>
      <c r="U77" s="289" t="s">
        <v>339</v>
      </c>
      <c r="V77" s="289">
        <f>IFERROR(VLOOKUP($W$69&amp;V$70&amp;$U$77&amp;$U$76&amp;$V$69, vw.sidssudi.eth, 6, FALSE),0)</f>
        <v>11</v>
      </c>
      <c r="W77" s="289">
        <f>IFERROR(VLOOKUP($W$69&amp;W$70&amp;$U$77&amp;$U$76&amp;$V$69, vw.sidssudi.eth, 6, FALSE),0)</f>
        <v>1</v>
      </c>
      <c r="X77" s="289">
        <f>IFERROR(VLOOKUP($W$69&amp;X$70&amp;$U$77&amp;$U$76&amp;$V$69, vw.sidssudi.eth, 6, FALSE),0)</f>
        <v>0</v>
      </c>
      <c r="Y77" s="289">
        <f>IFERROR(VLOOKUP($W$69&amp;Y$70&amp;$U$77&amp;$U$76&amp;$V$69, vw.sidssudi.eth, 6, FALSE),0)</f>
        <v>5</v>
      </c>
      <c r="AA77" s="289">
        <f>IFERROR(VLOOKUP($W$69&amp;AA$70&amp;$U$77&amp;$U$76&amp;$AA$69, vw.sidssudi.eth, 6, FALSE),0)</f>
        <v>26</v>
      </c>
      <c r="AB77" s="289">
        <f>IFERROR(VLOOKUP($W$69&amp;AB$70&amp;$U$77&amp;$U$76&amp;$AA$69, vw.sidssudi.eth, 6, FALSE),0)</f>
        <v>4</v>
      </c>
      <c r="AC77" s="289">
        <f>IFERROR(VLOOKUP($W$69&amp;AC$70&amp;$U$77&amp;$U$76&amp;$AA$69, vw.sidssudi.eth, 6, FALSE),0)</f>
        <v>1</v>
      </c>
      <c r="AD77" s="289">
        <f>IFERROR(VLOOKUP($W$69&amp;AD$70&amp;$U$77&amp;$U$76&amp;$AA$69, vw.sidssudi.eth, 6, FALSE),0)</f>
        <v>5</v>
      </c>
    </row>
    <row r="78" spans="1:30">
      <c r="A78" s="49" t="s">
        <v>77</v>
      </c>
      <c r="B78" s="364">
        <f t="shared" ref="B78:B83" si="59">V78</f>
        <v>19</v>
      </c>
      <c r="C78" s="364">
        <f t="shared" si="57"/>
        <v>7</v>
      </c>
      <c r="D78" s="364">
        <f t="shared" si="57"/>
        <v>0</v>
      </c>
      <c r="E78" s="364">
        <f t="shared" si="57"/>
        <v>10</v>
      </c>
      <c r="F78" s="375">
        <f t="shared" ref="F78:F83" si="60">SUM(B78:E78)</f>
        <v>36</v>
      </c>
      <c r="G78" s="364">
        <f t="shared" ref="G78:G83" si="61">AA78</f>
        <v>39</v>
      </c>
      <c r="H78" s="364">
        <f t="shared" si="58"/>
        <v>19</v>
      </c>
      <c r="I78" s="364">
        <f t="shared" si="58"/>
        <v>1</v>
      </c>
      <c r="J78" s="364">
        <f t="shared" si="58"/>
        <v>16</v>
      </c>
      <c r="K78" s="364">
        <f t="shared" ref="K78:K83" si="62">SUM(G78:J78)</f>
        <v>75</v>
      </c>
      <c r="L78" s="168"/>
      <c r="U78" s="289" t="s">
        <v>130</v>
      </c>
      <c r="V78" s="289">
        <f>IFERROR(VLOOKUP($W$69&amp;V$70&amp;$U$78&amp;$U$76&amp;$V$69, vw.sidssudi.eth, 6, FALSE),0)</f>
        <v>19</v>
      </c>
      <c r="W78" s="289">
        <f>IFERROR(VLOOKUP($W$69&amp;W$70&amp;$U$78&amp;$U$76&amp;$V$69, vw.sidssudi.eth, 6, FALSE),0)</f>
        <v>7</v>
      </c>
      <c r="X78" s="289">
        <f>IFERROR(VLOOKUP($W$69&amp;X$70&amp;$U$78&amp;$U$76&amp;$V$69, vw.sidssudi.eth, 6, FALSE),0)</f>
        <v>0</v>
      </c>
      <c r="Y78" s="289">
        <f>IFERROR(VLOOKUP($W$69&amp;Y$70&amp;$U$78&amp;$U$76&amp;$V$69, vw.sidssudi.eth, 6, FALSE),0)</f>
        <v>10</v>
      </c>
      <c r="AA78" s="289">
        <f>IFERROR(VLOOKUP($W$69&amp;AA$70&amp;$U$78&amp;$U$76&amp;$AA$69, vw.sidssudi.eth, 6, FALSE),0)</f>
        <v>39</v>
      </c>
      <c r="AB78" s="289">
        <f>IFERROR(VLOOKUP($W$69&amp;AB$70&amp;$U$78&amp;$U$76&amp;$AA$69, vw.sidssudi.eth, 6, FALSE),0)</f>
        <v>19</v>
      </c>
      <c r="AC78" s="289">
        <f>IFERROR(VLOOKUP($W$69&amp;AC$70&amp;$U$78&amp;$U$76&amp;$AA$69, vw.sidssudi.eth, 6, FALSE),0)</f>
        <v>1</v>
      </c>
      <c r="AD78" s="289">
        <f>IFERROR(VLOOKUP($W$69&amp;AD$70&amp;$U$78&amp;$U$76&amp;$AA$69, vw.sidssudi.eth, 6, FALSE),0)</f>
        <v>16</v>
      </c>
    </row>
    <row r="79" spans="1:30">
      <c r="A79" s="49" t="s">
        <v>78</v>
      </c>
      <c r="B79" s="364">
        <f t="shared" si="59"/>
        <v>12</v>
      </c>
      <c r="C79" s="364">
        <f t="shared" si="57"/>
        <v>0</v>
      </c>
      <c r="D79" s="364">
        <f t="shared" si="57"/>
        <v>2</v>
      </c>
      <c r="E79" s="364">
        <f t="shared" si="57"/>
        <v>7</v>
      </c>
      <c r="F79" s="375">
        <f t="shared" si="60"/>
        <v>21</v>
      </c>
      <c r="G79" s="364">
        <f t="shared" si="61"/>
        <v>22</v>
      </c>
      <c r="H79" s="364">
        <f t="shared" si="58"/>
        <v>6</v>
      </c>
      <c r="I79" s="364">
        <f t="shared" si="58"/>
        <v>2</v>
      </c>
      <c r="J79" s="364">
        <f t="shared" si="58"/>
        <v>13</v>
      </c>
      <c r="K79" s="364">
        <f t="shared" si="62"/>
        <v>43</v>
      </c>
      <c r="L79" s="168"/>
      <c r="U79" s="289" t="s">
        <v>131</v>
      </c>
      <c r="V79" s="289">
        <f>IFERROR(VLOOKUP($W$69&amp;V$70&amp;$U$79&amp;$U$76&amp;$V$69, vw.sidssudi.eth, 6, FALSE),0)</f>
        <v>12</v>
      </c>
      <c r="W79" s="289">
        <f>IFERROR(VLOOKUP($W$69&amp;W$70&amp;$U$79&amp;$U$76&amp;$V$69, vw.sidssudi.eth, 6, FALSE),0)</f>
        <v>0</v>
      </c>
      <c r="X79" s="289">
        <f>IFERROR(VLOOKUP($W$69&amp;X$70&amp;$U$79&amp;$U$76&amp;$V$69, vw.sidssudi.eth, 6, FALSE),0)</f>
        <v>2</v>
      </c>
      <c r="Y79" s="289">
        <f>IFERROR(VLOOKUP($W$69&amp;Y$70&amp;$U$79&amp;$U$76&amp;$V$69, vw.sidssudi.eth, 6, FALSE),0)</f>
        <v>7</v>
      </c>
      <c r="AA79" s="289">
        <f>IFERROR(VLOOKUP($W$69&amp;AA$70&amp;$U$79&amp;$U$76&amp;$AA$69, vw.sidssudi.eth, 6, FALSE),0)</f>
        <v>22</v>
      </c>
      <c r="AB79" s="289">
        <f>IFERROR(VLOOKUP($W$69&amp;AB$70&amp;$U$79&amp;$U$76&amp;$AA$69, vw.sidssudi.eth, 6, FALSE),0)</f>
        <v>6</v>
      </c>
      <c r="AC79" s="289">
        <f>IFERROR(VLOOKUP($W$69&amp;AC$70&amp;$U$79&amp;$U$76&amp;$AA$69, vw.sidssudi.eth, 6, FALSE),0)</f>
        <v>2</v>
      </c>
      <c r="AD79" s="289">
        <f>IFERROR(VLOOKUP($W$69&amp;AD$70&amp;$U$79&amp;$U$76&amp;$AA$69, vw.sidssudi.eth, 6, FALSE),0)</f>
        <v>13</v>
      </c>
    </row>
    <row r="80" spans="1:30">
      <c r="A80" s="49" t="s">
        <v>79</v>
      </c>
      <c r="B80" s="364">
        <f t="shared" si="59"/>
        <v>11</v>
      </c>
      <c r="C80" s="364">
        <f t="shared" si="57"/>
        <v>2</v>
      </c>
      <c r="D80" s="364">
        <f t="shared" si="57"/>
        <v>2</v>
      </c>
      <c r="E80" s="364">
        <f t="shared" si="57"/>
        <v>2</v>
      </c>
      <c r="F80" s="375">
        <f t="shared" si="60"/>
        <v>17</v>
      </c>
      <c r="G80" s="364">
        <f t="shared" si="61"/>
        <v>20</v>
      </c>
      <c r="H80" s="364">
        <f t="shared" si="58"/>
        <v>5</v>
      </c>
      <c r="I80" s="364">
        <f t="shared" si="58"/>
        <v>2</v>
      </c>
      <c r="J80" s="364">
        <f t="shared" si="58"/>
        <v>4</v>
      </c>
      <c r="K80" s="364">
        <f t="shared" si="62"/>
        <v>31</v>
      </c>
      <c r="L80" s="265"/>
      <c r="U80" s="289" t="s">
        <v>132</v>
      </c>
      <c r="V80" s="289">
        <f>IFERROR(VLOOKUP($W$69&amp;V$70&amp;$U$80&amp;$U$76&amp;$V$69, vw.sidssudi.eth, 6, FALSE),0)</f>
        <v>11</v>
      </c>
      <c r="W80" s="289">
        <f>IFERROR(VLOOKUP($W$69&amp;W$70&amp;$U$80&amp;$U$76&amp;$V$69, vw.sidssudi.eth, 6, FALSE),0)</f>
        <v>2</v>
      </c>
      <c r="X80" s="289">
        <f>IFERROR(VLOOKUP($W$69&amp;X$70&amp;$U$80&amp;$U$76&amp;$V$69, vw.sidssudi.eth, 6, FALSE),0)</f>
        <v>2</v>
      </c>
      <c r="Y80" s="289">
        <f>IFERROR(VLOOKUP($W$69&amp;Y$70&amp;$U$80&amp;$U$76&amp;$V$69, vw.sidssudi.eth, 6, FALSE),0)</f>
        <v>2</v>
      </c>
      <c r="AA80" s="289">
        <f>IFERROR(VLOOKUP($W$69&amp;AA$70&amp;$U$80&amp;$U$76&amp;$AA$69, vw.sidssudi.eth, 6, FALSE),0)</f>
        <v>20</v>
      </c>
      <c r="AB80" s="289">
        <f>IFERROR(VLOOKUP($W$69&amp;AB$70&amp;$U$80&amp;$U$76&amp;$AA$69, vw.sidssudi.eth, 6, FALSE),0)</f>
        <v>5</v>
      </c>
      <c r="AC80" s="289">
        <f>IFERROR(VLOOKUP($W$69&amp;AC$70&amp;$U$80&amp;$U$76&amp;$AA$69, vw.sidssudi.eth, 6, FALSE),0)</f>
        <v>2</v>
      </c>
      <c r="AD80" s="289">
        <f>IFERROR(VLOOKUP($W$69&amp;AD$70&amp;$U$80&amp;$U$76&amp;$AA$69, vw.sidssudi.eth, 6, FALSE),0)</f>
        <v>4</v>
      </c>
    </row>
    <row r="81" spans="1:64">
      <c r="A81" s="49" t="s">
        <v>80</v>
      </c>
      <c r="B81" s="364">
        <f t="shared" si="59"/>
        <v>0</v>
      </c>
      <c r="C81" s="364">
        <f t="shared" si="57"/>
        <v>2</v>
      </c>
      <c r="D81" s="364">
        <f t="shared" si="57"/>
        <v>0</v>
      </c>
      <c r="E81" s="364">
        <f t="shared" si="57"/>
        <v>4</v>
      </c>
      <c r="F81" s="375">
        <f t="shared" si="60"/>
        <v>6</v>
      </c>
      <c r="G81" s="364">
        <f t="shared" si="61"/>
        <v>6</v>
      </c>
      <c r="H81" s="364">
        <f t="shared" si="58"/>
        <v>5</v>
      </c>
      <c r="I81" s="364">
        <f t="shared" si="58"/>
        <v>0</v>
      </c>
      <c r="J81" s="364">
        <f t="shared" si="58"/>
        <v>5</v>
      </c>
      <c r="K81" s="364">
        <f t="shared" si="62"/>
        <v>16</v>
      </c>
      <c r="L81" s="265"/>
      <c r="U81" s="289" t="s">
        <v>133</v>
      </c>
      <c r="V81" s="289">
        <f>IFERROR(VLOOKUP($W$69&amp;V$70&amp;$U$81&amp;$U$76&amp;$V$69, vw.sidssudi.eth, 6, FALSE),0)</f>
        <v>0</v>
      </c>
      <c r="W81" s="289">
        <f>IFERROR(VLOOKUP($W$69&amp;W$70&amp;$U$81&amp;$U$76&amp;$V$69, vw.sidssudi.eth, 6, FALSE),0)</f>
        <v>2</v>
      </c>
      <c r="X81" s="289">
        <f>IFERROR(VLOOKUP($W$69&amp;X$70&amp;$U$81&amp;$U$76&amp;$V$69, vw.sidssudi.eth, 6, FALSE),0)</f>
        <v>0</v>
      </c>
      <c r="Y81" s="289">
        <f>IFERROR(VLOOKUP($W$69&amp;Y$70&amp;$U$81&amp;$U$76&amp;$V$69, vw.sidssudi.eth, 6, FALSE),0)</f>
        <v>4</v>
      </c>
      <c r="AA81" s="289">
        <f>IFERROR(VLOOKUP($W$69&amp;AA$70&amp;$U$81&amp;$U$76&amp;$AA$69, vw.sidssudi.eth, 6, FALSE),0)</f>
        <v>6</v>
      </c>
      <c r="AB81" s="289">
        <f>IFERROR(VLOOKUP($W$69&amp;AB$70&amp;$U$81&amp;$U$76&amp;$AA$69, vw.sidssudi.eth, 6, FALSE),0)</f>
        <v>5</v>
      </c>
      <c r="AC81" s="289">
        <f>IFERROR(VLOOKUP($W$69&amp;AC$70&amp;$U$81&amp;$U$76&amp;$AA$69, vw.sidssudi.eth, 6, FALSE),0)</f>
        <v>0</v>
      </c>
      <c r="AD81" s="289">
        <f>IFERROR(VLOOKUP($W$69&amp;AD$70&amp;$U$81&amp;$U$76&amp;$AA$69, vw.sidssudi.eth, 6, FALSE),0)</f>
        <v>5</v>
      </c>
    </row>
    <row r="82" spans="1:64">
      <c r="A82" s="49" t="s">
        <v>81</v>
      </c>
      <c r="B82" s="364">
        <f t="shared" si="59"/>
        <v>0</v>
      </c>
      <c r="C82" s="364">
        <f t="shared" si="57"/>
        <v>0</v>
      </c>
      <c r="D82" s="364">
        <f t="shared" si="57"/>
        <v>0</v>
      </c>
      <c r="E82" s="364">
        <f t="shared" si="57"/>
        <v>1</v>
      </c>
      <c r="F82" s="375">
        <f t="shared" si="60"/>
        <v>1</v>
      </c>
      <c r="G82" s="364">
        <f t="shared" si="61"/>
        <v>2</v>
      </c>
      <c r="H82" s="364">
        <f t="shared" si="58"/>
        <v>0</v>
      </c>
      <c r="I82" s="364">
        <f t="shared" si="58"/>
        <v>0</v>
      </c>
      <c r="J82" s="364">
        <f t="shared" si="58"/>
        <v>2</v>
      </c>
      <c r="K82" s="364">
        <f t="shared" si="62"/>
        <v>4</v>
      </c>
      <c r="L82" s="265"/>
      <c r="U82" s="289" t="s">
        <v>134</v>
      </c>
      <c r="V82" s="289">
        <f>IFERROR(VLOOKUP($W$69&amp;V$70&amp;$U$82&amp;$U$76&amp;$V$69, vw.sidssudi.eth, 6, FALSE),0)</f>
        <v>0</v>
      </c>
      <c r="W82" s="289">
        <f>IFERROR(VLOOKUP($W$69&amp;W$70&amp;$U$82&amp;$U$76&amp;$V$69, vw.sidssudi.eth, 6, FALSE),0)</f>
        <v>0</v>
      </c>
      <c r="X82" s="289">
        <f>IFERROR(VLOOKUP($W$69&amp;X$70&amp;$U$82&amp;$U$76&amp;$V$69, vw.sidssudi.eth, 6, FALSE),0)</f>
        <v>0</v>
      </c>
      <c r="Y82" s="289">
        <f>IFERROR(VLOOKUP($W$69&amp;Y$70&amp;$U$82&amp;$U$76&amp;$V$69, vw.sidssudi.eth, 6, FALSE),0)</f>
        <v>1</v>
      </c>
      <c r="AA82" s="289">
        <f>IFERROR(VLOOKUP($W$69&amp;AA$70&amp;$U$82&amp;$U$76&amp;$AA$69, vw.sidssudi.eth, 6, FALSE),0)</f>
        <v>2</v>
      </c>
      <c r="AB82" s="289">
        <f>IFERROR(VLOOKUP($W$69&amp;AB$70&amp;$U$82&amp;$U$76&amp;$AA$69, vw.sidssudi.eth, 6, FALSE),0)</f>
        <v>0</v>
      </c>
      <c r="AC82" s="289">
        <f>IFERROR(VLOOKUP($W$69&amp;AC$70&amp;$U$82&amp;$U$76&amp;$AA$69, vw.sidssudi.eth, 6, FALSE),0)</f>
        <v>0</v>
      </c>
      <c r="AD82" s="289">
        <f>IFERROR(VLOOKUP($W$69&amp;AD$70&amp;$U$82&amp;$U$76&amp;$AA$69, vw.sidssudi.eth, 6, FALSE),0)</f>
        <v>2</v>
      </c>
    </row>
    <row r="83" spans="1:64">
      <c r="A83" s="49" t="s">
        <v>63</v>
      </c>
      <c r="B83" s="364">
        <f t="shared" si="59"/>
        <v>1</v>
      </c>
      <c r="C83" s="364">
        <f t="shared" si="57"/>
        <v>0</v>
      </c>
      <c r="D83" s="364">
        <f t="shared" si="57"/>
        <v>0</v>
      </c>
      <c r="E83" s="364">
        <f t="shared" si="57"/>
        <v>2</v>
      </c>
      <c r="F83" s="375">
        <f t="shared" si="60"/>
        <v>3</v>
      </c>
      <c r="G83" s="364">
        <f t="shared" si="61"/>
        <v>1</v>
      </c>
      <c r="H83" s="364">
        <f t="shared" si="58"/>
        <v>0</v>
      </c>
      <c r="I83" s="364">
        <f t="shared" si="58"/>
        <v>0</v>
      </c>
      <c r="J83" s="364">
        <f t="shared" si="58"/>
        <v>3</v>
      </c>
      <c r="K83" s="364">
        <f t="shared" si="62"/>
        <v>4</v>
      </c>
      <c r="L83" s="265"/>
      <c r="U83" s="289" t="s">
        <v>63</v>
      </c>
      <c r="V83" s="289">
        <f>IFERROR(VLOOKUP($W$69&amp;V$70&amp;$U$83&amp;$U$76&amp;$V$69, vw.sidssudi.eth, 6, FALSE),0)</f>
        <v>1</v>
      </c>
      <c r="W83" s="289">
        <f>IFERROR(VLOOKUP($W$69&amp;W$70&amp;$U$83&amp;$U$76&amp;$V$69, vw.sidssudi.eth, 6, FALSE),0)</f>
        <v>0</v>
      </c>
      <c r="X83" s="289">
        <f>IFERROR(VLOOKUP($W$69&amp;X$70&amp;$U$83&amp;$U$76&amp;$V$69, vw.sidssudi.eth, 6, FALSE),0)</f>
        <v>0</v>
      </c>
      <c r="Y83" s="289">
        <f>IFERROR(VLOOKUP($W$69&amp;Y$70&amp;$U$83&amp;$U$76&amp;$V$69, vw.sidssudi.eth, 6, FALSE),0)</f>
        <v>2</v>
      </c>
      <c r="AA83" s="289">
        <f>IFERROR(VLOOKUP($W$69&amp;AA$70&amp;$U$83&amp;$U$76&amp;$AA$69, vw.sidssudi.eth, 6, FALSE),0)</f>
        <v>1</v>
      </c>
      <c r="AB83" s="289">
        <f>IFERROR(VLOOKUP($W$69&amp;AB$70&amp;$U$83&amp;$U$76&amp;$AA$69, vw.sidssudi.eth, 6, FALSE),0)</f>
        <v>0</v>
      </c>
      <c r="AC83" s="289">
        <f>IFERROR(VLOOKUP($W$69&amp;AC$70&amp;$U$83&amp;$U$76&amp;$AA$69, vw.sidssudi.eth, 6, FALSE),0)</f>
        <v>0</v>
      </c>
      <c r="AD83" s="289">
        <f>IFERROR(VLOOKUP($W$69&amp;AD$70&amp;$U$83&amp;$U$76&amp;$AA$69, vw.sidssudi.eth, 6, FALSE),0)</f>
        <v>3</v>
      </c>
    </row>
    <row r="84" spans="1:64">
      <c r="A84" s="80" t="s">
        <v>82</v>
      </c>
      <c r="B84" s="81"/>
      <c r="C84" s="81"/>
      <c r="D84" s="81"/>
      <c r="E84" s="81"/>
      <c r="F84" s="328"/>
      <c r="G84" s="328"/>
      <c r="H84" s="81"/>
      <c r="I84" s="81"/>
      <c r="J84" s="81"/>
      <c r="K84" s="369"/>
      <c r="L84" s="265"/>
      <c r="U84" s="289" t="s">
        <v>463</v>
      </c>
    </row>
    <row r="85" spans="1:64">
      <c r="A85" s="49" t="s">
        <v>83</v>
      </c>
      <c r="B85" s="364">
        <f>V85</f>
        <v>2</v>
      </c>
      <c r="C85" s="364">
        <f t="shared" ref="C85:E90" si="63">W85</f>
        <v>0</v>
      </c>
      <c r="D85" s="364">
        <f t="shared" si="63"/>
        <v>0</v>
      </c>
      <c r="E85" s="364">
        <f t="shared" si="63"/>
        <v>4</v>
      </c>
      <c r="F85" s="375">
        <f>SUM(B85:E85)</f>
        <v>6</v>
      </c>
      <c r="G85" s="364">
        <f>AA85</f>
        <v>4</v>
      </c>
      <c r="H85" s="364">
        <f t="shared" ref="H85:J90" si="64">AB85</f>
        <v>0</v>
      </c>
      <c r="I85" s="364">
        <f t="shared" si="64"/>
        <v>0</v>
      </c>
      <c r="J85" s="364">
        <f t="shared" si="64"/>
        <v>4</v>
      </c>
      <c r="K85" s="364">
        <f t="shared" ref="K85:K90" si="65">SUM(G85:J85)</f>
        <v>8</v>
      </c>
      <c r="L85" s="265"/>
      <c r="U85" s="289" t="s">
        <v>421</v>
      </c>
      <c r="V85" s="289">
        <f>IFERROR(VLOOKUP($W$69&amp;V$70&amp;$U$85&amp;$U$84&amp;$V$69, vw.sidssudi.eth, 6, FALSE),0)</f>
        <v>2</v>
      </c>
      <c r="W85" s="289">
        <f>IFERROR(VLOOKUP($W$69&amp;W$70&amp;$U$85&amp;$U$84&amp;$V$69, vw.sidssudi.eth, 6, FALSE),0)</f>
        <v>0</v>
      </c>
      <c r="X85" s="289">
        <f>IFERROR(VLOOKUP($W$69&amp;X$70&amp;$U$85&amp;$U$84&amp;$V$69, vw.sidssudi.eth, 6, FALSE),0)</f>
        <v>0</v>
      </c>
      <c r="Y85" s="289">
        <f>IFERROR(VLOOKUP($W$69&amp;Y$70&amp;$U$85&amp;$U$84&amp;$V$69, vw.sidssudi.eth, 6, FALSE),0)</f>
        <v>4</v>
      </c>
      <c r="AA85" s="289">
        <f>IFERROR(VLOOKUP($W$69&amp;AA$70&amp;$U$85&amp;$U$84&amp;$AA$69, vw.sidssudi.eth, 6, FALSE),0)</f>
        <v>4</v>
      </c>
      <c r="AB85" s="289">
        <f>IFERROR(VLOOKUP($W$69&amp;AB$70&amp;$U$85&amp;$U$84&amp;$AA$69, vw.sidssudi.eth, 6, FALSE),0)</f>
        <v>0</v>
      </c>
      <c r="AC85" s="289">
        <f>IFERROR(VLOOKUP($W$69&amp;AC$70&amp;$U$85&amp;$U$84&amp;$AA$69, vw.sidssudi.eth, 6, FALSE),0)</f>
        <v>0</v>
      </c>
      <c r="AD85" s="289">
        <f>IFERROR(VLOOKUP($W$69&amp;AD$70&amp;$U$85&amp;$U$84&amp;$AA$69, vw.sidssudi.eth, 6, FALSE),0)</f>
        <v>4</v>
      </c>
    </row>
    <row r="86" spans="1:64">
      <c r="A86" s="13">
        <v>2</v>
      </c>
      <c r="B86" s="364">
        <f t="shared" ref="B86:B90" si="66">V86</f>
        <v>1</v>
      </c>
      <c r="C86" s="364">
        <f t="shared" si="63"/>
        <v>0</v>
      </c>
      <c r="D86" s="364">
        <f t="shared" si="63"/>
        <v>3</v>
      </c>
      <c r="E86" s="364">
        <f t="shared" si="63"/>
        <v>7</v>
      </c>
      <c r="F86" s="375">
        <f t="shared" ref="F86:F90" si="67">SUM(B86:E86)</f>
        <v>11</v>
      </c>
      <c r="G86" s="364">
        <f t="shared" ref="G86:G90" si="68">AA86</f>
        <v>4</v>
      </c>
      <c r="H86" s="364">
        <f t="shared" si="64"/>
        <v>1</v>
      </c>
      <c r="I86" s="364">
        <f t="shared" si="64"/>
        <v>3</v>
      </c>
      <c r="J86" s="364">
        <f t="shared" si="64"/>
        <v>9</v>
      </c>
      <c r="K86" s="364">
        <f t="shared" si="65"/>
        <v>17</v>
      </c>
      <c r="L86" s="265"/>
      <c r="U86" s="289" t="s">
        <v>422</v>
      </c>
      <c r="V86" s="289">
        <f>IFERROR(VLOOKUP($W$69&amp;V$70&amp;$U$86&amp;$U$84&amp;$V$69, vw.sidssudi.eth, 6, FALSE),0)</f>
        <v>1</v>
      </c>
      <c r="W86" s="289">
        <f>IFERROR(VLOOKUP($W$69&amp;W$70&amp;$U$86&amp;$U$84&amp;$V$69, vw.sidssudi.eth, 6, FALSE),0)</f>
        <v>0</v>
      </c>
      <c r="X86" s="289">
        <f>IFERROR(VLOOKUP($W$69&amp;X$70&amp;$U$86&amp;$U$84&amp;$V$69, vw.sidssudi.eth, 6, FALSE),0)</f>
        <v>3</v>
      </c>
      <c r="Y86" s="289">
        <f>IFERROR(VLOOKUP($W$69&amp;Y$70&amp;$U$86&amp;$U$84&amp;$V$69, vw.sidssudi.eth, 6, FALSE),0)</f>
        <v>7</v>
      </c>
      <c r="AA86" s="289">
        <f>IFERROR(VLOOKUP($W$69&amp;AA$70&amp;$U$86&amp;$U$84&amp;$AA$69, vw.sidssudi.eth, 6, FALSE),0)</f>
        <v>4</v>
      </c>
      <c r="AB86" s="289">
        <f>IFERROR(VLOOKUP($W$69&amp;AB$70&amp;$U$86&amp;$U$84&amp;$AA$69, vw.sidssudi.eth, 6, FALSE),0)</f>
        <v>1</v>
      </c>
      <c r="AC86" s="289">
        <f>IFERROR(VLOOKUP($W$69&amp;AC$70&amp;$U$86&amp;$U$84&amp;$AA$69, vw.sidssudi.eth, 6, FALSE),0)</f>
        <v>3</v>
      </c>
      <c r="AD86" s="289">
        <f>IFERROR(VLOOKUP($W$69&amp;AD$70&amp;$U$86&amp;$U$84&amp;$AA$69, vw.sidssudi.eth, 6, FALSE),0)</f>
        <v>9</v>
      </c>
    </row>
    <row r="87" spans="1:64">
      <c r="A87" s="13">
        <v>3</v>
      </c>
      <c r="B87" s="364">
        <f t="shared" si="66"/>
        <v>4</v>
      </c>
      <c r="C87" s="364">
        <f t="shared" si="63"/>
        <v>2</v>
      </c>
      <c r="D87" s="364">
        <f t="shared" si="63"/>
        <v>0</v>
      </c>
      <c r="E87" s="364">
        <f t="shared" si="63"/>
        <v>2</v>
      </c>
      <c r="F87" s="375">
        <f t="shared" si="67"/>
        <v>8</v>
      </c>
      <c r="G87" s="364">
        <f t="shared" si="68"/>
        <v>8</v>
      </c>
      <c r="H87" s="364">
        <f t="shared" si="64"/>
        <v>2</v>
      </c>
      <c r="I87" s="364">
        <f t="shared" si="64"/>
        <v>2</v>
      </c>
      <c r="J87" s="364">
        <f t="shared" si="64"/>
        <v>9</v>
      </c>
      <c r="K87" s="364">
        <f t="shared" si="65"/>
        <v>21</v>
      </c>
      <c r="L87" s="265"/>
      <c r="U87" s="289" t="s">
        <v>423</v>
      </c>
      <c r="V87" s="289">
        <f>IFERROR(VLOOKUP($W$69&amp;V$70&amp;$U$87&amp;$U$84&amp;$V$69, vw.sidssudi.eth, 6, FALSE),0)</f>
        <v>4</v>
      </c>
      <c r="W87" s="289">
        <f>IFERROR(VLOOKUP($W$69&amp;W$70&amp;$U$87&amp;$U$84&amp;$V$69, vw.sidssudi.eth, 6, FALSE),0)</f>
        <v>2</v>
      </c>
      <c r="X87" s="289">
        <f>IFERROR(VLOOKUP($W$69&amp;X$70&amp;$U$87&amp;$U$84&amp;$V$69, vw.sidssudi.eth, 6, FALSE),0)</f>
        <v>0</v>
      </c>
      <c r="Y87" s="289">
        <f>IFERROR(VLOOKUP($W$69&amp;Y$70&amp;$U$87&amp;$U$84&amp;$V$69, vw.sidssudi.eth, 6, FALSE),0)</f>
        <v>2</v>
      </c>
      <c r="AA87" s="289">
        <f>IFERROR(VLOOKUP($W$69&amp;AA$70&amp;$U$87&amp;$U$84&amp;$AA$69, vw.sidssudi.eth, 6, FALSE),0)</f>
        <v>8</v>
      </c>
      <c r="AB87" s="289">
        <f>IFERROR(VLOOKUP($W$69&amp;AB$70&amp;$U$87&amp;$U$84&amp;$AA$69, vw.sidssudi.eth, 6, FALSE),0)</f>
        <v>2</v>
      </c>
      <c r="AC87" s="289">
        <f>IFERROR(VLOOKUP($W$69&amp;AC$70&amp;$U$87&amp;$U$84&amp;$AA$69, vw.sidssudi.eth, 6, FALSE),0)</f>
        <v>2</v>
      </c>
      <c r="AD87" s="289">
        <f>IFERROR(VLOOKUP($W$69&amp;AD$70&amp;$U$87&amp;$U$84&amp;$AA$69, vw.sidssudi.eth, 6, FALSE),0)</f>
        <v>9</v>
      </c>
    </row>
    <row r="88" spans="1:64">
      <c r="A88" s="13">
        <v>4</v>
      </c>
      <c r="B88" s="364">
        <f t="shared" si="66"/>
        <v>12</v>
      </c>
      <c r="C88" s="364">
        <f t="shared" si="63"/>
        <v>0</v>
      </c>
      <c r="D88" s="364">
        <f t="shared" si="63"/>
        <v>0</v>
      </c>
      <c r="E88" s="364">
        <f t="shared" si="63"/>
        <v>12</v>
      </c>
      <c r="F88" s="375">
        <f t="shared" si="67"/>
        <v>24</v>
      </c>
      <c r="G88" s="364">
        <f t="shared" si="68"/>
        <v>28</v>
      </c>
      <c r="H88" s="364">
        <f t="shared" si="64"/>
        <v>4</v>
      </c>
      <c r="I88" s="364">
        <f t="shared" si="64"/>
        <v>0</v>
      </c>
      <c r="J88" s="364">
        <f t="shared" si="64"/>
        <v>15</v>
      </c>
      <c r="K88" s="364">
        <f t="shared" si="65"/>
        <v>47</v>
      </c>
      <c r="L88" s="265"/>
      <c r="U88" s="289" t="s">
        <v>424</v>
      </c>
      <c r="V88" s="289">
        <f>IFERROR(VLOOKUP($W$69&amp;V$70&amp;$U$88&amp;$U$84&amp;$V$69, vw.sidssudi.eth, 6, FALSE),0)</f>
        <v>12</v>
      </c>
      <c r="W88" s="289">
        <f>IFERROR(VLOOKUP($W$69&amp;W$70&amp;$U$88&amp;$U$84&amp;$V$69, vw.sidssudi.eth, 6, FALSE),0)</f>
        <v>0</v>
      </c>
      <c r="X88" s="289">
        <f>IFERROR(VLOOKUP($W$69&amp;X$70&amp;$U$88&amp;$U$84&amp;$V$69, vw.sidssudi.eth, 6, FALSE),0)</f>
        <v>0</v>
      </c>
      <c r="Y88" s="289">
        <f>IFERROR(VLOOKUP($W$69&amp;Y$70&amp;$U$88&amp;$U$84&amp;$V$69, vw.sidssudi.eth, 6, FALSE),0)</f>
        <v>12</v>
      </c>
      <c r="AA88" s="289">
        <f>IFERROR(VLOOKUP($W$69&amp;AA$70&amp;$U$88&amp;$U$84&amp;$AA$69, vw.sidssudi.eth, 6, FALSE),0)</f>
        <v>28</v>
      </c>
      <c r="AB88" s="289">
        <f>IFERROR(VLOOKUP($W$69&amp;AB$70&amp;$U$88&amp;$U$84&amp;$AA$69, vw.sidssudi.eth, 6, FALSE),0)</f>
        <v>4</v>
      </c>
      <c r="AC88" s="289">
        <f>IFERROR(VLOOKUP($W$69&amp;AC$70&amp;$U$88&amp;$U$84&amp;$AA$69, vw.sidssudi.eth, 6, FALSE),0)</f>
        <v>0</v>
      </c>
      <c r="AD88" s="289">
        <f>IFERROR(VLOOKUP($W$69&amp;AD$70&amp;$U$88&amp;$U$84&amp;$AA$69, vw.sidssudi.eth, 6, FALSE),0)</f>
        <v>15</v>
      </c>
    </row>
    <row r="89" spans="1:64">
      <c r="A89" s="49" t="s">
        <v>84</v>
      </c>
      <c r="B89" s="364">
        <f t="shared" si="66"/>
        <v>35</v>
      </c>
      <c r="C89" s="364">
        <f t="shared" si="63"/>
        <v>10</v>
      </c>
      <c r="D89" s="364">
        <f t="shared" si="63"/>
        <v>1</v>
      </c>
      <c r="E89" s="364">
        <f t="shared" si="63"/>
        <v>6</v>
      </c>
      <c r="F89" s="375">
        <f t="shared" si="67"/>
        <v>52</v>
      </c>
      <c r="G89" s="364">
        <f t="shared" si="68"/>
        <v>71</v>
      </c>
      <c r="H89" s="364">
        <f t="shared" si="64"/>
        <v>32</v>
      </c>
      <c r="I89" s="364">
        <f t="shared" si="64"/>
        <v>1</v>
      </c>
      <c r="J89" s="364">
        <f t="shared" si="64"/>
        <v>10</v>
      </c>
      <c r="K89" s="364">
        <f t="shared" si="65"/>
        <v>114</v>
      </c>
      <c r="L89" s="265"/>
      <c r="U89" s="289" t="s">
        <v>425</v>
      </c>
      <c r="V89" s="289">
        <f>IFERROR(VLOOKUP($W$69&amp;V$70&amp;$U$89&amp;$U$84&amp;$V$69, vw.sidssudi.eth, 6, FALSE),0)</f>
        <v>35</v>
      </c>
      <c r="W89" s="289">
        <f>IFERROR(VLOOKUP($W$69&amp;W$70&amp;$U$89&amp;$U$84&amp;$V$69, vw.sidssudi.eth, 6, FALSE),0)</f>
        <v>10</v>
      </c>
      <c r="X89" s="289">
        <f>IFERROR(VLOOKUP($W$69&amp;X$70&amp;$U$89&amp;$U$84&amp;$V$69, vw.sidssudi.eth, 6, FALSE),0)</f>
        <v>1</v>
      </c>
      <c r="Y89" s="289">
        <f>IFERROR(VLOOKUP($W$69&amp;Y$70&amp;$U$89&amp;$U$84&amp;$V$69, vw.sidssudi.eth, 6, FALSE),0)</f>
        <v>6</v>
      </c>
      <c r="AA89" s="289">
        <f>IFERROR(VLOOKUP($W$69&amp;AA$70&amp;$U$89&amp;$U$84&amp;$AA$69, vw.sidssudi.eth, 6, FALSE),0)</f>
        <v>71</v>
      </c>
      <c r="AB89" s="289">
        <f>IFERROR(VLOOKUP($W$69&amp;AB$70&amp;$U$89&amp;$U$84&amp;$AA$69, vw.sidssudi.eth, 6, FALSE),0)</f>
        <v>32</v>
      </c>
      <c r="AC89" s="289">
        <f>IFERROR(VLOOKUP($W$69&amp;AC$70&amp;$U$89&amp;$U$84&amp;$AA$69, vw.sidssudi.eth, 6, FALSE),0)</f>
        <v>1</v>
      </c>
      <c r="AD89" s="289">
        <f>IFERROR(VLOOKUP($W$69&amp;AD$70&amp;$U$89&amp;$U$84&amp;$AA$69, vw.sidssudi.eth, 6, FALSE),0)</f>
        <v>10</v>
      </c>
    </row>
    <row r="90" spans="1:64">
      <c r="A90" s="16" t="s">
        <v>63</v>
      </c>
      <c r="B90" s="364">
        <f t="shared" si="66"/>
        <v>0</v>
      </c>
      <c r="C90" s="364">
        <f t="shared" si="63"/>
        <v>0</v>
      </c>
      <c r="D90" s="364">
        <f t="shared" si="63"/>
        <v>0</v>
      </c>
      <c r="E90" s="364">
        <f t="shared" si="63"/>
        <v>0</v>
      </c>
      <c r="F90" s="375">
        <f t="shared" si="67"/>
        <v>0</v>
      </c>
      <c r="G90" s="364">
        <f t="shared" si="68"/>
        <v>1</v>
      </c>
      <c r="H90" s="364">
        <f t="shared" si="64"/>
        <v>0</v>
      </c>
      <c r="I90" s="364">
        <f t="shared" si="64"/>
        <v>0</v>
      </c>
      <c r="J90" s="364">
        <f t="shared" si="64"/>
        <v>1</v>
      </c>
      <c r="K90" s="364">
        <f t="shared" si="65"/>
        <v>2</v>
      </c>
      <c r="L90" s="265"/>
      <c r="U90" s="289" t="s">
        <v>426</v>
      </c>
      <c r="V90" s="289">
        <f>IFERROR(VLOOKUP($W$69&amp;V$70&amp;$U$90&amp;$U$84&amp;$V$69, vw.sidssudi.eth, 6, FALSE),0)</f>
        <v>0</v>
      </c>
      <c r="W90" s="289">
        <f>IFERROR(VLOOKUP($W$69&amp;W$70&amp;$U$90&amp;$U$84&amp;$V$69, vw.sidssudi.eth, 6, FALSE),0)</f>
        <v>0</v>
      </c>
      <c r="X90" s="289">
        <f>IFERROR(VLOOKUP($W$69&amp;X$70&amp;$U$90&amp;$U$84&amp;$V$69, vw.sidssudi.eth, 6, FALSE),0)</f>
        <v>0</v>
      </c>
      <c r="Y90" s="289">
        <f>IFERROR(VLOOKUP($W$69&amp;Y$70&amp;$U$90&amp;$U$84&amp;$V$69, vw.sidssudi.eth, 6, FALSE),0)</f>
        <v>0</v>
      </c>
      <c r="AA90" s="289">
        <f>IFERROR(VLOOKUP($W$69&amp;AA$70&amp;$U$90&amp;$U$84&amp;$AA$69, vw.sidssudi.eth, 6, FALSE),0)</f>
        <v>1</v>
      </c>
      <c r="AB90" s="289">
        <f>IFERROR(VLOOKUP($W$69&amp;AB$70&amp;$U$90&amp;$U$84&amp;$AA$69, vw.sidssudi.eth, 6, FALSE),0)</f>
        <v>0</v>
      </c>
      <c r="AC90" s="289">
        <f>IFERROR(VLOOKUP($W$69&amp;AC$70&amp;$U$90&amp;$U$84&amp;$AA$69, vw.sidssudi.eth, 6, FALSE),0)</f>
        <v>0</v>
      </c>
      <c r="AD90" s="289">
        <f>IFERROR(VLOOKUP($W$69&amp;AD$70&amp;$U$90&amp;$U$84&amp;$AA$69, vw.sidssudi.eth, 6, FALSE),0)</f>
        <v>1</v>
      </c>
    </row>
    <row r="91" spans="1:64">
      <c r="A91" s="80" t="s">
        <v>105</v>
      </c>
      <c r="B91" s="81"/>
      <c r="C91" s="81"/>
      <c r="D91" s="81"/>
      <c r="E91" s="81"/>
      <c r="F91" s="328"/>
      <c r="G91" s="328"/>
      <c r="H91" s="81"/>
      <c r="I91" s="81"/>
      <c r="J91" s="81"/>
      <c r="K91" s="369"/>
      <c r="L91" s="265"/>
      <c r="U91" s="289" t="s">
        <v>135</v>
      </c>
    </row>
    <row r="92" spans="1:64">
      <c r="A92" s="442" t="s">
        <v>375</v>
      </c>
      <c r="B92" s="444">
        <f>V92</f>
        <v>0</v>
      </c>
      <c r="C92" s="444">
        <f t="shared" ref="C92:E97" si="69">W92</f>
        <v>0</v>
      </c>
      <c r="D92" s="444">
        <f t="shared" si="69"/>
        <v>0</v>
      </c>
      <c r="E92" s="444">
        <f t="shared" si="69"/>
        <v>0</v>
      </c>
      <c r="F92" s="375">
        <f>SUM(B92:E92)</f>
        <v>0</v>
      </c>
      <c r="G92" s="364">
        <f>AA92</f>
        <v>0</v>
      </c>
      <c r="H92" s="364">
        <f t="shared" ref="H92:J97" si="70">AB92</f>
        <v>0</v>
      </c>
      <c r="I92" s="364">
        <f t="shared" si="70"/>
        <v>0</v>
      </c>
      <c r="J92" s="364">
        <f t="shared" si="70"/>
        <v>0</v>
      </c>
      <c r="K92" s="364">
        <f t="shared" ref="K92:K97" si="71">SUM(G92:J92)</f>
        <v>0</v>
      </c>
      <c r="L92" s="265"/>
      <c r="U92" s="780" t="s">
        <v>375</v>
      </c>
      <c r="V92" s="289">
        <f>IFERROR(VLOOKUP($W$69&amp;V$70&amp;$U$92&amp;$U$91&amp;$V$69, vw.sidssudi.eth, 6, FALSE),0)</f>
        <v>0</v>
      </c>
      <c r="W92" s="289">
        <f>IFERROR(VLOOKUP($W$69&amp;W$70&amp;$U$92&amp;$U$91&amp;$V$69, vw.sidssudi.eth, 6, FALSE),0)</f>
        <v>0</v>
      </c>
      <c r="X92" s="289">
        <f>IFERROR(VLOOKUP($W$69&amp;X$70&amp;$U$92&amp;$U$91&amp;$V$69, vw.sidssudi.eth, 6, FALSE),0)</f>
        <v>0</v>
      </c>
      <c r="Y92" s="289">
        <f>IFERROR(VLOOKUP($W$69&amp;Y$70&amp;$U$92&amp;$U$91&amp;$V$69, vw.sidssudi.eth, 6, FALSE),0)</f>
        <v>0</v>
      </c>
      <c r="AA92" s="289">
        <f>IFERROR(VLOOKUP($W$69&amp;AA$70&amp;$U$92&amp;$U$91&amp;$AA$69, vw.sidssudi.eth, 6, FALSE),0)</f>
        <v>0</v>
      </c>
      <c r="AB92" s="289">
        <f>IFERROR(VLOOKUP($W$69&amp;AB$70&amp;$U$92&amp;$U$91&amp;$AA$69, vw.sidssudi.eth, 6, FALSE),0)</f>
        <v>0</v>
      </c>
      <c r="AC92" s="289">
        <f>IFERROR(VLOOKUP($W$69&amp;AC$70&amp;$U$92&amp;$U$91&amp;$AA$69, vw.sidssudi.eth, 6, FALSE),0)</f>
        <v>0</v>
      </c>
      <c r="AD92" s="289">
        <f>IFERROR(VLOOKUP($W$69&amp;AD$70&amp;$U$92&amp;$U$91&amp;$AA$69, vw.sidssudi.eth, 6, FALSE),0)</f>
        <v>0</v>
      </c>
    </row>
    <row r="93" spans="1:64" s="427" customFormat="1">
      <c r="A93" s="442" t="s">
        <v>376</v>
      </c>
      <c r="B93" s="444">
        <f t="shared" ref="B93:B97" si="72">V93</f>
        <v>0</v>
      </c>
      <c r="C93" s="444">
        <f t="shared" si="69"/>
        <v>1</v>
      </c>
      <c r="D93" s="444">
        <f t="shared" si="69"/>
        <v>0</v>
      </c>
      <c r="E93" s="444">
        <f t="shared" si="69"/>
        <v>1</v>
      </c>
      <c r="F93" s="375">
        <f t="shared" ref="F93:F97" si="73">SUM(B93:E93)</f>
        <v>2</v>
      </c>
      <c r="G93" s="364">
        <f t="shared" ref="G93:G97" si="74">AA93</f>
        <v>0</v>
      </c>
      <c r="H93" s="364">
        <f t="shared" si="70"/>
        <v>1</v>
      </c>
      <c r="I93" s="364">
        <f t="shared" si="70"/>
        <v>0</v>
      </c>
      <c r="J93" s="364">
        <f t="shared" si="70"/>
        <v>2</v>
      </c>
      <c r="K93" s="364">
        <f t="shared" si="71"/>
        <v>3</v>
      </c>
      <c r="M93" s="245"/>
      <c r="N93" s="245"/>
      <c r="O93" s="245"/>
      <c r="P93" s="245"/>
      <c r="Q93" s="245"/>
      <c r="R93" s="245"/>
      <c r="S93" s="245"/>
      <c r="T93" s="245"/>
      <c r="U93" s="780" t="s">
        <v>395</v>
      </c>
      <c r="V93" s="289">
        <f>IFERROR(VLOOKUP($W$69&amp;V$70&amp;$U$93&amp;$U$91&amp;$V$69, vw.sidssudi.eth, 6, FALSE),0)</f>
        <v>0</v>
      </c>
      <c r="W93" s="289">
        <f>IFERROR(VLOOKUP($W$69&amp;W$70&amp;$U$93&amp;$U$91&amp;$V$69, vw.sidssudi.eth, 6, FALSE),0)</f>
        <v>1</v>
      </c>
      <c r="X93" s="289">
        <f>IFERROR(VLOOKUP($W$69&amp;X$70&amp;$U$93&amp;$U$91&amp;$V$69, vw.sidssudi.eth, 6, FALSE),0)</f>
        <v>0</v>
      </c>
      <c r="Y93" s="289">
        <f>IFERROR(VLOOKUP($W$69&amp;Y$70&amp;$U$93&amp;$U$91&amp;$V$69, vw.sidssudi.eth, 6, FALSE),0)</f>
        <v>1</v>
      </c>
      <c r="Z93" s="289"/>
      <c r="AA93" s="289">
        <f>IFERROR(VLOOKUP($W$69&amp;AA$70&amp;$U$93&amp;$U$91&amp;$AA$69, vw.sidssudi.eth, 6, FALSE),0)</f>
        <v>0</v>
      </c>
      <c r="AB93" s="289">
        <f>IFERROR(VLOOKUP($W$69&amp;AB$70&amp;$U$93&amp;$U$91&amp;$AA$69, vw.sidssudi.eth, 6, FALSE),0)</f>
        <v>1</v>
      </c>
      <c r="AC93" s="289">
        <f>IFERROR(VLOOKUP($W$69&amp;AC$70&amp;$U$93&amp;$U$91&amp;$AA$69, vw.sidssudi.eth, 6, FALSE),0)</f>
        <v>0</v>
      </c>
      <c r="AD93" s="289">
        <f>IFERROR(VLOOKUP($W$69&amp;AD$70&amp;$U$93&amp;$U$91&amp;$AA$69, vw.sidssudi.eth, 6, FALSE),0)</f>
        <v>2</v>
      </c>
      <c r="AE93" s="289"/>
      <c r="AF93" s="245"/>
      <c r="AG93" s="245"/>
      <c r="AH93" s="245"/>
      <c r="AI93" s="245"/>
      <c r="AJ93" s="245"/>
      <c r="AK93" s="245"/>
      <c r="AL93" s="245"/>
      <c r="AM93" s="245"/>
      <c r="AN93" s="245"/>
      <c r="AO93" s="245"/>
      <c r="AP93" s="245"/>
      <c r="AQ93" s="245"/>
      <c r="AR93" s="245"/>
      <c r="AS93" s="245"/>
      <c r="AT93" s="245"/>
      <c r="AU93" s="245"/>
      <c r="AV93" s="245"/>
      <c r="AW93" s="245"/>
      <c r="AX93" s="245"/>
      <c r="AY93" s="245"/>
      <c r="AZ93" s="245"/>
      <c r="BA93" s="245"/>
      <c r="BB93" s="245"/>
      <c r="BC93" s="245"/>
      <c r="BD93" s="245"/>
      <c r="BE93" s="245"/>
      <c r="BF93" s="245"/>
      <c r="BG93" s="245"/>
      <c r="BH93" s="245"/>
      <c r="BI93" s="245"/>
      <c r="BJ93" s="245"/>
      <c r="BK93" s="245"/>
      <c r="BL93" s="245"/>
    </row>
    <row r="94" spans="1:64">
      <c r="A94" s="49" t="s">
        <v>64</v>
      </c>
      <c r="B94" s="444">
        <f t="shared" si="72"/>
        <v>8</v>
      </c>
      <c r="C94" s="444">
        <f t="shared" si="69"/>
        <v>1</v>
      </c>
      <c r="D94" s="444">
        <f t="shared" si="69"/>
        <v>0</v>
      </c>
      <c r="E94" s="444">
        <f t="shared" si="69"/>
        <v>7</v>
      </c>
      <c r="F94" s="375">
        <f t="shared" si="73"/>
        <v>16</v>
      </c>
      <c r="G94" s="364">
        <f t="shared" si="74"/>
        <v>24</v>
      </c>
      <c r="H94" s="364">
        <f t="shared" si="70"/>
        <v>4</v>
      </c>
      <c r="I94" s="364">
        <f t="shared" si="70"/>
        <v>0</v>
      </c>
      <c r="J94" s="364">
        <f t="shared" si="70"/>
        <v>9</v>
      </c>
      <c r="K94" s="364">
        <f t="shared" si="71"/>
        <v>37</v>
      </c>
      <c r="L94" s="265"/>
      <c r="U94" s="780" t="s">
        <v>136</v>
      </c>
      <c r="V94" s="289">
        <f>IFERROR(VLOOKUP($W$69&amp;V$70&amp;$U$94&amp;$U$91&amp;$V$69, vw.sidssudi.eth, 6, FALSE),0)</f>
        <v>8</v>
      </c>
      <c r="W94" s="289">
        <f>IFERROR(VLOOKUP($W$69&amp;W$70&amp;$U$94&amp;$U$91&amp;$V$69, vw.sidssudi.eth, 6, FALSE),0)</f>
        <v>1</v>
      </c>
      <c r="X94" s="289">
        <f>IFERROR(VLOOKUP($W$69&amp;X$70&amp;$U$94&amp;$U$91&amp;$V$69, vw.sidssudi.eth, 6, FALSE),0)</f>
        <v>0</v>
      </c>
      <c r="Y94" s="289">
        <f>IFERROR(VLOOKUP($W$69&amp;Y$70&amp;$U$94&amp;$U$91&amp;$V$69, vw.sidssudi.eth, 6, FALSE),0)</f>
        <v>7</v>
      </c>
      <c r="AA94" s="289">
        <f>IFERROR(VLOOKUP($W$69&amp;AA$70&amp;$U$94&amp;$U$91&amp;$AA$69, vw.sidssudi.eth, 6, FALSE),0)</f>
        <v>24</v>
      </c>
      <c r="AB94" s="289">
        <f>IFERROR(VLOOKUP($W$69&amp;AB$70&amp;$U$94&amp;$U$91&amp;$AA$69, vw.sidssudi.eth, 6, FALSE),0)</f>
        <v>4</v>
      </c>
      <c r="AC94" s="289">
        <f>IFERROR(VLOOKUP($W$69&amp;AC$70&amp;$U$94&amp;$U$91&amp;$AA$69, vw.sidssudi.eth, 6, FALSE),0)</f>
        <v>0</v>
      </c>
      <c r="AD94" s="289">
        <f>IFERROR(VLOOKUP($W$69&amp;AD$70&amp;$U$94&amp;$U$91&amp;$AA$69, vw.sidssudi.eth, 6, FALSE),0)</f>
        <v>9</v>
      </c>
    </row>
    <row r="95" spans="1:64">
      <c r="A95" s="49" t="s">
        <v>65</v>
      </c>
      <c r="B95" s="444">
        <f t="shared" si="72"/>
        <v>43</v>
      </c>
      <c r="C95" s="444">
        <f t="shared" si="69"/>
        <v>10</v>
      </c>
      <c r="D95" s="444">
        <f t="shared" si="69"/>
        <v>4</v>
      </c>
      <c r="E95" s="444">
        <f t="shared" si="69"/>
        <v>21</v>
      </c>
      <c r="F95" s="375">
        <f t="shared" si="73"/>
        <v>78</v>
      </c>
      <c r="G95" s="364">
        <f t="shared" si="74"/>
        <v>85</v>
      </c>
      <c r="H95" s="364">
        <f t="shared" si="70"/>
        <v>32</v>
      </c>
      <c r="I95" s="364">
        <f t="shared" si="70"/>
        <v>6</v>
      </c>
      <c r="J95" s="364">
        <f t="shared" si="70"/>
        <v>31</v>
      </c>
      <c r="K95" s="364">
        <f t="shared" si="71"/>
        <v>154</v>
      </c>
      <c r="L95" s="265"/>
      <c r="U95" s="780" t="s">
        <v>137</v>
      </c>
      <c r="V95" s="289">
        <f>IFERROR(VLOOKUP($W$69&amp;V$70&amp;$U$95&amp;$U$91&amp;$V$69, vw.sidssudi.eth, 6, FALSE),0)</f>
        <v>43</v>
      </c>
      <c r="W95" s="289">
        <f>IFERROR(VLOOKUP($W$69&amp;W$70&amp;$U$95&amp;$U$91&amp;$V$69, vw.sidssudi.eth, 6, FALSE),0)</f>
        <v>10</v>
      </c>
      <c r="X95" s="289">
        <f>IFERROR(VLOOKUP($W$69&amp;X$70&amp;$U$95&amp;$U$91&amp;$V$69, vw.sidssudi.eth, 6, FALSE),0)</f>
        <v>4</v>
      </c>
      <c r="Y95" s="289">
        <f>IFERROR(VLOOKUP($W$69&amp;Y$70&amp;$U$95&amp;$U$91&amp;$V$69, vw.sidssudi.eth, 6, FALSE),0)</f>
        <v>21</v>
      </c>
      <c r="AA95" s="289">
        <f>IFERROR(VLOOKUP($W$69&amp;AA$70&amp;$U$95&amp;$U$91&amp;$AA$69, vw.sidssudi.eth, 6, FALSE),0)</f>
        <v>85</v>
      </c>
      <c r="AB95" s="289">
        <f>IFERROR(VLOOKUP($W$69&amp;AB$70&amp;$U$95&amp;$U$91&amp;$AA$69, vw.sidssudi.eth, 6, FALSE),0)</f>
        <v>32</v>
      </c>
      <c r="AC95" s="289">
        <f>IFERROR(VLOOKUP($W$69&amp;AC$70&amp;$U$95&amp;$U$91&amp;$AA$69, vw.sidssudi.eth, 6, FALSE),0)</f>
        <v>6</v>
      </c>
      <c r="AD95" s="289">
        <f>IFERROR(VLOOKUP($W$69&amp;AD$70&amp;$U$95&amp;$U$91&amp;$AA$69, vw.sidssudi.eth, 6, FALSE),0)</f>
        <v>31</v>
      </c>
    </row>
    <row r="96" spans="1:64">
      <c r="A96" s="49" t="s">
        <v>66</v>
      </c>
      <c r="B96" s="444">
        <f t="shared" si="72"/>
        <v>0</v>
      </c>
      <c r="C96" s="444">
        <f t="shared" si="69"/>
        <v>0</v>
      </c>
      <c r="D96" s="444">
        <f t="shared" si="69"/>
        <v>0</v>
      </c>
      <c r="E96" s="444">
        <f t="shared" si="69"/>
        <v>0</v>
      </c>
      <c r="F96" s="375">
        <f t="shared" si="73"/>
        <v>0</v>
      </c>
      <c r="G96" s="364">
        <f t="shared" si="74"/>
        <v>1</v>
      </c>
      <c r="H96" s="364">
        <f t="shared" si="70"/>
        <v>0</v>
      </c>
      <c r="I96" s="364">
        <f t="shared" si="70"/>
        <v>0</v>
      </c>
      <c r="J96" s="364">
        <f t="shared" si="70"/>
        <v>0</v>
      </c>
      <c r="K96" s="364">
        <f t="shared" si="71"/>
        <v>1</v>
      </c>
      <c r="L96" s="265"/>
      <c r="U96" s="780" t="s">
        <v>138</v>
      </c>
      <c r="V96" s="289">
        <f>IFERROR(VLOOKUP($W$69&amp;V$70&amp;$U$96&amp;$U$91&amp;$V$69, vw.sidssudi.eth, 6, FALSE),0)</f>
        <v>0</v>
      </c>
      <c r="W96" s="289">
        <f>IFERROR(VLOOKUP($W$69&amp;W$70&amp;$U$96&amp;$U$91&amp;$V$69, vw.sidssudi.eth, 6, FALSE),0)</f>
        <v>0</v>
      </c>
      <c r="X96" s="289">
        <f>IFERROR(VLOOKUP($W$69&amp;X$70&amp;$U$96&amp;$U$91&amp;$V$69, vw.sidssudi.eth, 6, FALSE),0)</f>
        <v>0</v>
      </c>
      <c r="Y96" s="289">
        <f>IFERROR(VLOOKUP($W$69&amp;Y$70&amp;$U$96&amp;$U$91&amp;$V$69, vw.sidssudi.eth, 6, FALSE),0)</f>
        <v>0</v>
      </c>
      <c r="AA96" s="289">
        <f>IFERROR(VLOOKUP($W$69&amp;AA$70&amp;$U$96&amp;$U$91&amp;$AA$69, vw.sidssudi.eth, 6, FALSE),0)</f>
        <v>1</v>
      </c>
      <c r="AB96" s="289">
        <f>IFERROR(VLOOKUP($W$69&amp;AB$70&amp;$U$96&amp;$U$91&amp;$AA$69, vw.sidssudi.eth, 6, FALSE),0)</f>
        <v>0</v>
      </c>
      <c r="AC96" s="289">
        <f>IFERROR(VLOOKUP($W$69&amp;AC$70&amp;$U$96&amp;$U$91&amp;$AA$69, vw.sidssudi.eth, 6, FALSE),0)</f>
        <v>0</v>
      </c>
      <c r="AD96" s="289">
        <f>IFERROR(VLOOKUP($W$69&amp;AD$70&amp;$U$96&amp;$U$91&amp;$AA$69, vw.sidssudi.eth, 6, FALSE),0)</f>
        <v>0</v>
      </c>
    </row>
    <row r="97" spans="1:64">
      <c r="A97" s="49" t="s">
        <v>63</v>
      </c>
      <c r="B97" s="444">
        <f t="shared" si="72"/>
        <v>3</v>
      </c>
      <c r="C97" s="444">
        <f t="shared" si="69"/>
        <v>0</v>
      </c>
      <c r="D97" s="444">
        <f t="shared" si="69"/>
        <v>0</v>
      </c>
      <c r="E97" s="444">
        <f t="shared" si="69"/>
        <v>2</v>
      </c>
      <c r="F97" s="375">
        <f t="shared" si="73"/>
        <v>5</v>
      </c>
      <c r="G97" s="364">
        <f t="shared" si="74"/>
        <v>6</v>
      </c>
      <c r="H97" s="364">
        <f t="shared" si="70"/>
        <v>2</v>
      </c>
      <c r="I97" s="364">
        <f t="shared" si="70"/>
        <v>0</v>
      </c>
      <c r="J97" s="364">
        <f t="shared" si="70"/>
        <v>6</v>
      </c>
      <c r="K97" s="364">
        <f t="shared" si="71"/>
        <v>14</v>
      </c>
      <c r="L97" s="265"/>
      <c r="U97" s="780" t="s">
        <v>63</v>
      </c>
      <c r="V97" s="289">
        <f>IFERROR(VLOOKUP($W$69&amp;V$70&amp;$U$97&amp;$U$91&amp;$V$69, vw.sidssudi.eth, 6, FALSE),0)</f>
        <v>3</v>
      </c>
      <c r="W97" s="289">
        <f>IFERROR(VLOOKUP($W$69&amp;W$70&amp;$U$97&amp;$U$91&amp;$V$69, vw.sidssudi.eth, 6, FALSE),0)</f>
        <v>0</v>
      </c>
      <c r="X97" s="289">
        <f>IFERROR(VLOOKUP($W$69&amp;X$70&amp;$U$97&amp;$U$91&amp;$V$69, vw.sidssudi.eth, 6, FALSE),0)</f>
        <v>0</v>
      </c>
      <c r="Y97" s="289">
        <f>IFERROR(VLOOKUP($W$69&amp;Y$70&amp;$U$97&amp;$U$91&amp;$V$69, vw.sidssudi.eth, 6, FALSE),0)</f>
        <v>2</v>
      </c>
      <c r="AA97" s="289">
        <f>IFERROR(VLOOKUP($W$69&amp;AA$70&amp;$U$97&amp;$U$91&amp;$AA$69, vw.sidssudi.eth, 6, FALSE),0)</f>
        <v>6</v>
      </c>
      <c r="AB97" s="289">
        <f>IFERROR(VLOOKUP($W$69&amp;AB$70&amp;$U$97&amp;$U$91&amp;$AA$69, vw.sidssudi.eth, 6, FALSE),0)</f>
        <v>2</v>
      </c>
      <c r="AC97" s="289">
        <f>IFERROR(VLOOKUP($W$69&amp;AC$70&amp;$U$97&amp;$U$91&amp;$AA$69, vw.sidssudi.eth, 6, FALSE),0)</f>
        <v>0</v>
      </c>
      <c r="AD97" s="289">
        <f>IFERROR(VLOOKUP($W$69&amp;AD$70&amp;$U$97&amp;$U$91&amp;$AA$69, vw.sidssudi.eth, 6, FALSE),0)</f>
        <v>6</v>
      </c>
    </row>
    <row r="98" spans="1:64">
      <c r="A98" s="80" t="s">
        <v>1</v>
      </c>
      <c r="B98" s="81"/>
      <c r="C98" s="81"/>
      <c r="D98" s="81"/>
      <c r="E98" s="81"/>
      <c r="F98" s="328"/>
      <c r="G98" s="328"/>
      <c r="H98" s="81"/>
      <c r="I98" s="81"/>
      <c r="J98" s="81"/>
      <c r="K98" s="369"/>
      <c r="L98" s="265"/>
      <c r="U98" s="289" t="s">
        <v>464</v>
      </c>
    </row>
    <row r="99" spans="1:64">
      <c r="A99" s="404" t="s">
        <v>378</v>
      </c>
      <c r="B99" s="444">
        <f>V99</f>
        <v>0</v>
      </c>
      <c r="C99" s="444">
        <f t="shared" ref="C99:E105" si="75">W99</f>
        <v>0</v>
      </c>
      <c r="D99" s="444">
        <f t="shared" si="75"/>
        <v>0</v>
      </c>
      <c r="E99" s="444">
        <f t="shared" si="75"/>
        <v>0</v>
      </c>
      <c r="F99" s="375">
        <f>SUM(B99:E99)</f>
        <v>0</v>
      </c>
      <c r="G99" s="364">
        <f>AA99</f>
        <v>0</v>
      </c>
      <c r="H99" s="364">
        <f t="shared" ref="H99:J105" si="76">AB99</f>
        <v>0</v>
      </c>
      <c r="I99" s="364">
        <f t="shared" si="76"/>
        <v>0</v>
      </c>
      <c r="J99" s="364">
        <f t="shared" si="76"/>
        <v>0</v>
      </c>
      <c r="K99" s="364">
        <f>SUM(G99:J99)</f>
        <v>0</v>
      </c>
      <c r="L99" s="265"/>
      <c r="U99" s="780" t="s">
        <v>427</v>
      </c>
      <c r="V99" s="289">
        <f>IFERROR(VLOOKUP($W$69&amp;V$70&amp;$U$99&amp;$U$98&amp;$V$69, vw.sidssudi.eth, 6, FALSE),0)</f>
        <v>0</v>
      </c>
      <c r="W99" s="289">
        <f>IFERROR(VLOOKUP($W$69&amp;W$70&amp;$U$99&amp;$U$98&amp;$V$69, vw.sidssudi.eth, 6, FALSE),0)</f>
        <v>0</v>
      </c>
      <c r="X99" s="289">
        <f>IFERROR(VLOOKUP($W$69&amp;X$70&amp;$U$99&amp;$U$98&amp;$V$69, vw.sidssudi.eth, 6, FALSE),0)</f>
        <v>0</v>
      </c>
      <c r="Y99" s="289">
        <f>IFERROR(VLOOKUP($W$69&amp;Y$70&amp;$U$99&amp;$U$98&amp;$V$69, vw.sidssudi.eth, 6, FALSE),0)</f>
        <v>0</v>
      </c>
      <c r="AA99" s="289">
        <f>IFERROR(VLOOKUP($W$69&amp;AA$70&amp;$U$99&amp;$U$98&amp;$AA$69, vw.sidssudi.eth, 6, FALSE),0)</f>
        <v>0</v>
      </c>
      <c r="AB99" s="289">
        <f>IFERROR(VLOOKUP($W$69&amp;AB$70&amp;$U$99&amp;$U$98&amp;$AA$69, vw.sidssudi.eth, 6, FALSE),0)</f>
        <v>0</v>
      </c>
      <c r="AC99" s="289">
        <f>IFERROR(VLOOKUP($W$69&amp;AC$70&amp;$U$99&amp;$U$98&amp;$AA$69, vw.sidssudi.eth, 6, FALSE),0)</f>
        <v>0</v>
      </c>
      <c r="AD99" s="289">
        <f>IFERROR(VLOOKUP($W$69&amp;AD$70&amp;$U$99&amp;$U$98&amp;$AA$69, vw.sidssudi.eth, 6, FALSE),0)</f>
        <v>0</v>
      </c>
    </row>
    <row r="100" spans="1:64" s="400" customFormat="1">
      <c r="A100" s="404" t="s">
        <v>386</v>
      </c>
      <c r="B100" s="444">
        <f t="shared" ref="B100:B104" si="77">V100</f>
        <v>0</v>
      </c>
      <c r="C100" s="444">
        <f t="shared" si="75"/>
        <v>0</v>
      </c>
      <c r="D100" s="444">
        <f t="shared" si="75"/>
        <v>0</v>
      </c>
      <c r="E100" s="444">
        <f t="shared" si="75"/>
        <v>0</v>
      </c>
      <c r="F100" s="375">
        <f t="shared" ref="F100:F105" si="78">SUM(B100:E100)</f>
        <v>0</v>
      </c>
      <c r="G100" s="364">
        <f t="shared" ref="G100:G104" si="79">AA100</f>
        <v>0</v>
      </c>
      <c r="H100" s="364">
        <f t="shared" si="76"/>
        <v>0</v>
      </c>
      <c r="I100" s="364">
        <f t="shared" si="76"/>
        <v>0</v>
      </c>
      <c r="J100" s="364">
        <f t="shared" si="76"/>
        <v>0</v>
      </c>
      <c r="K100" s="364">
        <f>SUM(G100:J100)</f>
        <v>0</v>
      </c>
      <c r="M100" s="245"/>
      <c r="N100" s="245"/>
      <c r="O100" s="245"/>
      <c r="P100" s="245"/>
      <c r="Q100" s="245"/>
      <c r="R100" s="245"/>
      <c r="S100" s="245"/>
      <c r="T100" s="245"/>
      <c r="U100" s="780" t="s">
        <v>428</v>
      </c>
      <c r="V100" s="289">
        <f>IFERROR(VLOOKUP($W$69&amp;V$70&amp;$U$100&amp;$U$98&amp;$V$69, vw.sidssudi.eth, 6, FALSE),0)</f>
        <v>0</v>
      </c>
      <c r="W100" s="289">
        <f>IFERROR(VLOOKUP($W$69&amp;W$70&amp;$U$100&amp;$U$98&amp;$V$69, vw.sidssudi.eth, 6, FALSE),0)</f>
        <v>0</v>
      </c>
      <c r="X100" s="289">
        <f>IFERROR(VLOOKUP($W$69&amp;X$70&amp;$U$100&amp;$U$98&amp;$V$69, vw.sidssudi.eth, 6, FALSE),0)</f>
        <v>0</v>
      </c>
      <c r="Y100" s="289">
        <f>IFERROR(VLOOKUP($W$69&amp;Y$70&amp;$U$100&amp;$U$98&amp;$V$69, vw.sidssudi.eth, 6, FALSE),0)</f>
        <v>0</v>
      </c>
      <c r="Z100" s="289"/>
      <c r="AA100" s="289">
        <f>IFERROR(VLOOKUP($W$69&amp;AA$70&amp;$U$100&amp;$U$98&amp;$AA$69, vw.sidssudi.eth, 6, FALSE),0)</f>
        <v>0</v>
      </c>
      <c r="AB100" s="289">
        <f>IFERROR(VLOOKUP($W$69&amp;AB$70&amp;$U$100&amp;$U$98&amp;$AA$69, vw.sidssudi.eth, 6, FALSE),0)</f>
        <v>0</v>
      </c>
      <c r="AC100" s="289">
        <f>IFERROR(VLOOKUP($W$69&amp;AC$70&amp;$U$100&amp;$U$98&amp;$AA$69, vw.sidssudi.eth, 6, FALSE),0)</f>
        <v>0</v>
      </c>
      <c r="AD100" s="289">
        <f>IFERROR(VLOOKUP($W$69&amp;AD$70&amp;$U$100&amp;$U$98&amp;$AA$69, vw.sidssudi.eth, 6, FALSE),0)</f>
        <v>0</v>
      </c>
      <c r="AE100" s="289"/>
      <c r="AF100" s="245"/>
      <c r="AG100" s="245"/>
      <c r="AH100" s="245"/>
      <c r="AI100" s="245"/>
      <c r="AJ100" s="245"/>
      <c r="AK100" s="245"/>
      <c r="AL100" s="245"/>
      <c r="AM100" s="245"/>
      <c r="AN100" s="245"/>
      <c r="AO100" s="245"/>
      <c r="AP100" s="245"/>
      <c r="AQ100" s="245"/>
      <c r="AR100" s="245"/>
      <c r="AS100" s="245"/>
      <c r="AT100" s="245"/>
      <c r="AU100" s="245"/>
      <c r="AV100" s="245"/>
      <c r="AW100" s="245"/>
      <c r="AX100" s="245"/>
      <c r="AY100" s="245"/>
      <c r="AZ100" s="245"/>
      <c r="BA100" s="245"/>
      <c r="BB100" s="245"/>
      <c r="BC100" s="245"/>
      <c r="BD100" s="245"/>
      <c r="BE100" s="245"/>
      <c r="BF100" s="245"/>
      <c r="BG100" s="245"/>
      <c r="BH100" s="245"/>
      <c r="BI100" s="245"/>
      <c r="BJ100" s="245"/>
      <c r="BK100" s="245"/>
      <c r="BL100" s="245"/>
    </row>
    <row r="101" spans="1:64">
      <c r="A101" s="404" t="s">
        <v>387</v>
      </c>
      <c r="B101" s="444">
        <f t="shared" si="77"/>
        <v>0</v>
      </c>
      <c r="C101" s="444">
        <f t="shared" si="75"/>
        <v>0</v>
      </c>
      <c r="D101" s="444">
        <f t="shared" si="75"/>
        <v>0</v>
      </c>
      <c r="E101" s="444">
        <f t="shared" si="75"/>
        <v>1</v>
      </c>
      <c r="F101" s="375">
        <f t="shared" si="78"/>
        <v>1</v>
      </c>
      <c r="G101" s="364">
        <f t="shared" si="79"/>
        <v>0</v>
      </c>
      <c r="H101" s="364">
        <f t="shared" si="76"/>
        <v>0</v>
      </c>
      <c r="I101" s="364">
        <f t="shared" si="76"/>
        <v>0</v>
      </c>
      <c r="J101" s="364">
        <f t="shared" si="76"/>
        <v>2</v>
      </c>
      <c r="K101" s="364">
        <f t="shared" ref="K101:K105" si="80">SUM(G101:J101)</f>
        <v>2</v>
      </c>
      <c r="L101" s="265"/>
      <c r="U101" s="780" t="s">
        <v>429</v>
      </c>
      <c r="V101" s="289">
        <f>IFERROR(VLOOKUP($W$69&amp;V$70&amp;$U$101&amp;$U$98&amp;$V$69, vw.sidssudi.eth, 6, FALSE),0)</f>
        <v>0</v>
      </c>
      <c r="W101" s="289">
        <f>IFERROR(VLOOKUP($W$69&amp;W$70&amp;$U$101&amp;$U$98&amp;$V$69, vw.sidssudi.eth, 6, FALSE),0)</f>
        <v>0</v>
      </c>
      <c r="X101" s="289">
        <f>IFERROR(VLOOKUP($W$69&amp;X$70&amp;$U$101&amp;$U$98&amp;$V$69, vw.sidssudi.eth, 6, FALSE),0)</f>
        <v>0</v>
      </c>
      <c r="Y101" s="289">
        <f>IFERROR(VLOOKUP($W$69&amp;Y$70&amp;$U$101&amp;$U$98&amp;$V$69, vw.sidssudi.eth, 6, FALSE),0)</f>
        <v>1</v>
      </c>
      <c r="AA101" s="289">
        <f>IFERROR(VLOOKUP($W$69&amp;AA$70&amp;$U$101&amp;$U$98&amp;$AA$69, vw.sidssudi.eth, 6, FALSE),0)</f>
        <v>0</v>
      </c>
      <c r="AB101" s="289">
        <f>IFERROR(VLOOKUP($W$69&amp;AB$70&amp;$U$101&amp;$U$98&amp;$AA$69, vw.sidssudi.eth, 6, FALSE),0)</f>
        <v>0</v>
      </c>
      <c r="AC101" s="289">
        <f>IFERROR(VLOOKUP($W$69&amp;AC$70&amp;$U$101&amp;$U$98&amp;$AA$69, vw.sidssudi.eth, 6, FALSE),0)</f>
        <v>0</v>
      </c>
      <c r="AD101" s="289">
        <f>IFERROR(VLOOKUP($W$69&amp;AD$70&amp;$U$101&amp;$U$98&amp;$AA$69, vw.sidssudi.eth, 6, FALSE),0)</f>
        <v>2</v>
      </c>
    </row>
    <row r="102" spans="1:64" s="453" customFormat="1">
      <c r="A102" s="563" t="s">
        <v>477</v>
      </c>
      <c r="B102" s="444">
        <f t="shared" si="77"/>
        <v>5</v>
      </c>
      <c r="C102" s="444">
        <f t="shared" si="75"/>
        <v>1</v>
      </c>
      <c r="D102" s="444">
        <f t="shared" si="75"/>
        <v>0</v>
      </c>
      <c r="E102" s="444">
        <f t="shared" si="75"/>
        <v>4</v>
      </c>
      <c r="F102" s="375">
        <f t="shared" si="78"/>
        <v>10</v>
      </c>
      <c r="G102" s="364">
        <f t="shared" si="79"/>
        <v>20</v>
      </c>
      <c r="H102" s="364">
        <f t="shared" si="76"/>
        <v>3</v>
      </c>
      <c r="I102" s="364">
        <f t="shared" si="76"/>
        <v>1</v>
      </c>
      <c r="J102" s="364">
        <f t="shared" si="76"/>
        <v>6</v>
      </c>
      <c r="K102" s="364">
        <f t="shared" si="80"/>
        <v>30</v>
      </c>
      <c r="M102" s="245"/>
      <c r="N102" s="245"/>
      <c r="O102" s="245"/>
      <c r="P102" s="245"/>
      <c r="Q102" s="245"/>
      <c r="R102" s="245"/>
      <c r="S102" s="245"/>
      <c r="T102" s="245"/>
      <c r="U102" s="780" t="s">
        <v>430</v>
      </c>
      <c r="V102" s="289">
        <f>IFERROR(VLOOKUP($W$69&amp;V$70&amp;$U$102&amp;$U$98&amp;$V$69, vw.sidssudi.eth, 6, FALSE),0)</f>
        <v>5</v>
      </c>
      <c r="W102" s="289">
        <f>IFERROR(VLOOKUP($W$69&amp;W$70&amp;$U$102&amp;$U$98&amp;$V$69, vw.sidssudi.eth, 6, FALSE),0)</f>
        <v>1</v>
      </c>
      <c r="X102" s="289">
        <f>IFERROR(VLOOKUP($W$69&amp;X$70&amp;$U$102&amp;$U$98&amp;$V$69, vw.sidssudi.eth, 6, FALSE),0)</f>
        <v>0</v>
      </c>
      <c r="Y102" s="289">
        <f>IFERROR(VLOOKUP($W$69&amp;Y$70&amp;$U$102&amp;$U$98&amp;$V$69, vw.sidssudi.eth, 6, FALSE),0)</f>
        <v>4</v>
      </c>
      <c r="Z102" s="289"/>
      <c r="AA102" s="289">
        <f>IFERROR(VLOOKUP($W$69&amp;AA$70&amp;$U$102&amp;$U$98&amp;$AA$69, vw.sidssudi.eth, 6, FALSE),0)</f>
        <v>20</v>
      </c>
      <c r="AB102" s="289">
        <f>IFERROR(VLOOKUP($W$69&amp;AB$70&amp;$U$102&amp;$U$98&amp;$AA$69, vw.sidssudi.eth, 6, FALSE),0)</f>
        <v>3</v>
      </c>
      <c r="AC102" s="289">
        <f>IFERROR(VLOOKUP($W$69&amp;AC$70&amp;$U$102&amp;$U$98&amp;$AA$69, vw.sidssudi.eth, 6, FALSE),0)</f>
        <v>1</v>
      </c>
      <c r="AD102" s="289">
        <f>IFERROR(VLOOKUP($W$69&amp;AD$70&amp;$U$102&amp;$U$98&amp;$AA$69, vw.sidssudi.eth, 6, FALSE),0)</f>
        <v>6</v>
      </c>
      <c r="AE102" s="289"/>
      <c r="AF102" s="245"/>
      <c r="AG102" s="245"/>
      <c r="AH102" s="245"/>
      <c r="AI102" s="245"/>
      <c r="AJ102" s="245"/>
      <c r="AK102" s="245"/>
      <c r="AL102" s="245"/>
      <c r="AM102" s="245"/>
      <c r="AN102" s="245"/>
      <c r="AO102" s="245"/>
      <c r="AP102" s="245"/>
      <c r="AQ102" s="245"/>
      <c r="AR102" s="245"/>
      <c r="AS102" s="245"/>
      <c r="AT102" s="245"/>
      <c r="AU102" s="245"/>
      <c r="AV102" s="245"/>
      <c r="AW102" s="245"/>
      <c r="AX102" s="245"/>
      <c r="AY102" s="245"/>
      <c r="AZ102" s="245"/>
      <c r="BA102" s="245"/>
      <c r="BB102" s="245"/>
      <c r="BC102" s="245"/>
      <c r="BD102" s="245"/>
      <c r="BE102" s="245"/>
      <c r="BF102" s="245"/>
      <c r="BG102" s="245"/>
      <c r="BH102" s="245"/>
      <c r="BI102" s="245"/>
      <c r="BJ102" s="245"/>
      <c r="BK102" s="245"/>
      <c r="BL102" s="245"/>
    </row>
    <row r="103" spans="1:64">
      <c r="A103" s="407" t="s">
        <v>388</v>
      </c>
      <c r="B103" s="444">
        <f t="shared" si="77"/>
        <v>46</v>
      </c>
      <c r="C103" s="444">
        <f t="shared" si="75"/>
        <v>11</v>
      </c>
      <c r="D103" s="444">
        <f t="shared" si="75"/>
        <v>4</v>
      </c>
      <c r="E103" s="444">
        <f t="shared" si="75"/>
        <v>24</v>
      </c>
      <c r="F103" s="375">
        <f t="shared" si="78"/>
        <v>85</v>
      </c>
      <c r="G103" s="364">
        <f t="shared" si="79"/>
        <v>91</v>
      </c>
      <c r="H103" s="364">
        <f t="shared" si="76"/>
        <v>33</v>
      </c>
      <c r="I103" s="364">
        <f t="shared" si="76"/>
        <v>5</v>
      </c>
      <c r="J103" s="364">
        <f t="shared" si="76"/>
        <v>34</v>
      </c>
      <c r="K103" s="364">
        <f>SUM(G103:J103)</f>
        <v>163</v>
      </c>
      <c r="L103" s="265"/>
      <c r="U103" s="780" t="s">
        <v>431</v>
      </c>
      <c r="V103" s="289">
        <f>IFERROR(VLOOKUP($W$69&amp;V$70&amp;$U$103&amp;$U$98&amp;$V$69, vw.sidssudi.eth, 6, FALSE),0)</f>
        <v>46</v>
      </c>
      <c r="W103" s="289">
        <f>IFERROR(VLOOKUP($W$69&amp;W$70&amp;$U$103&amp;$U$98&amp;$V$69, vw.sidssudi.eth, 6, FALSE),0)</f>
        <v>11</v>
      </c>
      <c r="X103" s="289">
        <f>IFERROR(VLOOKUP($W$69&amp;X$70&amp;$U$103&amp;$U$98&amp;$V$69, vw.sidssudi.eth, 6, FALSE),0)</f>
        <v>4</v>
      </c>
      <c r="Y103" s="289">
        <f>IFERROR(VLOOKUP($W$69&amp;Y$70&amp;$U$103&amp;$U$98&amp;$V$69, vw.sidssudi.eth, 6, FALSE),0)</f>
        <v>24</v>
      </c>
      <c r="AA103" s="289">
        <f>IFERROR(VLOOKUP($W$69&amp;AA$70&amp;$U$103&amp;$U$98&amp;$AA$69, vw.sidssudi.eth, 6, FALSE),0)</f>
        <v>91</v>
      </c>
      <c r="AB103" s="289">
        <f>IFERROR(VLOOKUP($W$69&amp;AB$70&amp;$U$103&amp;$U$98&amp;$AA$69, vw.sidssudi.eth, 6, FALSE),0)</f>
        <v>33</v>
      </c>
      <c r="AC103" s="289">
        <f>IFERROR(VLOOKUP($W$69&amp;AC$70&amp;$U$103&amp;$U$98&amp;$AA$69, vw.sidssudi.eth, 6, FALSE),0)</f>
        <v>5</v>
      </c>
      <c r="AD103" s="289">
        <f>IFERROR(VLOOKUP($W$69&amp;AD$70&amp;$U$103&amp;$U$98&amp;$AA$69, vw.sidssudi.eth, 6, FALSE),0)</f>
        <v>34</v>
      </c>
    </row>
    <row r="104" spans="1:64" s="427" customFormat="1">
      <c r="A104" s="407" t="s">
        <v>383</v>
      </c>
      <c r="B104" s="444">
        <f t="shared" si="77"/>
        <v>0</v>
      </c>
      <c r="C104" s="444">
        <f t="shared" si="75"/>
        <v>0</v>
      </c>
      <c r="D104" s="444">
        <f t="shared" si="75"/>
        <v>0</v>
      </c>
      <c r="E104" s="444">
        <f t="shared" si="75"/>
        <v>0</v>
      </c>
      <c r="F104" s="375">
        <f t="shared" si="78"/>
        <v>0</v>
      </c>
      <c r="G104" s="364">
        <f t="shared" si="79"/>
        <v>0</v>
      </c>
      <c r="H104" s="364">
        <f t="shared" si="76"/>
        <v>1</v>
      </c>
      <c r="I104" s="364">
        <f t="shared" si="76"/>
        <v>0</v>
      </c>
      <c r="J104" s="364">
        <f t="shared" si="76"/>
        <v>0</v>
      </c>
      <c r="K104" s="364">
        <f t="shared" si="80"/>
        <v>1</v>
      </c>
      <c r="M104" s="245"/>
      <c r="N104" s="245"/>
      <c r="O104" s="245"/>
      <c r="P104" s="245"/>
      <c r="Q104" s="245"/>
      <c r="R104" s="245"/>
      <c r="S104" s="245"/>
      <c r="T104" s="245"/>
      <c r="U104" s="780" t="s">
        <v>432</v>
      </c>
      <c r="V104" s="289">
        <f>IFERROR(VLOOKUP($W$69&amp;V$70&amp;$U$104&amp;$U$98&amp;$V$69, vw.sidssudi.eth, 6, FALSE),0)</f>
        <v>0</v>
      </c>
      <c r="W104" s="289">
        <f>IFERROR(VLOOKUP($W$69&amp;W$70&amp;$U$104&amp;$U$98&amp;$V$69, vw.sidssudi.eth, 6, FALSE),0)</f>
        <v>0</v>
      </c>
      <c r="X104" s="289">
        <f>IFERROR(VLOOKUP($W$69&amp;X$70&amp;$U$104&amp;$U$98&amp;$V$69, vw.sidssudi.eth, 6, FALSE),0)</f>
        <v>0</v>
      </c>
      <c r="Y104" s="289">
        <f>IFERROR(VLOOKUP($W$69&amp;Y$70&amp;$U$104&amp;$U$98&amp;$V$69, vw.sidssudi.eth, 6, FALSE),0)</f>
        <v>0</v>
      </c>
      <c r="Z104" s="289"/>
      <c r="AA104" s="289">
        <f>IFERROR(VLOOKUP($W$69&amp;AA$70&amp;$U$104&amp;$U$98&amp;$AA$69, vw.sidssudi.eth, 6, FALSE),0)</f>
        <v>0</v>
      </c>
      <c r="AB104" s="289">
        <f>IFERROR(VLOOKUP($W$69&amp;AB$70&amp;$U$104&amp;$U$98&amp;$AA$69, vw.sidssudi.eth, 6, FALSE),0)</f>
        <v>1</v>
      </c>
      <c r="AC104" s="289">
        <f>IFERROR(VLOOKUP($W$69&amp;AC$70&amp;$U$104&amp;$U$98&amp;$AA$69, vw.sidssudi.eth, 6, FALSE),0)</f>
        <v>0</v>
      </c>
      <c r="AD104" s="289">
        <f>IFERROR(VLOOKUP($W$69&amp;AD$70&amp;$U$104&amp;$U$98&amp;$AA$69, vw.sidssudi.eth, 6, FALSE),0)</f>
        <v>0</v>
      </c>
      <c r="AE104" s="289"/>
      <c r="AF104" s="245"/>
      <c r="AG104" s="245"/>
      <c r="AH104" s="245"/>
      <c r="AI104" s="245"/>
      <c r="AJ104" s="245"/>
      <c r="AK104" s="245"/>
      <c r="AL104" s="245"/>
      <c r="AM104" s="245"/>
      <c r="AN104" s="245"/>
      <c r="AO104" s="245"/>
      <c r="AP104" s="245"/>
      <c r="AQ104" s="245"/>
      <c r="AR104" s="245"/>
      <c r="AS104" s="245"/>
      <c r="AT104" s="245"/>
      <c r="AU104" s="245"/>
      <c r="AV104" s="245"/>
      <c r="AW104" s="245"/>
      <c r="AX104" s="245"/>
      <c r="AY104" s="245"/>
      <c r="AZ104" s="245"/>
      <c r="BA104" s="245"/>
      <c r="BB104" s="245"/>
      <c r="BC104" s="245"/>
      <c r="BD104" s="245"/>
      <c r="BE104" s="245"/>
      <c r="BF104" s="245"/>
      <c r="BG104" s="245"/>
      <c r="BH104" s="245"/>
      <c r="BI104" s="245"/>
      <c r="BJ104" s="245"/>
      <c r="BK104" s="245"/>
      <c r="BL104" s="245"/>
    </row>
    <row r="105" spans="1:64">
      <c r="A105" s="444" t="s">
        <v>63</v>
      </c>
      <c r="B105" s="444">
        <f>V105</f>
        <v>3</v>
      </c>
      <c r="C105" s="444">
        <f t="shared" si="75"/>
        <v>0</v>
      </c>
      <c r="D105" s="444">
        <f t="shared" si="75"/>
        <v>0</v>
      </c>
      <c r="E105" s="444">
        <f t="shared" si="75"/>
        <v>2</v>
      </c>
      <c r="F105" s="375">
        <f t="shared" si="78"/>
        <v>5</v>
      </c>
      <c r="G105" s="364">
        <f>AA105</f>
        <v>5</v>
      </c>
      <c r="H105" s="364">
        <f t="shared" si="76"/>
        <v>2</v>
      </c>
      <c r="I105" s="364">
        <f t="shared" si="76"/>
        <v>0</v>
      </c>
      <c r="J105" s="364">
        <f t="shared" si="76"/>
        <v>6</v>
      </c>
      <c r="K105" s="364">
        <f t="shared" si="80"/>
        <v>13</v>
      </c>
      <c r="L105" s="265"/>
      <c r="U105" s="780" t="s">
        <v>63</v>
      </c>
      <c r="V105" s="289">
        <f>IFERROR(VLOOKUP($W$69&amp;V$70&amp;$U$105&amp;$U$98&amp;$V$69, vw.sidssudi.eth, 6, FALSE),0)</f>
        <v>3</v>
      </c>
      <c r="W105" s="289">
        <f>IFERROR(VLOOKUP($W$69&amp;W$70&amp;$U$105&amp;$U$98&amp;$V$69, vw.sidssudi.eth, 6, FALSE),0)</f>
        <v>0</v>
      </c>
      <c r="X105" s="289">
        <f>IFERROR(VLOOKUP($W$69&amp;X$70&amp;$U$105&amp;$U$98&amp;$V$69, vw.sidssudi.eth, 6, FALSE),0)</f>
        <v>0</v>
      </c>
      <c r="Y105" s="289">
        <f>IFERROR(VLOOKUP($W$69&amp;Y$70&amp;$U$105&amp;$U$98&amp;$V$69, vw.sidssudi.eth, 6, FALSE),0)</f>
        <v>2</v>
      </c>
      <c r="AA105" s="289">
        <f>IFERROR(VLOOKUP($W$69&amp;AA$70&amp;$U$105&amp;$U$98&amp;$AA$69, vw.sidssudi.eth, 6, FALSE),0)</f>
        <v>5</v>
      </c>
      <c r="AB105" s="289">
        <f>IFERROR(VLOOKUP($W$69&amp;AB$70&amp;$U$105&amp;$U$98&amp;$AA$69, vw.sidssudi.eth, 6, FALSE),0)</f>
        <v>2</v>
      </c>
      <c r="AC105" s="289">
        <f>IFERROR(VLOOKUP($W$69&amp;AC$70&amp;$U$105&amp;$U$98&amp;$AA$69, vw.sidssudi.eth, 6, FALSE),0)</f>
        <v>0</v>
      </c>
      <c r="AD105" s="289">
        <f>IFERROR(VLOOKUP($W$69&amp;AD$70&amp;$U$105&amp;$U$98&amp;$AA$69, vw.sidssudi.eth, 6, FALSE),0)</f>
        <v>6</v>
      </c>
    </row>
    <row r="106" spans="1:64">
      <c r="A106" s="108" t="s">
        <v>322</v>
      </c>
      <c r="B106" s="81"/>
      <c r="C106" s="81"/>
      <c r="D106" s="81"/>
      <c r="E106" s="81"/>
      <c r="F106" s="81"/>
      <c r="G106" s="81"/>
      <c r="H106" s="81"/>
      <c r="I106" s="81"/>
      <c r="J106" s="81"/>
      <c r="K106" s="81"/>
      <c r="L106" s="265"/>
      <c r="U106" s="289" t="s">
        <v>139</v>
      </c>
    </row>
    <row r="107" spans="1:64">
      <c r="A107" s="49" t="s">
        <v>85</v>
      </c>
      <c r="B107" s="367">
        <f>V107</f>
        <v>3</v>
      </c>
      <c r="C107" s="367">
        <f t="shared" ref="C107:E122" si="81">W107</f>
        <v>0</v>
      </c>
      <c r="D107" s="367">
        <f t="shared" si="81"/>
        <v>0</v>
      </c>
      <c r="E107" s="367">
        <f t="shared" si="81"/>
        <v>1</v>
      </c>
      <c r="F107" s="375">
        <f>SUM(B107:E107)</f>
        <v>4</v>
      </c>
      <c r="G107" s="367">
        <f>AA107</f>
        <v>9</v>
      </c>
      <c r="H107" s="367">
        <f>AB107</f>
        <v>0</v>
      </c>
      <c r="I107" s="367">
        <f>AC107</f>
        <v>0</v>
      </c>
      <c r="J107" s="367">
        <f>AD107</f>
        <v>2</v>
      </c>
      <c r="K107" s="367">
        <f>SUM(G107:J107)</f>
        <v>11</v>
      </c>
      <c r="L107" s="265"/>
      <c r="U107" s="780" t="s">
        <v>85</v>
      </c>
      <c r="V107" s="289">
        <f>IFERROR(VLOOKUP($W$69&amp;V$70&amp;$U$107&amp;$U$106&amp;$V$69, vw.sidssudi.eth, 6, FALSE),0)</f>
        <v>3</v>
      </c>
      <c r="W107" s="289">
        <f>IFERROR(VLOOKUP($W$69&amp;W$70&amp;$U$107&amp;$U$106&amp;$V$69, vw.sidssudi.eth, 6, FALSE),0)</f>
        <v>0</v>
      </c>
      <c r="X107" s="289">
        <f>IFERROR(VLOOKUP($W$69&amp;X$70&amp;$U$107&amp;$U$106&amp;$V$69, vw.sidssudi.eth, 6, FALSE),0)</f>
        <v>0</v>
      </c>
      <c r="Y107" s="289">
        <f>IFERROR(VLOOKUP($W$69&amp;Y$70&amp;$U$107&amp;$U$106&amp;$V$69, vw.sidssudi.eth, 6, FALSE),0)</f>
        <v>1</v>
      </c>
      <c r="AA107" s="289">
        <f>IFERROR(VLOOKUP($W$69&amp;AA$70&amp;$U$107&amp;$U$106&amp;$AA$69, vw.sidssudi.eth, 6, FALSE),0)</f>
        <v>9</v>
      </c>
      <c r="AB107" s="289">
        <f>IFERROR(VLOOKUP($W$69&amp;AB$70&amp;$U$107&amp;$U$106&amp;$AA$69, vw.sidssudi.eth, 6, FALSE),0)</f>
        <v>0</v>
      </c>
      <c r="AC107" s="289">
        <f>IFERROR(VLOOKUP($W$69&amp;AC$70&amp;$U$107&amp;$U$106&amp;$AA$69, vw.sidssudi.eth, 6, FALSE),0)</f>
        <v>0</v>
      </c>
      <c r="AD107" s="289">
        <f>IFERROR(VLOOKUP($W$69&amp;AD$70&amp;$U$107&amp;$U$106&amp;$AA$69, vw.sidssudi.eth, 6, FALSE),0)</f>
        <v>2</v>
      </c>
    </row>
    <row r="108" spans="1:64">
      <c r="A108" s="49" t="s">
        <v>86</v>
      </c>
      <c r="B108" s="367">
        <f t="shared" ref="B108:B127" si="82">V108</f>
        <v>0</v>
      </c>
      <c r="C108" s="367">
        <f t="shared" si="81"/>
        <v>0</v>
      </c>
      <c r="D108" s="367">
        <f t="shared" si="81"/>
        <v>0</v>
      </c>
      <c r="E108" s="367">
        <f t="shared" si="81"/>
        <v>2</v>
      </c>
      <c r="F108" s="375">
        <f t="shared" ref="F108:F127" si="83">SUM(B108:E108)</f>
        <v>2</v>
      </c>
      <c r="G108" s="367">
        <f t="shared" ref="G108:J127" si="84">AA108</f>
        <v>2</v>
      </c>
      <c r="H108" s="367">
        <f t="shared" si="84"/>
        <v>2</v>
      </c>
      <c r="I108" s="367">
        <f t="shared" si="84"/>
        <v>0</v>
      </c>
      <c r="J108" s="367">
        <f t="shared" si="84"/>
        <v>3</v>
      </c>
      <c r="K108" s="367">
        <f t="shared" ref="K108:K127" si="85">SUM(G108:J108)</f>
        <v>7</v>
      </c>
      <c r="L108" s="265"/>
      <c r="U108" s="780" t="s">
        <v>86</v>
      </c>
      <c r="V108" s="289">
        <f>IFERROR(VLOOKUP($W$69&amp;V$70&amp;$U$108&amp;$U$106&amp;$V$69, vw.sidssudi.eth, 6, FALSE),0)</f>
        <v>0</v>
      </c>
      <c r="W108" s="289">
        <f>IFERROR(VLOOKUP($W$69&amp;W$70&amp;$U$108&amp;$U$106&amp;$V$69, vw.sidssudi.eth, 6, FALSE),0)</f>
        <v>0</v>
      </c>
      <c r="X108" s="289">
        <f>IFERROR(VLOOKUP($W$69&amp;X$70&amp;$U$108&amp;$U$106&amp;$V$69, vw.sidssudi.eth, 6, FALSE),0)</f>
        <v>0</v>
      </c>
      <c r="Y108" s="289">
        <f>IFERROR(VLOOKUP($W$69&amp;Y$70&amp;$U$108&amp;$U$106&amp;$V$69, vw.sidssudi.eth, 6, FALSE),0)</f>
        <v>2</v>
      </c>
      <c r="AA108" s="289">
        <f>IFERROR(VLOOKUP($W$69&amp;AA$70&amp;$U$108&amp;$U$106&amp;$AA$69, vw.sidssudi.eth, 6, FALSE),0)</f>
        <v>2</v>
      </c>
      <c r="AB108" s="289">
        <f>IFERROR(VLOOKUP($W$69&amp;AB$70&amp;$U$108&amp;$U$106&amp;$AA$69, vw.sidssudi.eth, 6, FALSE),0)</f>
        <v>2</v>
      </c>
      <c r="AC108" s="289">
        <f>IFERROR(VLOOKUP($W$69&amp;AC$70&amp;$U$108&amp;$U$106&amp;$AA$69, vw.sidssudi.eth, 6, FALSE),0)</f>
        <v>0</v>
      </c>
      <c r="AD108" s="289">
        <f>IFERROR(VLOOKUP($W$69&amp;AD$70&amp;$U$108&amp;$U$106&amp;$AA$69, vw.sidssudi.eth, 6, FALSE),0)</f>
        <v>3</v>
      </c>
    </row>
    <row r="109" spans="1:64">
      <c r="A109" s="49" t="s">
        <v>87</v>
      </c>
      <c r="B109" s="367">
        <f t="shared" si="82"/>
        <v>0</v>
      </c>
      <c r="C109" s="367">
        <f t="shared" si="81"/>
        <v>3</v>
      </c>
      <c r="D109" s="367">
        <f t="shared" si="81"/>
        <v>1</v>
      </c>
      <c r="E109" s="367">
        <f t="shared" si="81"/>
        <v>0</v>
      </c>
      <c r="F109" s="375">
        <f t="shared" si="83"/>
        <v>4</v>
      </c>
      <c r="G109" s="367">
        <f t="shared" si="84"/>
        <v>4</v>
      </c>
      <c r="H109" s="367">
        <f t="shared" si="84"/>
        <v>8</v>
      </c>
      <c r="I109" s="367">
        <f t="shared" si="84"/>
        <v>1</v>
      </c>
      <c r="J109" s="367">
        <f t="shared" si="84"/>
        <v>0</v>
      </c>
      <c r="K109" s="367">
        <f t="shared" si="85"/>
        <v>13</v>
      </c>
      <c r="L109" s="265"/>
      <c r="U109" s="780" t="s">
        <v>87</v>
      </c>
      <c r="V109" s="289">
        <f>IFERROR(VLOOKUP($W$69&amp;V$70&amp;$U$109&amp;$U$106&amp;$V$69, vw.sidssudi.eth, 6, FALSE),0)</f>
        <v>0</v>
      </c>
      <c r="W109" s="289">
        <f>IFERROR(VLOOKUP($W$69&amp;W$70&amp;$U$109&amp;$U$106&amp;$V$69, vw.sidssudi.eth, 6, FALSE),0)</f>
        <v>3</v>
      </c>
      <c r="X109" s="289">
        <f>IFERROR(VLOOKUP($W$69&amp;X$70&amp;$U$109&amp;$U$106&amp;$V$69, vw.sidssudi.eth, 6, FALSE),0)</f>
        <v>1</v>
      </c>
      <c r="Y109" s="289">
        <f>IFERROR(VLOOKUP($W$69&amp;Y$70&amp;$U$109&amp;$U$106&amp;$V$69, vw.sidssudi.eth, 6, FALSE),0)</f>
        <v>0</v>
      </c>
      <c r="AA109" s="289">
        <f>IFERROR(VLOOKUP($W$69&amp;AA$70&amp;$U$109&amp;$U$106&amp;$AA$69, vw.sidssudi.eth, 6, FALSE),0)</f>
        <v>4</v>
      </c>
      <c r="AB109" s="289">
        <f>IFERROR(VLOOKUP($W$69&amp;AB$70&amp;$U$109&amp;$U$106&amp;$AA$69, vw.sidssudi.eth, 6, FALSE),0)</f>
        <v>8</v>
      </c>
      <c r="AC109" s="289">
        <f>IFERROR(VLOOKUP($W$69&amp;AC$70&amp;$U$109&amp;$U$106&amp;$AA$69, vw.sidssudi.eth, 6, FALSE),0)</f>
        <v>1</v>
      </c>
      <c r="AD109" s="289">
        <f>IFERROR(VLOOKUP($W$69&amp;AD$70&amp;$U$109&amp;$U$106&amp;$AA$69, vw.sidssudi.eth, 6, FALSE),0)</f>
        <v>0</v>
      </c>
    </row>
    <row r="110" spans="1:64">
      <c r="A110" s="49" t="s">
        <v>88</v>
      </c>
      <c r="B110" s="367">
        <f t="shared" si="82"/>
        <v>8</v>
      </c>
      <c r="C110" s="367">
        <f t="shared" si="81"/>
        <v>5</v>
      </c>
      <c r="D110" s="367">
        <f t="shared" si="81"/>
        <v>1</v>
      </c>
      <c r="E110" s="367">
        <f t="shared" si="81"/>
        <v>0</v>
      </c>
      <c r="F110" s="375">
        <f t="shared" si="83"/>
        <v>14</v>
      </c>
      <c r="G110" s="367">
        <f t="shared" si="84"/>
        <v>23</v>
      </c>
      <c r="H110" s="367">
        <f t="shared" si="84"/>
        <v>18</v>
      </c>
      <c r="I110" s="367">
        <f t="shared" si="84"/>
        <v>1</v>
      </c>
      <c r="J110" s="367">
        <f t="shared" si="84"/>
        <v>1</v>
      </c>
      <c r="K110" s="367">
        <f t="shared" si="85"/>
        <v>43</v>
      </c>
      <c r="L110" s="265"/>
      <c r="U110" s="780" t="s">
        <v>88</v>
      </c>
      <c r="V110" s="289">
        <f>IFERROR(VLOOKUP($W$69&amp;V$70&amp;$U$110&amp;$U$106&amp;$V$69, vw.sidssudi.eth, 6, FALSE),0)</f>
        <v>8</v>
      </c>
      <c r="W110" s="289">
        <f>IFERROR(VLOOKUP($W$69&amp;W$70&amp;$U$110&amp;$U$106&amp;$V$69, vw.sidssudi.eth, 6, FALSE),0)</f>
        <v>5</v>
      </c>
      <c r="X110" s="289">
        <f>IFERROR(VLOOKUP($W$69&amp;X$70&amp;$U$110&amp;$U$106&amp;$V$69, vw.sidssudi.eth, 6, FALSE),0)</f>
        <v>1</v>
      </c>
      <c r="Y110" s="289">
        <f>IFERROR(VLOOKUP($W$69&amp;Y$70&amp;$U$110&amp;$U$106&amp;$V$69, vw.sidssudi.eth, 6, FALSE),0)</f>
        <v>0</v>
      </c>
      <c r="AA110" s="289">
        <f>IFERROR(VLOOKUP($W$69&amp;AA$70&amp;$U$110&amp;$U$106&amp;$AA$69, vw.sidssudi.eth, 6, FALSE),0)</f>
        <v>23</v>
      </c>
      <c r="AB110" s="289">
        <f>IFERROR(VLOOKUP($W$69&amp;AB$70&amp;$U$110&amp;$U$106&amp;$AA$69, vw.sidssudi.eth, 6, FALSE),0)</f>
        <v>18</v>
      </c>
      <c r="AC110" s="289">
        <f>IFERROR(VLOOKUP($W$69&amp;AC$70&amp;$U$110&amp;$U$106&amp;$AA$69, vw.sidssudi.eth, 6, FALSE),0)</f>
        <v>1</v>
      </c>
      <c r="AD110" s="289">
        <f>IFERROR(VLOOKUP($W$69&amp;AD$70&amp;$U$110&amp;$U$106&amp;$AA$69, vw.sidssudi.eth, 6, FALSE),0)</f>
        <v>1</v>
      </c>
    </row>
    <row r="111" spans="1:64">
      <c r="A111" s="49" t="s">
        <v>89</v>
      </c>
      <c r="B111" s="367">
        <f t="shared" si="82"/>
        <v>8</v>
      </c>
      <c r="C111" s="367">
        <f t="shared" si="81"/>
        <v>1</v>
      </c>
      <c r="D111" s="367">
        <f t="shared" si="81"/>
        <v>0</v>
      </c>
      <c r="E111" s="367">
        <f t="shared" si="81"/>
        <v>3</v>
      </c>
      <c r="F111" s="375">
        <f t="shared" si="83"/>
        <v>12</v>
      </c>
      <c r="G111" s="367">
        <f t="shared" si="84"/>
        <v>18</v>
      </c>
      <c r="H111" s="367">
        <f t="shared" si="84"/>
        <v>3</v>
      </c>
      <c r="I111" s="367">
        <f t="shared" si="84"/>
        <v>0</v>
      </c>
      <c r="J111" s="367">
        <f t="shared" si="84"/>
        <v>8</v>
      </c>
      <c r="K111" s="367">
        <f t="shared" si="85"/>
        <v>29</v>
      </c>
      <c r="L111" s="265"/>
      <c r="U111" s="780" t="s">
        <v>89</v>
      </c>
      <c r="V111" s="289">
        <f>IFERROR(VLOOKUP($W$69&amp;V$70&amp;$U$111&amp;$U$106&amp;$V$69, vw.sidssudi.eth, 6, FALSE),0)</f>
        <v>8</v>
      </c>
      <c r="W111" s="289">
        <f>IFERROR(VLOOKUP($W$69&amp;W$70&amp;$U$111&amp;$U$106&amp;$V$69, vw.sidssudi.eth, 6, FALSE),0)</f>
        <v>1</v>
      </c>
      <c r="X111" s="289">
        <f>IFERROR(VLOOKUP($W$69&amp;X$70&amp;$U$111&amp;$U$106&amp;$V$69, vw.sidssudi.eth, 6, FALSE),0)</f>
        <v>0</v>
      </c>
      <c r="Y111" s="289">
        <f>IFERROR(VLOOKUP($W$69&amp;Y$70&amp;$U$111&amp;$U$106&amp;$V$69, vw.sidssudi.eth, 6, FALSE),0)</f>
        <v>3</v>
      </c>
      <c r="AA111" s="289">
        <f>IFERROR(VLOOKUP($W$69&amp;AA$70&amp;$U$111&amp;$U$106&amp;$AA$69, vw.sidssudi.eth, 6, FALSE),0)</f>
        <v>18</v>
      </c>
      <c r="AB111" s="289">
        <f>IFERROR(VLOOKUP($W$69&amp;AB$70&amp;$U$111&amp;$U$106&amp;$AA$69, vw.sidssudi.eth, 6, FALSE),0)</f>
        <v>3</v>
      </c>
      <c r="AC111" s="289">
        <f>IFERROR(VLOOKUP($W$69&amp;AC$70&amp;$U$111&amp;$U$106&amp;$AA$69, vw.sidssudi.eth, 6, FALSE),0)</f>
        <v>0</v>
      </c>
      <c r="AD111" s="289">
        <f>IFERROR(VLOOKUP($W$69&amp;AD$70&amp;$U$111&amp;$U$106&amp;$AA$69, vw.sidssudi.eth, 6, FALSE),0)</f>
        <v>8</v>
      </c>
    </row>
    <row r="112" spans="1:64">
      <c r="A112" s="49" t="s">
        <v>90</v>
      </c>
      <c r="B112" s="367">
        <f t="shared" si="82"/>
        <v>3</v>
      </c>
      <c r="C112" s="367">
        <f t="shared" si="81"/>
        <v>0</v>
      </c>
      <c r="D112" s="367">
        <f t="shared" si="81"/>
        <v>0</v>
      </c>
      <c r="E112" s="367">
        <f t="shared" si="81"/>
        <v>1</v>
      </c>
      <c r="F112" s="375">
        <f t="shared" si="83"/>
        <v>4</v>
      </c>
      <c r="G112" s="367">
        <f t="shared" si="84"/>
        <v>5</v>
      </c>
      <c r="H112" s="367">
        <f t="shared" si="84"/>
        <v>0</v>
      </c>
      <c r="I112" s="367">
        <f t="shared" si="84"/>
        <v>0</v>
      </c>
      <c r="J112" s="367">
        <f t="shared" si="84"/>
        <v>1</v>
      </c>
      <c r="K112" s="367">
        <f t="shared" si="85"/>
        <v>6</v>
      </c>
      <c r="L112" s="265"/>
      <c r="U112" s="780" t="s">
        <v>90</v>
      </c>
      <c r="V112" s="289">
        <f>IFERROR(VLOOKUP($W$69&amp;V$70&amp;$U$112&amp;$U$106&amp;$V$69, vw.sidssudi.eth, 6, FALSE),0)</f>
        <v>3</v>
      </c>
      <c r="W112" s="289">
        <f>IFERROR(VLOOKUP($W$69&amp;W$70&amp;$U$112&amp;$U$106&amp;$V$69, vw.sidssudi.eth, 6, FALSE),0)</f>
        <v>0</v>
      </c>
      <c r="X112" s="289">
        <f>IFERROR(VLOOKUP($W$69&amp;X$70&amp;$U$112&amp;$U$106&amp;$V$69, vw.sidssudi.eth, 6, FALSE),0)</f>
        <v>0</v>
      </c>
      <c r="Y112" s="289">
        <f>IFERROR(VLOOKUP($W$69&amp;Y$70&amp;$U$112&amp;$U$106&amp;$V$69, vw.sidssudi.eth, 6, FALSE),0)</f>
        <v>1</v>
      </c>
      <c r="AA112" s="289">
        <f>IFERROR(VLOOKUP($W$69&amp;AA$70&amp;$U$112&amp;$U$106&amp;$AA$69, vw.sidssudi.eth, 6, FALSE),0)</f>
        <v>5</v>
      </c>
      <c r="AB112" s="289">
        <f>IFERROR(VLOOKUP($W$69&amp;AB$70&amp;$U$112&amp;$U$106&amp;$AA$69, vw.sidssudi.eth, 6, FALSE),0)</f>
        <v>0</v>
      </c>
      <c r="AC112" s="289">
        <f>IFERROR(VLOOKUP($W$69&amp;AC$70&amp;$U$112&amp;$U$106&amp;$AA$69, vw.sidssudi.eth, 6, FALSE),0)</f>
        <v>0</v>
      </c>
      <c r="AD112" s="289">
        <f>IFERROR(VLOOKUP($W$69&amp;AD$70&amp;$U$112&amp;$U$106&amp;$AA$69, vw.sidssudi.eth, 6, FALSE),0)</f>
        <v>1</v>
      </c>
    </row>
    <row r="113" spans="1:30">
      <c r="A113" s="49" t="s">
        <v>91</v>
      </c>
      <c r="B113" s="367">
        <f t="shared" si="82"/>
        <v>1</v>
      </c>
      <c r="C113" s="367">
        <f t="shared" si="81"/>
        <v>0</v>
      </c>
      <c r="D113" s="367">
        <f t="shared" si="81"/>
        <v>0</v>
      </c>
      <c r="E113" s="367">
        <f t="shared" si="81"/>
        <v>0</v>
      </c>
      <c r="F113" s="375">
        <f t="shared" si="83"/>
        <v>1</v>
      </c>
      <c r="G113" s="367">
        <f t="shared" si="84"/>
        <v>4</v>
      </c>
      <c r="H113" s="367">
        <f t="shared" si="84"/>
        <v>0</v>
      </c>
      <c r="I113" s="367">
        <f t="shared" si="84"/>
        <v>0</v>
      </c>
      <c r="J113" s="367">
        <f t="shared" si="84"/>
        <v>1</v>
      </c>
      <c r="K113" s="367">
        <f t="shared" si="85"/>
        <v>5</v>
      </c>
      <c r="L113" s="265"/>
      <c r="U113" s="780" t="s">
        <v>91</v>
      </c>
      <c r="V113" s="289">
        <f>IFERROR(VLOOKUP($W$69&amp;V$70&amp;$U$113&amp;$U$106&amp;$V$69, vw.sidssudi.eth, 6, FALSE),0)</f>
        <v>1</v>
      </c>
      <c r="W113" s="289">
        <f>IFERROR(VLOOKUP($W$69&amp;W$70&amp;$U$113&amp;$U$106&amp;$V$69, vw.sidssudi.eth, 6, FALSE),0)</f>
        <v>0</v>
      </c>
      <c r="X113" s="289">
        <f>IFERROR(VLOOKUP($W$69&amp;X$70&amp;$U$113&amp;$U$106&amp;$V$69, vw.sidssudi.eth, 6, FALSE),0)</f>
        <v>0</v>
      </c>
      <c r="Y113" s="289">
        <f>IFERROR(VLOOKUP($W$69&amp;Y$70&amp;$U$113&amp;$U$106&amp;$V$69, vw.sidssudi.eth, 6, FALSE),0)</f>
        <v>0</v>
      </c>
      <c r="AA113" s="289">
        <f>IFERROR(VLOOKUP($W$69&amp;AA$70&amp;$U$113&amp;$U$106&amp;$AA$69, vw.sidssudi.eth, 6, FALSE),0)</f>
        <v>4</v>
      </c>
      <c r="AB113" s="289">
        <f>IFERROR(VLOOKUP($W$69&amp;AB$70&amp;$U$113&amp;$U$106&amp;$AA$69, vw.sidssudi.eth, 6, FALSE),0)</f>
        <v>0</v>
      </c>
      <c r="AC113" s="289">
        <f>IFERROR(VLOOKUP($W$69&amp;AC$70&amp;$U$113&amp;$U$106&amp;$AA$69, vw.sidssudi.eth, 6, FALSE),0)</f>
        <v>0</v>
      </c>
      <c r="AD113" s="289">
        <f>IFERROR(VLOOKUP($W$69&amp;AD$70&amp;$U$113&amp;$U$106&amp;$AA$69, vw.sidssudi.eth, 6, FALSE),0)</f>
        <v>1</v>
      </c>
    </row>
    <row r="114" spans="1:30">
      <c r="A114" s="49" t="s">
        <v>366</v>
      </c>
      <c r="B114" s="367">
        <f t="shared" si="82"/>
        <v>2</v>
      </c>
      <c r="C114" s="367">
        <f t="shared" si="81"/>
        <v>0</v>
      </c>
      <c r="D114" s="367">
        <f t="shared" si="81"/>
        <v>0</v>
      </c>
      <c r="E114" s="367">
        <f t="shared" si="81"/>
        <v>0</v>
      </c>
      <c r="F114" s="375">
        <f t="shared" si="83"/>
        <v>2</v>
      </c>
      <c r="G114" s="367">
        <f t="shared" si="84"/>
        <v>7</v>
      </c>
      <c r="H114" s="367">
        <f t="shared" si="84"/>
        <v>0</v>
      </c>
      <c r="I114" s="367">
        <f t="shared" si="84"/>
        <v>0</v>
      </c>
      <c r="J114" s="367">
        <f t="shared" si="84"/>
        <v>0</v>
      </c>
      <c r="K114" s="367">
        <f t="shared" si="85"/>
        <v>7</v>
      </c>
      <c r="L114" s="265"/>
      <c r="U114" s="780" t="s">
        <v>433</v>
      </c>
      <c r="V114" s="289">
        <f>IFERROR(VLOOKUP($W$69&amp;V$70&amp;$U$114&amp;$U$106&amp;$V$69, vw.sidssudi.eth, 6, FALSE),0)</f>
        <v>2</v>
      </c>
      <c r="W114" s="289">
        <f>IFERROR(VLOOKUP($W$69&amp;W$70&amp;$U$114&amp;$U$106&amp;$V$69, vw.sidssudi.eth, 6, FALSE),0)</f>
        <v>0</v>
      </c>
      <c r="X114" s="289">
        <f>IFERROR(VLOOKUP($W$69&amp;X$70&amp;$U$114&amp;$U$106&amp;$V$69, vw.sidssudi.eth, 6, FALSE),0)</f>
        <v>0</v>
      </c>
      <c r="Y114" s="289">
        <f>IFERROR(VLOOKUP($W$69&amp;Y$70&amp;$U$114&amp;$U$106&amp;$V$69, vw.sidssudi.eth, 6, FALSE),0)</f>
        <v>0</v>
      </c>
      <c r="AA114" s="289">
        <f>IFERROR(VLOOKUP($W$69&amp;AA$70&amp;$U$114&amp;$U$106&amp;$AA$69, vw.sidssudi.eth, 6, FALSE),0)</f>
        <v>7</v>
      </c>
      <c r="AB114" s="289">
        <f>IFERROR(VLOOKUP($W$69&amp;AB$70&amp;$U$114&amp;$U$106&amp;$AA$69, vw.sidssudi.eth, 6, FALSE),0)</f>
        <v>0</v>
      </c>
      <c r="AC114" s="289">
        <f>IFERROR(VLOOKUP($W$69&amp;AC$70&amp;$U$114&amp;$U$106&amp;$AA$69, vw.sidssudi.eth, 6, FALSE),0)</f>
        <v>0</v>
      </c>
      <c r="AD114" s="289">
        <f>IFERROR(VLOOKUP($W$69&amp;AD$70&amp;$U$114&amp;$U$106&amp;$AA$69, vw.sidssudi.eth, 6, FALSE),0)</f>
        <v>0</v>
      </c>
    </row>
    <row r="115" spans="1:30">
      <c r="A115" s="49" t="s">
        <v>92</v>
      </c>
      <c r="B115" s="367">
        <f t="shared" si="82"/>
        <v>4</v>
      </c>
      <c r="C115" s="367">
        <f t="shared" si="81"/>
        <v>0</v>
      </c>
      <c r="D115" s="367">
        <f t="shared" si="81"/>
        <v>0</v>
      </c>
      <c r="E115" s="367">
        <f t="shared" si="81"/>
        <v>1</v>
      </c>
      <c r="F115" s="375">
        <f t="shared" si="83"/>
        <v>5</v>
      </c>
      <c r="G115" s="367">
        <f t="shared" si="84"/>
        <v>7</v>
      </c>
      <c r="H115" s="367">
        <f t="shared" si="84"/>
        <v>0</v>
      </c>
      <c r="I115" s="367">
        <f t="shared" si="84"/>
        <v>0</v>
      </c>
      <c r="J115" s="367">
        <f t="shared" si="84"/>
        <v>2</v>
      </c>
      <c r="K115" s="367">
        <f t="shared" si="85"/>
        <v>9</v>
      </c>
      <c r="L115" s="265"/>
      <c r="U115" s="780" t="s">
        <v>92</v>
      </c>
      <c r="V115" s="289">
        <f>IFERROR(VLOOKUP($W$69&amp;V$70&amp;$U$115&amp;$U$106&amp;$V$69, vw.sidssudi.eth, 6, FALSE),0)</f>
        <v>4</v>
      </c>
      <c r="W115" s="289">
        <f>IFERROR(VLOOKUP($W$69&amp;W$70&amp;$U$115&amp;$U$106&amp;$V$69, vw.sidssudi.eth, 6, FALSE),0)</f>
        <v>0</v>
      </c>
      <c r="X115" s="289">
        <f>IFERROR(VLOOKUP($W$69&amp;X$70&amp;$U$115&amp;$U$106&amp;$V$69, vw.sidssudi.eth, 6, FALSE),0)</f>
        <v>0</v>
      </c>
      <c r="Y115" s="289">
        <f>IFERROR(VLOOKUP($W$69&amp;Y$70&amp;$U$115&amp;$U$106&amp;$V$69, vw.sidssudi.eth, 6, FALSE),0)</f>
        <v>1</v>
      </c>
      <c r="AA115" s="289">
        <f>IFERROR(VLOOKUP($W$69&amp;AA$70&amp;$U$115&amp;$U$106&amp;$AA$69, vw.sidssudi.eth, 6, FALSE),0)</f>
        <v>7</v>
      </c>
      <c r="AB115" s="289">
        <f>IFERROR(VLOOKUP($W$69&amp;AB$70&amp;$U$115&amp;$U$106&amp;$AA$69, vw.sidssudi.eth, 6, FALSE),0)</f>
        <v>0</v>
      </c>
      <c r="AC115" s="289">
        <f>IFERROR(VLOOKUP($W$69&amp;AC$70&amp;$U$115&amp;$U$106&amp;$AA$69, vw.sidssudi.eth, 6, FALSE),0)</f>
        <v>0</v>
      </c>
      <c r="AD115" s="289">
        <f>IFERROR(VLOOKUP($W$69&amp;AD$70&amp;$U$115&amp;$U$106&amp;$AA$69, vw.sidssudi.eth, 6, FALSE),0)</f>
        <v>2</v>
      </c>
    </row>
    <row r="116" spans="1:30">
      <c r="A116" s="49" t="s">
        <v>93</v>
      </c>
      <c r="B116" s="367">
        <f t="shared" si="82"/>
        <v>3</v>
      </c>
      <c r="C116" s="367">
        <f t="shared" si="81"/>
        <v>0</v>
      </c>
      <c r="D116" s="367">
        <f t="shared" si="81"/>
        <v>0</v>
      </c>
      <c r="E116" s="367">
        <f t="shared" si="81"/>
        <v>2</v>
      </c>
      <c r="F116" s="375">
        <f t="shared" si="83"/>
        <v>5</v>
      </c>
      <c r="G116" s="367">
        <f t="shared" si="84"/>
        <v>4</v>
      </c>
      <c r="H116" s="367">
        <f t="shared" si="84"/>
        <v>0</v>
      </c>
      <c r="I116" s="367">
        <f t="shared" si="84"/>
        <v>0</v>
      </c>
      <c r="J116" s="367">
        <f t="shared" si="84"/>
        <v>3</v>
      </c>
      <c r="K116" s="367">
        <f t="shared" si="85"/>
        <v>7</v>
      </c>
      <c r="L116" s="265"/>
      <c r="U116" s="780" t="s">
        <v>93</v>
      </c>
      <c r="V116" s="289">
        <f>IFERROR(VLOOKUP($W$69&amp;V$70&amp;$U$116&amp;$U$106&amp;$V$69, vw.sidssudi.eth, 6, FALSE),0)</f>
        <v>3</v>
      </c>
      <c r="W116" s="289">
        <f>IFERROR(VLOOKUP($W$69&amp;W$70&amp;$U$116&amp;$U$106&amp;$V$69, vw.sidssudi.eth, 6, FALSE),0)</f>
        <v>0</v>
      </c>
      <c r="X116" s="289">
        <f>IFERROR(VLOOKUP($W$69&amp;X$70&amp;$U$116&amp;$U$106&amp;$V$69, vw.sidssudi.eth, 6, FALSE),0)</f>
        <v>0</v>
      </c>
      <c r="Y116" s="289">
        <f>IFERROR(VLOOKUP($W$69&amp;Y$70&amp;$U$116&amp;$U$106&amp;$V$69, vw.sidssudi.eth, 6, FALSE),0)</f>
        <v>2</v>
      </c>
      <c r="AA116" s="289">
        <f>IFERROR(VLOOKUP($W$69&amp;AA$70&amp;$U$116&amp;$U$106&amp;$AA$69, vw.sidssudi.eth, 6, FALSE),0)</f>
        <v>4</v>
      </c>
      <c r="AB116" s="289">
        <f>IFERROR(VLOOKUP($W$69&amp;AB$70&amp;$U$116&amp;$U$106&amp;$AA$69, vw.sidssudi.eth, 6, FALSE),0)</f>
        <v>0</v>
      </c>
      <c r="AC116" s="289">
        <f>IFERROR(VLOOKUP($W$69&amp;AC$70&amp;$U$116&amp;$U$106&amp;$AA$69, vw.sidssudi.eth, 6, FALSE),0)</f>
        <v>0</v>
      </c>
      <c r="AD116" s="289">
        <f>IFERROR(VLOOKUP($W$69&amp;AD$70&amp;$U$116&amp;$U$106&amp;$AA$69, vw.sidssudi.eth, 6, FALSE),0)</f>
        <v>3</v>
      </c>
    </row>
    <row r="117" spans="1:30">
      <c r="A117" s="49" t="s">
        <v>94</v>
      </c>
      <c r="B117" s="367">
        <f t="shared" si="82"/>
        <v>5</v>
      </c>
      <c r="C117" s="367">
        <f t="shared" si="81"/>
        <v>0</v>
      </c>
      <c r="D117" s="367">
        <f t="shared" si="81"/>
        <v>0</v>
      </c>
      <c r="E117" s="367">
        <f t="shared" si="81"/>
        <v>1</v>
      </c>
      <c r="F117" s="375">
        <f t="shared" si="83"/>
        <v>6</v>
      </c>
      <c r="G117" s="367">
        <f t="shared" si="84"/>
        <v>6</v>
      </c>
      <c r="H117" s="367">
        <f t="shared" si="84"/>
        <v>0</v>
      </c>
      <c r="I117" s="367">
        <f t="shared" si="84"/>
        <v>0</v>
      </c>
      <c r="J117" s="367">
        <f t="shared" si="84"/>
        <v>1</v>
      </c>
      <c r="K117" s="367">
        <f t="shared" si="85"/>
        <v>7</v>
      </c>
      <c r="L117" s="265"/>
      <c r="U117" s="780" t="s">
        <v>94</v>
      </c>
      <c r="V117" s="289">
        <f>IFERROR(VLOOKUP($W$69&amp;V$70&amp;$U$117&amp;$U$106&amp;$V$69, vw.sidssudi.eth, 6, FALSE),0)</f>
        <v>5</v>
      </c>
      <c r="W117" s="289">
        <f>IFERROR(VLOOKUP($W$69&amp;W$70&amp;$U$117&amp;$U$106&amp;$V$69, vw.sidssudi.eth, 6, FALSE),0)</f>
        <v>0</v>
      </c>
      <c r="X117" s="289">
        <f>IFERROR(VLOOKUP($W$69&amp;X$70&amp;$U$117&amp;$U$106&amp;$V$69, vw.sidssudi.eth, 6, FALSE),0)</f>
        <v>0</v>
      </c>
      <c r="Y117" s="289">
        <f>IFERROR(VLOOKUP($W$69&amp;Y$70&amp;$U$117&amp;$U$106&amp;$V$69, vw.sidssudi.eth, 6, FALSE),0)</f>
        <v>1</v>
      </c>
      <c r="AA117" s="289">
        <f>IFERROR(VLOOKUP($W$69&amp;AA$70&amp;$U$117&amp;$U$106&amp;$AA$69, vw.sidssudi.eth, 6, FALSE),0)</f>
        <v>6</v>
      </c>
      <c r="AB117" s="289">
        <f>IFERROR(VLOOKUP($W$69&amp;AB$70&amp;$U$117&amp;$U$106&amp;$AA$69, vw.sidssudi.eth, 6, FALSE),0)</f>
        <v>0</v>
      </c>
      <c r="AC117" s="289">
        <f>IFERROR(VLOOKUP($W$69&amp;AC$70&amp;$U$117&amp;$U$106&amp;$AA$69, vw.sidssudi.eth, 6, FALSE),0)</f>
        <v>0</v>
      </c>
      <c r="AD117" s="289">
        <f>IFERROR(VLOOKUP($W$69&amp;AD$70&amp;$U$117&amp;$U$106&amp;$AA$69, vw.sidssudi.eth, 6, FALSE),0)</f>
        <v>1</v>
      </c>
    </row>
    <row r="118" spans="1:30">
      <c r="A118" s="49" t="s">
        <v>95</v>
      </c>
      <c r="B118" s="367">
        <f t="shared" si="82"/>
        <v>2</v>
      </c>
      <c r="C118" s="367">
        <f t="shared" si="81"/>
        <v>1</v>
      </c>
      <c r="D118" s="367">
        <f t="shared" si="81"/>
        <v>0</v>
      </c>
      <c r="E118" s="367">
        <f t="shared" si="81"/>
        <v>1</v>
      </c>
      <c r="F118" s="375">
        <f t="shared" si="83"/>
        <v>4</v>
      </c>
      <c r="G118" s="367">
        <f t="shared" si="84"/>
        <v>5</v>
      </c>
      <c r="H118" s="367">
        <f t="shared" si="84"/>
        <v>1</v>
      </c>
      <c r="I118" s="367">
        <f t="shared" si="84"/>
        <v>0</v>
      </c>
      <c r="J118" s="367">
        <f t="shared" si="84"/>
        <v>1</v>
      </c>
      <c r="K118" s="367">
        <f t="shared" si="85"/>
        <v>7</v>
      </c>
      <c r="L118" s="265"/>
      <c r="U118" s="780" t="s">
        <v>95</v>
      </c>
      <c r="V118" s="289">
        <f>IFERROR(VLOOKUP($W$69&amp;V$70&amp;$U$118&amp;$U$106&amp;$V$69, vw.sidssudi.eth, 6, FALSE),0)</f>
        <v>2</v>
      </c>
      <c r="W118" s="289">
        <f>IFERROR(VLOOKUP($W$69&amp;W$70&amp;$U$118&amp;$U$106&amp;$V$69, vw.sidssudi.eth, 6, FALSE),0)</f>
        <v>1</v>
      </c>
      <c r="X118" s="289">
        <f>IFERROR(VLOOKUP($W$69&amp;X$70&amp;$U$118&amp;$U$106&amp;$V$69, vw.sidssudi.eth, 6, FALSE),0)</f>
        <v>0</v>
      </c>
      <c r="Y118" s="289">
        <f>IFERROR(VLOOKUP($W$69&amp;Y$70&amp;$U$118&amp;$U$106&amp;$V$69, vw.sidssudi.eth, 6, FALSE),0)</f>
        <v>1</v>
      </c>
      <c r="AA118" s="289">
        <f>IFERROR(VLOOKUP($W$69&amp;AA$70&amp;$U$118&amp;$U$106&amp;$AA$69, vw.sidssudi.eth, 6, FALSE),0)</f>
        <v>5</v>
      </c>
      <c r="AB118" s="289">
        <f>IFERROR(VLOOKUP($W$69&amp;AB$70&amp;$U$118&amp;$U$106&amp;$AA$69, vw.sidssudi.eth, 6, FALSE),0)</f>
        <v>1</v>
      </c>
      <c r="AC118" s="289">
        <f>IFERROR(VLOOKUP($W$69&amp;AC$70&amp;$U$118&amp;$U$106&amp;$AA$69, vw.sidssudi.eth, 6, FALSE),0)</f>
        <v>0</v>
      </c>
      <c r="AD118" s="289">
        <f>IFERROR(VLOOKUP($W$69&amp;AD$70&amp;$U$118&amp;$U$106&amp;$AA$69, vw.sidssudi.eth, 6, FALSE),0)</f>
        <v>1</v>
      </c>
    </row>
    <row r="119" spans="1:30">
      <c r="A119" s="49" t="s">
        <v>96</v>
      </c>
      <c r="B119" s="367">
        <f t="shared" si="82"/>
        <v>4</v>
      </c>
      <c r="C119" s="367">
        <f t="shared" si="81"/>
        <v>1</v>
      </c>
      <c r="D119" s="367">
        <f t="shared" si="81"/>
        <v>0</v>
      </c>
      <c r="E119" s="367">
        <f t="shared" si="81"/>
        <v>1</v>
      </c>
      <c r="F119" s="375">
        <f t="shared" si="83"/>
        <v>6</v>
      </c>
      <c r="G119" s="367">
        <f t="shared" si="84"/>
        <v>7</v>
      </c>
      <c r="H119" s="367">
        <f t="shared" si="84"/>
        <v>4</v>
      </c>
      <c r="I119" s="367">
        <f t="shared" si="84"/>
        <v>0</v>
      </c>
      <c r="J119" s="367">
        <f t="shared" si="84"/>
        <v>2</v>
      </c>
      <c r="K119" s="367">
        <f t="shared" si="85"/>
        <v>13</v>
      </c>
      <c r="L119" s="265"/>
      <c r="U119" s="780" t="s">
        <v>96</v>
      </c>
      <c r="V119" s="289">
        <f>IFERROR(VLOOKUP($W$69&amp;V$70&amp;$U$119&amp;$U$106&amp;$V$69, vw.sidssudi.eth, 6, FALSE),0)</f>
        <v>4</v>
      </c>
      <c r="W119" s="289">
        <f>IFERROR(VLOOKUP($W$69&amp;W$70&amp;$U$119&amp;$U$106&amp;$V$69, vw.sidssudi.eth, 6, FALSE),0)</f>
        <v>1</v>
      </c>
      <c r="X119" s="289">
        <f>IFERROR(VLOOKUP($W$69&amp;X$70&amp;$U$119&amp;$U$106&amp;$V$69, vw.sidssudi.eth, 6, FALSE),0)</f>
        <v>0</v>
      </c>
      <c r="Y119" s="289">
        <f>IFERROR(VLOOKUP($W$69&amp;Y$70&amp;$U$119&amp;$U$106&amp;$V$69, vw.sidssudi.eth, 6, FALSE),0)</f>
        <v>1</v>
      </c>
      <c r="AA119" s="289">
        <f>IFERROR(VLOOKUP($W$69&amp;AA$70&amp;$U$119&amp;$U$106&amp;$AA$69, vw.sidssudi.eth, 6, FALSE),0)</f>
        <v>7</v>
      </c>
      <c r="AB119" s="289">
        <f>IFERROR(VLOOKUP($W$69&amp;AB$70&amp;$U$119&amp;$U$106&amp;$AA$69, vw.sidssudi.eth, 6, FALSE),0)</f>
        <v>4</v>
      </c>
      <c r="AC119" s="289">
        <f>IFERROR(VLOOKUP($W$69&amp;AC$70&amp;$U$119&amp;$U$106&amp;$AA$69, vw.sidssudi.eth, 6, FALSE),0)</f>
        <v>0</v>
      </c>
      <c r="AD119" s="289">
        <f>IFERROR(VLOOKUP($W$69&amp;AD$70&amp;$U$119&amp;$U$106&amp;$AA$69, vw.sidssudi.eth, 6, FALSE),0)</f>
        <v>2</v>
      </c>
    </row>
    <row r="120" spans="1:30">
      <c r="A120" s="49" t="s">
        <v>97</v>
      </c>
      <c r="B120" s="367">
        <f t="shared" si="82"/>
        <v>4</v>
      </c>
      <c r="C120" s="367">
        <f t="shared" si="81"/>
        <v>0</v>
      </c>
      <c r="D120" s="367">
        <f t="shared" si="81"/>
        <v>0</v>
      </c>
      <c r="E120" s="367">
        <f t="shared" si="81"/>
        <v>1</v>
      </c>
      <c r="F120" s="375">
        <f t="shared" si="83"/>
        <v>5</v>
      </c>
      <c r="G120" s="367">
        <f t="shared" si="84"/>
        <v>4</v>
      </c>
      <c r="H120" s="367">
        <f t="shared" si="84"/>
        <v>1</v>
      </c>
      <c r="I120" s="367">
        <f t="shared" si="84"/>
        <v>1</v>
      </c>
      <c r="J120" s="367">
        <f t="shared" si="84"/>
        <v>2</v>
      </c>
      <c r="K120" s="367">
        <f t="shared" si="85"/>
        <v>8</v>
      </c>
      <c r="L120" s="265"/>
      <c r="U120" s="780" t="s">
        <v>97</v>
      </c>
      <c r="V120" s="289">
        <f>IFERROR(VLOOKUP($W$69&amp;V$70&amp;$U$120&amp;$U$106&amp;$V$69, vw.sidssudi.eth, 6, FALSE),0)</f>
        <v>4</v>
      </c>
      <c r="W120" s="289">
        <f>IFERROR(VLOOKUP($W$69&amp;W$70&amp;$U$120&amp;$U$106&amp;$V$69, vw.sidssudi.eth, 6, FALSE),0)</f>
        <v>0</v>
      </c>
      <c r="X120" s="289">
        <f>IFERROR(VLOOKUP($W$69&amp;X$70&amp;$U$120&amp;$U$106&amp;$V$69, vw.sidssudi.eth, 6, FALSE),0)</f>
        <v>0</v>
      </c>
      <c r="Y120" s="289">
        <f>IFERROR(VLOOKUP($W$69&amp;Y$70&amp;$U$120&amp;$U$106&amp;$V$69, vw.sidssudi.eth, 6, FALSE),0)</f>
        <v>1</v>
      </c>
      <c r="AA120" s="289">
        <f>IFERROR(VLOOKUP($W$69&amp;AA$70&amp;$U$120&amp;$U$106&amp;$AA$69, vw.sidssudi.eth, 6, FALSE),0)</f>
        <v>4</v>
      </c>
      <c r="AB120" s="289">
        <f>IFERROR(VLOOKUP($W$69&amp;AB$70&amp;$U$120&amp;$U$106&amp;$AA$69, vw.sidssudi.eth, 6, FALSE),0)</f>
        <v>1</v>
      </c>
      <c r="AC120" s="289">
        <f>IFERROR(VLOOKUP($W$69&amp;AC$70&amp;$U$120&amp;$U$106&amp;$AA$69, vw.sidssudi.eth, 6, FALSE),0)</f>
        <v>1</v>
      </c>
      <c r="AD120" s="289">
        <f>IFERROR(VLOOKUP($W$69&amp;AD$70&amp;$U$120&amp;$U$106&amp;$AA$69, vw.sidssudi.eth, 6, FALSE),0)</f>
        <v>2</v>
      </c>
    </row>
    <row r="121" spans="1:30">
      <c r="A121" s="49" t="s">
        <v>98</v>
      </c>
      <c r="B121" s="367">
        <f t="shared" si="82"/>
        <v>0</v>
      </c>
      <c r="C121" s="367">
        <f t="shared" si="81"/>
        <v>0</v>
      </c>
      <c r="D121" s="367">
        <f t="shared" si="81"/>
        <v>0</v>
      </c>
      <c r="E121" s="367">
        <f t="shared" si="81"/>
        <v>1</v>
      </c>
      <c r="F121" s="375">
        <f t="shared" si="83"/>
        <v>1</v>
      </c>
      <c r="G121" s="367">
        <f t="shared" si="84"/>
        <v>0</v>
      </c>
      <c r="H121" s="367">
        <f t="shared" si="84"/>
        <v>0</v>
      </c>
      <c r="I121" s="367">
        <f t="shared" si="84"/>
        <v>0</v>
      </c>
      <c r="J121" s="367">
        <f t="shared" si="84"/>
        <v>1</v>
      </c>
      <c r="K121" s="367">
        <f t="shared" si="85"/>
        <v>1</v>
      </c>
      <c r="L121" s="265"/>
      <c r="U121" s="780" t="s">
        <v>98</v>
      </c>
      <c r="V121" s="289">
        <f>IFERROR(VLOOKUP($W$69&amp;V$70&amp;$U$121&amp;$U$106&amp;$V$69, vw.sidssudi.eth, 6, FALSE),0)</f>
        <v>0</v>
      </c>
      <c r="W121" s="289">
        <f>IFERROR(VLOOKUP($W$69&amp;W$70&amp;$U$121&amp;$U$106&amp;$V$69, vw.sidssudi.eth, 6, FALSE),0)</f>
        <v>0</v>
      </c>
      <c r="X121" s="289">
        <f>IFERROR(VLOOKUP($W$69&amp;X$70&amp;$U$121&amp;$U$106&amp;$V$69, vw.sidssudi.eth, 6, FALSE),0)</f>
        <v>0</v>
      </c>
      <c r="Y121" s="289">
        <f>IFERROR(VLOOKUP($W$69&amp;Y$70&amp;$U$121&amp;$U$106&amp;$V$69, vw.sidssudi.eth, 6, FALSE),0)</f>
        <v>1</v>
      </c>
      <c r="AA121" s="289">
        <f>IFERROR(VLOOKUP($W$69&amp;AA$70&amp;$U$121&amp;$U$106&amp;$AA$69, vw.sidssudi.eth, 6, FALSE),0)</f>
        <v>0</v>
      </c>
      <c r="AB121" s="289">
        <f>IFERROR(VLOOKUP($W$69&amp;AB$70&amp;$U$121&amp;$U$106&amp;$AA$69, vw.sidssudi.eth, 6, FALSE),0)</f>
        <v>0</v>
      </c>
      <c r="AC121" s="289">
        <f>IFERROR(VLOOKUP($W$69&amp;AC$70&amp;$U$121&amp;$U$106&amp;$AA$69, vw.sidssudi.eth, 6, FALSE),0)</f>
        <v>0</v>
      </c>
      <c r="AD121" s="289">
        <f>IFERROR(VLOOKUP($W$69&amp;AD$70&amp;$U$121&amp;$U$106&amp;$AA$69, vw.sidssudi.eth, 6, FALSE),0)</f>
        <v>1</v>
      </c>
    </row>
    <row r="122" spans="1:30">
      <c r="A122" s="49" t="s">
        <v>99</v>
      </c>
      <c r="B122" s="367">
        <f t="shared" si="82"/>
        <v>0</v>
      </c>
      <c r="C122" s="367">
        <f t="shared" si="81"/>
        <v>0</v>
      </c>
      <c r="D122" s="367">
        <f t="shared" si="81"/>
        <v>0</v>
      </c>
      <c r="E122" s="367">
        <f t="shared" si="81"/>
        <v>1</v>
      </c>
      <c r="F122" s="375">
        <f t="shared" si="83"/>
        <v>1</v>
      </c>
      <c r="G122" s="367">
        <f t="shared" si="84"/>
        <v>2</v>
      </c>
      <c r="H122" s="367">
        <f t="shared" si="84"/>
        <v>0</v>
      </c>
      <c r="I122" s="367">
        <f t="shared" si="84"/>
        <v>0</v>
      </c>
      <c r="J122" s="367">
        <f t="shared" si="84"/>
        <v>1</v>
      </c>
      <c r="K122" s="367">
        <f t="shared" si="85"/>
        <v>3</v>
      </c>
      <c r="L122" s="265"/>
      <c r="U122" s="780" t="s">
        <v>99</v>
      </c>
      <c r="V122" s="289">
        <f>IFERROR(VLOOKUP($W$69&amp;V$70&amp;$U$122&amp;$U$106&amp;$V$69, vw.sidssudi.eth, 6, FALSE),0)</f>
        <v>0</v>
      </c>
      <c r="W122" s="289">
        <f>IFERROR(VLOOKUP($W$69&amp;W$70&amp;$U$122&amp;$U$106&amp;$V$69, vw.sidssudi.eth, 6, FALSE),0)</f>
        <v>0</v>
      </c>
      <c r="X122" s="289">
        <f>IFERROR(VLOOKUP($W$69&amp;X$70&amp;$U$122&amp;$U$106&amp;$V$69, vw.sidssudi.eth, 6, FALSE),0)</f>
        <v>0</v>
      </c>
      <c r="Y122" s="289">
        <f>IFERROR(VLOOKUP($W$69&amp;Y$70&amp;$U$122&amp;$U$106&amp;$V$69, vw.sidssudi.eth, 6, FALSE),0)</f>
        <v>1</v>
      </c>
      <c r="AA122" s="289">
        <f>IFERROR(VLOOKUP($W$69&amp;AA$70&amp;$U$122&amp;$U$106&amp;$AA$69, vw.sidssudi.eth, 6, FALSE),0)</f>
        <v>2</v>
      </c>
      <c r="AB122" s="289">
        <f>IFERROR(VLOOKUP($W$69&amp;AB$70&amp;$U$122&amp;$U$106&amp;$AA$69, vw.sidssudi.eth, 6, FALSE),0)</f>
        <v>0</v>
      </c>
      <c r="AC122" s="289">
        <f>IFERROR(VLOOKUP($W$69&amp;AC$70&amp;$U$122&amp;$U$106&amp;$AA$69, vw.sidssudi.eth, 6, FALSE),0)</f>
        <v>0</v>
      </c>
      <c r="AD122" s="289">
        <f>IFERROR(VLOOKUP($W$69&amp;AD$70&amp;$U$122&amp;$U$106&amp;$AA$69, vw.sidssudi.eth, 6, FALSE),0)</f>
        <v>1</v>
      </c>
    </row>
    <row r="123" spans="1:30">
      <c r="A123" s="49" t="s">
        <v>100</v>
      </c>
      <c r="B123" s="367">
        <f t="shared" si="82"/>
        <v>0</v>
      </c>
      <c r="C123" s="367">
        <f t="shared" ref="C123:C127" si="86">W123</f>
        <v>0</v>
      </c>
      <c r="D123" s="367">
        <f t="shared" ref="D123:D127" si="87">X123</f>
        <v>0</v>
      </c>
      <c r="E123" s="367">
        <f t="shared" ref="E123:E127" si="88">Y123</f>
        <v>0</v>
      </c>
      <c r="F123" s="375">
        <f t="shared" si="83"/>
        <v>0</v>
      </c>
      <c r="G123" s="367">
        <f t="shared" si="84"/>
        <v>0</v>
      </c>
      <c r="H123" s="367">
        <f t="shared" si="84"/>
        <v>0</v>
      </c>
      <c r="I123" s="367">
        <f t="shared" si="84"/>
        <v>0</v>
      </c>
      <c r="J123" s="367">
        <f t="shared" si="84"/>
        <v>0</v>
      </c>
      <c r="K123" s="367">
        <f t="shared" si="85"/>
        <v>0</v>
      </c>
      <c r="L123" s="265"/>
      <c r="U123" s="780" t="s">
        <v>100</v>
      </c>
      <c r="V123" s="289">
        <f>IFERROR(VLOOKUP($W$69&amp;V$70&amp;$U$123&amp;$U$106&amp;$V$69, vw.sidssudi.eth, 6, FALSE),0)</f>
        <v>0</v>
      </c>
      <c r="W123" s="289">
        <f>IFERROR(VLOOKUP($W$69&amp;W$70&amp;$U$123&amp;$U$106&amp;$V$69, vw.sidssudi.eth, 6, FALSE),0)</f>
        <v>0</v>
      </c>
      <c r="X123" s="289">
        <f>IFERROR(VLOOKUP($W$69&amp;X$70&amp;$U$123&amp;$U$106&amp;$V$69, vw.sidssudi.eth, 6, FALSE),0)</f>
        <v>0</v>
      </c>
      <c r="Y123" s="289">
        <f>IFERROR(VLOOKUP($W$69&amp;Y$70&amp;$U$123&amp;$U$106&amp;$V$69, vw.sidssudi.eth, 6, FALSE),0)</f>
        <v>0</v>
      </c>
      <c r="AA123" s="289">
        <f>IFERROR(VLOOKUP($W$69&amp;AA$70&amp;$U$123&amp;$U$106&amp;$AA$69, vw.sidssudi.eth, 6, FALSE),0)</f>
        <v>0</v>
      </c>
      <c r="AB123" s="289">
        <f>IFERROR(VLOOKUP($W$69&amp;AB$70&amp;$U$123&amp;$U$106&amp;$AA$69, vw.sidssudi.eth, 6, FALSE),0)</f>
        <v>0</v>
      </c>
      <c r="AC123" s="289">
        <f>IFERROR(VLOOKUP($W$69&amp;AC$70&amp;$U$123&amp;$U$106&amp;$AA$69, vw.sidssudi.eth, 6, FALSE),0)</f>
        <v>0</v>
      </c>
      <c r="AD123" s="289">
        <f>IFERROR(VLOOKUP($W$69&amp;AD$70&amp;$U$123&amp;$U$106&amp;$AA$69, vw.sidssudi.eth, 6, FALSE),0)</f>
        <v>0</v>
      </c>
    </row>
    <row r="124" spans="1:30">
      <c r="A124" s="49" t="s">
        <v>101</v>
      </c>
      <c r="B124" s="367">
        <f t="shared" si="82"/>
        <v>3</v>
      </c>
      <c r="C124" s="367">
        <f t="shared" si="86"/>
        <v>0</v>
      </c>
      <c r="D124" s="367">
        <f t="shared" si="87"/>
        <v>1</v>
      </c>
      <c r="E124" s="367">
        <f t="shared" si="88"/>
        <v>11</v>
      </c>
      <c r="F124" s="375">
        <f t="shared" si="83"/>
        <v>15</v>
      </c>
      <c r="G124" s="367">
        <f t="shared" si="84"/>
        <v>3</v>
      </c>
      <c r="H124" s="367">
        <f t="shared" si="84"/>
        <v>1</v>
      </c>
      <c r="I124" s="367">
        <f t="shared" si="84"/>
        <v>2</v>
      </c>
      <c r="J124" s="367">
        <f t="shared" si="84"/>
        <v>15</v>
      </c>
      <c r="K124" s="367">
        <f t="shared" si="85"/>
        <v>21</v>
      </c>
      <c r="L124" s="265"/>
      <c r="U124" s="780" t="s">
        <v>101</v>
      </c>
      <c r="V124" s="289">
        <f>IFERROR(VLOOKUP($W$69&amp;V$70&amp;$U$124&amp;$U$106&amp;$V$69, vw.sidssudi.eth, 6, FALSE),0)</f>
        <v>3</v>
      </c>
      <c r="W124" s="289">
        <f>IFERROR(VLOOKUP($W$69&amp;W$70&amp;$U$124&amp;$U$106&amp;$V$69, vw.sidssudi.eth, 6, FALSE),0)</f>
        <v>0</v>
      </c>
      <c r="X124" s="289">
        <f>IFERROR(VLOOKUP($W$69&amp;X$70&amp;$U$124&amp;$U$106&amp;$V$69, vw.sidssudi.eth, 6, FALSE),0)</f>
        <v>1</v>
      </c>
      <c r="Y124" s="289">
        <f>IFERROR(VLOOKUP($W$69&amp;Y$70&amp;$U$124&amp;$U$106&amp;$V$69, vw.sidssudi.eth, 6, FALSE),0)</f>
        <v>11</v>
      </c>
      <c r="AA124" s="289">
        <f>IFERROR(VLOOKUP($W$69&amp;AA$70&amp;$U$124&amp;$U$106&amp;$AA$69, vw.sidssudi.eth, 6, FALSE),0)</f>
        <v>3</v>
      </c>
      <c r="AB124" s="289">
        <f>IFERROR(VLOOKUP($W$69&amp;AB$70&amp;$U$124&amp;$U$106&amp;$AA$69, vw.sidssudi.eth, 6, FALSE),0)</f>
        <v>1</v>
      </c>
      <c r="AC124" s="289">
        <f>IFERROR(VLOOKUP($W$69&amp;AC$70&amp;$U$124&amp;$U$106&amp;$AA$69, vw.sidssudi.eth, 6, FALSE),0)</f>
        <v>2</v>
      </c>
      <c r="AD124" s="289">
        <f>IFERROR(VLOOKUP($W$69&amp;AD$70&amp;$U$124&amp;$U$106&amp;$AA$69, vw.sidssudi.eth, 6, FALSE),0)</f>
        <v>15</v>
      </c>
    </row>
    <row r="125" spans="1:30">
      <c r="A125" s="49" t="s">
        <v>102</v>
      </c>
      <c r="B125" s="367">
        <f t="shared" si="82"/>
        <v>0</v>
      </c>
      <c r="C125" s="367">
        <f t="shared" si="86"/>
        <v>0</v>
      </c>
      <c r="D125" s="367">
        <f t="shared" si="87"/>
        <v>1</v>
      </c>
      <c r="E125" s="367">
        <f t="shared" si="88"/>
        <v>0</v>
      </c>
      <c r="F125" s="375">
        <f t="shared" si="83"/>
        <v>1</v>
      </c>
      <c r="G125" s="367">
        <f t="shared" si="84"/>
        <v>1</v>
      </c>
      <c r="H125" s="367">
        <f t="shared" si="84"/>
        <v>0</v>
      </c>
      <c r="I125" s="367">
        <f t="shared" si="84"/>
        <v>1</v>
      </c>
      <c r="J125" s="367">
        <f t="shared" si="84"/>
        <v>0</v>
      </c>
      <c r="K125" s="367">
        <f t="shared" si="85"/>
        <v>2</v>
      </c>
      <c r="L125" s="265"/>
      <c r="U125" s="780" t="s">
        <v>102</v>
      </c>
      <c r="V125" s="289">
        <f>IFERROR(VLOOKUP($W$69&amp;V$70&amp;$U$125&amp;$U$106&amp;$V$69, vw.sidssudi.eth, 6, FALSE),0)</f>
        <v>0</v>
      </c>
      <c r="W125" s="289">
        <f>IFERROR(VLOOKUP($W$69&amp;W$70&amp;$U$125&amp;$U$106&amp;$V$69, vw.sidssudi.eth, 6, FALSE),0)</f>
        <v>0</v>
      </c>
      <c r="X125" s="289">
        <f>IFERROR(VLOOKUP($W$69&amp;X$70&amp;$U$125&amp;$U$106&amp;$V$69, vw.sidssudi.eth, 6, FALSE),0)</f>
        <v>1</v>
      </c>
      <c r="Y125" s="289">
        <f>IFERROR(VLOOKUP($W$69&amp;Y$70&amp;$U$125&amp;$U$106&amp;$V$69, vw.sidssudi.eth, 6, FALSE),0)</f>
        <v>0</v>
      </c>
      <c r="AA125" s="289">
        <f>IFERROR(VLOOKUP($W$69&amp;AA$70&amp;$U$125&amp;$U$106&amp;$AA$69, vw.sidssudi.eth, 6, FALSE),0)</f>
        <v>1</v>
      </c>
      <c r="AB125" s="289">
        <f>IFERROR(VLOOKUP($W$69&amp;AB$70&amp;$U$125&amp;$U$106&amp;$AA$69, vw.sidssudi.eth, 6, FALSE),0)</f>
        <v>0</v>
      </c>
      <c r="AC125" s="289">
        <f>IFERROR(VLOOKUP($W$69&amp;AC$70&amp;$U$125&amp;$U$106&amp;$AA$69, vw.sidssudi.eth, 6, FALSE),0)</f>
        <v>1</v>
      </c>
      <c r="AD125" s="289">
        <f>IFERROR(VLOOKUP($W$69&amp;AD$70&amp;$U$125&amp;$U$106&amp;$AA$69, vw.sidssudi.eth, 6, FALSE),0)</f>
        <v>0</v>
      </c>
    </row>
    <row r="126" spans="1:30">
      <c r="A126" s="49" t="s">
        <v>103</v>
      </c>
      <c r="B126" s="367">
        <f t="shared" si="82"/>
        <v>4</v>
      </c>
      <c r="C126" s="367">
        <f t="shared" si="86"/>
        <v>1</v>
      </c>
      <c r="D126" s="367">
        <f t="shared" si="87"/>
        <v>0</v>
      </c>
      <c r="E126" s="367">
        <f t="shared" si="88"/>
        <v>4</v>
      </c>
      <c r="F126" s="375">
        <f t="shared" si="83"/>
        <v>9</v>
      </c>
      <c r="G126" s="367">
        <f t="shared" si="84"/>
        <v>5</v>
      </c>
      <c r="H126" s="367">
        <f t="shared" si="84"/>
        <v>1</v>
      </c>
      <c r="I126" s="367">
        <f t="shared" si="84"/>
        <v>0</v>
      </c>
      <c r="J126" s="367">
        <f t="shared" si="84"/>
        <v>4</v>
      </c>
      <c r="K126" s="367">
        <f t="shared" si="85"/>
        <v>10</v>
      </c>
      <c r="L126" s="265"/>
      <c r="U126" s="780" t="s">
        <v>103</v>
      </c>
      <c r="V126" s="289">
        <f>IFERROR(VLOOKUP($W$69&amp;V$70&amp;$U$126&amp;$U$106&amp;$V$69, vw.sidssudi.eth, 6, FALSE),0)</f>
        <v>4</v>
      </c>
      <c r="W126" s="289">
        <f>IFERROR(VLOOKUP($W$69&amp;W$70&amp;$U$126&amp;$U$106&amp;$V$69, vw.sidssudi.eth, 6, FALSE),0)</f>
        <v>1</v>
      </c>
      <c r="X126" s="289">
        <f>IFERROR(VLOOKUP($W$69&amp;X$70&amp;$U$126&amp;$U$106&amp;$V$69, vw.sidssudi.eth, 6, FALSE),0)</f>
        <v>0</v>
      </c>
      <c r="Y126" s="289">
        <f>IFERROR(VLOOKUP($W$69&amp;Y$70&amp;$U$126&amp;$U$106&amp;$V$69, vw.sidssudi.eth, 6, FALSE),0)</f>
        <v>4</v>
      </c>
      <c r="AA126" s="289">
        <f>IFERROR(VLOOKUP($W$69&amp;AA$70&amp;$U$126&amp;$U$106&amp;$AA$69, vw.sidssudi.eth, 6, FALSE),0)</f>
        <v>5</v>
      </c>
      <c r="AB126" s="289">
        <f>IFERROR(VLOOKUP($W$69&amp;AB$70&amp;$U$126&amp;$U$106&amp;$AA$69, vw.sidssudi.eth, 6, FALSE),0)</f>
        <v>1</v>
      </c>
      <c r="AC126" s="289">
        <f>IFERROR(VLOOKUP($W$69&amp;AC$70&amp;$U$126&amp;$U$106&amp;$AA$69, vw.sidssudi.eth, 6, FALSE),0)</f>
        <v>0</v>
      </c>
      <c r="AD126" s="289">
        <f>IFERROR(VLOOKUP($W$69&amp;AD$70&amp;$U$126&amp;$U$106&amp;$AA$69, vw.sidssudi.eth, 6, FALSE),0)</f>
        <v>4</v>
      </c>
    </row>
    <row r="127" spans="1:30">
      <c r="A127" s="249" t="s">
        <v>63</v>
      </c>
      <c r="B127" s="367">
        <f t="shared" si="82"/>
        <v>0</v>
      </c>
      <c r="C127" s="367">
        <f t="shared" si="86"/>
        <v>0</v>
      </c>
      <c r="D127" s="367">
        <f t="shared" si="87"/>
        <v>0</v>
      </c>
      <c r="E127" s="367">
        <f t="shared" si="88"/>
        <v>0</v>
      </c>
      <c r="F127" s="375">
        <f t="shared" si="83"/>
        <v>0</v>
      </c>
      <c r="G127" s="367">
        <f t="shared" si="84"/>
        <v>0</v>
      </c>
      <c r="H127" s="367">
        <f t="shared" si="84"/>
        <v>0</v>
      </c>
      <c r="I127" s="367">
        <f t="shared" si="84"/>
        <v>0</v>
      </c>
      <c r="J127" s="367">
        <f t="shared" si="84"/>
        <v>0</v>
      </c>
      <c r="K127" s="367">
        <f t="shared" si="85"/>
        <v>0</v>
      </c>
      <c r="L127" s="265"/>
      <c r="U127" s="780" t="s">
        <v>63</v>
      </c>
      <c r="V127" s="289">
        <f>IFERROR(VLOOKUP($W$69&amp;V$70&amp;$U$127&amp;$U$106&amp;$V$69, vw.sidssudi.eth, 6, FALSE),0)</f>
        <v>0</v>
      </c>
      <c r="W127" s="289">
        <f>IFERROR(VLOOKUP($W$69&amp;W$70&amp;$U$127&amp;$U$106&amp;$V$69, vw.sidssudi.eth, 6, FALSE),0)</f>
        <v>0</v>
      </c>
      <c r="X127" s="289">
        <f>IFERROR(VLOOKUP($W$69&amp;X$70&amp;$U$127&amp;$U$106&amp;$V$69, vw.sidssudi.eth, 6, FALSE),0)</f>
        <v>0</v>
      </c>
      <c r="Y127" s="289">
        <f>IFERROR(VLOOKUP($W$69&amp;Y$70&amp;$U$127&amp;$U$106&amp;$V$69, vw.sidssudi.eth, 6, FALSE),0)</f>
        <v>0</v>
      </c>
      <c r="AA127" s="289">
        <f>IFERROR(VLOOKUP($W$69&amp;AA$70&amp;$U$127&amp;$U$106&amp;$AA$69, vw.sidssudi.eth, 6, FALSE),0)</f>
        <v>0</v>
      </c>
      <c r="AB127" s="289">
        <f>IFERROR(VLOOKUP($W$69&amp;AB$70&amp;$U$127&amp;$U$106&amp;$AA$69, vw.sidssudi.eth, 6, FALSE),0)</f>
        <v>0</v>
      </c>
      <c r="AC127" s="289">
        <f>IFERROR(VLOOKUP($W$69&amp;AC$70&amp;$U$127&amp;$U$106&amp;$AA$69, vw.sidssudi.eth, 6, FALSE),0)</f>
        <v>0</v>
      </c>
      <c r="AD127" s="289">
        <f>IFERROR(VLOOKUP($W$69&amp;AD$70&amp;$U$127&amp;$U$106&amp;$AA$69, vw.sidssudi.eth, 6, FALSE),0)</f>
        <v>0</v>
      </c>
    </row>
    <row r="128" spans="1:30" ht="32.25" customHeight="1">
      <c r="A128" s="957" t="s">
        <v>351</v>
      </c>
      <c r="B128" s="958"/>
      <c r="C128" s="958"/>
      <c r="D128" s="958"/>
      <c r="E128" s="958"/>
      <c r="F128" s="958"/>
      <c r="G128" s="958"/>
      <c r="H128" s="958"/>
      <c r="I128" s="958"/>
      <c r="J128" s="958"/>
      <c r="K128" s="958"/>
      <c r="L128" s="362"/>
      <c r="M128" s="558"/>
      <c r="N128" s="558"/>
    </row>
    <row r="129" spans="1:12">
      <c r="A129" s="59"/>
      <c r="B129" s="265"/>
      <c r="C129" s="265"/>
      <c r="D129" s="265"/>
      <c r="F129" s="265"/>
      <c r="G129" s="265"/>
      <c r="H129" s="265"/>
      <c r="I129" s="265"/>
      <c r="K129" s="265"/>
      <c r="L129" s="265"/>
    </row>
    <row r="130" spans="1:12">
      <c r="A130" s="290"/>
      <c r="B130" s="265"/>
      <c r="C130" s="265"/>
      <c r="D130" s="265"/>
      <c r="F130" s="265"/>
      <c r="G130" s="265"/>
      <c r="H130" s="265"/>
      <c r="I130" s="265"/>
      <c r="K130" s="265"/>
      <c r="L130" s="265"/>
    </row>
  </sheetData>
  <mergeCells count="10">
    <mergeCell ref="A5:K5"/>
    <mergeCell ref="A65:K65"/>
    <mergeCell ref="A68:K68"/>
    <mergeCell ref="A128:K128"/>
    <mergeCell ref="A69:A70"/>
    <mergeCell ref="B69:F69"/>
    <mergeCell ref="G69:K69"/>
    <mergeCell ref="A6:A7"/>
    <mergeCell ref="B6:F6"/>
    <mergeCell ref="G6:K6"/>
  </mergeCells>
  <hyperlinks>
    <hyperlink ref="B1" location="Glossary!A1" display="Glossary" xr:uid="{00000000-0004-0000-0F00-000000000000}"/>
    <hyperlink ref="A1" location="Contents!A1" display="Table of contents" xr:uid="{00000000-0004-0000-0F00-000001000000}"/>
    <hyperlink ref="C1" location="About!A1" display="About the publication" xr:uid="{00000000-0004-0000-0F00-000002000000}"/>
    <hyperlink ref="E1" location="KeyFindings!A1" display="Key findings" xr:uid="{00000000-0004-0000-0F00-000003000000}"/>
  </hyperlinks>
  <pageMargins left="0.70866141732283472" right="0.70866141732283472" top="0.74803149606299213" bottom="0.74803149606299213" header="0.31496062992125984" footer="0.31496062992125984"/>
  <pageSetup paperSize="9" scale="67" fitToHeight="2" orientation="portrait" r:id="rId1"/>
  <headerFooter>
    <oddFooter>&amp;L&amp;"Arial,Regular"&amp;8&amp;K01+019Fetal and Infant Deaths 2016&amp;R&amp;"Arial,Regular"&amp;8&amp;K01+018Page &amp;P of &amp;N</oddFooter>
  </headerFooter>
  <rowBreaks count="1" manualBreakCount="1">
    <brk id="66" max="10" man="1"/>
  </rowBreaks>
  <ignoredErrors>
    <ignoredError sqref="K36:K37 K29 K99:K101 K77:K97 K74:K75" formulaRange="1"/>
    <ignoredError sqref="F23:F25" formula="1" formulaRange="1"/>
    <ignoredError sqref="F9:F22 F26:F29 F72:F73 F30:F35 F40:F64 F36:F39 F76 F74:F75 F84 F77:F83 F91 F85:F90 F98 F92:F97 F106 F99:F105 F107:F127"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BH198"/>
  <sheetViews>
    <sheetView showGridLines="0" zoomScaleNormal="100" zoomScaleSheetLayoutView="80" workbookViewId="0">
      <pane ySplit="3" topLeftCell="A4" activePane="bottomLeft" state="frozen"/>
      <selection activeCell="AA1" sqref="AA1:AP1048576"/>
      <selection pane="bottomLeft" activeCell="A4" sqref="A4"/>
    </sheetView>
  </sheetViews>
  <sheetFormatPr defaultRowHeight="15"/>
  <cols>
    <col min="1" max="1" width="2.42578125" customWidth="1"/>
    <col min="2" max="2" width="14.7109375" customWidth="1"/>
    <col min="9" max="9" width="9.140625" customWidth="1"/>
    <col min="12" max="12" width="8.85546875" customWidth="1"/>
    <col min="13" max="13" width="15.5703125" style="122" customWidth="1"/>
    <col min="14" max="14" width="9.28515625" style="122" customWidth="1"/>
    <col min="15" max="15" width="8.85546875" style="122" customWidth="1"/>
    <col min="16" max="16" width="4.140625" customWidth="1"/>
    <col min="17" max="17" width="9.140625" style="245"/>
    <col min="18" max="18" width="9.140625" style="245" customWidth="1"/>
    <col min="19" max="19" width="3.42578125" style="245" customWidth="1"/>
    <col min="20" max="20" width="13.140625" style="245" bestFit="1" customWidth="1"/>
    <col min="21" max="23" width="9.140625" style="245" customWidth="1"/>
    <col min="24" max="25" width="9.140625" style="515" customWidth="1"/>
    <col min="26" max="26" width="9.140625" style="515"/>
    <col min="27" max="27" width="15.85546875" style="860" customWidth="1"/>
    <col min="28" max="28" width="35.28515625" style="860" bestFit="1" customWidth="1"/>
    <col min="29" max="30" width="17.5703125" style="860" bestFit="1" customWidth="1"/>
    <col min="31" max="31" width="7.140625" style="860" bestFit="1" customWidth="1"/>
    <col min="32" max="32" width="9.5703125" style="860" bestFit="1" customWidth="1"/>
    <col min="33" max="34" width="10.7109375" style="860" bestFit="1" customWidth="1"/>
    <col min="35" max="37" width="9.140625" style="860"/>
    <col min="38" max="42" width="9.140625" style="515"/>
    <col min="43" max="43" width="8.85546875" style="515" bestFit="1" customWidth="1"/>
    <col min="44" max="49" width="9.140625" style="515"/>
    <col min="50" max="53" width="9.140625" style="245"/>
    <col min="54" max="56" width="9.140625" style="289"/>
  </cols>
  <sheetData>
    <row r="1" spans="1:56" s="162" customFormat="1">
      <c r="B1" s="159" t="s">
        <v>158</v>
      </c>
      <c r="C1" s="159" t="s">
        <v>115</v>
      </c>
      <c r="D1" s="159" t="s">
        <v>173</v>
      </c>
      <c r="F1" s="159" t="s">
        <v>353</v>
      </c>
      <c r="G1" s="159"/>
      <c r="H1" s="143"/>
      <c r="Q1" s="723"/>
      <c r="R1" s="467"/>
      <c r="S1" s="544"/>
      <c r="T1" s="226"/>
      <c r="U1" s="544"/>
      <c r="V1" s="544"/>
      <c r="W1" s="544"/>
      <c r="X1" s="203"/>
      <c r="Y1" s="203"/>
      <c r="Z1" s="203"/>
      <c r="AA1" s="189"/>
      <c r="AB1" s="809"/>
      <c r="AC1" s="189"/>
      <c r="AD1" s="189"/>
      <c r="AE1" s="189"/>
      <c r="AF1" s="189"/>
      <c r="AG1" s="189"/>
      <c r="AH1" s="189"/>
      <c r="AI1" s="189"/>
      <c r="AJ1" s="189"/>
      <c r="AK1" s="189"/>
      <c r="AL1" s="203"/>
      <c r="AM1" s="203"/>
      <c r="AN1" s="203"/>
      <c r="AO1" s="203"/>
      <c r="AP1" s="203"/>
      <c r="AQ1" s="203"/>
      <c r="AR1" s="203"/>
      <c r="AS1" s="203"/>
      <c r="AT1" s="203"/>
      <c r="AU1" s="203"/>
      <c r="AV1" s="203"/>
      <c r="AW1" s="203"/>
      <c r="AX1" s="226"/>
      <c r="AY1" s="226"/>
      <c r="AZ1" s="226"/>
      <c r="BA1" s="226"/>
      <c r="BB1" s="203"/>
      <c r="BC1" s="203"/>
      <c r="BD1" s="203"/>
    </row>
    <row r="2" spans="1:56" s="162" customFormat="1" ht="9" customHeight="1">
      <c r="B2" s="159"/>
      <c r="C2" s="143"/>
      <c r="D2" s="160"/>
      <c r="E2" s="160"/>
      <c r="F2" s="160"/>
      <c r="G2" s="160"/>
      <c r="Q2" s="226"/>
      <c r="R2" s="226"/>
      <c r="S2" s="226"/>
      <c r="T2" s="226"/>
      <c r="U2" s="226"/>
      <c r="V2" s="226"/>
      <c r="W2" s="226"/>
      <c r="X2" s="203"/>
      <c r="Y2" s="203"/>
      <c r="Z2" s="203"/>
      <c r="AA2" s="189"/>
      <c r="AB2" s="189"/>
      <c r="AC2" s="189"/>
      <c r="AD2" s="189"/>
      <c r="AE2" s="189"/>
      <c r="AF2" s="189"/>
      <c r="AG2" s="189"/>
      <c r="AH2" s="189"/>
      <c r="AI2" s="189"/>
      <c r="AJ2" s="189"/>
      <c r="AK2" s="189"/>
      <c r="AL2" s="203"/>
      <c r="AM2" s="203"/>
      <c r="AN2" s="203"/>
      <c r="AO2" s="203"/>
      <c r="AP2" s="203"/>
      <c r="AQ2" s="203"/>
      <c r="AR2" s="203"/>
      <c r="AS2" s="203"/>
      <c r="AT2" s="203"/>
      <c r="AU2" s="203"/>
      <c r="AV2" s="203"/>
      <c r="AW2" s="203"/>
      <c r="AX2" s="226"/>
      <c r="AY2" s="226"/>
      <c r="AZ2" s="226"/>
      <c r="BA2" s="226"/>
      <c r="BB2" s="203"/>
      <c r="BC2" s="203"/>
      <c r="BD2" s="203"/>
    </row>
    <row r="3" spans="1:56" s="162" customFormat="1" ht="20.25">
      <c r="B3" s="1001" t="s">
        <v>294</v>
      </c>
      <c r="C3" s="194"/>
      <c r="D3" s="194"/>
      <c r="E3" s="194"/>
      <c r="F3" s="194"/>
      <c r="G3" s="194"/>
      <c r="H3" s="1002"/>
      <c r="I3" s="194"/>
      <c r="J3" s="194"/>
      <c r="K3" s="194"/>
      <c r="L3" s="194"/>
      <c r="M3" s="194"/>
      <c r="N3" s="194"/>
      <c r="O3" s="194"/>
      <c r="P3" s="194"/>
      <c r="Q3" s="1003"/>
      <c r="R3" s="1003"/>
      <c r="S3" s="1003"/>
      <c r="T3" s="226"/>
      <c r="U3" s="226"/>
      <c r="V3" s="226"/>
      <c r="W3" s="226"/>
      <c r="X3" s="203"/>
      <c r="Y3" s="810"/>
      <c r="Z3" s="810"/>
      <c r="AA3" s="189"/>
      <c r="AB3" s="189"/>
      <c r="AC3" s="189"/>
      <c r="AD3" s="189"/>
      <c r="AE3" s="189"/>
      <c r="AF3" s="189"/>
      <c r="AG3" s="189"/>
      <c r="AH3" s="189"/>
      <c r="AI3" s="189"/>
      <c r="AJ3" s="811">
        <v>0</v>
      </c>
      <c r="AK3" s="811">
        <v>1</v>
      </c>
      <c r="AL3" s="203"/>
      <c r="AM3" s="203"/>
      <c r="AN3" s="203"/>
      <c r="AO3" s="203"/>
      <c r="AP3" s="203"/>
      <c r="AQ3" s="203"/>
      <c r="AR3" s="203"/>
      <c r="AS3" s="203"/>
      <c r="AT3" s="203"/>
      <c r="AU3" s="203"/>
      <c r="AV3" s="203"/>
      <c r="AW3" s="203"/>
      <c r="AX3" s="226"/>
      <c r="AY3" s="226"/>
      <c r="AZ3" s="226"/>
      <c r="BA3" s="226"/>
      <c r="BB3" s="203"/>
      <c r="BC3" s="203"/>
      <c r="BD3" s="203"/>
    </row>
    <row r="4" spans="1:56" s="279" customFormat="1">
      <c r="Q4" s="245"/>
      <c r="R4" s="245"/>
      <c r="S4" s="245"/>
      <c r="T4" s="245"/>
      <c r="U4" s="245"/>
      <c r="V4" s="245"/>
      <c r="W4" s="245"/>
      <c r="X4" s="515"/>
      <c r="Y4" s="515"/>
      <c r="Z4" s="515"/>
      <c r="AA4" s="515"/>
      <c r="AB4" s="515"/>
      <c r="AC4" s="515"/>
      <c r="AD4" s="515"/>
      <c r="AE4" s="515"/>
      <c r="AF4" s="515"/>
      <c r="AG4" s="515"/>
      <c r="AH4" s="515"/>
      <c r="AI4" s="515"/>
      <c r="AJ4" s="515"/>
      <c r="AK4" s="515"/>
      <c r="AL4" s="515"/>
      <c r="AM4" s="515"/>
      <c r="AN4" s="515"/>
      <c r="AO4" s="515"/>
      <c r="AP4" s="515"/>
      <c r="AQ4" s="515"/>
      <c r="AR4" s="515"/>
      <c r="AS4" s="515"/>
      <c r="AT4" s="515"/>
      <c r="AU4" s="515"/>
      <c r="AV4" s="515"/>
      <c r="AW4" s="515"/>
      <c r="AX4" s="245"/>
      <c r="AY4" s="245"/>
      <c r="AZ4" s="245"/>
      <c r="BA4" s="245"/>
      <c r="BB4" s="289"/>
      <c r="BC4" s="289"/>
      <c r="BD4" s="289"/>
    </row>
    <row r="5" spans="1:56" s="279" customFormat="1" ht="9.75" customHeight="1">
      <c r="A5" s="179"/>
      <c r="B5" s="180"/>
      <c r="C5" s="180"/>
      <c r="D5" s="180"/>
      <c r="E5" s="180"/>
      <c r="F5" s="180"/>
      <c r="G5" s="180"/>
      <c r="H5" s="180"/>
      <c r="I5" s="180"/>
      <c r="J5" s="180"/>
      <c r="K5" s="180"/>
      <c r="L5" s="180"/>
      <c r="M5" s="180"/>
      <c r="N5" s="180"/>
      <c r="O5" s="180"/>
      <c r="P5" s="282"/>
      <c r="Q5" s="468"/>
      <c r="R5" s="468"/>
      <c r="S5" s="725"/>
      <c r="T5" s="245"/>
      <c r="U5" s="245"/>
      <c r="V5" s="245"/>
      <c r="W5" s="245"/>
      <c r="X5" s="515"/>
      <c r="Y5" s="515"/>
      <c r="Z5" s="515"/>
      <c r="AA5" s="515"/>
      <c r="AB5" s="515"/>
      <c r="AC5" s="515"/>
      <c r="AD5" s="515"/>
      <c r="AE5" s="515"/>
      <c r="AF5" s="515"/>
      <c r="AG5" s="515"/>
      <c r="AH5" s="515"/>
      <c r="AI5" s="515"/>
      <c r="AJ5" s="515"/>
      <c r="AK5" s="515"/>
      <c r="AL5" s="515"/>
      <c r="AM5" s="515"/>
      <c r="AN5" s="515"/>
      <c r="AO5" s="515"/>
      <c r="AP5" s="515"/>
      <c r="AQ5" s="515"/>
      <c r="AR5" s="515"/>
      <c r="AS5" s="515"/>
      <c r="AT5" s="515"/>
      <c r="AU5" s="515"/>
      <c r="AV5" s="515"/>
      <c r="AW5" s="515"/>
      <c r="AX5" s="245"/>
      <c r="AY5" s="245"/>
      <c r="AZ5" s="245"/>
      <c r="BA5" s="245"/>
      <c r="BB5" s="289"/>
      <c r="BC5" s="289"/>
      <c r="BD5" s="289"/>
    </row>
    <row r="6" spans="1:56" s="279" customFormat="1">
      <c r="A6" s="182"/>
      <c r="B6" s="964" t="str">
        <f>Contents!E26</f>
        <v xml:space="preserve">Figure 1: Number and rate of fetal and infant deaths, 1996−2016
</v>
      </c>
      <c r="C6" s="964"/>
      <c r="D6" s="964"/>
      <c r="E6" s="964"/>
      <c r="F6" s="964"/>
      <c r="G6" s="964"/>
      <c r="H6" s="964"/>
      <c r="I6" s="964"/>
      <c r="J6" s="964"/>
      <c r="K6" s="964"/>
      <c r="L6" s="964"/>
      <c r="M6" s="964"/>
      <c r="N6" s="964"/>
      <c r="O6" s="964"/>
      <c r="P6" s="65"/>
      <c r="Q6" s="469"/>
      <c r="R6" s="469"/>
      <c r="S6" s="726"/>
      <c r="T6" s="245"/>
      <c r="U6" s="245"/>
      <c r="V6" s="245"/>
      <c r="W6" s="245"/>
      <c r="X6" s="515"/>
      <c r="Y6" s="515"/>
      <c r="Z6" s="515"/>
      <c r="AA6" s="515" t="s">
        <v>525</v>
      </c>
      <c r="AB6" s="515"/>
      <c r="AC6" s="515"/>
      <c r="AD6" s="515"/>
      <c r="AE6" s="515"/>
      <c r="AF6" s="515"/>
      <c r="AG6" s="515"/>
      <c r="AH6" s="515"/>
      <c r="AI6" s="515"/>
      <c r="AJ6" s="515"/>
      <c r="AK6" s="515"/>
      <c r="AL6" s="515"/>
      <c r="AM6" s="515"/>
      <c r="AN6" s="515"/>
      <c r="AO6" s="515"/>
      <c r="AP6" s="515"/>
      <c r="AQ6" s="515"/>
      <c r="AR6" s="515"/>
      <c r="AS6" s="515"/>
      <c r="AT6" s="515"/>
      <c r="AU6" s="515"/>
      <c r="AV6" s="515"/>
      <c r="AW6" s="515"/>
      <c r="AX6" s="245"/>
      <c r="AY6" s="245"/>
      <c r="AZ6" s="245"/>
      <c r="BA6" s="245"/>
      <c r="BB6" s="289"/>
      <c r="BC6" s="289"/>
      <c r="BD6" s="289"/>
    </row>
    <row r="7" spans="1:56" s="279" customFormat="1">
      <c r="A7" s="182"/>
      <c r="B7" s="136"/>
      <c r="C7" s="136"/>
      <c r="D7" s="136"/>
      <c r="E7" s="136"/>
      <c r="F7" s="136"/>
      <c r="G7" s="136"/>
      <c r="H7" s="136"/>
      <c r="I7" s="136"/>
      <c r="J7" s="136"/>
      <c r="K7" s="136"/>
      <c r="L7" s="967"/>
      <c r="M7" s="281"/>
      <c r="N7" s="962" t="s">
        <v>47</v>
      </c>
      <c r="O7" s="962"/>
      <c r="P7" s="284"/>
      <c r="Q7" s="973" t="s">
        <v>48</v>
      </c>
      <c r="R7" s="973"/>
      <c r="S7" s="726"/>
      <c r="T7" s="245"/>
      <c r="U7" s="245"/>
      <c r="V7" s="245"/>
      <c r="W7" s="245"/>
      <c r="X7" s="515"/>
      <c r="Y7" s="515"/>
      <c r="Z7" s="515" t="s">
        <v>302</v>
      </c>
      <c r="AA7" s="515">
        <v>1996</v>
      </c>
      <c r="AB7" s="515">
        <v>1997</v>
      </c>
      <c r="AC7" s="515">
        <v>1998</v>
      </c>
      <c r="AD7" s="515">
        <v>1999</v>
      </c>
      <c r="AE7" s="515">
        <v>2000</v>
      </c>
      <c r="AF7" s="515">
        <v>2001</v>
      </c>
      <c r="AG7" s="515">
        <v>2002</v>
      </c>
      <c r="AH7" s="515">
        <v>2003</v>
      </c>
      <c r="AI7" s="515">
        <v>2004</v>
      </c>
      <c r="AJ7" s="515">
        <v>2005</v>
      </c>
      <c r="AK7" s="515">
        <v>2006</v>
      </c>
      <c r="AL7" s="515">
        <v>2007</v>
      </c>
      <c r="AM7" s="515">
        <v>2008</v>
      </c>
      <c r="AN7" s="515">
        <v>2009</v>
      </c>
      <c r="AO7" s="515">
        <v>2010</v>
      </c>
      <c r="AP7" s="515">
        <v>2011</v>
      </c>
      <c r="AQ7" s="515">
        <v>2012</v>
      </c>
      <c r="AR7" s="515">
        <v>2013</v>
      </c>
      <c r="AS7" s="515">
        <v>2014</v>
      </c>
      <c r="AT7" s="515">
        <v>2015</v>
      </c>
      <c r="AU7" s="515">
        <v>2016</v>
      </c>
      <c r="AV7" s="515"/>
      <c r="AW7" s="515"/>
      <c r="AX7" s="245"/>
      <c r="AY7" s="245"/>
      <c r="AZ7" s="245"/>
      <c r="BA7" s="245"/>
      <c r="BB7" s="289"/>
      <c r="BC7" s="289"/>
      <c r="BD7" s="289"/>
    </row>
    <row r="8" spans="1:56" s="279" customFormat="1">
      <c r="A8" s="182"/>
      <c r="B8" s="136"/>
      <c r="C8" s="136"/>
      <c r="D8" s="136"/>
      <c r="E8" s="136"/>
      <c r="F8" s="136"/>
      <c r="G8" s="136"/>
      <c r="H8" s="136"/>
      <c r="I8" s="136"/>
      <c r="J8" s="136"/>
      <c r="K8" s="136"/>
      <c r="L8" s="967"/>
      <c r="M8" s="278" t="s">
        <v>302</v>
      </c>
      <c r="N8" s="277" t="s">
        <v>299</v>
      </c>
      <c r="O8" s="277" t="s">
        <v>45</v>
      </c>
      <c r="P8" s="285"/>
      <c r="Q8" s="470" t="s">
        <v>299</v>
      </c>
      <c r="R8" s="470" t="s">
        <v>45</v>
      </c>
      <c r="S8" s="726"/>
      <c r="T8" s="245"/>
      <c r="U8" s="245"/>
      <c r="V8" s="245"/>
      <c r="W8" s="245"/>
      <c r="X8" s="515"/>
      <c r="Y8" s="515"/>
      <c r="Z8" s="515" t="s">
        <v>299</v>
      </c>
      <c r="AA8" s="515">
        <f t="shared" ref="AA8:AT8" si="0">VLOOKUP(AA7&amp;$AA$6&amp;$Y$9, vw.deaths, 5, FALSE)</f>
        <v>409</v>
      </c>
      <c r="AB8" s="515">
        <f t="shared" si="0"/>
        <v>417</v>
      </c>
      <c r="AC8" s="515">
        <f t="shared" si="0"/>
        <v>348</v>
      </c>
      <c r="AD8" s="515">
        <f t="shared" si="0"/>
        <v>426</v>
      </c>
      <c r="AE8" s="515">
        <f t="shared" si="0"/>
        <v>369</v>
      </c>
      <c r="AF8" s="515">
        <f t="shared" si="0"/>
        <v>386</v>
      </c>
      <c r="AG8" s="515">
        <f t="shared" si="0"/>
        <v>390</v>
      </c>
      <c r="AH8" s="515">
        <f t="shared" si="0"/>
        <v>393</v>
      </c>
      <c r="AI8" s="515">
        <f t="shared" si="0"/>
        <v>506</v>
      </c>
      <c r="AJ8" s="515">
        <f t="shared" si="0"/>
        <v>403</v>
      </c>
      <c r="AK8" s="515">
        <f t="shared" si="0"/>
        <v>409</v>
      </c>
      <c r="AL8" s="515">
        <f t="shared" si="0"/>
        <v>470</v>
      </c>
      <c r="AM8" s="515">
        <f t="shared" si="0"/>
        <v>556</v>
      </c>
      <c r="AN8" s="515">
        <f t="shared" si="0"/>
        <v>482</v>
      </c>
      <c r="AO8" s="515">
        <f t="shared" si="0"/>
        <v>469</v>
      </c>
      <c r="AP8" s="515">
        <f t="shared" si="0"/>
        <v>451</v>
      </c>
      <c r="AQ8" s="515">
        <f t="shared" si="0"/>
        <v>448</v>
      </c>
      <c r="AR8" s="515">
        <f t="shared" si="0"/>
        <v>393</v>
      </c>
      <c r="AS8" s="515">
        <f t="shared" si="0"/>
        <v>447</v>
      </c>
      <c r="AT8" s="515">
        <f t="shared" si="0"/>
        <v>384</v>
      </c>
      <c r="AU8" s="515">
        <f t="shared" ref="AU8" si="1">VLOOKUP(AU7&amp;$AA$6&amp;$Y$9, vw.deaths, 5, FALSE)</f>
        <v>413</v>
      </c>
      <c r="AV8" s="515"/>
      <c r="AW8" s="515"/>
      <c r="AX8" s="245"/>
      <c r="AY8" s="245"/>
      <c r="AZ8" s="245"/>
      <c r="BA8" s="245"/>
      <c r="BB8" s="289"/>
      <c r="BC8" s="289"/>
      <c r="BD8" s="289"/>
    </row>
    <row r="9" spans="1:56" s="279" customFormat="1">
      <c r="A9" s="182"/>
      <c r="B9" s="136"/>
      <c r="C9" s="136"/>
      <c r="D9" s="136"/>
      <c r="E9" s="136"/>
      <c r="F9" s="136"/>
      <c r="G9" s="136"/>
      <c r="H9" s="136"/>
      <c r="I9" s="136"/>
      <c r="J9" s="136"/>
      <c r="K9" s="136"/>
      <c r="L9" s="246"/>
      <c r="M9" s="287">
        <v>1996</v>
      </c>
      <c r="N9" s="611">
        <f>AA8</f>
        <v>409</v>
      </c>
      <c r="O9" s="612">
        <f>AA9</f>
        <v>7.1</v>
      </c>
      <c r="P9" s="613"/>
      <c r="Q9" s="727">
        <f>AA11</f>
        <v>417</v>
      </c>
      <c r="R9" s="728">
        <f>AA12</f>
        <v>7.3</v>
      </c>
      <c r="S9" s="726"/>
      <c r="T9" s="245"/>
      <c r="U9" s="245"/>
      <c r="V9" s="245"/>
      <c r="W9" s="245"/>
      <c r="X9" s="515"/>
      <c r="Y9" s="515" t="s">
        <v>47</v>
      </c>
      <c r="Z9" s="515" t="s">
        <v>45</v>
      </c>
      <c r="AA9" s="515">
        <f t="shared" ref="AA9:AT9" si="2">VLOOKUP(AA7&amp;$AA$6&amp;$Y$9, vw.deaths, 7, FALSE)</f>
        <v>7.1</v>
      </c>
      <c r="AB9" s="515">
        <f t="shared" si="2"/>
        <v>7.2</v>
      </c>
      <c r="AC9" s="515">
        <f t="shared" si="2"/>
        <v>6</v>
      </c>
      <c r="AD9" s="515">
        <f t="shared" si="2"/>
        <v>7.4</v>
      </c>
      <c r="AE9" s="515">
        <f t="shared" si="2"/>
        <v>6.4</v>
      </c>
      <c r="AF9" s="515">
        <f t="shared" si="2"/>
        <v>6.8</v>
      </c>
      <c r="AG9" s="515">
        <f t="shared" si="2"/>
        <v>7.1</v>
      </c>
      <c r="AH9" s="515">
        <f t="shared" si="2"/>
        <v>6.9</v>
      </c>
      <c r="AI9" s="515">
        <f t="shared" si="2"/>
        <v>8.5</v>
      </c>
      <c r="AJ9" s="515">
        <f t="shared" si="2"/>
        <v>6.8</v>
      </c>
      <c r="AK9" s="515">
        <f t="shared" si="2"/>
        <v>6.7</v>
      </c>
      <c r="AL9" s="515">
        <f t="shared" si="2"/>
        <v>7.2</v>
      </c>
      <c r="AM9" s="515">
        <f t="shared" si="2"/>
        <v>8.4</v>
      </c>
      <c r="AN9" s="515">
        <f t="shared" si="2"/>
        <v>7.6</v>
      </c>
      <c r="AO9" s="515">
        <f t="shared" si="2"/>
        <v>7.2</v>
      </c>
      <c r="AP9" s="515">
        <f t="shared" si="2"/>
        <v>7.2</v>
      </c>
      <c r="AQ9" s="515">
        <f t="shared" si="2"/>
        <v>7.2</v>
      </c>
      <c r="AR9" s="515">
        <f t="shared" si="2"/>
        <v>6.5</v>
      </c>
      <c r="AS9" s="515">
        <f t="shared" si="2"/>
        <v>7.6</v>
      </c>
      <c r="AT9" s="515">
        <f t="shared" si="2"/>
        <v>6.1</v>
      </c>
      <c r="AU9" s="515">
        <f t="shared" ref="AU9" si="3">VLOOKUP(AU7&amp;$AA$6&amp;$Y$9, vw.deaths, 7, FALSE)</f>
        <v>6.8</v>
      </c>
      <c r="AV9" s="515"/>
      <c r="AW9" s="515"/>
      <c r="AX9" s="245"/>
      <c r="AY9" s="245"/>
      <c r="AZ9" s="245"/>
      <c r="BA9" s="245"/>
      <c r="BB9" s="289"/>
      <c r="BC9" s="289"/>
      <c r="BD9" s="289"/>
    </row>
    <row r="10" spans="1:56" s="279" customFormat="1">
      <c r="A10" s="182"/>
      <c r="B10" s="136"/>
      <c r="C10" s="136"/>
      <c r="D10" s="136"/>
      <c r="E10" s="136"/>
      <c r="F10" s="136"/>
      <c r="G10" s="136"/>
      <c r="H10" s="136"/>
      <c r="I10" s="136"/>
      <c r="J10" s="136"/>
      <c r="K10" s="136"/>
      <c r="L10" s="142"/>
      <c r="M10" s="287">
        <v>1997</v>
      </c>
      <c r="N10" s="611">
        <f>AB8</f>
        <v>417</v>
      </c>
      <c r="O10" s="612">
        <f>AB9</f>
        <v>7.2</v>
      </c>
      <c r="P10" s="613"/>
      <c r="Q10" s="727">
        <f>AB11</f>
        <v>391</v>
      </c>
      <c r="R10" s="728">
        <f>AB12</f>
        <v>6.8</v>
      </c>
      <c r="S10" s="726"/>
      <c r="T10" s="245"/>
      <c r="U10" s="245"/>
      <c r="V10" s="245"/>
      <c r="W10" s="245"/>
      <c r="X10" s="515"/>
      <c r="Y10" s="515"/>
      <c r="Z10" s="515"/>
      <c r="AA10" s="515"/>
      <c r="AB10" s="515"/>
      <c r="AC10" s="515"/>
      <c r="AD10" s="515"/>
      <c r="AE10" s="515"/>
      <c r="AF10" s="515"/>
      <c r="AG10" s="515"/>
      <c r="AH10" s="515"/>
      <c r="AI10" s="515"/>
      <c r="AJ10" s="515"/>
      <c r="AK10" s="515"/>
      <c r="AL10" s="515"/>
      <c r="AM10" s="515"/>
      <c r="AN10" s="515"/>
      <c r="AO10" s="515"/>
      <c r="AP10" s="515"/>
      <c r="AQ10" s="515"/>
      <c r="AR10" s="515"/>
      <c r="AS10" s="515"/>
      <c r="AT10" s="515"/>
      <c r="AU10" s="515"/>
      <c r="AV10" s="515"/>
      <c r="AW10" s="515"/>
      <c r="AX10" s="245"/>
      <c r="AY10" s="245"/>
      <c r="AZ10" s="245"/>
      <c r="BA10" s="245"/>
      <c r="BB10" s="289"/>
      <c r="BC10" s="289"/>
      <c r="BD10" s="289"/>
    </row>
    <row r="11" spans="1:56" s="279" customFormat="1">
      <c r="A11" s="182"/>
      <c r="B11" s="136"/>
      <c r="C11" s="136"/>
      <c r="D11" s="136"/>
      <c r="E11" s="136"/>
      <c r="F11" s="136"/>
      <c r="G11" s="136"/>
      <c r="H11" s="136"/>
      <c r="I11" s="136"/>
      <c r="J11" s="136"/>
      <c r="K11" s="136"/>
      <c r="L11" s="142"/>
      <c r="M11" s="287">
        <v>1998</v>
      </c>
      <c r="N11" s="611">
        <f>AC8</f>
        <v>348</v>
      </c>
      <c r="O11" s="612">
        <f>AC9</f>
        <v>6</v>
      </c>
      <c r="P11" s="613"/>
      <c r="Q11" s="727">
        <f>AC11</f>
        <v>308</v>
      </c>
      <c r="R11" s="728">
        <f>AC12</f>
        <v>5.3</v>
      </c>
      <c r="S11" s="726"/>
      <c r="T11" s="245"/>
      <c r="U11" s="245"/>
      <c r="V11" s="245"/>
      <c r="W11" s="245"/>
      <c r="X11" s="515"/>
      <c r="Y11" s="515" t="s">
        <v>48</v>
      </c>
      <c r="Z11" s="515" t="s">
        <v>299</v>
      </c>
      <c r="AA11" s="515">
        <f t="shared" ref="AA11:AT11" si="4">VLOOKUP(AA7&amp;$AA$6&amp;$Y$11, vw.deaths, 5, FALSE)</f>
        <v>417</v>
      </c>
      <c r="AB11" s="515">
        <f t="shared" si="4"/>
        <v>391</v>
      </c>
      <c r="AC11" s="515">
        <f t="shared" si="4"/>
        <v>308</v>
      </c>
      <c r="AD11" s="515">
        <f t="shared" si="4"/>
        <v>335</v>
      </c>
      <c r="AE11" s="515">
        <f t="shared" si="4"/>
        <v>359</v>
      </c>
      <c r="AF11" s="515">
        <f t="shared" si="4"/>
        <v>315</v>
      </c>
      <c r="AG11" s="515">
        <f t="shared" si="4"/>
        <v>337</v>
      </c>
      <c r="AH11" s="515">
        <f t="shared" si="4"/>
        <v>304</v>
      </c>
      <c r="AI11" s="515">
        <f t="shared" si="4"/>
        <v>346</v>
      </c>
      <c r="AJ11" s="515">
        <f t="shared" si="4"/>
        <v>294</v>
      </c>
      <c r="AK11" s="515">
        <f t="shared" si="4"/>
        <v>308</v>
      </c>
      <c r="AL11" s="515">
        <f t="shared" si="4"/>
        <v>312</v>
      </c>
      <c r="AM11" s="515">
        <f t="shared" si="4"/>
        <v>323</v>
      </c>
      <c r="AN11" s="515">
        <f t="shared" si="4"/>
        <v>332</v>
      </c>
      <c r="AO11" s="515">
        <f t="shared" si="4"/>
        <v>361</v>
      </c>
      <c r="AP11" s="515">
        <f t="shared" si="4"/>
        <v>322</v>
      </c>
      <c r="AQ11" s="515">
        <f t="shared" si="4"/>
        <v>294</v>
      </c>
      <c r="AR11" s="515">
        <f t="shared" si="4"/>
        <v>296</v>
      </c>
      <c r="AS11" s="515">
        <f t="shared" si="4"/>
        <v>333</v>
      </c>
      <c r="AT11" s="515">
        <f t="shared" si="4"/>
        <v>266</v>
      </c>
      <c r="AU11" s="515">
        <f t="shared" ref="AU11" si="5">VLOOKUP(AU7&amp;$AA$6&amp;$Y$11, vw.deaths, 5, FALSE)</f>
        <v>241</v>
      </c>
      <c r="AV11" s="515"/>
      <c r="AW11" s="515"/>
      <c r="AX11" s="245"/>
      <c r="AY11" s="245"/>
      <c r="AZ11" s="245"/>
      <c r="BA11" s="245"/>
      <c r="BB11" s="289"/>
      <c r="BC11" s="289"/>
      <c r="BD11" s="289"/>
    </row>
    <row r="12" spans="1:56" s="279" customFormat="1">
      <c r="A12" s="182"/>
      <c r="B12" s="136"/>
      <c r="C12" s="136"/>
      <c r="D12" s="136"/>
      <c r="E12" s="136"/>
      <c r="F12" s="136"/>
      <c r="G12" s="136"/>
      <c r="H12" s="136"/>
      <c r="I12" s="136"/>
      <c r="J12" s="136"/>
      <c r="K12" s="136"/>
      <c r="L12" s="246"/>
      <c r="M12" s="287">
        <v>1999</v>
      </c>
      <c r="N12" s="611">
        <f>AD8</f>
        <v>426</v>
      </c>
      <c r="O12" s="612">
        <f>AD9</f>
        <v>7.4</v>
      </c>
      <c r="P12" s="613"/>
      <c r="Q12" s="727">
        <f>AD11</f>
        <v>335</v>
      </c>
      <c r="R12" s="728">
        <f>AD12</f>
        <v>5.8</v>
      </c>
      <c r="S12" s="726"/>
      <c r="T12" s="245"/>
      <c r="U12" s="245"/>
      <c r="V12" s="245"/>
      <c r="W12" s="245"/>
      <c r="X12" s="515"/>
      <c r="Y12" s="515"/>
      <c r="Z12" s="515" t="s">
        <v>45</v>
      </c>
      <c r="AA12" s="515">
        <f t="shared" ref="AA12:AT12" si="6">VLOOKUP(AA7&amp;$AA$6&amp;$Y$11, vw.deaths, 7, FALSE)</f>
        <v>7.3</v>
      </c>
      <c r="AB12" s="515">
        <f t="shared" si="6"/>
        <v>6.8</v>
      </c>
      <c r="AC12" s="515">
        <f t="shared" si="6"/>
        <v>5.3</v>
      </c>
      <c r="AD12" s="515">
        <f t="shared" si="6"/>
        <v>5.8</v>
      </c>
      <c r="AE12" s="515">
        <f t="shared" si="6"/>
        <v>6.3</v>
      </c>
      <c r="AF12" s="515">
        <f t="shared" si="6"/>
        <v>5.6</v>
      </c>
      <c r="AG12" s="515">
        <f t="shared" si="6"/>
        <v>6.2</v>
      </c>
      <c r="AH12" s="515">
        <f t="shared" si="6"/>
        <v>5.4</v>
      </c>
      <c r="AI12" s="515">
        <f t="shared" si="6"/>
        <v>5.9</v>
      </c>
      <c r="AJ12" s="515">
        <f t="shared" si="6"/>
        <v>5</v>
      </c>
      <c r="AK12" s="515">
        <f t="shared" si="6"/>
        <v>5.0999999999999996</v>
      </c>
      <c r="AL12" s="515">
        <f t="shared" si="6"/>
        <v>4.8</v>
      </c>
      <c r="AM12" s="515">
        <f t="shared" si="6"/>
        <v>4.9000000000000004</v>
      </c>
      <c r="AN12" s="515">
        <f t="shared" si="6"/>
        <v>5.2</v>
      </c>
      <c r="AO12" s="515">
        <f t="shared" si="6"/>
        <v>5.6</v>
      </c>
      <c r="AP12" s="515">
        <f t="shared" si="6"/>
        <v>5.2</v>
      </c>
      <c r="AQ12" s="515">
        <f t="shared" si="6"/>
        <v>4.7</v>
      </c>
      <c r="AR12" s="515">
        <f t="shared" si="6"/>
        <v>5</v>
      </c>
      <c r="AS12" s="515">
        <f t="shared" si="6"/>
        <v>5.7</v>
      </c>
      <c r="AT12" s="515">
        <f t="shared" si="6"/>
        <v>4.3</v>
      </c>
      <c r="AU12" s="515">
        <f t="shared" ref="AU12" si="7">VLOOKUP(AU7&amp;$AA$6&amp;$Y$11, vw.deaths, 7, FALSE)</f>
        <v>4</v>
      </c>
      <c r="AV12" s="515"/>
      <c r="AW12" s="515"/>
      <c r="AX12" s="245"/>
      <c r="AY12" s="245"/>
      <c r="AZ12" s="245"/>
      <c r="BA12" s="245"/>
      <c r="BB12" s="289"/>
      <c r="BC12" s="289"/>
      <c r="BD12" s="289"/>
    </row>
    <row r="13" spans="1:56" s="279" customFormat="1">
      <c r="A13" s="182"/>
      <c r="B13" s="136"/>
      <c r="C13" s="136"/>
      <c r="D13" s="136"/>
      <c r="E13" s="136"/>
      <c r="F13" s="136"/>
      <c r="G13" s="136"/>
      <c r="H13" s="136"/>
      <c r="I13" s="136"/>
      <c r="J13" s="136"/>
      <c r="K13" s="136"/>
      <c r="L13" s="142"/>
      <c r="M13" s="287">
        <v>2000</v>
      </c>
      <c r="N13" s="611">
        <f>AE8</f>
        <v>369</v>
      </c>
      <c r="O13" s="612">
        <f>AE9</f>
        <v>6.4</v>
      </c>
      <c r="P13" s="613"/>
      <c r="Q13" s="727">
        <f>AE11</f>
        <v>359</v>
      </c>
      <c r="R13" s="728">
        <f>AE12</f>
        <v>6.3</v>
      </c>
      <c r="S13" s="726"/>
      <c r="T13" s="245"/>
      <c r="U13" s="245"/>
      <c r="V13" s="245"/>
      <c r="W13" s="245"/>
      <c r="X13" s="515"/>
      <c r="Y13" s="515"/>
      <c r="Z13" s="515"/>
      <c r="AA13" s="515"/>
      <c r="AB13" s="515"/>
      <c r="AC13" s="515"/>
      <c r="AD13" s="515"/>
      <c r="AE13" s="515"/>
      <c r="AF13" s="515"/>
      <c r="AG13" s="515"/>
      <c r="AH13" s="515"/>
      <c r="AI13" s="515"/>
      <c r="AJ13" s="515"/>
      <c r="AK13" s="515"/>
      <c r="AL13" s="515"/>
      <c r="AM13" s="515"/>
      <c r="AN13" s="515"/>
      <c r="AO13" s="515"/>
      <c r="AP13" s="515"/>
      <c r="AQ13" s="515"/>
      <c r="AR13" s="515"/>
      <c r="AS13" s="515"/>
      <c r="AT13" s="515"/>
      <c r="AU13" s="515"/>
      <c r="AV13" s="515"/>
      <c r="AW13" s="515"/>
      <c r="AX13" s="245"/>
      <c r="AY13" s="245"/>
      <c r="AZ13" s="245"/>
      <c r="BA13" s="245"/>
      <c r="BB13" s="289"/>
      <c r="BC13" s="289"/>
      <c r="BD13" s="289"/>
    </row>
    <row r="14" spans="1:56" s="279" customFormat="1">
      <c r="A14" s="182"/>
      <c r="B14" s="136"/>
      <c r="C14" s="136"/>
      <c r="D14" s="136"/>
      <c r="E14" s="136"/>
      <c r="F14" s="136"/>
      <c r="G14" s="136"/>
      <c r="H14" s="136"/>
      <c r="I14" s="136"/>
      <c r="J14" s="136"/>
      <c r="K14" s="136"/>
      <c r="L14" s="142"/>
      <c r="M14" s="287">
        <v>2001</v>
      </c>
      <c r="N14" s="611">
        <f>AF8</f>
        <v>386</v>
      </c>
      <c r="O14" s="612">
        <f>AF9</f>
        <v>6.8</v>
      </c>
      <c r="P14" s="613"/>
      <c r="Q14" s="727">
        <f>AF11</f>
        <v>315</v>
      </c>
      <c r="R14" s="728">
        <f>AF12</f>
        <v>5.6</v>
      </c>
      <c r="S14" s="726"/>
      <c r="T14" s="245"/>
      <c r="U14" s="245"/>
      <c r="V14" s="245"/>
      <c r="W14" s="245"/>
      <c r="X14" s="515"/>
      <c r="Y14" s="515"/>
      <c r="Z14" s="515"/>
      <c r="AA14" s="515"/>
      <c r="AB14" s="515"/>
      <c r="AC14" s="515"/>
      <c r="AD14" s="515"/>
      <c r="AE14" s="515"/>
      <c r="AF14" s="515"/>
      <c r="AG14" s="515"/>
      <c r="AH14" s="515"/>
      <c r="AI14" s="515"/>
      <c r="AJ14" s="515"/>
      <c r="AK14" s="515"/>
      <c r="AL14" s="515"/>
      <c r="AM14" s="515"/>
      <c r="AN14" s="515"/>
      <c r="AO14" s="515"/>
      <c r="AP14" s="515"/>
      <c r="AQ14" s="515"/>
      <c r="AR14" s="515"/>
      <c r="AS14" s="515"/>
      <c r="AT14" s="515"/>
      <c r="AU14" s="515"/>
      <c r="AV14" s="515"/>
      <c r="AW14" s="515"/>
      <c r="AX14" s="245"/>
      <c r="AY14" s="245"/>
      <c r="AZ14" s="245"/>
      <c r="BA14" s="245"/>
      <c r="BB14" s="289"/>
      <c r="BC14" s="289"/>
      <c r="BD14" s="289"/>
    </row>
    <row r="15" spans="1:56" s="279" customFormat="1">
      <c r="A15" s="182"/>
      <c r="B15" s="136"/>
      <c r="C15" s="136"/>
      <c r="D15" s="136"/>
      <c r="E15" s="136"/>
      <c r="F15" s="136"/>
      <c r="G15" s="136"/>
      <c r="H15" s="136"/>
      <c r="I15" s="136"/>
      <c r="J15" s="136"/>
      <c r="K15" s="136"/>
      <c r="L15" s="136"/>
      <c r="M15" s="287">
        <v>2002</v>
      </c>
      <c r="N15" s="611">
        <f>AG8</f>
        <v>390</v>
      </c>
      <c r="O15" s="612">
        <f>AG9</f>
        <v>7.1</v>
      </c>
      <c r="P15" s="613"/>
      <c r="Q15" s="727">
        <f>AG11</f>
        <v>337</v>
      </c>
      <c r="R15" s="728">
        <f>AG12</f>
        <v>6.2</v>
      </c>
      <c r="S15" s="726"/>
      <c r="T15" s="245"/>
      <c r="U15" s="245"/>
      <c r="V15" s="245"/>
      <c r="W15" s="245"/>
      <c r="X15" s="515"/>
      <c r="Y15" s="515"/>
      <c r="Z15" s="515"/>
      <c r="AA15" s="515"/>
      <c r="AB15" s="515"/>
      <c r="AC15" s="515"/>
      <c r="AD15" s="515"/>
      <c r="AE15" s="515"/>
      <c r="AF15" s="515"/>
      <c r="AG15" s="515"/>
      <c r="AH15" s="515"/>
      <c r="AI15" s="515"/>
      <c r="AJ15" s="515"/>
      <c r="AK15" s="515"/>
      <c r="AL15" s="515"/>
      <c r="AM15" s="515"/>
      <c r="AN15" s="515"/>
      <c r="AO15" s="515"/>
      <c r="AP15" s="515"/>
      <c r="AQ15" s="515"/>
      <c r="AR15" s="515"/>
      <c r="AS15" s="515"/>
      <c r="AT15" s="515"/>
      <c r="AU15" s="515"/>
      <c r="AV15" s="515"/>
      <c r="AW15" s="515"/>
      <c r="AX15" s="245"/>
      <c r="AY15" s="245"/>
      <c r="AZ15" s="245"/>
      <c r="BA15" s="245"/>
      <c r="BB15" s="289"/>
      <c r="BC15" s="289"/>
      <c r="BD15" s="289"/>
    </row>
    <row r="16" spans="1:56" s="279" customFormat="1">
      <c r="A16" s="182"/>
      <c r="B16" s="136"/>
      <c r="C16" s="136"/>
      <c r="D16" s="136"/>
      <c r="E16" s="136"/>
      <c r="F16" s="136"/>
      <c r="G16" s="136"/>
      <c r="H16" s="136"/>
      <c r="I16" s="136"/>
      <c r="J16" s="136"/>
      <c r="K16" s="136"/>
      <c r="L16" s="136"/>
      <c r="M16" s="287">
        <v>2003</v>
      </c>
      <c r="N16" s="611">
        <f>AH8</f>
        <v>393</v>
      </c>
      <c r="O16" s="612">
        <f>AH9</f>
        <v>6.9</v>
      </c>
      <c r="P16" s="613"/>
      <c r="Q16" s="727">
        <f>AH11</f>
        <v>304</v>
      </c>
      <c r="R16" s="728">
        <f>AH12</f>
        <v>5.4</v>
      </c>
      <c r="S16" s="726"/>
      <c r="T16" s="245"/>
      <c r="U16" s="245"/>
      <c r="V16" s="245"/>
      <c r="W16" s="245"/>
      <c r="X16" s="515"/>
      <c r="Y16" s="515"/>
      <c r="Z16" s="515"/>
      <c r="AA16" s="515"/>
      <c r="AB16" s="515"/>
      <c r="AC16" s="515"/>
      <c r="AD16" s="515"/>
      <c r="AE16" s="515"/>
      <c r="AF16" s="515"/>
      <c r="AG16" s="515"/>
      <c r="AH16" s="515"/>
      <c r="AI16" s="515"/>
      <c r="AJ16" s="515"/>
      <c r="AK16" s="515"/>
      <c r="AL16" s="515"/>
      <c r="AM16" s="515"/>
      <c r="AN16" s="515"/>
      <c r="AO16" s="515"/>
      <c r="AP16" s="515"/>
      <c r="AQ16" s="515"/>
      <c r="AR16" s="515"/>
      <c r="AS16" s="515"/>
      <c r="AT16" s="515"/>
      <c r="AU16" s="515"/>
      <c r="AV16" s="515"/>
      <c r="AW16" s="515"/>
      <c r="AX16" s="245"/>
      <c r="AY16" s="245"/>
      <c r="AZ16" s="245"/>
      <c r="BA16" s="245"/>
      <c r="BB16" s="289"/>
      <c r="BC16" s="289"/>
      <c r="BD16" s="289"/>
    </row>
    <row r="17" spans="1:56" s="279" customFormat="1">
      <c r="A17" s="182"/>
      <c r="B17" s="136"/>
      <c r="C17" s="136"/>
      <c r="D17" s="136"/>
      <c r="E17" s="136"/>
      <c r="F17" s="136"/>
      <c r="G17" s="136"/>
      <c r="H17" s="136"/>
      <c r="I17" s="136"/>
      <c r="J17" s="136"/>
      <c r="K17" s="136"/>
      <c r="L17" s="136"/>
      <c r="M17" s="287">
        <v>2004</v>
      </c>
      <c r="N17" s="611">
        <f>AI8</f>
        <v>506</v>
      </c>
      <c r="O17" s="612">
        <f>AI9</f>
        <v>8.5</v>
      </c>
      <c r="P17" s="613"/>
      <c r="Q17" s="727">
        <f>AI11</f>
        <v>346</v>
      </c>
      <c r="R17" s="728">
        <f>AI12</f>
        <v>5.9</v>
      </c>
      <c r="S17" s="726"/>
      <c r="T17" s="245"/>
      <c r="U17" s="245"/>
      <c r="V17" s="245"/>
      <c r="W17" s="245"/>
      <c r="X17" s="515"/>
      <c r="Y17" s="515"/>
      <c r="Z17" s="515"/>
      <c r="AA17" s="515"/>
      <c r="AB17" s="515"/>
      <c r="AC17" s="515"/>
      <c r="AD17" s="515"/>
      <c r="AE17" s="515"/>
      <c r="AF17" s="515"/>
      <c r="AG17" s="515"/>
      <c r="AH17" s="515"/>
      <c r="AI17" s="515"/>
      <c r="AJ17" s="515"/>
      <c r="AK17" s="515"/>
      <c r="AL17" s="515"/>
      <c r="AM17" s="515"/>
      <c r="AN17" s="515"/>
      <c r="AO17" s="515"/>
      <c r="AP17" s="515"/>
      <c r="AQ17" s="515"/>
      <c r="AR17" s="515"/>
      <c r="AS17" s="515"/>
      <c r="AT17" s="515"/>
      <c r="AU17" s="515"/>
      <c r="AV17" s="515"/>
      <c r="AW17" s="515"/>
      <c r="AX17" s="245"/>
      <c r="AY17" s="245"/>
      <c r="AZ17" s="245"/>
      <c r="BA17" s="245"/>
      <c r="BB17" s="289"/>
      <c r="BC17" s="289"/>
      <c r="BD17" s="289"/>
    </row>
    <row r="18" spans="1:56" s="279" customFormat="1">
      <c r="A18" s="182"/>
      <c r="B18" s="136"/>
      <c r="C18" s="136"/>
      <c r="D18" s="136"/>
      <c r="E18" s="136"/>
      <c r="F18" s="136"/>
      <c r="G18" s="136"/>
      <c r="H18" s="136"/>
      <c r="I18" s="136"/>
      <c r="J18" s="136"/>
      <c r="K18" s="136"/>
      <c r="L18" s="136"/>
      <c r="M18" s="287">
        <v>2005</v>
      </c>
      <c r="N18" s="611">
        <f>AJ8</f>
        <v>403</v>
      </c>
      <c r="O18" s="612">
        <f>AJ9</f>
        <v>6.8</v>
      </c>
      <c r="P18" s="613"/>
      <c r="Q18" s="727">
        <f>AJ11</f>
        <v>294</v>
      </c>
      <c r="R18" s="728">
        <f>AJ12</f>
        <v>5</v>
      </c>
      <c r="S18" s="726"/>
      <c r="T18" s="245"/>
      <c r="U18" s="245"/>
      <c r="V18" s="245"/>
      <c r="W18" s="245"/>
      <c r="X18" s="515"/>
      <c r="Y18" s="515"/>
      <c r="Z18" s="515"/>
      <c r="AA18" s="515"/>
      <c r="AB18" s="515"/>
      <c r="AC18" s="515"/>
      <c r="AD18" s="515"/>
      <c r="AE18" s="515"/>
      <c r="AF18" s="515"/>
      <c r="AG18" s="515"/>
      <c r="AH18" s="515"/>
      <c r="AI18" s="515"/>
      <c r="AJ18" s="515"/>
      <c r="AK18" s="515"/>
      <c r="AL18" s="515"/>
      <c r="AM18" s="515"/>
      <c r="AN18" s="515"/>
      <c r="AO18" s="515"/>
      <c r="AP18" s="515"/>
      <c r="AQ18" s="515"/>
      <c r="AR18" s="515"/>
      <c r="AS18" s="515"/>
      <c r="AT18" s="515"/>
      <c r="AU18" s="515"/>
      <c r="AV18" s="515"/>
      <c r="AW18" s="515"/>
      <c r="AX18" s="245"/>
      <c r="AY18" s="245"/>
      <c r="AZ18" s="245"/>
      <c r="BA18" s="245"/>
      <c r="BB18" s="289"/>
      <c r="BC18" s="289"/>
      <c r="BD18" s="289"/>
    </row>
    <row r="19" spans="1:56" s="279" customFormat="1">
      <c r="A19" s="182"/>
      <c r="B19" s="136"/>
      <c r="C19" s="136"/>
      <c r="D19" s="136"/>
      <c r="E19" s="136"/>
      <c r="F19" s="136"/>
      <c r="G19" s="136"/>
      <c r="H19" s="136"/>
      <c r="I19" s="136"/>
      <c r="J19" s="136"/>
      <c r="K19" s="136"/>
      <c r="L19" s="136"/>
      <c r="M19" s="287">
        <v>2006</v>
      </c>
      <c r="N19" s="611">
        <f>AK8</f>
        <v>409</v>
      </c>
      <c r="O19" s="612">
        <f>AK9</f>
        <v>6.7</v>
      </c>
      <c r="P19" s="613"/>
      <c r="Q19" s="727">
        <f>AK11</f>
        <v>308</v>
      </c>
      <c r="R19" s="728">
        <f>AK12</f>
        <v>5.0999999999999996</v>
      </c>
      <c r="S19" s="726"/>
      <c r="T19" s="245"/>
      <c r="U19" s="245"/>
      <c r="V19" s="245"/>
      <c r="W19" s="245"/>
      <c r="X19" s="515"/>
      <c r="Y19" s="515"/>
      <c r="Z19" s="515"/>
      <c r="AA19" s="515"/>
      <c r="AB19" s="515"/>
      <c r="AC19" s="515"/>
      <c r="AD19" s="515"/>
      <c r="AE19" s="515"/>
      <c r="AF19" s="515"/>
      <c r="AG19" s="515"/>
      <c r="AH19" s="515"/>
      <c r="AI19" s="515"/>
      <c r="AJ19" s="515"/>
      <c r="AK19" s="515"/>
      <c r="AL19" s="515"/>
      <c r="AM19" s="515"/>
      <c r="AN19" s="515"/>
      <c r="AO19" s="515"/>
      <c r="AP19" s="515"/>
      <c r="AQ19" s="515"/>
      <c r="AR19" s="515"/>
      <c r="AS19" s="515"/>
      <c r="AT19" s="515"/>
      <c r="AU19" s="515"/>
      <c r="AV19" s="515"/>
      <c r="AW19" s="515"/>
      <c r="AX19" s="245"/>
      <c r="AY19" s="245"/>
      <c r="AZ19" s="245"/>
      <c r="BA19" s="245"/>
      <c r="BB19" s="289"/>
      <c r="BC19" s="289"/>
      <c r="BD19" s="289"/>
    </row>
    <row r="20" spans="1:56" s="279" customFormat="1">
      <c r="A20" s="182"/>
      <c r="B20" s="136"/>
      <c r="C20" s="136"/>
      <c r="D20" s="136"/>
      <c r="E20" s="136"/>
      <c r="F20" s="136"/>
      <c r="G20" s="136"/>
      <c r="H20" s="136"/>
      <c r="I20" s="136"/>
      <c r="J20" s="136"/>
      <c r="K20" s="136"/>
      <c r="L20" s="136"/>
      <c r="M20" s="287">
        <v>2007</v>
      </c>
      <c r="N20" s="611">
        <f>AL8</f>
        <v>470</v>
      </c>
      <c r="O20" s="612">
        <f>AL9</f>
        <v>7.2</v>
      </c>
      <c r="P20" s="613"/>
      <c r="Q20" s="727">
        <f>AL11</f>
        <v>312</v>
      </c>
      <c r="R20" s="728">
        <f>AL12</f>
        <v>4.8</v>
      </c>
      <c r="S20" s="726"/>
      <c r="T20" s="245"/>
      <c r="U20" s="245"/>
      <c r="V20" s="245"/>
      <c r="W20" s="245"/>
      <c r="X20" s="515"/>
      <c r="Y20" s="515"/>
      <c r="Z20" s="515"/>
      <c r="AA20" s="515"/>
      <c r="AB20" s="515"/>
      <c r="AC20" s="515"/>
      <c r="AD20" s="515"/>
      <c r="AE20" s="515"/>
      <c r="AF20" s="515"/>
      <c r="AG20" s="515"/>
      <c r="AH20" s="515"/>
      <c r="AI20" s="515"/>
      <c r="AJ20" s="515"/>
      <c r="AK20" s="515"/>
      <c r="AL20" s="515"/>
      <c r="AM20" s="515"/>
      <c r="AN20" s="515"/>
      <c r="AO20" s="515"/>
      <c r="AP20" s="515"/>
      <c r="AQ20" s="515"/>
      <c r="AR20" s="515"/>
      <c r="AS20" s="515"/>
      <c r="AT20" s="515"/>
      <c r="AU20" s="515"/>
      <c r="AV20" s="515"/>
      <c r="AW20" s="515"/>
      <c r="AX20" s="245"/>
      <c r="AY20" s="245"/>
      <c r="AZ20" s="245"/>
      <c r="BA20" s="245"/>
      <c r="BB20" s="289"/>
      <c r="BC20" s="289"/>
      <c r="BD20" s="289"/>
    </row>
    <row r="21" spans="1:56" s="279" customFormat="1">
      <c r="A21" s="182"/>
      <c r="B21" s="136"/>
      <c r="C21" s="136"/>
      <c r="D21" s="136"/>
      <c r="E21" s="136"/>
      <c r="F21" s="136"/>
      <c r="G21" s="136"/>
      <c r="H21" s="136"/>
      <c r="I21" s="136"/>
      <c r="J21" s="136"/>
      <c r="K21" s="136"/>
      <c r="L21" s="136"/>
      <c r="M21" s="287">
        <v>2008</v>
      </c>
      <c r="N21" s="611">
        <f>AM8</f>
        <v>556</v>
      </c>
      <c r="O21" s="612">
        <f>AM9</f>
        <v>8.4</v>
      </c>
      <c r="P21" s="613"/>
      <c r="Q21" s="727">
        <f>AM11</f>
        <v>323</v>
      </c>
      <c r="R21" s="728">
        <f>AM12</f>
        <v>4.9000000000000004</v>
      </c>
      <c r="S21" s="726"/>
      <c r="T21" s="245"/>
      <c r="U21" s="245"/>
      <c r="V21" s="245"/>
      <c r="W21" s="245"/>
      <c r="X21" s="515"/>
      <c r="Y21" s="515"/>
      <c r="Z21" s="515"/>
      <c r="AA21" s="515"/>
      <c r="AB21" s="515"/>
      <c r="AC21" s="515"/>
      <c r="AD21" s="515"/>
      <c r="AE21" s="515"/>
      <c r="AF21" s="515"/>
      <c r="AG21" s="515"/>
      <c r="AH21" s="515"/>
      <c r="AI21" s="515"/>
      <c r="AJ21" s="515"/>
      <c r="AK21" s="515"/>
      <c r="AL21" s="515"/>
      <c r="AM21" s="515"/>
      <c r="AN21" s="515"/>
      <c r="AO21" s="515"/>
      <c r="AP21" s="515"/>
      <c r="AQ21" s="515"/>
      <c r="AR21" s="515"/>
      <c r="AS21" s="515"/>
      <c r="AT21" s="515"/>
      <c r="AU21" s="515"/>
      <c r="AV21" s="515"/>
      <c r="AW21" s="515"/>
      <c r="AX21" s="245"/>
      <c r="AY21" s="245"/>
      <c r="AZ21" s="245"/>
      <c r="BA21" s="245"/>
      <c r="BB21" s="289"/>
      <c r="BC21" s="289"/>
      <c r="BD21" s="289"/>
    </row>
    <row r="22" spans="1:56" s="279" customFormat="1">
      <c r="A22" s="182"/>
      <c r="B22" s="136"/>
      <c r="C22" s="136"/>
      <c r="D22" s="136"/>
      <c r="E22" s="136"/>
      <c r="F22" s="136"/>
      <c r="G22" s="136"/>
      <c r="H22" s="136"/>
      <c r="I22" s="136"/>
      <c r="J22" s="136"/>
      <c r="K22" s="136"/>
      <c r="L22" s="136"/>
      <c r="M22" s="287">
        <v>2009</v>
      </c>
      <c r="N22" s="611">
        <f>AN8</f>
        <v>482</v>
      </c>
      <c r="O22" s="612">
        <f>AN9</f>
        <v>7.6</v>
      </c>
      <c r="P22" s="613"/>
      <c r="Q22" s="727">
        <f>AN11</f>
        <v>332</v>
      </c>
      <c r="R22" s="728">
        <f>AN12</f>
        <v>5.2</v>
      </c>
      <c r="S22" s="726"/>
      <c r="T22" s="245"/>
      <c r="U22" s="245"/>
      <c r="V22" s="245"/>
      <c r="W22" s="245"/>
      <c r="X22" s="515"/>
      <c r="Y22" s="515"/>
      <c r="Z22" s="515"/>
      <c r="AA22" s="515"/>
      <c r="AB22" s="515"/>
      <c r="AC22" s="515"/>
      <c r="AD22" s="515"/>
      <c r="AE22" s="515"/>
      <c r="AF22" s="515"/>
      <c r="AG22" s="515"/>
      <c r="AH22" s="515"/>
      <c r="AI22" s="515"/>
      <c r="AJ22" s="515"/>
      <c r="AK22" s="515"/>
      <c r="AL22" s="515"/>
      <c r="AM22" s="515"/>
      <c r="AN22" s="515"/>
      <c r="AO22" s="515"/>
      <c r="AP22" s="515"/>
      <c r="AQ22" s="515"/>
      <c r="AR22" s="515"/>
      <c r="AS22" s="515"/>
      <c r="AT22" s="515"/>
      <c r="AU22" s="515"/>
      <c r="AV22" s="515"/>
      <c r="AW22" s="515"/>
      <c r="AX22" s="245"/>
      <c r="AY22" s="245"/>
      <c r="AZ22" s="245"/>
      <c r="BA22" s="245"/>
      <c r="BB22" s="289"/>
      <c r="BC22" s="289"/>
      <c r="BD22" s="289"/>
    </row>
    <row r="23" spans="1:56" s="279" customFormat="1">
      <c r="A23" s="182"/>
      <c r="B23" s="136"/>
      <c r="C23" s="136"/>
      <c r="D23" s="136"/>
      <c r="E23" s="136"/>
      <c r="F23" s="136"/>
      <c r="G23" s="136"/>
      <c r="H23" s="136"/>
      <c r="I23" s="136"/>
      <c r="J23" s="136"/>
      <c r="K23" s="136"/>
      <c r="L23" s="136"/>
      <c r="M23" s="287">
        <v>2010</v>
      </c>
      <c r="N23" s="611">
        <f>AO8</f>
        <v>469</v>
      </c>
      <c r="O23" s="612">
        <f>AO9</f>
        <v>7.2</v>
      </c>
      <c r="P23" s="613"/>
      <c r="Q23" s="727">
        <f>AO11</f>
        <v>361</v>
      </c>
      <c r="R23" s="728">
        <f>AO12</f>
        <v>5.6</v>
      </c>
      <c r="S23" s="726"/>
      <c r="T23" s="245"/>
      <c r="U23" s="245"/>
      <c r="V23" s="245"/>
      <c r="W23" s="245"/>
      <c r="X23" s="515"/>
      <c r="Y23" s="515"/>
      <c r="Z23" s="515"/>
      <c r="AA23" s="515"/>
      <c r="AB23" s="515"/>
      <c r="AC23" s="515"/>
      <c r="AD23" s="515"/>
      <c r="AE23" s="515"/>
      <c r="AF23" s="515"/>
      <c r="AG23" s="515"/>
      <c r="AH23" s="515"/>
      <c r="AI23" s="515"/>
      <c r="AJ23" s="515"/>
      <c r="AK23" s="515"/>
      <c r="AL23" s="515"/>
      <c r="AM23" s="515"/>
      <c r="AN23" s="515"/>
      <c r="AO23" s="515"/>
      <c r="AP23" s="515"/>
      <c r="AQ23" s="515"/>
      <c r="AR23" s="515"/>
      <c r="AS23" s="515"/>
      <c r="AT23" s="515"/>
      <c r="AU23" s="515"/>
      <c r="AV23" s="515"/>
      <c r="AW23" s="515"/>
      <c r="AX23" s="245"/>
      <c r="AY23" s="245"/>
      <c r="AZ23" s="245"/>
      <c r="BA23" s="245"/>
      <c r="BB23" s="289"/>
      <c r="BC23" s="289"/>
      <c r="BD23" s="289"/>
    </row>
    <row r="24" spans="1:56" s="279" customFormat="1">
      <c r="A24" s="182"/>
      <c r="B24" s="136"/>
      <c r="C24" s="136"/>
      <c r="D24" s="136"/>
      <c r="E24" s="136"/>
      <c r="F24" s="136"/>
      <c r="G24" s="136"/>
      <c r="H24" s="136"/>
      <c r="I24" s="136"/>
      <c r="J24" s="136"/>
      <c r="K24" s="136"/>
      <c r="L24" s="136"/>
      <c r="M24" s="287">
        <v>2011</v>
      </c>
      <c r="N24" s="611">
        <f>AP8</f>
        <v>451</v>
      </c>
      <c r="O24" s="612">
        <f>AP9</f>
        <v>7.2</v>
      </c>
      <c r="P24" s="613"/>
      <c r="Q24" s="727">
        <f>AP11</f>
        <v>322</v>
      </c>
      <c r="R24" s="728">
        <f>AP12</f>
        <v>5.2</v>
      </c>
      <c r="S24" s="726"/>
      <c r="T24" s="245"/>
      <c r="U24" s="245"/>
      <c r="V24" s="245"/>
      <c r="W24" s="245"/>
      <c r="X24" s="515"/>
      <c r="Y24" s="515"/>
      <c r="Z24" s="515"/>
      <c r="AA24" s="515"/>
      <c r="AB24" s="515"/>
      <c r="AC24" s="515"/>
      <c r="AD24" s="515"/>
      <c r="AE24" s="515"/>
      <c r="AF24" s="515"/>
      <c r="AG24" s="515"/>
      <c r="AH24" s="515"/>
      <c r="AI24" s="515"/>
      <c r="AJ24" s="515"/>
      <c r="AK24" s="515"/>
      <c r="AL24" s="515"/>
      <c r="AM24" s="515"/>
      <c r="AN24" s="515"/>
      <c r="AO24" s="515"/>
      <c r="AP24" s="515"/>
      <c r="AQ24" s="515"/>
      <c r="AR24" s="515"/>
      <c r="AS24" s="515"/>
      <c r="AT24" s="515"/>
      <c r="AU24" s="515"/>
      <c r="AV24" s="515"/>
      <c r="AW24" s="515"/>
      <c r="AX24" s="245"/>
      <c r="AY24" s="245"/>
      <c r="AZ24" s="245"/>
      <c r="BA24" s="245"/>
      <c r="BB24" s="289"/>
      <c r="BC24" s="289"/>
      <c r="BD24" s="289"/>
    </row>
    <row r="25" spans="1:56" s="279" customFormat="1">
      <c r="A25" s="286"/>
      <c r="B25" s="65"/>
      <c r="C25" s="65"/>
      <c r="D25" s="65"/>
      <c r="E25" s="65"/>
      <c r="F25" s="65"/>
      <c r="G25" s="65"/>
      <c r="H25" s="65"/>
      <c r="I25" s="65"/>
      <c r="J25" s="65"/>
      <c r="K25" s="65"/>
      <c r="L25" s="65"/>
      <c r="M25" s="287">
        <v>2012</v>
      </c>
      <c r="N25" s="611">
        <f>AQ8</f>
        <v>448</v>
      </c>
      <c r="O25" s="612">
        <f>AQ9</f>
        <v>7.2</v>
      </c>
      <c r="P25" s="613"/>
      <c r="Q25" s="727">
        <f>AQ11</f>
        <v>294</v>
      </c>
      <c r="R25" s="728">
        <f>AQ12</f>
        <v>4.7</v>
      </c>
      <c r="S25" s="729"/>
      <c r="T25" s="245"/>
      <c r="U25" s="472"/>
      <c r="V25" s="245"/>
      <c r="W25" s="245"/>
      <c r="X25" s="515"/>
      <c r="Y25" s="515"/>
      <c r="Z25" s="515"/>
      <c r="AA25" s="515"/>
      <c r="AB25" s="515"/>
      <c r="AC25" s="515"/>
      <c r="AD25" s="515"/>
      <c r="AE25" s="515"/>
      <c r="AF25" s="515"/>
      <c r="AG25" s="515"/>
      <c r="AH25" s="515"/>
      <c r="AI25" s="515"/>
      <c r="AJ25" s="515"/>
      <c r="AK25" s="515"/>
      <c r="AL25" s="515"/>
      <c r="AM25" s="515"/>
      <c r="AN25" s="515"/>
      <c r="AO25" s="515"/>
      <c r="AP25" s="515"/>
      <c r="AQ25" s="515"/>
      <c r="AR25" s="515"/>
      <c r="AS25" s="515"/>
      <c r="AT25" s="515"/>
      <c r="AU25" s="515"/>
      <c r="AV25" s="515"/>
      <c r="AW25" s="515"/>
      <c r="AX25" s="245"/>
      <c r="AY25" s="245"/>
      <c r="AZ25" s="245"/>
      <c r="BA25" s="245"/>
      <c r="BB25" s="289"/>
      <c r="BC25" s="289"/>
      <c r="BD25" s="289"/>
    </row>
    <row r="26" spans="1:56" s="279" customFormat="1">
      <c r="A26" s="286"/>
      <c r="B26" s="65"/>
      <c r="C26" s="65"/>
      <c r="D26" s="65"/>
      <c r="E26" s="65"/>
      <c r="F26" s="65"/>
      <c r="G26" s="65"/>
      <c r="H26" s="65"/>
      <c r="I26" s="65"/>
      <c r="J26" s="65"/>
      <c r="K26" s="65"/>
      <c r="L26" s="65"/>
      <c r="M26" s="287">
        <v>2013</v>
      </c>
      <c r="N26" s="611">
        <f>AR8</f>
        <v>393</v>
      </c>
      <c r="O26" s="612">
        <f>AR9</f>
        <v>6.5</v>
      </c>
      <c r="P26" s="613"/>
      <c r="Q26" s="727">
        <f>AR11</f>
        <v>296</v>
      </c>
      <c r="R26" s="728">
        <f>AR12</f>
        <v>5</v>
      </c>
      <c r="S26" s="729"/>
      <c r="T26" s="245"/>
      <c r="U26" s="472"/>
      <c r="V26" s="245"/>
      <c r="W26" s="245"/>
      <c r="X26" s="515"/>
      <c r="Y26" s="515"/>
      <c r="Z26" s="515"/>
      <c r="AA26" s="515"/>
      <c r="AB26" s="515"/>
      <c r="AC26" s="515"/>
      <c r="AD26" s="515"/>
      <c r="AE26" s="515"/>
      <c r="AF26" s="515"/>
      <c r="AG26" s="515"/>
      <c r="AH26" s="515"/>
      <c r="AI26" s="515"/>
      <c r="AJ26" s="515"/>
      <c r="AK26" s="515"/>
      <c r="AL26" s="515"/>
      <c r="AM26" s="515"/>
      <c r="AN26" s="515"/>
      <c r="AO26" s="515"/>
      <c r="AP26" s="515"/>
      <c r="AQ26" s="515"/>
      <c r="AR26" s="515"/>
      <c r="AS26" s="515"/>
      <c r="AT26" s="515"/>
      <c r="AU26" s="515"/>
      <c r="AV26" s="515"/>
      <c r="AW26" s="515"/>
      <c r="AX26" s="245"/>
      <c r="AY26" s="245"/>
      <c r="AZ26" s="245"/>
      <c r="BA26" s="245"/>
      <c r="BB26" s="289"/>
      <c r="BC26" s="289"/>
      <c r="BD26" s="289"/>
    </row>
    <row r="27" spans="1:56" s="397" customFormat="1">
      <c r="A27" s="286"/>
      <c r="B27" s="65"/>
      <c r="C27" s="65"/>
      <c r="D27" s="65"/>
      <c r="E27" s="65"/>
      <c r="F27" s="65"/>
      <c r="G27" s="65"/>
      <c r="H27" s="65"/>
      <c r="I27" s="65"/>
      <c r="J27" s="65"/>
      <c r="K27" s="65"/>
      <c r="L27" s="65"/>
      <c r="M27" s="287">
        <v>2014</v>
      </c>
      <c r="N27" s="611">
        <f>AS8</f>
        <v>447</v>
      </c>
      <c r="O27" s="612">
        <f>AS9</f>
        <v>7.6</v>
      </c>
      <c r="P27" s="613"/>
      <c r="Q27" s="727">
        <f>AS11</f>
        <v>333</v>
      </c>
      <c r="R27" s="728">
        <f>AS12</f>
        <v>5.7</v>
      </c>
      <c r="S27" s="729"/>
      <c r="T27" s="245"/>
      <c r="U27" s="730"/>
      <c r="V27" s="245"/>
      <c r="W27" s="24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245"/>
      <c r="AY27" s="245"/>
      <c r="AZ27" s="245"/>
      <c r="BA27" s="245"/>
      <c r="BB27" s="289"/>
      <c r="BC27" s="289"/>
      <c r="BD27" s="289"/>
    </row>
    <row r="28" spans="1:56" s="559" customFormat="1">
      <c r="A28" s="286"/>
      <c r="B28" s="65"/>
      <c r="C28" s="65"/>
      <c r="D28" s="65"/>
      <c r="E28" s="65"/>
      <c r="F28" s="65"/>
      <c r="G28" s="65"/>
      <c r="H28" s="65"/>
      <c r="I28" s="65"/>
      <c r="J28" s="65"/>
      <c r="K28" s="65"/>
      <c r="L28" s="65"/>
      <c r="M28" s="287">
        <v>2015</v>
      </c>
      <c r="N28" s="611">
        <f>AT8</f>
        <v>384</v>
      </c>
      <c r="O28" s="612">
        <f>AT9</f>
        <v>6.1</v>
      </c>
      <c r="P28" s="613"/>
      <c r="Q28" s="727">
        <f>AT11</f>
        <v>266</v>
      </c>
      <c r="R28" s="728">
        <f>AT12</f>
        <v>4.3</v>
      </c>
      <c r="S28" s="729"/>
      <c r="T28" s="245"/>
      <c r="U28" s="730"/>
      <c r="V28" s="245"/>
      <c r="W28" s="245"/>
      <c r="X28" s="515"/>
      <c r="Y28" s="515"/>
      <c r="Z28" s="515"/>
      <c r="AA28" s="515"/>
      <c r="AB28" s="515"/>
      <c r="AC28" s="515"/>
      <c r="AD28" s="515"/>
      <c r="AE28" s="515"/>
      <c r="AF28" s="515"/>
      <c r="AG28" s="515"/>
      <c r="AH28" s="515"/>
      <c r="AI28" s="515"/>
      <c r="AJ28" s="515"/>
      <c r="AK28" s="515"/>
      <c r="AL28" s="515"/>
      <c r="AM28" s="515"/>
      <c r="AN28" s="515"/>
      <c r="AO28" s="515"/>
      <c r="AP28" s="515"/>
      <c r="AQ28" s="515"/>
      <c r="AR28" s="515"/>
      <c r="AS28" s="515"/>
      <c r="AT28" s="515"/>
      <c r="AU28" s="515"/>
      <c r="AV28" s="515"/>
      <c r="AW28" s="515"/>
      <c r="AX28" s="245"/>
      <c r="AY28" s="245"/>
      <c r="AZ28" s="245"/>
      <c r="BA28" s="245"/>
      <c r="BB28" s="289"/>
      <c r="BC28" s="289"/>
      <c r="BD28" s="289"/>
    </row>
    <row r="29" spans="1:56" s="279" customFormat="1" ht="13.5" customHeight="1">
      <c r="A29" s="182"/>
      <c r="B29" s="136"/>
      <c r="C29" s="136"/>
      <c r="D29" s="136"/>
      <c r="E29" s="136"/>
      <c r="F29" s="136"/>
      <c r="G29" s="136"/>
      <c r="H29" s="136"/>
      <c r="I29" s="136"/>
      <c r="J29" s="136"/>
      <c r="K29" s="136"/>
      <c r="L29" s="136"/>
      <c r="M29" s="733">
        <v>2016</v>
      </c>
      <c r="N29" s="611">
        <f>AU8</f>
        <v>413</v>
      </c>
      <c r="O29" s="612">
        <f>AU9</f>
        <v>6.8</v>
      </c>
      <c r="P29" s="65"/>
      <c r="Q29" s="727">
        <f>AU11</f>
        <v>241</v>
      </c>
      <c r="R29" s="728">
        <f>AU12</f>
        <v>4</v>
      </c>
      <c r="S29" s="726"/>
      <c r="T29" s="245"/>
      <c r="U29" s="245"/>
      <c r="V29" s="245"/>
      <c r="W29" s="245"/>
      <c r="X29" s="515"/>
      <c r="Y29" s="515"/>
      <c r="Z29" s="515"/>
      <c r="AA29" s="515"/>
      <c r="AB29" s="515"/>
      <c r="AC29" s="515"/>
      <c r="AD29" s="515"/>
      <c r="AE29" s="515"/>
      <c r="AF29" s="515"/>
      <c r="AG29" s="515"/>
      <c r="AH29" s="515"/>
      <c r="AI29" s="515"/>
      <c r="AJ29" s="515"/>
      <c r="AK29" s="515"/>
      <c r="AL29" s="515"/>
      <c r="AM29" s="515"/>
      <c r="AN29" s="515"/>
      <c r="AO29" s="515"/>
      <c r="AP29" s="515"/>
      <c r="AQ29" s="515"/>
      <c r="AR29" s="515"/>
      <c r="AS29" s="515"/>
      <c r="AT29" s="515"/>
      <c r="AU29" s="515"/>
      <c r="AV29" s="515"/>
      <c r="AW29" s="515"/>
      <c r="AX29" s="245"/>
      <c r="AY29" s="245"/>
      <c r="AZ29" s="245"/>
      <c r="BA29" s="245"/>
      <c r="BB29" s="289"/>
      <c r="BC29" s="289"/>
      <c r="BD29" s="289"/>
    </row>
    <row r="30" spans="1:56" s="279" customFormat="1" ht="6.75" customHeight="1">
      <c r="A30" s="136"/>
      <c r="B30" s="136"/>
      <c r="C30" s="136"/>
      <c r="D30" s="136"/>
      <c r="E30" s="136"/>
      <c r="F30" s="136"/>
      <c r="G30" s="136"/>
      <c r="H30" s="136"/>
      <c r="I30" s="136"/>
      <c r="J30" s="136"/>
      <c r="K30" s="136"/>
      <c r="L30" s="136"/>
      <c r="M30" s="136"/>
      <c r="N30" s="136"/>
      <c r="O30" s="136"/>
      <c r="P30" s="65"/>
      <c r="Q30" s="469"/>
      <c r="R30" s="469"/>
      <c r="S30" s="726"/>
      <c r="T30" s="245"/>
      <c r="U30" s="245"/>
      <c r="V30" s="245"/>
      <c r="W30" s="245"/>
      <c r="X30" s="515"/>
      <c r="Y30" s="515"/>
      <c r="Z30" s="515"/>
      <c r="AA30" s="515"/>
      <c r="AB30" s="515"/>
      <c r="AC30" s="515"/>
      <c r="AD30" s="515"/>
      <c r="AE30" s="515"/>
      <c r="AF30" s="515"/>
      <c r="AG30" s="515"/>
      <c r="AH30" s="515"/>
      <c r="AI30" s="515"/>
      <c r="AJ30" s="515"/>
      <c r="AK30" s="515"/>
      <c r="AL30" s="515"/>
      <c r="AM30" s="515"/>
      <c r="AN30" s="515"/>
      <c r="AO30" s="515"/>
      <c r="AP30" s="515"/>
      <c r="AQ30" s="515"/>
      <c r="AR30" s="515"/>
      <c r="AS30" s="515"/>
      <c r="AT30" s="515"/>
      <c r="AU30" s="515"/>
      <c r="AV30" s="515"/>
      <c r="AW30" s="515"/>
      <c r="AX30" s="245"/>
      <c r="AY30" s="245"/>
      <c r="AZ30" s="245"/>
      <c r="BA30" s="245"/>
      <c r="BB30" s="289"/>
      <c r="BC30" s="289"/>
      <c r="BD30" s="289"/>
    </row>
    <row r="31" spans="1:56" s="478" customFormat="1" ht="6.75" customHeight="1">
      <c r="A31" s="136"/>
      <c r="B31" s="136"/>
      <c r="C31" s="136"/>
      <c r="D31" s="136"/>
      <c r="E31" s="136"/>
      <c r="F31" s="136"/>
      <c r="G31" s="136"/>
      <c r="H31" s="136"/>
      <c r="I31" s="136"/>
      <c r="J31" s="136"/>
      <c r="K31" s="136"/>
      <c r="L31" s="136"/>
      <c r="M31" s="136"/>
      <c r="N31" s="136"/>
      <c r="O31" s="136"/>
      <c r="P31" s="65"/>
      <c r="Q31" s="469"/>
      <c r="R31" s="469"/>
      <c r="S31" s="726"/>
      <c r="T31" s="245"/>
      <c r="U31" s="245"/>
      <c r="V31" s="245"/>
      <c r="W31" s="245"/>
      <c r="X31" s="515"/>
      <c r="Y31" s="515"/>
      <c r="Z31" s="515"/>
      <c r="AA31" s="515"/>
      <c r="AB31" s="515"/>
      <c r="AC31" s="515"/>
      <c r="AD31" s="515"/>
      <c r="AE31" s="515"/>
      <c r="AF31" s="515"/>
      <c r="AG31" s="515"/>
      <c r="AH31" s="515"/>
      <c r="AI31" s="515"/>
      <c r="AJ31" s="515"/>
      <c r="AK31" s="515"/>
      <c r="AL31" s="515"/>
      <c r="AM31" s="515"/>
      <c r="AN31" s="515"/>
      <c r="AO31" s="515"/>
      <c r="AP31" s="515"/>
      <c r="AQ31" s="515"/>
      <c r="AR31" s="515"/>
      <c r="AS31" s="515"/>
      <c r="AT31" s="515"/>
      <c r="AU31" s="515"/>
      <c r="AV31" s="515"/>
      <c r="AW31" s="515"/>
      <c r="AX31" s="245"/>
      <c r="AY31" s="245"/>
      <c r="AZ31" s="245"/>
      <c r="BA31" s="245"/>
      <c r="BB31" s="289"/>
      <c r="BC31" s="289"/>
      <c r="BD31" s="289"/>
    </row>
    <row r="32" spans="1:56" s="698" customFormat="1" ht="13.5" customHeight="1">
      <c r="A32" s="194"/>
      <c r="B32" s="194"/>
      <c r="C32" s="194"/>
      <c r="D32" s="194"/>
      <c r="E32" s="194"/>
      <c r="F32" s="194"/>
      <c r="G32" s="194"/>
      <c r="H32" s="194"/>
      <c r="I32" s="194"/>
      <c r="J32" s="194"/>
      <c r="K32" s="194"/>
      <c r="L32" s="194"/>
      <c r="M32" s="194"/>
      <c r="N32" s="194"/>
      <c r="O32" s="194"/>
      <c r="P32" s="283"/>
      <c r="Q32" s="471"/>
      <c r="R32" s="471"/>
      <c r="S32" s="731"/>
      <c r="T32" s="245"/>
      <c r="U32" s="245"/>
      <c r="V32" s="245"/>
      <c r="W32" s="245"/>
      <c r="X32" s="515"/>
      <c r="Y32" s="515"/>
      <c r="Z32" s="515"/>
      <c r="AA32" s="515"/>
      <c r="AB32" s="515"/>
      <c r="AC32" s="515"/>
      <c r="AD32" s="515"/>
      <c r="AE32" s="515"/>
      <c r="AF32" s="515"/>
      <c r="AG32" s="515"/>
      <c r="AH32" s="515"/>
      <c r="AI32" s="515"/>
      <c r="AJ32" s="515"/>
      <c r="AK32" s="515"/>
      <c r="AL32" s="515"/>
      <c r="AM32" s="515"/>
      <c r="AN32" s="515"/>
      <c r="AO32" s="515"/>
      <c r="AP32" s="515"/>
      <c r="AQ32" s="515"/>
      <c r="AR32" s="515"/>
      <c r="AS32" s="515"/>
      <c r="AT32" s="515"/>
      <c r="AU32" s="515"/>
      <c r="AV32" s="515"/>
      <c r="AW32" s="515"/>
      <c r="AX32" s="245"/>
      <c r="AY32" s="245"/>
      <c r="AZ32" s="245"/>
      <c r="BA32" s="245"/>
      <c r="BB32" s="289"/>
      <c r="BC32" s="289"/>
      <c r="BD32" s="289"/>
    </row>
    <row r="33" spans="1:60" s="279" customFormat="1" ht="10.5" customHeight="1">
      <c r="Q33" s="245"/>
      <c r="R33" s="245"/>
      <c r="S33" s="245"/>
      <c r="T33" s="245"/>
      <c r="U33" s="245"/>
      <c r="V33" s="245"/>
      <c r="W33" s="245"/>
      <c r="X33" s="515"/>
      <c r="Y33" s="515"/>
      <c r="Z33" s="515"/>
      <c r="AA33" s="515"/>
      <c r="AB33" s="515"/>
      <c r="AC33" s="515"/>
      <c r="AD33" s="515"/>
      <c r="AE33" s="515"/>
      <c r="AF33" s="515"/>
      <c r="AG33" s="515"/>
      <c r="AH33" s="515"/>
      <c r="AI33" s="515"/>
      <c r="AJ33" s="515"/>
      <c r="AK33" s="515"/>
      <c r="AL33" s="515"/>
      <c r="AM33" s="515"/>
      <c r="AN33" s="515"/>
      <c r="AO33" s="515"/>
      <c r="AP33" s="515"/>
      <c r="AQ33" s="515"/>
      <c r="AR33" s="515"/>
      <c r="AS33" s="515"/>
      <c r="AT33" s="515"/>
      <c r="AU33" s="515"/>
      <c r="AV33" s="515"/>
      <c r="AW33" s="515"/>
      <c r="AX33" s="245"/>
      <c r="AY33" s="245"/>
      <c r="AZ33" s="245"/>
      <c r="BA33" s="245"/>
      <c r="BB33" s="289"/>
      <c r="BC33" s="289"/>
      <c r="BD33" s="289"/>
    </row>
    <row r="34" spans="1:60" s="478" customFormat="1" ht="10.5" customHeight="1">
      <c r="Q34" s="245"/>
      <c r="R34" s="245"/>
      <c r="S34" s="245"/>
      <c r="T34" s="245"/>
      <c r="U34" s="245"/>
      <c r="V34" s="245"/>
      <c r="W34" s="245"/>
      <c r="X34" s="515"/>
      <c r="Y34" s="515"/>
      <c r="Z34" s="515"/>
      <c r="AA34" s="515"/>
      <c r="AB34" s="515"/>
      <c r="AC34" s="515"/>
      <c r="AD34" s="515"/>
      <c r="AE34" s="515"/>
      <c r="AF34" s="515"/>
      <c r="AG34" s="515"/>
      <c r="AH34" s="515"/>
      <c r="AI34" s="515"/>
      <c r="AJ34" s="515"/>
      <c r="AK34" s="515"/>
      <c r="AL34" s="515"/>
      <c r="AM34" s="515"/>
      <c r="AN34" s="515"/>
      <c r="AO34" s="515"/>
      <c r="AP34" s="515"/>
      <c r="AQ34" s="515"/>
      <c r="AR34" s="515"/>
      <c r="AS34" s="515"/>
      <c r="AT34" s="515"/>
      <c r="AU34" s="515"/>
      <c r="AV34" s="515"/>
      <c r="AW34" s="515"/>
      <c r="AX34" s="245"/>
      <c r="AY34" s="245"/>
      <c r="AZ34" s="245"/>
      <c r="BA34" s="245"/>
      <c r="BB34" s="289"/>
      <c r="BC34" s="289"/>
      <c r="BD34" s="289"/>
    </row>
    <row r="35" spans="1:60" s="122" customFormat="1">
      <c r="A35" s="179"/>
      <c r="B35" s="180"/>
      <c r="C35" s="180"/>
      <c r="D35" s="180"/>
      <c r="E35" s="180"/>
      <c r="F35" s="180"/>
      <c r="G35" s="180"/>
      <c r="H35" s="180"/>
      <c r="I35" s="180"/>
      <c r="J35" s="180"/>
      <c r="K35" s="180"/>
      <c r="L35" s="180"/>
      <c r="M35" s="180"/>
      <c r="N35" s="180"/>
      <c r="O35" s="180"/>
      <c r="P35" s="181"/>
      <c r="Q35" s="245"/>
      <c r="R35" s="243"/>
      <c r="S35" s="243"/>
      <c r="T35" s="243"/>
      <c r="U35" s="243"/>
      <c r="V35" s="243"/>
      <c r="W35" s="243"/>
      <c r="X35" s="515"/>
      <c r="Y35" s="515"/>
      <c r="Z35" s="515"/>
      <c r="AA35" s="868" t="s">
        <v>306</v>
      </c>
      <c r="AB35" s="860">
        <v>95</v>
      </c>
      <c r="AC35" s="860"/>
      <c r="AD35" s="860"/>
      <c r="AE35" s="860"/>
      <c r="AF35" s="860"/>
      <c r="AG35" s="860"/>
      <c r="AH35" s="860"/>
      <c r="AI35" s="860"/>
      <c r="AJ35" s="860"/>
      <c r="AK35" s="860"/>
      <c r="AL35" s="515"/>
      <c r="AM35" s="515"/>
      <c r="AN35" s="515"/>
      <c r="AO35" s="515"/>
      <c r="AP35" s="515"/>
      <c r="AQ35" s="515"/>
      <c r="AR35" s="515"/>
      <c r="AS35" s="515"/>
      <c r="AT35" s="515"/>
      <c r="AU35" s="515"/>
      <c r="AV35" s="515"/>
      <c r="AW35" s="515"/>
      <c r="AX35" s="245"/>
      <c r="AY35" s="245"/>
      <c r="AZ35" s="245"/>
      <c r="BA35" s="245"/>
      <c r="BB35" s="289"/>
      <c r="BC35" s="289"/>
      <c r="BD35" s="289"/>
    </row>
    <row r="36" spans="1:60">
      <c r="A36" s="182"/>
      <c r="B36" s="964" t="str">
        <f>Contents!E27</f>
        <v xml:space="preserve">Figure 2: Fetal and infant death rates by ethnic group, 2011−2015 and 2016
</v>
      </c>
      <c r="C36" s="964"/>
      <c r="D36" s="964"/>
      <c r="E36" s="964"/>
      <c r="F36" s="964"/>
      <c r="G36" s="964"/>
      <c r="H36" s="964"/>
      <c r="I36" s="964"/>
      <c r="J36" s="964"/>
      <c r="K36" s="964"/>
      <c r="L36" s="964"/>
      <c r="M36" s="964"/>
      <c r="N36" s="964"/>
      <c r="O36" s="964"/>
      <c r="P36" s="183"/>
      <c r="R36" s="243"/>
      <c r="S36" s="615"/>
      <c r="T36" s="615"/>
      <c r="U36" s="615"/>
      <c r="V36" s="615"/>
      <c r="W36" s="615"/>
      <c r="X36" s="869"/>
      <c r="AC36" s="860" t="s">
        <v>47</v>
      </c>
      <c r="AD36" s="860" t="s">
        <v>48</v>
      </c>
    </row>
    <row r="37" spans="1:60">
      <c r="A37" s="182"/>
      <c r="B37" s="136"/>
      <c r="C37" s="136"/>
      <c r="D37" s="136"/>
      <c r="E37" s="136"/>
      <c r="F37" s="136"/>
      <c r="G37" s="136"/>
      <c r="H37" s="136"/>
      <c r="I37" s="136"/>
      <c r="J37" s="136"/>
      <c r="K37" s="136"/>
      <c r="L37" s="967" t="s">
        <v>323</v>
      </c>
      <c r="M37" s="965" t="s">
        <v>73</v>
      </c>
      <c r="N37" s="962" t="s">
        <v>612</v>
      </c>
      <c r="O37" s="962">
        <v>2016</v>
      </c>
      <c r="P37" s="183"/>
      <c r="R37" s="243"/>
      <c r="S37" s="243"/>
      <c r="T37" s="243"/>
      <c r="U37" s="243"/>
      <c r="V37" s="243"/>
      <c r="W37" s="243"/>
      <c r="AU37" s="870"/>
      <c r="AV37" s="870"/>
      <c r="AW37" s="870"/>
      <c r="AX37" s="244"/>
      <c r="AY37" s="244"/>
      <c r="AZ37" s="244"/>
      <c r="BA37" s="244"/>
      <c r="BB37" s="648"/>
      <c r="BC37" s="648"/>
      <c r="BD37" s="648"/>
      <c r="BE37" s="244"/>
      <c r="BF37" s="244"/>
      <c r="BG37" s="244"/>
      <c r="BH37" s="244"/>
    </row>
    <row r="38" spans="1:60">
      <c r="A38" s="182"/>
      <c r="B38" s="136"/>
      <c r="C38" s="136"/>
      <c r="D38" s="136"/>
      <c r="E38" s="136"/>
      <c r="F38" s="136"/>
      <c r="G38" s="136"/>
      <c r="H38" s="136"/>
      <c r="I38" s="136"/>
      <c r="J38" s="136"/>
      <c r="K38" s="136"/>
      <c r="L38" s="968"/>
      <c r="M38" s="969"/>
      <c r="N38" s="963"/>
      <c r="O38" s="963"/>
      <c r="P38" s="183"/>
      <c r="AA38" s="868" t="s">
        <v>302</v>
      </c>
      <c r="AB38" s="860" t="s">
        <v>323</v>
      </c>
      <c r="AC38" s="860" t="s">
        <v>123</v>
      </c>
      <c r="AD38" s="860" t="s">
        <v>449</v>
      </c>
      <c r="AE38" s="860" t="s">
        <v>299</v>
      </c>
      <c r="AF38" s="860" t="s">
        <v>324</v>
      </c>
      <c r="AG38" s="860" t="s">
        <v>300</v>
      </c>
      <c r="AH38" s="860" t="s">
        <v>301</v>
      </c>
      <c r="AI38" s="860" t="s">
        <v>45</v>
      </c>
      <c r="AJ38" s="860" t="s">
        <v>290</v>
      </c>
      <c r="AK38" s="860" t="s">
        <v>289</v>
      </c>
      <c r="AT38" s="870"/>
      <c r="AU38" s="870"/>
      <c r="AV38" s="870"/>
      <c r="AW38" s="870"/>
      <c r="AX38" s="244"/>
      <c r="AY38" s="244"/>
      <c r="AZ38" s="244"/>
      <c r="BA38" s="244"/>
      <c r="BB38" s="648"/>
      <c r="BC38" s="648"/>
      <c r="BD38" s="648"/>
      <c r="BE38" s="244"/>
      <c r="BF38" s="244"/>
      <c r="BG38" s="244"/>
      <c r="BH38" s="244"/>
    </row>
    <row r="39" spans="1:60">
      <c r="A39" s="182"/>
      <c r="B39" s="136"/>
      <c r="C39" s="136"/>
      <c r="D39" s="136"/>
      <c r="E39" s="136"/>
      <c r="F39" s="136"/>
      <c r="G39" s="136"/>
      <c r="H39" s="136"/>
      <c r="I39" s="136"/>
      <c r="J39" s="136"/>
      <c r="K39" s="136"/>
      <c r="L39" s="246" t="s">
        <v>47</v>
      </c>
      <c r="M39" s="356" t="s">
        <v>74</v>
      </c>
      <c r="N39" s="144">
        <f>AI39</f>
        <v>6.8301663787617057</v>
      </c>
      <c r="O39" s="144">
        <f t="shared" ref="O39:O46" si="8">AI47</f>
        <v>6.9910033808950773</v>
      </c>
      <c r="P39" s="183"/>
      <c r="Q39" s="735"/>
      <c r="R39" s="732"/>
      <c r="T39" s="616"/>
      <c r="U39" s="472"/>
      <c r="V39" s="472"/>
      <c r="W39" s="472"/>
      <c r="X39" s="871"/>
      <c r="AA39" s="860" t="str">
        <f>Ref!$B$30</f>
        <v>2011-2015</v>
      </c>
      <c r="AB39" s="860" t="s">
        <v>303</v>
      </c>
      <c r="AC39" s="860" t="s">
        <v>74</v>
      </c>
      <c r="AD39" s="860" t="s">
        <v>129</v>
      </c>
      <c r="AE39" s="860">
        <f>VLOOKUP(AD39&amp;$AD$38&amp;$AC$36, vw.deaths.trend, 4, FALSE)</f>
        <v>601</v>
      </c>
      <c r="AF39" s="860">
        <f>VLOOKUP(AD39&amp;$AD$38&amp;$AC$36, vw.deaths.trend, 5, FALSE)</f>
        <v>87992</v>
      </c>
      <c r="AG39" s="861">
        <f t="shared" ref="AG39:AG44" si="9">IF(AE39=0,0,IF(AE39&lt;389,CHIINV(0.5+$AB$35/200,2*AE39)/2,AE39*(1-1/(9*AE39)-NORMSINV(0.5+$AB$35/200)/3/SQRT(AE39))^3))/AF39*1000</f>
        <v>6.2949388586532358</v>
      </c>
      <c r="AH39" s="861">
        <f t="shared" ref="AH39:AH44" si="10">IF(AE39&lt;389,CHIINV(0.5-$AB$35/200,2*AE39+2)/2,(AE39+1)*(1-1/(9*(AE39+1))+NORMSINV(0.5+$AB$35/200)/3/SQRT(AE39+1))^3)/AF39*1000</f>
        <v>7.3987369180266604</v>
      </c>
      <c r="AI39" s="862">
        <f>AE39/AF39*1000</f>
        <v>6.8301663787617057</v>
      </c>
      <c r="AJ39" s="862">
        <f>AH39-AI39</f>
        <v>0.56857053926495471</v>
      </c>
      <c r="AK39" s="862">
        <f>AI39-AG39</f>
        <v>0.53522752010846997</v>
      </c>
    </row>
    <row r="40" spans="1:60">
      <c r="A40" s="182"/>
      <c r="B40" s="136"/>
      <c r="C40" s="136"/>
      <c r="D40" s="136"/>
      <c r="E40" s="136"/>
      <c r="F40" s="136"/>
      <c r="G40" s="136"/>
      <c r="H40" s="136"/>
      <c r="I40" s="136"/>
      <c r="J40" s="136"/>
      <c r="K40" s="136"/>
      <c r="L40" s="142"/>
      <c r="M40" s="143" t="s">
        <v>320</v>
      </c>
      <c r="N40" s="144">
        <f t="shared" ref="N40:N45" si="11">AI40</f>
        <v>7.1077255278310947</v>
      </c>
      <c r="O40" s="144">
        <f t="shared" si="8"/>
        <v>7.4738415545590433</v>
      </c>
      <c r="P40" s="183"/>
      <c r="Q40" s="735"/>
      <c r="R40" s="732"/>
      <c r="T40" s="616"/>
      <c r="U40" s="472"/>
      <c r="V40" s="472"/>
      <c r="W40" s="472"/>
      <c r="X40" s="871"/>
      <c r="AA40" s="860" t="str">
        <f>Ref!$B$30</f>
        <v>2011-2015</v>
      </c>
      <c r="AC40" s="860" t="s">
        <v>320</v>
      </c>
      <c r="AD40" s="860" t="s">
        <v>320</v>
      </c>
      <c r="AE40" s="860">
        <f>VLOOKUP(AD40&amp;$AD$38&amp;$AC$36, vw.deaths.trend, 4, FALSE)</f>
        <v>237</v>
      </c>
      <c r="AF40" s="860">
        <f>VLOOKUP(AD40&amp;$AD$38&amp;$AC$36, vw.deaths.trend, 5, FALSE)</f>
        <v>33344</v>
      </c>
      <c r="AG40" s="861">
        <f t="shared" si="9"/>
        <v>6.2315488189430139</v>
      </c>
      <c r="AH40" s="861">
        <f t="shared" si="10"/>
        <v>8.0725941944381603</v>
      </c>
      <c r="AI40" s="862">
        <f t="shared" ref="AI40:AI54" si="12">AE40/AF40*1000</f>
        <v>7.1077255278310947</v>
      </c>
      <c r="AJ40" s="862">
        <f t="shared" ref="AJ40:AJ54" si="13">AH40-AI40</f>
        <v>0.96486866660706561</v>
      </c>
      <c r="AK40" s="862">
        <f t="shared" ref="AK40:AK54" si="14">AI40-AG40</f>
        <v>0.87617670888808075</v>
      </c>
    </row>
    <row r="41" spans="1:60">
      <c r="A41" s="182"/>
      <c r="B41" s="136"/>
      <c r="C41" s="136"/>
      <c r="D41" s="136"/>
      <c r="E41" s="136"/>
      <c r="F41" s="136"/>
      <c r="G41" s="136"/>
      <c r="H41" s="136"/>
      <c r="I41" s="136"/>
      <c r="J41" s="136"/>
      <c r="K41" s="136"/>
      <c r="L41" s="142"/>
      <c r="M41" s="314" t="s">
        <v>355</v>
      </c>
      <c r="N41" s="144">
        <f t="shared" si="11"/>
        <v>7.1198280494357871</v>
      </c>
      <c r="O41" s="144">
        <f t="shared" si="8"/>
        <v>6.6514806378132114</v>
      </c>
      <c r="P41" s="183"/>
      <c r="Q41" s="735"/>
      <c r="R41" s="732"/>
      <c r="T41" s="616"/>
      <c r="U41" s="472"/>
      <c r="V41" s="472"/>
      <c r="W41" s="472"/>
      <c r="X41" s="871"/>
      <c r="AA41" s="860" t="str">
        <f>Ref!$B$30</f>
        <v>2011-2015</v>
      </c>
      <c r="AC41" s="860" t="s">
        <v>355</v>
      </c>
      <c r="AD41" s="860" t="s">
        <v>355</v>
      </c>
      <c r="AE41" s="860">
        <f>VLOOKUP(AD41&amp;$AD$38&amp;$AC$36, vw.deaths.trend, 4, FALSE)</f>
        <v>318</v>
      </c>
      <c r="AF41" s="860">
        <f>VLOOKUP(AD41&amp;$AD$38&amp;$AC$36, vw.deaths.trend, 5, FALSE)</f>
        <v>44664</v>
      </c>
      <c r="AG41" s="861">
        <f t="shared" si="9"/>
        <v>6.3587097223078137</v>
      </c>
      <c r="AH41" s="861">
        <f t="shared" si="10"/>
        <v>7.9469683270213984</v>
      </c>
      <c r="AI41" s="862">
        <f t="shared" si="12"/>
        <v>7.1198280494357871</v>
      </c>
      <c r="AJ41" s="862">
        <f t="shared" si="13"/>
        <v>0.82714027758561137</v>
      </c>
      <c r="AK41" s="862">
        <f t="shared" si="14"/>
        <v>0.76111832712797334</v>
      </c>
    </row>
    <row r="42" spans="1:60">
      <c r="A42" s="182"/>
      <c r="B42" s="136"/>
      <c r="C42" s="136"/>
      <c r="D42" s="136"/>
      <c r="E42" s="136"/>
      <c r="F42" s="136"/>
      <c r="G42" s="136"/>
      <c r="H42" s="136"/>
      <c r="I42" s="136"/>
      <c r="J42" s="136"/>
      <c r="K42" s="136"/>
      <c r="L42" s="315"/>
      <c r="M42" s="313" t="s">
        <v>356</v>
      </c>
      <c r="N42" s="185">
        <f t="shared" si="11"/>
        <v>6.8855027057818283</v>
      </c>
      <c r="O42" s="185">
        <f t="shared" si="8"/>
        <v>6.5525338989470496</v>
      </c>
      <c r="P42" s="183"/>
      <c r="Q42" s="735"/>
      <c r="R42" s="732"/>
      <c r="T42" s="616"/>
      <c r="U42" s="472"/>
      <c r="V42" s="472"/>
      <c r="W42" s="472"/>
      <c r="X42" s="871"/>
      <c r="AA42" s="860" t="str">
        <f>Ref!$B$30</f>
        <v>2011-2015</v>
      </c>
      <c r="AC42" s="860" t="s">
        <v>356</v>
      </c>
      <c r="AD42" s="860" t="s">
        <v>356</v>
      </c>
      <c r="AE42" s="860">
        <f>VLOOKUP(AD42&amp;$AD$38&amp;$AC$36, vw.deaths.trend, 4, FALSE)</f>
        <v>967</v>
      </c>
      <c r="AF42" s="860">
        <f>VLOOKUP(AD42&amp;$AD$38&amp;$AC$36, vw.deaths.trend, 5, FALSE)</f>
        <v>140440</v>
      </c>
      <c r="AG42" s="861">
        <f t="shared" si="9"/>
        <v>6.4583011950669915</v>
      </c>
      <c r="AH42" s="861">
        <f t="shared" si="10"/>
        <v>7.3335358661976473</v>
      </c>
      <c r="AI42" s="862">
        <f t="shared" si="12"/>
        <v>6.8855027057818283</v>
      </c>
      <c r="AJ42" s="862">
        <f t="shared" si="13"/>
        <v>0.44803316041581898</v>
      </c>
      <c r="AK42" s="862">
        <f t="shared" si="14"/>
        <v>0.42720151071483681</v>
      </c>
    </row>
    <row r="43" spans="1:60">
      <c r="A43" s="182"/>
      <c r="B43" s="136"/>
      <c r="C43" s="136"/>
      <c r="D43" s="136"/>
      <c r="E43" s="136"/>
      <c r="F43" s="136"/>
      <c r="G43" s="136"/>
      <c r="H43" s="136"/>
      <c r="I43" s="136"/>
      <c r="J43" s="136"/>
      <c r="K43" s="136"/>
      <c r="L43" s="246" t="s">
        <v>48</v>
      </c>
      <c r="M43" s="143" t="s">
        <v>74</v>
      </c>
      <c r="N43" s="144">
        <f t="shared" si="11"/>
        <v>6.1562403451156298</v>
      </c>
      <c r="O43" s="144">
        <f t="shared" si="8"/>
        <v>5.943793640717872</v>
      </c>
      <c r="P43" s="183"/>
      <c r="Q43" s="735"/>
      <c r="R43" s="732"/>
      <c r="T43" s="472"/>
      <c r="U43" s="472"/>
      <c r="V43" s="472"/>
      <c r="W43" s="472"/>
      <c r="X43" s="871"/>
      <c r="AA43" s="860" t="str">
        <f>Ref!$B$30</f>
        <v>2011-2015</v>
      </c>
      <c r="AB43" s="860" t="s">
        <v>304</v>
      </c>
      <c r="AC43" s="860" t="s">
        <v>74</v>
      </c>
      <c r="AD43" s="860" t="s">
        <v>129</v>
      </c>
      <c r="AE43" s="860">
        <f>VLOOKUP(AD43&amp;$AD$38&amp;$AD$36, vw.deaths.trend, 4, FALSE)</f>
        <v>538</v>
      </c>
      <c r="AF43" s="860">
        <f>VLOOKUP(AD43&amp;$AD$38&amp;$AD$36, vw.deaths.trend, 5, FALSE)</f>
        <v>87391</v>
      </c>
      <c r="AG43" s="861">
        <f t="shared" si="9"/>
        <v>5.6469508903264032</v>
      </c>
      <c r="AH43" s="861">
        <f t="shared" si="10"/>
        <v>6.6991276724924127</v>
      </c>
      <c r="AI43" s="862">
        <f t="shared" si="12"/>
        <v>6.1562403451156298</v>
      </c>
      <c r="AJ43" s="862">
        <f t="shared" si="13"/>
        <v>0.54288732737678291</v>
      </c>
      <c r="AK43" s="862">
        <f t="shared" si="14"/>
        <v>0.5092894547892266</v>
      </c>
    </row>
    <row r="44" spans="1:60">
      <c r="A44" s="182"/>
      <c r="B44" s="136"/>
      <c r="C44" s="136"/>
      <c r="D44" s="136"/>
      <c r="E44" s="136"/>
      <c r="F44" s="136"/>
      <c r="G44" s="136"/>
      <c r="H44" s="136"/>
      <c r="I44" s="136"/>
      <c r="J44" s="136"/>
      <c r="K44" s="136"/>
      <c r="L44" s="142"/>
      <c r="M44" s="143" t="s">
        <v>320</v>
      </c>
      <c r="N44" s="144">
        <f t="shared" si="11"/>
        <v>7.0075814782372312</v>
      </c>
      <c r="O44" s="144">
        <f t="shared" si="8"/>
        <v>6.1914323962516731</v>
      </c>
      <c r="P44" s="183"/>
      <c r="Q44" s="735"/>
      <c r="R44" s="732"/>
      <c r="T44" s="472"/>
      <c r="U44" s="472"/>
      <c r="V44" s="472"/>
      <c r="W44" s="472"/>
      <c r="X44" s="871"/>
      <c r="AA44" s="860" t="str">
        <f>Ref!$B$30</f>
        <v>2011-2015</v>
      </c>
      <c r="AC44" s="860" t="s">
        <v>320</v>
      </c>
      <c r="AD44" s="860" t="s">
        <v>320</v>
      </c>
      <c r="AE44" s="860">
        <f>VLOOKUP(AD44&amp;$AD$38&amp;$AD$36, vw.deaths.trend, 4, FALSE)</f>
        <v>232</v>
      </c>
      <c r="AF44" s="860">
        <f>VLOOKUP(AD44&amp;$AD$38&amp;$AD$36, vw.deaths.trend, 5, FALSE)</f>
        <v>33107</v>
      </c>
      <c r="AG44" s="861">
        <f t="shared" si="9"/>
        <v>6.1348010098978802</v>
      </c>
      <c r="AH44" s="861">
        <f t="shared" si="10"/>
        <v>7.969709007637122</v>
      </c>
      <c r="AI44" s="862">
        <f t="shared" si="12"/>
        <v>7.0075814782372312</v>
      </c>
      <c r="AJ44" s="862">
        <f t="shared" si="13"/>
        <v>0.96212752939989077</v>
      </c>
      <c r="AK44" s="862">
        <f t="shared" si="14"/>
        <v>0.87278046833935097</v>
      </c>
    </row>
    <row r="45" spans="1:60">
      <c r="A45" s="182"/>
      <c r="B45" s="136"/>
      <c r="C45" s="136"/>
      <c r="D45" s="136"/>
      <c r="E45" s="136"/>
      <c r="F45" s="136"/>
      <c r="G45" s="136"/>
      <c r="H45" s="136"/>
      <c r="I45" s="136"/>
      <c r="J45" s="136"/>
      <c r="K45" s="136"/>
      <c r="M45" s="314" t="s">
        <v>355</v>
      </c>
      <c r="N45" s="144">
        <f t="shared" si="11"/>
        <v>3.9687908717809952</v>
      </c>
      <c r="O45" s="144">
        <f t="shared" si="8"/>
        <v>2.4766097963676388</v>
      </c>
      <c r="P45" s="183"/>
      <c r="Q45" s="735"/>
      <c r="R45" s="732"/>
      <c r="T45" s="472"/>
      <c r="U45" s="543"/>
      <c r="V45" s="543"/>
      <c r="AA45" s="860" t="str">
        <f>Ref!$B$30</f>
        <v>2011-2015</v>
      </c>
      <c r="AC45" s="860" t="s">
        <v>355</v>
      </c>
      <c r="AD45" s="860" t="s">
        <v>355</v>
      </c>
      <c r="AE45" s="860">
        <f>VLOOKUP(AD45&amp;$AD$38&amp;$AD$36, vw.deaths.trend, 4, FALSE)</f>
        <v>176</v>
      </c>
      <c r="AF45" s="860">
        <f>VLOOKUP(AD45&amp;$AD$38&amp;$AD$36, vw.deaths.trend, 5, FALSE)</f>
        <v>44346</v>
      </c>
      <c r="AG45" s="861">
        <f t="shared" ref="AG45:AG54" si="15">IF(AE45=0,0,IF(AE45&lt;389,CHIINV(0.5+$AB$35/200,2*AE45)/2,AE45*(1-1/(9*AE45)-NORMSINV(0.5+$AB$35/200)/3/SQRT(AE45))^3))/AF45*1000</f>
        <v>3.4040917329890896</v>
      </c>
      <c r="AH45" s="861">
        <f t="shared" ref="AH45:AH54" si="16">IF(AE45&lt;389,CHIINV(0.5-$AB$35/200,2*AE45+2)/2,(AE45+1)*(1-1/(9*(AE45+1))+NORMSINV(0.5+$AB$35/200)/3/SQRT(AE45+1))^3)/AF45*1000</f>
        <v>4.6004032265330039</v>
      </c>
      <c r="AI45" s="862">
        <f t="shared" si="12"/>
        <v>3.9687908717809952</v>
      </c>
      <c r="AJ45" s="862">
        <f t="shared" si="13"/>
        <v>0.63161235475200872</v>
      </c>
      <c r="AK45" s="862">
        <f t="shared" si="14"/>
        <v>0.56469913879190559</v>
      </c>
    </row>
    <row r="46" spans="1:60">
      <c r="A46" s="182"/>
      <c r="B46" s="136"/>
      <c r="C46" s="136"/>
      <c r="D46" s="136"/>
      <c r="E46" s="136"/>
      <c r="F46" s="136"/>
      <c r="G46" s="136"/>
      <c r="H46" s="136"/>
      <c r="I46" s="136"/>
      <c r="J46" s="136"/>
      <c r="K46" s="136"/>
      <c r="L46" s="198"/>
      <c r="M46" s="313" t="s">
        <v>356</v>
      </c>
      <c r="N46" s="185">
        <f>AI46</f>
        <v>4.0509632688764139</v>
      </c>
      <c r="O46" s="185">
        <f t="shared" si="8"/>
        <v>2.8213046627778415</v>
      </c>
      <c r="P46" s="183"/>
      <c r="Q46" s="735"/>
      <c r="R46" s="732"/>
      <c r="S46" s="472"/>
      <c r="T46" s="472"/>
      <c r="AA46" s="860" t="str">
        <f>Ref!$B$30</f>
        <v>2011-2015</v>
      </c>
      <c r="AC46" s="860" t="s">
        <v>356</v>
      </c>
      <c r="AD46" s="860" t="s">
        <v>356</v>
      </c>
      <c r="AE46" s="860">
        <f>VLOOKUP(AD46&amp;$AD$38&amp;$AD$36, vw.deaths.trend, 4, FALSE)</f>
        <v>565</v>
      </c>
      <c r="AF46" s="860">
        <f>VLOOKUP(AD46&amp;$AD$38&amp;$AD$36, vw.deaths.trend, 5, FALSE)</f>
        <v>139473</v>
      </c>
      <c r="AG46" s="861">
        <f t="shared" si="15"/>
        <v>3.7237726645797538</v>
      </c>
      <c r="AH46" s="861">
        <f t="shared" si="16"/>
        <v>4.3991984439487739</v>
      </c>
      <c r="AI46" s="862">
        <f t="shared" si="12"/>
        <v>4.0509632688764139</v>
      </c>
      <c r="AJ46" s="862">
        <f t="shared" si="13"/>
        <v>0.34823517507236001</v>
      </c>
      <c r="AK46" s="862">
        <f t="shared" si="14"/>
        <v>0.32719060429666014</v>
      </c>
    </row>
    <row r="47" spans="1:60">
      <c r="A47" s="182"/>
      <c r="B47" s="136"/>
      <c r="C47" s="136"/>
      <c r="D47" s="136"/>
      <c r="E47" s="136"/>
      <c r="F47" s="136"/>
      <c r="G47" s="136"/>
      <c r="H47" s="136"/>
      <c r="I47" s="136"/>
      <c r="J47" s="136"/>
      <c r="K47" s="136"/>
      <c r="L47" s="136"/>
      <c r="M47" s="136"/>
      <c r="N47" s="136"/>
      <c r="O47" s="136"/>
      <c r="P47" s="183"/>
      <c r="S47" s="472"/>
      <c r="AA47" s="863">
        <f>Ref!$B$27</f>
        <v>2016</v>
      </c>
      <c r="AB47" s="860" t="s">
        <v>303</v>
      </c>
      <c r="AC47" s="860" t="s">
        <v>74</v>
      </c>
      <c r="AD47" s="860" t="s">
        <v>129</v>
      </c>
      <c r="AE47" s="860">
        <f>VLOOKUP($AA$47&amp;$AD$38&amp;AD47&amp;$AC$36,vw.deaths,5,FALSE)</f>
        <v>122</v>
      </c>
      <c r="AF47" s="860">
        <f>VLOOKUP($AA$47&amp;$AD$38&amp;AD47&amp;$AC$36,vw.deaths,6,FALSE)</f>
        <v>17451</v>
      </c>
      <c r="AG47" s="861">
        <f>IF(AE47=0,0,IF(AE47&lt;389,CHIINV(0.5+$AB$35/200,2*AE47)/2,AE47*(1-1/(9*AE47)-NORMSINV(0.5+$AB$35/200)/3/SQRT(AE47))^3))/AF47*1000</f>
        <v>5.8056057739662998</v>
      </c>
      <c r="AH47" s="861">
        <f t="shared" si="16"/>
        <v>8.3472677698508413</v>
      </c>
      <c r="AI47" s="862">
        <f t="shared" si="12"/>
        <v>6.9910033808950773</v>
      </c>
      <c r="AJ47" s="862">
        <f t="shared" si="13"/>
        <v>1.356264388955764</v>
      </c>
      <c r="AK47" s="862">
        <f t="shared" si="14"/>
        <v>1.1853976069287775</v>
      </c>
    </row>
    <row r="48" spans="1:60">
      <c r="A48" s="182"/>
      <c r="B48" s="136"/>
      <c r="C48" s="136"/>
      <c r="D48" s="136"/>
      <c r="E48" s="136"/>
      <c r="F48" s="136"/>
      <c r="G48" s="136"/>
      <c r="H48" s="136"/>
      <c r="I48" s="136"/>
      <c r="J48" s="136"/>
      <c r="K48" s="136"/>
      <c r="L48" s="136"/>
      <c r="M48" s="136"/>
      <c r="N48" s="136"/>
      <c r="O48" s="136"/>
      <c r="P48" s="183"/>
      <c r="R48" s="472"/>
      <c r="S48" s="472"/>
      <c r="AA48" s="863">
        <f>Ref!$B$27</f>
        <v>2016</v>
      </c>
      <c r="AC48" s="860" t="s">
        <v>320</v>
      </c>
      <c r="AD48" s="860" t="s">
        <v>320</v>
      </c>
      <c r="AE48" s="860">
        <f t="shared" ref="AE48:AE50" si="17">VLOOKUP($AA$47&amp;$AD$38&amp;AD48&amp;$AC$36,vw.deaths,5,FALSE)</f>
        <v>45</v>
      </c>
      <c r="AF48" s="860">
        <f>VLOOKUP($AA$47&amp;$AD$38&amp;AD48&amp;$AC$36,vw.deaths,6,FALSE)</f>
        <v>6021</v>
      </c>
      <c r="AG48" s="861">
        <f t="shared" si="15"/>
        <v>5.4514713151028822</v>
      </c>
      <c r="AH48" s="861">
        <f t="shared" si="16"/>
        <v>10.000588024739878</v>
      </c>
      <c r="AI48" s="862">
        <f t="shared" si="12"/>
        <v>7.4738415545590433</v>
      </c>
      <c r="AJ48" s="862">
        <f t="shared" si="13"/>
        <v>2.5267464701808349</v>
      </c>
      <c r="AK48" s="862">
        <f t="shared" si="14"/>
        <v>2.0223702394561611</v>
      </c>
    </row>
    <row r="49" spans="1:60">
      <c r="A49" s="182"/>
      <c r="B49" s="136"/>
      <c r="C49" s="136"/>
      <c r="D49" s="136"/>
      <c r="E49" s="136"/>
      <c r="F49" s="136"/>
      <c r="G49" s="136"/>
      <c r="H49" s="136"/>
      <c r="I49" s="136"/>
      <c r="J49" s="136"/>
      <c r="K49" s="136"/>
      <c r="L49" s="136"/>
      <c r="M49" s="136"/>
      <c r="N49" s="136"/>
      <c r="O49" s="136"/>
      <c r="P49" s="183"/>
      <c r="S49" s="472"/>
      <c r="AA49" s="863">
        <f>Ref!$B$27</f>
        <v>2016</v>
      </c>
      <c r="AC49" s="860" t="s">
        <v>355</v>
      </c>
      <c r="AD49" s="860" t="s">
        <v>355</v>
      </c>
      <c r="AE49" s="860">
        <f t="shared" si="17"/>
        <v>73</v>
      </c>
      <c r="AF49" s="860">
        <f>VLOOKUP($AA$47&amp;$AD$38&amp;AD49&amp;$AC$36,vw.deaths,6,FALSE)</f>
        <v>10975</v>
      </c>
      <c r="AG49" s="861">
        <f t="shared" si="15"/>
        <v>5.2136990362186015</v>
      </c>
      <c r="AH49" s="861">
        <f t="shared" si="16"/>
        <v>8.3632382854652896</v>
      </c>
      <c r="AI49" s="862">
        <f t="shared" si="12"/>
        <v>6.6514806378132114</v>
      </c>
      <c r="AJ49" s="862">
        <f t="shared" si="13"/>
        <v>1.7117576476520782</v>
      </c>
      <c r="AK49" s="862">
        <f t="shared" si="14"/>
        <v>1.4377816015946099</v>
      </c>
    </row>
    <row r="50" spans="1:60">
      <c r="A50" s="182"/>
      <c r="B50" s="136"/>
      <c r="C50" s="136"/>
      <c r="D50" s="136"/>
      <c r="E50" s="136"/>
      <c r="F50" s="136"/>
      <c r="G50" s="136"/>
      <c r="H50" s="136"/>
      <c r="I50" s="136"/>
      <c r="J50" s="136"/>
      <c r="K50" s="136"/>
      <c r="L50" s="136"/>
      <c r="M50" s="136"/>
      <c r="N50" s="136"/>
      <c r="O50" s="136"/>
      <c r="P50" s="183"/>
      <c r="R50" s="472"/>
      <c r="S50" s="472"/>
      <c r="AA50" s="863">
        <f>Ref!$B$27</f>
        <v>2016</v>
      </c>
      <c r="AC50" s="860" t="s">
        <v>356</v>
      </c>
      <c r="AD50" s="860" t="s">
        <v>356</v>
      </c>
      <c r="AE50" s="860">
        <f t="shared" si="17"/>
        <v>173</v>
      </c>
      <c r="AF50" s="860">
        <f>VLOOKUP($AA$47&amp;$AD$38&amp;AD50&amp;$AC$36,vw.deaths,6,FALSE)</f>
        <v>26402</v>
      </c>
      <c r="AG50" s="861">
        <f t="shared" si="15"/>
        <v>5.612473146745403</v>
      </c>
      <c r="AH50" s="861">
        <f t="shared" si="16"/>
        <v>7.6050087117391687</v>
      </c>
      <c r="AI50" s="862">
        <f t="shared" si="12"/>
        <v>6.5525338989470496</v>
      </c>
      <c r="AJ50" s="862">
        <f t="shared" si="13"/>
        <v>1.0524748127921191</v>
      </c>
      <c r="AK50" s="862">
        <f t="shared" si="14"/>
        <v>0.94006075220164664</v>
      </c>
    </row>
    <row r="51" spans="1:60">
      <c r="A51" s="182"/>
      <c r="B51" s="136"/>
      <c r="C51" s="136"/>
      <c r="D51" s="136"/>
      <c r="E51" s="136"/>
      <c r="F51" s="136"/>
      <c r="G51" s="136"/>
      <c r="H51" s="136"/>
      <c r="I51" s="136"/>
      <c r="J51" s="136"/>
      <c r="K51" s="136"/>
      <c r="L51" s="136"/>
      <c r="M51" s="136"/>
      <c r="N51" s="136"/>
      <c r="O51" s="136"/>
      <c r="P51" s="183"/>
      <c r="S51" s="472"/>
      <c r="AA51" s="863">
        <f>Ref!$B$27</f>
        <v>2016</v>
      </c>
      <c r="AB51" s="860" t="s">
        <v>304</v>
      </c>
      <c r="AC51" s="860" t="s">
        <v>74</v>
      </c>
      <c r="AD51" s="860" t="s">
        <v>129</v>
      </c>
      <c r="AE51" s="860">
        <f>VLOOKUP($AA$47&amp;$AD$38&amp;AD51&amp;$AD$36,vw.deaths,5,FALSE)</f>
        <v>103</v>
      </c>
      <c r="AF51" s="860">
        <f>VLOOKUP($AA$47&amp;$AD$38&amp;AD51&amp;$AD$36,vw.deaths,6,FALSE)</f>
        <v>17329</v>
      </c>
      <c r="AG51" s="861">
        <f t="shared" si="15"/>
        <v>4.8515170145316162</v>
      </c>
      <c r="AH51" s="861">
        <f t="shared" si="16"/>
        <v>7.2085784203953569</v>
      </c>
      <c r="AI51" s="862">
        <f t="shared" si="12"/>
        <v>5.943793640717872</v>
      </c>
      <c r="AJ51" s="862">
        <f t="shared" si="13"/>
        <v>1.2647847796774849</v>
      </c>
      <c r="AK51" s="862">
        <f t="shared" si="14"/>
        <v>1.0922766261862558</v>
      </c>
    </row>
    <row r="52" spans="1:60">
      <c r="A52" s="182"/>
      <c r="B52" s="136"/>
      <c r="C52" s="136"/>
      <c r="D52" s="136"/>
      <c r="E52" s="136"/>
      <c r="F52" s="136"/>
      <c r="G52" s="136"/>
      <c r="H52" s="136"/>
      <c r="I52" s="136"/>
      <c r="J52" s="136"/>
      <c r="K52" s="136"/>
      <c r="L52" s="136"/>
      <c r="M52" s="136"/>
      <c r="N52" s="136"/>
      <c r="O52" s="136"/>
      <c r="P52" s="183"/>
      <c r="AA52" s="863">
        <f>Ref!$B$27</f>
        <v>2016</v>
      </c>
      <c r="AC52" s="860" t="s">
        <v>320</v>
      </c>
      <c r="AD52" s="860" t="s">
        <v>320</v>
      </c>
      <c r="AE52" s="860">
        <f>VLOOKUP($AA$47&amp;$AD$38&amp;AD52&amp;$AD$36,vw.deaths,5,FALSE)</f>
        <v>37</v>
      </c>
      <c r="AF52" s="860">
        <f>VLOOKUP($AA$47&amp;$AD$38&amp;AD52&amp;$AD$36,vw.deaths,6,FALSE)</f>
        <v>5976</v>
      </c>
      <c r="AG52" s="861">
        <f t="shared" si="15"/>
        <v>4.3593397869990014</v>
      </c>
      <c r="AH52" s="861">
        <f t="shared" si="16"/>
        <v>8.5340739862668737</v>
      </c>
      <c r="AI52" s="862">
        <f t="shared" si="12"/>
        <v>6.1914323962516731</v>
      </c>
      <c r="AJ52" s="862">
        <f t="shared" si="13"/>
        <v>2.3426415900152007</v>
      </c>
      <c r="AK52" s="862">
        <f t="shared" si="14"/>
        <v>1.8320926092526717</v>
      </c>
    </row>
    <row r="53" spans="1:60" s="122" customFormat="1">
      <c r="A53" s="182"/>
      <c r="B53" s="136"/>
      <c r="C53" s="136"/>
      <c r="D53" s="136"/>
      <c r="E53" s="136"/>
      <c r="F53" s="136"/>
      <c r="G53" s="136"/>
      <c r="H53" s="136"/>
      <c r="I53" s="136"/>
      <c r="J53" s="136"/>
      <c r="K53" s="136"/>
      <c r="L53" s="136"/>
      <c r="M53" s="136"/>
      <c r="N53" s="136"/>
      <c r="O53" s="136"/>
      <c r="P53" s="183"/>
      <c r="Q53" s="245"/>
      <c r="R53" s="245"/>
      <c r="S53" s="245"/>
      <c r="T53" s="245"/>
      <c r="U53" s="245"/>
      <c r="V53" s="245"/>
      <c r="W53" s="245"/>
      <c r="X53" s="515"/>
      <c r="Y53" s="515"/>
      <c r="Z53" s="515"/>
      <c r="AA53" s="863">
        <f>Ref!$B$27</f>
        <v>2016</v>
      </c>
      <c r="AB53" s="860"/>
      <c r="AC53" s="515" t="s">
        <v>355</v>
      </c>
      <c r="AD53" s="860" t="s">
        <v>355</v>
      </c>
      <c r="AE53" s="860">
        <f>VLOOKUP($AA$47&amp;$AD$38&amp;AD53&amp;$AD$36,vw.deaths,5,FALSE)</f>
        <v>27</v>
      </c>
      <c r="AF53" s="860">
        <f>VLOOKUP($AA$47&amp;$AD$38&amp;AD53&amp;$AD$36,vw.deaths,6,FALSE)</f>
        <v>10902</v>
      </c>
      <c r="AG53" s="861">
        <f t="shared" si="15"/>
        <v>1.632101461361656</v>
      </c>
      <c r="AH53" s="861">
        <f t="shared" si="16"/>
        <v>3.6033372266705275</v>
      </c>
      <c r="AI53" s="862">
        <f t="shared" si="12"/>
        <v>2.4766097963676388</v>
      </c>
      <c r="AJ53" s="862">
        <f t="shared" si="13"/>
        <v>1.1267274303028887</v>
      </c>
      <c r="AK53" s="862">
        <f t="shared" si="14"/>
        <v>0.84450833500598277</v>
      </c>
      <c r="AL53" s="515"/>
      <c r="AM53" s="515"/>
      <c r="AN53" s="515"/>
      <c r="AO53" s="515"/>
      <c r="AP53" s="515"/>
      <c r="AQ53" s="515"/>
      <c r="AR53" s="515"/>
      <c r="AS53" s="515"/>
      <c r="AT53" s="515"/>
      <c r="AU53" s="515"/>
      <c r="AV53" s="515"/>
      <c r="AW53" s="515"/>
      <c r="AX53" s="245"/>
      <c r="AY53" s="245"/>
      <c r="AZ53" s="245"/>
      <c r="BA53" s="245"/>
      <c r="BB53" s="289"/>
      <c r="BC53" s="289"/>
      <c r="BD53" s="289"/>
    </row>
    <row r="54" spans="1:60" s="122" customFormat="1">
      <c r="A54" s="182"/>
      <c r="B54" s="136"/>
      <c r="C54" s="136"/>
      <c r="D54" s="136"/>
      <c r="E54" s="136"/>
      <c r="F54" s="136"/>
      <c r="G54" s="136"/>
      <c r="H54" s="136"/>
      <c r="I54" s="136"/>
      <c r="J54" s="136"/>
      <c r="K54" s="136"/>
      <c r="L54" s="136"/>
      <c r="M54" s="136"/>
      <c r="N54" s="136"/>
      <c r="O54" s="136"/>
      <c r="P54" s="183"/>
      <c r="Q54" s="245"/>
      <c r="R54" s="245"/>
      <c r="S54" s="245"/>
      <c r="T54" s="245"/>
      <c r="U54" s="245"/>
      <c r="V54" s="245"/>
      <c r="W54" s="245"/>
      <c r="X54" s="515"/>
      <c r="Y54" s="515"/>
      <c r="Z54" s="515"/>
      <c r="AA54" s="863">
        <f>Ref!$B$27</f>
        <v>2016</v>
      </c>
      <c r="AB54" s="860"/>
      <c r="AC54" s="515" t="s">
        <v>356</v>
      </c>
      <c r="AD54" s="860" t="s">
        <v>356</v>
      </c>
      <c r="AE54" s="860">
        <f>VLOOKUP($AA$47&amp;$AD$38&amp;AD54&amp;$AD$36,vw.deaths,5,FALSE)</f>
        <v>74</v>
      </c>
      <c r="AF54" s="860">
        <f>VLOOKUP($AA$47&amp;$AD$38&amp;AD54&amp;$AD$36,vw.deaths,6,FALSE)</f>
        <v>26229</v>
      </c>
      <c r="AG54" s="861">
        <f t="shared" si="15"/>
        <v>2.2153309788150897</v>
      </c>
      <c r="AH54" s="861">
        <f t="shared" si="16"/>
        <v>3.541889645121683</v>
      </c>
      <c r="AI54" s="862">
        <f t="shared" si="12"/>
        <v>2.8213046627778415</v>
      </c>
      <c r="AJ54" s="862">
        <f t="shared" si="13"/>
        <v>0.7205849823438415</v>
      </c>
      <c r="AK54" s="862">
        <f t="shared" si="14"/>
        <v>0.60597368396275186</v>
      </c>
      <c r="AL54" s="515"/>
      <c r="AM54" s="515"/>
      <c r="AN54" s="515"/>
      <c r="AO54" s="515"/>
      <c r="AP54" s="515"/>
      <c r="AQ54" s="515"/>
      <c r="AR54" s="515"/>
      <c r="AS54" s="515"/>
      <c r="AT54" s="515"/>
      <c r="AU54" s="515"/>
      <c r="AV54" s="515"/>
      <c r="AW54" s="515"/>
      <c r="AX54" s="245"/>
      <c r="AY54" s="245"/>
      <c r="AZ54" s="245"/>
      <c r="BA54" s="245"/>
      <c r="BB54" s="289"/>
      <c r="BC54" s="289"/>
      <c r="BD54" s="289"/>
    </row>
    <row r="55" spans="1:60" s="122" customFormat="1">
      <c r="A55" s="182"/>
      <c r="B55" s="136"/>
      <c r="C55" s="136"/>
      <c r="D55" s="136"/>
      <c r="E55" s="136"/>
      <c r="F55" s="136"/>
      <c r="G55" s="136"/>
      <c r="H55" s="136"/>
      <c r="I55" s="136"/>
      <c r="J55" s="136"/>
      <c r="K55" s="136"/>
      <c r="L55" s="136"/>
      <c r="M55" s="136"/>
      <c r="N55" s="136"/>
      <c r="O55" s="136"/>
      <c r="P55" s="183"/>
      <c r="Q55" s="245"/>
      <c r="R55" s="245"/>
      <c r="S55" s="245"/>
      <c r="T55" s="245"/>
      <c r="U55" s="245"/>
      <c r="V55" s="245"/>
      <c r="W55" s="245"/>
      <c r="X55" s="515"/>
      <c r="Y55" s="515"/>
      <c r="Z55" s="515"/>
      <c r="AA55" s="860"/>
      <c r="AB55" s="860"/>
      <c r="AC55" s="860"/>
      <c r="AD55" s="860"/>
      <c r="AE55" s="860"/>
      <c r="AF55" s="860"/>
      <c r="AG55" s="860"/>
      <c r="AH55" s="860"/>
      <c r="AI55" s="860"/>
      <c r="AJ55" s="860"/>
      <c r="AK55" s="860"/>
      <c r="AL55" s="515"/>
      <c r="AM55" s="515"/>
      <c r="AN55" s="515"/>
      <c r="AO55" s="515"/>
      <c r="AP55" s="515"/>
      <c r="AQ55" s="515"/>
      <c r="AR55" s="515"/>
      <c r="AS55" s="515"/>
      <c r="AT55" s="515"/>
      <c r="AU55" s="515"/>
      <c r="AV55" s="515"/>
      <c r="AW55" s="515"/>
      <c r="AX55" s="245"/>
      <c r="AY55" s="245"/>
      <c r="AZ55" s="245"/>
      <c r="BA55" s="245"/>
      <c r="BB55" s="289"/>
      <c r="BC55" s="289"/>
      <c r="BD55" s="289"/>
    </row>
    <row r="56" spans="1:60" ht="12" customHeight="1">
      <c r="A56" s="193"/>
      <c r="B56" s="194"/>
      <c r="C56" s="194"/>
      <c r="D56" s="194"/>
      <c r="E56" s="194"/>
      <c r="F56" s="194"/>
      <c r="G56" s="194"/>
      <c r="H56" s="194"/>
      <c r="I56" s="194"/>
      <c r="J56" s="194"/>
      <c r="K56" s="194"/>
      <c r="L56" s="194"/>
      <c r="M56" s="194"/>
      <c r="N56" s="194"/>
      <c r="O56" s="194"/>
      <c r="P56" s="195"/>
      <c r="AA56" s="868" t="s">
        <v>302</v>
      </c>
      <c r="AB56" s="860" t="s">
        <v>323</v>
      </c>
      <c r="AC56" s="860" t="s">
        <v>305</v>
      </c>
      <c r="AD56" s="860" t="s">
        <v>453</v>
      </c>
      <c r="AE56" s="860" t="s">
        <v>299</v>
      </c>
      <c r="AF56" s="860" t="s">
        <v>324</v>
      </c>
      <c r="AG56" s="860" t="s">
        <v>300</v>
      </c>
      <c r="AH56" s="860" t="s">
        <v>301</v>
      </c>
      <c r="AI56" s="860" t="s">
        <v>45</v>
      </c>
      <c r="AJ56" s="860" t="s">
        <v>290</v>
      </c>
      <c r="AK56" s="860" t="s">
        <v>289</v>
      </c>
    </row>
    <row r="57" spans="1:60">
      <c r="AA57" s="860" t="str">
        <f>Ref!$B$30</f>
        <v>2011-2015</v>
      </c>
      <c r="AB57" s="860" t="s">
        <v>303</v>
      </c>
      <c r="AC57" s="860" t="s">
        <v>339</v>
      </c>
      <c r="AD57" s="860" t="s">
        <v>339</v>
      </c>
      <c r="AE57" s="860">
        <f>VLOOKUP(AD57&amp;$AD$56&amp;$AC$36, vw.deaths.trend, 4, FALSE)</f>
        <v>168</v>
      </c>
      <c r="AF57" s="860">
        <f t="shared" ref="AF57:AF62" si="18">VLOOKUP(AD57&amp;$AD$56&amp;$AC$36, vw.deaths.trend,5, FALSE)</f>
        <v>17517</v>
      </c>
      <c r="AG57" s="861">
        <f t="shared" ref="AG57:AG80" si="19">IF(AE57=0,0,IF(AE57&lt;389,CHIINV(0.5+$AB$35/200,2*AE57)/2,AE57*(1-1/(9*AE57)-NORMSINV(0.5+$AB$35/200)/3/SQRT(AE57))^3))/AF57*1000</f>
        <v>8.1952367005979916</v>
      </c>
      <c r="AH57" s="861">
        <f t="shared" ref="AH57:AH80" si="20">IF(AE57&lt;389,CHIINV(0.5-$AB$35/200,2*AE57+2)/2,(AE57+1)*(1-1/(9*(AE57+1))+NORMSINV(0.5+$AB$35/200)/3/SQRT(AE57+1))^3)/AF57*1000</f>
        <v>11.155624182812037</v>
      </c>
      <c r="AI57" s="862">
        <f t="shared" ref="AI57:AI80" si="21">AE57/AF57*1000</f>
        <v>9.5906833361877037</v>
      </c>
      <c r="AJ57" s="862">
        <f t="shared" ref="AJ57:AJ65" si="22">AH57-AI57</f>
        <v>1.5649408466243333</v>
      </c>
      <c r="AK57" s="862">
        <f t="shared" ref="AK57:AK65" si="23">AI57-AG57</f>
        <v>1.3954466355897122</v>
      </c>
    </row>
    <row r="58" spans="1:60">
      <c r="AA58" s="860" t="str">
        <f>Ref!$B$30</f>
        <v>2011-2015</v>
      </c>
      <c r="AC58" s="860" t="s">
        <v>77</v>
      </c>
      <c r="AD58" s="860" t="s">
        <v>130</v>
      </c>
      <c r="AE58" s="860">
        <f t="shared" ref="AE58:AE62" si="24">VLOOKUP(AD58&amp;$AD$56&amp;$AC$36, vw.deaths.trend, 4, FALSE)</f>
        <v>362</v>
      </c>
      <c r="AF58" s="860">
        <f t="shared" si="18"/>
        <v>55509</v>
      </c>
      <c r="AG58" s="861">
        <f t="shared" si="19"/>
        <v>5.8668889676520193</v>
      </c>
      <c r="AH58" s="861">
        <f t="shared" si="20"/>
        <v>7.2291029149600057</v>
      </c>
      <c r="AI58" s="862">
        <f t="shared" si="21"/>
        <v>6.5214649876596589</v>
      </c>
      <c r="AJ58" s="862">
        <f t="shared" si="22"/>
        <v>0.7076379273003468</v>
      </c>
      <c r="AK58" s="862">
        <f t="shared" si="23"/>
        <v>0.65457602000763959</v>
      </c>
    </row>
    <row r="59" spans="1:60">
      <c r="A59" s="179"/>
      <c r="B59" s="180"/>
      <c r="C59" s="180"/>
      <c r="D59" s="180"/>
      <c r="E59" s="180"/>
      <c r="F59" s="180"/>
      <c r="G59" s="180"/>
      <c r="H59" s="180"/>
      <c r="I59" s="180"/>
      <c r="J59" s="180"/>
      <c r="K59" s="180"/>
      <c r="L59" s="180"/>
      <c r="M59" s="180"/>
      <c r="N59" s="180"/>
      <c r="O59" s="180"/>
      <c r="P59" s="181"/>
      <c r="AA59" s="860" t="str">
        <f>Ref!$B$30</f>
        <v>2011-2015</v>
      </c>
      <c r="AC59" s="860" t="s">
        <v>78</v>
      </c>
      <c r="AD59" s="860" t="s">
        <v>131</v>
      </c>
      <c r="AE59" s="860">
        <f t="shared" si="24"/>
        <v>493</v>
      </c>
      <c r="AF59" s="860">
        <f t="shared" si="18"/>
        <v>79658</v>
      </c>
      <c r="AG59" s="861">
        <f t="shared" si="19"/>
        <v>5.6546201443404502</v>
      </c>
      <c r="AH59" s="861">
        <f t="shared" si="20"/>
        <v>6.7601781222172272</v>
      </c>
      <c r="AI59" s="862">
        <f t="shared" si="21"/>
        <v>6.1889577945717944</v>
      </c>
      <c r="AJ59" s="862">
        <f t="shared" si="22"/>
        <v>0.57122032764543285</v>
      </c>
      <c r="AK59" s="862">
        <f t="shared" si="23"/>
        <v>0.53433765023134416</v>
      </c>
    </row>
    <row r="60" spans="1:60">
      <c r="A60" s="182"/>
      <c r="B60" s="964" t="str">
        <f>Contents!E28</f>
        <v xml:space="preserve">Figure 3: Fetal and infant death rates by maternal age group, 2011−2015 and 2016
</v>
      </c>
      <c r="C60" s="964"/>
      <c r="D60" s="964"/>
      <c r="E60" s="964"/>
      <c r="F60" s="964"/>
      <c r="G60" s="964"/>
      <c r="H60" s="964"/>
      <c r="I60" s="964"/>
      <c r="J60" s="964"/>
      <c r="K60" s="964"/>
      <c r="L60" s="964"/>
      <c r="M60" s="964"/>
      <c r="N60" s="964"/>
      <c r="O60" s="964"/>
      <c r="P60" s="183"/>
      <c r="AA60" s="860" t="str">
        <f>Ref!$B$30</f>
        <v>2011-2015</v>
      </c>
      <c r="AC60" s="860" t="s">
        <v>79</v>
      </c>
      <c r="AD60" s="860" t="s">
        <v>132</v>
      </c>
      <c r="AE60" s="860">
        <f t="shared" si="24"/>
        <v>562</v>
      </c>
      <c r="AF60" s="860">
        <f t="shared" si="18"/>
        <v>88694</v>
      </c>
      <c r="AG60" s="861">
        <f t="shared" si="19"/>
        <v>5.8232756498324569</v>
      </c>
      <c r="AH60" s="861">
        <f t="shared" si="20"/>
        <v>6.8826036343163306</v>
      </c>
      <c r="AI60" s="862">
        <f t="shared" si="21"/>
        <v>6.3363925406453649</v>
      </c>
      <c r="AJ60" s="862">
        <f t="shared" si="22"/>
        <v>0.54621109367096565</v>
      </c>
      <c r="AK60" s="862">
        <f t="shared" si="23"/>
        <v>0.51311689081290801</v>
      </c>
    </row>
    <row r="61" spans="1:60">
      <c r="A61" s="182"/>
      <c r="B61" s="136"/>
      <c r="C61" s="136"/>
      <c r="D61" s="136"/>
      <c r="E61" s="136"/>
      <c r="F61" s="136"/>
      <c r="G61" s="136"/>
      <c r="H61" s="136"/>
      <c r="I61" s="136"/>
      <c r="J61" s="136"/>
      <c r="K61" s="136"/>
      <c r="L61" s="965" t="s">
        <v>323</v>
      </c>
      <c r="M61" s="965" t="s">
        <v>152</v>
      </c>
      <c r="N61" s="962" t="s">
        <v>612</v>
      </c>
      <c r="O61" s="962">
        <v>2016</v>
      </c>
      <c r="P61" s="183"/>
      <c r="AA61" s="860" t="str">
        <f>Ref!$B$30</f>
        <v>2011-2015</v>
      </c>
      <c r="AC61" s="860" t="s">
        <v>80</v>
      </c>
      <c r="AD61" s="860" t="s">
        <v>133</v>
      </c>
      <c r="AE61" s="860">
        <f t="shared" si="24"/>
        <v>401</v>
      </c>
      <c r="AF61" s="860">
        <f t="shared" si="18"/>
        <v>51996</v>
      </c>
      <c r="AG61" s="861">
        <f t="shared" si="19"/>
        <v>6.9756608981156072</v>
      </c>
      <c r="AH61" s="861">
        <f t="shared" si="20"/>
        <v>8.5051972227577668</v>
      </c>
      <c r="AI61" s="862">
        <f t="shared" si="21"/>
        <v>7.7121317024386498</v>
      </c>
      <c r="AJ61" s="862">
        <f t="shared" si="22"/>
        <v>0.79306552031911703</v>
      </c>
      <c r="AK61" s="862">
        <f t="shared" si="23"/>
        <v>0.73647080432304257</v>
      </c>
      <c r="AU61" s="870"/>
      <c r="AV61" s="870"/>
      <c r="AW61" s="870"/>
      <c r="AX61" s="244"/>
      <c r="AY61" s="244"/>
      <c r="AZ61" s="244"/>
      <c r="BA61" s="244"/>
      <c r="BB61" s="648"/>
      <c r="BC61" s="648"/>
      <c r="BD61" s="648"/>
      <c r="BE61" s="244"/>
      <c r="BF61" s="244"/>
      <c r="BG61" s="244"/>
      <c r="BH61" s="244"/>
    </row>
    <row r="62" spans="1:60">
      <c r="A62" s="182"/>
      <c r="B62" s="136"/>
      <c r="C62" s="136"/>
      <c r="D62" s="136"/>
      <c r="E62" s="136"/>
      <c r="F62" s="136"/>
      <c r="G62" s="136"/>
      <c r="H62" s="136"/>
      <c r="I62" s="136"/>
      <c r="J62" s="136"/>
      <c r="K62" s="136"/>
      <c r="L62" s="966"/>
      <c r="M62" s="966"/>
      <c r="N62" s="963"/>
      <c r="O62" s="963"/>
      <c r="P62" s="183"/>
      <c r="AA62" s="860" t="str">
        <f>Ref!$B$30</f>
        <v>2011-2015</v>
      </c>
      <c r="AC62" s="860" t="s">
        <v>81</v>
      </c>
      <c r="AD62" s="860" t="s">
        <v>134</v>
      </c>
      <c r="AE62" s="860">
        <f t="shared" si="24"/>
        <v>137</v>
      </c>
      <c r="AF62" s="860">
        <f t="shared" si="18"/>
        <v>13066</v>
      </c>
      <c r="AG62" s="861">
        <f t="shared" si="19"/>
        <v>8.8030410557017138</v>
      </c>
      <c r="AH62" s="861">
        <f t="shared" si="20"/>
        <v>12.395255218741267</v>
      </c>
      <c r="AI62" s="862">
        <f t="shared" si="21"/>
        <v>10.485228838206032</v>
      </c>
      <c r="AJ62" s="862">
        <f t="shared" si="22"/>
        <v>1.9100263805352355</v>
      </c>
      <c r="AK62" s="862">
        <f t="shared" si="23"/>
        <v>1.6821877825043181</v>
      </c>
      <c r="AT62" s="870"/>
      <c r="AU62" s="870"/>
      <c r="AV62" s="870"/>
      <c r="AW62" s="870"/>
      <c r="AX62" s="244"/>
      <c r="AY62" s="244"/>
      <c r="AZ62" s="244"/>
      <c r="BA62" s="244"/>
      <c r="BB62" s="648"/>
      <c r="BC62" s="648"/>
      <c r="BD62" s="648"/>
      <c r="BE62" s="244"/>
      <c r="BF62" s="244"/>
      <c r="BG62" s="244"/>
      <c r="BH62" s="244"/>
    </row>
    <row r="63" spans="1:60">
      <c r="A63" s="182"/>
      <c r="B63" s="136"/>
      <c r="C63" s="136"/>
      <c r="D63" s="136"/>
      <c r="E63" s="136"/>
      <c r="F63" s="136"/>
      <c r="G63" s="136"/>
      <c r="H63" s="136"/>
      <c r="I63" s="136"/>
      <c r="J63" s="136"/>
      <c r="K63" s="136"/>
      <c r="L63" s="246" t="s">
        <v>47</v>
      </c>
      <c r="M63" s="132" t="s">
        <v>76</v>
      </c>
      <c r="N63" s="200">
        <f>AI57</f>
        <v>9.5906833361877037</v>
      </c>
      <c r="O63" s="200">
        <f>AI69</f>
        <v>13.872832369942197</v>
      </c>
      <c r="P63" s="183"/>
      <c r="Q63" s="472"/>
      <c r="AA63" s="860" t="str">
        <f>Ref!$B$30</f>
        <v>2011-2015</v>
      </c>
      <c r="AB63" s="860" t="s">
        <v>304</v>
      </c>
      <c r="AC63" s="860" t="s">
        <v>339</v>
      </c>
      <c r="AD63" s="860" t="s">
        <v>339</v>
      </c>
      <c r="AE63" s="860">
        <f>VLOOKUP(AD63&amp;$AD$56&amp;$AD$36, vw.deaths.trend, 4, FALSE)</f>
        <v>174</v>
      </c>
      <c r="AF63" s="860">
        <f t="shared" ref="AF63:AF68" si="25">VLOOKUP(AD63&amp;$AD$56&amp;$AD$36, vw.deaths.trend,5, FALSE)</f>
        <v>17349</v>
      </c>
      <c r="AG63" s="861">
        <f t="shared" si="19"/>
        <v>8.5945058220667256</v>
      </c>
      <c r="AH63" s="861">
        <f t="shared" si="20"/>
        <v>11.635348736596518</v>
      </c>
      <c r="AI63" s="862">
        <f t="shared" si="21"/>
        <v>10.029396507003286</v>
      </c>
      <c r="AJ63" s="862">
        <f t="shared" si="22"/>
        <v>1.6059522295932318</v>
      </c>
      <c r="AK63" s="862">
        <f t="shared" si="23"/>
        <v>1.4348906849365601</v>
      </c>
    </row>
    <row r="64" spans="1:60">
      <c r="A64" s="182"/>
      <c r="B64" s="136"/>
      <c r="C64" s="136"/>
      <c r="D64" s="136"/>
      <c r="E64" s="136"/>
      <c r="F64" s="136"/>
      <c r="G64" s="136"/>
      <c r="H64" s="136"/>
      <c r="I64" s="136"/>
      <c r="J64" s="136"/>
      <c r="K64" s="136"/>
      <c r="L64" s="142"/>
      <c r="M64" s="143" t="s">
        <v>77</v>
      </c>
      <c r="N64" s="144">
        <f t="shared" ref="N64:N74" si="26">AI58</f>
        <v>6.5214649876596589</v>
      </c>
      <c r="O64" s="144">
        <f t="shared" ref="O64:O74" si="27">AI70</f>
        <v>7.2948935744978511</v>
      </c>
      <c r="P64" s="183"/>
      <c r="Q64" s="472"/>
      <c r="AA64" s="860" t="str">
        <f>Ref!$B$30</f>
        <v>2011-2015</v>
      </c>
      <c r="AC64" s="860" t="s">
        <v>77</v>
      </c>
      <c r="AD64" s="860" t="s">
        <v>130</v>
      </c>
      <c r="AE64" s="860">
        <f>VLOOKUP(AD64&amp;$AD$56&amp;$AD$36, vw.deaths.trend, 4, FALSE)</f>
        <v>351</v>
      </c>
      <c r="AF64" s="860">
        <f t="shared" si="25"/>
        <v>55147</v>
      </c>
      <c r="AG64" s="861">
        <f t="shared" si="19"/>
        <v>5.71628952882741</v>
      </c>
      <c r="AH64" s="861">
        <f t="shared" si="20"/>
        <v>7.0667485583891798</v>
      </c>
      <c r="AI64" s="862">
        <f t="shared" si="21"/>
        <v>6.3648067891272415</v>
      </c>
      <c r="AJ64" s="862">
        <f t="shared" si="22"/>
        <v>0.7019417692619383</v>
      </c>
      <c r="AK64" s="862">
        <f t="shared" si="23"/>
        <v>0.64851726029983148</v>
      </c>
    </row>
    <row r="65" spans="1:37">
      <c r="A65" s="182"/>
      <c r="B65" s="136"/>
      <c r="C65" s="136"/>
      <c r="D65" s="136"/>
      <c r="E65" s="136"/>
      <c r="F65" s="136"/>
      <c r="G65" s="136"/>
      <c r="H65" s="136"/>
      <c r="I65" s="136"/>
      <c r="J65" s="136"/>
      <c r="K65" s="136"/>
      <c r="L65" s="142"/>
      <c r="M65" s="143" t="s">
        <v>78</v>
      </c>
      <c r="N65" s="144">
        <f t="shared" si="26"/>
        <v>6.1889577945717944</v>
      </c>
      <c r="O65" s="144">
        <f t="shared" si="27"/>
        <v>6.1430190254666908</v>
      </c>
      <c r="P65" s="183"/>
      <c r="Q65" s="472"/>
      <c r="AA65" s="860" t="str">
        <f>Ref!$B$30</f>
        <v>2011-2015</v>
      </c>
      <c r="AC65" s="860" t="s">
        <v>78</v>
      </c>
      <c r="AD65" s="860" t="s">
        <v>131</v>
      </c>
      <c r="AE65" s="860">
        <f>VLOOKUP(AD65&amp;$AD$56&amp;$AD$36, vw.deaths.trend,4, FALSE)</f>
        <v>348</v>
      </c>
      <c r="AF65" s="860">
        <f t="shared" si="25"/>
        <v>79165</v>
      </c>
      <c r="AG65" s="861">
        <f t="shared" si="19"/>
        <v>3.9461064338182146</v>
      </c>
      <c r="AH65" s="861">
        <f t="shared" si="20"/>
        <v>4.8828763580703978</v>
      </c>
      <c r="AI65" s="862">
        <f t="shared" si="21"/>
        <v>4.3958820185688117</v>
      </c>
      <c r="AJ65" s="862">
        <f t="shared" si="22"/>
        <v>0.4869943395015861</v>
      </c>
      <c r="AK65" s="862">
        <f t="shared" si="23"/>
        <v>0.44977558475059709</v>
      </c>
    </row>
    <row r="66" spans="1:37">
      <c r="A66" s="182"/>
      <c r="B66" s="136"/>
      <c r="C66" s="136"/>
      <c r="D66" s="136"/>
      <c r="E66" s="136"/>
      <c r="F66" s="136"/>
      <c r="G66" s="136"/>
      <c r="H66" s="136"/>
      <c r="I66" s="136"/>
      <c r="J66" s="136"/>
      <c r="K66" s="136"/>
      <c r="L66" s="136"/>
      <c r="M66" s="143" t="s">
        <v>79</v>
      </c>
      <c r="N66" s="144">
        <f t="shared" si="26"/>
        <v>6.3363925406453649</v>
      </c>
      <c r="O66" s="144">
        <f t="shared" si="27"/>
        <v>6.1056543668701879</v>
      </c>
      <c r="P66" s="183"/>
      <c r="Q66" s="472"/>
      <c r="AA66" s="860" t="str">
        <f>Ref!$B$30</f>
        <v>2011-2015</v>
      </c>
      <c r="AC66" s="860" t="s">
        <v>79</v>
      </c>
      <c r="AD66" s="860" t="s">
        <v>132</v>
      </c>
      <c r="AE66" s="860">
        <f>VLOOKUP(AD66&amp;$AD$56&amp;$AD$36, vw.deaths.trend, 4, FALSE)</f>
        <v>329</v>
      </c>
      <c r="AF66" s="860">
        <f t="shared" si="25"/>
        <v>88132</v>
      </c>
      <c r="AG66" s="861">
        <f t="shared" si="19"/>
        <v>3.3405107539038519</v>
      </c>
      <c r="AH66" s="861">
        <f t="shared" si="20"/>
        <v>4.1590114808335237</v>
      </c>
      <c r="AI66" s="862">
        <f t="shared" si="21"/>
        <v>3.7330368084237282</v>
      </c>
      <c r="AJ66" s="862">
        <f t="shared" ref="AJ66:AJ80" si="28">AH66-AI66</f>
        <v>0.42597467240979547</v>
      </c>
      <c r="AK66" s="862">
        <f t="shared" ref="AK66:AK80" si="29">AI66-AG66</f>
        <v>0.39252605451987632</v>
      </c>
    </row>
    <row r="67" spans="1:37">
      <c r="A67" s="182"/>
      <c r="B67" s="136"/>
      <c r="C67" s="136"/>
      <c r="D67" s="136"/>
      <c r="E67" s="136"/>
      <c r="F67" s="136"/>
      <c r="G67" s="136"/>
      <c r="H67" s="136"/>
      <c r="I67" s="136"/>
      <c r="J67" s="136"/>
      <c r="K67" s="136"/>
      <c r="L67" s="136"/>
      <c r="M67" s="143" t="s">
        <v>80</v>
      </c>
      <c r="N67" s="144">
        <f t="shared" si="26"/>
        <v>7.7121317024386498</v>
      </c>
      <c r="O67" s="144">
        <f t="shared" si="27"/>
        <v>6.8796068796068797</v>
      </c>
      <c r="P67" s="183"/>
      <c r="Q67" s="472"/>
      <c r="AA67" s="860" t="str">
        <f>Ref!$B$30</f>
        <v>2011-2015</v>
      </c>
      <c r="AC67" s="860" t="s">
        <v>80</v>
      </c>
      <c r="AD67" s="860" t="s">
        <v>133</v>
      </c>
      <c r="AE67" s="860">
        <f>VLOOKUP(AD67&amp;$AD$56&amp;$AD$36, vw.deaths.trend, 4, FALSE)</f>
        <v>217</v>
      </c>
      <c r="AF67" s="860">
        <f t="shared" si="25"/>
        <v>51595</v>
      </c>
      <c r="AG67" s="861">
        <f t="shared" si="19"/>
        <v>3.6648207955176546</v>
      </c>
      <c r="AH67" s="861">
        <f t="shared" si="20"/>
        <v>4.8042198948459296</v>
      </c>
      <c r="AI67" s="862">
        <f t="shared" si="21"/>
        <v>4.2058338986335881</v>
      </c>
      <c r="AJ67" s="862">
        <f t="shared" si="28"/>
        <v>0.59838599621234145</v>
      </c>
      <c r="AK67" s="862">
        <f t="shared" si="29"/>
        <v>0.54101310311593354</v>
      </c>
    </row>
    <row r="68" spans="1:37">
      <c r="A68" s="182"/>
      <c r="B68" s="136"/>
      <c r="C68" s="136"/>
      <c r="D68" s="136"/>
      <c r="E68" s="136"/>
      <c r="F68" s="136"/>
      <c r="G68" s="136"/>
      <c r="H68" s="136"/>
      <c r="I68" s="136"/>
      <c r="J68" s="136"/>
      <c r="K68" s="136"/>
      <c r="L68" s="202"/>
      <c r="M68" s="156" t="s">
        <v>81</v>
      </c>
      <c r="N68" s="201">
        <f t="shared" si="26"/>
        <v>10.485228838206032</v>
      </c>
      <c r="O68" s="201">
        <f t="shared" si="27"/>
        <v>6.4777327935222671</v>
      </c>
      <c r="P68" s="183"/>
      <c r="Q68" s="472"/>
      <c r="AA68" s="860" t="str">
        <f>Ref!$B$30</f>
        <v>2011-2015</v>
      </c>
      <c r="AC68" s="860" t="s">
        <v>81</v>
      </c>
      <c r="AD68" s="860" t="s">
        <v>134</v>
      </c>
      <c r="AE68" s="860">
        <f>VLOOKUP(AD68&amp;$AD$56&amp;$AD$36, vw.deaths.trend, 4, FALSE)</f>
        <v>69</v>
      </c>
      <c r="AF68" s="860">
        <f t="shared" si="25"/>
        <v>12929</v>
      </c>
      <c r="AG68" s="861">
        <f t="shared" si="19"/>
        <v>4.1523798094860265</v>
      </c>
      <c r="AH68" s="861">
        <f t="shared" si="20"/>
        <v>6.7541121583297459</v>
      </c>
      <c r="AI68" s="862">
        <f t="shared" si="21"/>
        <v>5.3368396627736097</v>
      </c>
      <c r="AJ68" s="862">
        <f t="shared" si="28"/>
        <v>1.4172724955561362</v>
      </c>
      <c r="AK68" s="862">
        <f t="shared" si="29"/>
        <v>1.1844598532875832</v>
      </c>
    </row>
    <row r="69" spans="1:37">
      <c r="A69" s="182"/>
      <c r="B69" s="136"/>
      <c r="C69" s="136"/>
      <c r="D69" s="136"/>
      <c r="E69" s="136"/>
      <c r="F69" s="136"/>
      <c r="G69" s="136"/>
      <c r="H69" s="136"/>
      <c r="I69" s="136"/>
      <c r="J69" s="136"/>
      <c r="K69" s="136"/>
      <c r="L69" s="246" t="s">
        <v>48</v>
      </c>
      <c r="M69" s="132" t="s">
        <v>76</v>
      </c>
      <c r="N69" s="200">
        <f t="shared" si="26"/>
        <v>10.029396507003286</v>
      </c>
      <c r="O69" s="200">
        <f t="shared" si="27"/>
        <v>10.550996483001173</v>
      </c>
      <c r="P69" s="183"/>
      <c r="Q69" s="472"/>
      <c r="AA69" s="863">
        <f>Ref!$B$27</f>
        <v>2016</v>
      </c>
      <c r="AB69" s="860" t="s">
        <v>303</v>
      </c>
      <c r="AC69" s="860" t="s">
        <v>339</v>
      </c>
      <c r="AD69" s="860" t="s">
        <v>339</v>
      </c>
      <c r="AE69" s="860">
        <f>VLOOKUP($AA$69&amp;$AD$56&amp;AD69&amp;$AC$36, vw.deaths, 5, FALSE)</f>
        <v>36</v>
      </c>
      <c r="AF69" s="860">
        <f t="shared" ref="AF69:AF74" si="30">VLOOKUP($AA$69&amp;$AD$56&amp;AD69&amp;$AC$36, vw.deaths, 6, FALSE)</f>
        <v>2595</v>
      </c>
      <c r="AG69" s="861">
        <f t="shared" si="19"/>
        <v>9.7163612398131924</v>
      </c>
      <c r="AH69" s="861">
        <f t="shared" si="20"/>
        <v>19.205847587374251</v>
      </c>
      <c r="AI69" s="862">
        <f t="shared" si="21"/>
        <v>13.872832369942197</v>
      </c>
      <c r="AJ69" s="862">
        <f t="shared" si="28"/>
        <v>5.3330152174320542</v>
      </c>
      <c r="AK69" s="862">
        <f t="shared" si="29"/>
        <v>4.1564711301290043</v>
      </c>
    </row>
    <row r="70" spans="1:37">
      <c r="A70" s="182"/>
      <c r="B70" s="136"/>
      <c r="C70" s="136"/>
      <c r="D70" s="136"/>
      <c r="E70" s="136"/>
      <c r="F70" s="136"/>
      <c r="G70" s="136"/>
      <c r="H70" s="136"/>
      <c r="I70" s="136"/>
      <c r="J70" s="136"/>
      <c r="K70" s="136"/>
      <c r="L70" s="142"/>
      <c r="M70" s="143" t="s">
        <v>77</v>
      </c>
      <c r="N70" s="144">
        <f t="shared" si="26"/>
        <v>6.3648067891272415</v>
      </c>
      <c r="O70" s="144">
        <f t="shared" si="27"/>
        <v>6.1405274813770889</v>
      </c>
      <c r="P70" s="183"/>
      <c r="Q70" s="472"/>
      <c r="AA70" s="863">
        <f>Ref!$B$27</f>
        <v>2016</v>
      </c>
      <c r="AC70" s="860" t="s">
        <v>77</v>
      </c>
      <c r="AD70" s="860" t="s">
        <v>130</v>
      </c>
      <c r="AE70" s="860">
        <f t="shared" ref="AE70:AE74" si="31">VLOOKUP($AA$69&amp;$AD$56&amp;AD70&amp;$AC$36, vw.deaths, 5, FALSE)</f>
        <v>73</v>
      </c>
      <c r="AF70" s="860">
        <f t="shared" si="30"/>
        <v>10007</v>
      </c>
      <c r="AG70" s="861">
        <f t="shared" si="19"/>
        <v>5.7180320698010547</v>
      </c>
      <c r="AH70" s="861">
        <f t="shared" si="20"/>
        <v>9.1722334548797377</v>
      </c>
      <c r="AI70" s="862">
        <f t="shared" si="21"/>
        <v>7.2948935744978511</v>
      </c>
      <c r="AJ70" s="862">
        <f t="shared" si="28"/>
        <v>1.8773398803818866</v>
      </c>
      <c r="AK70" s="862">
        <f t="shared" si="29"/>
        <v>1.5768615046967964</v>
      </c>
    </row>
    <row r="71" spans="1:37">
      <c r="A71" s="182"/>
      <c r="B71" s="136"/>
      <c r="C71" s="136"/>
      <c r="D71" s="136"/>
      <c r="E71" s="136"/>
      <c r="F71" s="136"/>
      <c r="G71" s="136"/>
      <c r="H71" s="136"/>
      <c r="I71" s="136"/>
      <c r="J71" s="136"/>
      <c r="K71" s="136"/>
      <c r="L71" s="136"/>
      <c r="M71" s="143" t="s">
        <v>78</v>
      </c>
      <c r="N71" s="144">
        <f t="shared" si="26"/>
        <v>4.3958820185688117</v>
      </c>
      <c r="O71" s="144">
        <f t="shared" si="27"/>
        <v>3.1204992798847817</v>
      </c>
      <c r="P71" s="183"/>
      <c r="Q71" s="472"/>
      <c r="AA71" s="863">
        <f>Ref!$B$27</f>
        <v>2016</v>
      </c>
      <c r="AC71" s="860" t="s">
        <v>78</v>
      </c>
      <c r="AD71" s="860" t="s">
        <v>131</v>
      </c>
      <c r="AE71" s="860">
        <f t="shared" si="31"/>
        <v>103</v>
      </c>
      <c r="AF71" s="860">
        <f t="shared" si="30"/>
        <v>16767</v>
      </c>
      <c r="AG71" s="861">
        <f t="shared" si="19"/>
        <v>5.0141312306804071</v>
      </c>
      <c r="AH71" s="861">
        <f t="shared" si="20"/>
        <v>7.450197140038834</v>
      </c>
      <c r="AI71" s="862">
        <f t="shared" si="21"/>
        <v>6.1430190254666908</v>
      </c>
      <c r="AJ71" s="862">
        <f t="shared" si="28"/>
        <v>1.3071781145721433</v>
      </c>
      <c r="AK71" s="862">
        <f t="shared" si="29"/>
        <v>1.1288877947862836</v>
      </c>
    </row>
    <row r="72" spans="1:37">
      <c r="A72" s="182"/>
      <c r="B72" s="136"/>
      <c r="C72" s="136"/>
      <c r="D72" s="136"/>
      <c r="E72" s="136"/>
      <c r="F72" s="136"/>
      <c r="G72" s="136"/>
      <c r="H72" s="136"/>
      <c r="I72" s="136"/>
      <c r="J72" s="136"/>
      <c r="K72" s="136"/>
      <c r="L72" s="136"/>
      <c r="M72" s="143" t="s">
        <v>79</v>
      </c>
      <c r="N72" s="144">
        <f t="shared" si="26"/>
        <v>3.7330368084237282</v>
      </c>
      <c r="O72" s="144">
        <f t="shared" si="27"/>
        <v>3.1517094017094016</v>
      </c>
      <c r="P72" s="183"/>
      <c r="Q72" s="472"/>
      <c r="AA72" s="863">
        <f>Ref!$B$27</f>
        <v>2016</v>
      </c>
      <c r="AC72" s="860" t="s">
        <v>79</v>
      </c>
      <c r="AD72" s="860" t="s">
        <v>132</v>
      </c>
      <c r="AE72" s="860">
        <f t="shared" si="31"/>
        <v>115</v>
      </c>
      <c r="AF72" s="860">
        <f t="shared" si="30"/>
        <v>18835</v>
      </c>
      <c r="AG72" s="861">
        <f t="shared" si="19"/>
        <v>5.0408438683858954</v>
      </c>
      <c r="AH72" s="861">
        <f t="shared" si="20"/>
        <v>7.3289133856618296</v>
      </c>
      <c r="AI72" s="862">
        <f t="shared" si="21"/>
        <v>6.1056543668701879</v>
      </c>
      <c r="AJ72" s="862">
        <f t="shared" si="28"/>
        <v>1.2232590187916417</v>
      </c>
      <c r="AK72" s="862">
        <f t="shared" si="29"/>
        <v>1.0648104984842925</v>
      </c>
    </row>
    <row r="73" spans="1:37">
      <c r="A73" s="182"/>
      <c r="B73" s="136"/>
      <c r="C73" s="136"/>
      <c r="D73" s="136"/>
      <c r="E73" s="136"/>
      <c r="F73" s="136"/>
      <c r="G73" s="136"/>
      <c r="H73" s="136"/>
      <c r="I73" s="136"/>
      <c r="J73" s="136"/>
      <c r="K73" s="136"/>
      <c r="L73" s="136"/>
      <c r="M73" s="143" t="s">
        <v>80</v>
      </c>
      <c r="N73" s="144">
        <f t="shared" si="26"/>
        <v>4.2058338986335881</v>
      </c>
      <c r="O73" s="144">
        <f t="shared" si="27"/>
        <v>2.5729836714497774</v>
      </c>
      <c r="P73" s="183"/>
      <c r="Q73" s="472"/>
      <c r="AA73" s="863">
        <f>Ref!$B$27</f>
        <v>2016</v>
      </c>
      <c r="AC73" s="860" t="s">
        <v>80</v>
      </c>
      <c r="AD73" s="860" t="s">
        <v>133</v>
      </c>
      <c r="AE73" s="860">
        <f t="shared" si="31"/>
        <v>70</v>
      </c>
      <c r="AF73" s="860">
        <f t="shared" si="30"/>
        <v>10175</v>
      </c>
      <c r="AG73" s="861">
        <f t="shared" si="19"/>
        <v>5.3629910671199497</v>
      </c>
      <c r="AH73" s="861">
        <f t="shared" si="20"/>
        <v>8.6919694183822056</v>
      </c>
      <c r="AI73" s="862">
        <f t="shared" si="21"/>
        <v>6.8796068796068797</v>
      </c>
      <c r="AJ73" s="862">
        <f t="shared" si="28"/>
        <v>1.8123625387753259</v>
      </c>
      <c r="AK73" s="862">
        <f t="shared" si="29"/>
        <v>1.51661581248693</v>
      </c>
    </row>
    <row r="74" spans="1:37">
      <c r="A74" s="182"/>
      <c r="B74" s="136"/>
      <c r="C74" s="136"/>
      <c r="D74" s="136"/>
      <c r="E74" s="136"/>
      <c r="F74" s="136"/>
      <c r="G74" s="136"/>
      <c r="H74" s="136"/>
      <c r="I74" s="136"/>
      <c r="J74" s="136"/>
      <c r="K74" s="136"/>
      <c r="L74" s="154"/>
      <c r="M74" s="156" t="s">
        <v>81</v>
      </c>
      <c r="N74" s="201">
        <f t="shared" si="26"/>
        <v>5.3368396627736097</v>
      </c>
      <c r="O74" s="201">
        <f t="shared" si="27"/>
        <v>6.1124694376528126</v>
      </c>
      <c r="P74" s="183"/>
      <c r="Q74" s="472"/>
      <c r="AA74" s="863">
        <f>Ref!$B$27</f>
        <v>2016</v>
      </c>
      <c r="AC74" s="860" t="s">
        <v>81</v>
      </c>
      <c r="AD74" s="860" t="s">
        <v>134</v>
      </c>
      <c r="AE74" s="860">
        <f t="shared" si="31"/>
        <v>16</v>
      </c>
      <c r="AF74" s="860">
        <f t="shared" si="30"/>
        <v>2470</v>
      </c>
      <c r="AG74" s="861">
        <f t="shared" si="19"/>
        <v>3.7025839893285539</v>
      </c>
      <c r="AH74" s="861">
        <f t="shared" si="20"/>
        <v>10.51943222573318</v>
      </c>
      <c r="AI74" s="862">
        <f t="shared" si="21"/>
        <v>6.4777327935222671</v>
      </c>
      <c r="AJ74" s="862">
        <f t="shared" si="28"/>
        <v>4.0416994322109128</v>
      </c>
      <c r="AK74" s="862">
        <f t="shared" si="29"/>
        <v>2.7751488041937131</v>
      </c>
    </row>
    <row r="75" spans="1:37">
      <c r="A75" s="182"/>
      <c r="B75" s="136"/>
      <c r="C75" s="136"/>
      <c r="D75" s="136"/>
      <c r="E75" s="136"/>
      <c r="F75" s="136"/>
      <c r="G75" s="136"/>
      <c r="H75" s="136"/>
      <c r="I75" s="136"/>
      <c r="J75" s="136"/>
      <c r="K75" s="136"/>
      <c r="L75" s="136"/>
      <c r="M75" s="136"/>
      <c r="N75" s="136"/>
      <c r="O75" s="136"/>
      <c r="P75" s="183"/>
      <c r="AA75" s="863">
        <f>Ref!$B$27</f>
        <v>2016</v>
      </c>
      <c r="AB75" s="860" t="s">
        <v>304</v>
      </c>
      <c r="AC75" s="860" t="s">
        <v>339</v>
      </c>
      <c r="AD75" s="860" t="s">
        <v>339</v>
      </c>
      <c r="AE75" s="860">
        <f t="shared" ref="AE75:AE80" si="32">VLOOKUP($AA$69&amp;$AD$56&amp;AD75&amp;$AD$36, vw.deaths, 5, FALSE)</f>
        <v>27</v>
      </c>
      <c r="AF75" s="860">
        <f t="shared" ref="AF75:AF80" si="33">VLOOKUP($AA$69&amp;$AD$56&amp;AD75&amp;$AD$36, vw.deaths,6, FALSE)</f>
        <v>2559</v>
      </c>
      <c r="AG75" s="861">
        <f t="shared" si="19"/>
        <v>6.9531731659885798</v>
      </c>
      <c r="AH75" s="861">
        <f t="shared" si="20"/>
        <v>15.351145934021918</v>
      </c>
      <c r="AI75" s="862">
        <f t="shared" si="21"/>
        <v>10.550996483001173</v>
      </c>
      <c r="AJ75" s="862">
        <f t="shared" si="28"/>
        <v>4.8001494510207454</v>
      </c>
      <c r="AK75" s="862">
        <f t="shared" si="29"/>
        <v>3.5978233170125931</v>
      </c>
    </row>
    <row r="76" spans="1:37">
      <c r="A76" s="182"/>
      <c r="B76" s="136"/>
      <c r="C76" s="136"/>
      <c r="D76" s="136"/>
      <c r="E76" s="136"/>
      <c r="F76" s="136"/>
      <c r="G76" s="136"/>
      <c r="H76" s="136"/>
      <c r="I76" s="136"/>
      <c r="J76" s="136"/>
      <c r="K76" s="136"/>
      <c r="L76" s="136"/>
      <c r="M76" s="136"/>
      <c r="N76" s="136"/>
      <c r="O76" s="136"/>
      <c r="P76" s="183"/>
      <c r="AA76" s="863">
        <f>Ref!$B$27</f>
        <v>2016</v>
      </c>
      <c r="AC76" s="860" t="s">
        <v>77</v>
      </c>
      <c r="AD76" s="860" t="s">
        <v>130</v>
      </c>
      <c r="AE76" s="860">
        <f t="shared" si="32"/>
        <v>61</v>
      </c>
      <c r="AF76" s="860">
        <f t="shared" si="33"/>
        <v>9934</v>
      </c>
      <c r="AG76" s="861">
        <f t="shared" si="19"/>
        <v>4.6970169680876328</v>
      </c>
      <c r="AH76" s="861">
        <f t="shared" si="20"/>
        <v>7.8877644367662656</v>
      </c>
      <c r="AI76" s="862">
        <f t="shared" si="21"/>
        <v>6.1405274813770889</v>
      </c>
      <c r="AJ76" s="862">
        <f t="shared" si="28"/>
        <v>1.7472369553891767</v>
      </c>
      <c r="AK76" s="862">
        <f t="shared" si="29"/>
        <v>1.4435105132894561</v>
      </c>
    </row>
    <row r="77" spans="1:37">
      <c r="A77" s="182"/>
      <c r="B77" s="136"/>
      <c r="C77" s="136"/>
      <c r="D77" s="136"/>
      <c r="E77" s="136"/>
      <c r="F77" s="136"/>
      <c r="G77" s="136"/>
      <c r="H77" s="136"/>
      <c r="I77" s="136"/>
      <c r="J77" s="136"/>
      <c r="K77" s="136"/>
      <c r="L77" s="136"/>
      <c r="M77" s="136"/>
      <c r="N77" s="136"/>
      <c r="O77" s="136"/>
      <c r="P77" s="183"/>
      <c r="AA77" s="863">
        <f>Ref!$B$27</f>
        <v>2016</v>
      </c>
      <c r="AC77" s="860" t="s">
        <v>78</v>
      </c>
      <c r="AD77" s="860" t="s">
        <v>131</v>
      </c>
      <c r="AE77" s="860">
        <f t="shared" si="32"/>
        <v>52</v>
      </c>
      <c r="AF77" s="860">
        <f t="shared" si="33"/>
        <v>16664</v>
      </c>
      <c r="AG77" s="861">
        <f t="shared" si="19"/>
        <v>2.3305381181265736</v>
      </c>
      <c r="AH77" s="861">
        <f t="shared" si="20"/>
        <v>4.0921196435953489</v>
      </c>
      <c r="AI77" s="862">
        <f t="shared" si="21"/>
        <v>3.1204992798847817</v>
      </c>
      <c r="AJ77" s="862">
        <f t="shared" si="28"/>
        <v>0.97162036371056715</v>
      </c>
      <c r="AK77" s="862">
        <f t="shared" si="29"/>
        <v>0.78996116175820807</v>
      </c>
    </row>
    <row r="78" spans="1:37">
      <c r="A78" s="182"/>
      <c r="B78" s="136"/>
      <c r="C78" s="136"/>
      <c r="D78" s="136"/>
      <c r="E78" s="136"/>
      <c r="F78" s="136"/>
      <c r="G78" s="136"/>
      <c r="H78" s="136"/>
      <c r="I78" s="136"/>
      <c r="J78" s="136"/>
      <c r="K78" s="136"/>
      <c r="L78" s="136"/>
      <c r="M78" s="136"/>
      <c r="N78" s="136"/>
      <c r="O78" s="136"/>
      <c r="P78" s="183"/>
      <c r="AA78" s="863">
        <f>Ref!$B$27</f>
        <v>2016</v>
      </c>
      <c r="AC78" s="860" t="s">
        <v>79</v>
      </c>
      <c r="AD78" s="860" t="s">
        <v>132</v>
      </c>
      <c r="AE78" s="860">
        <f t="shared" si="32"/>
        <v>59</v>
      </c>
      <c r="AF78" s="860">
        <f t="shared" si="33"/>
        <v>18720</v>
      </c>
      <c r="AG78" s="861">
        <f t="shared" si="19"/>
        <v>2.3992272237549916</v>
      </c>
      <c r="AH78" s="861">
        <f t="shared" si="20"/>
        <v>4.0654755001375946</v>
      </c>
      <c r="AI78" s="862">
        <f t="shared" si="21"/>
        <v>3.1517094017094016</v>
      </c>
      <c r="AJ78" s="862">
        <f t="shared" si="28"/>
        <v>0.91376609842819301</v>
      </c>
      <c r="AK78" s="862">
        <f t="shared" si="29"/>
        <v>0.75248217795440997</v>
      </c>
    </row>
    <row r="79" spans="1:37">
      <c r="A79" s="182"/>
      <c r="B79" s="136"/>
      <c r="C79" s="136"/>
      <c r="D79" s="136"/>
      <c r="E79" s="136"/>
      <c r="F79" s="136"/>
      <c r="G79" s="136"/>
      <c r="H79" s="136"/>
      <c r="I79" s="136"/>
      <c r="J79" s="136"/>
      <c r="K79" s="136"/>
      <c r="L79" s="136"/>
      <c r="M79" s="136"/>
      <c r="N79" s="136"/>
      <c r="O79" s="136"/>
      <c r="P79" s="183"/>
      <c r="AA79" s="863">
        <f>Ref!$B$27</f>
        <v>2016</v>
      </c>
      <c r="AC79" s="860" t="s">
        <v>80</v>
      </c>
      <c r="AD79" s="860" t="s">
        <v>133</v>
      </c>
      <c r="AE79" s="860">
        <f t="shared" si="32"/>
        <v>26</v>
      </c>
      <c r="AF79" s="860">
        <f t="shared" si="33"/>
        <v>10105</v>
      </c>
      <c r="AG79" s="861">
        <f t="shared" si="19"/>
        <v>1.6807583587923149</v>
      </c>
      <c r="AH79" s="861">
        <f t="shared" si="20"/>
        <v>3.7700172274245447</v>
      </c>
      <c r="AI79" s="862">
        <f t="shared" si="21"/>
        <v>2.5729836714497774</v>
      </c>
      <c r="AJ79" s="862">
        <f t="shared" si="28"/>
        <v>1.1970335559747673</v>
      </c>
      <c r="AK79" s="862">
        <f t="shared" si="29"/>
        <v>0.89222531265746241</v>
      </c>
    </row>
    <row r="80" spans="1:37">
      <c r="A80" s="193"/>
      <c r="B80" s="194"/>
      <c r="C80" s="194"/>
      <c r="D80" s="194"/>
      <c r="E80" s="194"/>
      <c r="F80" s="194"/>
      <c r="G80" s="194"/>
      <c r="H80" s="194"/>
      <c r="I80" s="194"/>
      <c r="J80" s="194"/>
      <c r="K80" s="194"/>
      <c r="L80" s="194"/>
      <c r="M80" s="194"/>
      <c r="N80" s="194"/>
      <c r="O80" s="194"/>
      <c r="P80" s="195"/>
      <c r="AA80" s="863">
        <f>Ref!$B$27</f>
        <v>2016</v>
      </c>
      <c r="AC80" s="860" t="s">
        <v>81</v>
      </c>
      <c r="AD80" s="860" t="s">
        <v>134</v>
      </c>
      <c r="AE80" s="860">
        <f t="shared" si="32"/>
        <v>15</v>
      </c>
      <c r="AF80" s="860">
        <f t="shared" si="33"/>
        <v>2454</v>
      </c>
      <c r="AG80" s="861">
        <f t="shared" si="19"/>
        <v>3.4211027435954815</v>
      </c>
      <c r="AH80" s="861">
        <f t="shared" si="20"/>
        <v>10.08158878218657</v>
      </c>
      <c r="AI80" s="862">
        <f t="shared" si="21"/>
        <v>6.1124694376528126</v>
      </c>
      <c r="AJ80" s="862">
        <f t="shared" si="28"/>
        <v>3.9691193445337571</v>
      </c>
      <c r="AK80" s="862">
        <f t="shared" si="29"/>
        <v>2.6913666940573311</v>
      </c>
    </row>
    <row r="82" spans="1:56">
      <c r="AR82" s="870"/>
      <c r="AS82" s="870"/>
      <c r="AT82" s="870"/>
      <c r="AU82" s="870"/>
      <c r="AV82" s="870"/>
      <c r="AW82" s="870"/>
      <c r="AX82" s="244"/>
      <c r="AY82" s="244"/>
      <c r="AZ82" s="244"/>
      <c r="BA82" s="244"/>
      <c r="BB82" s="648"/>
      <c r="BC82" s="648"/>
      <c r="BD82" s="648"/>
    </row>
    <row r="83" spans="1:56">
      <c r="A83" s="179"/>
      <c r="B83" s="180"/>
      <c r="C83" s="180"/>
      <c r="D83" s="180"/>
      <c r="E83" s="180"/>
      <c r="F83" s="180"/>
      <c r="G83" s="180"/>
      <c r="H83" s="180"/>
      <c r="I83" s="180"/>
      <c r="J83" s="180"/>
      <c r="K83" s="180"/>
      <c r="L83" s="180"/>
      <c r="M83" s="180"/>
      <c r="N83" s="180"/>
      <c r="O83" s="180"/>
      <c r="P83" s="181"/>
      <c r="AA83" s="868" t="s">
        <v>302</v>
      </c>
      <c r="AB83" s="860" t="s">
        <v>323</v>
      </c>
      <c r="AC83" s="860" t="s">
        <v>124</v>
      </c>
      <c r="AD83" s="860" t="s">
        <v>454</v>
      </c>
      <c r="AE83" s="860" t="s">
        <v>299</v>
      </c>
      <c r="AF83" s="860" t="s">
        <v>324</v>
      </c>
      <c r="AG83" s="860" t="s">
        <v>300</v>
      </c>
      <c r="AH83" s="860" t="s">
        <v>301</v>
      </c>
      <c r="AI83" s="860" t="s">
        <v>45</v>
      </c>
      <c r="AJ83" s="860" t="s">
        <v>290</v>
      </c>
      <c r="AK83" s="860" t="s">
        <v>289</v>
      </c>
      <c r="AR83" s="870"/>
      <c r="AS83" s="870"/>
      <c r="AT83" s="870"/>
      <c r="AU83" s="870"/>
      <c r="AV83" s="870"/>
      <c r="AW83" s="870"/>
      <c r="AX83" s="244"/>
      <c r="AY83" s="244"/>
      <c r="AZ83" s="244"/>
      <c r="BA83" s="244"/>
      <c r="BB83" s="648"/>
      <c r="BC83" s="648"/>
      <c r="BD83" s="648"/>
    </row>
    <row r="84" spans="1:56">
      <c r="A84" s="182"/>
      <c r="B84" s="964" t="str">
        <f>Contents!E29</f>
        <v xml:space="preserve">Figure 4: Fetal and infant death rates by deprivation quintile of residence, 2011−2015 and 2016
</v>
      </c>
      <c r="C84" s="964"/>
      <c r="D84" s="964"/>
      <c r="E84" s="964"/>
      <c r="F84" s="964"/>
      <c r="G84" s="964"/>
      <c r="H84" s="964"/>
      <c r="I84" s="964"/>
      <c r="J84" s="964"/>
      <c r="K84" s="964"/>
      <c r="L84" s="964"/>
      <c r="M84" s="964"/>
      <c r="N84" s="964"/>
      <c r="O84" s="964"/>
      <c r="P84" s="183"/>
      <c r="AA84" s="860" t="str">
        <f>Ref!$B$30</f>
        <v>2011-2015</v>
      </c>
      <c r="AB84" s="860" t="s">
        <v>303</v>
      </c>
      <c r="AC84" s="860" t="s">
        <v>83</v>
      </c>
      <c r="AD84" s="863" t="s">
        <v>421</v>
      </c>
      <c r="AE84" s="860">
        <f>VLOOKUP(AD84&amp;$AD$83&amp;$AC$36, vw.deaths.trend,4, FALSE)</f>
        <v>280</v>
      </c>
      <c r="AF84" s="860">
        <f>VLOOKUP(AD84&amp;$AD$83&amp;$AC$36, vw.deaths.trend,5, FALSE)</f>
        <v>42804</v>
      </c>
      <c r="AG84" s="861">
        <f t="shared" ref="AG84:AG103" si="34">IF(AE84=0,0,IF(AE84&lt;389,CHIINV(0.5+$AB$35/200,2*AE84)/2,AE84*(1-1/(9*AE84)-NORMSINV(0.5+$AB$35/200)/3/SQRT(AE84))^3))/AF84*1000</f>
        <v>5.7976055591608215</v>
      </c>
      <c r="AH84" s="861">
        <f t="shared" ref="AH84:AH103" si="35">IF(AE84&lt;389,CHIINV(0.5-$AB$35/200,2*AE84+2)/2,(AE84+1)*(1-1/(9*(AE84+1))+NORMSINV(0.5+$AB$35/200)/3/SQRT(AE84+1))^3)/AF84*1000</f>
        <v>7.3542576053043662</v>
      </c>
      <c r="AI84" s="860">
        <f>VLOOKUP(AD84&amp;$AD$83&amp;$AC$36, vw.deaths.trend,6, FALSE)</f>
        <v>6.5</v>
      </c>
      <c r="AJ84" s="862">
        <f t="shared" ref="AJ84:AJ93" si="36">AH84-AI84</f>
        <v>0.85425760530436623</v>
      </c>
      <c r="AK84" s="862">
        <f t="shared" ref="AK84:AK93" si="37">AI84-AG84</f>
        <v>0.70239444083917846</v>
      </c>
    </row>
    <row r="85" spans="1:56">
      <c r="A85" s="182"/>
      <c r="B85" s="136"/>
      <c r="C85" s="136"/>
      <c r="D85" s="136"/>
      <c r="E85" s="136"/>
      <c r="F85" s="136"/>
      <c r="G85" s="136"/>
      <c r="H85" s="136"/>
      <c r="I85" s="136"/>
      <c r="J85" s="136"/>
      <c r="K85" s="136"/>
      <c r="L85" s="965" t="s">
        <v>323</v>
      </c>
      <c r="M85" s="965" t="s">
        <v>75</v>
      </c>
      <c r="N85" s="962" t="s">
        <v>612</v>
      </c>
      <c r="O85" s="962">
        <v>2016</v>
      </c>
      <c r="P85" s="183"/>
      <c r="AA85" s="860" t="str">
        <f>Ref!$B$30</f>
        <v>2011-2015</v>
      </c>
      <c r="AC85" s="860">
        <v>2</v>
      </c>
      <c r="AD85" s="863" t="s">
        <v>422</v>
      </c>
      <c r="AE85" s="860">
        <f>VLOOKUP(AD85&amp;$AD$83&amp;$AC$36, vw.deaths.trend, 4, FALSE)</f>
        <v>304</v>
      </c>
      <c r="AF85" s="860">
        <f>VLOOKUP(AD85&amp;$AD$83&amp;$AC$36, vw.deaths.trend,5, FALSE)</f>
        <v>47402</v>
      </c>
      <c r="AG85" s="861">
        <f t="shared" si="34"/>
        <v>5.712494094763346</v>
      </c>
      <c r="AH85" s="861">
        <f t="shared" si="35"/>
        <v>7.1762032996664118</v>
      </c>
      <c r="AI85" s="860">
        <f>VLOOKUP(AD85&amp;$AD$83&amp;$AC$36, vw.deaths.trend,6, FALSE)</f>
        <v>6.4</v>
      </c>
      <c r="AJ85" s="862">
        <f t="shared" si="36"/>
        <v>0.77620329966641144</v>
      </c>
      <c r="AK85" s="862">
        <f t="shared" si="37"/>
        <v>0.68750590523665434</v>
      </c>
    </row>
    <row r="86" spans="1:56">
      <c r="A86" s="182"/>
      <c r="B86" s="136"/>
      <c r="C86" s="136"/>
      <c r="D86" s="136"/>
      <c r="E86" s="136"/>
      <c r="F86" s="136"/>
      <c r="G86" s="136"/>
      <c r="H86" s="136"/>
      <c r="I86" s="136"/>
      <c r="J86" s="136"/>
      <c r="K86" s="136"/>
      <c r="L86" s="966"/>
      <c r="M86" s="966"/>
      <c r="N86" s="963"/>
      <c r="O86" s="963"/>
      <c r="P86" s="183"/>
      <c r="AA86" s="860" t="str">
        <f>Ref!$B$30</f>
        <v>2011-2015</v>
      </c>
      <c r="AC86" s="860">
        <v>3</v>
      </c>
      <c r="AD86" s="863" t="s">
        <v>423</v>
      </c>
      <c r="AE86" s="860">
        <f>VLOOKUP(AD86&amp;$AD$83&amp;$AC$36, vw.deaths.trend, 4, FALSE)</f>
        <v>333</v>
      </c>
      <c r="AF86" s="860">
        <f>VLOOKUP(AD86&amp;$AD$83&amp;$AC$36, vw.deaths.trend,5, FALSE)</f>
        <v>53439</v>
      </c>
      <c r="AG86" s="861">
        <f t="shared" si="34"/>
        <v>5.5800142131391066</v>
      </c>
      <c r="AH86" s="861">
        <f t="shared" si="35"/>
        <v>6.9379515714967877</v>
      </c>
      <c r="AI86" s="860">
        <f>VLOOKUP(AD86&amp;$AD$83&amp;$AC$36, vw.deaths.trend,6, FALSE)</f>
        <v>6.2</v>
      </c>
      <c r="AJ86" s="862">
        <f t="shared" si="36"/>
        <v>0.73795157149678747</v>
      </c>
      <c r="AK86" s="862">
        <f t="shared" si="37"/>
        <v>0.61998578686089356</v>
      </c>
    </row>
    <row r="87" spans="1:56">
      <c r="A87" s="182"/>
      <c r="B87" s="136"/>
      <c r="C87" s="136"/>
      <c r="D87" s="136"/>
      <c r="E87" s="136"/>
      <c r="F87" s="136"/>
      <c r="G87" s="136"/>
      <c r="H87" s="136"/>
      <c r="I87" s="136"/>
      <c r="J87" s="136"/>
      <c r="K87" s="136"/>
      <c r="L87" s="246" t="s">
        <v>47</v>
      </c>
      <c r="M87" s="132" t="s">
        <v>83</v>
      </c>
      <c r="N87" s="200">
        <f>AI84</f>
        <v>6.5</v>
      </c>
      <c r="O87" s="200">
        <f>AI94</f>
        <v>4.7</v>
      </c>
      <c r="P87" s="183"/>
      <c r="AA87" s="860" t="str">
        <f>Ref!$B$30</f>
        <v>2011-2015</v>
      </c>
      <c r="AC87" s="860">
        <v>4</v>
      </c>
      <c r="AD87" s="863" t="s">
        <v>424</v>
      </c>
      <c r="AE87" s="860">
        <f>VLOOKUP(AD87&amp;$AD$83&amp;$AC$36, vw.deaths.trend, 4, FALSE)</f>
        <v>451</v>
      </c>
      <c r="AF87" s="860">
        <f>VLOOKUP(AD87&amp;$AD$83&amp;$AC$36, vw.deaths.trend,5, FALSE)</f>
        <v>65935</v>
      </c>
      <c r="AG87" s="861">
        <f t="shared" si="34"/>
        <v>6.2232654807605199</v>
      </c>
      <c r="AH87" s="861">
        <f t="shared" si="35"/>
        <v>7.5014629312663983</v>
      </c>
      <c r="AI87" s="860">
        <f>VLOOKUP(AD87&amp;$AD$83&amp;$AC$36, vw.deaths.trend,6, FALSE)</f>
        <v>6.8</v>
      </c>
      <c r="AJ87" s="862">
        <f t="shared" si="36"/>
        <v>0.70146293126639847</v>
      </c>
      <c r="AK87" s="862">
        <f t="shared" si="37"/>
        <v>0.57673451923947994</v>
      </c>
    </row>
    <row r="88" spans="1:56">
      <c r="A88" s="182"/>
      <c r="B88" s="136"/>
      <c r="C88" s="136"/>
      <c r="D88" s="136"/>
      <c r="E88" s="136"/>
      <c r="F88" s="136"/>
      <c r="G88" s="136"/>
      <c r="H88" s="136"/>
      <c r="I88" s="136"/>
      <c r="J88" s="136"/>
      <c r="K88" s="136"/>
      <c r="L88" s="142"/>
      <c r="M88" s="142">
        <v>2</v>
      </c>
      <c r="N88" s="144">
        <f t="shared" ref="N88:N96" si="38">AI85</f>
        <v>6.4</v>
      </c>
      <c r="O88" s="144">
        <f t="shared" ref="O88:O96" si="39">AI95</f>
        <v>6.3</v>
      </c>
      <c r="P88" s="183"/>
      <c r="AA88" s="860" t="str">
        <f>Ref!$B$30</f>
        <v>2011-2015</v>
      </c>
      <c r="AC88" s="860" t="s">
        <v>84</v>
      </c>
      <c r="AD88" s="863" t="s">
        <v>425</v>
      </c>
      <c r="AE88" s="860">
        <f>VLOOKUP(AD88&amp;$AD$83&amp;$AC$36, vw.deaths.trend, 4, FALSE)</f>
        <v>659</v>
      </c>
      <c r="AF88" s="860">
        <f>VLOOKUP(AD88&amp;$AD$83&amp;$AC$36, vw.deaths.trend,5, FALSE)</f>
        <v>86114</v>
      </c>
      <c r="AG88" s="861">
        <f t="shared" si="34"/>
        <v>7.0794396891070948</v>
      </c>
      <c r="AH88" s="861">
        <f t="shared" si="35"/>
        <v>8.2599029445588332</v>
      </c>
      <c r="AI88" s="860">
        <f>VLOOKUP(AD88&amp;$AD$83&amp;$AC$36, vw.deaths.trend,6, FALSE)</f>
        <v>7.7</v>
      </c>
      <c r="AJ88" s="862">
        <f t="shared" si="36"/>
        <v>0.55990294455883305</v>
      </c>
      <c r="AK88" s="862">
        <f t="shared" si="37"/>
        <v>0.62056031089290542</v>
      </c>
    </row>
    <row r="89" spans="1:56">
      <c r="A89" s="182"/>
      <c r="B89" s="136"/>
      <c r="C89" s="136"/>
      <c r="D89" s="136"/>
      <c r="E89" s="136"/>
      <c r="F89" s="136"/>
      <c r="G89" s="136"/>
      <c r="H89" s="136"/>
      <c r="I89" s="136"/>
      <c r="J89" s="136"/>
      <c r="K89" s="136"/>
      <c r="L89" s="142"/>
      <c r="M89" s="142">
        <v>3</v>
      </c>
      <c r="N89" s="144">
        <f t="shared" si="38"/>
        <v>6.2</v>
      </c>
      <c r="O89" s="144">
        <f t="shared" si="39"/>
        <v>6.2</v>
      </c>
      <c r="P89" s="183"/>
      <c r="AA89" s="860" t="str">
        <f>Ref!$B$30</f>
        <v>2011-2015</v>
      </c>
      <c r="AB89" s="860" t="s">
        <v>304</v>
      </c>
      <c r="AC89" s="860" t="s">
        <v>83</v>
      </c>
      <c r="AD89" s="863" t="s">
        <v>421</v>
      </c>
      <c r="AE89" s="860">
        <f>VLOOKUP(AD89&amp;$AD$83&amp;$AD$36, vw.deaths.trend, 4, FALSE)</f>
        <v>120</v>
      </c>
      <c r="AF89" s="860">
        <f>VLOOKUP(AD89&amp;$AD$83&amp;$AD$36, vw.deaths.trend,5, FALSE)</f>
        <v>42524</v>
      </c>
      <c r="AG89" s="861">
        <f t="shared" si="34"/>
        <v>2.3396652625796892</v>
      </c>
      <c r="AH89" s="861">
        <f t="shared" si="35"/>
        <v>3.3743435558590975</v>
      </c>
      <c r="AI89" s="860">
        <f>VLOOKUP(AD89&amp;$AD$83&amp;$AD$36, vw.deaths.trend,6, FALSE)</f>
        <v>2.8</v>
      </c>
      <c r="AJ89" s="862">
        <f t="shared" si="36"/>
        <v>0.57434355585909769</v>
      </c>
      <c r="AK89" s="862">
        <f t="shared" si="37"/>
        <v>0.46033473742031061</v>
      </c>
    </row>
    <row r="90" spans="1:56">
      <c r="A90" s="182"/>
      <c r="B90" s="136"/>
      <c r="C90" s="136"/>
      <c r="D90" s="136"/>
      <c r="E90" s="136"/>
      <c r="F90" s="136"/>
      <c r="G90" s="136"/>
      <c r="H90" s="136"/>
      <c r="I90" s="136"/>
      <c r="J90" s="136"/>
      <c r="K90" s="136"/>
      <c r="L90" s="136"/>
      <c r="M90" s="142">
        <v>4</v>
      </c>
      <c r="N90" s="144">
        <f t="shared" si="38"/>
        <v>6.8</v>
      </c>
      <c r="O90" s="144">
        <f t="shared" si="39"/>
        <v>6.8</v>
      </c>
      <c r="P90" s="183"/>
      <c r="AA90" s="860" t="str">
        <f>Ref!$B$30</f>
        <v>2011-2015</v>
      </c>
      <c r="AC90" s="860">
        <v>2</v>
      </c>
      <c r="AD90" s="863" t="s">
        <v>422</v>
      </c>
      <c r="AE90" s="860">
        <f>VLOOKUP(AD90&amp;$AD$83&amp;$AD$36, vw.deaths.trend, 4, FALSE)</f>
        <v>152</v>
      </c>
      <c r="AF90" s="860">
        <f>VLOOKUP(AD90&amp;$AD$83&amp;$AD$36, vw.deaths.trend,5, FALSE)</f>
        <v>47098</v>
      </c>
      <c r="AG90" s="861">
        <f t="shared" si="34"/>
        <v>2.734650611787647</v>
      </c>
      <c r="AH90" s="861">
        <f t="shared" si="35"/>
        <v>3.7830956378740015</v>
      </c>
      <c r="AI90" s="860">
        <f>VLOOKUP(AD90&amp;$AD$83&amp;$AD$36, vw.deaths.trend,6, FALSE)</f>
        <v>3.2</v>
      </c>
      <c r="AJ90" s="862">
        <f t="shared" si="36"/>
        <v>0.58309563787400132</v>
      </c>
      <c r="AK90" s="862">
        <f t="shared" si="37"/>
        <v>0.46534938821235317</v>
      </c>
    </row>
    <row r="91" spans="1:56">
      <c r="A91" s="182"/>
      <c r="B91" s="136"/>
      <c r="C91" s="136"/>
      <c r="D91" s="136"/>
      <c r="E91" s="136"/>
      <c r="F91" s="136"/>
      <c r="G91" s="136"/>
      <c r="H91" s="136"/>
      <c r="I91" s="136"/>
      <c r="J91" s="136"/>
      <c r="K91" s="136"/>
      <c r="L91" s="136"/>
      <c r="M91" s="143" t="s">
        <v>84</v>
      </c>
      <c r="N91" s="144">
        <f t="shared" si="38"/>
        <v>7.7</v>
      </c>
      <c r="O91" s="144">
        <f t="shared" si="39"/>
        <v>7.4</v>
      </c>
      <c r="P91" s="183"/>
      <c r="AA91" s="860" t="str">
        <f>Ref!$B$30</f>
        <v>2011-2015</v>
      </c>
      <c r="AC91" s="860">
        <v>3</v>
      </c>
      <c r="AD91" s="863" t="s">
        <v>423</v>
      </c>
      <c r="AE91" s="860">
        <f>VLOOKUP(AD91&amp;$AD$83&amp;$AD$36, vw.deaths.trend, 4, FALSE)</f>
        <v>234</v>
      </c>
      <c r="AF91" s="860">
        <f>VLOOKUP(AD91&amp;$AD$83&amp;$AD$36, vw.deaths.trend,5, FALSE)</f>
        <v>53106</v>
      </c>
      <c r="AG91" s="861">
        <f t="shared" si="34"/>
        <v>3.8597599050969023</v>
      </c>
      <c r="AH91" s="861">
        <f t="shared" si="35"/>
        <v>5.0084987322462933</v>
      </c>
      <c r="AI91" s="860">
        <f>VLOOKUP(AD91&amp;$AD$83&amp;$AD$36, vw.deaths.trend,6, FALSE)</f>
        <v>4.4000000000000004</v>
      </c>
      <c r="AJ91" s="862">
        <f t="shared" si="36"/>
        <v>0.60849873224629292</v>
      </c>
      <c r="AK91" s="862">
        <f t="shared" si="37"/>
        <v>0.5402400949030981</v>
      </c>
    </row>
    <row r="92" spans="1:56">
      <c r="A92" s="182"/>
      <c r="B92" s="136"/>
      <c r="C92" s="136"/>
      <c r="D92" s="136"/>
      <c r="E92" s="136"/>
      <c r="F92" s="136"/>
      <c r="G92" s="136"/>
      <c r="H92" s="136"/>
      <c r="I92" s="136"/>
      <c r="J92" s="136"/>
      <c r="K92" s="136"/>
      <c r="L92" s="247" t="s">
        <v>48</v>
      </c>
      <c r="M92" s="132" t="s">
        <v>83</v>
      </c>
      <c r="N92" s="200">
        <f>AI89</f>
        <v>2.8</v>
      </c>
      <c r="O92" s="200">
        <f t="shared" si="39"/>
        <v>2.6</v>
      </c>
      <c r="P92" s="183"/>
      <c r="AA92" s="860" t="str">
        <f>Ref!$B$30</f>
        <v>2011-2015</v>
      </c>
      <c r="AC92" s="860">
        <v>4</v>
      </c>
      <c r="AD92" s="863" t="s">
        <v>424</v>
      </c>
      <c r="AE92" s="860">
        <f>VLOOKUP(AD92&amp;$AD$83&amp;$AD$36, vw.deaths.trend, 4, FALSE)</f>
        <v>302</v>
      </c>
      <c r="AF92" s="860">
        <f>VLOOKUP(AD92&amp;$AD$83&amp;$AD$36, vw.deaths.trend,5, FALSE)</f>
        <v>65484</v>
      </c>
      <c r="AG92" s="861">
        <f t="shared" si="34"/>
        <v>4.1062896780035745</v>
      </c>
      <c r="AH92" s="861">
        <f t="shared" si="35"/>
        <v>5.1623899450021833</v>
      </c>
      <c r="AI92" s="860">
        <f>VLOOKUP(AD92&amp;$AD$83&amp;$AD$36, vw.deaths.trend,6, FALSE)</f>
        <v>4.5999999999999996</v>
      </c>
      <c r="AJ92" s="862">
        <f t="shared" si="36"/>
        <v>0.56238994500218364</v>
      </c>
      <c r="AK92" s="862">
        <f t="shared" si="37"/>
        <v>0.49371032199642517</v>
      </c>
    </row>
    <row r="93" spans="1:56">
      <c r="A93" s="182"/>
      <c r="B93" s="136"/>
      <c r="C93" s="136"/>
      <c r="D93" s="136"/>
      <c r="E93" s="136"/>
      <c r="F93" s="136"/>
      <c r="G93" s="136"/>
      <c r="H93" s="136"/>
      <c r="I93" s="136"/>
      <c r="J93" s="136"/>
      <c r="K93" s="136"/>
      <c r="L93" s="142"/>
      <c r="M93" s="142">
        <v>2</v>
      </c>
      <c r="N93" s="144">
        <f t="shared" si="38"/>
        <v>3.2</v>
      </c>
      <c r="O93" s="144">
        <f t="shared" si="39"/>
        <v>2.4</v>
      </c>
      <c r="P93" s="183"/>
      <c r="AA93" s="860" t="str">
        <f>Ref!$B$30</f>
        <v>2011-2015</v>
      </c>
      <c r="AC93" s="860" t="s">
        <v>84</v>
      </c>
      <c r="AD93" s="863" t="s">
        <v>425</v>
      </c>
      <c r="AE93" s="860">
        <f>VLOOKUP(AD93&amp;$AD$83&amp;$AD$36, vw.deaths.trend, 4, FALSE)</f>
        <v>663</v>
      </c>
      <c r="AF93" s="860">
        <f>VLOOKUP(AD93&amp;$AD$83&amp;$AD$36, vw.deaths.trend,5, FALSE)</f>
        <v>85455</v>
      </c>
      <c r="AG93" s="861">
        <f t="shared" si="34"/>
        <v>7.1790577990972233</v>
      </c>
      <c r="AH93" s="861">
        <f t="shared" si="35"/>
        <v>8.3721918438373688</v>
      </c>
      <c r="AI93" s="860">
        <f>VLOOKUP(AD93&amp;$AD$83&amp;$AD$36, vw.deaths.trend,6, FALSE)</f>
        <v>7.8</v>
      </c>
      <c r="AJ93" s="862">
        <f t="shared" si="36"/>
        <v>0.57219184383736899</v>
      </c>
      <c r="AK93" s="862">
        <f t="shared" si="37"/>
        <v>0.62094220090277652</v>
      </c>
    </row>
    <row r="94" spans="1:56">
      <c r="A94" s="182"/>
      <c r="B94" s="136"/>
      <c r="C94" s="136"/>
      <c r="D94" s="136"/>
      <c r="E94" s="136"/>
      <c r="F94" s="136"/>
      <c r="G94" s="136"/>
      <c r="H94" s="136"/>
      <c r="I94" s="136"/>
      <c r="J94" s="136"/>
      <c r="K94" s="136"/>
      <c r="L94" s="136"/>
      <c r="M94" s="142">
        <v>3</v>
      </c>
      <c r="N94" s="144">
        <f t="shared" si="38"/>
        <v>4.4000000000000004</v>
      </c>
      <c r="O94" s="144">
        <f t="shared" si="39"/>
        <v>2.9</v>
      </c>
      <c r="P94" s="183"/>
      <c r="AA94" s="863">
        <f>Ref!$B$27</f>
        <v>2016</v>
      </c>
      <c r="AB94" s="860" t="s">
        <v>303</v>
      </c>
      <c r="AC94" s="860" t="s">
        <v>83</v>
      </c>
      <c r="AD94" s="863" t="s">
        <v>421</v>
      </c>
      <c r="AE94" s="860">
        <f>VLOOKUP($AA$94&amp;$AD$83&amp;AD94&amp;$AC$36, vw.deaths,5, FALSE)</f>
        <v>43</v>
      </c>
      <c r="AF94" s="860">
        <f t="shared" ref="AF94:AF98" si="40">VLOOKUP($AA$94&amp;$AD$83&amp;AD94&amp;$AC$36, vw.deaths,6, FALSE)</f>
        <v>9237</v>
      </c>
      <c r="AG94" s="861">
        <f t="shared" si="34"/>
        <v>3.3689848665115498</v>
      </c>
      <c r="AH94" s="861">
        <f t="shared" si="35"/>
        <v>6.2705118339702972</v>
      </c>
      <c r="AI94" s="860">
        <f>VLOOKUP($AA$94&amp;$AD$83&amp;AD94&amp;$AC$36, vw.deaths,7, FALSE)</f>
        <v>4.7</v>
      </c>
      <c r="AJ94" s="862">
        <f t="shared" ref="AJ94:AJ103" si="41">AH94-AI94</f>
        <v>1.570511833970297</v>
      </c>
      <c r="AK94" s="862">
        <f t="shared" ref="AK94:AK103" si="42">AI94-AG94</f>
        <v>1.3310151334884504</v>
      </c>
    </row>
    <row r="95" spans="1:56">
      <c r="A95" s="182"/>
      <c r="B95" s="136"/>
      <c r="C95" s="136"/>
      <c r="D95" s="136"/>
      <c r="E95" s="136"/>
      <c r="F95" s="136"/>
      <c r="G95" s="136"/>
      <c r="H95" s="136"/>
      <c r="I95" s="136"/>
      <c r="J95" s="136"/>
      <c r="K95" s="136"/>
      <c r="L95" s="136"/>
      <c r="M95" s="142">
        <v>4</v>
      </c>
      <c r="N95" s="144">
        <f t="shared" si="38"/>
        <v>4.5999999999999996</v>
      </c>
      <c r="O95" s="144">
        <f t="shared" si="39"/>
        <v>4</v>
      </c>
      <c r="P95" s="183"/>
      <c r="AA95" s="863">
        <f>Ref!$B$27</f>
        <v>2016</v>
      </c>
      <c r="AC95" s="860">
        <v>2</v>
      </c>
      <c r="AD95" s="863" t="s">
        <v>422</v>
      </c>
      <c r="AE95" s="860">
        <f t="shared" ref="AE95:AE98" si="43">VLOOKUP($AA$94&amp;$AD$83&amp;AD95&amp;$AC$36, vw.deaths,5, FALSE)</f>
        <v>64</v>
      </c>
      <c r="AF95" s="860">
        <f t="shared" si="40"/>
        <v>10187</v>
      </c>
      <c r="AG95" s="861">
        <f t="shared" si="34"/>
        <v>4.8383035777201782</v>
      </c>
      <c r="AH95" s="861">
        <f t="shared" si="35"/>
        <v>8.0226338675650357</v>
      </c>
      <c r="AI95" s="860">
        <f>VLOOKUP($AA$94&amp;$AD$83&amp;AD95&amp;$AC$36, vw.deaths,7, FALSE)</f>
        <v>6.3</v>
      </c>
      <c r="AJ95" s="862">
        <f t="shared" si="41"/>
        <v>1.7226338675650359</v>
      </c>
      <c r="AK95" s="862">
        <f t="shared" si="42"/>
        <v>1.4616964222798217</v>
      </c>
    </row>
    <row r="96" spans="1:56">
      <c r="A96" s="182"/>
      <c r="B96" s="136"/>
      <c r="C96" s="136"/>
      <c r="D96" s="136"/>
      <c r="E96" s="136"/>
      <c r="F96" s="136"/>
      <c r="G96" s="136"/>
      <c r="H96" s="136"/>
      <c r="I96" s="136"/>
      <c r="J96" s="136"/>
      <c r="K96" s="136"/>
      <c r="L96" s="154"/>
      <c r="M96" s="184" t="s">
        <v>84</v>
      </c>
      <c r="N96" s="201">
        <f t="shared" si="38"/>
        <v>7.8</v>
      </c>
      <c r="O96" s="201">
        <f t="shared" si="39"/>
        <v>6.3</v>
      </c>
      <c r="P96" s="183"/>
      <c r="R96" s="472"/>
      <c r="AA96" s="863">
        <f>Ref!$B$27</f>
        <v>2016</v>
      </c>
      <c r="AC96" s="860">
        <v>3</v>
      </c>
      <c r="AD96" s="863" t="s">
        <v>423</v>
      </c>
      <c r="AE96" s="860">
        <f t="shared" si="43"/>
        <v>68</v>
      </c>
      <c r="AF96" s="860">
        <f t="shared" si="40"/>
        <v>11039</v>
      </c>
      <c r="AG96" s="861">
        <f t="shared" si="34"/>
        <v>4.7834641500699755</v>
      </c>
      <c r="AH96" s="861">
        <f t="shared" si="35"/>
        <v>7.8092402532864886</v>
      </c>
      <c r="AI96" s="860">
        <f>VLOOKUP($AA$94&amp;$AD$83&amp;AD96&amp;$AC$36, vw.deaths,7, FALSE)</f>
        <v>6.2</v>
      </c>
      <c r="AJ96" s="862">
        <f t="shared" si="41"/>
        <v>1.6092402532864885</v>
      </c>
      <c r="AK96" s="862">
        <f t="shared" si="42"/>
        <v>1.4165358499300247</v>
      </c>
    </row>
    <row r="97" spans="1:43">
      <c r="A97" s="182"/>
      <c r="B97" s="136"/>
      <c r="C97" s="136"/>
      <c r="D97" s="136"/>
      <c r="E97" s="136"/>
      <c r="F97" s="136"/>
      <c r="G97" s="136"/>
      <c r="H97" s="136"/>
      <c r="I97" s="136"/>
      <c r="J97" s="136"/>
      <c r="K97" s="136"/>
      <c r="L97" s="162"/>
      <c r="M97" s="162"/>
      <c r="N97" s="162"/>
      <c r="O97" s="162"/>
      <c r="P97" s="183"/>
      <c r="AA97" s="863">
        <f>Ref!$B$27</f>
        <v>2016</v>
      </c>
      <c r="AC97" s="860">
        <v>4</v>
      </c>
      <c r="AD97" s="863" t="s">
        <v>424</v>
      </c>
      <c r="AE97" s="860">
        <f t="shared" si="43"/>
        <v>90</v>
      </c>
      <c r="AF97" s="860">
        <f t="shared" si="40"/>
        <v>13221</v>
      </c>
      <c r="AG97" s="861">
        <f t="shared" si="34"/>
        <v>5.4739148423800001</v>
      </c>
      <c r="AH97" s="861">
        <f t="shared" si="35"/>
        <v>8.3673912555711691</v>
      </c>
      <c r="AI97" s="860">
        <f>VLOOKUP($AA$94&amp;$AD$83&amp;AD97&amp;$AC$36, vw.deaths,7, FALSE)</f>
        <v>6.8</v>
      </c>
      <c r="AJ97" s="862">
        <f t="shared" si="41"/>
        <v>1.5673912555711693</v>
      </c>
      <c r="AK97" s="862">
        <f t="shared" si="42"/>
        <v>1.3260851576199997</v>
      </c>
    </row>
    <row r="98" spans="1:43">
      <c r="A98" s="182"/>
      <c r="B98" s="136"/>
      <c r="C98" s="136"/>
      <c r="D98" s="136"/>
      <c r="E98" s="136"/>
      <c r="F98" s="136"/>
      <c r="G98" s="136"/>
      <c r="H98" s="136"/>
      <c r="I98" s="136"/>
      <c r="J98" s="136"/>
      <c r="K98" s="136"/>
      <c r="L98" s="162"/>
      <c r="M98" s="162"/>
      <c r="N98" s="162"/>
      <c r="O98" s="162"/>
      <c r="P98" s="183"/>
      <c r="AA98" s="863">
        <f>Ref!$B$27</f>
        <v>2016</v>
      </c>
      <c r="AC98" s="860" t="s">
        <v>84</v>
      </c>
      <c r="AD98" s="863" t="s">
        <v>425</v>
      </c>
      <c r="AE98" s="860">
        <f t="shared" si="43"/>
        <v>126</v>
      </c>
      <c r="AF98" s="860">
        <f t="shared" si="40"/>
        <v>17012</v>
      </c>
      <c r="AG98" s="861">
        <f t="shared" si="34"/>
        <v>6.1698427528784849</v>
      </c>
      <c r="AH98" s="861">
        <f t="shared" si="35"/>
        <v>8.818425380180992</v>
      </c>
      <c r="AI98" s="860">
        <f>VLOOKUP($AA$94&amp;$AD$83&amp;AD98&amp;$AC$36, vw.deaths,7, FALSE)</f>
        <v>7.4</v>
      </c>
      <c r="AJ98" s="862">
        <f t="shared" si="41"/>
        <v>1.4184253801809916</v>
      </c>
      <c r="AK98" s="862">
        <f t="shared" si="42"/>
        <v>1.2301572471215154</v>
      </c>
      <c r="AO98" s="871"/>
      <c r="AP98" s="871"/>
      <c r="AQ98" s="871"/>
    </row>
    <row r="99" spans="1:43">
      <c r="A99" s="182"/>
      <c r="B99" s="136"/>
      <c r="C99" s="136"/>
      <c r="D99" s="136"/>
      <c r="E99" s="136"/>
      <c r="F99" s="136"/>
      <c r="G99" s="136"/>
      <c r="H99" s="136"/>
      <c r="I99" s="136"/>
      <c r="J99" s="136"/>
      <c r="K99" s="136"/>
      <c r="L99" s="136"/>
      <c r="M99" s="136"/>
      <c r="N99" s="136"/>
      <c r="O99" s="136"/>
      <c r="P99" s="183"/>
      <c r="AA99" s="863">
        <f>Ref!$B$27</f>
        <v>2016</v>
      </c>
      <c r="AB99" s="860" t="s">
        <v>304</v>
      </c>
      <c r="AC99" s="860" t="s">
        <v>83</v>
      </c>
      <c r="AD99" s="863" t="s">
        <v>421</v>
      </c>
      <c r="AE99" s="860">
        <f>VLOOKUP($AA$94&amp;$AD$83&amp;AD99&amp;$AD$36, vw.deaths,5, FALSE)</f>
        <v>24</v>
      </c>
      <c r="AF99" s="860">
        <f>VLOOKUP($AA$94&amp;$AD$83&amp;AD99&amp;$AD$36, vw.deaths,6, FALSE)</f>
        <v>9194</v>
      </c>
      <c r="AG99" s="861">
        <f t="shared" si="34"/>
        <v>1.6725313089717713</v>
      </c>
      <c r="AH99" s="861">
        <f t="shared" si="35"/>
        <v>3.8840654332992393</v>
      </c>
      <c r="AI99" s="860">
        <f>VLOOKUP($AA$94&amp;$AD$83&amp;AD99&amp;$AD$36, vw.deaths,7, FALSE)</f>
        <v>2.6</v>
      </c>
      <c r="AJ99" s="862">
        <f t="shared" si="41"/>
        <v>1.2840654332992392</v>
      </c>
      <c r="AK99" s="862">
        <f t="shared" si="42"/>
        <v>0.92746869102822882</v>
      </c>
    </row>
    <row r="100" spans="1:43">
      <c r="A100" s="182"/>
      <c r="B100" s="136"/>
      <c r="C100" s="136"/>
      <c r="D100" s="136"/>
      <c r="E100" s="136"/>
      <c r="F100" s="136"/>
      <c r="G100" s="136"/>
      <c r="H100" s="136"/>
      <c r="I100" s="136"/>
      <c r="J100" s="136"/>
      <c r="K100" s="136"/>
      <c r="L100" s="136"/>
      <c r="M100" s="136"/>
      <c r="N100" s="136"/>
      <c r="O100" s="136"/>
      <c r="P100" s="183"/>
      <c r="AA100" s="863">
        <f>Ref!$B$27</f>
        <v>2016</v>
      </c>
      <c r="AC100" s="860">
        <v>2</v>
      </c>
      <c r="AD100" s="863" t="s">
        <v>422</v>
      </c>
      <c r="AE100" s="860">
        <f>VLOOKUP($AA$94&amp;$AD$83&amp;AD100&amp;$AD$36, vw.deaths,5, FALSE)</f>
        <v>24</v>
      </c>
      <c r="AF100" s="860">
        <f>VLOOKUP($AA$94&amp;$AD$83&amp;AD100&amp;$AD$36, vw.deaths,6, FALSE)</f>
        <v>10123</v>
      </c>
      <c r="AG100" s="861">
        <f t="shared" si="34"/>
        <v>1.5190410801824028</v>
      </c>
      <c r="AH100" s="861">
        <f t="shared" si="35"/>
        <v>3.527620032969792</v>
      </c>
      <c r="AI100" s="860">
        <f>VLOOKUP($AA$94&amp;$AD$83&amp;AD100&amp;$AD$36, vw.deaths,7, FALSE)</f>
        <v>2.4</v>
      </c>
      <c r="AJ100" s="862">
        <f t="shared" si="41"/>
        <v>1.1276200329697921</v>
      </c>
      <c r="AK100" s="862">
        <f t="shared" si="42"/>
        <v>0.88095891981759711</v>
      </c>
    </row>
    <row r="101" spans="1:43">
      <c r="A101" s="182"/>
      <c r="B101" s="136"/>
      <c r="C101" s="136"/>
      <c r="D101" s="136"/>
      <c r="E101" s="136"/>
      <c r="F101" s="136"/>
      <c r="G101" s="136"/>
      <c r="H101" s="136"/>
      <c r="I101" s="136"/>
      <c r="J101" s="136"/>
      <c r="K101" s="136"/>
      <c r="L101" s="136"/>
      <c r="M101" s="136"/>
      <c r="N101" s="136"/>
      <c r="O101" s="136"/>
      <c r="P101" s="183"/>
      <c r="AA101" s="863">
        <f>Ref!$B$27</f>
        <v>2016</v>
      </c>
      <c r="AC101" s="860">
        <v>3</v>
      </c>
      <c r="AD101" s="863" t="s">
        <v>423</v>
      </c>
      <c r="AE101" s="860">
        <f>VLOOKUP($AA$94&amp;$AD$83&amp;AD101&amp;$AD$36, vw.deaths,5, FALSE)</f>
        <v>32</v>
      </c>
      <c r="AF101" s="860">
        <f>VLOOKUP($AA$94&amp;$AD$83&amp;AD101&amp;$AD$36, vw.deaths,6, FALSE)</f>
        <v>10971</v>
      </c>
      <c r="AG101" s="861">
        <f t="shared" si="34"/>
        <v>1.9950757735196942</v>
      </c>
      <c r="AH101" s="861">
        <f t="shared" si="35"/>
        <v>4.1176239248400748</v>
      </c>
      <c r="AI101" s="860">
        <f>VLOOKUP($AA$94&amp;$AD$83&amp;AD101&amp;$AD$36, vw.deaths,7, FALSE)</f>
        <v>2.9</v>
      </c>
      <c r="AJ101" s="862">
        <f t="shared" si="41"/>
        <v>1.2176239248400749</v>
      </c>
      <c r="AK101" s="862">
        <f t="shared" si="42"/>
        <v>0.90492422648030568</v>
      </c>
    </row>
    <row r="102" spans="1:43">
      <c r="A102" s="182"/>
      <c r="B102" s="136"/>
      <c r="C102" s="136"/>
      <c r="D102" s="136"/>
      <c r="E102" s="136"/>
      <c r="F102" s="136"/>
      <c r="G102" s="136"/>
      <c r="H102" s="136"/>
      <c r="I102" s="136"/>
      <c r="J102" s="136"/>
      <c r="K102" s="136"/>
      <c r="L102" s="136"/>
      <c r="M102" s="136"/>
      <c r="N102" s="136"/>
      <c r="O102" s="136"/>
      <c r="P102" s="183"/>
      <c r="AA102" s="863">
        <f>Ref!$B$27</f>
        <v>2016</v>
      </c>
      <c r="AC102" s="860">
        <v>4</v>
      </c>
      <c r="AD102" s="863" t="s">
        <v>424</v>
      </c>
      <c r="AE102" s="860">
        <f>VLOOKUP($AA$94&amp;$AD$83&amp;AD102&amp;$AD$36, vw.deaths,5, FALSE)</f>
        <v>52</v>
      </c>
      <c r="AF102" s="860">
        <f>VLOOKUP($AA$94&amp;$AD$83&amp;AD102&amp;$AD$36, vw.deaths,6, FALSE)</f>
        <v>13131</v>
      </c>
      <c r="AG102" s="861">
        <f t="shared" si="34"/>
        <v>2.9575879369782365</v>
      </c>
      <c r="AH102" s="861">
        <f t="shared" si="35"/>
        <v>5.1931369843022539</v>
      </c>
      <c r="AI102" s="860">
        <f>VLOOKUP($AA$94&amp;$AD$83&amp;AD102&amp;$AD$36, vw.deaths,7, FALSE)</f>
        <v>4</v>
      </c>
      <c r="AJ102" s="862">
        <f t="shared" si="41"/>
        <v>1.1931369843022539</v>
      </c>
      <c r="AK102" s="862">
        <f t="shared" si="42"/>
        <v>1.0424120630217635</v>
      </c>
    </row>
    <row r="103" spans="1:43">
      <c r="A103" s="182"/>
      <c r="B103" s="136"/>
      <c r="C103" s="136"/>
      <c r="D103" s="136"/>
      <c r="E103" s="136"/>
      <c r="F103" s="136"/>
      <c r="G103" s="136"/>
      <c r="H103" s="136"/>
      <c r="I103" s="136"/>
      <c r="J103" s="136"/>
      <c r="K103" s="136"/>
      <c r="L103" s="136"/>
      <c r="M103" s="136"/>
      <c r="N103" s="136"/>
      <c r="O103" s="136"/>
      <c r="P103" s="183"/>
      <c r="AA103" s="863">
        <f>Ref!$B$27</f>
        <v>2016</v>
      </c>
      <c r="AC103" s="860" t="s">
        <v>84</v>
      </c>
      <c r="AD103" s="863" t="s">
        <v>425</v>
      </c>
      <c r="AE103" s="860">
        <f>VLOOKUP($AA$94&amp;$AD$83&amp;AD103&amp;$AD$36, vw.deaths,5, FALSE)</f>
        <v>107</v>
      </c>
      <c r="AF103" s="860">
        <f>VLOOKUP($AA$94&amp;$AD$83&amp;AD103&amp;$AD$36, vw.deaths,6, FALSE)</f>
        <v>16886</v>
      </c>
      <c r="AG103" s="861">
        <f t="shared" si="34"/>
        <v>5.1930049862037064</v>
      </c>
      <c r="AH103" s="861">
        <f t="shared" si="35"/>
        <v>7.6571448111396636</v>
      </c>
      <c r="AI103" s="860">
        <f>VLOOKUP($AA$94&amp;$AD$83&amp;AD103&amp;$AD$36, vw.deaths,7, FALSE)</f>
        <v>6.3</v>
      </c>
      <c r="AJ103" s="862">
        <f t="shared" si="41"/>
        <v>1.3571448111396638</v>
      </c>
      <c r="AK103" s="862">
        <f t="shared" si="42"/>
        <v>1.1069950137962934</v>
      </c>
    </row>
    <row r="104" spans="1:43">
      <c r="A104" s="193"/>
      <c r="B104" s="194"/>
      <c r="C104" s="194"/>
      <c r="D104" s="194"/>
      <c r="E104" s="194"/>
      <c r="F104" s="194"/>
      <c r="G104" s="194"/>
      <c r="H104" s="194"/>
      <c r="I104" s="194"/>
      <c r="J104" s="194"/>
      <c r="K104" s="194"/>
      <c r="L104" s="194"/>
      <c r="M104" s="194"/>
      <c r="N104" s="194"/>
      <c r="O104" s="194"/>
      <c r="P104" s="195"/>
    </row>
    <row r="107" spans="1:43">
      <c r="A107" s="179"/>
      <c r="B107" s="180"/>
      <c r="C107" s="180"/>
      <c r="D107" s="180"/>
      <c r="E107" s="180"/>
      <c r="F107" s="180"/>
      <c r="G107" s="180"/>
      <c r="H107" s="180"/>
      <c r="I107" s="180"/>
      <c r="J107" s="180"/>
      <c r="K107" s="180"/>
      <c r="L107" s="180"/>
      <c r="M107" s="180"/>
      <c r="N107" s="180"/>
      <c r="O107" s="180"/>
      <c r="P107" s="181"/>
    </row>
    <row r="108" spans="1:43">
      <c r="A108" s="182"/>
      <c r="B108" s="964" t="str">
        <f>Contents!E30</f>
        <v xml:space="preserve">Figure 5: Rates of sudden unexpected death in infancy (SUDI) and sudden infant death syndrome (SIDS) in those aged &lt;1 year, 2000−2016
</v>
      </c>
      <c r="C108" s="964"/>
      <c r="D108" s="964"/>
      <c r="E108" s="964"/>
      <c r="F108" s="964"/>
      <c r="G108" s="964"/>
      <c r="H108" s="964"/>
      <c r="I108" s="964"/>
      <c r="J108" s="964"/>
      <c r="K108" s="964"/>
      <c r="L108" s="964"/>
      <c r="M108" s="964"/>
      <c r="N108" s="964"/>
      <c r="O108" s="964"/>
      <c r="P108" s="183"/>
      <c r="AC108" s="860" t="s">
        <v>526</v>
      </c>
    </row>
    <row r="109" spans="1:43">
      <c r="A109" s="182"/>
      <c r="B109" s="136"/>
      <c r="C109" s="136"/>
      <c r="D109" s="136"/>
      <c r="E109" s="136"/>
      <c r="F109" s="136"/>
      <c r="G109" s="136"/>
      <c r="H109" s="136"/>
      <c r="I109" s="136"/>
      <c r="J109" s="136"/>
      <c r="K109" s="136"/>
      <c r="L109" s="723"/>
      <c r="M109" s="974" t="s">
        <v>302</v>
      </c>
      <c r="N109" s="962" t="s">
        <v>33</v>
      </c>
      <c r="O109" s="962" t="s">
        <v>32</v>
      </c>
      <c r="P109" s="183"/>
      <c r="AC109" s="860" t="s">
        <v>32</v>
      </c>
      <c r="AE109" s="860" t="s">
        <v>51</v>
      </c>
      <c r="AF109" s="860" t="s">
        <v>32</v>
      </c>
      <c r="AG109" s="860" t="s">
        <v>32</v>
      </c>
      <c r="AH109" s="860" t="s">
        <v>32</v>
      </c>
      <c r="AI109" s="860" t="s">
        <v>32</v>
      </c>
      <c r="AJ109" s="860" t="s">
        <v>32</v>
      </c>
      <c r="AK109" s="860" t="s">
        <v>33</v>
      </c>
      <c r="AL109" s="515" t="s">
        <v>51</v>
      </c>
      <c r="AM109" s="515" t="s">
        <v>33</v>
      </c>
      <c r="AN109" s="515" t="s">
        <v>33</v>
      </c>
      <c r="AO109" s="515" t="s">
        <v>33</v>
      </c>
      <c r="AP109" s="515" t="s">
        <v>33</v>
      </c>
      <c r="AQ109" s="515" t="s">
        <v>33</v>
      </c>
    </row>
    <row r="110" spans="1:43">
      <c r="A110" s="182"/>
      <c r="B110" s="136"/>
      <c r="C110" s="136"/>
      <c r="D110" s="136"/>
      <c r="E110" s="136"/>
      <c r="F110" s="136"/>
      <c r="G110" s="136"/>
      <c r="H110" s="136"/>
      <c r="I110" s="136"/>
      <c r="J110" s="136"/>
      <c r="K110" s="136"/>
      <c r="L110" s="226"/>
      <c r="M110" s="975"/>
      <c r="N110" s="963"/>
      <c r="O110" s="963"/>
      <c r="P110" s="183"/>
      <c r="AB110" s="860" t="s">
        <v>305</v>
      </c>
      <c r="AC110" s="860" t="s">
        <v>299</v>
      </c>
      <c r="AE110" s="860" t="s">
        <v>46</v>
      </c>
      <c r="AF110" s="860" t="s">
        <v>300</v>
      </c>
      <c r="AG110" s="860" t="s">
        <v>301</v>
      </c>
      <c r="AH110" s="860" t="s">
        <v>45</v>
      </c>
      <c r="AI110" s="860" t="s">
        <v>290</v>
      </c>
      <c r="AJ110" s="860" t="s">
        <v>289</v>
      </c>
      <c r="AK110" s="860" t="s">
        <v>299</v>
      </c>
      <c r="AL110" s="515" t="s">
        <v>46</v>
      </c>
      <c r="AM110" s="515" t="s">
        <v>300</v>
      </c>
      <c r="AN110" s="515" t="s">
        <v>301</v>
      </c>
      <c r="AO110" s="515" t="s">
        <v>45</v>
      </c>
      <c r="AP110" s="515" t="s">
        <v>290</v>
      </c>
      <c r="AQ110" s="515" t="s">
        <v>289</v>
      </c>
    </row>
    <row r="111" spans="1:43">
      <c r="A111" s="182"/>
      <c r="B111" s="136"/>
      <c r="C111" s="136"/>
      <c r="D111" s="136"/>
      <c r="E111" s="136"/>
      <c r="F111" s="136"/>
      <c r="G111" s="136"/>
      <c r="H111" s="136"/>
      <c r="I111" s="136"/>
      <c r="J111" s="136"/>
      <c r="K111" s="136"/>
      <c r="L111" s="226"/>
      <c r="M111" s="199">
        <v>2000</v>
      </c>
      <c r="N111" s="144">
        <f>AO111</f>
        <v>1.4387479383794786</v>
      </c>
      <c r="O111" s="144">
        <f t="shared" ref="O111" si="44">AH111</f>
        <v>1.105379513633014</v>
      </c>
      <c r="P111" s="183"/>
      <c r="AA111" s="187">
        <f t="shared" ref="AA111:AA127" si="45">N111-O111</f>
        <v>0.33336842474646455</v>
      </c>
      <c r="AB111" s="860">
        <v>2000</v>
      </c>
      <c r="AC111" s="860">
        <f t="shared" ref="AC111:AC126" si="46">VLOOKUP(AB111&amp;$AC$108&amp;$AC$109, vw.sidsudi, 5, FALSE)</f>
        <v>63</v>
      </c>
      <c r="AE111" s="860">
        <f>BirthsTrend!AA8</f>
        <v>56994</v>
      </c>
      <c r="AF111" s="861">
        <f t="shared" ref="AF111:AF122" si="47">IF(AC111=0,0,IF(AC111&lt;389,CHIINV(0.5+$AB$35/200,2*AC111)/2,AC111*(1-1/(9*AC111)-NORMSINV(0.5+$AB$35/200)/3/SQRT(AC111))^3))/AE111*1000</f>
        <v>0.84940396875964574</v>
      </c>
      <c r="AG111" s="861">
        <f t="shared" ref="AG111:AG122" si="48">IF(AC111&lt;389,CHIINV(0.5-$AB$35/200,2*AC111+2)/2,(AC111+1)*(1-1/(9*(AC111+1))+NORMSINV(0.5+$AB$35/200)/3/SQRT(AC111+1))^3)/AE111*1000</f>
        <v>1.4142605763219023</v>
      </c>
      <c r="AH111" s="862">
        <f t="shared" ref="AH111:AH122" si="49">AC111/AE111*1000</f>
        <v>1.105379513633014</v>
      </c>
      <c r="AI111" s="862">
        <f t="shared" ref="AI111:AI123" si="50">AG111-AH111</f>
        <v>0.30888106268888826</v>
      </c>
      <c r="AJ111" s="862">
        <f t="shared" ref="AJ111:AJ123" si="51">AH111-AF111</f>
        <v>0.25597554487336827</v>
      </c>
      <c r="AK111" s="860">
        <f t="shared" ref="AK111:AK126" si="52">VLOOKUP(AB111&amp;$AC$108&amp;$AK$109,vw.sidsudi,5,FALSE)</f>
        <v>82</v>
      </c>
      <c r="AL111" s="515">
        <f>AE111</f>
        <v>56994</v>
      </c>
      <c r="AM111" s="864">
        <f t="shared" ref="AM111:AM122" si="53">IF(AK111=0,0,IF(AK111&lt;389,CHIINV(0.5+$AB$35/200,2*AK111)/2,AK111*(1-1/(9*AK111)-NORMSINV(0.5+$AB$35/200)/3/SQRT(AK111))^3))/AL111*1000</f>
        <v>1.1442789323069862</v>
      </c>
      <c r="AN111" s="864">
        <f t="shared" ref="AN111:AN122" si="54">IF(AK111&lt;389,CHIINV(0.5-$AB$35/200,2*AK111+2)/2,(AK111+1)*(1-1/(9*(AK111+1))+NORMSINV(0.5+$AB$35/200)/3/SQRT(AK111+1))^3)/AL111*1000</f>
        <v>1.7858655496379994</v>
      </c>
      <c r="AO111" s="871">
        <f t="shared" ref="AO111:AO122" si="55">AK111/AL111*1000</f>
        <v>1.4387479383794786</v>
      </c>
      <c r="AP111" s="871">
        <f t="shared" ref="AP111:AP123" si="56">AN111-AO111</f>
        <v>0.34711761125852081</v>
      </c>
      <c r="AQ111" s="871">
        <f t="shared" ref="AQ111:AQ123" si="57">AO111-AM111</f>
        <v>0.29446900607249238</v>
      </c>
    </row>
    <row r="112" spans="1:43">
      <c r="A112" s="182"/>
      <c r="B112" s="136"/>
      <c r="C112" s="136"/>
      <c r="D112" s="136"/>
      <c r="E112" s="136"/>
      <c r="F112" s="136"/>
      <c r="G112" s="136"/>
      <c r="H112" s="136"/>
      <c r="I112" s="136"/>
      <c r="J112" s="136"/>
      <c r="K112" s="136"/>
      <c r="L112" s="226"/>
      <c r="M112" s="199">
        <v>2001</v>
      </c>
      <c r="N112" s="144">
        <f t="shared" ref="N112:N115" si="58">AO112</f>
        <v>1.2628059191804211</v>
      </c>
      <c r="O112" s="144">
        <f t="shared" ref="O112:O116" si="59">AH112</f>
        <v>0.87151394422310757</v>
      </c>
      <c r="P112" s="183"/>
      <c r="AA112" s="187">
        <f>N112-O112</f>
        <v>0.39129197495731349</v>
      </c>
      <c r="AB112" s="860">
        <v>2001</v>
      </c>
      <c r="AC112" s="860">
        <f t="shared" si="46"/>
        <v>49</v>
      </c>
      <c r="AE112" s="860">
        <f>BirthsTrend!AB8</f>
        <v>56224</v>
      </c>
      <c r="AF112" s="861">
        <f t="shared" si="47"/>
        <v>0.64475081368862308</v>
      </c>
      <c r="AG112" s="861">
        <f t="shared" si="48"/>
        <v>1.152187652833635</v>
      </c>
      <c r="AH112" s="862">
        <f t="shared" si="49"/>
        <v>0.87151394422310757</v>
      </c>
      <c r="AI112" s="862">
        <f t="shared" si="50"/>
        <v>0.28067370861052743</v>
      </c>
      <c r="AJ112" s="862">
        <f t="shared" si="51"/>
        <v>0.22676313053448449</v>
      </c>
      <c r="AK112" s="860">
        <f t="shared" si="52"/>
        <v>71</v>
      </c>
      <c r="AL112" s="515">
        <f t="shared" ref="AL112:AL120" si="60">AE112</f>
        <v>56224</v>
      </c>
      <c r="AM112" s="864">
        <f t="shared" si="53"/>
        <v>0.98626189980255841</v>
      </c>
      <c r="AN112" s="864">
        <f t="shared" si="54"/>
        <v>1.5928578384159899</v>
      </c>
      <c r="AO112" s="871">
        <f t="shared" si="55"/>
        <v>1.2628059191804211</v>
      </c>
      <c r="AP112" s="871">
        <f t="shared" si="56"/>
        <v>0.33005191923556887</v>
      </c>
      <c r="AQ112" s="871">
        <f t="shared" si="57"/>
        <v>0.27654401937786266</v>
      </c>
    </row>
    <row r="113" spans="1:56">
      <c r="A113" s="182"/>
      <c r="B113" s="136"/>
      <c r="C113" s="136"/>
      <c r="D113" s="136"/>
      <c r="E113" s="136"/>
      <c r="F113" s="136"/>
      <c r="G113" s="136"/>
      <c r="H113" s="136"/>
      <c r="I113" s="136"/>
      <c r="J113" s="136"/>
      <c r="K113" s="136"/>
      <c r="L113" s="226"/>
      <c r="M113" s="199">
        <v>2002</v>
      </c>
      <c r="N113" s="144">
        <f t="shared" si="58"/>
        <v>1.0639273594423553</v>
      </c>
      <c r="O113" s="144">
        <f t="shared" si="59"/>
        <v>0.8071173071631661</v>
      </c>
      <c r="P113" s="183"/>
      <c r="AA113" s="187">
        <f>N113-O113</f>
        <v>0.25681005227918918</v>
      </c>
      <c r="AB113" s="860">
        <v>2002</v>
      </c>
      <c r="AC113" s="860">
        <f t="shared" si="46"/>
        <v>44</v>
      </c>
      <c r="AE113" s="860">
        <f>BirthsTrend!AC8</f>
        <v>54515</v>
      </c>
      <c r="AF113" s="861">
        <f t="shared" si="47"/>
        <v>0.58645267097393983</v>
      </c>
      <c r="AG113" s="861">
        <f t="shared" si="48"/>
        <v>1.0835173123050124</v>
      </c>
      <c r="AH113" s="862">
        <f t="shared" si="49"/>
        <v>0.8071173071631661</v>
      </c>
      <c r="AI113" s="862">
        <f t="shared" si="50"/>
        <v>0.27640000514184626</v>
      </c>
      <c r="AJ113" s="862">
        <f t="shared" si="51"/>
        <v>0.22066463618922627</v>
      </c>
      <c r="AK113" s="860">
        <f t="shared" si="52"/>
        <v>58</v>
      </c>
      <c r="AL113" s="515">
        <f t="shared" si="60"/>
        <v>54515</v>
      </c>
      <c r="AM113" s="864">
        <f t="shared" si="53"/>
        <v>0.80788464973401364</v>
      </c>
      <c r="AN113" s="864">
        <f t="shared" si="54"/>
        <v>1.3753728284819695</v>
      </c>
      <c r="AO113" s="871">
        <f t="shared" si="55"/>
        <v>1.0639273594423553</v>
      </c>
      <c r="AP113" s="871">
        <f t="shared" si="56"/>
        <v>0.31144546903961423</v>
      </c>
      <c r="AQ113" s="871">
        <f t="shared" si="57"/>
        <v>0.25604270970834164</v>
      </c>
    </row>
    <row r="114" spans="1:56">
      <c r="A114" s="182"/>
      <c r="B114" s="136"/>
      <c r="C114" s="136"/>
      <c r="D114" s="136"/>
      <c r="E114" s="136"/>
      <c r="F114" s="136"/>
      <c r="G114" s="136"/>
      <c r="H114" s="136"/>
      <c r="I114" s="136"/>
      <c r="J114" s="136"/>
      <c r="K114" s="136"/>
      <c r="L114" s="226"/>
      <c r="M114" s="199">
        <v>2003</v>
      </c>
      <c r="N114" s="144">
        <f t="shared" si="58"/>
        <v>1.0781957013574661</v>
      </c>
      <c r="O114" s="144">
        <f t="shared" si="59"/>
        <v>0.86609162895927594</v>
      </c>
      <c r="P114" s="183"/>
      <c r="AA114" s="187">
        <f t="shared" si="45"/>
        <v>0.21210407239819018</v>
      </c>
      <c r="AB114" s="860">
        <v>2003</v>
      </c>
      <c r="AC114" s="860">
        <f t="shared" si="46"/>
        <v>49</v>
      </c>
      <c r="AE114" s="860">
        <f>BirthsTrend!AD8</f>
        <v>56576</v>
      </c>
      <c r="AF114" s="861">
        <f t="shared" si="47"/>
        <v>0.6407393550061713</v>
      </c>
      <c r="AG114" s="861">
        <f t="shared" si="48"/>
        <v>1.1450190644958691</v>
      </c>
      <c r="AH114" s="862">
        <f t="shared" si="49"/>
        <v>0.86609162895927594</v>
      </c>
      <c r="AI114" s="862">
        <f t="shared" si="50"/>
        <v>0.27892743553659316</v>
      </c>
      <c r="AJ114" s="862">
        <f t="shared" si="51"/>
        <v>0.22535227395310464</v>
      </c>
      <c r="AK114" s="860">
        <f t="shared" si="52"/>
        <v>61</v>
      </c>
      <c r="AL114" s="515">
        <f t="shared" si="60"/>
        <v>56576</v>
      </c>
      <c r="AM114" s="864">
        <f t="shared" si="53"/>
        <v>0.82473427886352058</v>
      </c>
      <c r="AN114" s="864">
        <f t="shared" si="54"/>
        <v>1.3849874843544272</v>
      </c>
      <c r="AO114" s="871">
        <f t="shared" si="55"/>
        <v>1.0781957013574661</v>
      </c>
      <c r="AP114" s="871">
        <f t="shared" si="56"/>
        <v>0.30679178299696108</v>
      </c>
      <c r="AQ114" s="871">
        <f t="shared" si="57"/>
        <v>0.25346142249394554</v>
      </c>
    </row>
    <row r="115" spans="1:56">
      <c r="A115" s="182"/>
      <c r="B115" s="136"/>
      <c r="C115" s="136"/>
      <c r="D115" s="136"/>
      <c r="E115" s="136"/>
      <c r="F115" s="136"/>
      <c r="G115" s="136"/>
      <c r="H115" s="136"/>
      <c r="I115" s="136"/>
      <c r="J115" s="136"/>
      <c r="K115" s="136"/>
      <c r="L115" s="226"/>
      <c r="M115" s="199">
        <v>2004</v>
      </c>
      <c r="N115" s="144">
        <f t="shared" si="58"/>
        <v>1.0558043696677621</v>
      </c>
      <c r="O115" s="144">
        <f t="shared" si="59"/>
        <v>0.76630962314595641</v>
      </c>
      <c r="P115" s="183"/>
      <c r="AA115" s="187">
        <f>N115-O115</f>
        <v>0.28949474652180573</v>
      </c>
      <c r="AB115" s="860">
        <v>2004</v>
      </c>
      <c r="AC115" s="860">
        <f t="shared" si="46"/>
        <v>45</v>
      </c>
      <c r="AE115" s="860">
        <f>BirthsTrend!AE8</f>
        <v>58723</v>
      </c>
      <c r="AF115" s="861">
        <f t="shared" si="47"/>
        <v>0.55895149750922901</v>
      </c>
      <c r="AG115" s="861">
        <f t="shared" si="48"/>
        <v>1.0253825672557397</v>
      </c>
      <c r="AH115" s="862">
        <f t="shared" si="49"/>
        <v>0.76630962314595641</v>
      </c>
      <c r="AI115" s="862">
        <f t="shared" si="50"/>
        <v>0.25907294410978332</v>
      </c>
      <c r="AJ115" s="862">
        <f t="shared" si="51"/>
        <v>0.2073581256367274</v>
      </c>
      <c r="AK115" s="860">
        <f t="shared" si="52"/>
        <v>62</v>
      </c>
      <c r="AL115" s="515">
        <f t="shared" si="60"/>
        <v>58723</v>
      </c>
      <c r="AM115" s="864">
        <f t="shared" si="53"/>
        <v>0.80947915614278187</v>
      </c>
      <c r="AN115" s="864">
        <f t="shared" si="54"/>
        <v>1.3534935523686844</v>
      </c>
      <c r="AO115" s="871">
        <f t="shared" si="55"/>
        <v>1.0558043696677621</v>
      </c>
      <c r="AP115" s="871">
        <f t="shared" si="56"/>
        <v>0.29768918270092226</v>
      </c>
      <c r="AQ115" s="871">
        <f t="shared" si="57"/>
        <v>0.24632521352498027</v>
      </c>
    </row>
    <row r="116" spans="1:56">
      <c r="A116" s="182"/>
      <c r="B116" s="136"/>
      <c r="C116" s="136"/>
      <c r="D116" s="136"/>
      <c r="E116" s="136"/>
      <c r="F116" s="136"/>
      <c r="G116" s="136"/>
      <c r="H116" s="136"/>
      <c r="I116" s="136"/>
      <c r="J116" s="136"/>
      <c r="K116" s="136"/>
      <c r="L116" s="226"/>
      <c r="M116" s="199">
        <v>2005</v>
      </c>
      <c r="N116" s="144">
        <f>AO116</f>
        <v>0.9024809712738604</v>
      </c>
      <c r="O116" s="144">
        <f t="shared" si="59"/>
        <v>0.68111771416895128</v>
      </c>
      <c r="P116" s="183"/>
      <c r="AA116" s="187">
        <f>N116-O116</f>
        <v>0.22136325710490912</v>
      </c>
      <c r="AB116" s="860">
        <v>2005</v>
      </c>
      <c r="AC116" s="860">
        <f t="shared" si="46"/>
        <v>40</v>
      </c>
      <c r="AE116" s="860">
        <f>BirthsTrend!AF8</f>
        <v>58727</v>
      </c>
      <c r="AF116" s="861">
        <f t="shared" si="47"/>
        <v>0.48660048089956864</v>
      </c>
      <c r="AG116" s="861">
        <f t="shared" si="48"/>
        <v>0.92748900784961053</v>
      </c>
      <c r="AH116" s="862">
        <f t="shared" si="49"/>
        <v>0.68111771416895128</v>
      </c>
      <c r="AI116" s="862">
        <f t="shared" si="50"/>
        <v>0.24637129368065924</v>
      </c>
      <c r="AJ116" s="862">
        <f t="shared" si="51"/>
        <v>0.19451723326938264</v>
      </c>
      <c r="AK116" s="860">
        <f t="shared" si="52"/>
        <v>53</v>
      </c>
      <c r="AL116" s="515">
        <f t="shared" si="60"/>
        <v>58727</v>
      </c>
      <c r="AM116" s="864">
        <f t="shared" si="53"/>
        <v>0.67602017696046912</v>
      </c>
      <c r="AN116" s="864">
        <f t="shared" si="54"/>
        <v>1.180467330686128</v>
      </c>
      <c r="AO116" s="871">
        <f t="shared" si="55"/>
        <v>0.9024809712738604</v>
      </c>
      <c r="AP116" s="871">
        <f t="shared" si="56"/>
        <v>0.27798635941226757</v>
      </c>
      <c r="AQ116" s="871">
        <f t="shared" si="57"/>
        <v>0.22646079431339128</v>
      </c>
    </row>
    <row r="117" spans="1:56">
      <c r="A117" s="182"/>
      <c r="B117" s="136"/>
      <c r="C117" s="136"/>
      <c r="D117" s="136"/>
      <c r="E117" s="136"/>
      <c r="F117" s="136"/>
      <c r="G117" s="136"/>
      <c r="H117" s="136"/>
      <c r="I117" s="136"/>
      <c r="J117" s="136"/>
      <c r="K117" s="136"/>
      <c r="L117" s="226"/>
      <c r="M117" s="199">
        <v>2006</v>
      </c>
      <c r="N117" s="144">
        <f t="shared" ref="N117:N118" si="61">AO117</f>
        <v>1.0949995022729535</v>
      </c>
      <c r="O117" s="144">
        <f t="shared" ref="O117:O127" si="62">AH117</f>
        <v>0.81295417592992003</v>
      </c>
      <c r="P117" s="183"/>
      <c r="AA117" s="187">
        <f t="shared" si="45"/>
        <v>0.28204532634303348</v>
      </c>
      <c r="AB117" s="860">
        <v>2006</v>
      </c>
      <c r="AC117" s="860">
        <f t="shared" si="46"/>
        <v>49</v>
      </c>
      <c r="AE117" s="860">
        <f>BirthsTrend!AG8</f>
        <v>60274</v>
      </c>
      <c r="AF117" s="861">
        <f t="shared" si="47"/>
        <v>0.60142797472922238</v>
      </c>
      <c r="AG117" s="861">
        <f t="shared" si="48"/>
        <v>1.0747685335786292</v>
      </c>
      <c r="AH117" s="862">
        <f t="shared" si="49"/>
        <v>0.81295417592992003</v>
      </c>
      <c r="AI117" s="862">
        <f t="shared" si="50"/>
        <v>0.2618143576487092</v>
      </c>
      <c r="AJ117" s="862">
        <f t="shared" si="51"/>
        <v>0.21152620120069765</v>
      </c>
      <c r="AK117" s="860">
        <f t="shared" si="52"/>
        <v>66</v>
      </c>
      <c r="AL117" s="515">
        <f t="shared" si="60"/>
        <v>60274</v>
      </c>
      <c r="AM117" s="864">
        <f t="shared" si="53"/>
        <v>0.84687253573085053</v>
      </c>
      <c r="AN117" s="864">
        <f t="shared" si="54"/>
        <v>1.3931078482016592</v>
      </c>
      <c r="AO117" s="871">
        <f t="shared" si="55"/>
        <v>1.0949995022729535</v>
      </c>
      <c r="AP117" s="871">
        <f t="shared" si="56"/>
        <v>0.29810834592870572</v>
      </c>
      <c r="AQ117" s="871">
        <f t="shared" si="57"/>
        <v>0.24812696654210298</v>
      </c>
    </row>
    <row r="118" spans="1:56">
      <c r="A118" s="182"/>
      <c r="B118" s="136"/>
      <c r="C118" s="136"/>
      <c r="D118" s="136"/>
      <c r="E118" s="136"/>
      <c r="F118" s="136"/>
      <c r="G118" s="136"/>
      <c r="H118" s="136"/>
      <c r="I118" s="136"/>
      <c r="J118" s="136"/>
      <c r="K118" s="136"/>
      <c r="L118" s="226"/>
      <c r="M118" s="199">
        <v>2007</v>
      </c>
      <c r="N118" s="144">
        <f t="shared" si="61"/>
        <v>0.98278589088005408</v>
      </c>
      <c r="O118" s="144">
        <f t="shared" si="62"/>
        <v>0.82922559543004559</v>
      </c>
      <c r="P118" s="183"/>
      <c r="AA118" s="187">
        <f t="shared" si="45"/>
        <v>0.15356029545000849</v>
      </c>
      <c r="AB118" s="860">
        <v>2007</v>
      </c>
      <c r="AC118" s="860">
        <f t="shared" si="46"/>
        <v>54</v>
      </c>
      <c r="AE118" s="860">
        <f>BirthsTrend!AH8</f>
        <v>65121</v>
      </c>
      <c r="AF118" s="861">
        <f t="shared" si="47"/>
        <v>0.62293978858655041</v>
      </c>
      <c r="AG118" s="861">
        <f t="shared" si="48"/>
        <v>1.0819595275519527</v>
      </c>
      <c r="AH118" s="862">
        <f t="shared" si="49"/>
        <v>0.82922559543004559</v>
      </c>
      <c r="AI118" s="862">
        <f t="shared" si="50"/>
        <v>0.25273393212190709</v>
      </c>
      <c r="AJ118" s="862">
        <f t="shared" si="51"/>
        <v>0.20628580684349518</v>
      </c>
      <c r="AK118" s="860">
        <f t="shared" si="52"/>
        <v>64</v>
      </c>
      <c r="AL118" s="515">
        <f t="shared" si="60"/>
        <v>65121</v>
      </c>
      <c r="AM118" s="864">
        <f t="shared" si="53"/>
        <v>0.75686489068404139</v>
      </c>
      <c r="AN118" s="864">
        <f t="shared" si="54"/>
        <v>1.2549956420952535</v>
      </c>
      <c r="AO118" s="871">
        <f t="shared" si="55"/>
        <v>0.98278589088005408</v>
      </c>
      <c r="AP118" s="871">
        <f t="shared" si="56"/>
        <v>0.27220975121519941</v>
      </c>
      <c r="AQ118" s="871">
        <f t="shared" si="57"/>
        <v>0.22592100019601269</v>
      </c>
    </row>
    <row r="119" spans="1:56">
      <c r="A119" s="182"/>
      <c r="B119" s="136"/>
      <c r="C119" s="136"/>
      <c r="D119" s="136"/>
      <c r="E119" s="136"/>
      <c r="F119" s="136"/>
      <c r="G119" s="136"/>
      <c r="H119" s="136"/>
      <c r="I119" s="136"/>
      <c r="J119" s="136"/>
      <c r="K119" s="136"/>
      <c r="L119" s="226"/>
      <c r="M119" s="199">
        <v>2008</v>
      </c>
      <c r="N119" s="144">
        <f>AO119</f>
        <v>1.010209235761407</v>
      </c>
      <c r="O119" s="144">
        <f t="shared" si="62"/>
        <v>0.78061622763381455</v>
      </c>
      <c r="P119" s="183"/>
      <c r="AA119" s="187">
        <f t="shared" si="45"/>
        <v>0.22959300812759242</v>
      </c>
      <c r="AB119" s="860">
        <v>2008</v>
      </c>
      <c r="AC119" s="860">
        <f t="shared" si="46"/>
        <v>51</v>
      </c>
      <c r="AE119" s="860">
        <f>BirthsTrend!AI8</f>
        <v>65333</v>
      </c>
      <c r="AF119" s="861">
        <f t="shared" si="47"/>
        <v>0.58122005477003602</v>
      </c>
      <c r="AG119" s="861">
        <f t="shared" si="48"/>
        <v>1.0263661759999354</v>
      </c>
      <c r="AH119" s="862">
        <f t="shared" si="49"/>
        <v>0.78061622763381455</v>
      </c>
      <c r="AI119" s="862">
        <f t="shared" si="50"/>
        <v>0.24574994836612085</v>
      </c>
      <c r="AJ119" s="862">
        <f t="shared" si="51"/>
        <v>0.19939617286377853</v>
      </c>
      <c r="AK119" s="860">
        <f t="shared" si="52"/>
        <v>66</v>
      </c>
      <c r="AL119" s="515">
        <f t="shared" si="60"/>
        <v>65333</v>
      </c>
      <c r="AM119" s="864">
        <f t="shared" si="53"/>
        <v>0.78129574975343674</v>
      </c>
      <c r="AN119" s="864">
        <f t="shared" si="54"/>
        <v>1.2852338395987757</v>
      </c>
      <c r="AO119" s="871">
        <f t="shared" si="55"/>
        <v>1.010209235761407</v>
      </c>
      <c r="AP119" s="871">
        <f t="shared" si="56"/>
        <v>0.27502460383736871</v>
      </c>
      <c r="AQ119" s="871">
        <f t="shared" si="57"/>
        <v>0.22891348600797023</v>
      </c>
    </row>
    <row r="120" spans="1:56">
      <c r="A120" s="182"/>
      <c r="B120" s="136"/>
      <c r="C120" s="136"/>
      <c r="D120" s="136"/>
      <c r="E120" s="136"/>
      <c r="F120" s="136"/>
      <c r="G120" s="136"/>
      <c r="H120" s="136"/>
      <c r="I120" s="136"/>
      <c r="J120" s="136"/>
      <c r="K120" s="136"/>
      <c r="L120" s="226"/>
      <c r="M120" s="199">
        <v>2009</v>
      </c>
      <c r="N120" s="144">
        <f t="shared" ref="N120:N121" si="63">AO120</f>
        <v>1.0429011614126571</v>
      </c>
      <c r="O120" s="144">
        <f t="shared" si="62"/>
        <v>0.71106897369044797</v>
      </c>
      <c r="P120" s="183"/>
      <c r="AA120" s="187">
        <f t="shared" si="45"/>
        <v>0.33183218772220913</v>
      </c>
      <c r="AB120" s="860">
        <v>2009</v>
      </c>
      <c r="AC120" s="860">
        <f t="shared" si="46"/>
        <v>45</v>
      </c>
      <c r="AE120" s="860">
        <f>BirthsTrend!AJ8</f>
        <v>63285</v>
      </c>
      <c r="AF120" s="861">
        <f t="shared" si="47"/>
        <v>0.51865858873721193</v>
      </c>
      <c r="AG120" s="861">
        <f t="shared" si="48"/>
        <v>0.95146623207646053</v>
      </c>
      <c r="AH120" s="862">
        <f t="shared" si="49"/>
        <v>0.71106897369044797</v>
      </c>
      <c r="AI120" s="862">
        <f t="shared" si="50"/>
        <v>0.24039725838601256</v>
      </c>
      <c r="AJ120" s="862">
        <f t="shared" si="51"/>
        <v>0.19241038495323604</v>
      </c>
      <c r="AK120" s="860">
        <f t="shared" si="52"/>
        <v>66</v>
      </c>
      <c r="AL120" s="515">
        <f t="shared" si="60"/>
        <v>63285</v>
      </c>
      <c r="AM120" s="864">
        <f t="shared" si="53"/>
        <v>0.80657968268375257</v>
      </c>
      <c r="AN120" s="864">
        <f t="shared" si="54"/>
        <v>1.3268259847121249</v>
      </c>
      <c r="AO120" s="871">
        <f t="shared" si="55"/>
        <v>1.0429011614126571</v>
      </c>
      <c r="AP120" s="871">
        <f t="shared" si="56"/>
        <v>0.28392482329946778</v>
      </c>
      <c r="AQ120" s="871">
        <f t="shared" si="57"/>
        <v>0.23632147872890452</v>
      </c>
    </row>
    <row r="121" spans="1:56">
      <c r="A121" s="182"/>
      <c r="B121" s="136"/>
      <c r="C121" s="136"/>
      <c r="D121" s="136"/>
      <c r="E121" s="136"/>
      <c r="F121" s="136"/>
      <c r="G121" s="136"/>
      <c r="H121" s="136"/>
      <c r="I121" s="136"/>
      <c r="J121" s="136"/>
      <c r="K121" s="136"/>
      <c r="L121" s="226"/>
      <c r="M121" s="199">
        <v>2010</v>
      </c>
      <c r="N121" s="144">
        <f t="shared" si="63"/>
        <v>0.92737136586346003</v>
      </c>
      <c r="O121" s="144">
        <f t="shared" si="62"/>
        <v>0.41731711463855703</v>
      </c>
      <c r="P121" s="183"/>
      <c r="AA121" s="187">
        <f t="shared" si="45"/>
        <v>0.510054251224903</v>
      </c>
      <c r="AB121" s="860">
        <v>2010</v>
      </c>
      <c r="AC121" s="860">
        <f t="shared" si="46"/>
        <v>27</v>
      </c>
      <c r="AE121" s="860">
        <f>BirthsTrend!AK8</f>
        <v>64699</v>
      </c>
      <c r="AF121" s="861">
        <f t="shared" si="47"/>
        <v>0.27501460813559364</v>
      </c>
      <c r="AG121" s="861">
        <f t="shared" si="48"/>
        <v>0.60717449180299676</v>
      </c>
      <c r="AH121" s="862">
        <f t="shared" si="49"/>
        <v>0.41731711463855703</v>
      </c>
      <c r="AI121" s="862">
        <f t="shared" si="50"/>
        <v>0.18985737716443973</v>
      </c>
      <c r="AJ121" s="862">
        <f t="shared" si="51"/>
        <v>0.14230250650296339</v>
      </c>
      <c r="AK121" s="860">
        <f t="shared" si="52"/>
        <v>60</v>
      </c>
      <c r="AL121" s="515">
        <f t="shared" ref="AL121:AL126" si="64">AE121</f>
        <v>64699</v>
      </c>
      <c r="AM121" s="864">
        <f t="shared" si="53"/>
        <v>0.70768204995451645</v>
      </c>
      <c r="AN121" s="864">
        <f t="shared" si="54"/>
        <v>1.1937107746123328</v>
      </c>
      <c r="AO121" s="871">
        <f t="shared" si="55"/>
        <v>0.92737136586346003</v>
      </c>
      <c r="AP121" s="871">
        <f t="shared" si="56"/>
        <v>0.26633940874887274</v>
      </c>
      <c r="AQ121" s="871">
        <f t="shared" si="57"/>
        <v>0.21968931590894358</v>
      </c>
    </row>
    <row r="122" spans="1:56">
      <c r="A122" s="182"/>
      <c r="B122" s="136"/>
      <c r="C122" s="136"/>
      <c r="D122" s="136"/>
      <c r="E122" s="136"/>
      <c r="F122" s="136"/>
      <c r="G122" s="136"/>
      <c r="H122" s="136"/>
      <c r="I122" s="136"/>
      <c r="J122" s="136"/>
      <c r="K122" s="136"/>
      <c r="L122" s="226"/>
      <c r="M122" s="188">
        <v>2011</v>
      </c>
      <c r="N122" s="144">
        <f>AO122</f>
        <v>0.86853025380384086</v>
      </c>
      <c r="O122" s="144">
        <f t="shared" si="62"/>
        <v>0.41818123331296042</v>
      </c>
      <c r="P122" s="183"/>
      <c r="AA122" s="187">
        <f t="shared" si="45"/>
        <v>0.45034902049088044</v>
      </c>
      <c r="AB122" s="860">
        <v>2011</v>
      </c>
      <c r="AC122" s="860">
        <f t="shared" si="46"/>
        <v>26</v>
      </c>
      <c r="AE122" s="860">
        <f>BirthsTrend!AL8</f>
        <v>62174</v>
      </c>
      <c r="AF122" s="861">
        <f t="shared" si="47"/>
        <v>0.27316986546782168</v>
      </c>
      <c r="AG122" s="861">
        <f t="shared" si="48"/>
        <v>0.61273239751544084</v>
      </c>
      <c r="AH122" s="862">
        <f t="shared" si="49"/>
        <v>0.41818123331296042</v>
      </c>
      <c r="AI122" s="862">
        <f t="shared" si="50"/>
        <v>0.19455116420248042</v>
      </c>
      <c r="AJ122" s="862">
        <f t="shared" si="51"/>
        <v>0.14501136784513874</v>
      </c>
      <c r="AK122" s="860">
        <f t="shared" si="52"/>
        <v>54</v>
      </c>
      <c r="AL122" s="515">
        <f t="shared" si="64"/>
        <v>62174</v>
      </c>
      <c r="AM122" s="864">
        <f t="shared" si="53"/>
        <v>0.65246665764700285</v>
      </c>
      <c r="AN122" s="864">
        <f t="shared" si="54"/>
        <v>1.1332435808169123</v>
      </c>
      <c r="AO122" s="871">
        <f t="shared" si="55"/>
        <v>0.86853025380384086</v>
      </c>
      <c r="AP122" s="871">
        <f t="shared" si="56"/>
        <v>0.26471332701307149</v>
      </c>
      <c r="AQ122" s="871">
        <f t="shared" si="57"/>
        <v>0.21606359615683801</v>
      </c>
    </row>
    <row r="123" spans="1:56">
      <c r="A123" s="182"/>
      <c r="B123" s="136"/>
      <c r="C123" s="136"/>
      <c r="D123" s="136"/>
      <c r="E123" s="136"/>
      <c r="F123" s="136"/>
      <c r="G123" s="136"/>
      <c r="H123" s="136"/>
      <c r="I123" s="136"/>
      <c r="J123" s="136"/>
      <c r="K123" s="136"/>
      <c r="L123" s="724"/>
      <c r="M123" s="188">
        <v>2012</v>
      </c>
      <c r="N123" s="144">
        <f t="shared" ref="N123" si="65">AO123</f>
        <v>0.59643749496252119</v>
      </c>
      <c r="O123" s="144">
        <f t="shared" si="62"/>
        <v>0.29015878133311845</v>
      </c>
      <c r="P123" s="183"/>
      <c r="AA123" s="187">
        <f t="shared" si="45"/>
        <v>0.30627871362940273</v>
      </c>
      <c r="AB123" s="860">
        <v>2012</v>
      </c>
      <c r="AC123" s="860">
        <f t="shared" si="46"/>
        <v>18</v>
      </c>
      <c r="AE123" s="860">
        <f>BirthsTrend!AM8</f>
        <v>62035</v>
      </c>
      <c r="AF123" s="861">
        <f>IF(AC123=0,0,IF(AC123&lt;389,CHIINV(0.5+$AB$35/200,2*AC123)/2,AC123*(1-1/(9*AC123)-NORMSINV(0.5+$AB$35/200)/3/SQRT(AC123))^3))/AE123*1000</f>
        <v>0.17196648312081123</v>
      </c>
      <c r="AG123" s="861">
        <f>IF(AC123&lt;389,CHIINV(0.5-$AB$35/200,2*AC123+2)/2,(AC123+1)*(1-1/(9*(AC123+1))+NORMSINV(0.5+$AB$35/200)/3/SQRT(AC123+1))^3)/AE123*1000</f>
        <v>0.45857596949347929</v>
      </c>
      <c r="AH123" s="862">
        <f>AC123/AE123*1000</f>
        <v>0.29015878133311845</v>
      </c>
      <c r="AI123" s="862">
        <f t="shared" si="50"/>
        <v>0.16841718816036083</v>
      </c>
      <c r="AJ123" s="862">
        <f t="shared" si="51"/>
        <v>0.11819229821230723</v>
      </c>
      <c r="AK123" s="860">
        <f t="shared" si="52"/>
        <v>37</v>
      </c>
      <c r="AL123" s="515">
        <f t="shared" si="64"/>
        <v>62035</v>
      </c>
      <c r="AM123" s="864">
        <f>IF(AK123=0,0,IF(AK123&lt;389,CHIINV(0.5+$AB$35/200,2*AK123)/2,AK123*(1-1/(9*AK123)-NORMSINV(0.5+$AB$35/200)/3/SQRT(AK123))^3))/AL123*1000</f>
        <v>0.41994703904418518</v>
      </c>
      <c r="AN123" s="864">
        <f>IF(AK123&lt;389,CHIINV(0.5-$AB$35/200,2*AK123+2)/2,(AK123+1)*(1-1/(9*(AK123+1))+NORMSINV(0.5+$AB$35/200)/3/SQRT(AK123+1))^3)/AL123*1000</f>
        <v>0.82211052054373879</v>
      </c>
      <c r="AO123" s="871">
        <f>AK123/AL123*1000</f>
        <v>0.59643749496252119</v>
      </c>
      <c r="AP123" s="871">
        <f t="shared" si="56"/>
        <v>0.2256730255812176</v>
      </c>
      <c r="AQ123" s="871">
        <f t="shared" si="57"/>
        <v>0.17649045591833601</v>
      </c>
    </row>
    <row r="124" spans="1:56">
      <c r="A124" s="182"/>
      <c r="B124" s="136"/>
      <c r="C124" s="136"/>
      <c r="D124" s="136"/>
      <c r="E124" s="136"/>
      <c r="F124" s="136"/>
      <c r="G124" s="136"/>
      <c r="H124" s="136"/>
      <c r="I124" s="136"/>
      <c r="J124" s="136"/>
      <c r="K124" s="136"/>
      <c r="L124" s="724"/>
      <c r="M124" s="188">
        <v>2013</v>
      </c>
      <c r="N124" s="144">
        <f>AO124</f>
        <v>0.68675566573424229</v>
      </c>
      <c r="O124" s="144">
        <f t="shared" si="62"/>
        <v>0.35175290196144116</v>
      </c>
      <c r="P124" s="183"/>
      <c r="AA124" s="187">
        <f t="shared" si="45"/>
        <v>0.33500276377280114</v>
      </c>
      <c r="AB124" s="860">
        <v>2013</v>
      </c>
      <c r="AC124" s="860">
        <f t="shared" si="46"/>
        <v>21</v>
      </c>
      <c r="AE124" s="860">
        <f>BirthsTrend!AN8</f>
        <v>59701</v>
      </c>
      <c r="AF124" s="861">
        <f>IF(AC124=0,0,IF(AC124&lt;389,CHIINV(0.5+$AB$35/200,2*AC124)/2,AC124*(1-1/(9*AC124)-NORMSINV(0.5+$AB$35/200)/3/SQRT(AC124))^3))/AE124*1000</f>
        <v>0.21774059034314647</v>
      </c>
      <c r="AG124" s="861">
        <f>IF(AC124&lt;389,CHIINV(0.5-$AB$35/200,2*AC124+2)/2,(AC124+1)*(1-1/(9*(AC124+1))+NORMSINV(0.5+$AB$35/200)/3/SQRT(AC124+1))^3)/AE124*1000</f>
        <v>0.53769167576662691</v>
      </c>
      <c r="AH124" s="862">
        <f t="shared" ref="AH124" si="66">AC124/AE124*1000</f>
        <v>0.35175290196144116</v>
      </c>
      <c r="AI124" s="862">
        <f t="shared" ref="AI124" si="67">AG124-AH124</f>
        <v>0.18593877380518575</v>
      </c>
      <c r="AJ124" s="862">
        <f t="shared" ref="AJ124" si="68">AH124-AF124</f>
        <v>0.13401231161829469</v>
      </c>
      <c r="AK124" s="860">
        <f t="shared" si="52"/>
        <v>41</v>
      </c>
      <c r="AL124" s="515">
        <f t="shared" si="64"/>
        <v>59701</v>
      </c>
      <c r="AM124" s="864">
        <f t="shared" ref="AM124" si="69">IF(AK124=0,0,IF(AK124&lt;389,CHIINV(0.5+$AB$35/200,2*AK124)/2,AK124*(1-1/(9*AK124)-NORMSINV(0.5+$AB$35/200)/3/SQRT(AK124))^3))/AL124*1000</f>
        <v>0.49282772262533764</v>
      </c>
      <c r="AN124" s="864">
        <f t="shared" ref="AN124:AN126" si="70">IF(AK124&lt;389,CHIINV(0.5-$AB$35/200,2*AK124+2)/2,(AK124+1)*(1-1/(9*(AK124+1))+NORMSINV(0.5+$AB$35/200)/3/SQRT(AK124+1))^3)/AL124*1000</f>
        <v>0.93166160643431295</v>
      </c>
      <c r="AO124" s="871">
        <f t="shared" ref="AO124" si="71">AK124/AL124*1000</f>
        <v>0.68675566573424229</v>
      </c>
      <c r="AP124" s="871">
        <f t="shared" ref="AP124" si="72">AN124-AO124</f>
        <v>0.24490594070007066</v>
      </c>
      <c r="AQ124" s="871">
        <f t="shared" ref="AQ124" si="73">AO124-AM124</f>
        <v>0.19392794310890465</v>
      </c>
    </row>
    <row r="125" spans="1:56" s="559" customFormat="1">
      <c r="A125" s="182"/>
      <c r="B125" s="136"/>
      <c r="C125" s="136"/>
      <c r="D125" s="136"/>
      <c r="E125" s="136"/>
      <c r="F125" s="136"/>
      <c r="G125" s="136"/>
      <c r="H125" s="136"/>
      <c r="I125" s="136"/>
      <c r="J125" s="136"/>
      <c r="K125" s="136"/>
      <c r="L125" s="724"/>
      <c r="M125" s="572">
        <v>2014</v>
      </c>
      <c r="N125" s="144">
        <f t="shared" ref="N125:N126" si="74">AO125</f>
        <v>0.77206828515055337</v>
      </c>
      <c r="O125" s="144">
        <f t="shared" si="62"/>
        <v>0.24019902204683879</v>
      </c>
      <c r="P125" s="183"/>
      <c r="Q125" s="245"/>
      <c r="R125" s="245"/>
      <c r="S125" s="245"/>
      <c r="T125" s="245"/>
      <c r="U125" s="245"/>
      <c r="V125" s="245"/>
      <c r="W125" s="245"/>
      <c r="X125" s="515"/>
      <c r="Y125" s="515"/>
      <c r="Z125" s="515"/>
      <c r="AA125" s="187">
        <f t="shared" si="45"/>
        <v>0.53186926310371452</v>
      </c>
      <c r="AB125" s="860">
        <v>2014</v>
      </c>
      <c r="AC125" s="860">
        <f t="shared" si="46"/>
        <v>14</v>
      </c>
      <c r="AD125" s="860"/>
      <c r="AE125" s="860">
        <f>BirthsTrend!AO8</f>
        <v>58285</v>
      </c>
      <c r="AF125" s="861">
        <f>IF(AC125=0,0,IF(AC125&lt;389,CHIINV(0.5+$AB$35/200,2*AC125)/2,AC125*(1-1/(9*AC125)-NORMSINV(0.5+$AB$35/200)/3/SQRT(AC125))^3))/AE125*1000</f>
        <v>0.1313190405130068</v>
      </c>
      <c r="AG125" s="861">
        <f>IF(AC125&lt;389,CHIINV(0.5-$AB$35/200,2*AC125+2)/2,(AC125+1)*(1-1/(9*(AC125+1))+NORMSINV(0.5+$AB$35/200)/3/SQRT(AC125+1))^3)/AE125*1000</f>
        <v>0.40301314440826247</v>
      </c>
      <c r="AH125" s="862">
        <f>AC125/AE125*1000</f>
        <v>0.24019902204683879</v>
      </c>
      <c r="AI125" s="862">
        <f>AG125-AH125</f>
        <v>0.16281412236142367</v>
      </c>
      <c r="AJ125" s="862">
        <f>AH125-AF125</f>
        <v>0.10887998153383199</v>
      </c>
      <c r="AK125" s="860">
        <f t="shared" si="52"/>
        <v>45</v>
      </c>
      <c r="AL125" s="515">
        <f t="shared" si="64"/>
        <v>58285</v>
      </c>
      <c r="AM125" s="864">
        <f>IF(AK125=0,0,IF(AK125&lt;389,CHIINV(0.5+$AB$35/200,2*AK125)/2,AK125*(1-1/(9*AK125)-NORMSINV(0.5+$AB$35/200)/3/SQRT(AK125))^3))/AL125*1000</f>
        <v>0.56315190509109481</v>
      </c>
      <c r="AN125" s="864">
        <f t="shared" si="70"/>
        <v>1.0330881100962306</v>
      </c>
      <c r="AO125" s="871">
        <f t="shared" ref="AO125:AO126" si="75">AK125/AL125*1000</f>
        <v>0.77206828515055337</v>
      </c>
      <c r="AP125" s="871">
        <f t="shared" ref="AP125:AP126" si="76">AN125-AO125</f>
        <v>0.26101982494567721</v>
      </c>
      <c r="AQ125" s="871">
        <f t="shared" ref="AQ125:AQ126" si="77">AO125-AM125</f>
        <v>0.20891638005945856</v>
      </c>
      <c r="AR125" s="515"/>
      <c r="AS125" s="515"/>
      <c r="AT125" s="515"/>
      <c r="AU125" s="515"/>
      <c r="AV125" s="515"/>
      <c r="AW125" s="515"/>
      <c r="AX125" s="245"/>
      <c r="AY125" s="245"/>
      <c r="AZ125" s="245"/>
      <c r="BA125" s="245"/>
      <c r="BB125" s="289"/>
      <c r="BC125" s="289"/>
      <c r="BD125" s="289"/>
    </row>
    <row r="126" spans="1:56" s="397" customFormat="1">
      <c r="A126" s="182"/>
      <c r="B126" s="136"/>
      <c r="C126" s="136"/>
      <c r="D126" s="136"/>
      <c r="E126" s="136"/>
      <c r="F126" s="136"/>
      <c r="G126" s="136"/>
      <c r="H126" s="136"/>
      <c r="I126" s="136"/>
      <c r="J126" s="136"/>
      <c r="K126" s="136"/>
      <c r="L126" s="724"/>
      <c r="M126" s="572">
        <v>2015</v>
      </c>
      <c r="N126" s="144">
        <f t="shared" si="74"/>
        <v>0.70828369981649009</v>
      </c>
      <c r="O126" s="144">
        <f t="shared" si="62"/>
        <v>0.40243392035027847</v>
      </c>
      <c r="P126" s="183"/>
      <c r="Q126" s="245"/>
      <c r="R126" s="245"/>
      <c r="S126" s="245"/>
      <c r="T126" s="245"/>
      <c r="U126" s="245"/>
      <c r="V126" s="245"/>
      <c r="W126" s="245"/>
      <c r="X126" s="515"/>
      <c r="Y126" s="515"/>
      <c r="Z126" s="515"/>
      <c r="AA126" s="187">
        <f t="shared" si="45"/>
        <v>0.30584977946621161</v>
      </c>
      <c r="AB126" s="860">
        <v>2015</v>
      </c>
      <c r="AC126" s="860">
        <f t="shared" si="46"/>
        <v>25</v>
      </c>
      <c r="AD126" s="515"/>
      <c r="AE126" s="515">
        <f>BirthsTrend!AP8</f>
        <v>62122</v>
      </c>
      <c r="AF126" s="861">
        <f>IF(AC126=0,0,IF(AC126&lt;389,CHIINV(0.5+$AB$35/200,2*AC126)/2,AC126*(1-1/(9*AC126)-NORMSINV(0.5+$AB$35/200)/3/SQRT(AC126))^3))/AE126*1000</f>
        <v>0.26043401448487374</v>
      </c>
      <c r="AG126" s="861">
        <f>IF(AC126&lt;389,CHIINV(0.5-$AB$35/200,2*AC126+2)/2,(AC126+1)*(1-1/(9*(AC126+1))+NORMSINV(0.5+$AB$35/200)/3/SQRT(AC126+1))^3)/AE126*1000</f>
        <v>0.59407185373185623</v>
      </c>
      <c r="AH126" s="862">
        <f>AC126/AE126*1000</f>
        <v>0.40243392035027847</v>
      </c>
      <c r="AI126" s="862">
        <f>AG126-AH126</f>
        <v>0.19163793338157775</v>
      </c>
      <c r="AJ126" s="862">
        <f>AH126-AF126</f>
        <v>0.14199990586540473</v>
      </c>
      <c r="AK126" s="860">
        <f t="shared" si="52"/>
        <v>44</v>
      </c>
      <c r="AL126" s="515">
        <f t="shared" si="64"/>
        <v>62122</v>
      </c>
      <c r="AM126" s="864">
        <f>IF(AK126=0,0,IF(AK126&lt;389,CHIINV(0.5+$AB$35/200,2*AK126)/2,AK126*(1-1/(9*AK126)-NORMSINV(0.5+$AB$35/200)/3/SQRT(AK126))^3))/AL126*1000</f>
        <v>0.51464002057474534</v>
      </c>
      <c r="AN126" s="864">
        <f t="shared" si="70"/>
        <v>0.95083780754495584</v>
      </c>
      <c r="AO126" s="871">
        <f t="shared" si="75"/>
        <v>0.70828369981649009</v>
      </c>
      <c r="AP126" s="871">
        <f t="shared" si="76"/>
        <v>0.24255410772846575</v>
      </c>
      <c r="AQ126" s="871">
        <f t="shared" si="77"/>
        <v>0.19364367924174475</v>
      </c>
      <c r="AR126" s="515"/>
      <c r="AS126" s="515"/>
      <c r="AT126" s="515"/>
      <c r="AU126" s="515"/>
      <c r="AV126" s="515"/>
      <c r="AW126" s="515"/>
      <c r="AX126" s="245"/>
      <c r="AY126" s="245"/>
      <c r="AZ126" s="245"/>
      <c r="BA126" s="245"/>
      <c r="BB126" s="289"/>
      <c r="BC126" s="289"/>
      <c r="BD126" s="289"/>
    </row>
    <row r="127" spans="1:56">
      <c r="A127" s="182"/>
      <c r="B127" s="136"/>
      <c r="C127" s="136"/>
      <c r="D127" s="136"/>
      <c r="E127" s="136"/>
      <c r="F127" s="136"/>
      <c r="G127" s="136"/>
      <c r="H127" s="136"/>
      <c r="I127" s="136"/>
      <c r="J127" s="136"/>
      <c r="K127" s="136"/>
      <c r="L127" s="136"/>
      <c r="M127" s="405">
        <v>2016</v>
      </c>
      <c r="N127" s="185">
        <f>AO127</f>
        <v>0.69495002978357268</v>
      </c>
      <c r="O127" s="185">
        <f t="shared" si="62"/>
        <v>0.38056787345290888</v>
      </c>
      <c r="P127" s="183"/>
      <c r="AA127" s="187">
        <f t="shared" si="45"/>
        <v>0.3143821563306638</v>
      </c>
      <c r="AB127" s="860">
        <v>2016</v>
      </c>
      <c r="AC127" s="860">
        <f t="shared" ref="AC127" si="78">VLOOKUP(AB127&amp;$AC$108&amp;$AC$109, vw.sidsudi, 5, FALSE)</f>
        <v>23</v>
      </c>
      <c r="AD127" s="515"/>
      <c r="AE127" s="515">
        <f>BirthsTrend!AQ8</f>
        <v>60436</v>
      </c>
      <c r="AF127" s="861">
        <f>IF(AC127=0,0,IF(AC127&lt;389,CHIINV(0.5+$AB$35/200,2*AC127)/2,AC127*(1-1/(9*AC127)-NORMSINV(0.5+$AB$35/200)/3/SQRT(AC127))^3))/AE127*1000</f>
        <v>0.24124738627713083</v>
      </c>
      <c r="AG127" s="861">
        <f>IF(AC127&lt;389,CHIINV(0.5-$AB$35/200,2*AC127+2)/2,(AC127+1)*(1-1/(9*(AC127+1))+NORMSINV(0.5+$AB$35/200)/3/SQRT(AC127+1))^3)/AE127*1000</f>
        <v>0.57103866726509089</v>
      </c>
      <c r="AH127" s="862">
        <f>AC127/AE127*1000</f>
        <v>0.38056787345290888</v>
      </c>
      <c r="AI127" s="862">
        <f>AG127-AH127</f>
        <v>0.19047079381218202</v>
      </c>
      <c r="AJ127" s="862">
        <f>AH127-AF127</f>
        <v>0.13932048717577805</v>
      </c>
      <c r="AK127" s="860">
        <f t="shared" ref="AK127" si="79">VLOOKUP(AB127&amp;$AC$108&amp;$AK$109,vw.sidsudi,5,FALSE)</f>
        <v>42</v>
      </c>
      <c r="AL127" s="515">
        <f t="shared" ref="AL127" si="80">AE127</f>
        <v>60436</v>
      </c>
      <c r="AM127" s="864">
        <f>IF(AK127=0,0,IF(AK127&lt;389,CHIINV(0.5+$AB$35/200,2*AK127)/2,AK127*(1-1/(9*AK127)-NORMSINV(0.5+$AB$35/200)/3/SQRT(AK127))^3))/AL127*1000</f>
        <v>0.50085885453169798</v>
      </c>
      <c r="AN127" s="864">
        <f t="shared" ref="AN127" si="81">IF(AK127&lt;389,CHIINV(0.5-$AB$35/200,2*AK127+2)/2,(AK127+1)*(1-1/(9*(AK127+1))+NORMSINV(0.5+$AB$35/200)/3/SQRT(AK127+1))^3)/AL127*1000</f>
        <v>0.93937055361854949</v>
      </c>
      <c r="AO127" s="871">
        <f t="shared" ref="AO127" si="82">AK127/AL127*1000</f>
        <v>0.69495002978357268</v>
      </c>
      <c r="AP127" s="871">
        <f t="shared" ref="AP127" si="83">AN127-AO127</f>
        <v>0.24442052383497681</v>
      </c>
      <c r="AQ127" s="871">
        <f t="shared" ref="AQ127" si="84">AO127-AM127</f>
        <v>0.19409117525187469</v>
      </c>
    </row>
    <row r="128" spans="1:56">
      <c r="A128" s="182"/>
      <c r="B128" s="136"/>
      <c r="C128" s="136"/>
      <c r="D128" s="136"/>
      <c r="E128" s="136"/>
      <c r="F128" s="136"/>
      <c r="G128" s="136"/>
      <c r="H128" s="136"/>
      <c r="I128" s="136"/>
      <c r="J128" s="136"/>
      <c r="K128" s="136"/>
      <c r="L128" s="136"/>
      <c r="M128" s="136"/>
      <c r="N128" s="136"/>
      <c r="O128" s="136"/>
      <c r="P128" s="183"/>
    </row>
    <row r="129" spans="1:43">
      <c r="A129" s="193"/>
      <c r="B129" s="194"/>
      <c r="C129" s="194"/>
      <c r="D129" s="194"/>
      <c r="E129" s="194"/>
      <c r="F129" s="194"/>
      <c r="G129" s="194"/>
      <c r="H129" s="194"/>
      <c r="I129" s="194"/>
      <c r="J129" s="194"/>
      <c r="K129" s="194"/>
      <c r="L129" s="194"/>
      <c r="M129" s="194"/>
      <c r="N129" s="194"/>
      <c r="O129" s="194"/>
      <c r="P129" s="195"/>
    </row>
    <row r="132" spans="1:43">
      <c r="A132" s="179"/>
      <c r="B132" s="180"/>
      <c r="C132" s="180"/>
      <c r="D132" s="180"/>
      <c r="E132" s="180"/>
      <c r="F132" s="180"/>
      <c r="G132" s="180"/>
      <c r="H132" s="180"/>
      <c r="I132" s="180"/>
      <c r="J132" s="180"/>
      <c r="K132" s="180"/>
      <c r="L132" s="180"/>
      <c r="M132" s="180"/>
      <c r="N132" s="180"/>
      <c r="O132" s="180"/>
      <c r="P132" s="181"/>
      <c r="AC132" s="860" t="s">
        <v>32</v>
      </c>
      <c r="AE132" s="860" t="s">
        <v>51</v>
      </c>
      <c r="AF132" s="860" t="s">
        <v>32</v>
      </c>
      <c r="AG132" s="860" t="s">
        <v>32</v>
      </c>
      <c r="AH132" s="860" t="s">
        <v>32</v>
      </c>
      <c r="AI132" s="860" t="s">
        <v>32</v>
      </c>
      <c r="AJ132" s="860" t="s">
        <v>32</v>
      </c>
      <c r="AK132" s="860" t="s">
        <v>33</v>
      </c>
      <c r="AL132" s="515" t="s">
        <v>51</v>
      </c>
      <c r="AM132" s="515" t="s">
        <v>33</v>
      </c>
      <c r="AN132" s="515" t="s">
        <v>33</v>
      </c>
      <c r="AO132" s="515" t="s">
        <v>33</v>
      </c>
      <c r="AP132" s="515" t="s">
        <v>33</v>
      </c>
      <c r="AQ132" s="515" t="s">
        <v>33</v>
      </c>
    </row>
    <row r="133" spans="1:43">
      <c r="A133" s="182"/>
      <c r="B133" s="970" t="str">
        <f>Contents!E31</f>
        <v xml:space="preserve">Figure 6: Rates of sudden unexpected death in infancy (SUDI) and sudden infant death syndrome (SIDS) in those aged &lt;1 year, by ethnic group, 2012−2016
</v>
      </c>
      <c r="C133" s="970"/>
      <c r="D133" s="970"/>
      <c r="E133" s="970"/>
      <c r="F133" s="970"/>
      <c r="G133" s="970"/>
      <c r="H133" s="970"/>
      <c r="I133" s="970"/>
      <c r="J133" s="970"/>
      <c r="K133" s="970"/>
      <c r="L133" s="970"/>
      <c r="M133" s="970"/>
      <c r="N133" s="970"/>
      <c r="O133" s="970"/>
      <c r="P133" s="971"/>
      <c r="AB133" s="860" t="s">
        <v>123</v>
      </c>
      <c r="AC133" s="860" t="s">
        <v>299</v>
      </c>
      <c r="AE133" s="860" t="s">
        <v>46</v>
      </c>
      <c r="AF133" s="860" t="s">
        <v>300</v>
      </c>
      <c r="AG133" s="860" t="s">
        <v>301</v>
      </c>
      <c r="AH133" s="860" t="s">
        <v>45</v>
      </c>
      <c r="AI133" s="860" t="s">
        <v>290</v>
      </c>
      <c r="AJ133" s="860" t="s">
        <v>289</v>
      </c>
      <c r="AK133" s="860" t="s">
        <v>299</v>
      </c>
      <c r="AL133" s="515" t="s">
        <v>46</v>
      </c>
      <c r="AM133" s="515" t="s">
        <v>300</v>
      </c>
      <c r="AN133" s="515" t="s">
        <v>301</v>
      </c>
      <c r="AO133" s="515" t="s">
        <v>45</v>
      </c>
      <c r="AP133" s="515" t="s">
        <v>290</v>
      </c>
      <c r="AQ133" s="515" t="s">
        <v>289</v>
      </c>
    </row>
    <row r="134" spans="1:43">
      <c r="A134" s="182"/>
      <c r="B134" s="136"/>
      <c r="C134" s="136"/>
      <c r="D134" s="136"/>
      <c r="E134" s="136"/>
      <c r="F134" s="136"/>
      <c r="G134" s="136"/>
      <c r="H134" s="136"/>
      <c r="I134" s="136"/>
      <c r="J134" s="136"/>
      <c r="K134" s="136"/>
      <c r="L134" s="162"/>
      <c r="M134" s="162"/>
      <c r="N134" s="162"/>
      <c r="O134" s="162"/>
      <c r="P134" s="183"/>
      <c r="AA134" s="860" t="str">
        <f>Ref!B30</f>
        <v>2011-2015</v>
      </c>
      <c r="AB134" s="860" t="s">
        <v>74</v>
      </c>
      <c r="AC134" s="860">
        <f>SidsSudiEth!B72</f>
        <v>54</v>
      </c>
      <c r="AE134" s="860">
        <f>SidsSudiTrend!M15</f>
        <v>86686</v>
      </c>
      <c r="AF134" s="861">
        <f>IF(AC134=0,0,IF(AC134&lt;389,CHIINV(0.5+$AB$35/200,2*AC134)/2,AC134*(1-1/(9*AC134)-NORMSINV(0.5+$AB$35/200)/3/SQRT(AC134))^3))/AE134*1000</f>
        <v>0.46797016787652851</v>
      </c>
      <c r="AG134" s="861">
        <f>IF(AC134&lt;389,CHIINV(0.5-$AB$35/200,2*AC134+2)/2,(AC134+1)*(1-1/(9*(AC134+1))+NORMSINV(0.5+$AB$35/200)/3/SQRT(AC134+1))^3)/AE134*1000</f>
        <v>0.81279891093960632</v>
      </c>
      <c r="AH134" s="862">
        <f>AC134/AE134*1000</f>
        <v>0.62293795999353996</v>
      </c>
      <c r="AI134" s="862">
        <f>AG134-AH134</f>
        <v>0.18986095094606636</v>
      </c>
      <c r="AJ134" s="862">
        <f>AH134-AF134</f>
        <v>0.15496779211701145</v>
      </c>
      <c r="AK134" s="860">
        <f>SidsSudiEth!G72</f>
        <v>116</v>
      </c>
      <c r="AL134" s="515">
        <f>AE134</f>
        <v>86686</v>
      </c>
      <c r="AM134" s="864">
        <f>IF(AK134=0,0,IF(AK134&lt;389,CHIINV(0.5+$AB$35/200,2*AK134)/2,AK134*(1-1/(9*AK134)-NORMSINV(0.5+$AB$35/200)/3/SQRT(AK134))^3))/AL134*1000</f>
        <v>1.1057500000163054</v>
      </c>
      <c r="AN134" s="864">
        <f>IF(AK134&lt;389,CHIINV(0.5-$AB$35/200,2*AK134+2)/2,(AK134+1)*(1-1/(9*(AK134+1))+NORMSINV(0.5+$AB$35/200)/3/SQRT(AK134+1))^3)/AL134*1000</f>
        <v>1.6049990826465286</v>
      </c>
      <c r="AO134" s="871">
        <f>AK134/AL134*1000</f>
        <v>1.3381630251713081</v>
      </c>
      <c r="AP134" s="871">
        <f>AN134-AO134</f>
        <v>0.26683605747522043</v>
      </c>
      <c r="AQ134" s="871">
        <f>AO134-AM134</f>
        <v>0.23241302515500273</v>
      </c>
    </row>
    <row r="135" spans="1:43">
      <c r="A135" s="182"/>
      <c r="B135" s="136"/>
      <c r="C135" s="136"/>
      <c r="D135" s="136"/>
      <c r="E135" s="136"/>
      <c r="F135" s="136"/>
      <c r="G135" s="136"/>
      <c r="H135" s="136"/>
      <c r="I135" s="136"/>
      <c r="J135" s="136"/>
      <c r="K135" s="136"/>
      <c r="L135" s="162"/>
      <c r="M135" s="162"/>
      <c r="N135" s="162"/>
      <c r="O135" s="162"/>
      <c r="P135" s="183"/>
      <c r="AA135" s="860" t="str">
        <f>Ref!B30</f>
        <v>2011-2015</v>
      </c>
      <c r="AB135" s="860" t="s">
        <v>320</v>
      </c>
      <c r="AC135" s="860">
        <f>SidsSudiEth!C72</f>
        <v>12</v>
      </c>
      <c r="AE135" s="860">
        <f>SidsSudiTrend!M16</f>
        <v>31942</v>
      </c>
      <c r="AF135" s="861">
        <f>IF(AC135=0,0,IF(AC135&lt;389,CHIINV(0.5+$AB$35/200,2*AC135)/2,AC135*(1-1/(9*AC135)-NORMSINV(0.5+$AB$35/200)/3/SQRT(AC135))^3))/AE135*1000</f>
        <v>0.194119814311008</v>
      </c>
      <c r="AG135" s="861">
        <f>IF(AC135&lt;389,CHIINV(0.5-$AB$35/200,2*AC135+2)/2,(AC135+1)*(1-1/(9*(AC135+1))+NORMSINV(0.5+$AB$35/200)/3/SQRT(AC135+1))^3)/AE135*1000</f>
        <v>0.65623896588118946</v>
      </c>
      <c r="AH135" s="862">
        <f>AC135/AE135*1000</f>
        <v>0.37568092167052786</v>
      </c>
      <c r="AI135" s="862">
        <f>AG135-AH135</f>
        <v>0.28055804421066161</v>
      </c>
      <c r="AJ135" s="862">
        <f>AH135-AF135</f>
        <v>0.18156110735951986</v>
      </c>
      <c r="AK135" s="860">
        <f>SidsSudiEth!H72</f>
        <v>39</v>
      </c>
      <c r="AL135" s="515">
        <f>AE135</f>
        <v>31942</v>
      </c>
      <c r="AM135" s="864">
        <f>IF(AK135=0,0,IF(AK135&lt;389,CHIINV(0.5+$AB$35/200,2*AK135)/2,AK135*(1-1/(9*AK135)-NORMSINV(0.5+$AB$35/200)/3/SQRT(AK135))^3))/AL135*1000</f>
        <v>0.86822404637895179</v>
      </c>
      <c r="AN135" s="864">
        <f>IF(AK135&lt;389,CHIINV(0.5-$AB$35/200,2*AK135+2)/2,(AK135+1)*(1-1/(9*(AK135+1))+NORMSINV(0.5+$AB$35/200)/3/SQRT(AK135+1))^3)/AL135*1000</f>
        <v>1.6690966084100203</v>
      </c>
      <c r="AO135" s="871">
        <f>AK135/AL135*1000</f>
        <v>1.2209629954292156</v>
      </c>
      <c r="AP135" s="871">
        <f>AN135-AO135</f>
        <v>0.44813361298080467</v>
      </c>
      <c r="AQ135" s="871">
        <f>AO135-AM135</f>
        <v>0.35273894905026382</v>
      </c>
    </row>
    <row r="136" spans="1:43">
      <c r="A136" s="182"/>
      <c r="B136" s="136"/>
      <c r="C136" s="136"/>
      <c r="D136" s="136"/>
      <c r="E136" s="136"/>
      <c r="F136" s="136"/>
      <c r="G136" s="136"/>
      <c r="H136" s="136"/>
      <c r="I136" s="136"/>
      <c r="J136" s="136"/>
      <c r="K136" s="136"/>
      <c r="L136" s="196"/>
      <c r="M136" s="965" t="s">
        <v>73</v>
      </c>
      <c r="N136" s="962" t="s">
        <v>33</v>
      </c>
      <c r="O136" s="962" t="s">
        <v>32</v>
      </c>
      <c r="P136" s="183"/>
      <c r="AA136" s="860" t="str">
        <f>Ref!B30</f>
        <v>2011-2015</v>
      </c>
      <c r="AB136" s="860" t="s">
        <v>355</v>
      </c>
      <c r="AC136" s="860">
        <f>SidsSudiEth!D72</f>
        <v>4</v>
      </c>
      <c r="AE136" s="860">
        <f>SidsSudiTrend!M17</f>
        <v>47731</v>
      </c>
      <c r="AF136" s="861">
        <f>IF(AC136=0,0,IF(AC136&lt;389,CHIINV(0.5+$AB$35/200,2*AC136)/2,AC136*(1-1/(9*AC136)-NORMSINV(0.5+$AB$35/200)/3/SQRT(AC136))^3))/AE136*1000</f>
        <v>2.2833491308087518E-2</v>
      </c>
      <c r="AG136" s="861">
        <f>IF(AC136&lt;389,CHIINV(0.5-$AB$35/200,2*AC136+2)/2,(AC136+1)*(1-1/(9*(AC136+1))+NORMSINV(0.5+$AB$35/200)/3/SQRT(AC136+1))^3)/AE136*1000</f>
        <v>0.21456891067448194</v>
      </c>
      <c r="AH136" s="862">
        <f>AC136/AE136*1000</f>
        <v>8.3802979195910413E-2</v>
      </c>
      <c r="AI136" s="862">
        <f>AG136-AH136</f>
        <v>0.13076593147857152</v>
      </c>
      <c r="AJ136" s="862">
        <f>AH136-AF136</f>
        <v>6.0969487887822894E-2</v>
      </c>
      <c r="AK136" s="860">
        <f>SidsSudiEth!I72</f>
        <v>6</v>
      </c>
      <c r="AL136" s="515">
        <f>AE136</f>
        <v>47731</v>
      </c>
      <c r="AM136" s="864">
        <f>IF(AK136=0,0,IF(AK136&lt;389,CHIINV(0.5+$AB$35/200,2*AK136)/2,AK136*(1-1/(9*AK136)-NORMSINV(0.5+$AB$35/200)/3/SQRT(AK136))^3))/AL136*1000</f>
        <v>4.613132457922213E-2</v>
      </c>
      <c r="AN136" s="864">
        <f>IF(AK136&lt;389,CHIINV(0.5-$AB$35/200,2*AK136+2)/2,(AK136+1)*(1-1/(9*(AK136+1))+NORMSINV(0.5+$AB$35/200)/3/SQRT(AK136+1))^3)/AL136*1000</f>
        <v>0.27360570745466639</v>
      </c>
      <c r="AO136" s="871">
        <f>AK136/AL136*1000</f>
        <v>0.12570446879386563</v>
      </c>
      <c r="AP136" s="871">
        <f>AN136-AO136</f>
        <v>0.14790123866080077</v>
      </c>
      <c r="AQ136" s="871">
        <f>AO136-AM136</f>
        <v>7.9573144214643496E-2</v>
      </c>
    </row>
    <row r="137" spans="1:43">
      <c r="A137" s="182"/>
      <c r="B137" s="136"/>
      <c r="C137" s="136"/>
      <c r="D137" s="136"/>
      <c r="E137" s="136"/>
      <c r="F137" s="136"/>
      <c r="G137" s="136"/>
      <c r="H137" s="136"/>
      <c r="I137" s="136"/>
      <c r="J137" s="136"/>
      <c r="K137" s="136"/>
      <c r="L137" s="162"/>
      <c r="M137" s="969"/>
      <c r="N137" s="963"/>
      <c r="O137" s="963"/>
      <c r="P137" s="183"/>
      <c r="AA137" s="860" t="str">
        <f>Ref!B30</f>
        <v>2011-2015</v>
      </c>
      <c r="AB137" s="860" t="s">
        <v>356</v>
      </c>
      <c r="AC137" s="860">
        <f>SidsSudiEth!E72</f>
        <v>31</v>
      </c>
      <c r="AE137" s="860">
        <f>SidsSudiTrend!M18</f>
        <v>136220</v>
      </c>
      <c r="AF137" s="861">
        <f>IF(AC137=0,0,IF(AC137&lt;389,CHIINV(0.5+$AB$35/200,2*AC137)/2,AC137*(1-1/(9*AC137)-NORMSINV(0.5+$AB$35/200)/3/SQRT(AC137))^3))/AE137*1000</f>
        <v>0.15462484201396162</v>
      </c>
      <c r="AG137" s="861">
        <f>IF(AC137&lt;389,CHIINV(0.5-$AB$35/200,2*AC137+2)/2,(AC137+1)*(1-1/(9*(AC137+1))+NORMSINV(0.5+$AB$35/200)/3/SQRT(AC137+1))^3)/AE137*1000</f>
        <v>0.32302176995484333</v>
      </c>
      <c r="AH137" s="862">
        <f>AC137/AE137*1000</f>
        <v>0.22757304360593159</v>
      </c>
      <c r="AI137" s="862">
        <f>AG137-AH137</f>
        <v>9.5448726348911744E-2</v>
      </c>
      <c r="AJ137" s="862">
        <f>AH137-AF137</f>
        <v>7.2948201591969963E-2</v>
      </c>
      <c r="AK137" s="860">
        <f>SidsSudiEth!J72</f>
        <v>48</v>
      </c>
      <c r="AL137" s="515">
        <f>AE137</f>
        <v>136220</v>
      </c>
      <c r="AM137" s="864">
        <f>IF(AK137=0,0,IF(AK137&lt;389,CHIINV(0.5+$AB$35/200,2*AK137)/2,AK137*(1-1/(9*AK137)-NORMSINV(0.5+$AB$35/200)/3/SQRT(AK137))^3))/AL137*1000</f>
        <v>0.25981067995509649</v>
      </c>
      <c r="AN137" s="864">
        <f>IF(AK137&lt;389,CHIINV(0.5-$AB$35/200,2*AK137+2)/2,(AK137+1)*(1-1/(9*(AK137+1))+NORMSINV(0.5+$AB$35/200)/3/SQRT(AK137+1))^3)/AL137*1000</f>
        <v>0.46719304200651346</v>
      </c>
      <c r="AO137" s="871">
        <f>AK137/AL137*1000</f>
        <v>0.35237116429305537</v>
      </c>
      <c r="AP137" s="871">
        <f>AN137-AO137</f>
        <v>0.11482187771345809</v>
      </c>
      <c r="AQ137" s="871">
        <f>AO137-AM137</f>
        <v>9.2560484337958882E-2</v>
      </c>
    </row>
    <row r="138" spans="1:43">
      <c r="A138" s="182"/>
      <c r="B138" s="136"/>
      <c r="C138" s="136"/>
      <c r="D138" s="136"/>
      <c r="E138" s="136"/>
      <c r="F138" s="136"/>
      <c r="G138" s="136"/>
      <c r="H138" s="136"/>
      <c r="I138" s="136"/>
      <c r="J138" s="136"/>
      <c r="K138" s="136"/>
      <c r="L138" s="192"/>
      <c r="M138" s="197" t="s">
        <v>74</v>
      </c>
      <c r="N138" s="144">
        <f>AO134</f>
        <v>1.3381630251713081</v>
      </c>
      <c r="O138" s="144">
        <f>AH134</f>
        <v>0.62293795999353996</v>
      </c>
      <c r="P138" s="183"/>
      <c r="AF138" s="861"/>
      <c r="AG138" s="861"/>
      <c r="AH138" s="862"/>
      <c r="AI138" s="862"/>
      <c r="AJ138" s="862"/>
      <c r="AM138" s="864"/>
      <c r="AN138" s="864"/>
      <c r="AO138" s="871"/>
      <c r="AP138" s="871"/>
      <c r="AQ138" s="871"/>
    </row>
    <row r="139" spans="1:43">
      <c r="A139" s="182"/>
      <c r="B139" s="136"/>
      <c r="C139" s="136"/>
      <c r="D139" s="136"/>
      <c r="E139" s="136"/>
      <c r="F139" s="136"/>
      <c r="G139" s="136"/>
      <c r="H139" s="136"/>
      <c r="I139" s="136"/>
      <c r="J139" s="136"/>
      <c r="K139" s="136"/>
      <c r="L139" s="192"/>
      <c r="M139" s="197" t="s">
        <v>320</v>
      </c>
      <c r="N139" s="144">
        <f>AO135</f>
        <v>1.2209629954292156</v>
      </c>
      <c r="O139" s="144">
        <f>AH135</f>
        <v>0.37568092167052786</v>
      </c>
      <c r="P139" s="183"/>
      <c r="AF139" s="861"/>
      <c r="AG139" s="861"/>
      <c r="AH139" s="862"/>
      <c r="AI139" s="862"/>
      <c r="AJ139" s="862"/>
      <c r="AM139" s="864"/>
      <c r="AN139" s="864"/>
      <c r="AO139" s="871"/>
      <c r="AP139" s="871"/>
      <c r="AQ139" s="871"/>
    </row>
    <row r="140" spans="1:43">
      <c r="A140" s="182"/>
      <c r="B140" s="136"/>
      <c r="C140" s="136"/>
      <c r="D140" s="136"/>
      <c r="E140" s="136"/>
      <c r="F140" s="136"/>
      <c r="G140" s="136"/>
      <c r="H140" s="136"/>
      <c r="I140" s="136"/>
      <c r="J140" s="136"/>
      <c r="K140" s="136"/>
      <c r="L140" s="192"/>
      <c r="M140" s="316" t="s">
        <v>355</v>
      </c>
      <c r="N140" s="144">
        <f>AO136</f>
        <v>0.12570446879386563</v>
      </c>
      <c r="O140" s="144">
        <f>AH136</f>
        <v>8.3802979195910413E-2</v>
      </c>
      <c r="P140" s="183"/>
    </row>
    <row r="141" spans="1:43">
      <c r="A141" s="182"/>
      <c r="B141" s="136"/>
      <c r="C141" s="136"/>
      <c r="D141" s="136"/>
      <c r="E141" s="136"/>
      <c r="F141" s="136"/>
      <c r="G141" s="136"/>
      <c r="H141" s="136"/>
      <c r="I141" s="136"/>
      <c r="J141" s="136"/>
      <c r="K141" s="136"/>
      <c r="L141" s="192"/>
      <c r="M141" s="317" t="s">
        <v>356</v>
      </c>
      <c r="N141" s="185">
        <f>AO137</f>
        <v>0.35237116429305537</v>
      </c>
      <c r="O141" s="185">
        <f>AH137</f>
        <v>0.22757304360593159</v>
      </c>
      <c r="P141" s="183"/>
    </row>
    <row r="142" spans="1:43">
      <c r="A142" s="182"/>
      <c r="B142" s="136"/>
      <c r="C142" s="136"/>
      <c r="D142" s="136"/>
      <c r="E142" s="136"/>
      <c r="F142" s="136"/>
      <c r="G142" s="136"/>
      <c r="H142" s="136"/>
      <c r="I142" s="136"/>
      <c r="J142" s="136"/>
      <c r="K142" s="136"/>
      <c r="L142" s="192"/>
      <c r="M142" s="199"/>
      <c r="N142" s="144"/>
      <c r="O142" s="144"/>
      <c r="P142" s="183"/>
    </row>
    <row r="143" spans="1:43">
      <c r="A143" s="182"/>
      <c r="B143" s="136"/>
      <c r="C143" s="136"/>
      <c r="D143" s="136"/>
      <c r="E143" s="136"/>
      <c r="F143" s="136"/>
      <c r="G143" s="136"/>
      <c r="H143" s="136"/>
      <c r="I143" s="136"/>
      <c r="J143" s="136"/>
      <c r="K143" s="136"/>
      <c r="L143" s="192"/>
      <c r="M143" s="199"/>
      <c r="N143" s="144"/>
      <c r="O143" s="144"/>
      <c r="P143" s="183"/>
    </row>
    <row r="144" spans="1:43">
      <c r="A144" s="182"/>
      <c r="B144" s="136"/>
      <c r="C144" s="136"/>
      <c r="D144" s="136"/>
      <c r="E144" s="136"/>
      <c r="F144" s="136"/>
      <c r="G144" s="136"/>
      <c r="H144" s="136"/>
      <c r="I144" s="136"/>
      <c r="J144" s="136"/>
      <c r="K144" s="136"/>
      <c r="L144" s="192"/>
      <c r="M144" s="199"/>
      <c r="N144" s="144"/>
      <c r="O144" s="144"/>
      <c r="P144" s="183"/>
    </row>
    <row r="145" spans="1:43">
      <c r="A145" s="182"/>
      <c r="B145" s="136"/>
      <c r="C145" s="136"/>
      <c r="D145" s="136"/>
      <c r="E145" s="136"/>
      <c r="F145" s="136"/>
      <c r="G145" s="136"/>
      <c r="H145" s="136"/>
      <c r="I145" s="136"/>
      <c r="J145" s="136"/>
      <c r="K145" s="136"/>
      <c r="L145" s="192"/>
      <c r="M145" s="199"/>
      <c r="N145" s="144"/>
      <c r="O145" s="144"/>
      <c r="P145" s="183"/>
    </row>
    <row r="146" spans="1:43">
      <c r="A146" s="182"/>
      <c r="B146" s="136"/>
      <c r="C146" s="136"/>
      <c r="D146" s="136"/>
      <c r="E146" s="136"/>
      <c r="F146" s="136"/>
      <c r="G146" s="136"/>
      <c r="H146" s="136"/>
      <c r="I146" s="136"/>
      <c r="J146" s="136"/>
      <c r="K146" s="136"/>
      <c r="L146" s="192"/>
      <c r="M146" s="199"/>
      <c r="N146" s="144"/>
      <c r="O146" s="144"/>
      <c r="P146" s="183"/>
    </row>
    <row r="147" spans="1:43">
      <c r="A147" s="182"/>
      <c r="B147" s="136"/>
      <c r="C147" s="136"/>
      <c r="D147" s="136"/>
      <c r="E147" s="136"/>
      <c r="F147" s="136"/>
      <c r="G147" s="136"/>
      <c r="H147" s="136"/>
      <c r="I147" s="136"/>
      <c r="J147" s="136"/>
      <c r="K147" s="136"/>
      <c r="L147" s="192"/>
      <c r="M147" s="188"/>
      <c r="N147" s="144"/>
      <c r="O147" s="144"/>
      <c r="P147" s="183"/>
    </row>
    <row r="148" spans="1:43">
      <c r="A148" s="182"/>
      <c r="B148" s="136"/>
      <c r="C148" s="136"/>
      <c r="D148" s="136"/>
      <c r="E148" s="136"/>
      <c r="F148" s="136"/>
      <c r="G148" s="136"/>
      <c r="H148" s="136"/>
      <c r="I148" s="136"/>
      <c r="J148" s="136"/>
      <c r="K148" s="136"/>
      <c r="L148" s="189"/>
      <c r="M148" s="136"/>
      <c r="N148" s="136"/>
      <c r="O148" s="136"/>
      <c r="P148" s="183"/>
    </row>
    <row r="149" spans="1:43">
      <c r="A149" s="182"/>
      <c r="B149" s="136"/>
      <c r="C149" s="136"/>
      <c r="D149" s="136"/>
      <c r="E149" s="136"/>
      <c r="F149" s="136"/>
      <c r="G149" s="136"/>
      <c r="H149" s="136"/>
      <c r="I149" s="136"/>
      <c r="J149" s="136"/>
      <c r="K149" s="136"/>
      <c r="L149" s="136"/>
      <c r="M149" s="136"/>
      <c r="N149" s="136"/>
      <c r="O149" s="136"/>
      <c r="P149" s="183"/>
    </row>
    <row r="150" spans="1:43">
      <c r="A150" s="182"/>
      <c r="B150" s="136"/>
      <c r="C150" s="136"/>
      <c r="D150" s="136"/>
      <c r="E150" s="136"/>
      <c r="F150" s="136"/>
      <c r="G150" s="136"/>
      <c r="H150" s="136"/>
      <c r="I150" s="136"/>
      <c r="J150" s="136"/>
      <c r="K150" s="136"/>
      <c r="L150" s="136"/>
      <c r="M150" s="136"/>
      <c r="N150" s="136"/>
      <c r="O150" s="136"/>
      <c r="P150" s="183"/>
    </row>
    <row r="151" spans="1:43">
      <c r="A151" s="182"/>
      <c r="B151" s="136"/>
      <c r="C151" s="136"/>
      <c r="D151" s="136"/>
      <c r="E151" s="136"/>
      <c r="F151" s="136"/>
      <c r="G151" s="136"/>
      <c r="H151" s="136"/>
      <c r="I151" s="136"/>
      <c r="J151" s="136"/>
      <c r="K151" s="136"/>
      <c r="L151" s="136"/>
      <c r="M151" s="136"/>
      <c r="N151" s="136"/>
      <c r="O151" s="136"/>
      <c r="P151" s="183"/>
    </row>
    <row r="152" spans="1:43">
      <c r="A152" s="193"/>
      <c r="B152" s="194"/>
      <c r="C152" s="194"/>
      <c r="D152" s="194"/>
      <c r="E152" s="194"/>
      <c r="F152" s="194"/>
      <c r="G152" s="194"/>
      <c r="H152" s="194"/>
      <c r="I152" s="194"/>
      <c r="J152" s="194"/>
      <c r="K152" s="194"/>
      <c r="L152" s="194"/>
      <c r="M152" s="194"/>
      <c r="N152" s="194"/>
      <c r="O152" s="194"/>
      <c r="P152" s="195"/>
    </row>
    <row r="155" spans="1:43">
      <c r="A155" s="179"/>
      <c r="B155" s="180"/>
      <c r="C155" s="180"/>
      <c r="D155" s="180"/>
      <c r="E155" s="180"/>
      <c r="F155" s="180"/>
      <c r="G155" s="180"/>
      <c r="H155" s="180"/>
      <c r="I155" s="180"/>
      <c r="J155" s="180"/>
      <c r="K155" s="180"/>
      <c r="L155" s="180"/>
      <c r="M155" s="180"/>
      <c r="N155" s="180"/>
      <c r="O155" s="180"/>
      <c r="P155" s="181"/>
      <c r="AC155" s="860" t="s">
        <v>32</v>
      </c>
      <c r="AE155" s="860" t="s">
        <v>51</v>
      </c>
      <c r="AF155" s="860" t="s">
        <v>32</v>
      </c>
      <c r="AG155" s="860" t="s">
        <v>32</v>
      </c>
      <c r="AH155" s="860" t="s">
        <v>32</v>
      </c>
      <c r="AI155" s="860" t="s">
        <v>32</v>
      </c>
      <c r="AJ155" s="860" t="s">
        <v>32</v>
      </c>
      <c r="AK155" s="860" t="s">
        <v>33</v>
      </c>
      <c r="AL155" s="515" t="s">
        <v>51</v>
      </c>
      <c r="AM155" s="515" t="s">
        <v>33</v>
      </c>
      <c r="AN155" s="515" t="s">
        <v>33</v>
      </c>
      <c r="AO155" s="515" t="s">
        <v>33</v>
      </c>
      <c r="AP155" s="515" t="s">
        <v>33</v>
      </c>
      <c r="AQ155" s="515" t="s">
        <v>33</v>
      </c>
    </row>
    <row r="156" spans="1:43" ht="24" customHeight="1">
      <c r="A156" s="182"/>
      <c r="B156" s="964" t="str">
        <f>Contents!E32</f>
        <v xml:space="preserve">Figure 7: Rates of sudden unexpected death in infancy (SUDI) and sudden infant death syndrome (SIDS) in those aged &lt;1 year, by maternal age group, 2012−2016
</v>
      </c>
      <c r="C156" s="964"/>
      <c r="D156" s="964"/>
      <c r="E156" s="964"/>
      <c r="F156" s="964"/>
      <c r="G156" s="964"/>
      <c r="H156" s="964"/>
      <c r="I156" s="964"/>
      <c r="J156" s="964"/>
      <c r="K156" s="964"/>
      <c r="L156" s="964"/>
      <c r="M156" s="964"/>
      <c r="N156" s="964"/>
      <c r="O156" s="964"/>
      <c r="P156" s="972"/>
      <c r="AB156" s="860" t="s">
        <v>122</v>
      </c>
      <c r="AC156" s="860" t="s">
        <v>299</v>
      </c>
      <c r="AE156" s="860" t="s">
        <v>46</v>
      </c>
      <c r="AF156" s="860" t="s">
        <v>300</v>
      </c>
      <c r="AG156" s="860" t="s">
        <v>301</v>
      </c>
      <c r="AH156" s="860" t="s">
        <v>45</v>
      </c>
      <c r="AI156" s="860" t="s">
        <v>290</v>
      </c>
      <c r="AJ156" s="860" t="s">
        <v>289</v>
      </c>
      <c r="AK156" s="860" t="s">
        <v>299</v>
      </c>
      <c r="AL156" s="515" t="s">
        <v>46</v>
      </c>
      <c r="AM156" s="515" t="s">
        <v>300</v>
      </c>
      <c r="AN156" s="515" t="s">
        <v>301</v>
      </c>
      <c r="AO156" s="515" t="s">
        <v>45</v>
      </c>
      <c r="AP156" s="515" t="s">
        <v>290</v>
      </c>
      <c r="AQ156" s="515" t="s">
        <v>364</v>
      </c>
    </row>
    <row r="157" spans="1:43">
      <c r="A157" s="182"/>
      <c r="B157" s="136"/>
      <c r="C157" s="136"/>
      <c r="D157" s="136"/>
      <c r="E157" s="136"/>
      <c r="F157" s="136"/>
      <c r="G157" s="136"/>
      <c r="H157" s="136"/>
      <c r="I157" s="136"/>
      <c r="J157" s="136"/>
      <c r="K157" s="136"/>
      <c r="L157" s="162"/>
      <c r="M157" s="162"/>
      <c r="N157" s="162"/>
      <c r="O157" s="162"/>
      <c r="P157" s="183"/>
      <c r="AA157" s="860" t="str">
        <f>Ref!B30</f>
        <v>2011-2015</v>
      </c>
      <c r="AB157" s="860" t="s">
        <v>76</v>
      </c>
      <c r="AC157" s="860">
        <f>SidsSudiEth!F77</f>
        <v>17</v>
      </c>
      <c r="AE157" s="860">
        <f>SidsSudiTrend!M20</f>
        <v>15843</v>
      </c>
      <c r="AF157" s="861">
        <f t="shared" ref="AF157:AF162" si="85">IF(AC157=0,0,IF(AC157&lt;389,CHIINV(0.5+$AB$35/200,2*AC157)/2,AC157*(1-1/(9*AC157)-NORMSINV(0.5+$AB$35/200)/3/SQRT(AC157))^3))/AE157*1000</f>
        <v>0.62507899195905381</v>
      </c>
      <c r="AG157" s="861">
        <f t="shared" ref="AG157:AG162" si="86">IF(AC157&lt;389,CHIINV(0.5-$AB$35/200,2*AC157+2)/2,(AC157+1)*(1-1/(9*(AC157+1))+NORMSINV(0.5+$AB$35/200)/3/SQRT(AC157+1))^3)/AE157*1000</f>
        <v>1.7180235319009409</v>
      </c>
      <c r="AH157" s="862">
        <f t="shared" ref="AH157:AH162" si="87">AC157/AE157*1000</f>
        <v>1.0730290980243642</v>
      </c>
      <c r="AI157" s="862">
        <f t="shared" ref="AI157:AI162" si="88">AG157-AH157</f>
        <v>0.64499443387657673</v>
      </c>
      <c r="AJ157" s="862">
        <f t="shared" ref="AJ157:AJ162" si="89">AH157-AF157</f>
        <v>0.44795010606531038</v>
      </c>
      <c r="AK157" s="860">
        <f>SidsSudiEth!K77</f>
        <v>36</v>
      </c>
      <c r="AL157" s="515">
        <f t="shared" ref="AL157:AL163" si="90">AE157</f>
        <v>15843</v>
      </c>
      <c r="AM157" s="864">
        <f t="shared" ref="AM157:AM162" si="91">IF(AK157=0,0,IF(AK157&lt;389,CHIINV(0.5+$AB$35/200,2*AK157)/2,AK157*(1-1/(9*AK157)-NORMSINV(0.5+$AB$35/200)/3/SQRT(AK157))^3))/AL157*1000</f>
        <v>1.5914888226544992</v>
      </c>
      <c r="AN157" s="864">
        <f t="shared" ref="AN157:AN162" si="92">IF(AK157&lt;389,CHIINV(0.5-$AB$35/200,2*AK157+2)/2,(AK157+1)*(1-1/(9*(AK157+1))+NORMSINV(0.5+$AB$35/200)/3/SQRT(AK157+1))^3)/AL157*1000</f>
        <v>3.1458167322625883</v>
      </c>
      <c r="AO157" s="871">
        <f t="shared" ref="AO157:AO162" si="93">AK157/AL157*1000</f>
        <v>2.272296913463359</v>
      </c>
      <c r="AP157" s="871">
        <f t="shared" ref="AP157:AP162" si="94">AN157-AO157</f>
        <v>0.87351981879922924</v>
      </c>
      <c r="AQ157" s="871">
        <f t="shared" ref="AQ157:AQ162" si="95">AO157-AM157</f>
        <v>0.68080809080885984</v>
      </c>
    </row>
    <row r="158" spans="1:43">
      <c r="A158" s="182"/>
      <c r="B158" s="136"/>
      <c r="C158" s="136"/>
      <c r="D158" s="136"/>
      <c r="E158" s="136"/>
      <c r="F158" s="136"/>
      <c r="G158" s="136"/>
      <c r="H158" s="136"/>
      <c r="I158" s="136"/>
      <c r="J158" s="136"/>
      <c r="K158" s="136"/>
      <c r="L158" s="162"/>
      <c r="M158" s="162"/>
      <c r="N158" s="162"/>
      <c r="O158" s="162"/>
      <c r="P158" s="183"/>
      <c r="AA158" s="860" t="str">
        <f>Ref!B30</f>
        <v>2011-2015</v>
      </c>
      <c r="AB158" s="860" t="s">
        <v>77</v>
      </c>
      <c r="AC158" s="860">
        <f>SidsSudiEth!F78</f>
        <v>36</v>
      </c>
      <c r="AE158" s="860">
        <f>SidsSudiTrend!M21</f>
        <v>53477</v>
      </c>
      <c r="AF158" s="861">
        <f t="shared" si="85"/>
        <v>0.47149162102053654</v>
      </c>
      <c r="AG158" s="861">
        <f t="shared" si="86"/>
        <v>0.93197401666578494</v>
      </c>
      <c r="AH158" s="862">
        <f t="shared" si="87"/>
        <v>0.67318660358658855</v>
      </c>
      <c r="AI158" s="862">
        <f t="shared" si="88"/>
        <v>0.25878741307919639</v>
      </c>
      <c r="AJ158" s="862">
        <f t="shared" si="89"/>
        <v>0.20169498256605201</v>
      </c>
      <c r="AK158" s="860">
        <f>SidsSudiEth!K78</f>
        <v>75</v>
      </c>
      <c r="AL158" s="515">
        <f t="shared" si="90"/>
        <v>53477</v>
      </c>
      <c r="AM158" s="864">
        <f t="shared" si="91"/>
        <v>1.1031332666651357</v>
      </c>
      <c r="AN158" s="864">
        <f t="shared" si="92"/>
        <v>1.7580109102760582</v>
      </c>
      <c r="AO158" s="871">
        <f t="shared" si="93"/>
        <v>1.4024720908053929</v>
      </c>
      <c r="AP158" s="871">
        <f t="shared" si="94"/>
        <v>0.35553881947066523</v>
      </c>
      <c r="AQ158" s="871">
        <f t="shared" si="95"/>
        <v>0.29933882414025725</v>
      </c>
    </row>
    <row r="159" spans="1:43" ht="15" customHeight="1">
      <c r="A159" s="182"/>
      <c r="B159" s="136"/>
      <c r="C159" s="136"/>
      <c r="D159" s="136"/>
      <c r="E159" s="136"/>
      <c r="F159" s="136"/>
      <c r="G159" s="136"/>
      <c r="H159" s="136"/>
      <c r="I159" s="136"/>
      <c r="J159" s="136"/>
      <c r="K159" s="136"/>
      <c r="L159" s="162"/>
      <c r="M159" s="965" t="s">
        <v>152</v>
      </c>
      <c r="N159" s="962" t="s">
        <v>33</v>
      </c>
      <c r="O159" s="962" t="s">
        <v>32</v>
      </c>
      <c r="P159" s="183"/>
      <c r="AA159" s="860" t="str">
        <f>Ref!B30</f>
        <v>2011-2015</v>
      </c>
      <c r="AB159" s="860" t="s">
        <v>78</v>
      </c>
      <c r="AC159" s="860">
        <f>SidsSudiEth!F79</f>
        <v>21</v>
      </c>
      <c r="AE159" s="860">
        <f>SidsSudiTrend!M22</f>
        <v>80193</v>
      </c>
      <c r="AF159" s="861">
        <f t="shared" si="85"/>
        <v>0.16210056967660755</v>
      </c>
      <c r="AG159" s="861">
        <f t="shared" si="86"/>
        <v>0.40029342629585363</v>
      </c>
      <c r="AH159" s="862">
        <f t="shared" si="87"/>
        <v>0.26186824286409038</v>
      </c>
      <c r="AI159" s="862">
        <f t="shared" si="88"/>
        <v>0.13842518343176324</v>
      </c>
      <c r="AJ159" s="862">
        <f t="shared" si="89"/>
        <v>9.9767673187482836E-2</v>
      </c>
      <c r="AK159" s="860">
        <f>SidsSudiEth!K79</f>
        <v>43</v>
      </c>
      <c r="AL159" s="515">
        <f t="shared" si="90"/>
        <v>80193</v>
      </c>
      <c r="AM159" s="864">
        <f t="shared" si="91"/>
        <v>0.38805523190262475</v>
      </c>
      <c r="AN159" s="864">
        <f t="shared" si="92"/>
        <v>0.72226650468723752</v>
      </c>
      <c r="AO159" s="871">
        <f t="shared" si="93"/>
        <v>0.53620640205504222</v>
      </c>
      <c r="AP159" s="871">
        <f t="shared" si="94"/>
        <v>0.1860601026321953</v>
      </c>
      <c r="AQ159" s="871">
        <f t="shared" si="95"/>
        <v>0.14815117015241747</v>
      </c>
    </row>
    <row r="160" spans="1:43">
      <c r="A160" s="182"/>
      <c r="B160" s="136"/>
      <c r="C160" s="136"/>
      <c r="D160" s="136"/>
      <c r="E160" s="136"/>
      <c r="F160" s="136"/>
      <c r="G160" s="136"/>
      <c r="H160" s="136"/>
      <c r="I160" s="136"/>
      <c r="J160" s="136"/>
      <c r="K160" s="136"/>
      <c r="L160" s="162"/>
      <c r="M160" s="969"/>
      <c r="N160" s="963"/>
      <c r="O160" s="963"/>
      <c r="P160" s="183"/>
      <c r="AA160" s="860" t="str">
        <f>Ref!B30</f>
        <v>2011-2015</v>
      </c>
      <c r="AB160" s="860" t="s">
        <v>79</v>
      </c>
      <c r="AC160" s="860">
        <f>SidsSudiEth!F80</f>
        <v>17</v>
      </c>
      <c r="AE160" s="860">
        <f>SidsSudiTrend!M23</f>
        <v>89493</v>
      </c>
      <c r="AF160" s="861">
        <f t="shared" si="85"/>
        <v>0.11065811258542331</v>
      </c>
      <c r="AG160" s="861">
        <f t="shared" si="86"/>
        <v>0.30414274653779189</v>
      </c>
      <c r="AH160" s="862">
        <f t="shared" si="87"/>
        <v>0.18995899120601611</v>
      </c>
      <c r="AI160" s="862">
        <f t="shared" si="88"/>
        <v>0.11418375533177577</v>
      </c>
      <c r="AJ160" s="862">
        <f t="shared" si="89"/>
        <v>7.9300878620592805E-2</v>
      </c>
      <c r="AK160" s="860">
        <f>SidsSudiEth!K80</f>
        <v>31</v>
      </c>
      <c r="AL160" s="515">
        <f t="shared" si="90"/>
        <v>89493</v>
      </c>
      <c r="AM160" s="864">
        <f t="shared" si="91"/>
        <v>0.23535914517495055</v>
      </c>
      <c r="AN160" s="864">
        <f t="shared" si="92"/>
        <v>0.49168119856579573</v>
      </c>
      <c r="AO160" s="871">
        <f t="shared" si="93"/>
        <v>0.34639580749332349</v>
      </c>
      <c r="AP160" s="871">
        <f t="shared" si="94"/>
        <v>0.14528539107247224</v>
      </c>
      <c r="AQ160" s="871">
        <f t="shared" si="95"/>
        <v>0.11103666231837295</v>
      </c>
    </row>
    <row r="161" spans="1:43">
      <c r="A161" s="182"/>
      <c r="B161" s="136"/>
      <c r="C161" s="136"/>
      <c r="D161" s="136"/>
      <c r="E161" s="136"/>
      <c r="F161" s="136"/>
      <c r="G161" s="136"/>
      <c r="H161" s="136"/>
      <c r="I161" s="136"/>
      <c r="J161" s="136"/>
      <c r="K161" s="136"/>
      <c r="L161" s="162"/>
      <c r="M161" s="190" t="str">
        <f t="shared" ref="M161:M166" si="96">AB157</f>
        <v xml:space="preserve"> &lt;20</v>
      </c>
      <c r="N161" s="144">
        <f t="shared" ref="N161:N166" si="97">AO157</f>
        <v>2.272296913463359</v>
      </c>
      <c r="O161" s="144">
        <f t="shared" ref="O161:O166" si="98">AH157</f>
        <v>1.0730290980243642</v>
      </c>
      <c r="P161" s="183"/>
      <c r="AA161" s="860" t="str">
        <f>Ref!B30</f>
        <v>2011-2015</v>
      </c>
      <c r="AB161" s="860" t="s">
        <v>80</v>
      </c>
      <c r="AC161" s="860">
        <f>SidsSudiEth!F81</f>
        <v>6</v>
      </c>
      <c r="AE161" s="860">
        <f>SidsSudiTrend!M24</f>
        <v>50760</v>
      </c>
      <c r="AF161" s="861">
        <f t="shared" si="85"/>
        <v>4.3378531392648773E-2</v>
      </c>
      <c r="AG161" s="861">
        <f t="shared" si="86"/>
        <v>0.2572788420511955</v>
      </c>
      <c r="AH161" s="862">
        <f t="shared" si="87"/>
        <v>0.11820330969267138</v>
      </c>
      <c r="AI161" s="862">
        <f t="shared" si="88"/>
        <v>0.1390755323585241</v>
      </c>
      <c r="AJ161" s="862">
        <f t="shared" si="89"/>
        <v>7.4824778300022612E-2</v>
      </c>
      <c r="AK161" s="860">
        <f>SidsSudiEth!K81</f>
        <v>16</v>
      </c>
      <c r="AL161" s="515">
        <f t="shared" si="90"/>
        <v>50760</v>
      </c>
      <c r="AM161" s="864">
        <f t="shared" si="91"/>
        <v>0.18016907907095209</v>
      </c>
      <c r="AN161" s="864">
        <f t="shared" si="92"/>
        <v>0.51187938529473909</v>
      </c>
      <c r="AO161" s="871">
        <f t="shared" si="93"/>
        <v>0.31520882584712373</v>
      </c>
      <c r="AP161" s="871">
        <f t="shared" si="94"/>
        <v>0.19667055944761536</v>
      </c>
      <c r="AQ161" s="871">
        <f t="shared" si="95"/>
        <v>0.13503974677617164</v>
      </c>
    </row>
    <row r="162" spans="1:43">
      <c r="A162" s="182"/>
      <c r="B162" s="136"/>
      <c r="C162" s="136"/>
      <c r="D162" s="136"/>
      <c r="E162" s="136"/>
      <c r="F162" s="136"/>
      <c r="G162" s="136"/>
      <c r="H162" s="136"/>
      <c r="I162" s="136"/>
      <c r="J162" s="136"/>
      <c r="K162" s="136"/>
      <c r="L162" s="162"/>
      <c r="M162" s="190" t="str">
        <f t="shared" si="96"/>
        <v>20−24</v>
      </c>
      <c r="N162" s="144">
        <f t="shared" si="97"/>
        <v>1.4024720908053929</v>
      </c>
      <c r="O162" s="144">
        <f t="shared" si="98"/>
        <v>0.67318660358658855</v>
      </c>
      <c r="P162" s="183"/>
      <c r="AA162" s="860" t="str">
        <f>Ref!B30</f>
        <v>2011-2015</v>
      </c>
      <c r="AB162" s="860" t="s">
        <v>81</v>
      </c>
      <c r="AC162" s="860">
        <f>SidsSudiEth!F82</f>
        <v>1</v>
      </c>
      <c r="AE162" s="860">
        <f>SidsSudiTrend!M25</f>
        <v>12813</v>
      </c>
      <c r="AF162" s="861">
        <f t="shared" si="85"/>
        <v>1.9759469276742288E-3</v>
      </c>
      <c r="AG162" s="861">
        <f t="shared" si="86"/>
        <v>0.43484300249269475</v>
      </c>
      <c r="AH162" s="862">
        <f t="shared" si="87"/>
        <v>7.8045734800593153E-2</v>
      </c>
      <c r="AI162" s="862">
        <f t="shared" si="88"/>
        <v>0.35679726769210163</v>
      </c>
      <c r="AJ162" s="862">
        <f t="shared" si="89"/>
        <v>7.6069787872918918E-2</v>
      </c>
      <c r="AK162" s="860">
        <f>SidsSudiEth!K82</f>
        <v>4</v>
      </c>
      <c r="AL162" s="515">
        <f t="shared" si="90"/>
        <v>12813</v>
      </c>
      <c r="AM162" s="864">
        <f t="shared" si="91"/>
        <v>8.5059343918389554E-2</v>
      </c>
      <c r="AN162" s="864">
        <f t="shared" si="92"/>
        <v>0.79931231369731504</v>
      </c>
      <c r="AO162" s="871">
        <f t="shared" si="93"/>
        <v>0.31218293920237261</v>
      </c>
      <c r="AP162" s="871">
        <f t="shared" si="94"/>
        <v>0.48712937449494242</v>
      </c>
      <c r="AQ162" s="871">
        <f t="shared" si="95"/>
        <v>0.22712359528398307</v>
      </c>
    </row>
    <row r="163" spans="1:43">
      <c r="A163" s="182"/>
      <c r="B163" s="136"/>
      <c r="C163" s="136"/>
      <c r="D163" s="136"/>
      <c r="E163" s="136"/>
      <c r="F163" s="136"/>
      <c r="G163" s="136"/>
      <c r="H163" s="136"/>
      <c r="I163" s="136"/>
      <c r="J163" s="136"/>
      <c r="K163" s="136"/>
      <c r="L163" s="162"/>
      <c r="M163" s="190" t="str">
        <f t="shared" si="96"/>
        <v>25−29</v>
      </c>
      <c r="N163" s="144">
        <f t="shared" si="97"/>
        <v>0.53620640205504222</v>
      </c>
      <c r="O163" s="144">
        <f t="shared" si="98"/>
        <v>0.26186824286409038</v>
      </c>
      <c r="P163" s="183"/>
      <c r="AA163" s="860" t="str">
        <f>Ref!B30</f>
        <v>2011-2015</v>
      </c>
      <c r="AB163" s="860" t="s">
        <v>63</v>
      </c>
      <c r="AC163" s="860">
        <f>SidsSudiEth!F83</f>
        <v>3</v>
      </c>
      <c r="AE163" s="860">
        <f>SidsSudiTrend!M26</f>
        <v>0</v>
      </c>
      <c r="AF163" s="861"/>
      <c r="AG163" s="861"/>
      <c r="AH163" s="862"/>
      <c r="AI163" s="862"/>
      <c r="AJ163" s="862"/>
      <c r="AK163" s="860">
        <f>SidsSudiEth!K83</f>
        <v>4</v>
      </c>
      <c r="AL163" s="515">
        <f t="shared" si="90"/>
        <v>0</v>
      </c>
      <c r="AM163" s="864"/>
      <c r="AN163" s="864"/>
      <c r="AO163" s="871"/>
      <c r="AP163" s="871"/>
      <c r="AQ163" s="871"/>
    </row>
    <row r="164" spans="1:43">
      <c r="A164" s="182"/>
      <c r="B164" s="136"/>
      <c r="C164" s="136"/>
      <c r="D164" s="136"/>
      <c r="E164" s="136"/>
      <c r="F164" s="136"/>
      <c r="G164" s="136"/>
      <c r="H164" s="136"/>
      <c r="I164" s="136"/>
      <c r="J164" s="136"/>
      <c r="K164" s="136"/>
      <c r="L164" s="162"/>
      <c r="M164" s="190" t="str">
        <f t="shared" si="96"/>
        <v>30−34</v>
      </c>
      <c r="N164" s="144">
        <f t="shared" si="97"/>
        <v>0.34639580749332349</v>
      </c>
      <c r="O164" s="144">
        <f t="shared" si="98"/>
        <v>0.18995899120601611</v>
      </c>
      <c r="P164" s="183"/>
    </row>
    <row r="165" spans="1:43">
      <c r="A165" s="182"/>
      <c r="B165" s="136"/>
      <c r="C165" s="136"/>
      <c r="D165" s="136"/>
      <c r="E165" s="136"/>
      <c r="F165" s="136"/>
      <c r="G165" s="136"/>
      <c r="H165" s="136"/>
      <c r="I165" s="136"/>
      <c r="J165" s="136"/>
      <c r="K165" s="136"/>
      <c r="L165" s="162"/>
      <c r="M165" s="186" t="str">
        <f t="shared" si="96"/>
        <v>35−39</v>
      </c>
      <c r="N165" s="144">
        <f t="shared" si="97"/>
        <v>0.31520882584712373</v>
      </c>
      <c r="O165" s="144">
        <f t="shared" si="98"/>
        <v>0.11820330969267138</v>
      </c>
      <c r="P165" s="183"/>
    </row>
    <row r="166" spans="1:43">
      <c r="A166" s="182"/>
      <c r="B166" s="136"/>
      <c r="C166" s="136"/>
      <c r="D166" s="136"/>
      <c r="E166" s="136"/>
      <c r="F166" s="136"/>
      <c r="G166" s="136"/>
      <c r="H166" s="136"/>
      <c r="I166" s="136"/>
      <c r="J166" s="136"/>
      <c r="K166" s="136"/>
      <c r="L166" s="162"/>
      <c r="M166" s="191" t="str">
        <f t="shared" si="96"/>
        <v>≥40</v>
      </c>
      <c r="N166" s="185">
        <f t="shared" si="97"/>
        <v>0.31218293920237261</v>
      </c>
      <c r="O166" s="185">
        <f t="shared" si="98"/>
        <v>7.8045734800593153E-2</v>
      </c>
      <c r="P166" s="183"/>
    </row>
    <row r="167" spans="1:43">
      <c r="A167" s="182"/>
      <c r="B167" s="136"/>
      <c r="C167" s="136"/>
      <c r="D167" s="136"/>
      <c r="E167" s="136"/>
      <c r="F167" s="136"/>
      <c r="G167" s="136"/>
      <c r="H167" s="136"/>
      <c r="I167" s="136"/>
      <c r="J167" s="136"/>
      <c r="K167" s="136"/>
      <c r="L167" s="162"/>
      <c r="M167" s="186"/>
      <c r="N167" s="144"/>
      <c r="O167" s="144"/>
      <c r="P167" s="183"/>
    </row>
    <row r="168" spans="1:43">
      <c r="A168" s="182"/>
      <c r="B168" s="136"/>
      <c r="C168" s="136"/>
      <c r="D168" s="136"/>
      <c r="E168" s="136"/>
      <c r="F168" s="136"/>
      <c r="G168" s="136"/>
      <c r="H168" s="136"/>
      <c r="I168" s="136"/>
      <c r="J168" s="136"/>
      <c r="K168" s="136"/>
      <c r="L168" s="192"/>
      <c r="M168" s="188"/>
      <c r="N168" s="144"/>
      <c r="O168" s="144"/>
      <c r="P168" s="183"/>
    </row>
    <row r="169" spans="1:43">
      <c r="A169" s="182"/>
      <c r="B169" s="136"/>
      <c r="C169" s="136"/>
      <c r="D169" s="136"/>
      <c r="E169" s="136"/>
      <c r="F169" s="136"/>
      <c r="G169" s="136"/>
      <c r="H169" s="136"/>
      <c r="I169" s="136"/>
      <c r="J169" s="136"/>
      <c r="K169" s="136"/>
      <c r="L169" s="192"/>
      <c r="M169" s="188"/>
      <c r="N169" s="144"/>
      <c r="O169" s="144"/>
      <c r="P169" s="183"/>
    </row>
    <row r="170" spans="1:43">
      <c r="A170" s="182"/>
      <c r="B170" s="136"/>
      <c r="C170" s="136"/>
      <c r="D170" s="136"/>
      <c r="E170" s="136"/>
      <c r="F170" s="136"/>
      <c r="G170" s="136"/>
      <c r="H170" s="136"/>
      <c r="I170" s="136"/>
      <c r="J170" s="136"/>
      <c r="K170" s="136"/>
      <c r="L170" s="192"/>
      <c r="M170" s="188"/>
      <c r="N170" s="144"/>
      <c r="O170" s="144"/>
      <c r="P170" s="183"/>
    </row>
    <row r="171" spans="1:43">
      <c r="A171" s="182"/>
      <c r="B171" s="136"/>
      <c r="C171" s="136"/>
      <c r="D171" s="136"/>
      <c r="E171" s="136"/>
      <c r="F171" s="136"/>
      <c r="G171" s="136"/>
      <c r="H171" s="136"/>
      <c r="I171" s="136"/>
      <c r="J171" s="136"/>
      <c r="K171" s="136"/>
      <c r="L171" s="189"/>
      <c r="M171" s="136"/>
      <c r="N171" s="136"/>
      <c r="O171" s="136"/>
      <c r="P171" s="183"/>
    </row>
    <row r="172" spans="1:43">
      <c r="A172" s="182"/>
      <c r="B172" s="136"/>
      <c r="C172" s="136"/>
      <c r="D172" s="136"/>
      <c r="E172" s="136"/>
      <c r="F172" s="136"/>
      <c r="G172" s="136"/>
      <c r="H172" s="136"/>
      <c r="I172" s="136"/>
      <c r="J172" s="136"/>
      <c r="K172" s="136"/>
      <c r="L172" s="136"/>
      <c r="M172" s="136"/>
      <c r="N172" s="136"/>
      <c r="O172" s="136"/>
      <c r="P172" s="183"/>
    </row>
    <row r="173" spans="1:43">
      <c r="A173" s="182"/>
      <c r="B173" s="136"/>
      <c r="C173" s="136"/>
      <c r="D173" s="136"/>
      <c r="E173" s="136"/>
      <c r="F173" s="136"/>
      <c r="G173" s="136"/>
      <c r="H173" s="136"/>
      <c r="I173" s="136"/>
      <c r="J173" s="136"/>
      <c r="K173" s="136"/>
      <c r="L173" s="136"/>
      <c r="M173" s="136"/>
      <c r="N173" s="136"/>
      <c r="O173" s="136"/>
      <c r="P173" s="183"/>
    </row>
    <row r="174" spans="1:43">
      <c r="A174" s="182"/>
      <c r="B174" s="136"/>
      <c r="C174" s="136"/>
      <c r="D174" s="136"/>
      <c r="E174" s="136"/>
      <c r="F174" s="136"/>
      <c r="G174" s="136"/>
      <c r="H174" s="136"/>
      <c r="I174" s="136"/>
      <c r="J174" s="136"/>
      <c r="K174" s="136"/>
      <c r="L174" s="136"/>
      <c r="M174" s="136"/>
      <c r="N174" s="136"/>
      <c r="O174" s="136"/>
      <c r="P174" s="183"/>
    </row>
    <row r="175" spans="1:43">
      <c r="A175" s="193"/>
      <c r="B175" s="194"/>
      <c r="C175" s="194"/>
      <c r="D175" s="194"/>
      <c r="E175" s="194"/>
      <c r="F175" s="194"/>
      <c r="G175" s="194"/>
      <c r="H175" s="194"/>
      <c r="I175" s="194"/>
      <c r="J175" s="194"/>
      <c r="K175" s="194"/>
      <c r="L175" s="194"/>
      <c r="M175" s="194"/>
      <c r="N175" s="194"/>
      <c r="O175" s="194"/>
      <c r="P175" s="195"/>
    </row>
    <row r="178" spans="1:43">
      <c r="A178" s="179"/>
      <c r="B178" s="180"/>
      <c r="C178" s="180"/>
      <c r="D178" s="180"/>
      <c r="E178" s="180"/>
      <c r="F178" s="180"/>
      <c r="G178" s="180"/>
      <c r="H178" s="180"/>
      <c r="I178" s="180"/>
      <c r="J178" s="180"/>
      <c r="K178" s="180"/>
      <c r="L178" s="180"/>
      <c r="M178" s="180"/>
      <c r="N178" s="180"/>
      <c r="O178" s="180"/>
      <c r="P178" s="181"/>
      <c r="AC178" s="860" t="s">
        <v>32</v>
      </c>
      <c r="AE178" s="860" t="s">
        <v>51</v>
      </c>
      <c r="AF178" s="860" t="s">
        <v>32</v>
      </c>
      <c r="AG178" s="860" t="s">
        <v>32</v>
      </c>
      <c r="AH178" s="860" t="s">
        <v>32</v>
      </c>
      <c r="AI178" s="860" t="s">
        <v>32</v>
      </c>
      <c r="AJ178" s="860" t="s">
        <v>32</v>
      </c>
      <c r="AK178" s="860" t="s">
        <v>33</v>
      </c>
      <c r="AL178" s="515" t="s">
        <v>51</v>
      </c>
      <c r="AM178" s="515" t="s">
        <v>33</v>
      </c>
      <c r="AN178" s="515" t="s">
        <v>33</v>
      </c>
      <c r="AO178" s="515" t="s">
        <v>33</v>
      </c>
      <c r="AP178" s="515" t="s">
        <v>33</v>
      </c>
      <c r="AQ178" s="515" t="s">
        <v>33</v>
      </c>
    </row>
    <row r="179" spans="1:43" ht="26.25" customHeight="1">
      <c r="A179" s="182"/>
      <c r="B179" s="964" t="str">
        <f>Contents!E33</f>
        <v xml:space="preserve">Figure 8: Rates of sudden unexpected death in infancy (SUDI) and sudden infant death syndrome (SIDS) in those aged &lt;1 year, by deprivation quintile of residence, 2012−2016
</v>
      </c>
      <c r="C179" s="964"/>
      <c r="D179" s="964"/>
      <c r="E179" s="964"/>
      <c r="F179" s="964"/>
      <c r="G179" s="964"/>
      <c r="H179" s="964"/>
      <c r="I179" s="964"/>
      <c r="J179" s="964"/>
      <c r="K179" s="964"/>
      <c r="L179" s="964"/>
      <c r="M179" s="964"/>
      <c r="N179" s="964"/>
      <c r="O179" s="964"/>
      <c r="P179" s="183"/>
      <c r="AB179" s="860" t="s">
        <v>124</v>
      </c>
      <c r="AC179" s="860" t="s">
        <v>299</v>
      </c>
      <c r="AE179" s="860" t="s">
        <v>46</v>
      </c>
      <c r="AF179" s="860" t="s">
        <v>300</v>
      </c>
      <c r="AG179" s="860" t="s">
        <v>301</v>
      </c>
      <c r="AH179" s="860" t="s">
        <v>45</v>
      </c>
      <c r="AI179" s="860" t="s">
        <v>290</v>
      </c>
      <c r="AJ179" s="860" t="s">
        <v>289</v>
      </c>
      <c r="AK179" s="860" t="s">
        <v>299</v>
      </c>
      <c r="AL179" s="515" t="s">
        <v>46</v>
      </c>
      <c r="AM179" s="515" t="s">
        <v>300</v>
      </c>
      <c r="AN179" s="515" t="s">
        <v>301</v>
      </c>
      <c r="AO179" s="515" t="s">
        <v>45</v>
      </c>
      <c r="AP179" s="515" t="s">
        <v>290</v>
      </c>
      <c r="AQ179" s="515" t="s">
        <v>289</v>
      </c>
    </row>
    <row r="180" spans="1:43">
      <c r="A180" s="182"/>
      <c r="B180" s="136"/>
      <c r="C180" s="136"/>
      <c r="D180" s="136"/>
      <c r="E180" s="136"/>
      <c r="F180" s="136"/>
      <c r="G180" s="136"/>
      <c r="H180" s="136"/>
      <c r="I180" s="136"/>
      <c r="J180" s="136"/>
      <c r="K180" s="136"/>
      <c r="L180" s="136"/>
      <c r="M180" s="136"/>
      <c r="N180" s="136"/>
      <c r="O180" s="136"/>
      <c r="P180" s="183"/>
      <c r="AA180" s="860" t="str">
        <f>Ref!B30</f>
        <v>2011-2015</v>
      </c>
      <c r="AB180" s="863">
        <v>1</v>
      </c>
      <c r="AC180" s="860">
        <f>SidsSudiEth!F85</f>
        <v>6</v>
      </c>
      <c r="AE180" s="860">
        <f>SidsSudiTrend!M28</f>
        <v>43331</v>
      </c>
      <c r="AF180" s="861">
        <f>IF(AC180=0,0,IF(AC180&lt;389,CHIINV(0.5+$AB$35/200,2*AC180)/2,AC180*(1-1/(9*AC180)-NORMSINV(0.5+$AB$35/200)/3/SQRT(AC180))^3))/AE180*1000</f>
        <v>5.0815680540279511E-2</v>
      </c>
      <c r="AG180" s="861">
        <f>IF(AC180&lt;389,CHIINV(0.5-$AB$35/200,2*AC180+2)/2,(AC180+1)*(1-1/(9*(AC180+1))+NORMSINV(0.5+$AB$35/200)/3/SQRT(AC180+1))^3)/AE180*1000</f>
        <v>0.30138870606537316</v>
      </c>
      <c r="AH180" s="862">
        <f>AC180/AE180*1000</f>
        <v>0.1384689944843184</v>
      </c>
      <c r="AI180" s="862">
        <f>AG180-AH180</f>
        <v>0.16291971158105475</v>
      </c>
      <c r="AJ180" s="862">
        <f>AH180-AF180</f>
        <v>8.7653313944038885E-2</v>
      </c>
      <c r="AK180" s="860">
        <f>SidsSudiEth!K85</f>
        <v>8</v>
      </c>
      <c r="AL180" s="515">
        <f>AE180</f>
        <v>43331</v>
      </c>
      <c r="AM180" s="864">
        <f>IF(AK180=0,0,IF(AK180&lt;389,CHIINV(0.5+$AB$35/200,2*AK180)/2,AK180*(1-1/(9*AK180)-NORMSINV(0.5+$AB$35/200)/3/SQRT(AK180))^3))/AL180*1000</f>
        <v>7.9708111438658261E-2</v>
      </c>
      <c r="AN180" s="864">
        <f>IF(AK180&lt;389,CHIINV(0.5-$AB$35/200,2*AK180+2)/2,(AK180+1)*(1-1/(9*(AK180+1))+NORMSINV(0.5+$AB$35/200)/3/SQRT(AK180+1))^3)/AL180*1000</f>
        <v>0.36378549353103584</v>
      </c>
      <c r="AO180" s="871">
        <f>AK180/AL180*1000</f>
        <v>0.18462532597909118</v>
      </c>
      <c r="AP180" s="871">
        <f>AN180-AO180</f>
        <v>0.17916016755194467</v>
      </c>
      <c r="AQ180" s="871">
        <f>AO180-AM180</f>
        <v>0.10491721454043292</v>
      </c>
    </row>
    <row r="181" spans="1:43">
      <c r="A181" s="182"/>
      <c r="B181" s="136"/>
      <c r="C181" s="136"/>
      <c r="D181" s="136"/>
      <c r="E181" s="136"/>
      <c r="F181" s="136"/>
      <c r="G181" s="136"/>
      <c r="H181" s="136"/>
      <c r="I181" s="136"/>
      <c r="J181" s="136"/>
      <c r="K181" s="136"/>
      <c r="L181" s="136"/>
      <c r="M181" s="136"/>
      <c r="N181" s="136"/>
      <c r="O181" s="136"/>
      <c r="P181" s="183"/>
      <c r="AA181" s="860" t="str">
        <f>Ref!B30</f>
        <v>2011-2015</v>
      </c>
      <c r="AB181" s="863">
        <v>2</v>
      </c>
      <c r="AC181" s="860">
        <f>SidsSudiEth!F86</f>
        <v>11</v>
      </c>
      <c r="AE181" s="860">
        <f>SidsSudiTrend!M29</f>
        <v>47884</v>
      </c>
      <c r="AF181" s="861">
        <f>IF(AC181=0,0,IF(AC181&lt;389,CHIINV(0.5+$AB$35/200,2*AC181)/2,AC181*(1-1/(9*AC181)-NORMSINV(0.5+$AB$35/200)/3/SQRT(AC181))^3))/AE181*1000</f>
        <v>0.11467630873019878</v>
      </c>
      <c r="AG181" s="861">
        <f>IF(AC181&lt;389,CHIINV(0.5-$AB$35/200,2*AC181+2)/2,(AC181+1)*(1-1/(9*(AC181+1))+NORMSINV(0.5+$AB$35/200)/3/SQRT(AC181+1))^3)/AE181*1000</f>
        <v>0.41103580555722069</v>
      </c>
      <c r="AH181" s="862">
        <f>AC181/AE181*1000</f>
        <v>0.22972182775039679</v>
      </c>
      <c r="AI181" s="862">
        <f>AG181-AH181</f>
        <v>0.1813139778068239</v>
      </c>
      <c r="AJ181" s="862">
        <f>AH181-AF181</f>
        <v>0.11504551902019801</v>
      </c>
      <c r="AK181" s="860">
        <f>SidsSudiEth!K86</f>
        <v>17</v>
      </c>
      <c r="AL181" s="515">
        <f>AE181</f>
        <v>47884</v>
      </c>
      <c r="AM181" s="864">
        <f>IF(AK181=0,0,IF(AK181&lt;389,CHIINV(0.5+$AB$35/200,2*AK181)/2,AK181*(1-1/(9*AK181)-NORMSINV(0.5+$AB$35/200)/3/SQRT(AK181))^3))/AL181*1000</f>
        <v>0.20681493754922917</v>
      </c>
      <c r="AN181" s="864">
        <f>IF(AK181&lt;389,CHIINV(0.5-$AB$35/200,2*AK181+2)/2,(AK181+1)*(1-1/(9*(AK181+1))+NORMSINV(0.5+$AB$35/200)/3/SQRT(AK181+1))^3)/AL181*1000</f>
        <v>0.56842884504023494</v>
      </c>
      <c r="AO181" s="871">
        <f>AK181/AL181*1000</f>
        <v>0.35502464288697683</v>
      </c>
      <c r="AP181" s="871">
        <f>AN181-AO181</f>
        <v>0.21340420215325812</v>
      </c>
      <c r="AQ181" s="871">
        <f>AO181-AM181</f>
        <v>0.14820970533774766</v>
      </c>
    </row>
    <row r="182" spans="1:43">
      <c r="A182" s="182"/>
      <c r="B182" s="136"/>
      <c r="C182" s="136"/>
      <c r="D182" s="136"/>
      <c r="E182" s="136"/>
      <c r="F182" s="136"/>
      <c r="G182" s="136"/>
      <c r="H182" s="136"/>
      <c r="I182" s="136"/>
      <c r="J182" s="136"/>
      <c r="K182" s="136"/>
      <c r="L182" s="136"/>
      <c r="M182" s="965" t="s">
        <v>75</v>
      </c>
      <c r="N182" s="962" t="s">
        <v>33</v>
      </c>
      <c r="O182" s="962" t="s">
        <v>32</v>
      </c>
      <c r="P182" s="183"/>
      <c r="AA182" s="860" t="str">
        <f>Ref!B30</f>
        <v>2011-2015</v>
      </c>
      <c r="AB182" s="863">
        <v>3</v>
      </c>
      <c r="AC182" s="860">
        <f>SidsSudiEth!F87</f>
        <v>8</v>
      </c>
      <c r="AE182" s="860">
        <f>SidsSudiTrend!M30</f>
        <v>53275</v>
      </c>
      <c r="AF182" s="861">
        <f>IF(AC182=0,0,IF(AC182&lt;389,CHIINV(0.5+$AB$35/200,2*AC182)/2,AC182*(1-1/(9*AC182)-NORMSINV(0.5+$AB$35/200)/3/SQRT(AC182))^3))/AE182*1000</f>
        <v>6.4830261412454265E-2</v>
      </c>
      <c r="AG182" s="861">
        <f>IF(AC182&lt;389,CHIINV(0.5-$AB$35/200,2*AC182+2)/2,(AC182+1)*(1-1/(9*(AC182+1))+NORMSINV(0.5+$AB$35/200)/3/SQRT(AC182+1))^3)/AE182*1000</f>
        <v>0.29588342036965393</v>
      </c>
      <c r="AH182" s="862">
        <f>AC182/AE182*1000</f>
        <v>0.15016424213984045</v>
      </c>
      <c r="AI182" s="862">
        <f>AG182-AH182</f>
        <v>0.14571917822981348</v>
      </c>
      <c r="AJ182" s="862">
        <f>AH182-AF182</f>
        <v>8.5333980727386183E-2</v>
      </c>
      <c r="AK182" s="860">
        <f>SidsSudiEth!K87</f>
        <v>21</v>
      </c>
      <c r="AL182" s="515">
        <f>AE182</f>
        <v>53275</v>
      </c>
      <c r="AM182" s="864">
        <f>IF(AK182=0,0,IF(AK182&lt;389,CHIINV(0.5+$AB$35/200,2*AK182)/2,AK182*(1-1/(9*AK182)-NORMSINV(0.5+$AB$35/200)/3/SQRT(AK182))^3))/AL182*1000</f>
        <v>0.24400433569359339</v>
      </c>
      <c r="AN182" s="864">
        <f>IF(AK182&lt;389,CHIINV(0.5-$AB$35/200,2*AK182+2)/2,(AK182+1)*(1-1/(9*(AK182+1))+NORMSINV(0.5+$AB$35/200)/3/SQRT(AK182+1))^3)/AL182*1000</f>
        <v>0.60254773786848215</v>
      </c>
      <c r="AO182" s="871">
        <f>AK182/AL182*1000</f>
        <v>0.39418113561708118</v>
      </c>
      <c r="AP182" s="871">
        <f>AN182-AO182</f>
        <v>0.20836660225140097</v>
      </c>
      <c r="AQ182" s="871">
        <f>AO182-AM182</f>
        <v>0.15017679992348779</v>
      </c>
    </row>
    <row r="183" spans="1:43">
      <c r="A183" s="182"/>
      <c r="B183" s="136"/>
      <c r="C183" s="136"/>
      <c r="D183" s="136"/>
      <c r="E183" s="136"/>
      <c r="F183" s="136"/>
      <c r="G183" s="136"/>
      <c r="H183" s="136"/>
      <c r="I183" s="136"/>
      <c r="J183" s="136"/>
      <c r="K183" s="136"/>
      <c r="L183" s="136"/>
      <c r="M183" s="969"/>
      <c r="N183" s="963"/>
      <c r="O183" s="963"/>
      <c r="P183" s="183"/>
      <c r="AA183" s="860" t="str">
        <f>Ref!B30</f>
        <v>2011-2015</v>
      </c>
      <c r="AB183" s="863">
        <v>4</v>
      </c>
      <c r="AC183" s="860">
        <f>SidsSudiEth!F88</f>
        <v>24</v>
      </c>
      <c r="AE183" s="860">
        <f>SidsSudiTrend!M31</f>
        <v>65338</v>
      </c>
      <c r="AF183" s="861">
        <f>IF(AC183=0,0,IF(AC183&lt;389,CHIINV(0.5+$AB$35/200,2*AC183)/2,AC183*(1-1/(9*AC183)-NORMSINV(0.5+$AB$35/200)/3/SQRT(AC183))^3))/AE183*1000</f>
        <v>0.23534930445814786</v>
      </c>
      <c r="AG183" s="861">
        <f>IF(AC183&lt;389,CHIINV(0.5-$AB$35/200,2*AC183+2)/2,(AC183+1)*(1-1/(9*(AC183+1))+NORMSINV(0.5+$AB$35/200)/3/SQRT(AC183+1))^3)/AE183*1000</f>
        <v>0.54654408757160011</v>
      </c>
      <c r="AH183" s="862">
        <f>AC183/AE183*1000</f>
        <v>0.36732070158254004</v>
      </c>
      <c r="AI183" s="862">
        <f>AG183-AH183</f>
        <v>0.17922338598906007</v>
      </c>
      <c r="AJ183" s="862">
        <f>AH183-AF183</f>
        <v>0.13197139712439218</v>
      </c>
      <c r="AK183" s="860">
        <f>SidsSudiEth!K88</f>
        <v>47</v>
      </c>
      <c r="AL183" s="515">
        <f>AE183</f>
        <v>65338</v>
      </c>
      <c r="AM183" s="864">
        <f>IF(AK183=0,0,IF(AK183&lt;389,CHIINV(0.5+$AB$35/200,2*AK183)/2,AK183*(1-1/(9*AK183)-NORMSINV(0.5+$AB$35/200)/3/SQRT(AK183))^3))/AL183*1000</f>
        <v>0.52854131083084499</v>
      </c>
      <c r="AN183" s="864">
        <f>IF(AK183&lt;389,CHIINV(0.5-$AB$35/200,2*AK183+2)/2,(AK183+1)*(1-1/(9*(AK183+1))+NORMSINV(0.5+$AB$35/200)/3/SQRT(AK183+1))^3)/AL183*1000</f>
        <v>0.95656488323252875</v>
      </c>
      <c r="AO183" s="871">
        <f>AK183/AL183*1000</f>
        <v>0.71933637393247418</v>
      </c>
      <c r="AP183" s="871">
        <f>AN183-AO183</f>
        <v>0.23722850930005457</v>
      </c>
      <c r="AQ183" s="871">
        <f>AO183-AM183</f>
        <v>0.19079506310162919</v>
      </c>
    </row>
    <row r="184" spans="1:43">
      <c r="A184" s="182"/>
      <c r="B184" s="136"/>
      <c r="C184" s="136"/>
      <c r="D184" s="136"/>
      <c r="E184" s="136"/>
      <c r="F184" s="136"/>
      <c r="G184" s="136"/>
      <c r="H184" s="136"/>
      <c r="I184" s="136"/>
      <c r="J184" s="136"/>
      <c r="K184" s="136"/>
      <c r="L184" s="136"/>
      <c r="M184" s="143" t="s">
        <v>83</v>
      </c>
      <c r="N184" s="144">
        <f>AO180</f>
        <v>0.18462532597909118</v>
      </c>
      <c r="O184" s="144">
        <f>AH180</f>
        <v>0.1384689944843184</v>
      </c>
      <c r="P184" s="183"/>
      <c r="AA184" s="860" t="str">
        <f>Ref!B30</f>
        <v>2011-2015</v>
      </c>
      <c r="AB184" s="863">
        <v>5</v>
      </c>
      <c r="AC184" s="860">
        <f>SidsSudiEth!F89</f>
        <v>52</v>
      </c>
      <c r="AE184" s="860">
        <f>SidsSudiTrend!M32</f>
        <v>84636</v>
      </c>
      <c r="AF184" s="861">
        <f>IF(AC184=0,0,IF(AC184&lt;389,CHIINV(0.5+$AB$35/200,2*AC184)/2,AC184*(1-1/(9*AC184)-NORMSINV(0.5+$AB$35/200)/3/SQRT(AC184))^3))/AE184*1000</f>
        <v>0.45886014462476044</v>
      </c>
      <c r="AG184" s="861">
        <f>IF(AC184&lt;389,CHIINV(0.5-$AB$35/200,2*AC184+2)/2,(AC184+1)*(1-1/(9*(AC184+1))+NORMSINV(0.5+$AB$35/200)/3/SQRT(AC184+1))^3)/AE184*1000</f>
        <v>0.80569830498691919</v>
      </c>
      <c r="AH184" s="862">
        <f>AC184/AE184*1000</f>
        <v>0.61439576539534002</v>
      </c>
      <c r="AI184" s="862">
        <f>AG184-AH184</f>
        <v>0.19130253959157917</v>
      </c>
      <c r="AJ184" s="862">
        <f>AH184-AF184</f>
        <v>0.15553562077057959</v>
      </c>
      <c r="AK184" s="860">
        <f>SidsSudiEth!K89</f>
        <v>114</v>
      </c>
      <c r="AL184" s="515">
        <f>AE184</f>
        <v>84636</v>
      </c>
      <c r="AM184" s="864">
        <f>IF(AK184=0,0,IF(AK184&lt;389,CHIINV(0.5+$AB$35/200,2*AK184)/2,AK184*(1-1/(9*AK184)-NORMSINV(0.5+$AB$35/200)/3/SQRT(AK184))^3))/AL184*1000</f>
        <v>1.1110631665243562</v>
      </c>
      <c r="AN184" s="864">
        <f>IF(AK184&lt;389,CHIINV(0.5-$AB$35/200,2*AK184+2)/2,(AK184+1)*(1-1/(9*(AK184+1))+NORMSINV(0.5+$AB$35/200)/3/SQRT(AK184+1))^3)/AL184*1000</f>
        <v>1.6180918709064156</v>
      </c>
      <c r="AO184" s="871">
        <f>AK184/AL184*1000</f>
        <v>1.3469445625974763</v>
      </c>
      <c r="AP184" s="871">
        <f>AN184-AO184</f>
        <v>0.27114730830893929</v>
      </c>
      <c r="AQ184" s="871">
        <f>AO184-AM184</f>
        <v>0.23588139607312009</v>
      </c>
    </row>
    <row r="185" spans="1:43">
      <c r="A185" s="182"/>
      <c r="B185" s="136"/>
      <c r="C185" s="136"/>
      <c r="D185" s="136"/>
      <c r="E185" s="136"/>
      <c r="F185" s="136"/>
      <c r="G185" s="136"/>
      <c r="H185" s="136"/>
      <c r="I185" s="136"/>
      <c r="J185" s="136"/>
      <c r="K185" s="136"/>
      <c r="L185" s="136"/>
      <c r="M185" s="142">
        <v>2</v>
      </c>
      <c r="N185" s="144">
        <f>AO181</f>
        <v>0.35502464288697683</v>
      </c>
      <c r="O185" s="144">
        <f>AH181</f>
        <v>0.22972182775039679</v>
      </c>
      <c r="P185" s="183"/>
      <c r="AF185" s="861"/>
      <c r="AG185" s="861"/>
      <c r="AH185" s="862"/>
      <c r="AI185" s="862"/>
      <c r="AJ185" s="862"/>
      <c r="AM185" s="864"/>
      <c r="AN185" s="864"/>
      <c r="AO185" s="871"/>
      <c r="AP185" s="871"/>
      <c r="AQ185" s="871"/>
    </row>
    <row r="186" spans="1:43">
      <c r="A186" s="182"/>
      <c r="B186" s="136"/>
      <c r="C186" s="136"/>
      <c r="D186" s="136"/>
      <c r="E186" s="136"/>
      <c r="F186" s="136"/>
      <c r="G186" s="136"/>
      <c r="H186" s="136"/>
      <c r="I186" s="136"/>
      <c r="J186" s="136"/>
      <c r="K186" s="136"/>
      <c r="L186" s="136"/>
      <c r="M186" s="142">
        <v>3</v>
      </c>
      <c r="N186" s="144">
        <f>AO182</f>
        <v>0.39418113561708118</v>
      </c>
      <c r="O186" s="144">
        <f>AH182</f>
        <v>0.15016424213984045</v>
      </c>
      <c r="P186" s="183"/>
    </row>
    <row r="187" spans="1:43">
      <c r="A187" s="182"/>
      <c r="B187" s="136"/>
      <c r="C187" s="136"/>
      <c r="D187" s="136"/>
      <c r="E187" s="136"/>
      <c r="F187" s="136"/>
      <c r="G187" s="136"/>
      <c r="H187" s="136"/>
      <c r="I187" s="136"/>
      <c r="J187" s="136"/>
      <c r="K187" s="136"/>
      <c r="L187" s="136"/>
      <c r="M187" s="142">
        <v>4</v>
      </c>
      <c r="N187" s="144">
        <f>AO183</f>
        <v>0.71933637393247418</v>
      </c>
      <c r="O187" s="144">
        <f>AH183</f>
        <v>0.36732070158254004</v>
      </c>
      <c r="P187" s="183"/>
    </row>
    <row r="188" spans="1:43">
      <c r="A188" s="182"/>
      <c r="B188" s="136"/>
      <c r="C188" s="136"/>
      <c r="D188" s="136"/>
      <c r="E188" s="136"/>
      <c r="F188" s="136"/>
      <c r="G188" s="136"/>
      <c r="H188" s="136"/>
      <c r="I188" s="136"/>
      <c r="J188" s="136"/>
      <c r="K188" s="136"/>
      <c r="L188" s="136"/>
      <c r="M188" s="184" t="s">
        <v>84</v>
      </c>
      <c r="N188" s="185">
        <f>AO184</f>
        <v>1.3469445625974763</v>
      </c>
      <c r="O188" s="185">
        <f>AH184</f>
        <v>0.61439576539534002</v>
      </c>
      <c r="P188" s="183"/>
    </row>
    <row r="189" spans="1:43">
      <c r="A189" s="182"/>
      <c r="B189" s="136"/>
      <c r="C189" s="136"/>
      <c r="D189" s="136"/>
      <c r="E189" s="136"/>
      <c r="F189" s="136"/>
      <c r="G189" s="136"/>
      <c r="H189" s="136"/>
      <c r="I189" s="136"/>
      <c r="J189" s="136"/>
      <c r="K189" s="136"/>
      <c r="L189" s="136"/>
      <c r="M189" s="186"/>
      <c r="N189" s="144"/>
      <c r="O189" s="144"/>
      <c r="P189" s="183"/>
    </row>
    <row r="190" spans="1:43">
      <c r="A190" s="182"/>
      <c r="B190" s="136"/>
      <c r="C190" s="136"/>
      <c r="D190" s="136"/>
      <c r="E190" s="136"/>
      <c r="F190" s="136"/>
      <c r="G190" s="136"/>
      <c r="H190" s="136"/>
      <c r="I190" s="136"/>
      <c r="J190" s="136"/>
      <c r="K190" s="136"/>
      <c r="L190" s="136"/>
      <c r="M190" s="186"/>
      <c r="N190" s="144"/>
      <c r="O190" s="144"/>
      <c r="P190" s="183"/>
    </row>
    <row r="191" spans="1:43">
      <c r="A191" s="182"/>
      <c r="B191" s="136"/>
      <c r="C191" s="136"/>
      <c r="D191" s="136"/>
      <c r="E191" s="136"/>
      <c r="F191" s="136"/>
      <c r="G191" s="136"/>
      <c r="H191" s="136"/>
      <c r="I191" s="136"/>
      <c r="J191" s="136"/>
      <c r="K191" s="136"/>
      <c r="L191" s="187"/>
      <c r="M191" s="188"/>
      <c r="N191" s="144"/>
      <c r="O191" s="144"/>
      <c r="P191" s="183"/>
    </row>
    <row r="192" spans="1:43">
      <c r="A192" s="182"/>
      <c r="B192" s="136"/>
      <c r="C192" s="136"/>
      <c r="D192" s="136"/>
      <c r="E192" s="136"/>
      <c r="F192" s="136"/>
      <c r="G192" s="136"/>
      <c r="H192" s="136"/>
      <c r="I192" s="136"/>
      <c r="J192" s="136"/>
      <c r="K192" s="136"/>
      <c r="L192" s="187"/>
      <c r="M192" s="188"/>
      <c r="N192" s="144"/>
      <c r="O192" s="144"/>
      <c r="P192" s="183"/>
    </row>
    <row r="193" spans="1:16">
      <c r="A193" s="182"/>
      <c r="B193" s="136"/>
      <c r="C193" s="136"/>
      <c r="D193" s="136"/>
      <c r="E193" s="136"/>
      <c r="F193" s="136"/>
      <c r="G193" s="136"/>
      <c r="H193" s="136"/>
      <c r="I193" s="136"/>
      <c r="J193" s="136"/>
      <c r="K193" s="136"/>
      <c r="L193" s="187"/>
      <c r="M193" s="188"/>
      <c r="N193" s="144"/>
      <c r="O193" s="144"/>
      <c r="P193" s="183"/>
    </row>
    <row r="194" spans="1:16">
      <c r="A194" s="182"/>
      <c r="B194" s="136"/>
      <c r="C194" s="136"/>
      <c r="D194" s="136"/>
      <c r="E194" s="136"/>
      <c r="F194" s="136"/>
      <c r="G194" s="136"/>
      <c r="H194" s="136"/>
      <c r="I194" s="136"/>
      <c r="J194" s="136"/>
      <c r="K194" s="136"/>
      <c r="L194" s="189"/>
      <c r="M194" s="136"/>
      <c r="N194" s="136"/>
      <c r="O194" s="136"/>
      <c r="P194" s="183"/>
    </row>
    <row r="195" spans="1:16">
      <c r="A195" s="182"/>
      <c r="B195" s="136"/>
      <c r="C195" s="136"/>
      <c r="D195" s="136"/>
      <c r="E195" s="136"/>
      <c r="F195" s="136"/>
      <c r="G195" s="136"/>
      <c r="H195" s="136"/>
      <c r="I195" s="136"/>
      <c r="J195" s="136"/>
      <c r="K195" s="136"/>
      <c r="L195" s="136"/>
      <c r="M195" s="136"/>
      <c r="N195" s="136"/>
      <c r="O195" s="136"/>
      <c r="P195" s="183"/>
    </row>
    <row r="196" spans="1:16">
      <c r="A196" s="182"/>
      <c r="B196" s="136"/>
      <c r="C196" s="136"/>
      <c r="D196" s="136"/>
      <c r="E196" s="136"/>
      <c r="F196" s="136"/>
      <c r="G196" s="136"/>
      <c r="H196" s="136"/>
      <c r="I196" s="136"/>
      <c r="J196" s="136"/>
      <c r="K196" s="136"/>
      <c r="L196" s="136"/>
      <c r="M196" s="136"/>
      <c r="N196" s="136"/>
      <c r="O196" s="136"/>
      <c r="P196" s="183"/>
    </row>
    <row r="197" spans="1:16">
      <c r="A197" s="182"/>
      <c r="B197" s="136"/>
      <c r="C197" s="136"/>
      <c r="D197" s="136"/>
      <c r="E197" s="136"/>
      <c r="F197" s="136"/>
      <c r="G197" s="136"/>
      <c r="H197" s="136"/>
      <c r="I197" s="136"/>
      <c r="J197" s="136"/>
      <c r="K197" s="136"/>
      <c r="L197" s="136"/>
      <c r="M197" s="136"/>
      <c r="N197" s="136"/>
      <c r="O197" s="136"/>
      <c r="P197" s="183"/>
    </row>
    <row r="198" spans="1:16">
      <c r="A198" s="193"/>
      <c r="B198" s="194"/>
      <c r="C198" s="194"/>
      <c r="D198" s="194"/>
      <c r="E198" s="194"/>
      <c r="F198" s="194"/>
      <c r="G198" s="194"/>
      <c r="H198" s="194"/>
      <c r="I198" s="194"/>
      <c r="J198" s="194"/>
      <c r="K198" s="194"/>
      <c r="L198" s="194"/>
      <c r="M198" s="194"/>
      <c r="N198" s="194"/>
      <c r="O198" s="194"/>
      <c r="P198" s="195"/>
    </row>
  </sheetData>
  <sheetProtection selectLockedCells="1"/>
  <mergeCells count="35">
    <mergeCell ref="B133:P133"/>
    <mergeCell ref="B156:P156"/>
    <mergeCell ref="Q7:R7"/>
    <mergeCell ref="B6:O6"/>
    <mergeCell ref="L7:L8"/>
    <mergeCell ref="N7:O7"/>
    <mergeCell ref="B84:O84"/>
    <mergeCell ref="L85:L86"/>
    <mergeCell ref="M136:M137"/>
    <mergeCell ref="N136:N137"/>
    <mergeCell ref="O136:O137"/>
    <mergeCell ref="M85:M86"/>
    <mergeCell ref="N85:N86"/>
    <mergeCell ref="O85:O86"/>
    <mergeCell ref="B108:O108"/>
    <mergeCell ref="M109:M110"/>
    <mergeCell ref="B179:O179"/>
    <mergeCell ref="M182:M183"/>
    <mergeCell ref="N182:N183"/>
    <mergeCell ref="O182:O183"/>
    <mergeCell ref="M159:M160"/>
    <mergeCell ref="N159:N160"/>
    <mergeCell ref="O159:O160"/>
    <mergeCell ref="N109:N110"/>
    <mergeCell ref="O109:O110"/>
    <mergeCell ref="B36:O36"/>
    <mergeCell ref="B60:O60"/>
    <mergeCell ref="M61:M62"/>
    <mergeCell ref="L61:L62"/>
    <mergeCell ref="N61:N62"/>
    <mergeCell ref="O61:O62"/>
    <mergeCell ref="L37:L38"/>
    <mergeCell ref="M37:M38"/>
    <mergeCell ref="N37:N38"/>
    <mergeCell ref="O37:O38"/>
  </mergeCells>
  <hyperlinks>
    <hyperlink ref="D1" location="About!A1" display="About the publication" xr:uid="{00000000-0004-0000-1000-000000000000}"/>
    <hyperlink ref="B1" location="Contents!A1" display="Table of contents" xr:uid="{00000000-0004-0000-1000-000001000000}"/>
    <hyperlink ref="C1" location="Glossary!A1" display="Glossary" xr:uid="{00000000-0004-0000-1000-000002000000}"/>
    <hyperlink ref="F1" location="KeyFindings!A1" display="Key findings" xr:uid="{00000000-0004-0000-1000-000003000000}"/>
  </hyperlinks>
  <pageMargins left="0.70866141732283472" right="0.70866141732283472" top="0.74803149606299213" bottom="0.74803149606299213" header="0.31496062992125984" footer="0.31496062992125984"/>
  <pageSetup paperSize="9" scale="50" fitToHeight="2" orientation="portrait" r:id="rId1"/>
  <headerFooter>
    <oddFooter>&amp;L&amp;"Arial,Regular"&amp;8&amp;K01+019Fetal and Infant Deaths 2016&amp;R&amp;"Arial,Regular"&amp;8&amp;K01+018Page &amp;P of &amp;N</oddFooter>
  </headerFooter>
  <rowBreaks count="3" manualBreakCount="3">
    <brk id="56" max="18" man="1"/>
    <brk id="105" max="18" man="1"/>
    <brk id="153" max="18" man="1"/>
  </rowBreaks>
  <ignoredErrors>
    <ignoredError sqref="N184:O188 M161:O166 N87:O96 N63:O74 N40:O45 N138:O141 N111:O111 N9:N29 O9:O29 AA111:AA126 O112 N113:O127 N112 N39:O39 N46:O46"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dimension ref="A1:BD115"/>
  <sheetViews>
    <sheetView showGridLines="0" zoomScaleNormal="100" workbookViewId="0">
      <pane ySplit="3" topLeftCell="A4" activePane="bottomLeft" state="frozen"/>
      <selection activeCell="P44" sqref="P44"/>
      <selection pane="bottomLeft" activeCell="A4" sqref="A4"/>
    </sheetView>
  </sheetViews>
  <sheetFormatPr defaultRowHeight="15"/>
  <cols>
    <col min="1" max="1" width="2.28515625" style="124" customWidth="1"/>
    <col min="2" max="2" width="16.42578125" style="124" customWidth="1"/>
    <col min="3" max="5" width="9.140625" style="124"/>
    <col min="6" max="6" width="9.140625" style="124" customWidth="1"/>
    <col min="7" max="13" width="9.140625" style="124"/>
    <col min="14" max="14" width="18" style="124" customWidth="1"/>
    <col min="15" max="17" width="9.140625" style="124" customWidth="1"/>
    <col min="18" max="18" width="4.28515625" style="124" customWidth="1"/>
    <col min="19" max="23" width="9.140625" style="307" customWidth="1"/>
    <col min="24" max="24" width="19.42578125" style="307" bestFit="1" customWidth="1"/>
    <col min="25" max="38" width="9.140625" style="307" customWidth="1"/>
    <col min="39" max="45" width="9.140625" style="459" customWidth="1"/>
    <col min="46" max="51" width="9.140625" style="307"/>
    <col min="52" max="54" width="9" style="307" customWidth="1"/>
    <col min="55" max="55" width="9.140625" style="307"/>
    <col min="56" max="56" width="9.140625" style="259"/>
    <col min="57" max="16384" width="9.140625" style="124"/>
  </cols>
  <sheetData>
    <row r="1" spans="1:56" s="162" customFormat="1">
      <c r="B1" s="159" t="s">
        <v>158</v>
      </c>
      <c r="C1" s="159" t="s">
        <v>115</v>
      </c>
      <c r="D1" s="159" t="s">
        <v>173</v>
      </c>
      <c r="F1" s="159" t="s">
        <v>353</v>
      </c>
      <c r="G1" s="159"/>
      <c r="H1" s="14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26"/>
    </row>
    <row r="2" spans="1:56" s="162" customFormat="1" ht="9" customHeight="1">
      <c r="B2" s="159"/>
      <c r="C2" s="143"/>
      <c r="D2" s="160"/>
      <c r="E2" s="160"/>
      <c r="F2" s="160"/>
      <c r="G2" s="160"/>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26"/>
    </row>
    <row r="3" spans="1:56" s="162" customFormat="1" ht="20.25">
      <c r="B3" s="161" t="s">
        <v>405</v>
      </c>
      <c r="H3" s="204"/>
      <c r="N3" s="204"/>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v>0</v>
      </c>
      <c r="AU3" s="203">
        <v>1</v>
      </c>
      <c r="AV3" s="203"/>
      <c r="AW3" s="203"/>
      <c r="AX3" s="203"/>
      <c r="AY3" s="203"/>
      <c r="AZ3" s="203"/>
      <c r="BA3" s="203"/>
      <c r="BB3" s="203"/>
      <c r="BC3" s="203"/>
      <c r="BD3" s="226"/>
    </row>
    <row r="5" spans="1:56">
      <c r="A5" s="130"/>
      <c r="B5" s="131"/>
      <c r="C5" s="131"/>
      <c r="D5" s="131"/>
      <c r="E5" s="131"/>
      <c r="F5" s="131"/>
      <c r="G5" s="131"/>
      <c r="H5" s="131"/>
      <c r="I5" s="131"/>
      <c r="J5" s="131"/>
      <c r="K5" s="131"/>
      <c r="L5" s="131"/>
      <c r="M5" s="131"/>
      <c r="N5" s="131"/>
      <c r="O5" s="131"/>
      <c r="P5" s="131"/>
      <c r="Q5" s="131"/>
      <c r="R5" s="133"/>
      <c r="AM5" s="459" t="s">
        <v>306</v>
      </c>
      <c r="AN5" s="459">
        <v>99</v>
      </c>
    </row>
    <row r="6" spans="1:56" s="125" customFormat="1" ht="22.5" customHeight="1">
      <c r="A6" s="157"/>
      <c r="B6" s="976" t="str">
        <f>Contents!E34</f>
        <v xml:space="preserve">Figure 9: Fetal death rate by DHB of domicile, 2016
</v>
      </c>
      <c r="C6" s="976"/>
      <c r="D6" s="976"/>
      <c r="E6" s="976"/>
      <c r="F6" s="976"/>
      <c r="G6" s="976"/>
      <c r="H6" s="976"/>
      <c r="I6" s="976"/>
      <c r="J6" s="976"/>
      <c r="K6" s="976"/>
      <c r="L6" s="976"/>
      <c r="M6" s="976"/>
      <c r="N6" s="976"/>
      <c r="O6" s="976"/>
      <c r="P6" s="976"/>
      <c r="Q6" s="976"/>
      <c r="R6" s="158"/>
      <c r="S6" s="460"/>
      <c r="T6" s="460"/>
      <c r="U6" s="460"/>
      <c r="V6" s="460"/>
      <c r="W6" s="460"/>
      <c r="X6" s="460">
        <f>Ref!B27</f>
        <v>2016</v>
      </c>
      <c r="Y6" s="460"/>
      <c r="Z6" s="460" t="s">
        <v>47</v>
      </c>
      <c r="AA6" s="460"/>
      <c r="AB6" s="460"/>
      <c r="AC6" s="460"/>
      <c r="AD6" s="460"/>
      <c r="AE6" s="460"/>
      <c r="AF6" s="460"/>
      <c r="AG6" s="460"/>
      <c r="AH6" s="460"/>
      <c r="AI6" s="460"/>
      <c r="AJ6" s="460"/>
      <c r="AK6" s="460"/>
      <c r="AL6" s="460"/>
      <c r="AM6" s="684"/>
      <c r="AN6" s="684"/>
      <c r="AO6" s="684"/>
      <c r="AP6" s="684"/>
      <c r="AQ6" s="684"/>
      <c r="AR6" s="684"/>
      <c r="AS6" s="684"/>
      <c r="AT6" s="460"/>
      <c r="AU6" s="460"/>
      <c r="AV6" s="460"/>
      <c r="AW6" s="460"/>
      <c r="AX6" s="460"/>
      <c r="AY6" s="460"/>
      <c r="AZ6" s="460"/>
      <c r="BA6" s="460"/>
      <c r="BB6" s="460"/>
      <c r="BC6" s="460"/>
      <c r="BD6" s="260"/>
    </row>
    <row r="7" spans="1:56">
      <c r="A7" s="134"/>
      <c r="B7" s="136"/>
      <c r="C7" s="136"/>
      <c r="D7" s="136"/>
      <c r="E7" s="136"/>
      <c r="F7" s="136"/>
      <c r="G7" s="136"/>
      <c r="H7" s="136"/>
      <c r="I7" s="136"/>
      <c r="J7" s="136"/>
      <c r="K7" s="136"/>
      <c r="L7" s="136"/>
      <c r="M7" s="136"/>
      <c r="N7" s="137" t="s">
        <v>139</v>
      </c>
      <c r="O7" s="138" t="s">
        <v>299</v>
      </c>
      <c r="P7" s="428" t="s">
        <v>46</v>
      </c>
      <c r="Q7" s="138" t="s">
        <v>45</v>
      </c>
      <c r="R7" s="135"/>
      <c r="X7" s="307" t="s">
        <v>466</v>
      </c>
      <c r="Y7" s="307" t="s">
        <v>47</v>
      </c>
      <c r="Z7" s="307" t="s">
        <v>46</v>
      </c>
      <c r="AA7" s="307" t="s">
        <v>45</v>
      </c>
      <c r="AM7" s="685" t="s">
        <v>295</v>
      </c>
      <c r="AN7" s="685" t="s">
        <v>296</v>
      </c>
      <c r="AO7" s="685" t="s">
        <v>289</v>
      </c>
      <c r="AP7" s="685" t="s">
        <v>290</v>
      </c>
      <c r="AQ7" s="685" t="s">
        <v>276</v>
      </c>
      <c r="AR7" s="685" t="s">
        <v>297</v>
      </c>
      <c r="AS7" s="685" t="s">
        <v>298</v>
      </c>
    </row>
    <row r="8" spans="1:56">
      <c r="A8" s="134"/>
      <c r="B8" s="136"/>
      <c r="C8" s="136"/>
      <c r="D8" s="136"/>
      <c r="E8" s="136"/>
      <c r="F8" s="136"/>
      <c r="G8" s="136"/>
      <c r="H8" s="136"/>
      <c r="I8" s="136"/>
      <c r="J8" s="136"/>
      <c r="K8" s="136"/>
      <c r="L8" s="136"/>
      <c r="M8" s="136"/>
      <c r="N8" s="139" t="s">
        <v>85</v>
      </c>
      <c r="O8" s="357">
        <f t="shared" ref="O8:O28" si="0">Y8</f>
        <v>20</v>
      </c>
      <c r="P8" s="357">
        <f>BirthsTrend!K48+O8</f>
        <v>2340</v>
      </c>
      <c r="Q8" s="141">
        <f t="shared" ref="Q8:Q27" si="1">O8/P8*1000</f>
        <v>8.5470085470085486</v>
      </c>
      <c r="R8" s="135"/>
      <c r="X8" s="307" t="s">
        <v>85</v>
      </c>
      <c r="Y8" s="307">
        <f t="shared" ref="Y8:Y28" si="2">VLOOKUP($X$7&amp;$Y$7&amp;X8, vw.deaths.dhb, 6, FALSE)</f>
        <v>20</v>
      </c>
      <c r="Z8" s="307">
        <f t="shared" ref="Z8:Z28" si="3">VLOOKUP($X$7&amp;$Z$6&amp;X8, vw.deaths.dhb, 7, FALSE)</f>
        <v>2340</v>
      </c>
      <c r="AA8" s="686">
        <f t="shared" ref="AA8:AA28" si="4">VLOOKUP($X$7&amp;$Z$6&amp;X8, vw.deaths.dhb, 8, FALSE)</f>
        <v>8.5</v>
      </c>
      <c r="AM8" s="687">
        <f t="shared" ref="AM8:AM27" si="5">IF(O8=0,0,IF(O8&lt;389,CHIINV(0.5+$AN$5/200,2*O8)/2,O8*(1-1/(9*O8)-NORMSINV(0.5+$AN$5/200)/3/SQRT(O8))^3))/P8*1000</f>
        <v>4.4244733583269413</v>
      </c>
      <c r="AN8" s="687">
        <f t="shared" ref="AN8:AN27" si="6">IF(O8&lt;389,CHIINV(0.5-$AN$5/200,2*O8+2)/2,(O8+1)*(1-1/(9*(O8+1))+NORMSINV(0.5+$AN$5/200)/3/SQRT(O8+1))^3)/P8*1000</f>
        <v>14.815384071987262</v>
      </c>
      <c r="AO8" s="688">
        <f t="shared" ref="AO8:AO27" si="7">Q8-AM8</f>
        <v>4.1225351886816073</v>
      </c>
      <c r="AP8" s="688">
        <f t="shared" ref="AP8:AP27" si="8">AN8-Q8</f>
        <v>6.2683755249787136</v>
      </c>
      <c r="AQ8" s="689">
        <f t="shared" ref="AQ8:AQ27" si="9">Q$29</f>
        <v>6.7872931354664825</v>
      </c>
      <c r="AR8" s="688">
        <f t="shared" ref="AR8:AR27" si="10">AM$29</f>
        <v>5.9578262940715812</v>
      </c>
      <c r="AS8" s="688">
        <f t="shared" ref="AS8:AS27" si="11">AN$29</f>
        <v>7.6959547128671959</v>
      </c>
      <c r="AU8" s="690"/>
      <c r="AV8" s="691"/>
    </row>
    <row r="9" spans="1:56">
      <c r="A9" s="134"/>
      <c r="B9" s="136"/>
      <c r="C9" s="136"/>
      <c r="D9" s="136"/>
      <c r="E9" s="136"/>
      <c r="F9" s="136"/>
      <c r="G9" s="136"/>
      <c r="H9" s="136"/>
      <c r="I9" s="136"/>
      <c r="J9" s="136"/>
      <c r="K9" s="136"/>
      <c r="L9" s="136"/>
      <c r="M9" s="136"/>
      <c r="N9" s="142" t="s">
        <v>86</v>
      </c>
      <c r="O9" s="344">
        <f t="shared" si="0"/>
        <v>42</v>
      </c>
      <c r="P9" s="446">
        <f>BirthsTrend!K49+O9</f>
        <v>8093</v>
      </c>
      <c r="Q9" s="144">
        <f t="shared" si="1"/>
        <v>5.1896700852588653</v>
      </c>
      <c r="R9" s="135"/>
      <c r="X9" s="307" t="s">
        <v>86</v>
      </c>
      <c r="Y9" s="307">
        <f t="shared" si="2"/>
        <v>42</v>
      </c>
      <c r="Z9" s="307">
        <f t="shared" si="3"/>
        <v>8093</v>
      </c>
      <c r="AA9" s="686">
        <f t="shared" si="4"/>
        <v>5.2</v>
      </c>
      <c r="AM9" s="687">
        <f t="shared" si="5"/>
        <v>3.3589314958037222</v>
      </c>
      <c r="AN9" s="687">
        <f t="shared" si="6"/>
        <v>7.6313915866660409</v>
      </c>
      <c r="AO9" s="688">
        <f t="shared" si="7"/>
        <v>1.8307385894551431</v>
      </c>
      <c r="AP9" s="688">
        <f t="shared" si="8"/>
        <v>2.4417215014071756</v>
      </c>
      <c r="AQ9" s="689">
        <f t="shared" si="9"/>
        <v>6.7872931354664825</v>
      </c>
      <c r="AR9" s="688">
        <f t="shared" si="10"/>
        <v>5.9578262940715812</v>
      </c>
      <c r="AS9" s="688">
        <f t="shared" si="11"/>
        <v>7.6959547128671959</v>
      </c>
      <c r="AU9" s="690"/>
      <c r="AV9" s="691"/>
    </row>
    <row r="10" spans="1:56">
      <c r="A10" s="134"/>
      <c r="B10" s="136"/>
      <c r="C10" s="136"/>
      <c r="D10" s="136"/>
      <c r="E10" s="136"/>
      <c r="F10" s="136"/>
      <c r="G10" s="136"/>
      <c r="H10" s="136"/>
      <c r="I10" s="136"/>
      <c r="J10" s="136"/>
      <c r="K10" s="136"/>
      <c r="L10" s="136"/>
      <c r="M10" s="136"/>
      <c r="N10" s="145" t="s">
        <v>87</v>
      </c>
      <c r="O10" s="358">
        <f t="shared" si="0"/>
        <v>39</v>
      </c>
      <c r="P10" s="358">
        <f>BirthsTrend!K50+O10</f>
        <v>5944</v>
      </c>
      <c r="Q10" s="147">
        <f t="shared" si="1"/>
        <v>6.5612382234185729</v>
      </c>
      <c r="R10" s="135"/>
      <c r="X10" s="307" t="s">
        <v>87</v>
      </c>
      <c r="Y10" s="307">
        <f t="shared" si="2"/>
        <v>39</v>
      </c>
      <c r="Z10" s="307">
        <f t="shared" si="3"/>
        <v>5944</v>
      </c>
      <c r="AA10" s="686">
        <f t="shared" si="4"/>
        <v>6.6</v>
      </c>
      <c r="AM10" s="687">
        <f t="shared" si="5"/>
        <v>4.1707263172631404</v>
      </c>
      <c r="AN10" s="687">
        <f t="shared" si="6"/>
        <v>9.7847456684866394</v>
      </c>
      <c r="AO10" s="688">
        <f t="shared" si="7"/>
        <v>2.3905119061554325</v>
      </c>
      <c r="AP10" s="688">
        <f t="shared" si="8"/>
        <v>3.2235074450680665</v>
      </c>
      <c r="AQ10" s="689">
        <f t="shared" si="9"/>
        <v>6.7872931354664825</v>
      </c>
      <c r="AR10" s="688">
        <f t="shared" si="10"/>
        <v>5.9578262940715812</v>
      </c>
      <c r="AS10" s="688">
        <f t="shared" si="11"/>
        <v>7.6959547128671959</v>
      </c>
      <c r="AU10" s="690"/>
      <c r="AV10" s="691"/>
    </row>
    <row r="11" spans="1:56">
      <c r="A11" s="134"/>
      <c r="B11" s="136"/>
      <c r="C11" s="136"/>
      <c r="D11" s="136"/>
      <c r="E11" s="136"/>
      <c r="F11" s="136"/>
      <c r="G11" s="136"/>
      <c r="H11" s="136"/>
      <c r="I11" s="136"/>
      <c r="J11" s="136"/>
      <c r="K11" s="136"/>
      <c r="L11" s="136"/>
      <c r="M11" s="136"/>
      <c r="N11" s="142" t="s">
        <v>88</v>
      </c>
      <c r="O11" s="344">
        <f t="shared" si="0"/>
        <v>66</v>
      </c>
      <c r="P11" s="446">
        <f>BirthsTrend!K51+O11</f>
        <v>8441</v>
      </c>
      <c r="Q11" s="144">
        <f>O11/P11*1000</f>
        <v>7.8189787939817563</v>
      </c>
      <c r="R11" s="135"/>
      <c r="X11" s="307" t="s">
        <v>88</v>
      </c>
      <c r="Y11" s="307">
        <f t="shared" si="2"/>
        <v>66</v>
      </c>
      <c r="Z11" s="307">
        <f t="shared" si="3"/>
        <v>8441</v>
      </c>
      <c r="AA11" s="686">
        <f t="shared" si="4"/>
        <v>7.8</v>
      </c>
      <c r="AM11" s="687">
        <f t="shared" si="5"/>
        <v>5.5623882688534874</v>
      </c>
      <c r="AN11" s="687">
        <f t="shared" si="6"/>
        <v>10.657075315219537</v>
      </c>
      <c r="AO11" s="688">
        <f t="shared" si="7"/>
        <v>2.256590525128269</v>
      </c>
      <c r="AP11" s="688">
        <f t="shared" si="8"/>
        <v>2.8380965212377802</v>
      </c>
      <c r="AQ11" s="689">
        <f t="shared" si="9"/>
        <v>6.7872931354664825</v>
      </c>
      <c r="AR11" s="688">
        <f t="shared" si="10"/>
        <v>5.9578262940715812</v>
      </c>
      <c r="AS11" s="688">
        <f t="shared" si="11"/>
        <v>7.6959547128671959</v>
      </c>
      <c r="AU11" s="690"/>
      <c r="AV11" s="691"/>
    </row>
    <row r="12" spans="1:56">
      <c r="A12" s="134"/>
      <c r="B12" s="136"/>
      <c r="C12" s="136"/>
      <c r="D12" s="136"/>
      <c r="E12" s="136"/>
      <c r="F12" s="136"/>
      <c r="G12" s="136"/>
      <c r="H12" s="136"/>
      <c r="I12" s="136"/>
      <c r="J12" s="136"/>
      <c r="K12" s="136"/>
      <c r="L12" s="136"/>
      <c r="M12" s="136"/>
      <c r="N12" s="145" t="s">
        <v>89</v>
      </c>
      <c r="O12" s="358">
        <f t="shared" si="0"/>
        <v>58</v>
      </c>
      <c r="P12" s="358">
        <f>BirthsTrend!K52+O12</f>
        <v>5565</v>
      </c>
      <c r="Q12" s="147">
        <f t="shared" si="1"/>
        <v>10.422282120395327</v>
      </c>
      <c r="R12" s="135"/>
      <c r="X12" s="307" t="s">
        <v>89</v>
      </c>
      <c r="Y12" s="307">
        <f t="shared" si="2"/>
        <v>58</v>
      </c>
      <c r="Z12" s="307">
        <f t="shared" si="3"/>
        <v>5565</v>
      </c>
      <c r="AA12" s="686">
        <f t="shared" si="4"/>
        <v>10.4</v>
      </c>
      <c r="AM12" s="687">
        <f t="shared" si="5"/>
        <v>7.2346938647674994</v>
      </c>
      <c r="AN12" s="687">
        <f t="shared" si="6"/>
        <v>14.493628859752777</v>
      </c>
      <c r="AO12" s="688">
        <f t="shared" si="7"/>
        <v>3.1875882556278272</v>
      </c>
      <c r="AP12" s="688">
        <f t="shared" si="8"/>
        <v>4.0713467393574501</v>
      </c>
      <c r="AQ12" s="689">
        <f t="shared" si="9"/>
        <v>6.7872931354664825</v>
      </c>
      <c r="AR12" s="688">
        <f t="shared" si="10"/>
        <v>5.9578262940715812</v>
      </c>
      <c r="AS12" s="688">
        <f t="shared" si="11"/>
        <v>7.6959547128671959</v>
      </c>
      <c r="AU12" s="690"/>
      <c r="AV12" s="691"/>
    </row>
    <row r="13" spans="1:56">
      <c r="A13" s="134"/>
      <c r="B13" s="136"/>
      <c r="C13" s="136"/>
      <c r="D13" s="136"/>
      <c r="E13" s="136"/>
      <c r="F13" s="136"/>
      <c r="G13" s="136"/>
      <c r="H13" s="136"/>
      <c r="I13" s="136"/>
      <c r="J13" s="136"/>
      <c r="K13" s="136"/>
      <c r="L13" s="136"/>
      <c r="M13" s="136"/>
      <c r="N13" s="142" t="s">
        <v>90</v>
      </c>
      <c r="O13" s="344">
        <f t="shared" si="0"/>
        <v>13</v>
      </c>
      <c r="P13" s="446">
        <f>BirthsTrend!K53+O13</f>
        <v>1582</v>
      </c>
      <c r="Q13" s="144">
        <f t="shared" si="1"/>
        <v>8.2174462705436149</v>
      </c>
      <c r="R13" s="135"/>
      <c r="X13" s="307" t="s">
        <v>90</v>
      </c>
      <c r="Y13" s="307">
        <f t="shared" si="2"/>
        <v>13</v>
      </c>
      <c r="Z13" s="307">
        <f t="shared" si="3"/>
        <v>1582</v>
      </c>
      <c r="AA13" s="686">
        <f t="shared" si="4"/>
        <v>8.1999999999999993</v>
      </c>
      <c r="AM13" s="687">
        <f t="shared" si="5"/>
        <v>3.5272558173717266</v>
      </c>
      <c r="AN13" s="687">
        <f t="shared" si="6"/>
        <v>16.11674344769262</v>
      </c>
      <c r="AO13" s="688">
        <f t="shared" si="7"/>
        <v>4.6901904531718888</v>
      </c>
      <c r="AP13" s="688">
        <f t="shared" si="8"/>
        <v>7.8992971771490055</v>
      </c>
      <c r="AQ13" s="689">
        <f t="shared" si="9"/>
        <v>6.7872931354664825</v>
      </c>
      <c r="AR13" s="688">
        <f t="shared" si="10"/>
        <v>5.9578262940715812</v>
      </c>
      <c r="AS13" s="688">
        <f t="shared" si="11"/>
        <v>7.6959547128671959</v>
      </c>
      <c r="AU13" s="690"/>
      <c r="AV13" s="691"/>
    </row>
    <row r="14" spans="1:56">
      <c r="A14" s="134"/>
      <c r="B14" s="136"/>
      <c r="C14" s="136"/>
      <c r="D14" s="136"/>
      <c r="E14" s="136"/>
      <c r="F14" s="136"/>
      <c r="G14" s="136"/>
      <c r="H14" s="136"/>
      <c r="I14" s="136"/>
      <c r="J14" s="136"/>
      <c r="K14" s="136"/>
      <c r="L14" s="136"/>
      <c r="M14" s="136"/>
      <c r="N14" s="145" t="s">
        <v>91</v>
      </c>
      <c r="O14" s="146">
        <f t="shared" si="0"/>
        <v>19</v>
      </c>
      <c r="P14" s="358">
        <f>BirthsTrend!K54+O14</f>
        <v>2959</v>
      </c>
      <c r="Q14" s="147">
        <f t="shared" si="1"/>
        <v>6.4210882054748222</v>
      </c>
      <c r="R14" s="135"/>
      <c r="X14" s="307" t="s">
        <v>91</v>
      </c>
      <c r="Y14" s="307">
        <f t="shared" si="2"/>
        <v>19</v>
      </c>
      <c r="Z14" s="307">
        <f t="shared" si="3"/>
        <v>2959</v>
      </c>
      <c r="AA14" s="686">
        <f t="shared" si="4"/>
        <v>6.4</v>
      </c>
      <c r="AM14" s="687">
        <f t="shared" si="5"/>
        <v>3.2593632238747867</v>
      </c>
      <c r="AN14" s="687">
        <f t="shared" si="6"/>
        <v>11.281845527678932</v>
      </c>
      <c r="AO14" s="688">
        <f t="shared" si="7"/>
        <v>3.1617249816000355</v>
      </c>
      <c r="AP14" s="688">
        <f t="shared" si="8"/>
        <v>4.8607573222041101</v>
      </c>
      <c r="AQ14" s="689">
        <f t="shared" si="9"/>
        <v>6.7872931354664825</v>
      </c>
      <c r="AR14" s="688">
        <f t="shared" si="10"/>
        <v>5.9578262940715812</v>
      </c>
      <c r="AS14" s="688">
        <f t="shared" si="11"/>
        <v>7.6959547128671959</v>
      </c>
      <c r="AU14" s="690"/>
      <c r="AV14" s="691"/>
    </row>
    <row r="15" spans="1:56">
      <c r="A15" s="134"/>
      <c r="B15" s="136"/>
      <c r="C15" s="136"/>
      <c r="D15" s="136"/>
      <c r="E15" s="136"/>
      <c r="F15" s="136"/>
      <c r="G15" s="136"/>
      <c r="H15" s="136"/>
      <c r="I15" s="136"/>
      <c r="J15" s="136"/>
      <c r="K15" s="136"/>
      <c r="L15" s="136"/>
      <c r="M15" s="136"/>
      <c r="N15" s="142" t="s">
        <v>366</v>
      </c>
      <c r="O15" s="344">
        <f t="shared" si="0"/>
        <v>2</v>
      </c>
      <c r="P15" s="446">
        <f>BirthsTrend!K55+O15</f>
        <v>771</v>
      </c>
      <c r="Q15" s="144">
        <f t="shared" si="1"/>
        <v>2.5940337224383918</v>
      </c>
      <c r="R15" s="135"/>
      <c r="X15" s="307" t="s">
        <v>433</v>
      </c>
      <c r="Y15" s="307">
        <f t="shared" si="2"/>
        <v>2</v>
      </c>
      <c r="Z15" s="307">
        <f t="shared" si="3"/>
        <v>771</v>
      </c>
      <c r="AA15" s="686">
        <f t="shared" si="4"/>
        <v>2.6</v>
      </c>
      <c r="AM15" s="687">
        <f t="shared" si="5"/>
        <v>0.13423417217651254</v>
      </c>
      <c r="AN15" s="687">
        <f t="shared" si="6"/>
        <v>12.028264707205635</v>
      </c>
      <c r="AO15" s="688">
        <f t="shared" si="7"/>
        <v>2.4597995502618795</v>
      </c>
      <c r="AP15" s="688">
        <f t="shared" si="8"/>
        <v>9.4342309847672432</v>
      </c>
      <c r="AQ15" s="689">
        <f t="shared" si="9"/>
        <v>6.7872931354664825</v>
      </c>
      <c r="AR15" s="688">
        <f t="shared" si="10"/>
        <v>5.9578262940715812</v>
      </c>
      <c r="AS15" s="688">
        <f t="shared" si="11"/>
        <v>7.6959547128671959</v>
      </c>
      <c r="AU15" s="690"/>
      <c r="AV15" s="691"/>
    </row>
    <row r="16" spans="1:56">
      <c r="A16" s="134"/>
      <c r="B16" s="136"/>
      <c r="C16" s="136"/>
      <c r="D16" s="136"/>
      <c r="E16" s="136"/>
      <c r="F16" s="136"/>
      <c r="G16" s="136"/>
      <c r="H16" s="136"/>
      <c r="I16" s="136"/>
      <c r="J16" s="136"/>
      <c r="K16" s="136"/>
      <c r="L16" s="136"/>
      <c r="M16" s="136"/>
      <c r="N16" s="145" t="s">
        <v>92</v>
      </c>
      <c r="O16" s="146">
        <f t="shared" si="0"/>
        <v>7</v>
      </c>
      <c r="P16" s="358">
        <f>BirthsTrend!K56+O16</f>
        <v>2105</v>
      </c>
      <c r="Q16" s="147">
        <f t="shared" si="1"/>
        <v>3.3254156769596199</v>
      </c>
      <c r="R16" s="135"/>
      <c r="X16" s="307" t="s">
        <v>92</v>
      </c>
      <c r="Y16" s="307">
        <f t="shared" si="2"/>
        <v>7</v>
      </c>
      <c r="Z16" s="307">
        <f t="shared" si="3"/>
        <v>2105</v>
      </c>
      <c r="AA16" s="686">
        <f t="shared" si="4"/>
        <v>3.3</v>
      </c>
      <c r="AM16" s="687">
        <f t="shared" si="5"/>
        <v>0.96785628441789739</v>
      </c>
      <c r="AN16" s="687">
        <f t="shared" si="6"/>
        <v>8.1394742370134665</v>
      </c>
      <c r="AO16" s="688">
        <f t="shared" si="7"/>
        <v>2.3575593925417224</v>
      </c>
      <c r="AP16" s="688">
        <f t="shared" si="8"/>
        <v>4.8140585600538461</v>
      </c>
      <c r="AQ16" s="689">
        <f t="shared" si="9"/>
        <v>6.7872931354664825</v>
      </c>
      <c r="AR16" s="688">
        <f t="shared" si="10"/>
        <v>5.9578262940715812</v>
      </c>
      <c r="AS16" s="688">
        <f t="shared" si="11"/>
        <v>7.6959547128671959</v>
      </c>
      <c r="AU16" s="690"/>
      <c r="AV16" s="691"/>
    </row>
    <row r="17" spans="1:56">
      <c r="A17" s="134"/>
      <c r="B17" s="136"/>
      <c r="C17" s="136"/>
      <c r="D17" s="136"/>
      <c r="E17" s="136"/>
      <c r="F17" s="136"/>
      <c r="G17" s="136"/>
      <c r="H17" s="136"/>
      <c r="I17" s="136"/>
      <c r="J17" s="136"/>
      <c r="K17" s="136"/>
      <c r="L17" s="136"/>
      <c r="M17" s="136"/>
      <c r="N17" s="142" t="s">
        <v>93</v>
      </c>
      <c r="O17" s="344">
        <f t="shared" si="0"/>
        <v>13</v>
      </c>
      <c r="P17" s="446">
        <f>BirthsTrend!K57+O17</f>
        <v>1504</v>
      </c>
      <c r="Q17" s="144">
        <f t="shared" si="1"/>
        <v>8.6436170212765955</v>
      </c>
      <c r="R17" s="135"/>
      <c r="X17" s="307" t="s">
        <v>93</v>
      </c>
      <c r="Y17" s="307">
        <f t="shared" si="2"/>
        <v>13</v>
      </c>
      <c r="Z17" s="307">
        <f t="shared" si="3"/>
        <v>1504</v>
      </c>
      <c r="AA17" s="686">
        <f t="shared" si="4"/>
        <v>8.6</v>
      </c>
      <c r="AM17" s="687">
        <f t="shared" si="5"/>
        <v>3.7101853079003133</v>
      </c>
      <c r="AN17" s="687">
        <f t="shared" si="6"/>
        <v>16.952585195644762</v>
      </c>
      <c r="AO17" s="688">
        <f t="shared" si="7"/>
        <v>4.9334317133762822</v>
      </c>
      <c r="AP17" s="688">
        <f t="shared" si="8"/>
        <v>8.3089681743681663</v>
      </c>
      <c r="AQ17" s="689">
        <f t="shared" si="9"/>
        <v>6.7872931354664825</v>
      </c>
      <c r="AR17" s="688">
        <f t="shared" si="10"/>
        <v>5.9578262940715812</v>
      </c>
      <c r="AS17" s="688">
        <f t="shared" si="11"/>
        <v>7.6959547128671959</v>
      </c>
      <c r="AU17" s="690"/>
      <c r="AV17" s="691"/>
    </row>
    <row r="18" spans="1:56">
      <c r="A18" s="134"/>
      <c r="B18" s="136"/>
      <c r="C18" s="136"/>
      <c r="D18" s="136"/>
      <c r="E18" s="136"/>
      <c r="F18" s="136"/>
      <c r="G18" s="136"/>
      <c r="H18" s="136"/>
      <c r="I18" s="136"/>
      <c r="J18" s="136"/>
      <c r="K18" s="136"/>
      <c r="L18" s="136"/>
      <c r="M18" s="136"/>
      <c r="N18" s="145" t="s">
        <v>94</v>
      </c>
      <c r="O18" s="146">
        <f t="shared" si="0"/>
        <v>11</v>
      </c>
      <c r="P18" s="358">
        <f>BirthsTrend!K58+O18</f>
        <v>2117</v>
      </c>
      <c r="Q18" s="147">
        <f t="shared" si="1"/>
        <v>5.1960321209258389</v>
      </c>
      <c r="R18" s="135"/>
      <c r="X18" s="307" t="s">
        <v>94</v>
      </c>
      <c r="Y18" s="307">
        <f t="shared" si="2"/>
        <v>11</v>
      </c>
      <c r="Z18" s="307">
        <f t="shared" si="3"/>
        <v>2117</v>
      </c>
      <c r="AA18" s="686">
        <f t="shared" si="4"/>
        <v>5.2</v>
      </c>
      <c r="AM18" s="687">
        <f t="shared" si="5"/>
        <v>2.0412650922688713</v>
      </c>
      <c r="AN18" s="687">
        <f t="shared" si="6"/>
        <v>10.76015870017255</v>
      </c>
      <c r="AO18" s="688">
        <f t="shared" si="7"/>
        <v>3.1547670286569676</v>
      </c>
      <c r="AP18" s="688">
        <f t="shared" si="8"/>
        <v>5.5641265792467109</v>
      </c>
      <c r="AQ18" s="689">
        <f t="shared" si="9"/>
        <v>6.7872931354664825</v>
      </c>
      <c r="AR18" s="688">
        <f t="shared" si="10"/>
        <v>5.9578262940715812</v>
      </c>
      <c r="AS18" s="688">
        <f t="shared" si="11"/>
        <v>7.6959547128671959</v>
      </c>
      <c r="AU18" s="690"/>
      <c r="AV18" s="691"/>
    </row>
    <row r="19" spans="1:56">
      <c r="A19" s="134"/>
      <c r="B19" s="136"/>
      <c r="C19" s="136"/>
      <c r="D19" s="136"/>
      <c r="E19" s="136"/>
      <c r="F19" s="136"/>
      <c r="G19" s="136"/>
      <c r="H19" s="136"/>
      <c r="I19" s="136"/>
      <c r="J19" s="136"/>
      <c r="K19" s="136"/>
      <c r="L19" s="136"/>
      <c r="M19" s="136"/>
      <c r="N19" s="142" t="s">
        <v>95</v>
      </c>
      <c r="O19" s="344">
        <f t="shared" si="0"/>
        <v>4</v>
      </c>
      <c r="P19" s="446">
        <f>BirthsTrend!K59+O19</f>
        <v>847</v>
      </c>
      <c r="Q19" s="144">
        <f t="shared" si="1"/>
        <v>4.7225501770956315</v>
      </c>
      <c r="R19" s="135"/>
      <c r="X19" s="307" t="s">
        <v>95</v>
      </c>
      <c r="Y19" s="307">
        <f t="shared" si="2"/>
        <v>4</v>
      </c>
      <c r="Z19" s="307">
        <f t="shared" si="3"/>
        <v>847</v>
      </c>
      <c r="AA19" s="686">
        <f t="shared" si="4"/>
        <v>4.7</v>
      </c>
      <c r="AM19" s="687">
        <f t="shared" si="5"/>
        <v>0.79363228277143749</v>
      </c>
      <c r="AN19" s="687">
        <f t="shared" si="6"/>
        <v>14.869055237291127</v>
      </c>
      <c r="AO19" s="688">
        <f t="shared" si="7"/>
        <v>3.928917894324194</v>
      </c>
      <c r="AP19" s="688">
        <f t="shared" si="8"/>
        <v>10.146505060195494</v>
      </c>
      <c r="AQ19" s="689">
        <f t="shared" si="9"/>
        <v>6.7872931354664825</v>
      </c>
      <c r="AR19" s="688">
        <f t="shared" si="10"/>
        <v>5.9578262940715812</v>
      </c>
      <c r="AS19" s="688">
        <f t="shared" si="11"/>
        <v>7.6959547128671959</v>
      </c>
      <c r="AU19" s="690"/>
      <c r="AV19" s="691"/>
    </row>
    <row r="20" spans="1:56">
      <c r="A20" s="134"/>
      <c r="B20" s="136"/>
      <c r="C20" s="136"/>
      <c r="D20" s="136"/>
      <c r="E20" s="136"/>
      <c r="F20" s="136"/>
      <c r="G20" s="136"/>
      <c r="H20" s="136"/>
      <c r="I20" s="136"/>
      <c r="J20" s="136"/>
      <c r="K20" s="136"/>
      <c r="L20" s="136"/>
      <c r="M20" s="136"/>
      <c r="N20" s="145" t="s">
        <v>96</v>
      </c>
      <c r="O20" s="146">
        <f t="shared" si="0"/>
        <v>18</v>
      </c>
      <c r="P20" s="358">
        <f>BirthsTrend!K60+O20</f>
        <v>3545</v>
      </c>
      <c r="Q20" s="147">
        <f t="shared" si="1"/>
        <v>5.0775740479548661</v>
      </c>
      <c r="R20" s="135"/>
      <c r="X20" s="307" t="s">
        <v>96</v>
      </c>
      <c r="Y20" s="307">
        <f t="shared" si="2"/>
        <v>18</v>
      </c>
      <c r="Z20" s="307">
        <f t="shared" si="3"/>
        <v>3545</v>
      </c>
      <c r="AA20" s="686">
        <f t="shared" si="4"/>
        <v>5.0999999999999996</v>
      </c>
      <c r="AM20" s="687">
        <f t="shared" si="5"/>
        <v>2.5228105082228791</v>
      </c>
      <c r="AN20" s="687">
        <f t="shared" si="6"/>
        <v>9.0523853818626545</v>
      </c>
      <c r="AO20" s="688">
        <f t="shared" si="7"/>
        <v>2.554763539731987</v>
      </c>
      <c r="AP20" s="688">
        <f t="shared" si="8"/>
        <v>3.9748113339077884</v>
      </c>
      <c r="AQ20" s="689">
        <f t="shared" si="9"/>
        <v>6.7872931354664825</v>
      </c>
      <c r="AR20" s="688">
        <f t="shared" si="10"/>
        <v>5.9578262940715812</v>
      </c>
      <c r="AS20" s="688">
        <f t="shared" si="11"/>
        <v>7.6959547128671959</v>
      </c>
      <c r="AU20" s="690"/>
      <c r="AV20" s="691"/>
    </row>
    <row r="21" spans="1:56">
      <c r="A21" s="134"/>
      <c r="B21" s="136"/>
      <c r="C21" s="136"/>
      <c r="D21" s="136"/>
      <c r="E21" s="136"/>
      <c r="F21" s="136"/>
      <c r="G21" s="136"/>
      <c r="H21" s="136"/>
      <c r="I21" s="136"/>
      <c r="J21" s="136"/>
      <c r="K21" s="136"/>
      <c r="L21" s="136"/>
      <c r="M21" s="136"/>
      <c r="N21" s="142" t="s">
        <v>97</v>
      </c>
      <c r="O21" s="344">
        <f t="shared" si="0"/>
        <v>7</v>
      </c>
      <c r="P21" s="446">
        <f>BirthsTrend!K61+O21</f>
        <v>2011</v>
      </c>
      <c r="Q21" s="144">
        <f t="shared" si="1"/>
        <v>3.4808552958727002</v>
      </c>
      <c r="R21" s="135"/>
      <c r="X21" s="307" t="s">
        <v>97</v>
      </c>
      <c r="Y21" s="307">
        <f t="shared" si="2"/>
        <v>7</v>
      </c>
      <c r="Z21" s="307">
        <f t="shared" si="3"/>
        <v>2011</v>
      </c>
      <c r="AA21" s="686">
        <f t="shared" si="4"/>
        <v>3.5</v>
      </c>
      <c r="AM21" s="687">
        <f t="shared" si="5"/>
        <v>1.0130967074588135</v>
      </c>
      <c r="AN21" s="687">
        <f t="shared" si="6"/>
        <v>8.5199369810608392</v>
      </c>
      <c r="AO21" s="688">
        <f t="shared" si="7"/>
        <v>2.4677585884138864</v>
      </c>
      <c r="AP21" s="688">
        <f t="shared" si="8"/>
        <v>5.0390816851881386</v>
      </c>
      <c r="AQ21" s="689">
        <f t="shared" si="9"/>
        <v>6.7872931354664825</v>
      </c>
      <c r="AR21" s="688">
        <f t="shared" si="10"/>
        <v>5.9578262940715812</v>
      </c>
      <c r="AS21" s="688">
        <f t="shared" si="11"/>
        <v>7.6959547128671959</v>
      </c>
      <c r="AU21" s="690"/>
      <c r="AV21" s="691"/>
    </row>
    <row r="22" spans="1:56">
      <c r="A22" s="134"/>
      <c r="B22" s="136"/>
      <c r="C22" s="136"/>
      <c r="D22" s="136"/>
      <c r="E22" s="136"/>
      <c r="F22" s="136"/>
      <c r="G22" s="136"/>
      <c r="H22" s="136"/>
      <c r="I22" s="136"/>
      <c r="J22" s="136"/>
      <c r="K22" s="136"/>
      <c r="L22" s="136"/>
      <c r="M22" s="136"/>
      <c r="N22" s="145" t="s">
        <v>98</v>
      </c>
      <c r="O22" s="146">
        <f t="shared" si="0"/>
        <v>5</v>
      </c>
      <c r="P22" s="358">
        <f>BirthsTrend!K62+O22</f>
        <v>486</v>
      </c>
      <c r="Q22" s="147">
        <f t="shared" si="1"/>
        <v>10.2880658436214</v>
      </c>
      <c r="R22" s="135"/>
      <c r="X22" s="307" t="s">
        <v>98</v>
      </c>
      <c r="Y22" s="307">
        <f t="shared" si="2"/>
        <v>5</v>
      </c>
      <c r="Z22" s="307">
        <f t="shared" si="3"/>
        <v>486</v>
      </c>
      <c r="AA22" s="686">
        <f t="shared" si="4"/>
        <v>10.3</v>
      </c>
      <c r="AM22" s="687">
        <f t="shared" si="5"/>
        <v>2.2179593429060138</v>
      </c>
      <c r="AN22" s="687">
        <f t="shared" si="6"/>
        <v>29.114731298401264</v>
      </c>
      <c r="AO22" s="688">
        <f t="shared" si="7"/>
        <v>8.0701065007153865</v>
      </c>
      <c r="AP22" s="688">
        <f t="shared" si="8"/>
        <v>18.826665454779864</v>
      </c>
      <c r="AQ22" s="689">
        <f t="shared" si="9"/>
        <v>6.7872931354664825</v>
      </c>
      <c r="AR22" s="688">
        <f t="shared" si="10"/>
        <v>5.9578262940715812</v>
      </c>
      <c r="AS22" s="688">
        <f t="shared" si="11"/>
        <v>7.6959547128671959</v>
      </c>
      <c r="AU22" s="690"/>
      <c r="AV22" s="691"/>
    </row>
    <row r="23" spans="1:56">
      <c r="A23" s="134"/>
      <c r="B23" s="136"/>
      <c r="C23" s="136"/>
      <c r="D23" s="136"/>
      <c r="E23" s="136"/>
      <c r="F23" s="136"/>
      <c r="G23" s="136"/>
      <c r="H23" s="136"/>
      <c r="I23" s="136"/>
      <c r="J23" s="136"/>
      <c r="K23" s="136"/>
      <c r="L23" s="136"/>
      <c r="M23" s="136"/>
      <c r="N23" s="142" t="s">
        <v>99</v>
      </c>
      <c r="O23" s="344">
        <f t="shared" si="0"/>
        <v>4</v>
      </c>
      <c r="P23" s="446">
        <f>BirthsTrend!K63+O23</f>
        <v>1543</v>
      </c>
      <c r="Q23" s="144">
        <f t="shared" si="1"/>
        <v>2.5923525599481532</v>
      </c>
      <c r="R23" s="135"/>
      <c r="X23" s="307" t="s">
        <v>99</v>
      </c>
      <c r="Y23" s="307">
        <f t="shared" si="2"/>
        <v>4</v>
      </c>
      <c r="Z23" s="307">
        <f t="shared" si="3"/>
        <v>1543</v>
      </c>
      <c r="AA23" s="686">
        <f t="shared" si="4"/>
        <v>2.6</v>
      </c>
      <c r="AM23" s="687">
        <f t="shared" si="5"/>
        <v>0.43564908846883188</v>
      </c>
      <c r="AN23" s="687">
        <f t="shared" si="6"/>
        <v>8.1620802242291539</v>
      </c>
      <c r="AO23" s="688">
        <f t="shared" si="7"/>
        <v>2.1567034714793212</v>
      </c>
      <c r="AP23" s="688">
        <f t="shared" si="8"/>
        <v>5.5697276642810003</v>
      </c>
      <c r="AQ23" s="689">
        <f t="shared" si="9"/>
        <v>6.7872931354664825</v>
      </c>
      <c r="AR23" s="688">
        <f t="shared" si="10"/>
        <v>5.9578262940715812</v>
      </c>
      <c r="AS23" s="688">
        <f t="shared" si="11"/>
        <v>7.6959547128671959</v>
      </c>
      <c r="AU23" s="690"/>
      <c r="AV23" s="691"/>
    </row>
    <row r="24" spans="1:56">
      <c r="A24" s="134"/>
      <c r="B24" s="136"/>
      <c r="C24" s="136"/>
      <c r="D24" s="136"/>
      <c r="E24" s="136"/>
      <c r="F24" s="136"/>
      <c r="G24" s="136"/>
      <c r="H24" s="136"/>
      <c r="I24" s="136"/>
      <c r="J24" s="136"/>
      <c r="K24" s="136"/>
      <c r="L24" s="136"/>
      <c r="M24" s="136"/>
      <c r="N24" s="145" t="s">
        <v>100</v>
      </c>
      <c r="O24" s="146">
        <f t="shared" si="0"/>
        <v>8</v>
      </c>
      <c r="P24" s="358">
        <f>BirthsTrend!K64+O24</f>
        <v>335</v>
      </c>
      <c r="Q24" s="147">
        <f t="shared" si="1"/>
        <v>23.880597014925375</v>
      </c>
      <c r="R24" s="135"/>
      <c r="X24" s="307" t="s">
        <v>100</v>
      </c>
      <c r="Y24" s="307">
        <f t="shared" si="2"/>
        <v>8</v>
      </c>
      <c r="Z24" s="307">
        <f t="shared" si="3"/>
        <v>335</v>
      </c>
      <c r="AA24" s="686">
        <f t="shared" si="4"/>
        <v>23.9</v>
      </c>
      <c r="AM24" s="687">
        <f t="shared" si="5"/>
        <v>7.6749334970801231</v>
      </c>
      <c r="AN24" s="687">
        <f t="shared" si="6"/>
        <v>55.457390233741407</v>
      </c>
      <c r="AO24" s="688">
        <f t="shared" si="7"/>
        <v>16.205663517845252</v>
      </c>
      <c r="AP24" s="688">
        <f t="shared" si="8"/>
        <v>31.576793218816032</v>
      </c>
      <c r="AQ24" s="689">
        <f t="shared" si="9"/>
        <v>6.7872931354664825</v>
      </c>
      <c r="AR24" s="688">
        <f t="shared" si="10"/>
        <v>5.9578262940715812</v>
      </c>
      <c r="AS24" s="688">
        <f t="shared" si="11"/>
        <v>7.6959547128671959</v>
      </c>
      <c r="AU24" s="690"/>
      <c r="AV24" s="691"/>
    </row>
    <row r="25" spans="1:56">
      <c r="A25" s="134"/>
      <c r="B25" s="136"/>
      <c r="C25" s="136"/>
      <c r="D25" s="136"/>
      <c r="E25" s="136"/>
      <c r="F25" s="136"/>
      <c r="G25" s="136"/>
      <c r="H25" s="136"/>
      <c r="I25" s="136"/>
      <c r="J25" s="136"/>
      <c r="K25" s="136"/>
      <c r="L25" s="136"/>
      <c r="M25" s="136"/>
      <c r="N25" s="142" t="s">
        <v>101</v>
      </c>
      <c r="O25" s="344">
        <f t="shared" si="0"/>
        <v>44</v>
      </c>
      <c r="P25" s="446">
        <f>BirthsTrend!K65+O25</f>
        <v>6443</v>
      </c>
      <c r="Q25" s="144">
        <f t="shared" si="1"/>
        <v>6.8291168710228147</v>
      </c>
      <c r="R25" s="135"/>
      <c r="X25" s="307" t="s">
        <v>101</v>
      </c>
      <c r="Y25" s="307">
        <f t="shared" si="2"/>
        <v>44</v>
      </c>
      <c r="Z25" s="307">
        <f t="shared" si="3"/>
        <v>6443</v>
      </c>
      <c r="AA25" s="686">
        <f t="shared" si="4"/>
        <v>6.8</v>
      </c>
      <c r="AM25" s="687">
        <f t="shared" si="5"/>
        <v>4.4685939012176954</v>
      </c>
      <c r="AN25" s="687">
        <f t="shared" si="6"/>
        <v>9.956460003193035</v>
      </c>
      <c r="AO25" s="688">
        <f t="shared" si="7"/>
        <v>2.3605229698051193</v>
      </c>
      <c r="AP25" s="688">
        <f t="shared" si="8"/>
        <v>3.1273431321702203</v>
      </c>
      <c r="AQ25" s="689">
        <f t="shared" si="9"/>
        <v>6.7872931354664825</v>
      </c>
      <c r="AR25" s="688">
        <f t="shared" si="10"/>
        <v>5.9578262940715812</v>
      </c>
      <c r="AS25" s="688">
        <f t="shared" si="11"/>
        <v>7.6959547128671959</v>
      </c>
      <c r="AU25" s="690"/>
      <c r="AV25" s="691"/>
    </row>
    <row r="26" spans="1:56">
      <c r="A26" s="134"/>
      <c r="B26" s="136"/>
      <c r="C26" s="136"/>
      <c r="D26" s="136"/>
      <c r="E26" s="136"/>
      <c r="F26" s="136"/>
      <c r="G26" s="136"/>
      <c r="H26" s="136"/>
      <c r="I26" s="136"/>
      <c r="J26" s="136"/>
      <c r="K26" s="136"/>
      <c r="L26" s="136"/>
      <c r="M26" s="136"/>
      <c r="N26" s="145" t="s">
        <v>102</v>
      </c>
      <c r="O26" s="146">
        <f t="shared" si="0"/>
        <v>3</v>
      </c>
      <c r="P26" s="358">
        <f>BirthsTrend!K66+O26</f>
        <v>644</v>
      </c>
      <c r="Q26" s="147">
        <f t="shared" si="1"/>
        <v>4.658385093167702</v>
      </c>
      <c r="R26" s="135"/>
      <c r="X26" s="307" t="s">
        <v>102</v>
      </c>
      <c r="Y26" s="307">
        <f t="shared" si="2"/>
        <v>3</v>
      </c>
      <c r="Z26" s="307">
        <f t="shared" si="3"/>
        <v>644</v>
      </c>
      <c r="AA26" s="686">
        <f t="shared" si="4"/>
        <v>4.7</v>
      </c>
      <c r="AM26" s="687">
        <f t="shared" si="5"/>
        <v>0.52463259119213346</v>
      </c>
      <c r="AN26" s="687">
        <f t="shared" si="6"/>
        <v>17.045772508276034</v>
      </c>
      <c r="AO26" s="688">
        <f t="shared" si="7"/>
        <v>4.1337525019755681</v>
      </c>
      <c r="AP26" s="688">
        <f t="shared" si="8"/>
        <v>12.387387415108332</v>
      </c>
      <c r="AQ26" s="689">
        <f t="shared" si="9"/>
        <v>6.7872931354664825</v>
      </c>
      <c r="AR26" s="688">
        <f t="shared" si="10"/>
        <v>5.9578262940715812</v>
      </c>
      <c r="AS26" s="688">
        <f t="shared" si="11"/>
        <v>7.6959547128671959</v>
      </c>
      <c r="AU26" s="690"/>
      <c r="AV26" s="691"/>
    </row>
    <row r="27" spans="1:56">
      <c r="A27" s="134"/>
      <c r="B27" s="136"/>
      <c r="C27" s="136"/>
      <c r="D27" s="136"/>
      <c r="E27" s="136"/>
      <c r="F27" s="136"/>
      <c r="G27" s="136"/>
      <c r="H27" s="136"/>
      <c r="I27" s="136"/>
      <c r="J27" s="136"/>
      <c r="K27" s="136"/>
      <c r="L27" s="136"/>
      <c r="M27" s="136"/>
      <c r="N27" s="142" t="s">
        <v>103</v>
      </c>
      <c r="O27" s="344">
        <f t="shared" si="0"/>
        <v>28</v>
      </c>
      <c r="P27" s="446">
        <f>BirthsTrend!K67+O27</f>
        <v>3442</v>
      </c>
      <c r="Q27" s="144">
        <f t="shared" si="1"/>
        <v>8.1348053457292266</v>
      </c>
      <c r="R27" s="135"/>
      <c r="X27" s="307" t="s">
        <v>103</v>
      </c>
      <c r="Y27" s="307">
        <f t="shared" si="2"/>
        <v>28</v>
      </c>
      <c r="Z27" s="307">
        <f t="shared" si="3"/>
        <v>3442</v>
      </c>
      <c r="AA27" s="686">
        <f t="shared" si="4"/>
        <v>8.1</v>
      </c>
      <c r="AM27" s="687">
        <f t="shared" si="5"/>
        <v>4.7197102982473353</v>
      </c>
      <c r="AN27" s="687">
        <f t="shared" si="6"/>
        <v>12.997802112344717</v>
      </c>
      <c r="AO27" s="688">
        <f t="shared" si="7"/>
        <v>3.4150950474818913</v>
      </c>
      <c r="AP27" s="688">
        <f t="shared" si="8"/>
        <v>4.8629967666154901</v>
      </c>
      <c r="AQ27" s="689">
        <f t="shared" si="9"/>
        <v>6.7872931354664825</v>
      </c>
      <c r="AR27" s="688">
        <f t="shared" si="10"/>
        <v>5.9578262940715812</v>
      </c>
      <c r="AS27" s="688">
        <f t="shared" si="11"/>
        <v>7.6959547128671959</v>
      </c>
      <c r="AU27" s="690"/>
      <c r="AV27" s="691"/>
    </row>
    <row r="28" spans="1:56">
      <c r="A28" s="134"/>
      <c r="B28" s="136"/>
      <c r="C28" s="136"/>
      <c r="D28" s="136"/>
      <c r="E28" s="136"/>
      <c r="F28" s="136"/>
      <c r="G28" s="136"/>
      <c r="H28" s="136"/>
      <c r="I28" s="136"/>
      <c r="J28" s="136"/>
      <c r="K28" s="136"/>
      <c r="L28" s="136"/>
      <c r="M28" s="136"/>
      <c r="N28" s="348" t="s">
        <v>63</v>
      </c>
      <c r="O28" s="359">
        <f t="shared" si="0"/>
        <v>2</v>
      </c>
      <c r="P28" s="359">
        <f>BirthsTrend!K68+O28</f>
        <v>132</v>
      </c>
      <c r="Q28" s="350" t="s">
        <v>119</v>
      </c>
      <c r="R28" s="135"/>
      <c r="X28" s="307" t="s">
        <v>63</v>
      </c>
      <c r="Y28" s="307">
        <f t="shared" si="2"/>
        <v>2</v>
      </c>
      <c r="Z28" s="307">
        <f t="shared" si="3"/>
        <v>132</v>
      </c>
      <c r="AA28" s="686" t="str">
        <f t="shared" si="4"/>
        <v>-</v>
      </c>
      <c r="AM28" s="687"/>
      <c r="AN28" s="687"/>
      <c r="AO28" s="692"/>
      <c r="AP28" s="692"/>
      <c r="AQ28" s="692"/>
      <c r="AR28" s="692"/>
      <c r="AS28" s="692"/>
      <c r="AU28" s="690"/>
      <c r="AV28" s="691"/>
    </row>
    <row r="29" spans="1:56">
      <c r="A29" s="134"/>
      <c r="B29" s="136"/>
      <c r="C29" s="136"/>
      <c r="D29" s="136"/>
      <c r="E29" s="136"/>
      <c r="F29" s="136"/>
      <c r="G29" s="136"/>
      <c r="H29" s="136"/>
      <c r="I29" s="136"/>
      <c r="J29" s="136"/>
      <c r="K29" s="136"/>
      <c r="L29" s="136"/>
      <c r="M29" s="136"/>
      <c r="N29" s="345" t="s">
        <v>16</v>
      </c>
      <c r="O29" s="346">
        <f>SUM(O8:O28)</f>
        <v>413</v>
      </c>
      <c r="P29" s="346">
        <f>SUM(P8:P28)</f>
        <v>60849</v>
      </c>
      <c r="Q29" s="347">
        <f>O29/P29*1000</f>
        <v>6.7872931354664825</v>
      </c>
      <c r="R29" s="135"/>
      <c r="AA29" s="686"/>
      <c r="AM29" s="693">
        <f>IF(O29=0,0,IF(O29&lt;389,CHIINV(0.5+$AN$5/200,2*O29)/2,O29*(1-1/(9*O29)-NORMSINV(0.5+$AN$5/200)/3/SQRT(O29))^3))/P29*1000</f>
        <v>5.9578262940715812</v>
      </c>
      <c r="AN29" s="693">
        <f>IF(O29&lt;389,CHIINV(0.5-$AN$5/200,2*O29+2)/2,(O29+1)*(1-1/(9*(O29+1))+NORMSINV(0.5+$AN$5/200)/3/SQRT(O29+1))^3)/P29*1000</f>
        <v>7.6959547128671959</v>
      </c>
      <c r="AO29" s="694">
        <f>Q29-AM29</f>
        <v>0.82946684139490134</v>
      </c>
      <c r="AP29" s="694">
        <f>AN29-Q29</f>
        <v>0.9086615774007134</v>
      </c>
      <c r="AQ29" s="692"/>
      <c r="AR29" s="692"/>
      <c r="AS29" s="692"/>
    </row>
    <row r="30" spans="1:56">
      <c r="A30" s="134"/>
      <c r="B30" s="136"/>
      <c r="C30" s="136"/>
      <c r="D30" s="136"/>
      <c r="E30" s="136"/>
      <c r="F30" s="136"/>
      <c r="G30" s="136"/>
      <c r="H30" s="136"/>
      <c r="I30" s="136"/>
      <c r="J30" s="136"/>
      <c r="K30" s="136"/>
      <c r="L30" s="136"/>
      <c r="M30" s="136"/>
      <c r="N30" s="136"/>
      <c r="O30" s="136"/>
      <c r="P30" s="136"/>
      <c r="Q30" s="136"/>
      <c r="R30" s="135"/>
      <c r="AT30" s="461"/>
      <c r="AU30" s="461"/>
      <c r="AV30" s="461"/>
      <c r="AW30" s="461"/>
      <c r="AX30" s="461"/>
      <c r="AY30" s="461"/>
      <c r="AZ30" s="461"/>
      <c r="BA30" s="461"/>
      <c r="BB30" s="461"/>
      <c r="BC30" s="461"/>
      <c r="BD30" s="448"/>
    </row>
    <row r="31" spans="1:56">
      <c r="A31" s="153"/>
      <c r="B31" s="154"/>
      <c r="C31" s="154"/>
      <c r="D31" s="154"/>
      <c r="E31" s="154"/>
      <c r="F31" s="154"/>
      <c r="G31" s="154"/>
      <c r="H31" s="154"/>
      <c r="I31" s="154"/>
      <c r="J31" s="154"/>
      <c r="K31" s="154"/>
      <c r="L31" s="154"/>
      <c r="M31" s="154"/>
      <c r="N31" s="154"/>
      <c r="O31" s="154"/>
      <c r="P31" s="154"/>
      <c r="Q31" s="154"/>
      <c r="R31" s="155"/>
      <c r="AT31" s="461"/>
      <c r="AU31" s="461"/>
      <c r="AV31" s="461"/>
      <c r="AW31" s="461"/>
      <c r="AX31" s="461"/>
      <c r="AY31" s="461"/>
      <c r="AZ31" s="461"/>
      <c r="BA31" s="461"/>
      <c r="BB31" s="461"/>
      <c r="BC31" s="461"/>
      <c r="BD31" s="448"/>
    </row>
    <row r="32" spans="1:56">
      <c r="AT32" s="461"/>
      <c r="AU32" s="461"/>
      <c r="AV32" s="461"/>
      <c r="AW32" s="461"/>
      <c r="AX32" s="461"/>
      <c r="AY32" s="461"/>
      <c r="AZ32" s="461"/>
      <c r="BA32" s="461"/>
      <c r="BB32" s="461"/>
      <c r="BC32" s="461"/>
      <c r="BD32" s="448"/>
    </row>
    <row r="33" spans="1:56">
      <c r="A33" s="130"/>
      <c r="B33" s="131"/>
      <c r="C33" s="131"/>
      <c r="D33" s="131"/>
      <c r="E33" s="131"/>
      <c r="F33" s="131"/>
      <c r="G33" s="131"/>
      <c r="H33" s="131"/>
      <c r="I33" s="131"/>
      <c r="J33" s="131"/>
      <c r="K33" s="131"/>
      <c r="L33" s="131"/>
      <c r="M33" s="131"/>
      <c r="N33" s="131"/>
      <c r="O33" s="131"/>
      <c r="P33" s="131"/>
      <c r="Q33" s="131"/>
      <c r="R33" s="133"/>
      <c r="AT33" s="461"/>
      <c r="AU33" s="461"/>
      <c r="AV33" s="461"/>
      <c r="AW33" s="461"/>
      <c r="AX33" s="461"/>
      <c r="AY33" s="461"/>
      <c r="AZ33" s="461"/>
      <c r="BA33" s="461"/>
      <c r="BB33" s="461"/>
      <c r="BC33" s="461"/>
      <c r="BD33" s="448"/>
    </row>
    <row r="34" spans="1:56" ht="25.5" customHeight="1">
      <c r="A34" s="134"/>
      <c r="B34" s="964" t="str">
        <f>Contents!E35</f>
        <v xml:space="preserve">Figure 10: Infant death rate by DHB of domicile, 2016
</v>
      </c>
      <c r="C34" s="964"/>
      <c r="D34" s="964"/>
      <c r="E34" s="964"/>
      <c r="F34" s="964"/>
      <c r="G34" s="964"/>
      <c r="H34" s="964"/>
      <c r="I34" s="964"/>
      <c r="J34" s="964"/>
      <c r="K34" s="964"/>
      <c r="L34" s="964"/>
      <c r="M34" s="964"/>
      <c r="N34" s="964"/>
      <c r="O34" s="964"/>
      <c r="P34" s="964"/>
      <c r="Q34" s="964"/>
      <c r="R34" s="135"/>
      <c r="X34" s="307">
        <f>Ref!B27</f>
        <v>2016</v>
      </c>
      <c r="Z34" s="307" t="s">
        <v>48</v>
      </c>
      <c r="AT34" s="461"/>
      <c r="AU34" s="461"/>
      <c r="AV34" s="461"/>
      <c r="AW34" s="461"/>
      <c r="AX34" s="461"/>
      <c r="AY34" s="461"/>
      <c r="AZ34" s="461"/>
      <c r="BA34" s="461"/>
      <c r="BB34" s="461"/>
      <c r="BC34" s="461"/>
      <c r="BD34" s="448"/>
    </row>
    <row r="35" spans="1:56">
      <c r="A35" s="134"/>
      <c r="B35" s="136"/>
      <c r="C35" s="136"/>
      <c r="D35" s="136"/>
      <c r="E35" s="136"/>
      <c r="F35" s="136"/>
      <c r="G35" s="136"/>
      <c r="H35" s="136"/>
      <c r="I35" s="136"/>
      <c r="J35" s="136"/>
      <c r="K35" s="136"/>
      <c r="L35" s="136"/>
      <c r="M35" s="136"/>
      <c r="N35" s="137" t="s">
        <v>139</v>
      </c>
      <c r="O35" s="138" t="s">
        <v>299</v>
      </c>
      <c r="P35" s="138" t="s">
        <v>46</v>
      </c>
      <c r="Q35" s="138" t="s">
        <v>45</v>
      </c>
      <c r="R35" s="135"/>
      <c r="X35" s="307" t="s">
        <v>466</v>
      </c>
      <c r="Y35" s="307" t="s">
        <v>48</v>
      </c>
      <c r="Z35" s="307" t="s">
        <v>46</v>
      </c>
      <c r="AA35" s="307" t="s">
        <v>45</v>
      </c>
      <c r="AM35" s="685" t="s">
        <v>295</v>
      </c>
      <c r="AN35" s="685" t="s">
        <v>296</v>
      </c>
      <c r="AO35" s="685" t="s">
        <v>289</v>
      </c>
      <c r="AP35" s="685" t="s">
        <v>290</v>
      </c>
      <c r="AQ35" s="685" t="s">
        <v>276</v>
      </c>
      <c r="AR35" s="685" t="s">
        <v>297</v>
      </c>
      <c r="AS35" s="685" t="s">
        <v>298</v>
      </c>
    </row>
    <row r="36" spans="1:56">
      <c r="A36" s="134"/>
      <c r="B36" s="136"/>
      <c r="C36" s="136"/>
      <c r="D36" s="136"/>
      <c r="E36" s="136"/>
      <c r="F36" s="136"/>
      <c r="G36" s="136"/>
      <c r="H36" s="136"/>
      <c r="I36" s="136"/>
      <c r="J36" s="136"/>
      <c r="K36" s="136"/>
      <c r="L36" s="136"/>
      <c r="M36" s="136"/>
      <c r="N36" s="139" t="s">
        <v>85</v>
      </c>
      <c r="O36" s="140">
        <f t="shared" ref="O36:O56" si="12">Y36</f>
        <v>12</v>
      </c>
      <c r="P36" s="357">
        <f>BirthsTrend!K48</f>
        <v>2320</v>
      </c>
      <c r="Q36" s="141">
        <f t="shared" ref="Q36:Q55" si="13">O36/P36*1000</f>
        <v>5.1724137931034484</v>
      </c>
      <c r="R36" s="135"/>
      <c r="X36" s="307" t="s">
        <v>85</v>
      </c>
      <c r="Y36" s="307">
        <f t="shared" ref="Y36:Y56" si="14">VLOOKUP($X$35&amp;$Y$35&amp;X36, vw.deaths.dhb, 6, FALSE)</f>
        <v>12</v>
      </c>
      <c r="Z36" s="307">
        <f t="shared" ref="Z36:Z56" si="15">VLOOKUP($X$35&amp;$Z$34&amp;X36, vw.deaths.dhb, 7, FALSE)</f>
        <v>2320</v>
      </c>
      <c r="AA36" s="686">
        <f t="shared" ref="AA36:AA56" si="16">VLOOKUP($X$35&amp;$Z$34&amp;X36, vw.deaths.dhb, 8, FALSE)</f>
        <v>5.2</v>
      </c>
      <c r="AM36" s="687">
        <f t="shared" ref="AM36:AM55" si="17">IF(O36=0,0,IF(O36&lt;389,CHIINV(0.5+$AN$5/200,2*O36)/2,O36*(1-1/(9*O36)-NORMSINV(0.5+$AN$5/200)/3/SQRT(O36))^3))/P36*1000</f>
        <v>2.1306537720347984</v>
      </c>
      <c r="AN36" s="687">
        <f t="shared" ref="AN36:AN55" si="18">IF(O36&lt;389,CHIINV(0.5-$AN$5/200,2*O36+2)/2,(O36+1)*(1-1/(9*(O36+1))+NORMSINV(0.5+$AN$5/200)/3/SQRT(O36+1))^3)/P36*1000</f>
        <v>10.407302226822594</v>
      </c>
      <c r="AO36" s="688">
        <f t="shared" ref="AO36:AO55" si="19">Q36-AM36</f>
        <v>3.04176002106865</v>
      </c>
      <c r="AP36" s="688">
        <f t="shared" ref="AP36:AP55" si="20">AN36-Q36</f>
        <v>5.2348884337191457</v>
      </c>
      <c r="AQ36" s="689">
        <f t="shared" ref="AQ36:AQ55" si="21">Q$57</f>
        <v>3.9876894566152621</v>
      </c>
      <c r="AR36" s="688">
        <f t="shared" ref="AR36:AR55" si="22">AM$57</f>
        <v>3.3571297670476214</v>
      </c>
      <c r="AS36" s="688">
        <f t="shared" ref="AS36:AS55" si="23">AN$57</f>
        <v>4.6982976851908687</v>
      </c>
    </row>
    <row r="37" spans="1:56">
      <c r="A37" s="134"/>
      <c r="B37" s="136"/>
      <c r="C37" s="136"/>
      <c r="D37" s="136"/>
      <c r="E37" s="136"/>
      <c r="F37" s="136"/>
      <c r="G37" s="136"/>
      <c r="H37" s="136"/>
      <c r="I37" s="136"/>
      <c r="J37" s="136"/>
      <c r="K37" s="136"/>
      <c r="L37" s="136"/>
      <c r="M37" s="136"/>
      <c r="N37" s="142" t="s">
        <v>86</v>
      </c>
      <c r="O37" s="344">
        <f t="shared" si="12"/>
        <v>18</v>
      </c>
      <c r="P37" s="344">
        <f>BirthsTrend!K49</f>
        <v>8051</v>
      </c>
      <c r="Q37" s="144">
        <f t="shared" si="13"/>
        <v>2.2357471121599803</v>
      </c>
      <c r="R37" s="135"/>
      <c r="X37" s="307" t="s">
        <v>86</v>
      </c>
      <c r="Y37" s="307">
        <f t="shared" si="14"/>
        <v>18</v>
      </c>
      <c r="Z37" s="307">
        <f t="shared" si="15"/>
        <v>8051</v>
      </c>
      <c r="AA37" s="686">
        <f t="shared" si="16"/>
        <v>2.2000000000000002</v>
      </c>
      <c r="AM37" s="687">
        <f t="shared" si="17"/>
        <v>1.1108388090485786</v>
      </c>
      <c r="AN37" s="687">
        <f t="shared" si="18"/>
        <v>3.9859279814561059</v>
      </c>
      <c r="AO37" s="688">
        <f t="shared" si="19"/>
        <v>1.1249083031114018</v>
      </c>
      <c r="AP37" s="688">
        <f t="shared" si="20"/>
        <v>1.7501808692961256</v>
      </c>
      <c r="AQ37" s="689">
        <f t="shared" si="21"/>
        <v>3.9876894566152621</v>
      </c>
      <c r="AR37" s="688">
        <f t="shared" si="22"/>
        <v>3.3571297670476214</v>
      </c>
      <c r="AS37" s="688">
        <f t="shared" si="23"/>
        <v>4.6982976851908687</v>
      </c>
    </row>
    <row r="38" spans="1:56">
      <c r="A38" s="134"/>
      <c r="B38" s="136"/>
      <c r="C38" s="136"/>
      <c r="D38" s="136"/>
      <c r="E38" s="136"/>
      <c r="F38" s="136"/>
      <c r="G38" s="136"/>
      <c r="H38" s="136"/>
      <c r="I38" s="136"/>
      <c r="J38" s="136"/>
      <c r="K38" s="136"/>
      <c r="L38" s="136"/>
      <c r="M38" s="136"/>
      <c r="N38" s="145" t="s">
        <v>87</v>
      </c>
      <c r="O38" s="146">
        <f t="shared" si="12"/>
        <v>18</v>
      </c>
      <c r="P38" s="358">
        <f>BirthsTrend!K50</f>
        <v>5905</v>
      </c>
      <c r="Q38" s="147">
        <f t="shared" si="13"/>
        <v>3.048264182895851</v>
      </c>
      <c r="R38" s="135"/>
      <c r="X38" s="307" t="s">
        <v>87</v>
      </c>
      <c r="Y38" s="307">
        <f t="shared" si="14"/>
        <v>18</v>
      </c>
      <c r="Z38" s="307">
        <f t="shared" si="15"/>
        <v>5905</v>
      </c>
      <c r="AA38" s="686">
        <f t="shared" si="16"/>
        <v>3</v>
      </c>
      <c r="AM38" s="687">
        <f t="shared" si="17"/>
        <v>1.5145407708128886</v>
      </c>
      <c r="AN38" s="687">
        <f t="shared" si="18"/>
        <v>5.4344972360208477</v>
      </c>
      <c r="AO38" s="688">
        <f t="shared" si="19"/>
        <v>1.5337234120829624</v>
      </c>
      <c r="AP38" s="688">
        <f t="shared" si="20"/>
        <v>2.3862330531249967</v>
      </c>
      <c r="AQ38" s="689">
        <f t="shared" si="21"/>
        <v>3.9876894566152621</v>
      </c>
      <c r="AR38" s="688">
        <f t="shared" si="22"/>
        <v>3.3571297670476214</v>
      </c>
      <c r="AS38" s="688">
        <f t="shared" si="23"/>
        <v>4.6982976851908687</v>
      </c>
    </row>
    <row r="39" spans="1:56">
      <c r="A39" s="134"/>
      <c r="B39" s="136"/>
      <c r="C39" s="136"/>
      <c r="D39" s="136"/>
      <c r="E39" s="136"/>
      <c r="F39" s="136"/>
      <c r="G39" s="136"/>
      <c r="H39" s="136"/>
      <c r="I39" s="136"/>
      <c r="J39" s="136"/>
      <c r="K39" s="136"/>
      <c r="L39" s="136"/>
      <c r="M39" s="136"/>
      <c r="N39" s="142" t="s">
        <v>88</v>
      </c>
      <c r="O39" s="344">
        <f>Y39</f>
        <v>57</v>
      </c>
      <c r="P39" s="344">
        <f>BirthsTrend!K51</f>
        <v>8375</v>
      </c>
      <c r="Q39" s="144">
        <f>O39/P39*1000</f>
        <v>6.8059701492537314</v>
      </c>
      <c r="R39" s="135"/>
      <c r="X39" s="307" t="s">
        <v>88</v>
      </c>
      <c r="Y39" s="307">
        <f t="shared" si="14"/>
        <v>57</v>
      </c>
      <c r="Z39" s="307">
        <f t="shared" si="15"/>
        <v>8375</v>
      </c>
      <c r="AA39" s="686">
        <f t="shared" si="16"/>
        <v>6.8</v>
      </c>
      <c r="AM39" s="687">
        <f t="shared" si="17"/>
        <v>4.7081647962327864</v>
      </c>
      <c r="AN39" s="687">
        <f t="shared" si="18"/>
        <v>9.4911729879198248</v>
      </c>
      <c r="AO39" s="688">
        <f t="shared" si="19"/>
        <v>2.0978053530209451</v>
      </c>
      <c r="AP39" s="688">
        <f t="shared" si="20"/>
        <v>2.6852028386660933</v>
      </c>
      <c r="AQ39" s="689">
        <f t="shared" si="21"/>
        <v>3.9876894566152621</v>
      </c>
      <c r="AR39" s="688">
        <f t="shared" si="22"/>
        <v>3.3571297670476214</v>
      </c>
      <c r="AS39" s="688">
        <f t="shared" si="23"/>
        <v>4.6982976851908687</v>
      </c>
    </row>
    <row r="40" spans="1:56">
      <c r="A40" s="134"/>
      <c r="B40" s="136"/>
      <c r="C40" s="136"/>
      <c r="D40" s="136"/>
      <c r="E40" s="136"/>
      <c r="F40" s="136"/>
      <c r="G40" s="136"/>
      <c r="H40" s="136"/>
      <c r="I40" s="136"/>
      <c r="J40" s="136"/>
      <c r="K40" s="136"/>
      <c r="L40" s="136"/>
      <c r="M40" s="136"/>
      <c r="N40" s="145" t="s">
        <v>89</v>
      </c>
      <c r="O40" s="146">
        <f t="shared" si="12"/>
        <v>28</v>
      </c>
      <c r="P40" s="358">
        <f>BirthsTrend!K52</f>
        <v>5507</v>
      </c>
      <c r="Q40" s="147">
        <f t="shared" si="13"/>
        <v>5.0844379880152539</v>
      </c>
      <c r="R40" s="135"/>
      <c r="X40" s="307" t="s">
        <v>89</v>
      </c>
      <c r="Y40" s="307">
        <f t="shared" si="14"/>
        <v>28</v>
      </c>
      <c r="Z40" s="307">
        <f t="shared" si="15"/>
        <v>5507</v>
      </c>
      <c r="AA40" s="686">
        <f t="shared" si="16"/>
        <v>5.0999999999999996</v>
      </c>
      <c r="AM40" s="687">
        <f t="shared" si="17"/>
        <v>2.9499260662007125</v>
      </c>
      <c r="AN40" s="687">
        <f t="shared" si="18"/>
        <v>8.1239213493173263</v>
      </c>
      <c r="AO40" s="688">
        <f t="shared" si="19"/>
        <v>2.1345119218145414</v>
      </c>
      <c r="AP40" s="688">
        <f t="shared" si="20"/>
        <v>3.0394833613020724</v>
      </c>
      <c r="AQ40" s="689">
        <f t="shared" si="21"/>
        <v>3.9876894566152621</v>
      </c>
      <c r="AR40" s="688">
        <f t="shared" si="22"/>
        <v>3.3571297670476214</v>
      </c>
      <c r="AS40" s="688">
        <f t="shared" si="23"/>
        <v>4.6982976851908687</v>
      </c>
    </row>
    <row r="41" spans="1:56">
      <c r="A41" s="134"/>
      <c r="B41" s="136"/>
      <c r="C41" s="136"/>
      <c r="D41" s="136"/>
      <c r="E41" s="136"/>
      <c r="F41" s="136"/>
      <c r="G41" s="136"/>
      <c r="H41" s="136"/>
      <c r="I41" s="136"/>
      <c r="J41" s="136"/>
      <c r="K41" s="136"/>
      <c r="L41" s="136"/>
      <c r="M41" s="136"/>
      <c r="N41" s="142" t="s">
        <v>90</v>
      </c>
      <c r="O41" s="344">
        <f t="shared" si="12"/>
        <v>0</v>
      </c>
      <c r="P41" s="344">
        <f>BirthsTrend!K53</f>
        <v>1569</v>
      </c>
      <c r="Q41" s="144">
        <f t="shared" si="13"/>
        <v>0</v>
      </c>
      <c r="R41" s="135"/>
      <c r="X41" s="307" t="s">
        <v>90</v>
      </c>
      <c r="Y41" s="307">
        <f t="shared" si="14"/>
        <v>0</v>
      </c>
      <c r="Z41" s="307">
        <f t="shared" si="15"/>
        <v>1569</v>
      </c>
      <c r="AA41" s="686">
        <f t="shared" si="16"/>
        <v>0</v>
      </c>
      <c r="AM41" s="687">
        <f t="shared" si="17"/>
        <v>0</v>
      </c>
      <c r="AN41" s="687">
        <f t="shared" si="18"/>
        <v>3.3768753132874667</v>
      </c>
      <c r="AO41" s="688">
        <f t="shared" si="19"/>
        <v>0</v>
      </c>
      <c r="AP41" s="688">
        <f t="shared" si="20"/>
        <v>3.3768753132874667</v>
      </c>
      <c r="AQ41" s="689">
        <f t="shared" si="21"/>
        <v>3.9876894566152621</v>
      </c>
      <c r="AR41" s="688">
        <f t="shared" si="22"/>
        <v>3.3571297670476214</v>
      </c>
      <c r="AS41" s="688">
        <f t="shared" si="23"/>
        <v>4.6982976851908687</v>
      </c>
    </row>
    <row r="42" spans="1:56">
      <c r="A42" s="134"/>
      <c r="B42" s="136"/>
      <c r="C42" s="136"/>
      <c r="D42" s="136"/>
      <c r="E42" s="136"/>
      <c r="F42" s="136"/>
      <c r="G42" s="136"/>
      <c r="H42" s="136"/>
      <c r="I42" s="136"/>
      <c r="J42" s="136"/>
      <c r="K42" s="136"/>
      <c r="L42" s="136"/>
      <c r="M42" s="136"/>
      <c r="N42" s="145" t="s">
        <v>91</v>
      </c>
      <c r="O42" s="146">
        <f t="shared" si="12"/>
        <v>18</v>
      </c>
      <c r="P42" s="358">
        <f>BirthsTrend!K54</f>
        <v>2940</v>
      </c>
      <c r="Q42" s="147">
        <f t="shared" si="13"/>
        <v>6.1224489795918364</v>
      </c>
      <c r="R42" s="135"/>
      <c r="X42" s="307" t="s">
        <v>91</v>
      </c>
      <c r="Y42" s="307">
        <f t="shared" si="14"/>
        <v>18</v>
      </c>
      <c r="Z42" s="307">
        <f t="shared" si="15"/>
        <v>2940</v>
      </c>
      <c r="AA42" s="686">
        <f t="shared" si="16"/>
        <v>6.1</v>
      </c>
      <c r="AM42" s="687">
        <f t="shared" si="17"/>
        <v>3.0419602896769069</v>
      </c>
      <c r="AN42" s="687">
        <f t="shared" si="18"/>
        <v>10.91520618323235</v>
      </c>
      <c r="AO42" s="688">
        <f t="shared" si="19"/>
        <v>3.0804886899149295</v>
      </c>
      <c r="AP42" s="688">
        <f t="shared" si="20"/>
        <v>4.7927572036405133</v>
      </c>
      <c r="AQ42" s="689">
        <f t="shared" si="21"/>
        <v>3.9876894566152621</v>
      </c>
      <c r="AR42" s="688">
        <f t="shared" si="22"/>
        <v>3.3571297670476214</v>
      </c>
      <c r="AS42" s="688">
        <f t="shared" si="23"/>
        <v>4.6982976851908687</v>
      </c>
    </row>
    <row r="43" spans="1:56">
      <c r="A43" s="134"/>
      <c r="B43" s="136"/>
      <c r="C43" s="136"/>
      <c r="D43" s="136"/>
      <c r="E43" s="136"/>
      <c r="F43" s="136"/>
      <c r="G43" s="136"/>
      <c r="H43" s="136"/>
      <c r="I43" s="136"/>
      <c r="J43" s="136"/>
      <c r="K43" s="136"/>
      <c r="L43" s="136"/>
      <c r="M43" s="136"/>
      <c r="N43" s="142" t="s">
        <v>366</v>
      </c>
      <c r="O43" s="344">
        <f t="shared" si="12"/>
        <v>3</v>
      </c>
      <c r="P43" s="344">
        <f>BirthsTrend!K55</f>
        <v>769</v>
      </c>
      <c r="Q43" s="144">
        <f t="shared" si="13"/>
        <v>3.9011703511053315</v>
      </c>
      <c r="R43" s="135"/>
      <c r="X43" s="307" t="s">
        <v>433</v>
      </c>
      <c r="Y43" s="307">
        <f t="shared" si="14"/>
        <v>3</v>
      </c>
      <c r="Z43" s="307">
        <f t="shared" si="15"/>
        <v>769</v>
      </c>
      <c r="AA43" s="686">
        <f t="shared" si="16"/>
        <v>3.9</v>
      </c>
      <c r="AM43" s="687">
        <f t="shared" si="17"/>
        <v>0.43935421160953703</v>
      </c>
      <c r="AN43" s="687">
        <f t="shared" si="18"/>
        <v>14.275003244902166</v>
      </c>
      <c r="AO43" s="688">
        <f t="shared" si="19"/>
        <v>3.4618161394957943</v>
      </c>
      <c r="AP43" s="688">
        <f t="shared" si="20"/>
        <v>10.373832893796834</v>
      </c>
      <c r="AQ43" s="689">
        <f t="shared" si="21"/>
        <v>3.9876894566152621</v>
      </c>
      <c r="AR43" s="688">
        <f t="shared" si="22"/>
        <v>3.3571297670476214</v>
      </c>
      <c r="AS43" s="688">
        <f t="shared" si="23"/>
        <v>4.6982976851908687</v>
      </c>
    </row>
    <row r="44" spans="1:56">
      <c r="A44" s="134"/>
      <c r="B44" s="136"/>
      <c r="C44" s="136"/>
      <c r="D44" s="136"/>
      <c r="E44" s="136"/>
      <c r="F44" s="136"/>
      <c r="G44" s="136"/>
      <c r="H44" s="136"/>
      <c r="I44" s="136"/>
      <c r="J44" s="136"/>
      <c r="K44" s="136"/>
      <c r="L44" s="136"/>
      <c r="M44" s="136"/>
      <c r="N44" s="145" t="s">
        <v>92</v>
      </c>
      <c r="O44" s="146">
        <f t="shared" si="12"/>
        <v>6</v>
      </c>
      <c r="P44" s="358">
        <f>BirthsTrend!K56</f>
        <v>2098</v>
      </c>
      <c r="Q44" s="147">
        <f t="shared" si="13"/>
        <v>2.8598665395614868</v>
      </c>
      <c r="R44" s="135"/>
      <c r="X44" s="307" t="s">
        <v>92</v>
      </c>
      <c r="Y44" s="307">
        <f t="shared" si="14"/>
        <v>6</v>
      </c>
      <c r="Z44" s="307">
        <f t="shared" si="15"/>
        <v>2098</v>
      </c>
      <c r="AA44" s="686">
        <f t="shared" si="16"/>
        <v>2.9</v>
      </c>
      <c r="AM44" s="687">
        <f t="shared" si="17"/>
        <v>0.7325604475904034</v>
      </c>
      <c r="AN44" s="687">
        <f t="shared" si="18"/>
        <v>7.4640966688739958</v>
      </c>
      <c r="AO44" s="688">
        <f t="shared" si="19"/>
        <v>2.1273060919710836</v>
      </c>
      <c r="AP44" s="688">
        <f t="shared" si="20"/>
        <v>4.6042301293125085</v>
      </c>
      <c r="AQ44" s="689">
        <f t="shared" si="21"/>
        <v>3.9876894566152621</v>
      </c>
      <c r="AR44" s="688">
        <f t="shared" si="22"/>
        <v>3.3571297670476214</v>
      </c>
      <c r="AS44" s="688">
        <f t="shared" si="23"/>
        <v>4.6982976851908687</v>
      </c>
    </row>
    <row r="45" spans="1:56">
      <c r="A45" s="134"/>
      <c r="B45" s="136"/>
      <c r="C45" s="136"/>
      <c r="D45" s="136"/>
      <c r="E45" s="136"/>
      <c r="F45" s="136"/>
      <c r="G45" s="136"/>
      <c r="H45" s="136"/>
      <c r="I45" s="136"/>
      <c r="J45" s="136"/>
      <c r="K45" s="136"/>
      <c r="L45" s="136"/>
      <c r="M45" s="136"/>
      <c r="N45" s="142" t="s">
        <v>93</v>
      </c>
      <c r="O45" s="344">
        <f t="shared" si="12"/>
        <v>6</v>
      </c>
      <c r="P45" s="344">
        <f>BirthsTrend!K57</f>
        <v>1491</v>
      </c>
      <c r="Q45" s="144">
        <f t="shared" si="13"/>
        <v>4.0241448692152924</v>
      </c>
      <c r="R45" s="135"/>
      <c r="X45" s="307" t="s">
        <v>93</v>
      </c>
      <c r="Y45" s="307">
        <f t="shared" si="14"/>
        <v>6</v>
      </c>
      <c r="Z45" s="307">
        <f t="shared" si="15"/>
        <v>1491</v>
      </c>
      <c r="AA45" s="686">
        <f t="shared" si="16"/>
        <v>4</v>
      </c>
      <c r="AM45" s="687">
        <f t="shared" si="17"/>
        <v>1.0307926351741556</v>
      </c>
      <c r="AN45" s="687">
        <f t="shared" si="18"/>
        <v>10.502800007577225</v>
      </c>
      <c r="AO45" s="688">
        <f t="shared" si="19"/>
        <v>2.9933522340411365</v>
      </c>
      <c r="AP45" s="688">
        <f t="shared" si="20"/>
        <v>6.4786551383619324</v>
      </c>
      <c r="AQ45" s="689">
        <f t="shared" si="21"/>
        <v>3.9876894566152621</v>
      </c>
      <c r="AR45" s="688">
        <f t="shared" si="22"/>
        <v>3.3571297670476214</v>
      </c>
      <c r="AS45" s="688">
        <f t="shared" si="23"/>
        <v>4.6982976851908687</v>
      </c>
    </row>
    <row r="46" spans="1:56">
      <c r="A46" s="134"/>
      <c r="B46" s="136"/>
      <c r="C46" s="136"/>
      <c r="D46" s="136"/>
      <c r="E46" s="136"/>
      <c r="F46" s="136"/>
      <c r="G46" s="136"/>
      <c r="H46" s="136"/>
      <c r="I46" s="136"/>
      <c r="J46" s="136"/>
      <c r="K46" s="136"/>
      <c r="L46" s="136"/>
      <c r="M46" s="136"/>
      <c r="N46" s="145" t="s">
        <v>94</v>
      </c>
      <c r="O46" s="146">
        <f t="shared" si="12"/>
        <v>10</v>
      </c>
      <c r="P46" s="358">
        <f>BirthsTrend!K58</f>
        <v>2106</v>
      </c>
      <c r="Q46" s="147">
        <f t="shared" si="13"/>
        <v>4.7483380816714149</v>
      </c>
      <c r="R46" s="135"/>
      <c r="X46" s="307" t="s">
        <v>94</v>
      </c>
      <c r="Y46" s="307">
        <f t="shared" si="14"/>
        <v>10</v>
      </c>
      <c r="Z46" s="307">
        <f t="shared" si="15"/>
        <v>2106</v>
      </c>
      <c r="AA46" s="686">
        <f t="shared" si="16"/>
        <v>4.7</v>
      </c>
      <c r="AM46" s="687">
        <f t="shared" si="17"/>
        <v>1.7649202903452601</v>
      </c>
      <c r="AN46" s="687">
        <f t="shared" si="18"/>
        <v>10.160411918164421</v>
      </c>
      <c r="AO46" s="688">
        <f t="shared" si="19"/>
        <v>2.983417791326155</v>
      </c>
      <c r="AP46" s="688">
        <f t="shared" si="20"/>
        <v>5.4120738364930059</v>
      </c>
      <c r="AQ46" s="689">
        <f t="shared" si="21"/>
        <v>3.9876894566152621</v>
      </c>
      <c r="AR46" s="688">
        <f t="shared" si="22"/>
        <v>3.3571297670476214</v>
      </c>
      <c r="AS46" s="688">
        <f t="shared" si="23"/>
        <v>4.6982976851908687</v>
      </c>
    </row>
    <row r="47" spans="1:56">
      <c r="A47" s="134"/>
      <c r="B47" s="136"/>
      <c r="C47" s="136"/>
      <c r="D47" s="136"/>
      <c r="E47" s="136"/>
      <c r="F47" s="136"/>
      <c r="G47" s="136"/>
      <c r="H47" s="136"/>
      <c r="I47" s="136"/>
      <c r="J47" s="136"/>
      <c r="K47" s="136"/>
      <c r="L47" s="136"/>
      <c r="M47" s="136"/>
      <c r="N47" s="142" t="s">
        <v>95</v>
      </c>
      <c r="O47" s="344">
        <f t="shared" si="12"/>
        <v>6</v>
      </c>
      <c r="P47" s="344">
        <f>BirthsTrend!K59</f>
        <v>843</v>
      </c>
      <c r="Q47" s="144">
        <f t="shared" si="13"/>
        <v>7.1174377224199281</v>
      </c>
      <c r="R47" s="135"/>
      <c r="X47" s="307" t="s">
        <v>95</v>
      </c>
      <c r="Y47" s="307">
        <f t="shared" si="14"/>
        <v>6</v>
      </c>
      <c r="Z47" s="307">
        <f t="shared" si="15"/>
        <v>843</v>
      </c>
      <c r="AA47" s="686">
        <f t="shared" si="16"/>
        <v>7.1</v>
      </c>
      <c r="AM47" s="687">
        <f t="shared" si="17"/>
        <v>1.8231456928169232</v>
      </c>
      <c r="AN47" s="687">
        <f t="shared" si="18"/>
        <v>18.576126703793172</v>
      </c>
      <c r="AO47" s="688">
        <f t="shared" si="19"/>
        <v>5.2942920296030049</v>
      </c>
      <c r="AP47" s="688">
        <f t="shared" si="20"/>
        <v>11.458688981373243</v>
      </c>
      <c r="AQ47" s="689">
        <f t="shared" si="21"/>
        <v>3.9876894566152621</v>
      </c>
      <c r="AR47" s="688">
        <f t="shared" si="22"/>
        <v>3.3571297670476214</v>
      </c>
      <c r="AS47" s="688">
        <f t="shared" si="23"/>
        <v>4.6982976851908687</v>
      </c>
    </row>
    <row r="48" spans="1:56">
      <c r="A48" s="134"/>
      <c r="B48" s="136"/>
      <c r="C48" s="136"/>
      <c r="D48" s="136"/>
      <c r="E48" s="136"/>
      <c r="F48" s="136"/>
      <c r="G48" s="136"/>
      <c r="H48" s="136"/>
      <c r="I48" s="136"/>
      <c r="J48" s="136"/>
      <c r="K48" s="136"/>
      <c r="L48" s="136"/>
      <c r="M48" s="136"/>
      <c r="N48" s="145" t="s">
        <v>96</v>
      </c>
      <c r="O48" s="146">
        <f t="shared" si="12"/>
        <v>11</v>
      </c>
      <c r="P48" s="358">
        <f>BirthsTrend!K60</f>
        <v>3527</v>
      </c>
      <c r="Q48" s="147">
        <f t="shared" si="13"/>
        <v>3.1187978451942162</v>
      </c>
      <c r="R48" s="135"/>
      <c r="X48" s="307" t="s">
        <v>96</v>
      </c>
      <c r="Y48" s="307">
        <f t="shared" si="14"/>
        <v>11</v>
      </c>
      <c r="Z48" s="307">
        <f t="shared" si="15"/>
        <v>3527</v>
      </c>
      <c r="AA48" s="686">
        <f t="shared" si="16"/>
        <v>3.1</v>
      </c>
      <c r="AM48" s="687">
        <f t="shared" si="17"/>
        <v>1.2252220585010494</v>
      </c>
      <c r="AN48" s="687">
        <f t="shared" si="18"/>
        <v>6.4585358571775702</v>
      </c>
      <c r="AO48" s="688">
        <f t="shared" si="19"/>
        <v>1.8935757866931668</v>
      </c>
      <c r="AP48" s="688">
        <f t="shared" si="20"/>
        <v>3.339738011983354</v>
      </c>
      <c r="AQ48" s="689">
        <f t="shared" si="21"/>
        <v>3.9876894566152621</v>
      </c>
      <c r="AR48" s="688">
        <f t="shared" si="22"/>
        <v>3.3571297670476214</v>
      </c>
      <c r="AS48" s="688">
        <f t="shared" si="23"/>
        <v>4.6982976851908687</v>
      </c>
    </row>
    <row r="49" spans="1:45">
      <c r="A49" s="134"/>
      <c r="B49" s="136"/>
      <c r="C49" s="136"/>
      <c r="D49" s="136"/>
      <c r="E49" s="136"/>
      <c r="F49" s="136"/>
      <c r="G49" s="136"/>
      <c r="H49" s="136"/>
      <c r="I49" s="136"/>
      <c r="J49" s="136"/>
      <c r="K49" s="136"/>
      <c r="L49" s="136"/>
      <c r="M49" s="136"/>
      <c r="N49" s="142" t="s">
        <v>97</v>
      </c>
      <c r="O49" s="344">
        <f t="shared" si="12"/>
        <v>9</v>
      </c>
      <c r="P49" s="344">
        <f>BirthsTrend!K61</f>
        <v>2004</v>
      </c>
      <c r="Q49" s="144">
        <f t="shared" si="13"/>
        <v>4.4910179640718564</v>
      </c>
      <c r="R49" s="135"/>
      <c r="X49" s="307" t="s">
        <v>97</v>
      </c>
      <c r="Y49" s="307">
        <f t="shared" si="14"/>
        <v>9</v>
      </c>
      <c r="Z49" s="307">
        <f t="shared" si="15"/>
        <v>2004</v>
      </c>
      <c r="AA49" s="686">
        <f t="shared" si="16"/>
        <v>4.5</v>
      </c>
      <c r="AM49" s="687">
        <f t="shared" si="17"/>
        <v>1.5630750210844502</v>
      </c>
      <c r="AN49" s="687">
        <f t="shared" si="18"/>
        <v>9.9792530720904793</v>
      </c>
      <c r="AO49" s="688">
        <f t="shared" si="19"/>
        <v>2.9279429429874062</v>
      </c>
      <c r="AP49" s="688">
        <f t="shared" si="20"/>
        <v>5.4882351080186229</v>
      </c>
      <c r="AQ49" s="689">
        <f t="shared" si="21"/>
        <v>3.9876894566152621</v>
      </c>
      <c r="AR49" s="688">
        <f t="shared" si="22"/>
        <v>3.3571297670476214</v>
      </c>
      <c r="AS49" s="688">
        <f t="shared" si="23"/>
        <v>4.6982976851908687</v>
      </c>
    </row>
    <row r="50" spans="1:45">
      <c r="A50" s="134"/>
      <c r="B50" s="136"/>
      <c r="C50" s="136"/>
      <c r="D50" s="136"/>
      <c r="E50" s="136"/>
      <c r="F50" s="136"/>
      <c r="G50" s="136"/>
      <c r="H50" s="136"/>
      <c r="I50" s="136"/>
      <c r="J50" s="136"/>
      <c r="K50" s="136"/>
      <c r="L50" s="136"/>
      <c r="M50" s="136"/>
      <c r="N50" s="145" t="s">
        <v>98</v>
      </c>
      <c r="O50" s="146">
        <f t="shared" si="12"/>
        <v>1</v>
      </c>
      <c r="P50" s="358">
        <f>BirthsTrend!K62</f>
        <v>481</v>
      </c>
      <c r="Q50" s="147">
        <f t="shared" si="13"/>
        <v>2.0790020790020791</v>
      </c>
      <c r="R50" s="135"/>
      <c r="X50" s="307" t="s">
        <v>98</v>
      </c>
      <c r="Y50" s="307">
        <f t="shared" si="14"/>
        <v>1</v>
      </c>
      <c r="Z50" s="307">
        <f t="shared" si="15"/>
        <v>481</v>
      </c>
      <c r="AA50" s="686">
        <f t="shared" si="16"/>
        <v>2.1</v>
      </c>
      <c r="AM50" s="687">
        <f t="shared" si="17"/>
        <v>1.0421084872233444E-2</v>
      </c>
      <c r="AN50" s="687">
        <f t="shared" si="18"/>
        <v>15.44725467833705</v>
      </c>
      <c r="AO50" s="688">
        <f t="shared" si="19"/>
        <v>2.0685809941298459</v>
      </c>
      <c r="AP50" s="688">
        <f t="shared" si="20"/>
        <v>13.368252599334971</v>
      </c>
      <c r="AQ50" s="689">
        <f t="shared" si="21"/>
        <v>3.9876894566152621</v>
      </c>
      <c r="AR50" s="688">
        <f t="shared" si="22"/>
        <v>3.3571297670476214</v>
      </c>
      <c r="AS50" s="688">
        <f t="shared" si="23"/>
        <v>4.6982976851908687</v>
      </c>
    </row>
    <row r="51" spans="1:45">
      <c r="A51" s="134"/>
      <c r="B51" s="136"/>
      <c r="C51" s="136"/>
      <c r="D51" s="136"/>
      <c r="E51" s="136"/>
      <c r="F51" s="136"/>
      <c r="G51" s="136"/>
      <c r="H51" s="136"/>
      <c r="I51" s="136"/>
      <c r="J51" s="136"/>
      <c r="K51" s="136"/>
      <c r="L51" s="136"/>
      <c r="M51" s="136"/>
      <c r="N51" s="142" t="s">
        <v>99</v>
      </c>
      <c r="O51" s="344">
        <f t="shared" si="12"/>
        <v>2</v>
      </c>
      <c r="P51" s="344">
        <f>BirthsTrend!K63</f>
        <v>1539</v>
      </c>
      <c r="Q51" s="144">
        <f t="shared" si="13"/>
        <v>1.2995451591942819</v>
      </c>
      <c r="R51" s="135"/>
      <c r="X51" s="307" t="s">
        <v>99</v>
      </c>
      <c r="Y51" s="307">
        <f t="shared" si="14"/>
        <v>2</v>
      </c>
      <c r="Z51" s="307">
        <f t="shared" si="15"/>
        <v>1539</v>
      </c>
      <c r="AA51" s="686">
        <f t="shared" si="16"/>
        <v>1.3</v>
      </c>
      <c r="AM51" s="687">
        <f t="shared" si="17"/>
        <v>6.7247918614744107E-2</v>
      </c>
      <c r="AN51" s="687">
        <f t="shared" si="18"/>
        <v>6.0258558084831346</v>
      </c>
      <c r="AO51" s="688">
        <f t="shared" si="19"/>
        <v>1.2322972405795378</v>
      </c>
      <c r="AP51" s="688">
        <f t="shared" si="20"/>
        <v>4.7263106492888527</v>
      </c>
      <c r="AQ51" s="689">
        <f t="shared" si="21"/>
        <v>3.9876894566152621</v>
      </c>
      <c r="AR51" s="688">
        <f t="shared" si="22"/>
        <v>3.3571297670476214</v>
      </c>
      <c r="AS51" s="688">
        <f t="shared" si="23"/>
        <v>4.6982976851908687</v>
      </c>
    </row>
    <row r="52" spans="1:45">
      <c r="A52" s="134"/>
      <c r="B52" s="136"/>
      <c r="C52" s="136"/>
      <c r="D52" s="136"/>
      <c r="E52" s="136"/>
      <c r="F52" s="136"/>
      <c r="G52" s="136"/>
      <c r="H52" s="136"/>
      <c r="I52" s="136"/>
      <c r="J52" s="136"/>
      <c r="K52" s="136"/>
      <c r="L52" s="136"/>
      <c r="M52" s="136"/>
      <c r="N52" s="145" t="s">
        <v>100</v>
      </c>
      <c r="O52" s="146">
        <f t="shared" si="12"/>
        <v>2</v>
      </c>
      <c r="P52" s="358">
        <f>BirthsTrend!K64</f>
        <v>327</v>
      </c>
      <c r="Q52" s="147">
        <f t="shared" si="13"/>
        <v>6.1162079510703364</v>
      </c>
      <c r="R52" s="135"/>
      <c r="X52" s="307" t="s">
        <v>100</v>
      </c>
      <c r="Y52" s="307">
        <f t="shared" si="14"/>
        <v>2</v>
      </c>
      <c r="Z52" s="307">
        <f t="shared" si="15"/>
        <v>327</v>
      </c>
      <c r="AA52" s="686">
        <f t="shared" si="16"/>
        <v>6.1</v>
      </c>
      <c r="AM52" s="687">
        <f t="shared" si="17"/>
        <v>0.31649708485654793</v>
      </c>
      <c r="AN52" s="687">
        <f t="shared" si="18"/>
        <v>28.36022045643897</v>
      </c>
      <c r="AO52" s="688">
        <f t="shared" si="19"/>
        <v>5.7997108662137888</v>
      </c>
      <c r="AP52" s="688">
        <f t="shared" si="20"/>
        <v>22.244012505368634</v>
      </c>
      <c r="AQ52" s="689">
        <f t="shared" si="21"/>
        <v>3.9876894566152621</v>
      </c>
      <c r="AR52" s="688">
        <f t="shared" si="22"/>
        <v>3.3571297670476214</v>
      </c>
      <c r="AS52" s="688">
        <f t="shared" si="23"/>
        <v>4.6982976851908687</v>
      </c>
    </row>
    <row r="53" spans="1:45">
      <c r="A53" s="134"/>
      <c r="B53" s="136"/>
      <c r="C53" s="136"/>
      <c r="D53" s="136"/>
      <c r="E53" s="136"/>
      <c r="F53" s="136"/>
      <c r="G53" s="136"/>
      <c r="H53" s="136"/>
      <c r="I53" s="136"/>
      <c r="J53" s="136"/>
      <c r="K53" s="136"/>
      <c r="L53" s="136"/>
      <c r="M53" s="136"/>
      <c r="N53" s="142" t="s">
        <v>101</v>
      </c>
      <c r="O53" s="344">
        <f t="shared" si="12"/>
        <v>21</v>
      </c>
      <c r="P53" s="344">
        <f>BirthsTrend!K65</f>
        <v>6399</v>
      </c>
      <c r="Q53" s="144">
        <f t="shared" si="13"/>
        <v>3.2817627754336613</v>
      </c>
      <c r="R53" s="135"/>
      <c r="X53" s="307" t="s">
        <v>101</v>
      </c>
      <c r="Y53" s="307">
        <f t="shared" si="14"/>
        <v>21</v>
      </c>
      <c r="Z53" s="307">
        <f t="shared" si="15"/>
        <v>6399</v>
      </c>
      <c r="AA53" s="686">
        <f t="shared" si="16"/>
        <v>3.3</v>
      </c>
      <c r="AM53" s="687">
        <f t="shared" si="17"/>
        <v>1.7298377327293775</v>
      </c>
      <c r="AN53" s="687">
        <f t="shared" si="18"/>
        <v>5.6174832363649907</v>
      </c>
      <c r="AO53" s="688">
        <f t="shared" si="19"/>
        <v>1.5519250427042839</v>
      </c>
      <c r="AP53" s="688">
        <f t="shared" si="20"/>
        <v>2.3357204609313293</v>
      </c>
      <c r="AQ53" s="689">
        <f t="shared" si="21"/>
        <v>3.9876894566152621</v>
      </c>
      <c r="AR53" s="688">
        <f t="shared" si="22"/>
        <v>3.3571297670476214</v>
      </c>
      <c r="AS53" s="688">
        <f t="shared" si="23"/>
        <v>4.6982976851908687</v>
      </c>
    </row>
    <row r="54" spans="1:45">
      <c r="A54" s="134"/>
      <c r="B54" s="136"/>
      <c r="C54" s="136"/>
      <c r="D54" s="136"/>
      <c r="E54" s="136"/>
      <c r="F54" s="136"/>
      <c r="G54" s="136"/>
      <c r="H54" s="136"/>
      <c r="I54" s="136"/>
      <c r="J54" s="136"/>
      <c r="K54" s="136"/>
      <c r="L54" s="136"/>
      <c r="M54" s="136"/>
      <c r="N54" s="145" t="s">
        <v>102</v>
      </c>
      <c r="O54" s="146">
        <f t="shared" si="12"/>
        <v>3</v>
      </c>
      <c r="P54" s="358">
        <f>BirthsTrend!K66</f>
        <v>641</v>
      </c>
      <c r="Q54" s="147">
        <f t="shared" si="13"/>
        <v>4.6801872074882995</v>
      </c>
      <c r="R54" s="135"/>
      <c r="X54" s="307" t="s">
        <v>102</v>
      </c>
      <c r="Y54" s="307">
        <f t="shared" si="14"/>
        <v>3</v>
      </c>
      <c r="Z54" s="307">
        <f t="shared" si="15"/>
        <v>641</v>
      </c>
      <c r="AA54" s="686">
        <f t="shared" si="16"/>
        <v>4.7</v>
      </c>
      <c r="AM54" s="687">
        <f t="shared" si="17"/>
        <v>0.52708796993406237</v>
      </c>
      <c r="AN54" s="687">
        <f t="shared" si="18"/>
        <v>17.125549914711023</v>
      </c>
      <c r="AO54" s="688">
        <f t="shared" si="19"/>
        <v>4.1530992375542368</v>
      </c>
      <c r="AP54" s="688">
        <f t="shared" si="20"/>
        <v>12.445362707222724</v>
      </c>
      <c r="AQ54" s="689">
        <f t="shared" si="21"/>
        <v>3.9876894566152621</v>
      </c>
      <c r="AR54" s="688">
        <f t="shared" si="22"/>
        <v>3.3571297670476214</v>
      </c>
      <c r="AS54" s="688">
        <f t="shared" si="23"/>
        <v>4.6982976851908687</v>
      </c>
    </row>
    <row r="55" spans="1:45">
      <c r="A55" s="134"/>
      <c r="B55" s="136"/>
      <c r="C55" s="136"/>
      <c r="D55" s="136"/>
      <c r="E55" s="136"/>
      <c r="F55" s="136"/>
      <c r="G55" s="136"/>
      <c r="H55" s="136"/>
      <c r="I55" s="136"/>
      <c r="J55" s="136"/>
      <c r="K55" s="136"/>
      <c r="L55" s="136"/>
      <c r="M55" s="136"/>
      <c r="N55" s="142" t="s">
        <v>103</v>
      </c>
      <c r="O55" s="344">
        <f t="shared" si="12"/>
        <v>9</v>
      </c>
      <c r="P55" s="344">
        <f>BirthsTrend!K67</f>
        <v>3414</v>
      </c>
      <c r="Q55" s="144">
        <f t="shared" si="13"/>
        <v>2.6362038664323375</v>
      </c>
      <c r="R55" s="135"/>
      <c r="X55" s="307" t="s">
        <v>103</v>
      </c>
      <c r="Y55" s="307">
        <f t="shared" si="14"/>
        <v>9</v>
      </c>
      <c r="Z55" s="307">
        <f t="shared" si="15"/>
        <v>3414</v>
      </c>
      <c r="AA55" s="686">
        <f t="shared" si="16"/>
        <v>2.6</v>
      </c>
      <c r="AM55" s="687">
        <f t="shared" si="17"/>
        <v>0.91751679620774396</v>
      </c>
      <c r="AN55" s="687">
        <f t="shared" si="18"/>
        <v>5.8577689386260463</v>
      </c>
      <c r="AO55" s="688">
        <f t="shared" si="19"/>
        <v>1.7186870702245935</v>
      </c>
      <c r="AP55" s="688">
        <f t="shared" si="20"/>
        <v>3.2215650721937088</v>
      </c>
      <c r="AQ55" s="689">
        <f t="shared" si="21"/>
        <v>3.9876894566152621</v>
      </c>
      <c r="AR55" s="688">
        <f t="shared" si="22"/>
        <v>3.3571297670476214</v>
      </c>
      <c r="AS55" s="688">
        <f t="shared" si="23"/>
        <v>4.6982976851908687</v>
      </c>
    </row>
    <row r="56" spans="1:45">
      <c r="A56" s="134"/>
      <c r="B56" s="136"/>
      <c r="C56" s="136"/>
      <c r="D56" s="136"/>
      <c r="E56" s="136"/>
      <c r="F56" s="136"/>
      <c r="G56" s="136"/>
      <c r="H56" s="136"/>
      <c r="I56" s="136"/>
      <c r="J56" s="136"/>
      <c r="K56" s="136"/>
      <c r="L56" s="136"/>
      <c r="M56" s="136"/>
      <c r="N56" s="348" t="s">
        <v>63</v>
      </c>
      <c r="O56" s="349">
        <f t="shared" si="12"/>
        <v>1</v>
      </c>
      <c r="P56" s="359">
        <f>BirthsTrend!K68</f>
        <v>130</v>
      </c>
      <c r="Q56" s="350" t="s">
        <v>119</v>
      </c>
      <c r="R56" s="135"/>
      <c r="X56" s="307" t="s">
        <v>63</v>
      </c>
      <c r="Y56" s="307">
        <f t="shared" si="14"/>
        <v>1</v>
      </c>
      <c r="Z56" s="307">
        <f t="shared" si="15"/>
        <v>130</v>
      </c>
      <c r="AA56" s="686" t="str">
        <f t="shared" si="16"/>
        <v>-</v>
      </c>
      <c r="AM56" s="687"/>
      <c r="AN56" s="687"/>
      <c r="AO56" s="692"/>
      <c r="AP56" s="692"/>
      <c r="AQ56" s="692"/>
      <c r="AR56" s="692"/>
      <c r="AS56" s="692"/>
    </row>
    <row r="57" spans="1:45">
      <c r="A57" s="134"/>
      <c r="B57" s="136"/>
      <c r="C57" s="136"/>
      <c r="D57" s="136"/>
      <c r="E57" s="136"/>
      <c r="F57" s="136"/>
      <c r="G57" s="136"/>
      <c r="H57" s="136"/>
      <c r="I57" s="136"/>
      <c r="J57" s="136"/>
      <c r="K57" s="136"/>
      <c r="L57" s="136"/>
      <c r="M57" s="136"/>
      <c r="N57" s="150" t="s">
        <v>16</v>
      </c>
      <c r="O57" s="151">
        <f>SUM(O36:O56)</f>
        <v>241</v>
      </c>
      <c r="P57" s="151">
        <f>SUM(P36:P56)</f>
        <v>60436</v>
      </c>
      <c r="Q57" s="152">
        <f>O57/P57*1000</f>
        <v>3.9876894566152621</v>
      </c>
      <c r="R57" s="135"/>
      <c r="AM57" s="693">
        <f>IF(O57=0,0,IF(O57&lt;389,CHIINV(0.5+$AN$5/200,2*O57)/2,O57*(1-1/(9*O57)-NORMSINV(0.5+$AN$5/200)/3/SQRT(O57))^3))/P57*1000</f>
        <v>3.3571297670476214</v>
      </c>
      <c r="AN57" s="693">
        <f>IF(O57&lt;389,CHIINV(0.5-$AN$5/200,2*O57+2)/2,(O57+1)*(1-1/(9*(O57+1))+NORMSINV(0.5+$AN$5/200)/3/SQRT(O57+1))^3)/P57*1000</f>
        <v>4.6982976851908687</v>
      </c>
      <c r="AO57" s="694">
        <f>Q57-AM57</f>
        <v>0.63055968956764064</v>
      </c>
      <c r="AP57" s="694">
        <f>AN57-Q57</f>
        <v>0.71060822857560657</v>
      </c>
      <c r="AQ57" s="692"/>
      <c r="AR57" s="692"/>
      <c r="AS57" s="692"/>
    </row>
    <row r="58" spans="1:45">
      <c r="A58" s="134"/>
      <c r="B58" s="136"/>
      <c r="C58" s="136"/>
      <c r="D58" s="136"/>
      <c r="E58" s="136"/>
      <c r="F58" s="136"/>
      <c r="G58" s="136"/>
      <c r="H58" s="136"/>
      <c r="I58" s="136"/>
      <c r="J58" s="136"/>
      <c r="K58" s="136"/>
      <c r="L58" s="136"/>
      <c r="M58" s="136"/>
      <c r="N58" s="143"/>
      <c r="O58" s="143"/>
      <c r="P58" s="143"/>
      <c r="Q58" s="143"/>
      <c r="R58" s="135"/>
      <c r="AM58" s="692"/>
      <c r="AN58" s="692"/>
      <c r="AO58" s="692"/>
      <c r="AP58" s="692"/>
      <c r="AQ58" s="692"/>
      <c r="AR58" s="692"/>
      <c r="AS58" s="692"/>
    </row>
    <row r="59" spans="1:45">
      <c r="A59" s="153"/>
      <c r="B59" s="154"/>
      <c r="C59" s="154"/>
      <c r="D59" s="154"/>
      <c r="E59" s="154"/>
      <c r="F59" s="154"/>
      <c r="G59" s="154"/>
      <c r="H59" s="154"/>
      <c r="I59" s="154"/>
      <c r="J59" s="154"/>
      <c r="K59" s="154"/>
      <c r="L59" s="154"/>
      <c r="M59" s="154"/>
      <c r="N59" s="156"/>
      <c r="O59" s="156"/>
      <c r="P59" s="156"/>
      <c r="Q59" s="156"/>
      <c r="R59" s="155"/>
      <c r="AM59" s="692"/>
      <c r="AN59" s="692"/>
      <c r="AO59" s="692"/>
      <c r="AP59" s="692"/>
      <c r="AQ59" s="692"/>
      <c r="AR59" s="692"/>
      <c r="AS59" s="692"/>
    </row>
    <row r="60" spans="1:45">
      <c r="N60" s="126"/>
      <c r="O60" s="126"/>
      <c r="P60" s="126"/>
      <c r="Q60" s="126"/>
      <c r="AM60" s="692"/>
      <c r="AN60" s="692"/>
      <c r="AO60" s="692"/>
      <c r="AP60" s="692"/>
      <c r="AQ60" s="692"/>
      <c r="AR60" s="692"/>
      <c r="AS60" s="692"/>
    </row>
    <row r="61" spans="1:45">
      <c r="A61" s="130"/>
      <c r="B61" s="131"/>
      <c r="C61" s="131"/>
      <c r="D61" s="131"/>
      <c r="E61" s="131"/>
      <c r="F61" s="131"/>
      <c r="G61" s="131"/>
      <c r="H61" s="131"/>
      <c r="I61" s="131"/>
      <c r="J61" s="131"/>
      <c r="K61" s="131"/>
      <c r="L61" s="131"/>
      <c r="M61" s="131"/>
      <c r="N61" s="132"/>
      <c r="O61" s="132"/>
      <c r="P61" s="132"/>
      <c r="Q61" s="132"/>
      <c r="R61" s="133"/>
      <c r="AM61" s="692"/>
      <c r="AN61" s="692"/>
      <c r="AO61" s="692"/>
      <c r="AP61" s="692"/>
      <c r="AQ61" s="692"/>
      <c r="AR61" s="692"/>
      <c r="AS61" s="692"/>
    </row>
    <row r="62" spans="1:45" ht="21.75" customHeight="1">
      <c r="A62" s="134"/>
      <c r="B62" s="964" t="str">
        <f>Contents!E36</f>
        <v xml:space="preserve">Figure 11: Rate of sudden infant death syndrome (SIDS) in those aged &lt;1 year, by DHB of domicile, 2012−2016
</v>
      </c>
      <c r="C62" s="964"/>
      <c r="D62" s="964"/>
      <c r="E62" s="964"/>
      <c r="F62" s="964"/>
      <c r="G62" s="964"/>
      <c r="H62" s="964"/>
      <c r="I62" s="964"/>
      <c r="J62" s="964"/>
      <c r="K62" s="964"/>
      <c r="L62" s="964"/>
      <c r="M62" s="964"/>
      <c r="N62" s="964"/>
      <c r="O62" s="964"/>
      <c r="P62" s="964"/>
      <c r="Q62" s="964"/>
      <c r="R62" s="135"/>
      <c r="AM62" s="692"/>
      <c r="AN62" s="692"/>
      <c r="AO62" s="692"/>
      <c r="AP62" s="692"/>
      <c r="AQ62" s="692"/>
      <c r="AR62" s="692"/>
      <c r="AS62" s="692"/>
    </row>
    <row r="63" spans="1:45">
      <c r="A63" s="134"/>
      <c r="B63" s="136"/>
      <c r="C63" s="136"/>
      <c r="D63" s="136"/>
      <c r="E63" s="136"/>
      <c r="F63" s="136"/>
      <c r="G63" s="136"/>
      <c r="H63" s="136"/>
      <c r="I63" s="136"/>
      <c r="J63" s="136"/>
      <c r="K63" s="136"/>
      <c r="L63" s="136"/>
      <c r="M63" s="136"/>
      <c r="N63" s="137" t="s">
        <v>139</v>
      </c>
      <c r="O63" s="138" t="s">
        <v>32</v>
      </c>
      <c r="P63" s="138" t="s">
        <v>46</v>
      </c>
      <c r="Q63" s="138" t="s">
        <v>45</v>
      </c>
      <c r="R63" s="135"/>
      <c r="AM63" s="685" t="s">
        <v>295</v>
      </c>
      <c r="AN63" s="685" t="s">
        <v>296</v>
      </c>
      <c r="AO63" s="685" t="s">
        <v>289</v>
      </c>
      <c r="AP63" s="685" t="s">
        <v>290</v>
      </c>
      <c r="AQ63" s="685" t="s">
        <v>276</v>
      </c>
      <c r="AR63" s="685" t="s">
        <v>297</v>
      </c>
      <c r="AS63" s="685" t="s">
        <v>298</v>
      </c>
    </row>
    <row r="64" spans="1:45">
      <c r="A64" s="134"/>
      <c r="B64" s="136"/>
      <c r="C64" s="136"/>
      <c r="D64" s="136"/>
      <c r="E64" s="136"/>
      <c r="F64" s="136"/>
      <c r="G64" s="136"/>
      <c r="H64" s="136"/>
      <c r="I64" s="136"/>
      <c r="J64" s="136"/>
      <c r="K64" s="136"/>
      <c r="L64" s="136"/>
      <c r="M64" s="136"/>
      <c r="N64" s="139" t="s">
        <v>85</v>
      </c>
      <c r="O64" s="140">
        <f>SidsSudiEth!F107</f>
        <v>4</v>
      </c>
      <c r="P64" s="140">
        <f>SidsSudiTrend!M50</f>
        <v>11317</v>
      </c>
      <c r="Q64" s="141">
        <f>O64/P64*1000</f>
        <v>0.35345056110276574</v>
      </c>
      <c r="R64" s="135"/>
      <c r="AM64" s="687">
        <f t="shared" ref="AM64:AM83" si="24">IF(O64=0,0,IF(O64&lt;389,CHIINV(0.5+$AN$5/200,2*O64)/2,O64*(1-1/(9*O64)-NORMSINV(0.5+$AN$5/200)/3/SQRT(O64))^3))/P64*1000</f>
        <v>5.9397944994910981E-2</v>
      </c>
      <c r="AN64" s="687">
        <f t="shared" ref="AN64:AN83" si="25">IF(O64&lt;389,CHIINV(0.5-$AN$5/200,2*O64+2)/2,(O64+1)*(1-1/(9*(O64+1))+NORMSINV(0.5+$AN$5/200)/3/SQRT(O64+1))^3)/P64*1000</f>
        <v>1.1128470253588039</v>
      </c>
      <c r="AO64" s="688">
        <f t="shared" ref="AO64:AO83" si="26">Q64-AM64</f>
        <v>0.29405261610785477</v>
      </c>
      <c r="AP64" s="688">
        <f t="shared" ref="AP64:AP83" si="27">AN64-Q64</f>
        <v>0.75939646425603813</v>
      </c>
      <c r="AQ64" s="689">
        <f t="shared" ref="AQ64:AQ83" si="28">Q$85</f>
        <v>0.33379712405685785</v>
      </c>
      <c r="AR64" s="688">
        <f t="shared" ref="AR64:AR83" si="29">AM$85</f>
        <v>0.2544526665953441</v>
      </c>
      <c r="AS64" s="688">
        <f t="shared" ref="AS64:AS83" si="30">AN$85</f>
        <v>0.42927119044530149</v>
      </c>
    </row>
    <row r="65" spans="1:45">
      <c r="A65" s="134"/>
      <c r="B65" s="136"/>
      <c r="C65" s="136"/>
      <c r="D65" s="136"/>
      <c r="E65" s="136"/>
      <c r="F65" s="136"/>
      <c r="G65" s="136"/>
      <c r="H65" s="136"/>
      <c r="I65" s="136"/>
      <c r="J65" s="136"/>
      <c r="K65" s="136"/>
      <c r="L65" s="136"/>
      <c r="M65" s="136"/>
      <c r="N65" s="142" t="s">
        <v>86</v>
      </c>
      <c r="O65" s="566">
        <f>SidsSudiEth!F108</f>
        <v>2</v>
      </c>
      <c r="P65" s="143">
        <f>SidsSudiTrend!M51</f>
        <v>39511</v>
      </c>
      <c r="Q65" s="144">
        <f t="shared" ref="Q65:Q83" si="31">O65/P65*1000</f>
        <v>5.0618815013540534E-2</v>
      </c>
      <c r="R65" s="135"/>
      <c r="AM65" s="687">
        <f t="shared" si="24"/>
        <v>2.6193856583759251E-3</v>
      </c>
      <c r="AN65" s="687">
        <f t="shared" si="25"/>
        <v>0.23471418312003098</v>
      </c>
      <c r="AO65" s="688">
        <f t="shared" si="26"/>
        <v>4.7999429355164609E-2</v>
      </c>
      <c r="AP65" s="688">
        <f t="shared" si="27"/>
        <v>0.18409536810649044</v>
      </c>
      <c r="AQ65" s="689">
        <f t="shared" si="28"/>
        <v>0.33379712405685785</v>
      </c>
      <c r="AR65" s="688">
        <f t="shared" si="29"/>
        <v>0.2544526665953441</v>
      </c>
      <c r="AS65" s="688">
        <f t="shared" si="30"/>
        <v>0.42927119044530149</v>
      </c>
    </row>
    <row r="66" spans="1:45">
      <c r="A66" s="134"/>
      <c r="B66" s="136"/>
      <c r="C66" s="136"/>
      <c r="D66" s="136"/>
      <c r="E66" s="136"/>
      <c r="F66" s="136"/>
      <c r="G66" s="136"/>
      <c r="H66" s="136"/>
      <c r="I66" s="136"/>
      <c r="J66" s="136"/>
      <c r="K66" s="136"/>
      <c r="L66" s="136"/>
      <c r="M66" s="136"/>
      <c r="N66" s="145" t="s">
        <v>87</v>
      </c>
      <c r="O66" s="567">
        <f>SidsSudiEth!F109</f>
        <v>4</v>
      </c>
      <c r="P66" s="146">
        <f>SidsSudiTrend!M52</f>
        <v>31014</v>
      </c>
      <c r="Q66" s="568">
        <f t="shared" si="31"/>
        <v>0.12897401173663506</v>
      </c>
      <c r="R66" s="135"/>
      <c r="AM66" s="687">
        <f t="shared" si="24"/>
        <v>2.167429365794182E-2</v>
      </c>
      <c r="AN66" s="687">
        <f t="shared" si="25"/>
        <v>0.40607757096748515</v>
      </c>
      <c r="AO66" s="688">
        <f t="shared" si="26"/>
        <v>0.10729971807869323</v>
      </c>
      <c r="AP66" s="688">
        <f t="shared" si="27"/>
        <v>0.27710355923085006</v>
      </c>
      <c r="AQ66" s="689">
        <f t="shared" si="28"/>
        <v>0.33379712405685785</v>
      </c>
      <c r="AR66" s="688">
        <f t="shared" si="29"/>
        <v>0.2544526665953441</v>
      </c>
      <c r="AS66" s="688">
        <f t="shared" si="30"/>
        <v>0.42927119044530149</v>
      </c>
    </row>
    <row r="67" spans="1:45">
      <c r="A67" s="134"/>
      <c r="B67" s="136"/>
      <c r="C67" s="136"/>
      <c r="D67" s="136"/>
      <c r="E67" s="136"/>
      <c r="F67" s="136"/>
      <c r="G67" s="136"/>
      <c r="H67" s="136"/>
      <c r="I67" s="136"/>
      <c r="J67" s="136"/>
      <c r="K67" s="136"/>
      <c r="L67" s="136"/>
      <c r="M67" s="136"/>
      <c r="N67" s="142" t="s">
        <v>88</v>
      </c>
      <c r="O67" s="566">
        <f>SidsSudiEth!F110</f>
        <v>14</v>
      </c>
      <c r="P67" s="143">
        <f>SidsSudiTrend!M53</f>
        <v>42107</v>
      </c>
      <c r="Q67" s="144">
        <f t="shared" si="31"/>
        <v>0.33248628494074617</v>
      </c>
      <c r="R67" s="135"/>
      <c r="AM67" s="687">
        <f t="shared" si="24"/>
        <v>0.14797226052678367</v>
      </c>
      <c r="AN67" s="687">
        <f t="shared" si="25"/>
        <v>0.63732825813095906</v>
      </c>
      <c r="AO67" s="688">
        <f t="shared" si="26"/>
        <v>0.1845140244139625</v>
      </c>
      <c r="AP67" s="688">
        <f t="shared" si="27"/>
        <v>0.30484197319021289</v>
      </c>
      <c r="AQ67" s="689">
        <f t="shared" si="28"/>
        <v>0.33379712405685785</v>
      </c>
      <c r="AR67" s="688">
        <f t="shared" si="29"/>
        <v>0.2544526665953441</v>
      </c>
      <c r="AS67" s="688">
        <f t="shared" si="30"/>
        <v>0.42927119044530149</v>
      </c>
    </row>
    <row r="68" spans="1:45">
      <c r="A68" s="134"/>
      <c r="B68" s="136"/>
      <c r="C68" s="136"/>
      <c r="D68" s="136"/>
      <c r="E68" s="136"/>
      <c r="F68" s="136"/>
      <c r="G68" s="136"/>
      <c r="H68" s="136"/>
      <c r="I68" s="136"/>
      <c r="J68" s="136"/>
      <c r="K68" s="136"/>
      <c r="L68" s="136"/>
      <c r="M68" s="136"/>
      <c r="N68" s="145" t="s">
        <v>89</v>
      </c>
      <c r="O68" s="567">
        <f>SidsSudiEth!F111</f>
        <v>12</v>
      </c>
      <c r="P68" s="146">
        <f>SidsSudiTrend!M54</f>
        <v>27204</v>
      </c>
      <c r="Q68" s="568">
        <f t="shared" si="31"/>
        <v>0.44111160123511245</v>
      </c>
      <c r="R68" s="135"/>
      <c r="AM68" s="687">
        <f t="shared" si="24"/>
        <v>0.18170551209824778</v>
      </c>
      <c r="AN68" s="687">
        <f t="shared" si="25"/>
        <v>0.88755113829688348</v>
      </c>
      <c r="AO68" s="688">
        <f t="shared" si="26"/>
        <v>0.25940608913686469</v>
      </c>
      <c r="AP68" s="688">
        <f t="shared" si="27"/>
        <v>0.44643953706177103</v>
      </c>
      <c r="AQ68" s="689">
        <f t="shared" si="28"/>
        <v>0.33379712405685785</v>
      </c>
      <c r="AR68" s="688">
        <f t="shared" si="29"/>
        <v>0.2544526665953441</v>
      </c>
      <c r="AS68" s="688">
        <f t="shared" si="30"/>
        <v>0.42927119044530149</v>
      </c>
    </row>
    <row r="69" spans="1:45">
      <c r="A69" s="134"/>
      <c r="B69" s="136"/>
      <c r="C69" s="136"/>
      <c r="D69" s="136"/>
      <c r="E69" s="136"/>
      <c r="F69" s="136"/>
      <c r="G69" s="136"/>
      <c r="H69" s="136"/>
      <c r="I69" s="136"/>
      <c r="J69" s="136"/>
      <c r="K69" s="136"/>
      <c r="L69" s="136"/>
      <c r="M69" s="136"/>
      <c r="N69" s="142" t="s">
        <v>90</v>
      </c>
      <c r="O69" s="566">
        <f>SidsSudiEth!F112</f>
        <v>4</v>
      </c>
      <c r="P69" s="143">
        <f>SidsSudiTrend!M55</f>
        <v>7521</v>
      </c>
      <c r="Q69" s="144">
        <f t="shared" si="31"/>
        <v>0.53184416965829007</v>
      </c>
      <c r="R69" s="135"/>
      <c r="AM69" s="687">
        <f t="shared" si="24"/>
        <v>8.9377282742641617E-2</v>
      </c>
      <c r="AN69" s="687">
        <f t="shared" si="25"/>
        <v>1.6745233062073639</v>
      </c>
      <c r="AO69" s="688">
        <f t="shared" si="26"/>
        <v>0.44246688691564845</v>
      </c>
      <c r="AP69" s="688">
        <f t="shared" si="27"/>
        <v>1.1426791365490738</v>
      </c>
      <c r="AQ69" s="689">
        <f t="shared" si="28"/>
        <v>0.33379712405685785</v>
      </c>
      <c r="AR69" s="688">
        <f t="shared" si="29"/>
        <v>0.2544526665953441</v>
      </c>
      <c r="AS69" s="688">
        <f t="shared" si="30"/>
        <v>0.42927119044530149</v>
      </c>
    </row>
    <row r="70" spans="1:45">
      <c r="A70" s="134"/>
      <c r="B70" s="136"/>
      <c r="C70" s="136"/>
      <c r="D70" s="136"/>
      <c r="E70" s="136"/>
      <c r="F70" s="136"/>
      <c r="G70" s="136"/>
      <c r="H70" s="136"/>
      <c r="I70" s="136"/>
      <c r="J70" s="136"/>
      <c r="K70" s="136"/>
      <c r="L70" s="136"/>
      <c r="M70" s="136"/>
      <c r="N70" s="145" t="s">
        <v>91</v>
      </c>
      <c r="O70" s="567">
        <f>SidsSudiEth!F113</f>
        <v>1</v>
      </c>
      <c r="P70" s="146">
        <f>SidsSudiTrend!M56</f>
        <v>14358</v>
      </c>
      <c r="Q70" s="568">
        <f t="shared" si="31"/>
        <v>6.9647583228861956E-2</v>
      </c>
      <c r="R70" s="135"/>
      <c r="AM70" s="687">
        <f t="shared" si="24"/>
        <v>3.4911142384345218E-4</v>
      </c>
      <c r="AN70" s="687">
        <f t="shared" si="25"/>
        <v>0.51749056277198224</v>
      </c>
      <c r="AO70" s="688">
        <f t="shared" si="26"/>
        <v>6.9298471805018511E-2</v>
      </c>
      <c r="AP70" s="688">
        <f t="shared" si="27"/>
        <v>0.4478429795431203</v>
      </c>
      <c r="AQ70" s="689">
        <f t="shared" si="28"/>
        <v>0.33379712405685785</v>
      </c>
      <c r="AR70" s="688">
        <f t="shared" si="29"/>
        <v>0.2544526665953441</v>
      </c>
      <c r="AS70" s="688">
        <f t="shared" si="30"/>
        <v>0.42927119044530149</v>
      </c>
    </row>
    <row r="71" spans="1:45">
      <c r="A71" s="134"/>
      <c r="B71" s="136"/>
      <c r="C71" s="136"/>
      <c r="D71" s="136"/>
      <c r="E71" s="136"/>
      <c r="F71" s="136"/>
      <c r="G71" s="136"/>
      <c r="H71" s="136"/>
      <c r="I71" s="136"/>
      <c r="J71" s="136"/>
      <c r="K71" s="136"/>
      <c r="L71" s="136"/>
      <c r="M71" s="136"/>
      <c r="N71" s="142" t="s">
        <v>366</v>
      </c>
      <c r="O71" s="566">
        <f>SidsSudiEth!F114</f>
        <v>2</v>
      </c>
      <c r="P71" s="143">
        <f>SidsSudiTrend!M57</f>
        <v>3616</v>
      </c>
      <c r="Q71" s="144">
        <f t="shared" si="31"/>
        <v>0.55309734513274333</v>
      </c>
      <c r="R71" s="135"/>
      <c r="AM71" s="687">
        <f t="shared" si="24"/>
        <v>2.8621279521042913E-2</v>
      </c>
      <c r="AN71" s="687">
        <f t="shared" si="25"/>
        <v>2.5646548919401395</v>
      </c>
      <c r="AO71" s="688">
        <f t="shared" si="26"/>
        <v>0.52447606561170046</v>
      </c>
      <c r="AP71" s="688">
        <f t="shared" si="27"/>
        <v>2.0115575468073961</v>
      </c>
      <c r="AQ71" s="689">
        <f t="shared" si="28"/>
        <v>0.33379712405685785</v>
      </c>
      <c r="AR71" s="688">
        <f t="shared" si="29"/>
        <v>0.2544526665953441</v>
      </c>
      <c r="AS71" s="688">
        <f t="shared" si="30"/>
        <v>0.42927119044530149</v>
      </c>
    </row>
    <row r="72" spans="1:45">
      <c r="A72" s="134"/>
      <c r="B72" s="136"/>
      <c r="C72" s="136"/>
      <c r="D72" s="136"/>
      <c r="E72" s="136"/>
      <c r="F72" s="136"/>
      <c r="G72" s="136"/>
      <c r="H72" s="136"/>
      <c r="I72" s="136"/>
      <c r="J72" s="136"/>
      <c r="K72" s="136"/>
      <c r="L72" s="136"/>
      <c r="M72" s="136"/>
      <c r="N72" s="145" t="s">
        <v>92</v>
      </c>
      <c r="O72" s="567">
        <f>SidsSudiEth!F115</f>
        <v>5</v>
      </c>
      <c r="P72" s="146">
        <f>SidsSudiTrend!M58</f>
        <v>10891</v>
      </c>
      <c r="Q72" s="568">
        <f t="shared" si="31"/>
        <v>0.45909466531998899</v>
      </c>
      <c r="R72" s="135"/>
      <c r="AM72" s="687">
        <f t="shared" si="24"/>
        <v>9.8974220976248528E-2</v>
      </c>
      <c r="AN72" s="687">
        <f t="shared" si="25"/>
        <v>1.2992158122323951</v>
      </c>
      <c r="AO72" s="688">
        <f t="shared" si="26"/>
        <v>0.36012044434374046</v>
      </c>
      <c r="AP72" s="688">
        <f t="shared" si="27"/>
        <v>0.84012114691240614</v>
      </c>
      <c r="AQ72" s="689">
        <f t="shared" si="28"/>
        <v>0.33379712405685785</v>
      </c>
      <c r="AR72" s="688">
        <f t="shared" si="29"/>
        <v>0.2544526665953441</v>
      </c>
      <c r="AS72" s="688">
        <f t="shared" si="30"/>
        <v>0.42927119044530149</v>
      </c>
    </row>
    <row r="73" spans="1:45">
      <c r="A73" s="134"/>
      <c r="B73" s="136"/>
      <c r="C73" s="136"/>
      <c r="D73" s="136"/>
      <c r="E73" s="136"/>
      <c r="F73" s="136"/>
      <c r="G73" s="136"/>
      <c r="H73" s="136"/>
      <c r="I73" s="136"/>
      <c r="J73" s="136"/>
      <c r="K73" s="136"/>
      <c r="L73" s="136"/>
      <c r="M73" s="136"/>
      <c r="N73" s="142" t="s">
        <v>93</v>
      </c>
      <c r="O73" s="566">
        <f>SidsSudiEth!F116</f>
        <v>5</v>
      </c>
      <c r="P73" s="143">
        <f>SidsSudiTrend!M59</f>
        <v>7738</v>
      </c>
      <c r="Q73" s="144">
        <f t="shared" si="31"/>
        <v>0.64616179891444814</v>
      </c>
      <c r="R73" s="135"/>
      <c r="AM73" s="687">
        <f t="shared" si="24"/>
        <v>0.13930321021611822</v>
      </c>
      <c r="AN73" s="687">
        <f t="shared" si="25"/>
        <v>1.8286067990466548</v>
      </c>
      <c r="AO73" s="688">
        <f t="shared" si="26"/>
        <v>0.50685858869832989</v>
      </c>
      <c r="AP73" s="688">
        <f t="shared" si="27"/>
        <v>1.1824450001322067</v>
      </c>
      <c r="AQ73" s="689">
        <f t="shared" si="28"/>
        <v>0.33379712405685785</v>
      </c>
      <c r="AR73" s="688">
        <f t="shared" si="29"/>
        <v>0.2544526665953441</v>
      </c>
      <c r="AS73" s="688">
        <f t="shared" si="30"/>
        <v>0.42927119044530149</v>
      </c>
    </row>
    <row r="74" spans="1:45">
      <c r="A74" s="134"/>
      <c r="B74" s="136"/>
      <c r="C74" s="136"/>
      <c r="D74" s="136"/>
      <c r="E74" s="136"/>
      <c r="F74" s="136"/>
      <c r="G74" s="136"/>
      <c r="H74" s="136"/>
      <c r="I74" s="136"/>
      <c r="J74" s="136"/>
      <c r="K74" s="136"/>
      <c r="L74" s="136"/>
      <c r="M74" s="136"/>
      <c r="N74" s="145" t="s">
        <v>94</v>
      </c>
      <c r="O74" s="567">
        <f>SidsSudiEth!F117</f>
        <v>6</v>
      </c>
      <c r="P74" s="146">
        <f>SidsSudiTrend!M60</f>
        <v>10743</v>
      </c>
      <c r="Q74" s="568">
        <f t="shared" si="31"/>
        <v>0.55850321139346548</v>
      </c>
      <c r="R74" s="135"/>
      <c r="AM74" s="687">
        <f t="shared" si="24"/>
        <v>0.14306169776083646</v>
      </c>
      <c r="AN74" s="687">
        <f t="shared" si="25"/>
        <v>1.4576631119145158</v>
      </c>
      <c r="AO74" s="688">
        <f t="shared" si="26"/>
        <v>0.41544151363262904</v>
      </c>
      <c r="AP74" s="688">
        <f t="shared" si="27"/>
        <v>0.89915990052105033</v>
      </c>
      <c r="AQ74" s="689">
        <f t="shared" si="28"/>
        <v>0.33379712405685785</v>
      </c>
      <c r="AR74" s="688">
        <f t="shared" si="29"/>
        <v>0.2544526665953441</v>
      </c>
      <c r="AS74" s="688">
        <f t="shared" si="30"/>
        <v>0.42927119044530149</v>
      </c>
    </row>
    <row r="75" spans="1:45">
      <c r="A75" s="134"/>
      <c r="B75" s="136"/>
      <c r="C75" s="136"/>
      <c r="D75" s="136"/>
      <c r="E75" s="136"/>
      <c r="F75" s="136"/>
      <c r="G75" s="136"/>
      <c r="H75" s="136"/>
      <c r="I75" s="136"/>
      <c r="J75" s="136"/>
      <c r="K75" s="136"/>
      <c r="L75" s="136"/>
      <c r="M75" s="136"/>
      <c r="N75" s="142" t="s">
        <v>95</v>
      </c>
      <c r="O75" s="566">
        <f>SidsSudiEth!F118</f>
        <v>4</v>
      </c>
      <c r="P75" s="143">
        <f>SidsSudiTrend!M61</f>
        <v>4229</v>
      </c>
      <c r="Q75" s="144">
        <f t="shared" si="31"/>
        <v>0.9458500827618822</v>
      </c>
      <c r="R75" s="135"/>
      <c r="AM75" s="687">
        <f t="shared" si="24"/>
        <v>0.15895165370239006</v>
      </c>
      <c r="AN75" s="687">
        <f t="shared" si="25"/>
        <v>2.97803021659626</v>
      </c>
      <c r="AO75" s="688">
        <f t="shared" si="26"/>
        <v>0.78689842905949214</v>
      </c>
      <c r="AP75" s="688">
        <f t="shared" si="27"/>
        <v>2.0321801338343777</v>
      </c>
      <c r="AQ75" s="689">
        <f t="shared" si="28"/>
        <v>0.33379712405685785</v>
      </c>
      <c r="AR75" s="688">
        <f t="shared" si="29"/>
        <v>0.2544526665953441</v>
      </c>
      <c r="AS75" s="688">
        <f t="shared" si="30"/>
        <v>0.42927119044530149</v>
      </c>
    </row>
    <row r="76" spans="1:45">
      <c r="A76" s="134"/>
      <c r="B76" s="136"/>
      <c r="C76" s="136"/>
      <c r="D76" s="136"/>
      <c r="E76" s="136"/>
      <c r="F76" s="136"/>
      <c r="G76" s="136"/>
      <c r="H76" s="136"/>
      <c r="I76" s="136"/>
      <c r="J76" s="136"/>
      <c r="K76" s="136"/>
      <c r="L76" s="136"/>
      <c r="M76" s="136"/>
      <c r="N76" s="145" t="s">
        <v>96</v>
      </c>
      <c r="O76" s="567">
        <f>SidsSudiEth!F119</f>
        <v>6</v>
      </c>
      <c r="P76" s="146">
        <f>SidsSudiTrend!M62</f>
        <v>18172</v>
      </c>
      <c r="Q76" s="568">
        <f t="shared" si="31"/>
        <v>0.33017829627999118</v>
      </c>
      <c r="R76" s="135"/>
      <c r="AM76" s="687">
        <f t="shared" si="24"/>
        <v>8.4575820990791681E-2</v>
      </c>
      <c r="AN76" s="687">
        <f t="shared" si="25"/>
        <v>0.86174745824882482</v>
      </c>
      <c r="AO76" s="688">
        <f t="shared" si="26"/>
        <v>0.24560247528919948</v>
      </c>
      <c r="AP76" s="688">
        <f t="shared" si="27"/>
        <v>0.53156916196883364</v>
      </c>
      <c r="AQ76" s="689">
        <f t="shared" si="28"/>
        <v>0.33379712405685785</v>
      </c>
      <c r="AR76" s="688">
        <f t="shared" si="29"/>
        <v>0.2544526665953441</v>
      </c>
      <c r="AS76" s="688">
        <f t="shared" si="30"/>
        <v>0.42927119044530149</v>
      </c>
    </row>
    <row r="77" spans="1:45">
      <c r="A77" s="134"/>
      <c r="B77" s="136"/>
      <c r="C77" s="136"/>
      <c r="D77" s="136"/>
      <c r="E77" s="136"/>
      <c r="F77" s="136"/>
      <c r="G77" s="136"/>
      <c r="H77" s="136"/>
      <c r="I77" s="136"/>
      <c r="J77" s="136"/>
      <c r="K77" s="136"/>
      <c r="L77" s="136"/>
      <c r="M77" s="136"/>
      <c r="N77" s="142" t="s">
        <v>97</v>
      </c>
      <c r="O77" s="566">
        <f>SidsSudiEth!F120</f>
        <v>5</v>
      </c>
      <c r="P77" s="143">
        <f>SidsSudiTrend!M63</f>
        <v>9853</v>
      </c>
      <c r="Q77" s="144">
        <f t="shared" si="31"/>
        <v>0.50745965695727191</v>
      </c>
      <c r="R77" s="135"/>
      <c r="AM77" s="687">
        <f t="shared" si="24"/>
        <v>0.10940101904519665</v>
      </c>
      <c r="AN77" s="687">
        <f t="shared" si="25"/>
        <v>1.4360864113491336</v>
      </c>
      <c r="AO77" s="688">
        <f t="shared" si="26"/>
        <v>0.39805863791207524</v>
      </c>
      <c r="AP77" s="688">
        <f t="shared" si="27"/>
        <v>0.92862675439186171</v>
      </c>
      <c r="AQ77" s="689">
        <f t="shared" si="28"/>
        <v>0.33379712405685785</v>
      </c>
      <c r="AR77" s="688">
        <f t="shared" si="29"/>
        <v>0.2544526665953441</v>
      </c>
      <c r="AS77" s="688">
        <f t="shared" si="30"/>
        <v>0.42927119044530149</v>
      </c>
    </row>
    <row r="78" spans="1:45">
      <c r="A78" s="134"/>
      <c r="B78" s="136"/>
      <c r="C78" s="136"/>
      <c r="D78" s="136"/>
      <c r="E78" s="136"/>
      <c r="F78" s="136"/>
      <c r="G78" s="136"/>
      <c r="H78" s="136"/>
      <c r="I78" s="136"/>
      <c r="J78" s="136"/>
      <c r="K78" s="136"/>
      <c r="L78" s="136"/>
      <c r="M78" s="136"/>
      <c r="N78" s="145" t="s">
        <v>98</v>
      </c>
      <c r="O78" s="567">
        <f>SidsSudiEth!F121</f>
        <v>1</v>
      </c>
      <c r="P78" s="146">
        <f>SidsSudiTrend!M64</f>
        <v>2478</v>
      </c>
      <c r="Q78" s="568">
        <f t="shared" si="31"/>
        <v>0.40355125100887812</v>
      </c>
      <c r="R78" s="135"/>
      <c r="AM78" s="687">
        <f t="shared" si="24"/>
        <v>2.02281752362562E-3</v>
      </c>
      <c r="AN78" s="687">
        <f t="shared" si="25"/>
        <v>2.9984380549960132</v>
      </c>
      <c r="AO78" s="688">
        <f t="shared" si="26"/>
        <v>0.40152843348525252</v>
      </c>
      <c r="AP78" s="688">
        <f t="shared" si="27"/>
        <v>2.5948868039871353</v>
      </c>
      <c r="AQ78" s="689">
        <f t="shared" si="28"/>
        <v>0.33379712405685785</v>
      </c>
      <c r="AR78" s="688">
        <f t="shared" si="29"/>
        <v>0.2544526665953441</v>
      </c>
      <c r="AS78" s="688">
        <f t="shared" si="30"/>
        <v>0.42927119044530149</v>
      </c>
    </row>
    <row r="79" spans="1:45">
      <c r="A79" s="134"/>
      <c r="B79" s="136"/>
      <c r="C79" s="136"/>
      <c r="D79" s="136"/>
      <c r="E79" s="136"/>
      <c r="F79" s="136"/>
      <c r="G79" s="136"/>
      <c r="H79" s="136"/>
      <c r="I79" s="136"/>
      <c r="J79" s="136"/>
      <c r="K79" s="136"/>
      <c r="L79" s="136"/>
      <c r="M79" s="136"/>
      <c r="N79" s="142" t="s">
        <v>99</v>
      </c>
      <c r="O79" s="566">
        <f>SidsSudiEth!F122</f>
        <v>1</v>
      </c>
      <c r="P79" s="143">
        <f>SidsSudiTrend!M65</f>
        <v>7574</v>
      </c>
      <c r="Q79" s="144">
        <f t="shared" si="31"/>
        <v>0.13203063110641669</v>
      </c>
      <c r="R79" s="135"/>
      <c r="AM79" s="687">
        <f t="shared" si="24"/>
        <v>6.6180906040986089E-4</v>
      </c>
      <c r="AN79" s="687">
        <f t="shared" si="25"/>
        <v>0.98100468712438882</v>
      </c>
      <c r="AO79" s="688">
        <f t="shared" si="26"/>
        <v>0.13136882204600683</v>
      </c>
      <c r="AP79" s="688">
        <f t="shared" si="27"/>
        <v>0.84897405601797216</v>
      </c>
      <c r="AQ79" s="689">
        <f t="shared" si="28"/>
        <v>0.33379712405685785</v>
      </c>
      <c r="AR79" s="688">
        <f t="shared" si="29"/>
        <v>0.2544526665953441</v>
      </c>
      <c r="AS79" s="688">
        <f t="shared" si="30"/>
        <v>0.42927119044530149</v>
      </c>
    </row>
    <row r="80" spans="1:45">
      <c r="A80" s="134"/>
      <c r="B80" s="136"/>
      <c r="C80" s="136"/>
      <c r="D80" s="136"/>
      <c r="E80" s="136"/>
      <c r="F80" s="136"/>
      <c r="G80" s="136"/>
      <c r="H80" s="136"/>
      <c r="I80" s="136"/>
      <c r="J80" s="136"/>
      <c r="K80" s="136"/>
      <c r="L80" s="136"/>
      <c r="M80" s="136"/>
      <c r="N80" s="145" t="s">
        <v>100</v>
      </c>
      <c r="O80" s="567">
        <f>SidsSudiEth!F123</f>
        <v>0</v>
      </c>
      <c r="P80" s="146">
        <f>SidsSudiTrend!M66</f>
        <v>1908</v>
      </c>
      <c r="Q80" s="568">
        <f t="shared" si="31"/>
        <v>0</v>
      </c>
      <c r="R80" s="135"/>
      <c r="AM80" s="687">
        <f t="shared" si="24"/>
        <v>0</v>
      </c>
      <c r="AN80" s="687">
        <f t="shared" si="25"/>
        <v>2.7768958944172093</v>
      </c>
      <c r="AO80" s="688">
        <f t="shared" si="26"/>
        <v>0</v>
      </c>
      <c r="AP80" s="688">
        <f t="shared" si="27"/>
        <v>2.7768958944172093</v>
      </c>
      <c r="AQ80" s="689">
        <f t="shared" si="28"/>
        <v>0.33379712405685785</v>
      </c>
      <c r="AR80" s="688">
        <f t="shared" si="29"/>
        <v>0.2544526665953441</v>
      </c>
      <c r="AS80" s="688">
        <f t="shared" si="30"/>
        <v>0.42927119044530149</v>
      </c>
    </row>
    <row r="81" spans="1:56">
      <c r="A81" s="134"/>
      <c r="B81" s="136"/>
      <c r="C81" s="136"/>
      <c r="D81" s="136"/>
      <c r="E81" s="136"/>
      <c r="F81" s="136"/>
      <c r="G81" s="136"/>
      <c r="H81" s="136"/>
      <c r="I81" s="136"/>
      <c r="J81" s="136"/>
      <c r="K81" s="136"/>
      <c r="L81" s="136"/>
      <c r="M81" s="136"/>
      <c r="N81" s="142" t="s">
        <v>101</v>
      </c>
      <c r="O81" s="566">
        <f>SidsSudiEth!F124</f>
        <v>15</v>
      </c>
      <c r="P81" s="143">
        <f>SidsSudiTrend!M67</f>
        <v>30817</v>
      </c>
      <c r="Q81" s="144">
        <f t="shared" si="31"/>
        <v>0.48674432942856216</v>
      </c>
      <c r="R81" s="135"/>
      <c r="AM81" s="687">
        <f t="shared" si="24"/>
        <v>0.22368692376776961</v>
      </c>
      <c r="AN81" s="687">
        <f t="shared" si="25"/>
        <v>0.91391301813464798</v>
      </c>
      <c r="AO81" s="688">
        <f t="shared" si="26"/>
        <v>0.26305740566079255</v>
      </c>
      <c r="AP81" s="688">
        <f t="shared" si="27"/>
        <v>0.42716868870608582</v>
      </c>
      <c r="AQ81" s="689">
        <f t="shared" si="28"/>
        <v>0.33379712405685785</v>
      </c>
      <c r="AR81" s="688">
        <f t="shared" si="29"/>
        <v>0.2544526665953441</v>
      </c>
      <c r="AS81" s="688">
        <f t="shared" si="30"/>
        <v>0.42927119044530149</v>
      </c>
    </row>
    <row r="82" spans="1:56">
      <c r="A82" s="134"/>
      <c r="B82" s="136"/>
      <c r="C82" s="136"/>
      <c r="D82" s="136"/>
      <c r="E82" s="136"/>
      <c r="F82" s="136"/>
      <c r="G82" s="136"/>
      <c r="H82" s="136"/>
      <c r="I82" s="136"/>
      <c r="J82" s="136"/>
      <c r="K82" s="136"/>
      <c r="L82" s="136"/>
      <c r="M82" s="136"/>
      <c r="N82" s="145" t="s">
        <v>102</v>
      </c>
      <c r="O82" s="567">
        <f>SidsSudiEth!F125</f>
        <v>1</v>
      </c>
      <c r="P82" s="146">
        <f>SidsSudiTrend!M68</f>
        <v>3202</v>
      </c>
      <c r="Q82" s="568">
        <f t="shared" si="31"/>
        <v>0.31230480949406619</v>
      </c>
      <c r="R82" s="135"/>
      <c r="AM82" s="687">
        <f t="shared" si="24"/>
        <v>1.5654409192830375E-3</v>
      </c>
      <c r="AN82" s="687">
        <f t="shared" si="25"/>
        <v>2.3204651781012244</v>
      </c>
      <c r="AO82" s="688">
        <f t="shared" si="26"/>
        <v>0.31073936857478318</v>
      </c>
      <c r="AP82" s="688">
        <f t="shared" si="27"/>
        <v>2.0081603686071583</v>
      </c>
      <c r="AQ82" s="689">
        <f t="shared" si="28"/>
        <v>0.33379712405685785</v>
      </c>
      <c r="AR82" s="688">
        <f t="shared" si="29"/>
        <v>0.2544526665953441</v>
      </c>
      <c r="AS82" s="688">
        <f t="shared" si="30"/>
        <v>0.42927119044530149</v>
      </c>
    </row>
    <row r="83" spans="1:56">
      <c r="A83" s="134"/>
      <c r="B83" s="136"/>
      <c r="C83" s="136"/>
      <c r="D83" s="136"/>
      <c r="E83" s="136"/>
      <c r="F83" s="136"/>
      <c r="G83" s="136"/>
      <c r="H83" s="136"/>
      <c r="I83" s="136"/>
      <c r="J83" s="136"/>
      <c r="K83" s="136"/>
      <c r="L83" s="136"/>
      <c r="M83" s="136"/>
      <c r="N83" s="142" t="s">
        <v>103</v>
      </c>
      <c r="O83" s="566">
        <f>SidsSudiEth!F126</f>
        <v>9</v>
      </c>
      <c r="P83" s="143">
        <f>SidsSudiTrend!M69</f>
        <v>17427</v>
      </c>
      <c r="Q83" s="144">
        <f t="shared" si="31"/>
        <v>0.51644000688586678</v>
      </c>
      <c r="R83" s="135"/>
      <c r="AM83" s="687">
        <f t="shared" si="24"/>
        <v>0.17974420968917418</v>
      </c>
      <c r="AN83" s="687">
        <f t="shared" si="25"/>
        <v>1.1475539769592771</v>
      </c>
      <c r="AO83" s="688">
        <f t="shared" si="26"/>
        <v>0.33669579719669263</v>
      </c>
      <c r="AP83" s="688">
        <f t="shared" si="27"/>
        <v>0.6311139700734103</v>
      </c>
      <c r="AQ83" s="689">
        <f t="shared" si="28"/>
        <v>0.33379712405685785</v>
      </c>
      <c r="AR83" s="688">
        <f t="shared" si="29"/>
        <v>0.2544526665953441</v>
      </c>
      <c r="AS83" s="688">
        <f t="shared" si="30"/>
        <v>0.42927119044530149</v>
      </c>
    </row>
    <row r="84" spans="1:56">
      <c r="A84" s="134"/>
      <c r="B84" s="136"/>
      <c r="C84" s="136"/>
      <c r="D84" s="136"/>
      <c r="E84" s="136"/>
      <c r="F84" s="136"/>
      <c r="G84" s="136"/>
      <c r="H84" s="136"/>
      <c r="I84" s="136"/>
      <c r="J84" s="136"/>
      <c r="K84" s="136"/>
      <c r="L84" s="136"/>
      <c r="M84" s="136"/>
      <c r="N84" s="148" t="s">
        <v>63</v>
      </c>
      <c r="O84" s="567">
        <f>SidsSudiEth!F127</f>
        <v>0</v>
      </c>
      <c r="P84" s="149">
        <f>SidsSudiTrend!M70</f>
        <v>899</v>
      </c>
      <c r="Q84" s="228" t="s">
        <v>119</v>
      </c>
      <c r="R84" s="135"/>
      <c r="AM84" s="687"/>
      <c r="AN84" s="687"/>
      <c r="AO84" s="692"/>
      <c r="AP84" s="692"/>
      <c r="AQ84" s="692"/>
      <c r="AR84" s="692"/>
      <c r="AS84" s="692"/>
    </row>
    <row r="85" spans="1:56">
      <c r="A85" s="134"/>
      <c r="B85" s="136"/>
      <c r="C85" s="136"/>
      <c r="D85" s="136"/>
      <c r="E85" s="136"/>
      <c r="F85" s="136"/>
      <c r="G85" s="136"/>
      <c r="H85" s="136"/>
      <c r="I85" s="136"/>
      <c r="J85" s="136"/>
      <c r="K85" s="136"/>
      <c r="L85" s="136"/>
      <c r="M85" s="136"/>
      <c r="N85" s="150" t="s">
        <v>16</v>
      </c>
      <c r="O85" s="151">
        <f>SUM(O64:O84)</f>
        <v>101</v>
      </c>
      <c r="P85" s="151">
        <f>SUM(P64:P84)</f>
        <v>302579</v>
      </c>
      <c r="Q85" s="152">
        <f>O85/P85*1000</f>
        <v>0.33379712405685785</v>
      </c>
      <c r="R85" s="135"/>
      <c r="AM85" s="693">
        <f>IF(O85=0,0,IF(O85&lt;389,CHIINV(0.5+$AN$5/200,2*O85)/2,O85*(1-1/(9*O85)-NORMSINV(0.5+$AN$5/200)/3/SQRT(O85))^3))/P85*1000</f>
        <v>0.2544526665953441</v>
      </c>
      <c r="AN85" s="693">
        <f>IF(O85&lt;389,CHIINV(0.5-$AN$5/200,2*O85+2)/2,(O85+1)*(1-1/(9*(O85+1))+NORMSINV(0.5+$AN$5/200)/3/SQRT(O85+1))^3)/P85*1000</f>
        <v>0.42927119044530149</v>
      </c>
      <c r="AO85" s="694">
        <f>Q85-AM85</f>
        <v>7.9344457461513751E-2</v>
      </c>
      <c r="AP85" s="694">
        <f>AN85-Q85</f>
        <v>9.5474066388443635E-2</v>
      </c>
      <c r="AQ85" s="692"/>
      <c r="AR85" s="692"/>
      <c r="AS85" s="692"/>
    </row>
    <row r="86" spans="1:56">
      <c r="A86" s="134"/>
      <c r="B86" s="136"/>
      <c r="C86" s="136"/>
      <c r="D86" s="136"/>
      <c r="E86" s="136"/>
      <c r="F86" s="136"/>
      <c r="G86" s="136"/>
      <c r="H86" s="136"/>
      <c r="I86" s="136"/>
      <c r="J86" s="136"/>
      <c r="K86" s="136"/>
      <c r="L86" s="136"/>
      <c r="M86" s="136"/>
      <c r="N86" s="143"/>
      <c r="O86" s="143"/>
      <c r="P86" s="143"/>
      <c r="Q86" s="143"/>
      <c r="R86" s="135"/>
      <c r="AM86" s="692"/>
      <c r="AN86" s="692"/>
      <c r="AO86" s="692"/>
      <c r="AP86" s="692"/>
      <c r="AQ86" s="692"/>
      <c r="AR86" s="692"/>
      <c r="AS86" s="692"/>
    </row>
    <row r="87" spans="1:56">
      <c r="A87" s="153"/>
      <c r="B87" s="154"/>
      <c r="C87" s="154"/>
      <c r="D87" s="154"/>
      <c r="E87" s="154"/>
      <c r="F87" s="154"/>
      <c r="G87" s="154"/>
      <c r="H87" s="154"/>
      <c r="I87" s="154"/>
      <c r="J87" s="154"/>
      <c r="K87" s="154"/>
      <c r="L87" s="154"/>
      <c r="M87" s="154"/>
      <c r="N87" s="156"/>
      <c r="O87" s="156"/>
      <c r="P87" s="156"/>
      <c r="Q87" s="156"/>
      <c r="R87" s="155"/>
      <c r="AM87" s="692"/>
      <c r="AN87" s="692"/>
      <c r="AO87" s="692"/>
      <c r="AP87" s="692"/>
      <c r="AQ87" s="692"/>
      <c r="AR87" s="692"/>
      <c r="AS87" s="692"/>
    </row>
    <row r="88" spans="1:56" s="129" customFormat="1">
      <c r="A88" s="127"/>
      <c r="B88" s="127"/>
      <c r="C88" s="127"/>
      <c r="D88" s="127"/>
      <c r="E88" s="127"/>
      <c r="F88" s="127"/>
      <c r="G88" s="127"/>
      <c r="H88" s="127"/>
      <c r="I88" s="127"/>
      <c r="J88" s="127"/>
      <c r="K88" s="127"/>
      <c r="L88" s="127"/>
      <c r="M88" s="127"/>
      <c r="N88" s="128"/>
      <c r="O88" s="128"/>
      <c r="P88" s="128"/>
      <c r="Q88" s="128"/>
      <c r="R88" s="127"/>
      <c r="S88" s="459"/>
      <c r="T88" s="459"/>
      <c r="U88" s="459"/>
      <c r="V88" s="459"/>
      <c r="W88" s="459"/>
      <c r="X88" s="459"/>
      <c r="Y88" s="459"/>
      <c r="Z88" s="459"/>
      <c r="AA88" s="459"/>
      <c r="AB88" s="459"/>
      <c r="AC88" s="459"/>
      <c r="AD88" s="459"/>
      <c r="AE88" s="459"/>
      <c r="AF88" s="459"/>
      <c r="AG88" s="459"/>
      <c r="AH88" s="459"/>
      <c r="AI88" s="459"/>
      <c r="AJ88" s="459"/>
      <c r="AK88" s="459"/>
      <c r="AL88" s="459"/>
      <c r="AM88" s="692"/>
      <c r="AN88" s="692"/>
      <c r="AO88" s="692"/>
      <c r="AP88" s="692"/>
      <c r="AQ88" s="692"/>
      <c r="AR88" s="692"/>
      <c r="AS88" s="692"/>
      <c r="AT88" s="459"/>
      <c r="AU88" s="459"/>
      <c r="AV88" s="459"/>
      <c r="AW88" s="459"/>
      <c r="AX88" s="459"/>
      <c r="AY88" s="459"/>
      <c r="AZ88" s="459"/>
      <c r="BA88" s="459"/>
      <c r="BB88" s="459"/>
      <c r="BC88" s="459"/>
      <c r="BD88" s="447"/>
    </row>
    <row r="89" spans="1:56" s="129" customFormat="1">
      <c r="A89" s="130"/>
      <c r="B89" s="131"/>
      <c r="C89" s="131"/>
      <c r="D89" s="131"/>
      <c r="E89" s="131"/>
      <c r="F89" s="131"/>
      <c r="G89" s="131"/>
      <c r="H89" s="131"/>
      <c r="I89" s="131"/>
      <c r="J89" s="131"/>
      <c r="K89" s="131"/>
      <c r="L89" s="131"/>
      <c r="M89" s="131"/>
      <c r="N89" s="132"/>
      <c r="O89" s="132"/>
      <c r="P89" s="132"/>
      <c r="Q89" s="132"/>
      <c r="R89" s="133"/>
      <c r="S89" s="459"/>
      <c r="T89" s="459"/>
      <c r="U89" s="459"/>
      <c r="V89" s="459"/>
      <c r="W89" s="459"/>
      <c r="X89" s="459"/>
      <c r="Y89" s="459"/>
      <c r="Z89" s="459"/>
      <c r="AA89" s="459"/>
      <c r="AB89" s="459"/>
      <c r="AC89" s="459"/>
      <c r="AD89" s="459"/>
      <c r="AE89" s="459"/>
      <c r="AF89" s="459"/>
      <c r="AG89" s="459"/>
      <c r="AH89" s="459"/>
      <c r="AI89" s="459"/>
      <c r="AJ89" s="459"/>
      <c r="AK89" s="459"/>
      <c r="AL89" s="459"/>
      <c r="AM89" s="692"/>
      <c r="AN89" s="692"/>
      <c r="AO89" s="692"/>
      <c r="AP89" s="692"/>
      <c r="AQ89" s="692"/>
      <c r="AR89" s="692"/>
      <c r="AS89" s="692"/>
      <c r="AT89" s="459"/>
      <c r="AU89" s="459"/>
      <c r="AV89" s="459"/>
      <c r="AW89" s="459"/>
      <c r="AX89" s="459"/>
      <c r="AY89" s="459"/>
      <c r="AZ89" s="459"/>
      <c r="BA89" s="459"/>
      <c r="BB89" s="459"/>
      <c r="BC89" s="459"/>
      <c r="BD89" s="447"/>
    </row>
    <row r="90" spans="1:56" ht="23.25" customHeight="1">
      <c r="A90" s="134"/>
      <c r="B90" s="964" t="str">
        <f>Contents!E37</f>
        <v xml:space="preserve">Figure 12: Rate of sudden unexpected death in infancy (SUDI) in those aged &lt;1 year, by DHB of domicile, 2012−2016
</v>
      </c>
      <c r="C90" s="964"/>
      <c r="D90" s="964"/>
      <c r="E90" s="964"/>
      <c r="F90" s="964"/>
      <c r="G90" s="964"/>
      <c r="H90" s="964"/>
      <c r="I90" s="964"/>
      <c r="J90" s="964"/>
      <c r="K90" s="964"/>
      <c r="L90" s="964"/>
      <c r="M90" s="964"/>
      <c r="N90" s="964"/>
      <c r="O90" s="964"/>
      <c r="P90" s="964"/>
      <c r="Q90" s="964"/>
      <c r="R90" s="135"/>
      <c r="AM90" s="692"/>
      <c r="AN90" s="692"/>
      <c r="AO90" s="692"/>
      <c r="AP90" s="692"/>
      <c r="AQ90" s="692"/>
      <c r="AR90" s="692"/>
      <c r="AS90" s="692"/>
    </row>
    <row r="91" spans="1:56">
      <c r="A91" s="134"/>
      <c r="B91" s="136"/>
      <c r="C91" s="136"/>
      <c r="D91" s="136"/>
      <c r="E91" s="136"/>
      <c r="F91" s="136"/>
      <c r="G91" s="136"/>
      <c r="H91" s="136"/>
      <c r="I91" s="136"/>
      <c r="J91" s="136"/>
      <c r="K91" s="136"/>
      <c r="L91" s="136"/>
      <c r="M91" s="136"/>
      <c r="N91" s="137" t="s">
        <v>139</v>
      </c>
      <c r="O91" s="138" t="s">
        <v>33</v>
      </c>
      <c r="P91" s="165" t="s">
        <v>46</v>
      </c>
      <c r="Q91" s="138" t="s">
        <v>45</v>
      </c>
      <c r="R91" s="135"/>
      <c r="AM91" s="685" t="s">
        <v>295</v>
      </c>
      <c r="AN91" s="685" t="s">
        <v>296</v>
      </c>
      <c r="AO91" s="685" t="s">
        <v>289</v>
      </c>
      <c r="AP91" s="685" t="s">
        <v>290</v>
      </c>
      <c r="AQ91" s="685" t="s">
        <v>276</v>
      </c>
      <c r="AR91" s="685" t="s">
        <v>297</v>
      </c>
      <c r="AS91" s="685" t="s">
        <v>298</v>
      </c>
    </row>
    <row r="92" spans="1:56">
      <c r="A92" s="134"/>
      <c r="B92" s="136"/>
      <c r="C92" s="136"/>
      <c r="D92" s="136"/>
      <c r="E92" s="136"/>
      <c r="F92" s="136"/>
      <c r="G92" s="136"/>
      <c r="H92" s="136"/>
      <c r="I92" s="136"/>
      <c r="J92" s="136"/>
      <c r="K92" s="136"/>
      <c r="L92" s="136"/>
      <c r="M92" s="136"/>
      <c r="N92" s="139" t="s">
        <v>85</v>
      </c>
      <c r="O92" s="140">
        <f>SidsSudiEth!K107</f>
        <v>11</v>
      </c>
      <c r="P92" s="140">
        <f>SidsSudiTrend!M50</f>
        <v>11317</v>
      </c>
      <c r="Q92" s="141">
        <f>O92/P92*1000</f>
        <v>0.9719890430326058</v>
      </c>
      <c r="R92" s="135"/>
      <c r="AM92" s="687">
        <f t="shared" ref="AM92:AM111" si="32">IF(O92=0,0,IF(O92&lt;389,CHIINV(0.5+$AN$5/200,2*O92)/2,O92*(1-1/(9*O92)-NORMSINV(0.5+$AN$5/200)/3/SQRT(O92))^3))/P92*1000</f>
        <v>0.38184662015845194</v>
      </c>
      <c r="AN92" s="687">
        <f t="shared" ref="AN92:AN111" si="33">IF(O92&lt;389,CHIINV(0.5-$AN$5/200,2*O92+2)/2,(O92+1)*(1-1/(9*(O92+1))+NORMSINV(0.5+$AN$5/200)/3/SQRT(O92+1))^3)/P92*1000</f>
        <v>2.0128352008717232</v>
      </c>
      <c r="AO92" s="688">
        <f t="shared" ref="AO92:AO111" si="34">Q92-AM92</f>
        <v>0.59014242287415386</v>
      </c>
      <c r="AP92" s="688">
        <f t="shared" ref="AP92:AP111" si="35">AN92-Q92</f>
        <v>1.0408461578391175</v>
      </c>
      <c r="AQ92" s="689">
        <f t="shared" ref="AQ92:AQ111" si="36">Q$113</f>
        <v>0.69072870225627025</v>
      </c>
      <c r="AR92" s="688">
        <f t="shared" ref="AR92:AR111" si="37">AM$113</f>
        <v>0.57386922378721794</v>
      </c>
      <c r="AS92" s="688">
        <f t="shared" ref="AS92:AS111" si="38">AN$113</f>
        <v>0.82359611393534338</v>
      </c>
    </row>
    <row r="93" spans="1:56">
      <c r="A93" s="134"/>
      <c r="B93" s="136"/>
      <c r="C93" s="136"/>
      <c r="D93" s="136"/>
      <c r="E93" s="136"/>
      <c r="F93" s="136"/>
      <c r="G93" s="136"/>
      <c r="H93" s="136"/>
      <c r="I93" s="136"/>
      <c r="J93" s="136"/>
      <c r="K93" s="136"/>
      <c r="L93" s="136"/>
      <c r="M93" s="136"/>
      <c r="N93" s="142" t="s">
        <v>86</v>
      </c>
      <c r="O93" s="566">
        <f>SidsSudiEth!K108</f>
        <v>7</v>
      </c>
      <c r="P93" s="566">
        <f>SidsSudiTrend!M51</f>
        <v>39511</v>
      </c>
      <c r="Q93" s="569">
        <f t="shared" ref="Q93:Q111" si="39">O93/P93*1000</f>
        <v>0.17716585254739187</v>
      </c>
      <c r="R93" s="135"/>
      <c r="AM93" s="687">
        <f t="shared" si="32"/>
        <v>5.1563804477225937E-2</v>
      </c>
      <c r="AN93" s="687">
        <f t="shared" si="33"/>
        <v>0.43364109409818402</v>
      </c>
      <c r="AO93" s="688">
        <f t="shared" si="34"/>
        <v>0.12560204807016592</v>
      </c>
      <c r="AP93" s="688">
        <f t="shared" si="35"/>
        <v>0.25647524155079215</v>
      </c>
      <c r="AQ93" s="689">
        <f t="shared" si="36"/>
        <v>0.69072870225627025</v>
      </c>
      <c r="AR93" s="688">
        <f t="shared" si="37"/>
        <v>0.57386922378721794</v>
      </c>
      <c r="AS93" s="688">
        <f t="shared" si="38"/>
        <v>0.82359611393534338</v>
      </c>
    </row>
    <row r="94" spans="1:56">
      <c r="A94" s="134"/>
      <c r="B94" s="136"/>
      <c r="C94" s="136"/>
      <c r="D94" s="136"/>
      <c r="E94" s="136"/>
      <c r="F94" s="136"/>
      <c r="G94" s="136"/>
      <c r="H94" s="136"/>
      <c r="I94" s="136"/>
      <c r="J94" s="136"/>
      <c r="K94" s="136"/>
      <c r="L94" s="136"/>
      <c r="M94" s="136"/>
      <c r="N94" s="145" t="s">
        <v>87</v>
      </c>
      <c r="O94" s="567">
        <f>SidsSudiEth!K109</f>
        <v>13</v>
      </c>
      <c r="P94" s="567">
        <f>SidsSudiTrend!M52</f>
        <v>31014</v>
      </c>
      <c r="Q94" s="568">
        <f t="shared" si="39"/>
        <v>0.41916553814406399</v>
      </c>
      <c r="R94" s="135"/>
      <c r="AM94" s="687">
        <f t="shared" si="32"/>
        <v>0.179922573775781</v>
      </c>
      <c r="AN94" s="687">
        <f t="shared" si="33"/>
        <v>0.82210253866801208</v>
      </c>
      <c r="AO94" s="688">
        <f t="shared" si="34"/>
        <v>0.23924296436828299</v>
      </c>
      <c r="AP94" s="688">
        <f t="shared" si="35"/>
        <v>0.4029370005239481</v>
      </c>
      <c r="AQ94" s="689">
        <f t="shared" si="36"/>
        <v>0.69072870225627025</v>
      </c>
      <c r="AR94" s="688">
        <f t="shared" si="37"/>
        <v>0.57386922378721794</v>
      </c>
      <c r="AS94" s="688">
        <f t="shared" si="38"/>
        <v>0.82359611393534338</v>
      </c>
    </row>
    <row r="95" spans="1:56">
      <c r="A95" s="134"/>
      <c r="B95" s="136"/>
      <c r="C95" s="136"/>
      <c r="D95" s="136"/>
      <c r="E95" s="136"/>
      <c r="F95" s="136"/>
      <c r="G95" s="136"/>
      <c r="H95" s="136"/>
      <c r="I95" s="136"/>
      <c r="J95" s="136"/>
      <c r="K95" s="136"/>
      <c r="L95" s="136"/>
      <c r="M95" s="136"/>
      <c r="N95" s="142" t="s">
        <v>88</v>
      </c>
      <c r="O95" s="566">
        <f>SidsSudiEth!K110</f>
        <v>43</v>
      </c>
      <c r="P95" s="566">
        <f>SidsSudiTrend!M53</f>
        <v>42107</v>
      </c>
      <c r="Q95" s="569">
        <f t="shared" si="39"/>
        <v>1.021207875175149</v>
      </c>
      <c r="R95" s="135"/>
      <c r="AM95" s="687">
        <f t="shared" si="32"/>
        <v>0.66464843453878086</v>
      </c>
      <c r="AN95" s="687">
        <f t="shared" si="33"/>
        <v>1.4951496928170773</v>
      </c>
      <c r="AO95" s="688">
        <f t="shared" si="34"/>
        <v>0.35655944063636813</v>
      </c>
      <c r="AP95" s="688">
        <f t="shared" si="35"/>
        <v>0.47394181764192833</v>
      </c>
      <c r="AQ95" s="689">
        <f t="shared" si="36"/>
        <v>0.69072870225627025</v>
      </c>
      <c r="AR95" s="688">
        <f t="shared" si="37"/>
        <v>0.57386922378721794</v>
      </c>
      <c r="AS95" s="688">
        <f t="shared" si="38"/>
        <v>0.82359611393534338</v>
      </c>
    </row>
    <row r="96" spans="1:56">
      <c r="A96" s="134"/>
      <c r="B96" s="136"/>
      <c r="C96" s="136"/>
      <c r="D96" s="136"/>
      <c r="E96" s="136"/>
      <c r="F96" s="136"/>
      <c r="G96" s="136"/>
      <c r="H96" s="136"/>
      <c r="I96" s="136"/>
      <c r="J96" s="136"/>
      <c r="K96" s="136"/>
      <c r="L96" s="136"/>
      <c r="M96" s="136"/>
      <c r="N96" s="145" t="s">
        <v>89</v>
      </c>
      <c r="O96" s="567">
        <f>SidsSudiEth!K111</f>
        <v>29</v>
      </c>
      <c r="P96" s="567">
        <f>SidsSudiTrend!M54</f>
        <v>27204</v>
      </c>
      <c r="Q96" s="568">
        <f t="shared" si="39"/>
        <v>1.066019702984855</v>
      </c>
      <c r="R96" s="135"/>
      <c r="AM96" s="687">
        <f t="shared" si="32"/>
        <v>0.62506210882082835</v>
      </c>
      <c r="AN96" s="687">
        <f t="shared" si="33"/>
        <v>1.6900400338117505</v>
      </c>
      <c r="AO96" s="688">
        <f t="shared" si="34"/>
        <v>0.44095759416402669</v>
      </c>
      <c r="AP96" s="688">
        <f t="shared" si="35"/>
        <v>0.62402033082689545</v>
      </c>
      <c r="AQ96" s="689">
        <f t="shared" si="36"/>
        <v>0.69072870225627025</v>
      </c>
      <c r="AR96" s="688">
        <f t="shared" si="37"/>
        <v>0.57386922378721794</v>
      </c>
      <c r="AS96" s="688">
        <f t="shared" si="38"/>
        <v>0.82359611393534338</v>
      </c>
    </row>
    <row r="97" spans="1:45">
      <c r="A97" s="134"/>
      <c r="B97" s="136"/>
      <c r="C97" s="136"/>
      <c r="D97" s="136"/>
      <c r="E97" s="136"/>
      <c r="F97" s="136"/>
      <c r="G97" s="136"/>
      <c r="H97" s="136"/>
      <c r="I97" s="136"/>
      <c r="J97" s="136"/>
      <c r="K97" s="136"/>
      <c r="L97" s="136"/>
      <c r="M97" s="136"/>
      <c r="N97" s="142" t="s">
        <v>90</v>
      </c>
      <c r="O97" s="566">
        <f>SidsSudiEth!K112</f>
        <v>6</v>
      </c>
      <c r="P97" s="566">
        <f>SidsSudiTrend!M55</f>
        <v>7521</v>
      </c>
      <c r="Q97" s="569">
        <f t="shared" si="39"/>
        <v>0.7977662544874351</v>
      </c>
      <c r="R97" s="135"/>
      <c r="AM97" s="687">
        <f t="shared" si="32"/>
        <v>0.20434939755945569</v>
      </c>
      <c r="AN97" s="687">
        <f t="shared" si="33"/>
        <v>2.0821266867833592</v>
      </c>
      <c r="AO97" s="688">
        <f t="shared" si="34"/>
        <v>0.59341685692797941</v>
      </c>
      <c r="AP97" s="688">
        <f t="shared" si="35"/>
        <v>1.2843604322959241</v>
      </c>
      <c r="AQ97" s="689">
        <f t="shared" si="36"/>
        <v>0.69072870225627025</v>
      </c>
      <c r="AR97" s="688">
        <f t="shared" si="37"/>
        <v>0.57386922378721794</v>
      </c>
      <c r="AS97" s="688">
        <f t="shared" si="38"/>
        <v>0.82359611393534338</v>
      </c>
    </row>
    <row r="98" spans="1:45">
      <c r="A98" s="134"/>
      <c r="B98" s="136"/>
      <c r="C98" s="136"/>
      <c r="D98" s="136"/>
      <c r="E98" s="136"/>
      <c r="F98" s="136"/>
      <c r="G98" s="136"/>
      <c r="H98" s="136"/>
      <c r="I98" s="136"/>
      <c r="J98" s="136"/>
      <c r="K98" s="136"/>
      <c r="L98" s="136"/>
      <c r="M98" s="136"/>
      <c r="N98" s="145" t="s">
        <v>91</v>
      </c>
      <c r="O98" s="567">
        <f>SidsSudiEth!K113</f>
        <v>5</v>
      </c>
      <c r="P98" s="567">
        <f>SidsSudiTrend!M56</f>
        <v>14358</v>
      </c>
      <c r="Q98" s="568">
        <f t="shared" si="39"/>
        <v>0.34823791614430977</v>
      </c>
      <c r="R98" s="135"/>
      <c r="AM98" s="687">
        <f t="shared" si="32"/>
        <v>7.5075096855573384E-2</v>
      </c>
      <c r="AN98" s="687">
        <f t="shared" si="33"/>
        <v>0.98549654624759819</v>
      </c>
      <c r="AO98" s="688">
        <f t="shared" si="34"/>
        <v>0.27316281928873637</v>
      </c>
      <c r="AP98" s="688">
        <f t="shared" si="35"/>
        <v>0.63725863010328843</v>
      </c>
      <c r="AQ98" s="689">
        <f t="shared" si="36"/>
        <v>0.69072870225627025</v>
      </c>
      <c r="AR98" s="688">
        <f t="shared" si="37"/>
        <v>0.57386922378721794</v>
      </c>
      <c r="AS98" s="688">
        <f t="shared" si="38"/>
        <v>0.82359611393534338</v>
      </c>
    </row>
    <row r="99" spans="1:45">
      <c r="A99" s="134"/>
      <c r="B99" s="136"/>
      <c r="C99" s="136"/>
      <c r="D99" s="136"/>
      <c r="E99" s="136"/>
      <c r="F99" s="136"/>
      <c r="G99" s="136"/>
      <c r="H99" s="136"/>
      <c r="I99" s="136"/>
      <c r="J99" s="136"/>
      <c r="K99" s="136"/>
      <c r="L99" s="136"/>
      <c r="M99" s="136"/>
      <c r="N99" s="142" t="s">
        <v>366</v>
      </c>
      <c r="O99" s="566">
        <f>SidsSudiEth!K114</f>
        <v>7</v>
      </c>
      <c r="P99" s="566">
        <f>SidsSudiTrend!M57</f>
        <v>3616</v>
      </c>
      <c r="Q99" s="569">
        <f t="shared" si="39"/>
        <v>1.9358407079646018</v>
      </c>
      <c r="R99" s="135"/>
      <c r="AM99" s="687">
        <f>IF(O99=0,0,IF(O99&lt;389,CHIINV(0.5+$AN$5/200,2*O99)/2,O99*(1-1/(9*O99)-NORMSINV(0.5+$AN$5/200)/3/SQRT(O99))^3))/P99*1000</f>
        <v>0.56342297530411345</v>
      </c>
      <c r="AN99" s="687">
        <f>IF(O99&lt;389,CHIINV(0.5-$AN$5/200,2*O99+2)/2,(O99+1)*(1-1/(9*(O99+1))+NORMSINV(0.5+$AN$5/200)/3/SQRT(O99+1))^3)/P99*1000</f>
        <v>4.738272474810107</v>
      </c>
      <c r="AO99" s="688">
        <f t="shared" si="34"/>
        <v>1.3724177326604883</v>
      </c>
      <c r="AP99" s="688">
        <f t="shared" si="35"/>
        <v>2.8024317668455052</v>
      </c>
      <c r="AQ99" s="689">
        <f t="shared" si="36"/>
        <v>0.69072870225627025</v>
      </c>
      <c r="AR99" s="688">
        <f t="shared" si="37"/>
        <v>0.57386922378721794</v>
      </c>
      <c r="AS99" s="688">
        <f t="shared" si="38"/>
        <v>0.82359611393534338</v>
      </c>
    </row>
    <row r="100" spans="1:45">
      <c r="A100" s="134"/>
      <c r="B100" s="136"/>
      <c r="C100" s="136"/>
      <c r="D100" s="136"/>
      <c r="E100" s="136"/>
      <c r="F100" s="136"/>
      <c r="G100" s="136"/>
      <c r="H100" s="136"/>
      <c r="I100" s="136"/>
      <c r="J100" s="136"/>
      <c r="K100" s="136"/>
      <c r="L100" s="136"/>
      <c r="M100" s="136"/>
      <c r="N100" s="145" t="s">
        <v>92</v>
      </c>
      <c r="O100" s="567">
        <f>SidsSudiEth!K115</f>
        <v>9</v>
      </c>
      <c r="P100" s="567">
        <f>SidsSudiTrend!M58</f>
        <v>10891</v>
      </c>
      <c r="Q100" s="568">
        <f t="shared" si="39"/>
        <v>0.82637039757598019</v>
      </c>
      <c r="R100" s="135"/>
      <c r="AM100" s="687">
        <f t="shared" si="32"/>
        <v>0.28761384099285997</v>
      </c>
      <c r="AN100" s="687">
        <f t="shared" si="33"/>
        <v>1.8362338771893603</v>
      </c>
      <c r="AO100" s="688">
        <f t="shared" si="34"/>
        <v>0.53875655658312027</v>
      </c>
      <c r="AP100" s="688">
        <f t="shared" si="35"/>
        <v>1.0098634796133801</v>
      </c>
      <c r="AQ100" s="689">
        <f t="shared" si="36"/>
        <v>0.69072870225627025</v>
      </c>
      <c r="AR100" s="688">
        <f t="shared" si="37"/>
        <v>0.57386922378721794</v>
      </c>
      <c r="AS100" s="688">
        <f t="shared" si="38"/>
        <v>0.82359611393534338</v>
      </c>
    </row>
    <row r="101" spans="1:45">
      <c r="A101" s="134"/>
      <c r="B101" s="136"/>
      <c r="C101" s="136"/>
      <c r="D101" s="136"/>
      <c r="E101" s="136"/>
      <c r="F101" s="136"/>
      <c r="G101" s="136"/>
      <c r="H101" s="136"/>
      <c r="I101" s="136"/>
      <c r="J101" s="136"/>
      <c r="K101" s="136"/>
      <c r="L101" s="136"/>
      <c r="M101" s="136"/>
      <c r="N101" s="142" t="s">
        <v>93</v>
      </c>
      <c r="O101" s="566">
        <f>SidsSudiEth!K116</f>
        <v>7</v>
      </c>
      <c r="P101" s="566">
        <f>SidsSudiTrend!M59</f>
        <v>7738</v>
      </c>
      <c r="Q101" s="569">
        <f t="shared" si="39"/>
        <v>0.90462651848022746</v>
      </c>
      <c r="R101" s="135"/>
      <c r="AM101" s="687">
        <f t="shared" si="32"/>
        <v>0.26328993004648155</v>
      </c>
      <c r="AN101" s="687">
        <f t="shared" si="33"/>
        <v>2.2142146897019059</v>
      </c>
      <c r="AO101" s="688">
        <f t="shared" si="34"/>
        <v>0.64133658843374586</v>
      </c>
      <c r="AP101" s="688">
        <f t="shared" si="35"/>
        <v>1.3095881712216784</v>
      </c>
      <c r="AQ101" s="689">
        <f t="shared" si="36"/>
        <v>0.69072870225627025</v>
      </c>
      <c r="AR101" s="688">
        <f t="shared" si="37"/>
        <v>0.57386922378721794</v>
      </c>
      <c r="AS101" s="688">
        <f t="shared" si="38"/>
        <v>0.82359611393534338</v>
      </c>
    </row>
    <row r="102" spans="1:45">
      <c r="A102" s="134"/>
      <c r="B102" s="136"/>
      <c r="C102" s="136"/>
      <c r="D102" s="136"/>
      <c r="E102" s="136"/>
      <c r="F102" s="136"/>
      <c r="G102" s="136"/>
      <c r="H102" s="136"/>
      <c r="I102" s="136"/>
      <c r="J102" s="136"/>
      <c r="K102" s="136"/>
      <c r="L102" s="136"/>
      <c r="M102" s="136"/>
      <c r="N102" s="145" t="s">
        <v>94</v>
      </c>
      <c r="O102" s="567">
        <f>SidsSudiEth!K117</f>
        <v>7</v>
      </c>
      <c r="P102" s="567">
        <f>SidsSudiTrend!M60</f>
        <v>10743</v>
      </c>
      <c r="Q102" s="568">
        <f t="shared" si="39"/>
        <v>0.65158707995904308</v>
      </c>
      <c r="R102" s="135"/>
      <c r="AM102" s="687">
        <f t="shared" si="32"/>
        <v>0.18964325409100569</v>
      </c>
      <c r="AN102" s="687">
        <f t="shared" si="33"/>
        <v>1.5948611438995948</v>
      </c>
      <c r="AO102" s="688">
        <f t="shared" si="34"/>
        <v>0.46194382586803739</v>
      </c>
      <c r="AP102" s="688">
        <f t="shared" si="35"/>
        <v>0.94327406394055169</v>
      </c>
      <c r="AQ102" s="689">
        <f t="shared" si="36"/>
        <v>0.69072870225627025</v>
      </c>
      <c r="AR102" s="688">
        <f t="shared" si="37"/>
        <v>0.57386922378721794</v>
      </c>
      <c r="AS102" s="688">
        <f t="shared" si="38"/>
        <v>0.82359611393534338</v>
      </c>
    </row>
    <row r="103" spans="1:45">
      <c r="A103" s="134"/>
      <c r="B103" s="136"/>
      <c r="C103" s="136"/>
      <c r="D103" s="136"/>
      <c r="E103" s="136"/>
      <c r="F103" s="136"/>
      <c r="G103" s="136"/>
      <c r="H103" s="136"/>
      <c r="I103" s="136"/>
      <c r="J103" s="136"/>
      <c r="K103" s="136"/>
      <c r="L103" s="136"/>
      <c r="M103" s="136"/>
      <c r="N103" s="142" t="s">
        <v>95</v>
      </c>
      <c r="O103" s="566">
        <f>SidsSudiEth!K118</f>
        <v>7</v>
      </c>
      <c r="P103" s="566">
        <f>SidsSudiTrend!M61</f>
        <v>4229</v>
      </c>
      <c r="Q103" s="569">
        <f t="shared" si="39"/>
        <v>1.6552376448332939</v>
      </c>
      <c r="R103" s="135"/>
      <c r="AM103" s="687">
        <f t="shared" si="32"/>
        <v>0.48175395571049279</v>
      </c>
      <c r="AN103" s="687">
        <f t="shared" si="33"/>
        <v>4.0514526528525296</v>
      </c>
      <c r="AO103" s="688">
        <f t="shared" si="34"/>
        <v>1.1734836891228011</v>
      </c>
      <c r="AP103" s="688">
        <f t="shared" si="35"/>
        <v>2.3962150080192357</v>
      </c>
      <c r="AQ103" s="689">
        <f t="shared" si="36"/>
        <v>0.69072870225627025</v>
      </c>
      <c r="AR103" s="688">
        <f t="shared" si="37"/>
        <v>0.57386922378721794</v>
      </c>
      <c r="AS103" s="688">
        <f t="shared" si="38"/>
        <v>0.82359611393534338</v>
      </c>
    </row>
    <row r="104" spans="1:45">
      <c r="A104" s="134"/>
      <c r="B104" s="136"/>
      <c r="C104" s="136"/>
      <c r="D104" s="136"/>
      <c r="E104" s="136"/>
      <c r="F104" s="136"/>
      <c r="G104" s="136"/>
      <c r="H104" s="136"/>
      <c r="I104" s="136"/>
      <c r="J104" s="136"/>
      <c r="K104" s="136"/>
      <c r="L104" s="136"/>
      <c r="M104" s="136"/>
      <c r="N104" s="145" t="s">
        <v>96</v>
      </c>
      <c r="O104" s="567">
        <f>SidsSudiEth!K119</f>
        <v>13</v>
      </c>
      <c r="P104" s="567">
        <f>SidsSudiTrend!M62</f>
        <v>18172</v>
      </c>
      <c r="Q104" s="568">
        <f t="shared" si="39"/>
        <v>0.71538630860664754</v>
      </c>
      <c r="R104" s="135"/>
      <c r="AM104" s="687">
        <f t="shared" si="32"/>
        <v>0.30707234773729208</v>
      </c>
      <c r="AN104" s="687">
        <f t="shared" si="33"/>
        <v>1.4030755081581403</v>
      </c>
      <c r="AO104" s="688">
        <f t="shared" si="34"/>
        <v>0.40831396086935545</v>
      </c>
      <c r="AP104" s="688">
        <f t="shared" si="35"/>
        <v>0.68768919955149277</v>
      </c>
      <c r="AQ104" s="689">
        <f t="shared" si="36"/>
        <v>0.69072870225627025</v>
      </c>
      <c r="AR104" s="688">
        <f t="shared" si="37"/>
        <v>0.57386922378721794</v>
      </c>
      <c r="AS104" s="688">
        <f t="shared" si="38"/>
        <v>0.82359611393534338</v>
      </c>
    </row>
    <row r="105" spans="1:45">
      <c r="A105" s="134"/>
      <c r="B105" s="136"/>
      <c r="C105" s="136"/>
      <c r="D105" s="136"/>
      <c r="E105" s="136"/>
      <c r="F105" s="136"/>
      <c r="G105" s="136"/>
      <c r="H105" s="136"/>
      <c r="I105" s="136"/>
      <c r="J105" s="136"/>
      <c r="K105" s="136"/>
      <c r="L105" s="136"/>
      <c r="M105" s="136"/>
      <c r="N105" s="142" t="s">
        <v>97</v>
      </c>
      <c r="O105" s="566">
        <f>SidsSudiEth!K120</f>
        <v>8</v>
      </c>
      <c r="P105" s="566">
        <f>SidsSudiTrend!M63</f>
        <v>9853</v>
      </c>
      <c r="Q105" s="569">
        <f t="shared" si="39"/>
        <v>0.81193545113163501</v>
      </c>
      <c r="R105" s="135"/>
      <c r="AM105" s="687">
        <f t="shared" si="32"/>
        <v>0.26094618101307637</v>
      </c>
      <c r="AN105" s="687">
        <f t="shared" si="33"/>
        <v>1.8855400109919185</v>
      </c>
      <c r="AO105" s="688">
        <f t="shared" si="34"/>
        <v>0.55098927011855858</v>
      </c>
      <c r="AP105" s="688">
        <f t="shared" si="35"/>
        <v>1.0736045598602835</v>
      </c>
      <c r="AQ105" s="689">
        <f t="shared" si="36"/>
        <v>0.69072870225627025</v>
      </c>
      <c r="AR105" s="688">
        <f t="shared" si="37"/>
        <v>0.57386922378721794</v>
      </c>
      <c r="AS105" s="688">
        <f t="shared" si="38"/>
        <v>0.82359611393534338</v>
      </c>
    </row>
    <row r="106" spans="1:45">
      <c r="A106" s="134"/>
      <c r="B106" s="136"/>
      <c r="C106" s="136"/>
      <c r="D106" s="136"/>
      <c r="E106" s="136"/>
      <c r="F106" s="136"/>
      <c r="G106" s="136"/>
      <c r="H106" s="136"/>
      <c r="I106" s="136"/>
      <c r="J106" s="136"/>
      <c r="K106" s="136"/>
      <c r="L106" s="136"/>
      <c r="M106" s="136"/>
      <c r="N106" s="145" t="s">
        <v>98</v>
      </c>
      <c r="O106" s="567">
        <f>SidsSudiEth!K121</f>
        <v>1</v>
      </c>
      <c r="P106" s="567">
        <f>SidsSudiTrend!M64</f>
        <v>2478</v>
      </c>
      <c r="Q106" s="568">
        <f t="shared" si="39"/>
        <v>0.40355125100887812</v>
      </c>
      <c r="R106" s="135"/>
      <c r="AM106" s="687">
        <f t="shared" si="32"/>
        <v>2.02281752362562E-3</v>
      </c>
      <c r="AN106" s="687">
        <f t="shared" si="33"/>
        <v>2.9984380549960132</v>
      </c>
      <c r="AO106" s="688">
        <f t="shared" si="34"/>
        <v>0.40152843348525252</v>
      </c>
      <c r="AP106" s="688">
        <f t="shared" si="35"/>
        <v>2.5948868039871353</v>
      </c>
      <c r="AQ106" s="689">
        <f t="shared" si="36"/>
        <v>0.69072870225627025</v>
      </c>
      <c r="AR106" s="688">
        <f t="shared" si="37"/>
        <v>0.57386922378721794</v>
      </c>
      <c r="AS106" s="688">
        <f t="shared" si="38"/>
        <v>0.82359611393534338</v>
      </c>
    </row>
    <row r="107" spans="1:45">
      <c r="A107" s="134"/>
      <c r="B107" s="136"/>
      <c r="C107" s="136"/>
      <c r="D107" s="136"/>
      <c r="E107" s="136"/>
      <c r="F107" s="136"/>
      <c r="G107" s="136"/>
      <c r="H107" s="136"/>
      <c r="I107" s="136"/>
      <c r="J107" s="136"/>
      <c r="K107" s="136"/>
      <c r="L107" s="136"/>
      <c r="M107" s="136"/>
      <c r="N107" s="142" t="s">
        <v>99</v>
      </c>
      <c r="O107" s="566">
        <f>SidsSudiEth!K122</f>
        <v>3</v>
      </c>
      <c r="P107" s="566">
        <f>SidsSudiTrend!M65</f>
        <v>7574</v>
      </c>
      <c r="Q107" s="569">
        <f t="shared" si="39"/>
        <v>0.39609189331925004</v>
      </c>
      <c r="R107" s="135"/>
      <c r="AM107" s="687">
        <f t="shared" si="32"/>
        <v>4.460831644147531E-2</v>
      </c>
      <c r="AN107" s="687">
        <f t="shared" si="33"/>
        <v>1.4493632816648752</v>
      </c>
      <c r="AO107" s="688">
        <f t="shared" si="34"/>
        <v>0.35148357687777476</v>
      </c>
      <c r="AP107" s="688">
        <f t="shared" si="35"/>
        <v>1.0532713883456251</v>
      </c>
      <c r="AQ107" s="689">
        <f t="shared" si="36"/>
        <v>0.69072870225627025</v>
      </c>
      <c r="AR107" s="688">
        <f t="shared" si="37"/>
        <v>0.57386922378721794</v>
      </c>
      <c r="AS107" s="688">
        <f t="shared" si="38"/>
        <v>0.82359611393534338</v>
      </c>
    </row>
    <row r="108" spans="1:45">
      <c r="A108" s="134"/>
      <c r="B108" s="136"/>
      <c r="C108" s="136"/>
      <c r="D108" s="136"/>
      <c r="E108" s="136"/>
      <c r="F108" s="136"/>
      <c r="G108" s="136"/>
      <c r="H108" s="136"/>
      <c r="I108" s="136"/>
      <c r="J108" s="136"/>
      <c r="K108" s="136"/>
      <c r="L108" s="136"/>
      <c r="M108" s="136"/>
      <c r="N108" s="145" t="s">
        <v>100</v>
      </c>
      <c r="O108" s="567">
        <f>SidsSudiEth!K123</f>
        <v>0</v>
      </c>
      <c r="P108" s="567">
        <f>SidsSudiTrend!M66</f>
        <v>1908</v>
      </c>
      <c r="Q108" s="568">
        <f t="shared" si="39"/>
        <v>0</v>
      </c>
      <c r="R108" s="135"/>
      <c r="AM108" s="687">
        <f t="shared" si="32"/>
        <v>0</v>
      </c>
      <c r="AN108" s="687">
        <f t="shared" si="33"/>
        <v>2.7768958944172093</v>
      </c>
      <c r="AO108" s="688">
        <f t="shared" si="34"/>
        <v>0</v>
      </c>
      <c r="AP108" s="688">
        <f t="shared" si="35"/>
        <v>2.7768958944172093</v>
      </c>
      <c r="AQ108" s="689">
        <f t="shared" si="36"/>
        <v>0.69072870225627025</v>
      </c>
      <c r="AR108" s="688">
        <f t="shared" si="37"/>
        <v>0.57386922378721794</v>
      </c>
      <c r="AS108" s="688">
        <f t="shared" si="38"/>
        <v>0.82359611393534338</v>
      </c>
    </row>
    <row r="109" spans="1:45">
      <c r="A109" s="134"/>
      <c r="B109" s="136"/>
      <c r="C109" s="136"/>
      <c r="D109" s="136"/>
      <c r="E109" s="136"/>
      <c r="F109" s="136"/>
      <c r="G109" s="136"/>
      <c r="H109" s="136"/>
      <c r="I109" s="136"/>
      <c r="J109" s="136"/>
      <c r="K109" s="136"/>
      <c r="L109" s="136"/>
      <c r="M109" s="136"/>
      <c r="N109" s="142" t="s">
        <v>101</v>
      </c>
      <c r="O109" s="566">
        <f>SidsSudiEth!K124</f>
        <v>21</v>
      </c>
      <c r="P109" s="566">
        <f>SidsSudiTrend!M67</f>
        <v>30817</v>
      </c>
      <c r="Q109" s="569">
        <f t="shared" si="39"/>
        <v>0.68144206119998696</v>
      </c>
      <c r="R109" s="135"/>
      <c r="AM109" s="687">
        <f t="shared" si="32"/>
        <v>0.35919238250755381</v>
      </c>
      <c r="AN109" s="687">
        <f t="shared" si="33"/>
        <v>1.1664430421358203</v>
      </c>
      <c r="AO109" s="688">
        <f t="shared" si="34"/>
        <v>0.32224967869243315</v>
      </c>
      <c r="AP109" s="688">
        <f t="shared" si="35"/>
        <v>0.48500098093583333</v>
      </c>
      <c r="AQ109" s="689">
        <f t="shared" si="36"/>
        <v>0.69072870225627025</v>
      </c>
      <c r="AR109" s="688">
        <f t="shared" si="37"/>
        <v>0.57386922378721794</v>
      </c>
      <c r="AS109" s="688">
        <f t="shared" si="38"/>
        <v>0.82359611393534338</v>
      </c>
    </row>
    <row r="110" spans="1:45">
      <c r="A110" s="134"/>
      <c r="B110" s="136"/>
      <c r="C110" s="136"/>
      <c r="D110" s="136"/>
      <c r="E110" s="136"/>
      <c r="F110" s="136"/>
      <c r="G110" s="136"/>
      <c r="H110" s="136"/>
      <c r="I110" s="136"/>
      <c r="J110" s="136"/>
      <c r="K110" s="136"/>
      <c r="L110" s="136"/>
      <c r="M110" s="136"/>
      <c r="N110" s="145" t="s">
        <v>102</v>
      </c>
      <c r="O110" s="567">
        <f>SidsSudiEth!K125</f>
        <v>2</v>
      </c>
      <c r="P110" s="567">
        <f>SidsSudiTrend!M68</f>
        <v>3202</v>
      </c>
      <c r="Q110" s="568">
        <f t="shared" si="39"/>
        <v>0.62460961898813239</v>
      </c>
      <c r="R110" s="135"/>
      <c r="AM110" s="687">
        <f t="shared" si="32"/>
        <v>3.2321844705837342E-2</v>
      </c>
      <c r="AN110" s="687">
        <f t="shared" si="33"/>
        <v>2.8962498717225311</v>
      </c>
      <c r="AO110" s="688">
        <f t="shared" si="34"/>
        <v>0.59228777428229507</v>
      </c>
      <c r="AP110" s="688">
        <f t="shared" si="35"/>
        <v>2.2716402527343988</v>
      </c>
      <c r="AQ110" s="689">
        <f t="shared" si="36"/>
        <v>0.69072870225627025</v>
      </c>
      <c r="AR110" s="688">
        <f t="shared" si="37"/>
        <v>0.57386922378721794</v>
      </c>
      <c r="AS110" s="688">
        <f t="shared" si="38"/>
        <v>0.82359611393534338</v>
      </c>
    </row>
    <row r="111" spans="1:45">
      <c r="A111" s="134"/>
      <c r="B111" s="136"/>
      <c r="C111" s="136"/>
      <c r="D111" s="136"/>
      <c r="E111" s="136"/>
      <c r="F111" s="136"/>
      <c r="G111" s="136"/>
      <c r="H111" s="136"/>
      <c r="I111" s="136"/>
      <c r="J111" s="136"/>
      <c r="K111" s="136"/>
      <c r="L111" s="136"/>
      <c r="M111" s="136"/>
      <c r="N111" s="142" t="s">
        <v>103</v>
      </c>
      <c r="O111" s="566">
        <f>SidsSudiEth!K126</f>
        <v>10</v>
      </c>
      <c r="P111" s="566">
        <f>SidsSudiTrend!M69</f>
        <v>17427</v>
      </c>
      <c r="Q111" s="569">
        <f t="shared" si="39"/>
        <v>0.57382222987318521</v>
      </c>
      <c r="R111" s="135"/>
      <c r="AM111" s="687">
        <f t="shared" si="32"/>
        <v>0.21328525457434541</v>
      </c>
      <c r="AN111" s="687">
        <f t="shared" si="33"/>
        <v>1.2278549090293378</v>
      </c>
      <c r="AO111" s="688">
        <f t="shared" si="34"/>
        <v>0.36053697529883977</v>
      </c>
      <c r="AP111" s="688">
        <f t="shared" si="35"/>
        <v>0.6540326791561526</v>
      </c>
      <c r="AQ111" s="689">
        <f t="shared" si="36"/>
        <v>0.69072870225627025</v>
      </c>
      <c r="AR111" s="688">
        <f t="shared" si="37"/>
        <v>0.57386922378721794</v>
      </c>
      <c r="AS111" s="688">
        <f t="shared" si="38"/>
        <v>0.82359611393534338</v>
      </c>
    </row>
    <row r="112" spans="1:45">
      <c r="A112" s="134"/>
      <c r="B112" s="136"/>
      <c r="C112" s="136"/>
      <c r="D112" s="136"/>
      <c r="E112" s="136"/>
      <c r="F112" s="136"/>
      <c r="G112" s="136"/>
      <c r="H112" s="136"/>
      <c r="I112" s="136"/>
      <c r="J112" s="136"/>
      <c r="K112" s="136"/>
      <c r="L112" s="136"/>
      <c r="M112" s="136"/>
      <c r="N112" s="148" t="s">
        <v>63</v>
      </c>
      <c r="O112" s="567">
        <f>SidsSudiEth!K127</f>
        <v>0</v>
      </c>
      <c r="P112" s="567">
        <f>SidsSudiTrend!M70</f>
        <v>899</v>
      </c>
      <c r="Q112" s="568" t="s">
        <v>119</v>
      </c>
      <c r="R112" s="135"/>
      <c r="AM112" s="687"/>
      <c r="AN112" s="687"/>
      <c r="AO112" s="692"/>
      <c r="AP112" s="692"/>
      <c r="AQ112" s="692"/>
      <c r="AR112" s="692"/>
      <c r="AS112" s="692"/>
    </row>
    <row r="113" spans="1:45">
      <c r="A113" s="134"/>
      <c r="B113" s="136"/>
      <c r="C113" s="136"/>
      <c r="D113" s="136"/>
      <c r="E113" s="136"/>
      <c r="F113" s="136"/>
      <c r="G113" s="136"/>
      <c r="H113" s="136"/>
      <c r="I113" s="136"/>
      <c r="J113" s="136"/>
      <c r="K113" s="136"/>
      <c r="L113" s="136"/>
      <c r="M113" s="136"/>
      <c r="N113" s="150" t="s">
        <v>16</v>
      </c>
      <c r="O113" s="151">
        <f>SUM(O92:O112)</f>
        <v>209</v>
      </c>
      <c r="P113" s="151">
        <f>SUM(P92:P112)</f>
        <v>302579</v>
      </c>
      <c r="Q113" s="152">
        <f>O113/P113*1000</f>
        <v>0.69072870225627025</v>
      </c>
      <c r="R113" s="135"/>
      <c r="AM113" s="693">
        <f>IF(O113=0,0,IF(O113&lt;389,CHIINV(0.5+$AN$5/200,2*O113)/2,O113*(1-1/(9*O113)-NORMSINV(0.5+$AN$5/200)/3/SQRT(O113))^3))/P113*1000</f>
        <v>0.57386922378721794</v>
      </c>
      <c r="AN113" s="693">
        <f>IF(O113&lt;389,CHIINV(0.5-$AN$5/200,2*O113+2)/2,(O113+1)*(1-1/(9*(O113+1))+NORMSINV(0.5+$AN$5/200)/3/SQRT(O113+1))^3)/P113*1000</f>
        <v>0.82359611393534338</v>
      </c>
      <c r="AO113" s="694">
        <f>Q113-AM113</f>
        <v>0.11685947846905231</v>
      </c>
      <c r="AP113" s="694">
        <f>AN113-Q113</f>
        <v>0.13286741167907312</v>
      </c>
      <c r="AQ113" s="692"/>
      <c r="AR113" s="692"/>
      <c r="AS113" s="692"/>
    </row>
    <row r="114" spans="1:45">
      <c r="A114" s="134"/>
      <c r="B114" s="136"/>
      <c r="C114" s="136"/>
      <c r="D114" s="136"/>
      <c r="E114" s="136"/>
      <c r="F114" s="136"/>
      <c r="G114" s="136"/>
      <c r="H114" s="136"/>
      <c r="I114" s="136"/>
      <c r="J114" s="136"/>
      <c r="K114" s="136"/>
      <c r="L114" s="136"/>
      <c r="M114" s="136"/>
      <c r="N114" s="136"/>
      <c r="O114" s="136"/>
      <c r="P114" s="136"/>
      <c r="Q114" s="136"/>
      <c r="R114" s="135"/>
    </row>
    <row r="115" spans="1:45">
      <c r="A115" s="153"/>
      <c r="B115" s="154"/>
      <c r="C115" s="154"/>
      <c r="D115" s="154"/>
      <c r="E115" s="154"/>
      <c r="F115" s="154"/>
      <c r="G115" s="154"/>
      <c r="H115" s="154"/>
      <c r="I115" s="154"/>
      <c r="J115" s="154"/>
      <c r="K115" s="154"/>
      <c r="L115" s="154"/>
      <c r="M115" s="154"/>
      <c r="N115" s="154"/>
      <c r="O115" s="154"/>
      <c r="P115" s="154"/>
      <c r="Q115" s="154"/>
      <c r="R115" s="155"/>
    </row>
  </sheetData>
  <sheetProtection selectLockedCells="1"/>
  <mergeCells count="4">
    <mergeCell ref="B6:Q6"/>
    <mergeCell ref="B34:Q34"/>
    <mergeCell ref="B62:Q62"/>
    <mergeCell ref="B90:Q90"/>
  </mergeCells>
  <hyperlinks>
    <hyperlink ref="C1" location="Glossary!A1" display="Glossary" xr:uid="{00000000-0004-0000-1100-000000000000}"/>
    <hyperlink ref="B1" location="Contents!A1" display="Table of contents" xr:uid="{00000000-0004-0000-1100-000001000000}"/>
    <hyperlink ref="D1" location="About!A1" display="About the publication" xr:uid="{00000000-0004-0000-1100-000002000000}"/>
    <hyperlink ref="F1" location="KeyFindings!A1" display="Key findings" xr:uid="{00000000-0004-0000-1100-000003000000}"/>
  </hyperlinks>
  <pageMargins left="0.70866141732283472" right="0.70866141732283472" top="0.74803149606299213" bottom="0.74803149606299213" header="0.31496062992125984" footer="0.31496062992125984"/>
  <pageSetup paperSize="9" scale="43" fitToHeight="2" orientation="portrait" r:id="rId1"/>
  <headerFooter>
    <oddFooter>&amp;L&amp;"Arial,Regular"&amp;8&amp;K01+019Fetal and Infant Deaths 2016&amp;R&amp;"Arial,Regular"&amp;8&amp;K01+018Page &amp;P of &amp;N</oddFooter>
  </headerFooter>
  <ignoredErrors>
    <ignoredError sqref="Q36:Q38 O57:P57 O85:Q85 O113:P113 O29:Q29 Q8 Q9:Q10 O10 O11:O28 O36:O38 P64 P65:P66 P84:Q84 O64:O84 P67:P83 Q64:Q83 O92:Q112 O8 O9 P8:P28 P36:P56 Q12:Q28 Q40:Q57 O40:O56" unlockedFormula="1"/>
  </ignoredError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CE80"/>
  <sheetViews>
    <sheetView showGridLines="0" zoomScaleNormal="100" workbookViewId="0">
      <pane ySplit="5" topLeftCell="A6" activePane="bottomLeft" state="frozen"/>
      <selection activeCell="P44" sqref="P44"/>
      <selection pane="bottomLeft" activeCell="A6" sqref="A6"/>
    </sheetView>
  </sheetViews>
  <sheetFormatPr defaultRowHeight="15"/>
  <cols>
    <col min="1" max="1" width="22.42578125" customWidth="1"/>
    <col min="2" max="3" width="10.42578125" customWidth="1"/>
    <col min="4" max="4" width="10.42578125" style="9" customWidth="1"/>
    <col min="5" max="5" width="10.42578125" customWidth="1"/>
    <col min="6" max="6" width="10.42578125" style="9" customWidth="1"/>
    <col min="7" max="8" width="9.140625" customWidth="1"/>
    <col min="9" max="9" width="3.85546875" customWidth="1"/>
    <col min="10" max="11" width="9.140625" style="39" customWidth="1"/>
    <col min="12" max="19" width="9.140625" style="102" customWidth="1"/>
    <col min="20" max="20" width="4.5703125" style="102" customWidth="1"/>
    <col min="21" max="21" width="9.140625" style="102" customWidth="1"/>
    <col min="22" max="39" width="9.140625" style="813" customWidth="1"/>
    <col min="40" max="41" width="9.140625" style="169" customWidth="1"/>
    <col min="42" max="42" width="9.140625" style="245" customWidth="1"/>
    <col min="43" max="43" width="9.140625" style="243" customWidth="1"/>
    <col min="44" max="44" width="9.140625" style="780" customWidth="1"/>
    <col min="45" max="46" width="9.140625" style="459" customWidth="1"/>
    <col min="47" max="50" width="8.7109375" style="459" customWidth="1"/>
    <col min="51" max="54" width="9.140625" style="459" customWidth="1"/>
    <col min="55" max="57" width="9.140625" style="447" customWidth="1"/>
    <col min="58" max="61" width="9.140625" style="459" customWidth="1"/>
    <col min="62" max="63" width="10.7109375" style="459" customWidth="1"/>
    <col min="64" max="66" width="9.140625" style="459" customWidth="1"/>
    <col min="67" max="67" width="12.5703125" style="459" bestFit="1" customWidth="1"/>
    <col min="68" max="69" width="9.140625" style="459" customWidth="1"/>
    <col min="70" max="70" width="9.5703125" style="459" bestFit="1" customWidth="1"/>
    <col min="71" max="71" width="10.85546875" style="459" bestFit="1" customWidth="1"/>
    <col min="72" max="75" width="9.140625" style="459" customWidth="1"/>
    <col min="76" max="76" width="9.140625" style="780" customWidth="1"/>
    <col min="77" max="77" width="9.140625" style="245" customWidth="1"/>
  </cols>
  <sheetData>
    <row r="1" spans="1:83" s="162" customFormat="1">
      <c r="A1" s="159" t="s">
        <v>158</v>
      </c>
      <c r="B1" s="159" t="s">
        <v>115</v>
      </c>
      <c r="C1" s="159" t="s">
        <v>173</v>
      </c>
      <c r="E1" s="159" t="s">
        <v>353</v>
      </c>
      <c r="G1" s="160"/>
      <c r="I1" s="226"/>
      <c r="J1" s="226"/>
      <c r="K1" s="226"/>
      <c r="L1" s="226"/>
      <c r="M1" s="226"/>
      <c r="N1" s="226"/>
      <c r="AP1" s="226"/>
      <c r="AQ1" s="463"/>
      <c r="AR1" s="462"/>
      <c r="AS1" s="462"/>
      <c r="AT1" s="462"/>
      <c r="AU1" s="462"/>
      <c r="AV1" s="462"/>
      <c r="AW1" s="462"/>
      <c r="AX1" s="462"/>
      <c r="AY1" s="462"/>
      <c r="AZ1" s="462"/>
      <c r="BA1" s="462"/>
      <c r="BB1" s="462"/>
      <c r="BC1" s="463"/>
      <c r="BD1" s="463"/>
      <c r="BE1" s="463"/>
      <c r="BF1" s="462"/>
      <c r="BG1" s="462"/>
      <c r="BH1" s="462"/>
      <c r="BI1" s="462"/>
      <c r="BJ1" s="462"/>
      <c r="BK1" s="462"/>
      <c r="BL1" s="462"/>
      <c r="BM1" s="462"/>
      <c r="BN1" s="462"/>
      <c r="BO1" s="462"/>
      <c r="BP1" s="462"/>
      <c r="BQ1" s="462"/>
      <c r="BR1" s="462"/>
      <c r="BS1" s="462"/>
      <c r="BT1" s="462"/>
      <c r="BU1" s="462"/>
      <c r="BV1" s="462"/>
      <c r="BW1" s="462"/>
      <c r="BX1" s="462"/>
      <c r="BY1" s="226"/>
    </row>
    <row r="2" spans="1:83" s="162" customFormat="1" ht="11.25" customHeight="1">
      <c r="A2" s="159"/>
      <c r="B2" s="159"/>
      <c r="C2" s="159"/>
      <c r="D2" s="225"/>
      <c r="F2" s="159"/>
      <c r="G2" s="143"/>
      <c r="H2" s="226"/>
      <c r="I2" s="226"/>
      <c r="J2" s="226"/>
      <c r="K2" s="226"/>
      <c r="L2" s="226"/>
      <c r="M2" s="226"/>
      <c r="N2" s="226"/>
      <c r="AP2" s="226"/>
      <c r="AQ2" s="463"/>
      <c r="AR2" s="462"/>
      <c r="AS2" s="462"/>
      <c r="AT2" s="462"/>
      <c r="AU2" s="462"/>
      <c r="AV2" s="462"/>
      <c r="AW2" s="462"/>
      <c r="AX2" s="462"/>
      <c r="AY2" s="462"/>
      <c r="AZ2" s="462"/>
      <c r="BA2" s="462"/>
      <c r="BB2" s="462"/>
      <c r="BC2" s="463"/>
      <c r="BD2" s="463"/>
      <c r="BE2" s="463"/>
      <c r="BF2" s="462"/>
      <c r="BG2" s="462"/>
      <c r="BH2" s="462"/>
      <c r="BI2" s="462"/>
      <c r="BJ2" s="462"/>
      <c r="BK2" s="462"/>
      <c r="BL2" s="462"/>
      <c r="BM2" s="462"/>
      <c r="BN2" s="462"/>
      <c r="BO2" s="462"/>
      <c r="BP2" s="462"/>
      <c r="BQ2" s="462"/>
      <c r="BR2" s="462"/>
      <c r="BS2" s="462"/>
      <c r="BT2" s="462"/>
      <c r="BU2" s="462"/>
      <c r="BV2" s="462"/>
      <c r="BW2" s="462"/>
      <c r="BX2" s="462"/>
      <c r="BY2" s="226"/>
    </row>
    <row r="3" spans="1:83" s="162" customFormat="1">
      <c r="A3" s="232" t="s">
        <v>318</v>
      </c>
      <c r="B3" s="263"/>
      <c r="C3" s="263"/>
      <c r="D3" s="263"/>
      <c r="E3" s="227"/>
      <c r="F3" s="233"/>
      <c r="H3" s="226"/>
      <c r="M3" s="226"/>
      <c r="N3" s="226"/>
      <c r="AP3" s="226"/>
      <c r="AQ3" s="463"/>
      <c r="AR3" s="462"/>
      <c r="AS3" s="462"/>
      <c r="AT3" s="462"/>
      <c r="AU3" s="462"/>
      <c r="AV3" s="462"/>
      <c r="AW3" s="462"/>
      <c r="AX3" s="462"/>
      <c r="AY3" s="462"/>
      <c r="AZ3" s="462"/>
      <c r="BA3" s="462"/>
      <c r="BB3" s="462"/>
      <c r="BC3" s="463"/>
      <c r="BD3" s="463"/>
      <c r="BE3" s="463"/>
      <c r="BF3" s="462"/>
      <c r="BG3" s="462"/>
      <c r="BH3" s="462"/>
      <c r="BI3" s="462"/>
      <c r="BJ3" s="462"/>
      <c r="BK3" s="462"/>
      <c r="BL3" s="462"/>
      <c r="BM3" s="462"/>
      <c r="BN3" s="462"/>
      <c r="BO3" s="462"/>
      <c r="BP3" s="462"/>
      <c r="BQ3" s="462"/>
      <c r="BR3" s="462"/>
      <c r="BS3" s="462"/>
      <c r="BT3" s="462"/>
      <c r="BU3" s="462"/>
      <c r="BV3" s="462"/>
      <c r="BW3" s="462"/>
      <c r="BX3" s="462"/>
      <c r="BY3" s="226"/>
    </row>
    <row r="4" spans="1:83" s="162" customFormat="1">
      <c r="A4" s="159"/>
      <c r="B4" s="143"/>
      <c r="C4" s="160"/>
      <c r="D4" s="262"/>
      <c r="E4" s="160"/>
      <c r="F4" s="160"/>
      <c r="H4" s="226"/>
      <c r="I4" s="226"/>
      <c r="J4" s="226"/>
      <c r="K4" s="226"/>
      <c r="L4" s="226"/>
      <c r="M4" s="226"/>
      <c r="N4" s="226"/>
      <c r="AP4" s="226"/>
      <c r="AQ4" s="463"/>
      <c r="AR4" s="462"/>
      <c r="AS4" s="462"/>
      <c r="AT4" s="462"/>
      <c r="AU4" s="462"/>
      <c r="AV4" s="462"/>
      <c r="AW4" s="462"/>
      <c r="AX4" s="462"/>
      <c r="AY4" s="462"/>
      <c r="AZ4" s="462"/>
      <c r="BA4" s="462"/>
      <c r="BB4" s="462"/>
      <c r="BC4" s="463"/>
      <c r="BD4" s="463"/>
      <c r="BE4" s="463"/>
      <c r="BF4" s="462"/>
      <c r="BG4" s="462"/>
      <c r="BH4" s="462"/>
      <c r="BI4" s="462"/>
      <c r="BJ4" s="462"/>
      <c r="BK4" s="462"/>
      <c r="BL4" s="462"/>
      <c r="BM4" s="462"/>
      <c r="BN4" s="462"/>
      <c r="BO4" s="462"/>
      <c r="BP4" s="462"/>
      <c r="BQ4" s="462"/>
      <c r="BR4" s="462"/>
      <c r="BS4" s="462"/>
      <c r="BT4" s="462"/>
      <c r="BU4" s="462"/>
      <c r="BV4" s="462"/>
      <c r="BW4" s="462"/>
      <c r="BX4" s="462"/>
      <c r="BY4" s="226"/>
    </row>
    <row r="5" spans="1:83" s="162" customFormat="1" ht="20.25">
      <c r="A5" s="161" t="s">
        <v>406</v>
      </c>
      <c r="G5" s="204"/>
      <c r="AP5" s="226"/>
      <c r="AQ5" s="463"/>
      <c r="AR5" s="462"/>
      <c r="AS5" s="462"/>
      <c r="AT5" s="829"/>
      <c r="AU5" s="462"/>
      <c r="AV5" s="462"/>
      <c r="AW5" s="462"/>
      <c r="AX5" s="462"/>
      <c r="AY5" s="462"/>
      <c r="AZ5" s="462"/>
      <c r="BA5" s="462"/>
      <c r="BB5" s="462"/>
      <c r="BC5" s="463"/>
      <c r="BD5" s="463"/>
      <c r="BE5" s="463"/>
      <c r="BF5" s="462"/>
      <c r="BG5" s="462"/>
      <c r="BH5" s="462"/>
      <c r="BI5" s="462"/>
      <c r="BJ5" s="462"/>
      <c r="BK5" s="462"/>
      <c r="BL5" s="462"/>
      <c r="BM5" s="462"/>
      <c r="BN5" s="462"/>
      <c r="BO5" s="462"/>
      <c r="BP5" s="462"/>
      <c r="BQ5" s="462"/>
      <c r="BR5" s="462"/>
      <c r="BS5" s="462"/>
      <c r="BT5" s="462"/>
      <c r="BU5" s="462"/>
      <c r="BV5" s="462"/>
      <c r="BW5" s="462"/>
      <c r="BX5" s="462"/>
      <c r="BY5" s="226"/>
    </row>
    <row r="6" spans="1:83">
      <c r="G6" s="196"/>
      <c r="H6" s="196"/>
      <c r="BD6" s="700"/>
      <c r="BE6" s="700"/>
      <c r="BF6" s="324"/>
      <c r="BG6" s="814" t="s">
        <v>140</v>
      </c>
      <c r="BH6" s="814" t="s">
        <v>288</v>
      </c>
      <c r="BI6" s="814" t="s">
        <v>306</v>
      </c>
      <c r="BJ6" s="814" t="s">
        <v>317</v>
      </c>
      <c r="BK6" s="814" t="s">
        <v>199</v>
      </c>
      <c r="BL6" s="324"/>
      <c r="BM6" s="324"/>
      <c r="BN6" s="324"/>
      <c r="BO6" s="324"/>
      <c r="BP6" s="324"/>
      <c r="BQ6" s="324"/>
      <c r="BR6" s="324"/>
      <c r="BS6" s="324"/>
      <c r="BT6" s="324"/>
      <c r="BU6" s="324"/>
      <c r="BV6" s="324"/>
      <c r="BW6" s="324"/>
      <c r="BX6" s="771"/>
      <c r="BY6" s="311"/>
    </row>
    <row r="7" spans="1:83" s="72" customFormat="1" ht="45" customHeight="1">
      <c r="A7" s="979" t="str">
        <f>"Table "&amp;Contents!C38&amp;": Number and rate of fetal and infant deaths for "&amp;BJ7&amp;", by sex, ethnic group, maternal age group, deprivation quintile of residence, gestation and birthweight, 2016"</f>
        <v>Table 22: Number and rate of fetal and infant deaths for Northland DHB, by sex, ethnic group, maternal age group, deprivation quintile of residence, gestation and birthweight, 2016</v>
      </c>
      <c r="B7" s="979"/>
      <c r="C7" s="979"/>
      <c r="D7" s="979"/>
      <c r="E7" s="979"/>
      <c r="F7" s="979"/>
      <c r="G7" s="238"/>
      <c r="H7" s="239"/>
      <c r="I7" s="208"/>
      <c r="J7" s="978" t="str">
        <f>"Figure "&amp;Contents!C39&amp;": Fetal and infant death rate for "&amp;$BJ$7&amp;" by ethnic group, maternal age group and deprivation quintile of residence, 2016"</f>
        <v>Figure 13: Fetal and infant death rate for Northland DHB by ethnic group, maternal age group and deprivation quintile of residence, 2016</v>
      </c>
      <c r="K7" s="978"/>
      <c r="L7" s="978"/>
      <c r="M7" s="978"/>
      <c r="N7" s="978"/>
      <c r="O7" s="978"/>
      <c r="P7" s="978"/>
      <c r="Q7" s="978"/>
      <c r="R7" s="978"/>
      <c r="S7" s="978"/>
      <c r="T7" s="209"/>
      <c r="U7" s="240"/>
      <c r="V7" s="240"/>
      <c r="W7" s="240"/>
      <c r="X7" s="240"/>
      <c r="Y7" s="240"/>
      <c r="Z7" s="240"/>
      <c r="AA7" s="240"/>
      <c r="AB7" s="240"/>
      <c r="AC7" s="240"/>
      <c r="AD7" s="240"/>
      <c r="AE7" s="240"/>
      <c r="AF7" s="240"/>
      <c r="AG7" s="240"/>
      <c r="AH7" s="240"/>
      <c r="AI7" s="240"/>
      <c r="AJ7" s="240"/>
      <c r="AK7" s="240"/>
      <c r="AL7" s="240"/>
      <c r="AM7" s="240"/>
      <c r="AN7" s="240"/>
      <c r="AO7" s="240"/>
      <c r="AP7" s="649"/>
      <c r="AQ7" s="649"/>
      <c r="AR7" s="830"/>
      <c r="AS7" s="831"/>
      <c r="AT7" s="832"/>
      <c r="AU7" s="387"/>
      <c r="AV7" s="387"/>
      <c r="AW7" s="600"/>
      <c r="AX7" s="600"/>
      <c r="AY7" s="600"/>
      <c r="AZ7" s="600"/>
      <c r="BA7" s="600"/>
      <c r="BB7" s="600"/>
      <c r="BC7" s="734"/>
      <c r="BD7" s="261"/>
      <c r="BE7" s="261"/>
      <c r="BF7" s="387"/>
      <c r="BG7" s="760" t="str">
        <f>VLOOKUP(BK7, Ref!A2:E22, 4,FALSE)</f>
        <v>Northland</v>
      </c>
      <c r="BH7" s="760" t="str">
        <f>VLOOKUP(99,Ref!$A$1:$E$22, 4,FALSE)</f>
        <v>New Zealand</v>
      </c>
      <c r="BI7" s="760">
        <v>95</v>
      </c>
      <c r="BJ7" s="760" t="str">
        <f>VLOOKUP(BK7, Ref!A2:E22, 2,FALSE)</f>
        <v>Northland DHB</v>
      </c>
      <c r="BK7" s="387">
        <v>1</v>
      </c>
      <c r="BL7" s="387"/>
      <c r="BM7" s="387"/>
      <c r="BN7" s="387"/>
      <c r="BO7" s="387"/>
      <c r="BP7" s="387"/>
      <c r="BQ7" s="387"/>
      <c r="BR7" s="387"/>
      <c r="BS7" s="387"/>
      <c r="BT7" s="387"/>
      <c r="BU7" s="387"/>
      <c r="BV7" s="387"/>
      <c r="BW7" s="387"/>
      <c r="BX7" s="387"/>
      <c r="BY7" s="261"/>
      <c r="BZ7" s="205"/>
      <c r="CA7" s="205"/>
      <c r="CB7" s="205"/>
      <c r="CC7" s="205"/>
      <c r="CD7" s="205"/>
      <c r="CE7" s="205"/>
    </row>
    <row r="8" spans="1:83">
      <c r="A8" s="981" t="s">
        <v>68</v>
      </c>
      <c r="B8" s="985" t="s">
        <v>67</v>
      </c>
      <c r="C8" s="983" t="s">
        <v>52</v>
      </c>
      <c r="D8" s="984"/>
      <c r="E8" s="983" t="s">
        <v>55</v>
      </c>
      <c r="F8" s="983"/>
      <c r="G8" s="234"/>
      <c r="H8" s="207"/>
      <c r="I8" s="182"/>
      <c r="J8" s="136"/>
      <c r="K8" s="136"/>
      <c r="L8" s="136"/>
      <c r="M8" s="136"/>
      <c r="N8" s="136"/>
      <c r="O8" s="136"/>
      <c r="P8" s="136"/>
      <c r="Q8" s="136"/>
      <c r="R8" s="136"/>
      <c r="S8" s="136"/>
      <c r="T8" s="183"/>
      <c r="U8" s="85"/>
      <c r="V8" s="85"/>
      <c r="W8" s="85"/>
      <c r="X8" s="85"/>
      <c r="Y8" s="85"/>
      <c r="Z8" s="85"/>
      <c r="AA8" s="85"/>
      <c r="AB8" s="85"/>
      <c r="AC8" s="85"/>
      <c r="AD8" s="85"/>
      <c r="AE8" s="85"/>
      <c r="AF8" s="85"/>
      <c r="AG8" s="85"/>
      <c r="AH8" s="85"/>
      <c r="AI8" s="85"/>
      <c r="AJ8" s="85"/>
      <c r="AK8" s="85"/>
      <c r="AL8" s="85"/>
      <c r="AM8" s="85"/>
      <c r="AN8" s="85"/>
      <c r="AO8" s="85"/>
      <c r="AP8" s="311"/>
      <c r="AQ8" s="311"/>
      <c r="AR8" s="771"/>
      <c r="AS8" s="324"/>
      <c r="AT8" s="324"/>
      <c r="AU8" s="324"/>
      <c r="AV8" s="324"/>
      <c r="BD8" s="700"/>
      <c r="BE8" s="700"/>
      <c r="BF8" s="503"/>
      <c r="BG8" s="503"/>
      <c r="BH8" s="503"/>
      <c r="BI8" s="503"/>
      <c r="BJ8" s="503"/>
      <c r="BK8" s="503"/>
      <c r="BL8" s="503"/>
      <c r="BM8" s="503"/>
      <c r="BN8" s="503"/>
      <c r="BO8" s="503"/>
      <c r="BP8" s="503"/>
      <c r="BQ8" s="503"/>
      <c r="BR8" s="503"/>
      <c r="BS8" s="503"/>
      <c r="BT8" s="503"/>
      <c r="BU8" s="503"/>
      <c r="BV8" s="503"/>
      <c r="BW8" s="503"/>
      <c r="BX8" s="771"/>
      <c r="BY8" s="311"/>
    </row>
    <row r="9" spans="1:83" ht="15" customHeight="1">
      <c r="A9" s="982"/>
      <c r="B9" s="986"/>
      <c r="C9" s="212" t="s">
        <v>128</v>
      </c>
      <c r="D9" s="213" t="s">
        <v>220</v>
      </c>
      <c r="E9" s="212" t="s">
        <v>128</v>
      </c>
      <c r="F9" s="212" t="s">
        <v>221</v>
      </c>
      <c r="G9" s="234"/>
      <c r="H9" s="207"/>
      <c r="I9" s="182"/>
      <c r="J9" s="136"/>
      <c r="K9" s="136"/>
      <c r="L9" s="136"/>
      <c r="M9" s="136"/>
      <c r="N9" s="136"/>
      <c r="O9" s="136"/>
      <c r="P9" s="136"/>
      <c r="Q9" s="136"/>
      <c r="R9" s="136"/>
      <c r="S9" s="136"/>
      <c r="T9" s="210"/>
      <c r="U9" s="163"/>
      <c r="V9" s="163"/>
      <c r="W9" s="163"/>
      <c r="X9" s="163"/>
      <c r="Y9" s="163"/>
      <c r="Z9" s="163"/>
      <c r="AA9" s="163"/>
      <c r="AB9" s="163"/>
      <c r="AC9" s="163"/>
      <c r="AD9" s="163"/>
      <c r="AE9" s="163"/>
      <c r="AF9" s="163"/>
      <c r="AG9" s="163"/>
      <c r="AH9" s="163"/>
      <c r="AI9" s="163"/>
      <c r="AJ9" s="163"/>
      <c r="AK9" s="163"/>
      <c r="AL9" s="163"/>
      <c r="AM9" s="163"/>
      <c r="AN9" s="163"/>
      <c r="AO9" s="163"/>
      <c r="AP9" s="650"/>
      <c r="AQ9" s="650"/>
      <c r="AR9" s="833"/>
      <c r="AS9" s="834"/>
      <c r="AT9" s="834"/>
      <c r="AU9" s="835">
        <f>$BK$7</f>
        <v>1</v>
      </c>
      <c r="AV9" s="835" t="s">
        <v>307</v>
      </c>
      <c r="AW9" s="836" t="s">
        <v>308</v>
      </c>
      <c r="AX9" s="836" t="s">
        <v>309</v>
      </c>
      <c r="BD9" s="700"/>
      <c r="BE9" s="700"/>
      <c r="BF9" s="503"/>
      <c r="BG9" s="980" t="s">
        <v>68</v>
      </c>
      <c r="BH9" s="601" t="s">
        <v>47</v>
      </c>
      <c r="BI9" s="601" t="s">
        <v>47</v>
      </c>
      <c r="BJ9" s="601" t="s">
        <v>47</v>
      </c>
      <c r="BK9" s="601" t="s">
        <v>47</v>
      </c>
      <c r="BL9" s="601" t="s">
        <v>47</v>
      </c>
      <c r="BM9" s="601" t="s">
        <v>47</v>
      </c>
      <c r="BN9" s="601" t="s">
        <v>47</v>
      </c>
      <c r="BO9" s="601" t="s">
        <v>47</v>
      </c>
      <c r="BP9" s="601" t="s">
        <v>48</v>
      </c>
      <c r="BQ9" s="601" t="s">
        <v>48</v>
      </c>
      <c r="BR9" s="601" t="s">
        <v>48</v>
      </c>
      <c r="BS9" s="601" t="s">
        <v>48</v>
      </c>
      <c r="BT9" s="601" t="s">
        <v>48</v>
      </c>
      <c r="BU9" s="601" t="s">
        <v>48</v>
      </c>
      <c r="BV9" s="601" t="s">
        <v>48</v>
      </c>
      <c r="BW9" s="601" t="s">
        <v>48</v>
      </c>
      <c r="BX9" s="812"/>
      <c r="BY9" s="312"/>
      <c r="BZ9" s="119"/>
      <c r="CA9" s="38"/>
      <c r="CB9" s="38"/>
      <c r="CC9" s="38"/>
      <c r="CD9" s="38"/>
    </row>
    <row r="10" spans="1:83">
      <c r="A10" s="214" t="s">
        <v>104</v>
      </c>
      <c r="B10" s="215"/>
      <c r="C10" s="214"/>
      <c r="D10" s="216"/>
      <c r="E10" s="215"/>
      <c r="F10" s="215"/>
      <c r="G10" s="234"/>
      <c r="H10" s="207"/>
      <c r="I10" s="182"/>
      <c r="J10" s="136"/>
      <c r="K10" s="136"/>
      <c r="L10" s="136"/>
      <c r="M10" s="136"/>
      <c r="N10" s="136"/>
      <c r="O10" s="136"/>
      <c r="P10" s="136"/>
      <c r="Q10" s="136"/>
      <c r="R10" s="136"/>
      <c r="S10" s="136"/>
      <c r="T10" s="987"/>
      <c r="U10" s="164"/>
      <c r="V10" s="164"/>
      <c r="W10" s="164"/>
      <c r="X10" s="164"/>
      <c r="Y10" s="164"/>
      <c r="Z10" s="164"/>
      <c r="AA10" s="164"/>
      <c r="AB10" s="164"/>
      <c r="AC10" s="164"/>
      <c r="AD10" s="164"/>
      <c r="AE10" s="164"/>
      <c r="AF10" s="164"/>
      <c r="AG10" s="164"/>
      <c r="AH10" s="164"/>
      <c r="AI10" s="164"/>
      <c r="AJ10" s="164"/>
      <c r="AK10" s="164"/>
      <c r="AL10" s="164"/>
      <c r="AM10" s="164"/>
      <c r="AN10" s="164"/>
      <c r="AO10" s="164"/>
      <c r="AP10" s="651"/>
      <c r="AQ10" s="651"/>
      <c r="AR10" s="837"/>
      <c r="AS10" s="838" t="s">
        <v>303</v>
      </c>
      <c r="AT10" s="835" t="s">
        <v>74</v>
      </c>
      <c r="AU10" s="839">
        <f t="shared" ref="AU10:AX13" si="0">BL18</f>
        <v>7.5301204819277112</v>
      </c>
      <c r="AV10" s="839">
        <f t="shared" si="0"/>
        <v>6.3180391882663995</v>
      </c>
      <c r="AW10" s="839">
        <f t="shared" si="0"/>
        <v>3.9191350179725655</v>
      </c>
      <c r="AX10" s="839">
        <f t="shared" si="0"/>
        <v>7</v>
      </c>
      <c r="BD10" s="700"/>
      <c r="BE10" s="700"/>
      <c r="BF10" s="503"/>
      <c r="BG10" s="980"/>
      <c r="BH10" s="601" t="s">
        <v>299</v>
      </c>
      <c r="BI10" s="601" t="s">
        <v>46</v>
      </c>
      <c r="BJ10" s="601" t="s">
        <v>300</v>
      </c>
      <c r="BK10" s="601" t="s">
        <v>301</v>
      </c>
      <c r="BL10" s="601" t="s">
        <v>45</v>
      </c>
      <c r="BM10" s="601" t="s">
        <v>290</v>
      </c>
      <c r="BN10" s="601" t="s">
        <v>289</v>
      </c>
      <c r="BO10" s="601" t="s">
        <v>16</v>
      </c>
      <c r="BP10" s="601" t="s">
        <v>299</v>
      </c>
      <c r="BQ10" s="815" t="s">
        <v>46</v>
      </c>
      <c r="BR10" s="601" t="s">
        <v>300</v>
      </c>
      <c r="BS10" s="601" t="s">
        <v>301</v>
      </c>
      <c r="BT10" s="601" t="s">
        <v>45</v>
      </c>
      <c r="BU10" s="601" t="s">
        <v>290</v>
      </c>
      <c r="BV10" s="601" t="s">
        <v>289</v>
      </c>
      <c r="BW10" s="601" t="s">
        <v>16</v>
      </c>
      <c r="BX10" s="816"/>
      <c r="BY10" s="312"/>
      <c r="BZ10" s="119"/>
      <c r="CA10" s="38"/>
      <c r="CB10" s="38"/>
      <c r="CC10" s="38"/>
      <c r="CD10" s="38"/>
    </row>
    <row r="11" spans="1:83">
      <c r="A11" s="217" t="s">
        <v>44</v>
      </c>
      <c r="B11" s="217">
        <f>BQ12</f>
        <v>2320</v>
      </c>
      <c r="C11" s="217">
        <f>BH12</f>
        <v>20</v>
      </c>
      <c r="D11" s="218">
        <f>C11/(B11+C11)*1000</f>
        <v>8.5470085470085486</v>
      </c>
      <c r="E11" s="217">
        <f>BP12</f>
        <v>12</v>
      </c>
      <c r="F11" s="219">
        <f>E11/B11*1000</f>
        <v>5.1724137931034484</v>
      </c>
      <c r="G11" s="234"/>
      <c r="H11" s="207"/>
      <c r="I11" s="182"/>
      <c r="J11" s="136"/>
      <c r="K11" s="136"/>
      <c r="L11" s="136"/>
      <c r="M11" s="136"/>
      <c r="N11" s="136"/>
      <c r="O11" s="136"/>
      <c r="P11" s="136"/>
      <c r="Q11" s="136"/>
      <c r="R11" s="136"/>
      <c r="S11" s="136"/>
      <c r="T11" s="987"/>
      <c r="U11" s="164"/>
      <c r="V11" s="164"/>
      <c r="W11" s="164"/>
      <c r="X11" s="164"/>
      <c r="Y11" s="164"/>
      <c r="Z11" s="164"/>
      <c r="AA11" s="164"/>
      <c r="AB11" s="164"/>
      <c r="AC11" s="164"/>
      <c r="AD11" s="164"/>
      <c r="AE11" s="164"/>
      <c r="AF11" s="164"/>
      <c r="AG11" s="164"/>
      <c r="AH11" s="164"/>
      <c r="AI11" s="164"/>
      <c r="AJ11" s="164"/>
      <c r="AK11" s="164"/>
      <c r="AL11" s="164"/>
      <c r="AM11" s="164"/>
      <c r="AN11" s="164"/>
      <c r="AO11" s="164"/>
      <c r="AP11" s="651"/>
      <c r="AQ11" s="651"/>
      <c r="AR11" s="837"/>
      <c r="AS11" s="840"/>
      <c r="AT11" s="835" t="s">
        <v>320</v>
      </c>
      <c r="AU11" s="839">
        <f t="shared" si="0"/>
        <v>16.129032258064516</v>
      </c>
      <c r="AV11" s="839">
        <f t="shared" si="0"/>
        <v>73.736183724820933</v>
      </c>
      <c r="AW11" s="839">
        <f t="shared" si="0"/>
        <v>15.720680516382421</v>
      </c>
      <c r="AX11" s="839">
        <f t="shared" si="0"/>
        <v>7.5</v>
      </c>
      <c r="BD11" s="700"/>
      <c r="BE11" s="700"/>
      <c r="BF11" s="817"/>
      <c r="BG11" s="817" t="s">
        <v>104</v>
      </c>
      <c r="BH11" s="503"/>
      <c r="BI11" s="503"/>
      <c r="BJ11" s="503"/>
      <c r="BK11" s="503"/>
      <c r="BL11" s="503"/>
      <c r="BM11" s="503"/>
      <c r="BN11" s="503"/>
      <c r="BO11" s="601" t="s">
        <v>45</v>
      </c>
      <c r="BP11" s="503"/>
      <c r="BQ11" s="503"/>
      <c r="BR11" s="503"/>
      <c r="BS11" s="503"/>
      <c r="BT11" s="503"/>
      <c r="BU11" s="503"/>
      <c r="BV11" s="503"/>
      <c r="BW11" s="601" t="s">
        <v>45</v>
      </c>
      <c r="BX11" s="771"/>
      <c r="BY11" s="311"/>
    </row>
    <row r="12" spans="1:83">
      <c r="A12" s="214" t="s">
        <v>69</v>
      </c>
      <c r="B12" s="214"/>
      <c r="C12" s="214"/>
      <c r="D12" s="220"/>
      <c r="E12" s="214"/>
      <c r="F12" s="214"/>
      <c r="G12" s="234"/>
      <c r="H12" s="196"/>
      <c r="I12" s="182"/>
      <c r="J12" s="136"/>
      <c r="K12" s="136"/>
      <c r="L12" s="136"/>
      <c r="M12" s="136"/>
      <c r="N12" s="136"/>
      <c r="O12" s="136"/>
      <c r="P12" s="136"/>
      <c r="Q12" s="136"/>
      <c r="R12" s="136"/>
      <c r="S12" s="136"/>
      <c r="T12" s="211"/>
      <c r="U12" s="82"/>
      <c r="V12" s="82"/>
      <c r="W12" s="82"/>
      <c r="X12" s="82"/>
      <c r="Y12" s="82"/>
      <c r="Z12" s="82"/>
      <c r="AA12" s="82"/>
      <c r="AB12" s="82"/>
      <c r="AC12" s="82"/>
      <c r="AD12" s="82"/>
      <c r="AE12" s="82"/>
      <c r="AF12" s="82"/>
      <c r="AG12" s="82"/>
      <c r="AH12" s="82"/>
      <c r="AI12" s="82"/>
      <c r="AJ12" s="82"/>
      <c r="AK12" s="82"/>
      <c r="AL12" s="82"/>
      <c r="AM12" s="82"/>
      <c r="AN12" s="82"/>
      <c r="AO12" s="82"/>
      <c r="AP12" s="476"/>
      <c r="AQ12" s="476"/>
      <c r="AR12" s="690"/>
      <c r="AS12" s="839"/>
      <c r="AT12" s="835" t="s">
        <v>355</v>
      </c>
      <c r="AU12" s="839">
        <f t="shared" si="0"/>
        <v>7.8740157480314963</v>
      </c>
      <c r="AV12" s="839">
        <f t="shared" si="0"/>
        <v>35.99719205463699</v>
      </c>
      <c r="AW12" s="839">
        <f t="shared" si="0"/>
        <v>7.6746629292575603</v>
      </c>
      <c r="AX12" s="839">
        <f t="shared" si="0"/>
        <v>6.7</v>
      </c>
      <c r="BD12" s="700"/>
      <c r="BE12" s="700"/>
      <c r="BF12" s="503" t="str">
        <f>BG12&amp;BG11</f>
        <v>TotalOverall</v>
      </c>
      <c r="BG12" s="773" t="s">
        <v>44</v>
      </c>
      <c r="BH12" s="777">
        <f>VLOOKUP($BF12&amp;BH$9&amp;$BG$7,vw.deaths.dhb, 6,FALSE)</f>
        <v>20</v>
      </c>
      <c r="BI12" s="777">
        <f>BH12+BQ12</f>
        <v>2340</v>
      </c>
      <c r="BJ12" s="818">
        <f>IF(BH12=0,0,IF(BH12&lt;389,CHIINV(0.5+$BI$7/200,2*BH12)/2,BH12*(1-1/(9*BH12)-NORMSINV(0.5+$BI$7/200)/3/SQRT(BH12))^3))/BI12*1000</f>
        <v>5.2207348655572421</v>
      </c>
      <c r="BK12" s="818">
        <f>IF(BH12&lt;389,CHIINV(0.5-$BI$7/200,2*BH12+2)/2,(BH12+1)*(1-1/(9*(BH12+1))+NORMSINV(0.5+$BI$7/200)/3/SQRT(BH12+1))^3)/BI12*1000</f>
        <v>13.200161496869487</v>
      </c>
      <c r="BL12" s="599">
        <f>BH12/BI12*1000</f>
        <v>8.5470085470085486</v>
      </c>
      <c r="BM12" s="599">
        <f>BK12-BL12</f>
        <v>4.6531529498609387</v>
      </c>
      <c r="BN12" s="599">
        <f>BL12-BJ12</f>
        <v>3.3262736814513065</v>
      </c>
      <c r="BO12" s="598">
        <f>VLOOKUP($BF12&amp;$BO$9&amp;$BO$10, vw.deaths.dhb,8, FALSE)</f>
        <v>6.8</v>
      </c>
      <c r="BP12" s="777">
        <f>VLOOKUP(BF12&amp;BP9&amp;BG7, vw.deaths.dhb, 6, FALSE)</f>
        <v>12</v>
      </c>
      <c r="BQ12" s="777">
        <f>VLOOKUP(BF12&amp;BQ10&amp;BG7, vw.births.dhb, 6, FALSE)</f>
        <v>2320</v>
      </c>
      <c r="BR12" s="819">
        <f>IF(BP12=0,0,IF(BP12&lt;389,CHIINV(0.5+$BI$7/200,2*BP12)/2,BP12*(1-1/(9*BP12)-NORMSINV(0.5+$BI$7/200)/3/SQRT(BP12))^3))/BQ12*1000</f>
        <v>2.6726616847940594</v>
      </c>
      <c r="BS12" s="819">
        <f>IF(BP12&lt;389,CHIINV(0.5-$BI$7/200,2*BP12+2)/2,(BP12+1)*(1-1/(9*(BP12+1))+NORMSINV(0.5+$BI$7/200)/3/SQRT(BP12+1))^3)/BQ12*1000</f>
        <v>9.03516596904179</v>
      </c>
      <c r="BT12" s="599">
        <f>BP12/BQ12*1000</f>
        <v>5.1724137931034484</v>
      </c>
      <c r="BU12" s="599">
        <f>BS12-BT12</f>
        <v>3.8627521759383416</v>
      </c>
      <c r="BV12" s="599">
        <f>BT12-BR12</f>
        <v>2.499752108309389</v>
      </c>
      <c r="BW12" s="598">
        <f>VLOOKUP($BF12&amp;$BW$9&amp;$BW$10, vw.deaths.dhb, 8, FALSE)</f>
        <v>4</v>
      </c>
      <c r="BX12" s="820"/>
      <c r="BY12" s="325"/>
      <c r="BZ12" s="87"/>
      <c r="CA12" s="118"/>
      <c r="CB12" s="118"/>
      <c r="CC12" s="118"/>
      <c r="CD12" s="118"/>
    </row>
    <row r="13" spans="1:83">
      <c r="A13" s="217" t="s">
        <v>70</v>
      </c>
      <c r="B13" s="217">
        <f>BQ14</f>
        <v>1184</v>
      </c>
      <c r="C13" s="217">
        <f>BH14</f>
        <v>13</v>
      </c>
      <c r="D13" s="218">
        <f>C13/(B13+C13)*1000</f>
        <v>10.860484544695071</v>
      </c>
      <c r="E13" s="217">
        <f>BP14</f>
        <v>7</v>
      </c>
      <c r="F13" s="219">
        <f>E13/B13*1000</f>
        <v>5.9121621621621623</v>
      </c>
      <c r="G13" s="234"/>
      <c r="H13" s="207"/>
      <c r="I13" s="182"/>
      <c r="J13" s="136"/>
      <c r="K13" s="136"/>
      <c r="L13" s="136"/>
      <c r="M13" s="136"/>
      <c r="N13" s="136"/>
      <c r="O13" s="136"/>
      <c r="P13" s="136"/>
      <c r="Q13" s="136"/>
      <c r="R13" s="136"/>
      <c r="S13" s="136"/>
      <c r="T13" s="211"/>
      <c r="U13" s="82"/>
      <c r="V13" s="82"/>
      <c r="W13" s="82"/>
      <c r="X13" s="82"/>
      <c r="Y13" s="82"/>
      <c r="Z13" s="82"/>
      <c r="AA13" s="82"/>
      <c r="AB13" s="82"/>
      <c r="AC13" s="82"/>
      <c r="AD13" s="82"/>
      <c r="AE13" s="82"/>
      <c r="AF13" s="82"/>
      <c r="AG13" s="82"/>
      <c r="AH13" s="82"/>
      <c r="AI13" s="82"/>
      <c r="AJ13" s="82"/>
      <c r="AK13" s="82"/>
      <c r="AL13" s="82"/>
      <c r="AM13" s="82"/>
      <c r="AN13" s="82"/>
      <c r="AO13" s="82"/>
      <c r="AP13" s="476"/>
      <c r="AQ13" s="476"/>
      <c r="AR13" s="690"/>
      <c r="AT13" s="459" t="s">
        <v>356</v>
      </c>
      <c r="AU13" s="839">
        <f t="shared" si="0"/>
        <v>9.7205346294046162</v>
      </c>
      <c r="AV13" s="839">
        <f t="shared" si="0"/>
        <v>9.4327937061887202</v>
      </c>
      <c r="AW13" s="839">
        <f t="shared" si="0"/>
        <v>5.5238977196251495</v>
      </c>
      <c r="AX13" s="839">
        <f t="shared" si="0"/>
        <v>6.6</v>
      </c>
      <c r="BD13" s="700"/>
      <c r="BE13" s="700"/>
      <c r="BF13" s="817"/>
      <c r="BG13" s="601" t="s">
        <v>451</v>
      </c>
      <c r="BH13" s="817"/>
      <c r="BI13" s="777"/>
      <c r="BJ13" s="503"/>
      <c r="BK13" s="503"/>
      <c r="BL13" s="503"/>
      <c r="BM13" s="503"/>
      <c r="BN13" s="503"/>
      <c r="BO13" s="598"/>
      <c r="BP13" s="817"/>
      <c r="BQ13" s="817"/>
      <c r="BR13" s="819"/>
      <c r="BS13" s="819"/>
      <c r="BT13" s="821"/>
      <c r="BU13" s="503"/>
      <c r="BV13" s="503"/>
      <c r="BW13" s="598"/>
      <c r="BX13" s="822"/>
      <c r="BY13" s="311"/>
    </row>
    <row r="14" spans="1:83">
      <c r="A14" s="217" t="s">
        <v>71</v>
      </c>
      <c r="B14" s="217">
        <f>BQ15</f>
        <v>1136</v>
      </c>
      <c r="C14" s="217">
        <f>BH15</f>
        <v>7</v>
      </c>
      <c r="D14" s="218">
        <f>C14/(B14+C14)*1000</f>
        <v>6.1242344706911629</v>
      </c>
      <c r="E14" s="217">
        <f>BP15</f>
        <v>5</v>
      </c>
      <c r="F14" s="219">
        <f>E14/B14*1000</f>
        <v>4.4014084507042259</v>
      </c>
      <c r="G14" s="234"/>
      <c r="H14" s="207"/>
      <c r="I14" s="182"/>
      <c r="J14" s="136"/>
      <c r="K14" s="136"/>
      <c r="L14" s="136"/>
      <c r="M14" s="136"/>
      <c r="N14" s="136"/>
      <c r="O14" s="136"/>
      <c r="P14" s="136"/>
      <c r="Q14" s="136"/>
      <c r="R14" s="136"/>
      <c r="S14" s="136"/>
      <c r="T14" s="211"/>
      <c r="U14" s="82"/>
      <c r="V14" s="82"/>
      <c r="W14" s="82"/>
      <c r="X14" s="82"/>
      <c r="Y14" s="82"/>
      <c r="Z14" s="82"/>
      <c r="AA14" s="82"/>
      <c r="AB14" s="82"/>
      <c r="AC14" s="82"/>
      <c r="AD14" s="82"/>
      <c r="AE14" s="82"/>
      <c r="AF14" s="82"/>
      <c r="AG14" s="82"/>
      <c r="AH14" s="82"/>
      <c r="AI14" s="82"/>
      <c r="AJ14" s="82"/>
      <c r="AK14" s="82"/>
      <c r="AL14" s="82"/>
      <c r="AM14" s="82"/>
      <c r="AN14" s="82"/>
      <c r="AO14" s="82"/>
      <c r="AP14" s="476"/>
      <c r="AQ14" s="476"/>
      <c r="AR14" s="690"/>
      <c r="AS14" s="839" t="s">
        <v>304</v>
      </c>
      <c r="AT14" s="835" t="s">
        <v>74</v>
      </c>
      <c r="AU14" s="839">
        <f t="shared" ref="AU14:AX17" si="1">BT18</f>
        <v>5.3110773899848258</v>
      </c>
      <c r="AV14" s="839">
        <f t="shared" si="1"/>
        <v>5.6317718981049918</v>
      </c>
      <c r="AW14" s="839">
        <f t="shared" si="1"/>
        <v>3.1757488228225603</v>
      </c>
      <c r="AX14" s="839">
        <f t="shared" si="1"/>
        <v>5.9</v>
      </c>
      <c r="BD14" s="700"/>
      <c r="BE14" s="700"/>
      <c r="BF14" s="503" t="str">
        <f>BG14&amp;BG13</f>
        <v>Malesex</v>
      </c>
      <c r="BG14" s="503" t="s">
        <v>70</v>
      </c>
      <c r="BH14" s="777">
        <f>IFERROR(VLOOKUP($BF14&amp;$BH$9&amp;$BG$7,vw.deaths.dhb, 6, FALSE),0)</f>
        <v>13</v>
      </c>
      <c r="BI14" s="777">
        <f t="shared" ref="BI14:BI51" si="2">BH14+BQ14</f>
        <v>1197</v>
      </c>
      <c r="BJ14" s="818">
        <f>IF(BH14=0,0,IF(BH14&lt;389,CHIINV(0.5+$BI$7/200,2*BH14)/2,BH14*(1-1/(9*BH14)-NORMSINV(0.5+$BI$7/200)/3/SQRT(BH14))^3))/BI14*1000</f>
        <v>5.7827506190507965</v>
      </c>
      <c r="BK14" s="818">
        <f>IF(BH14&lt;389,CHIINV(0.5-$BI$7/200,2*BH14+2)/2,(BH14+1)*(1-1/(9*(BH14+1))+NORMSINV(0.5+$BI$7/200)/3/SQRT(BH14+1))^3)/BI14*1000</f>
        <v>18.571759330124376</v>
      </c>
      <c r="BL14" s="599">
        <f>BH14/BI14*1000</f>
        <v>10.860484544695071</v>
      </c>
      <c r="BM14" s="599">
        <f>BK14-BL14</f>
        <v>7.7112747854293051</v>
      </c>
      <c r="BN14" s="599">
        <f>BL14-BJ14</f>
        <v>5.0777339256442744</v>
      </c>
      <c r="BO14" s="598">
        <f>VLOOKUP($BF14&amp;$BO$9&amp;$BO$10, vw.deaths.dhb,8, FALSE)</f>
        <v>6.9</v>
      </c>
      <c r="BP14" s="777">
        <f>IFERROR(VLOOKUP($BF14&amp;$BP$9&amp;$BG$7,vw.deaths.dhb, 6, FALSE),0)</f>
        <v>7</v>
      </c>
      <c r="BQ14" s="777">
        <f>IFERROR(VLOOKUP($BF14&amp;$BQ$10&amp;$BG$7,vw.births.dhb, 6, FALSE),0)</f>
        <v>1184</v>
      </c>
      <c r="BR14" s="819">
        <f>IF(BP14=0,0,IF(BP14&lt;389,CHIINV(0.5+$BI$7/200,2*BP14)/2,BP14*(1-1/(9*BP14)-NORMSINV(0.5+$BI$7/200)/3/SQRT(BP14))^3))/BQ14*1000</f>
        <v>2.3769958205404271</v>
      </c>
      <c r="BS14" s="819">
        <f>IF(BP14&lt;389,CHIINV(0.5-$BI$7/200,2*BP14+2)/2,(BP14+1)*(1-1/(9*(BP14+1))+NORMSINV(0.5+$BI$7/200)/3/SQRT(BP14+1))^3)/BQ14*1000</f>
        <v>12.181313650086468</v>
      </c>
      <c r="BT14" s="599">
        <f>BP14/BQ14*1000</f>
        <v>5.9121621621621623</v>
      </c>
      <c r="BU14" s="599">
        <f>BS14-BT14</f>
        <v>6.2691514879243053</v>
      </c>
      <c r="BV14" s="599">
        <f>BT14-BR14</f>
        <v>3.5351663416217352</v>
      </c>
      <c r="BW14" s="598">
        <f>VLOOKUP($BF14&amp;$BW$9&amp;$BW$10, vw.deaths.dhb, 8, FALSE)</f>
        <v>4.0999999999999996</v>
      </c>
      <c r="BX14" s="820"/>
      <c r="BY14" s="325"/>
      <c r="BZ14" s="87"/>
      <c r="CA14" s="118"/>
      <c r="CB14" s="118"/>
      <c r="CC14" s="118"/>
      <c r="CD14" s="118"/>
    </row>
    <row r="15" spans="1:83">
      <c r="A15" s="217" t="s">
        <v>63</v>
      </c>
      <c r="B15" s="217">
        <f>BQ16</f>
        <v>0</v>
      </c>
      <c r="C15" s="217">
        <f>BH16</f>
        <v>0</v>
      </c>
      <c r="D15" s="221" t="s">
        <v>119</v>
      </c>
      <c r="E15" s="217">
        <f>BP16</f>
        <v>0</v>
      </c>
      <c r="F15" s="222" t="s">
        <v>119</v>
      </c>
      <c r="G15" s="234"/>
      <c r="H15" s="207"/>
      <c r="I15" s="182"/>
      <c r="J15" s="136"/>
      <c r="K15" s="136"/>
      <c r="L15" s="136"/>
      <c r="M15" s="136"/>
      <c r="N15" s="136"/>
      <c r="O15" s="136"/>
      <c r="P15" s="136"/>
      <c r="Q15" s="136"/>
      <c r="R15" s="136"/>
      <c r="S15" s="136"/>
      <c r="T15" s="211"/>
      <c r="U15" s="82"/>
      <c r="V15" s="82"/>
      <c r="W15" s="82"/>
      <c r="X15" s="82"/>
      <c r="Y15" s="82"/>
      <c r="Z15" s="82"/>
      <c r="AA15" s="82"/>
      <c r="AB15" s="82"/>
      <c r="AC15" s="82"/>
      <c r="AD15" s="82"/>
      <c r="AE15" s="82"/>
      <c r="AF15" s="82"/>
      <c r="AG15" s="82"/>
      <c r="AH15" s="82"/>
      <c r="AI15" s="82"/>
      <c r="AJ15" s="82"/>
      <c r="AK15" s="82"/>
      <c r="AL15" s="82"/>
      <c r="AM15" s="82"/>
      <c r="AN15" s="82"/>
      <c r="AO15" s="82"/>
      <c r="AP15" s="476"/>
      <c r="AQ15" s="476"/>
      <c r="AR15" s="690"/>
      <c r="AS15" s="839"/>
      <c r="AT15" s="835" t="s">
        <v>320</v>
      </c>
      <c r="AU15" s="839">
        <f t="shared" si="1"/>
        <v>0</v>
      </c>
      <c r="AV15" s="839">
        <f t="shared" si="1"/>
        <v>60.47343367399894</v>
      </c>
      <c r="AW15" s="839">
        <f t="shared" si="1"/>
        <v>0</v>
      </c>
      <c r="AX15" s="839">
        <f t="shared" si="1"/>
        <v>6.2</v>
      </c>
      <c r="BD15" s="700"/>
      <c r="BE15" s="700"/>
      <c r="BF15" s="503" t="str">
        <f>BG15&amp;BG13</f>
        <v>Femalesex</v>
      </c>
      <c r="BG15" s="503" t="s">
        <v>71</v>
      </c>
      <c r="BH15" s="777">
        <f>IFERROR(VLOOKUP($BF15&amp;$BH$9&amp;$BG$7,vw.deaths.dhb, 6, FALSE),0)</f>
        <v>7</v>
      </c>
      <c r="BI15" s="777">
        <f t="shared" si="2"/>
        <v>1143</v>
      </c>
      <c r="BJ15" s="818">
        <f>IF(BH15=0,0,IF(BH15&lt;389,CHIINV(0.5+$BI$7/200,2*BH15)/2,BH15*(1-1/(9*BH15)-NORMSINV(0.5+$BI$7/200)/3/SQRT(BH15))^3))/BI15*1000</f>
        <v>2.4622598875939334</v>
      </c>
      <c r="BK15" s="818">
        <f>IF(BH15&lt;389,CHIINV(0.5-$BI$7/200,2*BH15+2)/2,(BH15+1)*(1-1/(9*(BH15+1))+NORMSINV(0.5+$BI$7/200)/3/SQRT(BH15+1))^3)/BI15*1000</f>
        <v>12.618263658532264</v>
      </c>
      <c r="BL15" s="599">
        <f>BH15/BI15*1000</f>
        <v>6.1242344706911629</v>
      </c>
      <c r="BM15" s="599">
        <f>BK15-BL15</f>
        <v>6.4940291878411012</v>
      </c>
      <c r="BN15" s="599">
        <f>BL15-BJ15</f>
        <v>3.6619745830972295</v>
      </c>
      <c r="BO15" s="598">
        <f>VLOOKUP($BF15&amp;$BO$9&amp;$BO$10, vw.deaths.dhb,8, FALSE)</f>
        <v>6.4</v>
      </c>
      <c r="BP15" s="777">
        <f>IFERROR(VLOOKUP($BF15&amp;$BP$9&amp;$BG$7,vw.deaths.dhb, 6, FALSE),0)</f>
        <v>5</v>
      </c>
      <c r="BQ15" s="777">
        <f>IFERROR(VLOOKUP($BF15&amp;$BQ$10&amp;$BG$7,vw.births.dhb, 6, FALSE),0)</f>
        <v>1136</v>
      </c>
      <c r="BR15" s="819">
        <f>IF(BP15=0,0,IF(BP15&lt;389,CHIINV(0.5+$BI$7/200,2*BP15)/2,BP15*(1-1/(9*BP15)-NORMSINV(0.5+$BI$7/200)/3/SQRT(BP15))^3))/BQ15*1000</f>
        <v>1.4291253434141018</v>
      </c>
      <c r="BS15" s="819">
        <f>IF(BP15&lt;389,CHIINV(0.5-$BI$7/200,2*BP15+2)/2,(BP15+1)*(1-1/(9*(BP15+1))+NORMSINV(0.5+$BI$7/200)/3/SQRT(BP15+1))^3)/BQ15*1000</f>
        <v>10.2714190839108</v>
      </c>
      <c r="BT15" s="599">
        <f>BP15/BQ15*1000</f>
        <v>4.4014084507042259</v>
      </c>
      <c r="BU15" s="599">
        <f>BS15-BT15</f>
        <v>5.870010633206574</v>
      </c>
      <c r="BV15" s="599">
        <f>BT15-BR15</f>
        <v>2.9722831072901243</v>
      </c>
      <c r="BW15" s="598">
        <f>VLOOKUP($BF15&amp;$BW$9&amp;$BW$10, vw.deaths.dhb, 8, FALSE)</f>
        <v>3.9</v>
      </c>
      <c r="BX15" s="820"/>
      <c r="BY15" s="325"/>
      <c r="BZ15" s="87"/>
      <c r="CA15" s="118"/>
      <c r="CB15" s="118"/>
      <c r="CC15" s="118"/>
      <c r="CD15" s="118"/>
    </row>
    <row r="16" spans="1:83">
      <c r="A16" s="214" t="s">
        <v>73</v>
      </c>
      <c r="B16" s="214"/>
      <c r="C16" s="214"/>
      <c r="D16" s="220"/>
      <c r="E16" s="214"/>
      <c r="F16" s="214"/>
      <c r="G16" s="234"/>
      <c r="H16" s="196"/>
      <c r="I16" s="182"/>
      <c r="J16" s="136"/>
      <c r="K16" s="136"/>
      <c r="L16" s="136"/>
      <c r="M16" s="136"/>
      <c r="N16" s="136"/>
      <c r="O16" s="136"/>
      <c r="P16" s="136"/>
      <c r="Q16" s="136"/>
      <c r="R16" s="136"/>
      <c r="S16" s="136"/>
      <c r="T16" s="211"/>
      <c r="U16" s="82"/>
      <c r="V16" s="82"/>
      <c r="W16" s="82"/>
      <c r="X16" s="82"/>
      <c r="Y16" s="82"/>
      <c r="Z16" s="82"/>
      <c r="AA16" s="82"/>
      <c r="AB16" s="82"/>
      <c r="AC16" s="82"/>
      <c r="AD16" s="82"/>
      <c r="AE16" s="82"/>
      <c r="AF16" s="82"/>
      <c r="AG16" s="82"/>
      <c r="AH16" s="82"/>
      <c r="AI16" s="82"/>
      <c r="AJ16" s="82"/>
      <c r="AK16" s="82"/>
      <c r="AL16" s="82"/>
      <c r="AM16" s="82"/>
      <c r="AN16" s="82"/>
      <c r="AO16" s="82"/>
      <c r="AP16" s="476"/>
      <c r="AQ16" s="476"/>
      <c r="AR16" s="690"/>
      <c r="AS16" s="839"/>
      <c r="AT16" s="835" t="s">
        <v>355</v>
      </c>
      <c r="AU16" s="839">
        <f t="shared" si="1"/>
        <v>7.9365079365079358</v>
      </c>
      <c r="AV16" s="839">
        <f t="shared" si="1"/>
        <v>36.282884055070625</v>
      </c>
      <c r="AW16" s="839">
        <f t="shared" si="1"/>
        <v>7.7355729525056347</v>
      </c>
      <c r="AX16" s="839">
        <f t="shared" si="1"/>
        <v>2.5</v>
      </c>
      <c r="BD16" s="700"/>
      <c r="BE16" s="700"/>
      <c r="BF16" s="503" t="str">
        <f>BG16&amp;BG13</f>
        <v>Ind/Unksex</v>
      </c>
      <c r="BG16" s="503" t="s">
        <v>458</v>
      </c>
      <c r="BH16" s="777">
        <f>IFERROR(VLOOKUP($BF16&amp;$BH$9&amp;$BG$7,vw.deaths.dhb, 6, FALSE),0)</f>
        <v>0</v>
      </c>
      <c r="BI16" s="777">
        <f t="shared" si="2"/>
        <v>0</v>
      </c>
      <c r="BJ16" s="503"/>
      <c r="BK16" s="503"/>
      <c r="BL16" s="503"/>
      <c r="BM16" s="503"/>
      <c r="BN16" s="503"/>
      <c r="BO16" s="598"/>
      <c r="BP16" s="777">
        <f>IFERROR(VLOOKUP($BF16&amp;$BP$9&amp;$BG$7,vw.deaths.dhb, 6, FALSE),0)</f>
        <v>0</v>
      </c>
      <c r="BQ16" s="777">
        <f>IFERROR(VLOOKUP($BF16&amp;$BQ$10&amp;$BG$7,vw.births.dhb, 6, FALSE),0)</f>
        <v>0</v>
      </c>
      <c r="BR16" s="819"/>
      <c r="BS16" s="819"/>
      <c r="BT16" s="821"/>
      <c r="BU16" s="503"/>
      <c r="BV16" s="503"/>
      <c r="BW16" s="598"/>
      <c r="BX16" s="820"/>
      <c r="BY16" s="325"/>
      <c r="BZ16" s="87"/>
    </row>
    <row r="17" spans="1:82">
      <c r="A17" s="360" t="s">
        <v>365</v>
      </c>
      <c r="B17" s="217">
        <f>BQ18</f>
        <v>1318</v>
      </c>
      <c r="C17" s="217">
        <f>BH18</f>
        <v>10</v>
      </c>
      <c r="D17" s="218">
        <f>C17/(B17+C17)*1000</f>
        <v>7.5301204819277112</v>
      </c>
      <c r="E17" s="217">
        <f>BP18</f>
        <v>7</v>
      </c>
      <c r="F17" s="219">
        <f>E17/B17*1000</f>
        <v>5.3110773899848258</v>
      </c>
      <c r="G17" s="234"/>
      <c r="H17" s="207"/>
      <c r="I17" s="182"/>
      <c r="J17" s="136"/>
      <c r="K17" s="136"/>
      <c r="L17" s="136"/>
      <c r="M17" s="136"/>
      <c r="N17" s="136"/>
      <c r="O17" s="136"/>
      <c r="P17" s="136"/>
      <c r="Q17" s="136"/>
      <c r="R17" s="136"/>
      <c r="S17" s="136"/>
      <c r="T17" s="211"/>
      <c r="U17" s="82"/>
      <c r="V17" s="82"/>
      <c r="W17" s="82"/>
      <c r="X17" s="82"/>
      <c r="Y17" s="82"/>
      <c r="Z17" s="82"/>
      <c r="AA17" s="82"/>
      <c r="AB17" s="82"/>
      <c r="AC17" s="82"/>
      <c r="AD17" s="82"/>
      <c r="AE17" s="82"/>
      <c r="AF17" s="82"/>
      <c r="AG17" s="82"/>
      <c r="AH17" s="82"/>
      <c r="AI17" s="82"/>
      <c r="AJ17" s="82"/>
      <c r="AK17" s="82"/>
      <c r="AL17" s="82"/>
      <c r="AM17" s="82"/>
      <c r="AN17" s="82"/>
      <c r="AO17" s="82"/>
      <c r="AP17" s="476"/>
      <c r="AQ17" s="476"/>
      <c r="AR17" s="690"/>
      <c r="AS17" s="841"/>
      <c r="AT17" s="459" t="s">
        <v>356</v>
      </c>
      <c r="AU17" s="839">
        <f t="shared" si="1"/>
        <v>4.9079754601226995</v>
      </c>
      <c r="AV17" s="839">
        <f t="shared" si="1"/>
        <v>7.6583910127652732</v>
      </c>
      <c r="AW17" s="839">
        <f t="shared" si="1"/>
        <v>3.570717332973834</v>
      </c>
      <c r="AX17" s="839">
        <f t="shared" si="1"/>
        <v>2.8</v>
      </c>
      <c r="BD17" s="700"/>
      <c r="BE17" s="700"/>
      <c r="BF17" s="817"/>
      <c r="BG17" s="601" t="s">
        <v>449</v>
      </c>
      <c r="BH17" s="777"/>
      <c r="BI17" s="777"/>
      <c r="BJ17" s="503"/>
      <c r="BK17" s="503"/>
      <c r="BL17" s="503"/>
      <c r="BM17" s="503"/>
      <c r="BN17" s="503"/>
      <c r="BO17" s="598"/>
      <c r="BP17" s="777"/>
      <c r="BQ17" s="817"/>
      <c r="BR17" s="819"/>
      <c r="BS17" s="819"/>
      <c r="BT17" s="821"/>
      <c r="BU17" s="503"/>
      <c r="BV17" s="503"/>
      <c r="BW17" s="598"/>
      <c r="BX17" s="822"/>
      <c r="BY17" s="311"/>
    </row>
    <row r="18" spans="1:82">
      <c r="A18" s="217" t="s">
        <v>320</v>
      </c>
      <c r="B18" s="217">
        <f>BQ19</f>
        <v>61</v>
      </c>
      <c r="C18" s="217">
        <f>BH19</f>
        <v>1</v>
      </c>
      <c r="D18" s="218">
        <f>C18/(B18+C18)*1000</f>
        <v>16.129032258064516</v>
      </c>
      <c r="E18" s="217">
        <f>BP19</f>
        <v>0</v>
      </c>
      <c r="F18" s="219">
        <f>E18/B18*1000</f>
        <v>0</v>
      </c>
      <c r="G18" s="234"/>
      <c r="H18" s="207"/>
      <c r="I18" s="182"/>
      <c r="J18" s="136"/>
      <c r="K18" s="136"/>
      <c r="L18" s="136"/>
      <c r="M18" s="136"/>
      <c r="N18" s="136"/>
      <c r="O18" s="136"/>
      <c r="P18" s="136"/>
      <c r="Q18" s="136"/>
      <c r="R18" s="136"/>
      <c r="S18" s="136"/>
      <c r="T18" s="183"/>
      <c r="U18" s="85"/>
      <c r="V18" s="85"/>
      <c r="W18" s="85"/>
      <c r="X18" s="85"/>
      <c r="Y18" s="85"/>
      <c r="Z18" s="85"/>
      <c r="AA18" s="85"/>
      <c r="AB18" s="85"/>
      <c r="AC18" s="85"/>
      <c r="AD18" s="85"/>
      <c r="AE18" s="85"/>
      <c r="AF18" s="85"/>
      <c r="AG18" s="85"/>
      <c r="AH18" s="85"/>
      <c r="AI18" s="85"/>
      <c r="AJ18" s="85"/>
      <c r="AK18" s="85"/>
      <c r="AL18" s="85"/>
      <c r="AM18" s="85"/>
      <c r="AN18" s="85"/>
      <c r="AO18" s="85"/>
      <c r="AP18" s="311"/>
      <c r="AQ18" s="311"/>
      <c r="AR18" s="771"/>
      <c r="AS18" s="324"/>
      <c r="AT18" s="324"/>
      <c r="AU18" s="324"/>
      <c r="AV18" s="324"/>
      <c r="BD18" s="700"/>
      <c r="BE18" s="700"/>
      <c r="BF18" s="503" t="str">
        <f>BG18&amp;BG$17</f>
        <v>Maorieth</v>
      </c>
      <c r="BG18" s="503" t="s">
        <v>129</v>
      </c>
      <c r="BH18" s="777">
        <f>IFERROR(VLOOKUP($BF18&amp;$BH$9&amp;$BG$7,vw.deaths.dhb, 6, FALSE),0)</f>
        <v>10</v>
      </c>
      <c r="BI18" s="777">
        <f t="shared" si="2"/>
        <v>1328</v>
      </c>
      <c r="BJ18" s="818">
        <f>IF(BH18=0,0,IF(BH18&lt;389,CHIINV(0.5+$BI$7/200,2*BH18)/2,BH18*(1-1/(9*BH18)-NORMSINV(0.5+$BI$7/200)/3/SQRT(BH18))^3))/BI18*1000</f>
        <v>3.6109854639551457</v>
      </c>
      <c r="BK18" s="818">
        <f>IF(BH18&lt;389,CHIINV(0.5-$BI$7/200,2*BH18+2)/2,(BH18+1)*(1-1/(9*(BH18+1))+NORMSINV(0.5+$BI$7/200)/3/SQRT(BH18+1))^3)/BI18*1000</f>
        <v>13.848159670194111</v>
      </c>
      <c r="BL18" s="599">
        <f>BH18/BI18*1000</f>
        <v>7.5301204819277112</v>
      </c>
      <c r="BM18" s="599">
        <f>BK18-BL18</f>
        <v>6.3180391882663995</v>
      </c>
      <c r="BN18" s="599">
        <f>BL18-BJ18</f>
        <v>3.9191350179725655</v>
      </c>
      <c r="BO18" s="598">
        <f>VLOOKUP($BF18&amp;$BO$9&amp;$BO$10, vw.deaths.dhb,8, FALSE)</f>
        <v>7</v>
      </c>
      <c r="BP18" s="777">
        <f>IFERROR(VLOOKUP($BF18&amp;$BP$9&amp;$BG$7,vw.deaths.dhb, 6, FALSE),0)</f>
        <v>7</v>
      </c>
      <c r="BQ18" s="777">
        <f>IFERROR(VLOOKUP($BF18&amp;$BQ$10&amp;$BG$7,vw.births.dhb, 6, FALSE),0)</f>
        <v>1318</v>
      </c>
      <c r="BR18" s="819">
        <f>IF(BP18=0,0,IF(BP18&lt;389,CHIINV(0.5+$BI$7/200,2*BP18)/2,BP18*(1-1/(9*BP18)-NORMSINV(0.5+$BI$7/200)/3/SQRT(BP18))^3))/BQ18*1000</f>
        <v>2.1353285671622655</v>
      </c>
      <c r="BS18" s="819">
        <f>IF(BP18&lt;389,CHIINV(0.5-$BI$7/200,2*BP18+2)/2,(BP18+1)*(1-1/(9*(BP18+1))+NORMSINV(0.5+$BI$7/200)/3/SQRT(BP18+1))^3)/BQ18*1000</f>
        <v>10.942849288089818</v>
      </c>
      <c r="BT18" s="599">
        <f>BP18/BQ18*1000</f>
        <v>5.3110773899848258</v>
      </c>
      <c r="BU18" s="599">
        <f>BS18-BT18</f>
        <v>5.6317718981049918</v>
      </c>
      <c r="BV18" s="599">
        <f>BT18-BR18</f>
        <v>3.1757488228225603</v>
      </c>
      <c r="BW18" s="598">
        <f>VLOOKUP($BF18&amp;$BW$9&amp;$BW$10, vw.deaths.dhb, 8, FALSE)</f>
        <v>5.9</v>
      </c>
      <c r="BX18" s="820"/>
      <c r="BY18" s="325"/>
      <c r="BZ18" s="87"/>
      <c r="CA18" s="118"/>
      <c r="CB18" s="118"/>
      <c r="CC18" s="118"/>
      <c r="CD18" s="118"/>
    </row>
    <row r="19" spans="1:82">
      <c r="A19" s="318" t="s">
        <v>355</v>
      </c>
      <c r="B19" s="217">
        <f>BQ20</f>
        <v>126</v>
      </c>
      <c r="C19" s="217">
        <f>BH20</f>
        <v>1</v>
      </c>
      <c r="D19" s="218">
        <f>C19/(B19+C19)*1000</f>
        <v>7.8740157480314963</v>
      </c>
      <c r="E19" s="217">
        <f>BP20</f>
        <v>1</v>
      </c>
      <c r="F19" s="219">
        <f>E19/B19*1000</f>
        <v>7.9365079365079358</v>
      </c>
      <c r="G19" s="234"/>
      <c r="H19" s="207"/>
      <c r="I19" s="182"/>
      <c r="J19" s="136"/>
      <c r="K19" s="136"/>
      <c r="L19" s="136"/>
      <c r="M19" s="136"/>
      <c r="N19" s="136"/>
      <c r="O19" s="136"/>
      <c r="P19" s="136"/>
      <c r="Q19" s="136"/>
      <c r="R19" s="136"/>
      <c r="S19" s="136"/>
      <c r="T19" s="183"/>
      <c r="U19" s="85"/>
      <c r="V19" s="85"/>
      <c r="W19" s="85"/>
      <c r="X19" s="85"/>
      <c r="Y19" s="85"/>
      <c r="Z19" s="85"/>
      <c r="AA19" s="85"/>
      <c r="AB19" s="85"/>
      <c r="AC19" s="85"/>
      <c r="AD19" s="85"/>
      <c r="AE19" s="85"/>
      <c r="AF19" s="85"/>
      <c r="AG19" s="85"/>
      <c r="AH19" s="85"/>
      <c r="AI19" s="85"/>
      <c r="AJ19" s="85"/>
      <c r="AK19" s="85"/>
      <c r="AL19" s="85"/>
      <c r="AM19" s="85"/>
      <c r="AN19" s="85"/>
      <c r="AO19" s="85"/>
      <c r="AP19" s="311"/>
      <c r="AQ19" s="311"/>
      <c r="AR19" s="771"/>
      <c r="AS19" s="324"/>
      <c r="AT19" s="324"/>
      <c r="AU19" s="324"/>
      <c r="AV19" s="324"/>
      <c r="BD19" s="700"/>
      <c r="BE19" s="700"/>
      <c r="BF19" s="503" t="str">
        <f t="shared" ref="BF19:BF21" si="3">BG19&amp;BG$17</f>
        <v>Pacific peopleseth</v>
      </c>
      <c r="BG19" s="503" t="s">
        <v>320</v>
      </c>
      <c r="BH19" s="777">
        <f>IFERROR(VLOOKUP($BF19&amp;$BH$9&amp;$BG$7,vw.deaths.dhb, 6, FALSE),0)</f>
        <v>1</v>
      </c>
      <c r="BI19" s="777">
        <f t="shared" si="2"/>
        <v>62</v>
      </c>
      <c r="BJ19" s="818">
        <f>IF(BH19=0,0,IF(BH19&lt;389,CHIINV(0.5+$BI$7/200,2*BH19)/2,BH19*(1-1/(9*BH19)-NORMSINV(0.5+$BI$7/200)/3/SQRT(BH19))^3))/BI19*1000</f>
        <v>0.40835174168209515</v>
      </c>
      <c r="BK19" s="818">
        <f>IF(BH19&lt;389,CHIINV(0.5-$BI$7/200,2*BH19+2)/2,(BH19+1)*(1-1/(9*(BH19+1))+NORMSINV(0.5+$BI$7/200)/3/SQRT(BH19+1))^3)/BI19*1000</f>
        <v>89.865215982885445</v>
      </c>
      <c r="BL19" s="599">
        <f>BH19/BI19*1000</f>
        <v>16.129032258064516</v>
      </c>
      <c r="BM19" s="599">
        <f>BK19-BL19</f>
        <v>73.736183724820933</v>
      </c>
      <c r="BN19" s="599">
        <f>BL19-BJ19</f>
        <v>15.720680516382421</v>
      </c>
      <c r="BO19" s="598">
        <f>VLOOKUP($BF19&amp;$BO$9&amp;$BO$10, vw.deaths.dhb,8, FALSE)</f>
        <v>7.5</v>
      </c>
      <c r="BP19" s="777">
        <f>IFERROR(VLOOKUP($BF19&amp;$BP$9&amp;$BG$7,vw.deaths.dhb, 6, FALSE),0)</f>
        <v>0</v>
      </c>
      <c r="BQ19" s="777">
        <f>IFERROR(VLOOKUP($BF19&amp;$BQ$10&amp;$BG$7,vw.births.dhb, 6, FALSE),0)</f>
        <v>61</v>
      </c>
      <c r="BR19" s="819">
        <f>IF(BP19=0,0,IF(BP19&lt;389,CHIINV(0.5+$BI$7/200,2*BP19)/2,BP19*(1-1/(9*BP19)-NORMSINV(0.5+$BI$7/200)/3/SQRT(BP19))^3))/BQ19*1000</f>
        <v>0</v>
      </c>
      <c r="BS19" s="819">
        <f>IF(BP19&lt;389,CHIINV(0.5-$BI$7/200,2*BP19+2)/2,(BP19+1)*(1-1/(9*(BP19+1))+NORMSINV(0.5+$BI$7/200)/3/SQRT(BP19+1))^3)/BQ19*1000</f>
        <v>60.47343367399894</v>
      </c>
      <c r="BT19" s="599">
        <f>BP19/BQ19*1000</f>
        <v>0</v>
      </c>
      <c r="BU19" s="599">
        <f>BS19-BT19</f>
        <v>60.47343367399894</v>
      </c>
      <c r="BV19" s="599">
        <f>BT19-BR19</f>
        <v>0</v>
      </c>
      <c r="BW19" s="598">
        <f>VLOOKUP($BF19&amp;$BW$9&amp;$BW$10, vw.deaths.dhb, 8, FALSE)</f>
        <v>6.2</v>
      </c>
      <c r="BX19" s="820"/>
      <c r="BY19" s="325"/>
      <c r="BZ19" s="87"/>
      <c r="CA19" s="118"/>
      <c r="CB19" s="118"/>
      <c r="CC19" s="118"/>
      <c r="CD19" s="118"/>
    </row>
    <row r="20" spans="1:82">
      <c r="A20" s="318" t="s">
        <v>356</v>
      </c>
      <c r="B20" s="217">
        <f>BQ21</f>
        <v>815</v>
      </c>
      <c r="C20" s="217">
        <f>BH21</f>
        <v>8</v>
      </c>
      <c r="D20" s="218">
        <f>C20/(B20+C20)*1000</f>
        <v>9.7205346294046162</v>
      </c>
      <c r="E20" s="217">
        <f>BP21</f>
        <v>4</v>
      </c>
      <c r="F20" s="219">
        <f>E20/B20*1000</f>
        <v>4.9079754601226995</v>
      </c>
      <c r="G20" s="234"/>
      <c r="H20" s="196"/>
      <c r="I20" s="182"/>
      <c r="J20" s="136"/>
      <c r="K20" s="136"/>
      <c r="L20" s="136"/>
      <c r="M20" s="136"/>
      <c r="N20" s="136"/>
      <c r="O20" s="136"/>
      <c r="P20" s="136"/>
      <c r="Q20" s="136"/>
      <c r="R20" s="136"/>
      <c r="S20" s="136"/>
      <c r="T20" s="183"/>
      <c r="U20" s="85"/>
      <c r="V20" s="85"/>
      <c r="W20" s="85"/>
      <c r="X20" s="85"/>
      <c r="Y20" s="85"/>
      <c r="Z20" s="85"/>
      <c r="AA20" s="85"/>
      <c r="AB20" s="85"/>
      <c r="AC20" s="85"/>
      <c r="AD20" s="85"/>
      <c r="AE20" s="85"/>
      <c r="AF20" s="85"/>
      <c r="AG20" s="85"/>
      <c r="AH20" s="85"/>
      <c r="AI20" s="85"/>
      <c r="AJ20" s="85"/>
      <c r="AK20" s="85"/>
      <c r="AL20" s="85"/>
      <c r="AM20" s="85"/>
      <c r="AN20" s="85"/>
      <c r="AO20" s="85"/>
      <c r="AP20" s="311"/>
      <c r="AQ20" s="311"/>
      <c r="AR20" s="771"/>
      <c r="AS20" s="324"/>
      <c r="AT20" s="324"/>
      <c r="AU20" s="324"/>
      <c r="AV20" s="324"/>
      <c r="BD20" s="700"/>
      <c r="BE20" s="700"/>
      <c r="BF20" s="503" t="str">
        <f t="shared" si="3"/>
        <v>Asianeth</v>
      </c>
      <c r="BG20" s="503" t="s">
        <v>355</v>
      </c>
      <c r="BH20" s="777">
        <f>IFERROR(VLOOKUP($BF20&amp;$BH$9&amp;$BG$7,vw.deaths.dhb, 6, FALSE),0)</f>
        <v>1</v>
      </c>
      <c r="BI20" s="777">
        <f t="shared" si="2"/>
        <v>127</v>
      </c>
      <c r="BJ20" s="818">
        <f>IF(BH20=0,0,IF(BH20&lt;389,CHIINV(0.5+$BI$7/200,2*BH20)/2,BH20*(1-1/(9*BH20)-NORMSINV(0.5+$BI$7/200)/3/SQRT(BH20))^3))/BI20*1000</f>
        <v>0.19935281877393621</v>
      </c>
      <c r="BK20" s="818">
        <f>IF(BH20&lt;389,CHIINV(0.5-$BI$7/200,2*BH20+2)/2,(BH20+1)*(1-1/(9*(BH20+1))+NORMSINV(0.5+$BI$7/200)/3/SQRT(BH20+1))^3)/BI20*1000</f>
        <v>43.871207802668486</v>
      </c>
      <c r="BL20" s="599">
        <f>BH20/BI20*1000</f>
        <v>7.8740157480314963</v>
      </c>
      <c r="BM20" s="599">
        <f>BK20-BL20</f>
        <v>35.99719205463699</v>
      </c>
      <c r="BN20" s="599">
        <f>BL20-BJ20</f>
        <v>7.6746629292575603</v>
      </c>
      <c r="BO20" s="598">
        <f>VLOOKUP($BF20&amp;$BO$9&amp;$BO$10, vw.deaths.dhb,8, FALSE)</f>
        <v>6.7</v>
      </c>
      <c r="BP20" s="777">
        <f>IFERROR(VLOOKUP($BF20&amp;$BP$9&amp;$BG$7,vw.deaths.dhb, 6, FALSE),0)</f>
        <v>1</v>
      </c>
      <c r="BQ20" s="777">
        <f>IFERROR(VLOOKUP($BF20&amp;$BQ$10&amp;$BG$7,vw.births.dhb, 6, FALSE),0)</f>
        <v>126</v>
      </c>
      <c r="BR20" s="819">
        <f>IF(BP20=0,0,IF(BP20&lt;389,CHIINV(0.5+$BI$7/200,2*BP20)/2,BP20*(1-1/(9*BP20)-NORMSINV(0.5+$BI$7/200)/3/SQRT(BP20))^3))/BQ20*1000</f>
        <v>0.20093498400230078</v>
      </c>
      <c r="BS20" s="819">
        <f>IF(BP20&lt;389,CHIINV(0.5-$BI$7/200,2*BP20+2)/2,(BP20+1)*(1-1/(9*(BP20+1))+NORMSINV(0.5+$BI$7/200)/3/SQRT(BP20+1))^3)/BQ20*1000</f>
        <v>44.219391991578561</v>
      </c>
      <c r="BT20" s="599">
        <f>BP20/BQ20*1000</f>
        <v>7.9365079365079358</v>
      </c>
      <c r="BU20" s="599">
        <f>BS20-BT20</f>
        <v>36.282884055070625</v>
      </c>
      <c r="BV20" s="599">
        <f>BT20-BR20</f>
        <v>7.7355729525056347</v>
      </c>
      <c r="BW20" s="598">
        <f>VLOOKUP($BF20&amp;$BW$9&amp;$BW$10, vw.deaths.dhb, 8, FALSE)</f>
        <v>2.5</v>
      </c>
      <c r="BX20" s="820"/>
      <c r="BY20" s="325"/>
      <c r="BZ20" s="87"/>
      <c r="CA20" s="118"/>
      <c r="CB20" s="118"/>
      <c r="CC20" s="118"/>
      <c r="CD20" s="118"/>
    </row>
    <row r="21" spans="1:82">
      <c r="A21" s="214" t="s">
        <v>152</v>
      </c>
      <c r="B21" s="214"/>
      <c r="C21" s="214"/>
      <c r="D21" s="220"/>
      <c r="E21" s="214"/>
      <c r="F21" s="214"/>
      <c r="G21" s="234"/>
      <c r="H21" s="207"/>
      <c r="I21" s="182"/>
      <c r="J21" s="136"/>
      <c r="K21" s="136"/>
      <c r="L21" s="136"/>
      <c r="M21" s="136"/>
      <c r="N21" s="136"/>
      <c r="O21" s="136"/>
      <c r="P21" s="136"/>
      <c r="Q21" s="136"/>
      <c r="R21" s="136"/>
      <c r="S21" s="136"/>
      <c r="T21" s="183"/>
      <c r="U21" s="85"/>
      <c r="V21" s="85"/>
      <c r="W21" s="85"/>
      <c r="X21" s="85"/>
      <c r="Y21" s="85"/>
      <c r="Z21" s="85"/>
      <c r="AA21" s="85"/>
      <c r="AB21" s="85"/>
      <c r="AC21" s="85"/>
      <c r="AD21" s="85"/>
      <c r="AE21" s="85"/>
      <c r="AF21" s="85"/>
      <c r="AG21" s="85"/>
      <c r="AH21" s="85"/>
      <c r="AI21" s="85"/>
      <c r="AJ21" s="85"/>
      <c r="AK21" s="85"/>
      <c r="AL21" s="85"/>
      <c r="AM21" s="85"/>
      <c r="AN21" s="85"/>
      <c r="AO21" s="85"/>
      <c r="AP21" s="311"/>
      <c r="AQ21" s="311"/>
      <c r="AR21" s="771"/>
      <c r="AS21" s="324"/>
      <c r="AT21" s="324"/>
      <c r="AU21" s="324"/>
      <c r="AV21" s="324"/>
      <c r="BD21" s="700"/>
      <c r="BE21" s="700"/>
      <c r="BF21" s="503" t="str">
        <f t="shared" si="3"/>
        <v>European or Othereth</v>
      </c>
      <c r="BG21" s="503" t="s">
        <v>356</v>
      </c>
      <c r="BH21" s="777">
        <f>IFERROR(VLOOKUP($BF21&amp;$BH$9&amp;$BG$7,vw.deaths.dhb, 6, FALSE),0)</f>
        <v>8</v>
      </c>
      <c r="BI21" s="777">
        <f t="shared" si="2"/>
        <v>823</v>
      </c>
      <c r="BJ21" s="818">
        <f>IF(BH21=0,0,IF(BH21&lt;389,CHIINV(0.5+$BI$7/200,2*BH21)/2,BH21*(1-1/(9*BH21)-NORMSINV(0.5+$BI$7/200)/3/SQRT(BH21))^3))/BI21*1000</f>
        <v>4.1966369097794667</v>
      </c>
      <c r="BK21" s="818">
        <f>IF(BH21&lt;389,CHIINV(0.5-$BI$7/200,2*BH21+2)/2,(BH21+1)*(1-1/(9*(BH21+1))+NORMSINV(0.5+$BI$7/200)/3/SQRT(BH21+1))^3)/BI21*1000</f>
        <v>19.153328335593336</v>
      </c>
      <c r="BL21" s="599">
        <f>BH21/BI21*1000</f>
        <v>9.7205346294046162</v>
      </c>
      <c r="BM21" s="599">
        <f>BK21-BL21</f>
        <v>9.4327937061887202</v>
      </c>
      <c r="BN21" s="599">
        <f>BL21-BJ21</f>
        <v>5.5238977196251495</v>
      </c>
      <c r="BO21" s="598">
        <f>VLOOKUP($BF21&amp;$BO$9&amp;$BO$10, vw.deaths.dhb,8, FALSE)</f>
        <v>6.6</v>
      </c>
      <c r="BP21" s="777">
        <f>IFERROR(VLOOKUP($BF21&amp;$BP$9&amp;$BG$7,vw.deaths.dhb, 6, FALSE),0)</f>
        <v>4</v>
      </c>
      <c r="BQ21" s="777">
        <f>IFERROR(VLOOKUP($BF21&amp;$BQ$10&amp;$BG$7,vw.births.dhb, 6, FALSE),0)</f>
        <v>815</v>
      </c>
      <c r="BR21" s="819">
        <f>IF(BP21=0,0,IF(BP21&lt;389,CHIINV(0.5+$BI$7/200,2*BP21)/2,BP21*(1-1/(9*BP21)-NORMSINV(0.5+$BI$7/200)/3/SQRT(BP21))^3))/BQ21*1000</f>
        <v>1.3372581271488655</v>
      </c>
      <c r="BS21" s="819">
        <f>IF(BP21&lt;389,CHIINV(0.5-$BI$7/200,2*BP21+2)/2,(BP21+1)*(1-1/(9*(BP21+1))+NORMSINV(0.5+$BI$7/200)/3/SQRT(BP21+1))^3)/BQ21*1000</f>
        <v>12.566366472887973</v>
      </c>
      <c r="BT21" s="599">
        <f>BP21/BQ21*1000</f>
        <v>4.9079754601226995</v>
      </c>
      <c r="BU21" s="599">
        <f>BS21-BT21</f>
        <v>7.6583910127652732</v>
      </c>
      <c r="BV21" s="599">
        <f>BT21-BR21</f>
        <v>3.570717332973834</v>
      </c>
      <c r="BW21" s="598">
        <f>VLOOKUP($BF21&amp;$BW$9&amp;$BW$10, vw.deaths.dhb, 8, FALSE)</f>
        <v>2.8</v>
      </c>
      <c r="BX21" s="822"/>
      <c r="BY21" s="311"/>
    </row>
    <row r="22" spans="1:82">
      <c r="A22" s="457" t="s">
        <v>339</v>
      </c>
      <c r="B22" s="217">
        <f t="shared" ref="B22:B28" si="4">BQ23</f>
        <v>151</v>
      </c>
      <c r="C22" s="217">
        <f t="shared" ref="C22:C28" si="5">BH23</f>
        <v>1</v>
      </c>
      <c r="D22" s="218">
        <f t="shared" ref="D22:D27" si="6">C22/(B22+C22)*1000</f>
        <v>6.5789473684210522</v>
      </c>
      <c r="E22" s="217">
        <f t="shared" ref="E22:E28" si="7">BP23</f>
        <v>0</v>
      </c>
      <c r="F22" s="219">
        <f t="shared" ref="F22:F27" si="8">E22/B22*1000</f>
        <v>0</v>
      </c>
      <c r="G22" s="234"/>
      <c r="H22" s="207"/>
      <c r="I22" s="182"/>
      <c r="J22" s="136"/>
      <c r="K22" s="136"/>
      <c r="L22" s="136"/>
      <c r="M22" s="136"/>
      <c r="N22" s="136"/>
      <c r="O22" s="136"/>
      <c r="P22" s="136"/>
      <c r="Q22" s="136"/>
      <c r="R22" s="136"/>
      <c r="S22" s="136"/>
      <c r="T22" s="183"/>
      <c r="U22" s="85"/>
      <c r="V22" s="85"/>
      <c r="W22" s="85"/>
      <c r="X22" s="85"/>
      <c r="Y22" s="85"/>
      <c r="Z22" s="85"/>
      <c r="AA22" s="85"/>
      <c r="AB22" s="85"/>
      <c r="AC22" s="85"/>
      <c r="AD22" s="85"/>
      <c r="AE22" s="85"/>
      <c r="AF22" s="85"/>
      <c r="AG22" s="85"/>
      <c r="AH22" s="85"/>
      <c r="AI22" s="85"/>
      <c r="AJ22" s="85"/>
      <c r="AK22" s="85"/>
      <c r="AL22" s="85"/>
      <c r="AM22" s="85"/>
      <c r="AN22" s="85"/>
      <c r="AO22" s="85"/>
      <c r="AP22" s="311"/>
      <c r="AQ22" s="311"/>
      <c r="AR22" s="771"/>
      <c r="AS22" s="324"/>
      <c r="AT22" s="324"/>
      <c r="AU22" s="324"/>
      <c r="AV22" s="324"/>
      <c r="BD22" s="700"/>
      <c r="BE22" s="700"/>
      <c r="BF22" s="817"/>
      <c r="BG22" s="601" t="s">
        <v>453</v>
      </c>
      <c r="BH22" s="777"/>
      <c r="BI22" s="777"/>
      <c r="BJ22" s="503"/>
      <c r="BK22" s="503"/>
      <c r="BL22" s="503"/>
      <c r="BM22" s="503"/>
      <c r="BN22" s="503"/>
      <c r="BO22" s="598"/>
      <c r="BP22" s="777"/>
      <c r="BQ22" s="777"/>
      <c r="BR22" s="819"/>
      <c r="BS22" s="819"/>
      <c r="BT22" s="821"/>
      <c r="BU22" s="503"/>
      <c r="BV22" s="503"/>
      <c r="BW22" s="598"/>
      <c r="BX22" s="820"/>
      <c r="BY22" s="325"/>
      <c r="BZ22" s="87"/>
      <c r="CA22" s="118"/>
      <c r="CB22" s="118"/>
      <c r="CC22" s="118"/>
      <c r="CD22" s="118"/>
    </row>
    <row r="23" spans="1:82">
      <c r="A23" s="217" t="s">
        <v>77</v>
      </c>
      <c r="B23" s="217">
        <f t="shared" si="4"/>
        <v>528</v>
      </c>
      <c r="C23" s="217">
        <f t="shared" si="5"/>
        <v>7</v>
      </c>
      <c r="D23" s="218">
        <f t="shared" si="6"/>
        <v>13.084112149532711</v>
      </c>
      <c r="E23" s="217">
        <f t="shared" si="7"/>
        <v>4</v>
      </c>
      <c r="F23" s="219">
        <f t="shared" si="8"/>
        <v>7.5757575757575761</v>
      </c>
      <c r="G23" s="234"/>
      <c r="H23" s="207"/>
      <c r="I23" s="182"/>
      <c r="J23" s="977"/>
      <c r="K23" s="977"/>
      <c r="L23" s="977"/>
      <c r="M23" s="977"/>
      <c r="N23" s="977"/>
      <c r="O23" s="977"/>
      <c r="P23" s="977"/>
      <c r="Q23" s="977"/>
      <c r="R23" s="977"/>
      <c r="S23" s="977"/>
      <c r="T23" s="183"/>
      <c r="U23" s="85"/>
      <c r="V23" s="85"/>
      <c r="W23" s="85"/>
      <c r="X23" s="85"/>
      <c r="Y23" s="85"/>
      <c r="Z23" s="85"/>
      <c r="AA23" s="85"/>
      <c r="AB23" s="85"/>
      <c r="AC23" s="85"/>
      <c r="AD23" s="85"/>
      <c r="AE23" s="85"/>
      <c r="AF23" s="85"/>
      <c r="AG23" s="85"/>
      <c r="AH23" s="85"/>
      <c r="AI23" s="85"/>
      <c r="AJ23" s="85"/>
      <c r="AK23" s="85"/>
      <c r="AL23" s="85"/>
      <c r="AM23" s="85"/>
      <c r="AN23" s="85"/>
      <c r="AO23" s="85"/>
      <c r="AP23" s="311"/>
      <c r="AQ23" s="311"/>
      <c r="AR23" s="771"/>
      <c r="AS23" s="324"/>
      <c r="AT23" s="324"/>
      <c r="AU23" s="324"/>
      <c r="AV23" s="324"/>
      <c r="BD23" s="700"/>
      <c r="BE23" s="700"/>
      <c r="BF23" s="503" t="str">
        <f>BG23&amp;BG$22</f>
        <v>&lt;20age</v>
      </c>
      <c r="BG23" s="771" t="s">
        <v>339</v>
      </c>
      <c r="BH23" s="777">
        <f t="shared" ref="BH23:BH29" si="9">IFERROR(VLOOKUP($BF23&amp;$BH$9&amp;$BG$7,vw.deaths.dhb, 6, FALSE),0)</f>
        <v>1</v>
      </c>
      <c r="BI23" s="777">
        <f t="shared" si="2"/>
        <v>152</v>
      </c>
      <c r="BJ23" s="818">
        <f t="shared" ref="BJ23:BJ28" si="10">IF(BH23=0,0,IF(BH23&lt;389,CHIINV(0.5+$BI$7/200,2*BH23)/2,BH23*(1-1/(9*BH23)-NORMSINV(0.5+$BI$7/200)/3/SQRT(BH23))^3))/BI23*1000</f>
        <v>0.16656452621243353</v>
      </c>
      <c r="BK23" s="818">
        <f t="shared" ref="BK23:BK28" si="11">IF(BH23&lt;389,CHIINV(0.5-$BI$7/200,2*BH23+2)/2,(BH23+1)*(1-1/(9*(BH23+1))+NORMSINV(0.5+$BI$7/200)/3/SQRT(BH23+1))^3)/BI23*1000</f>
        <v>36.655548624598012</v>
      </c>
      <c r="BL23" s="599">
        <f t="shared" ref="BL23:BL28" si="12">BH23/BI23*1000</f>
        <v>6.5789473684210522</v>
      </c>
      <c r="BM23" s="599">
        <f t="shared" ref="BM23:BM28" si="13">BK23-BL23</f>
        <v>30.076601256176961</v>
      </c>
      <c r="BN23" s="599">
        <f t="shared" ref="BN23:BN28" si="14">BL23-BJ23</f>
        <v>6.4123828422086184</v>
      </c>
      <c r="BO23" s="598">
        <f t="shared" ref="BO23:BO28" si="15">VLOOKUP($BF23&amp;$BO$9&amp;$BO$10, vw.deaths.dhb,8, FALSE)</f>
        <v>13.9</v>
      </c>
      <c r="BP23" s="777">
        <f t="shared" ref="BP23:BP29" si="16">IFERROR(VLOOKUP($BF23&amp;$BP$9&amp;$BG$7,vw.deaths.dhb, 6, FALSE),0)</f>
        <v>0</v>
      </c>
      <c r="BQ23" s="777">
        <f t="shared" ref="BQ23:BQ29" si="17">IFERROR(VLOOKUP($BF23&amp;$BQ$10&amp;$BG$7,vw.births.dhb, 6, FALSE),0)</f>
        <v>151</v>
      </c>
      <c r="BR23" s="819">
        <f t="shared" ref="BR23:BR28" si="18">IF(BP23=0,0,IF(BP23&lt;389,CHIINV(0.5+$BI$7/200,2*BP23)/2,BP23*(1-1/(9*BP23)-NORMSINV(0.5+$BI$7/200)/3/SQRT(BP23))^3))/BQ23*1000</f>
        <v>0</v>
      </c>
      <c r="BS23" s="819">
        <f t="shared" ref="BS23:BS28" si="19">IF(BP23&lt;389,CHIINV(0.5-$BI$7/200,2*BP23+2)/2,(BP23+1)*(1-1/(9*(BP23+1))+NORMSINV(0.5+$BI$7/200)/3/SQRT(BP23+1))^3)/BQ23*1000</f>
        <v>24.429665259032685</v>
      </c>
      <c r="BT23" s="599">
        <f t="shared" ref="BT23:BT28" si="20">BP23/BQ23*1000</f>
        <v>0</v>
      </c>
      <c r="BU23" s="599">
        <f t="shared" ref="BU23:BU28" si="21">BS23-BT23</f>
        <v>24.429665259032685</v>
      </c>
      <c r="BV23" s="599">
        <f t="shared" ref="BV23:BV28" si="22">BT23-BR23</f>
        <v>0</v>
      </c>
      <c r="BW23" s="598">
        <f t="shared" ref="BW23:BW28" si="23">VLOOKUP($BF23&amp;$BW$9&amp;$BW$10, vw.deaths.dhb, 8, FALSE)</f>
        <v>10.6</v>
      </c>
      <c r="BX23" s="820"/>
      <c r="BY23" s="325"/>
      <c r="BZ23" s="87"/>
      <c r="CA23" s="118"/>
      <c r="CB23" s="118"/>
      <c r="CC23" s="118"/>
      <c r="CD23" s="118"/>
    </row>
    <row r="24" spans="1:82">
      <c r="A24" s="217" t="s">
        <v>78</v>
      </c>
      <c r="B24" s="217">
        <f t="shared" si="4"/>
        <v>676</v>
      </c>
      <c r="C24" s="217">
        <f t="shared" si="5"/>
        <v>5</v>
      </c>
      <c r="D24" s="218">
        <f t="shared" si="6"/>
        <v>7.3421439060205582</v>
      </c>
      <c r="E24" s="217">
        <f t="shared" si="7"/>
        <v>1</v>
      </c>
      <c r="F24" s="219">
        <f t="shared" si="8"/>
        <v>1.4792899408284024</v>
      </c>
      <c r="G24" s="234"/>
      <c r="H24" s="207"/>
      <c r="I24" s="182"/>
      <c r="J24" s="136"/>
      <c r="K24" s="136"/>
      <c r="L24" s="136"/>
      <c r="M24" s="136"/>
      <c r="N24" s="136"/>
      <c r="O24" s="136"/>
      <c r="P24" s="136"/>
      <c r="Q24" s="136"/>
      <c r="R24" s="136"/>
      <c r="S24" s="136"/>
      <c r="T24" s="183"/>
      <c r="U24" s="85"/>
      <c r="V24" s="85"/>
      <c r="W24" s="85"/>
      <c r="X24" s="85"/>
      <c r="Y24" s="85"/>
      <c r="Z24" s="85"/>
      <c r="AA24" s="85"/>
      <c r="AB24" s="85"/>
      <c r="AC24" s="85"/>
      <c r="AD24" s="85"/>
      <c r="AE24" s="85"/>
      <c r="AF24" s="85"/>
      <c r="AG24" s="85"/>
      <c r="AH24" s="85"/>
      <c r="AI24" s="85"/>
      <c r="AJ24" s="85"/>
      <c r="AK24" s="85"/>
      <c r="AL24" s="85"/>
      <c r="AM24" s="85"/>
      <c r="AN24" s="85"/>
      <c r="AO24" s="85"/>
      <c r="AP24" s="311"/>
      <c r="AQ24" s="311"/>
      <c r="AR24" s="771"/>
      <c r="AS24" s="834"/>
      <c r="AT24" s="834"/>
      <c r="AU24" s="835">
        <f>$BK$7</f>
        <v>1</v>
      </c>
      <c r="AV24" s="835" t="s">
        <v>307</v>
      </c>
      <c r="AW24" s="836" t="s">
        <v>308</v>
      </c>
      <c r="AX24" s="836" t="s">
        <v>309</v>
      </c>
      <c r="BD24" s="700"/>
      <c r="BE24" s="700"/>
      <c r="BF24" s="503" t="str">
        <f t="shared" ref="BF24:BF29" si="24">BG24&amp;BG$22</f>
        <v>20-24age</v>
      </c>
      <c r="BG24" s="771" t="s">
        <v>130</v>
      </c>
      <c r="BH24" s="777">
        <f t="shared" si="9"/>
        <v>7</v>
      </c>
      <c r="BI24" s="777">
        <f t="shared" si="2"/>
        <v>535</v>
      </c>
      <c r="BJ24" s="818">
        <f t="shared" si="10"/>
        <v>5.2604916850838608</v>
      </c>
      <c r="BK24" s="818">
        <f t="shared" si="11"/>
        <v>26.958271704116594</v>
      </c>
      <c r="BL24" s="599">
        <f t="shared" si="12"/>
        <v>13.084112149532711</v>
      </c>
      <c r="BM24" s="599">
        <f t="shared" si="13"/>
        <v>13.874159554583883</v>
      </c>
      <c r="BN24" s="599">
        <f t="shared" si="14"/>
        <v>7.8236204644488501</v>
      </c>
      <c r="BO24" s="598">
        <f t="shared" si="15"/>
        <v>7.3</v>
      </c>
      <c r="BP24" s="777">
        <f t="shared" si="16"/>
        <v>4</v>
      </c>
      <c r="BQ24" s="777">
        <f t="shared" si="17"/>
        <v>528</v>
      </c>
      <c r="BR24" s="819">
        <f t="shared" si="18"/>
        <v>2.0641389652013737</v>
      </c>
      <c r="BS24" s="819">
        <f t="shared" si="19"/>
        <v>19.39694824887064</v>
      </c>
      <c r="BT24" s="599">
        <f t="shared" si="20"/>
        <v>7.5757575757575761</v>
      </c>
      <c r="BU24" s="599">
        <f t="shared" si="21"/>
        <v>11.821190673113064</v>
      </c>
      <c r="BV24" s="599">
        <f t="shared" si="22"/>
        <v>5.5116186105562024</v>
      </c>
      <c r="BW24" s="598">
        <f t="shared" si="23"/>
        <v>6.1</v>
      </c>
      <c r="BX24" s="820"/>
      <c r="BY24" s="325"/>
      <c r="BZ24" s="87"/>
      <c r="CA24" s="118"/>
      <c r="CB24" s="118"/>
      <c r="CC24" s="118"/>
      <c r="CD24" s="118"/>
    </row>
    <row r="25" spans="1:82">
      <c r="A25" s="217" t="s">
        <v>79</v>
      </c>
      <c r="B25" s="217">
        <f t="shared" si="4"/>
        <v>579</v>
      </c>
      <c r="C25" s="217">
        <f t="shared" si="5"/>
        <v>5</v>
      </c>
      <c r="D25" s="218">
        <f t="shared" si="6"/>
        <v>8.5616438356164384</v>
      </c>
      <c r="E25" s="217">
        <f t="shared" si="7"/>
        <v>2</v>
      </c>
      <c r="F25" s="219">
        <f t="shared" si="8"/>
        <v>3.4542314335060449</v>
      </c>
      <c r="G25" s="234"/>
      <c r="H25" s="207"/>
      <c r="I25" s="182"/>
      <c r="J25" s="136"/>
      <c r="K25" s="136"/>
      <c r="L25" s="136"/>
      <c r="M25" s="136"/>
      <c r="N25" s="136"/>
      <c r="O25" s="136"/>
      <c r="P25" s="136"/>
      <c r="Q25" s="136"/>
      <c r="R25" s="136"/>
      <c r="S25" s="136"/>
      <c r="T25" s="183"/>
      <c r="U25" s="85"/>
      <c r="V25" s="85"/>
      <c r="W25" s="85"/>
      <c r="X25" s="85"/>
      <c r="Y25" s="85"/>
      <c r="Z25" s="85"/>
      <c r="AA25" s="85"/>
      <c r="AB25" s="85"/>
      <c r="AC25" s="85"/>
      <c r="AD25" s="85"/>
      <c r="AE25" s="85"/>
      <c r="AF25" s="85"/>
      <c r="AG25" s="85"/>
      <c r="AH25" s="85"/>
      <c r="AI25" s="85"/>
      <c r="AJ25" s="85"/>
      <c r="AK25" s="85"/>
      <c r="AL25" s="85"/>
      <c r="AM25" s="85"/>
      <c r="AN25" s="85"/>
      <c r="AO25" s="85"/>
      <c r="AP25" s="311"/>
      <c r="AQ25" s="311"/>
      <c r="AR25" s="771"/>
      <c r="AS25" s="838" t="s">
        <v>303</v>
      </c>
      <c r="AT25" s="835" t="s">
        <v>76</v>
      </c>
      <c r="AU25" s="839">
        <f t="shared" ref="AU25:AU30" si="25">BL23</f>
        <v>6.5789473684210522</v>
      </c>
      <c r="AV25" s="839">
        <f t="shared" ref="AV25:AX30" si="26">BM23</f>
        <v>30.076601256176961</v>
      </c>
      <c r="AW25" s="839">
        <f t="shared" si="26"/>
        <v>6.4123828422086184</v>
      </c>
      <c r="AX25" s="839">
        <f t="shared" si="26"/>
        <v>13.9</v>
      </c>
      <c r="BD25" s="700"/>
      <c r="BE25" s="700"/>
      <c r="BF25" s="503" t="str">
        <f t="shared" si="24"/>
        <v>25-29age</v>
      </c>
      <c r="BG25" s="771" t="s">
        <v>131</v>
      </c>
      <c r="BH25" s="777">
        <f t="shared" si="9"/>
        <v>5</v>
      </c>
      <c r="BI25" s="777">
        <f t="shared" si="2"/>
        <v>681</v>
      </c>
      <c r="BJ25" s="818">
        <f t="shared" si="10"/>
        <v>2.3839741411430539</v>
      </c>
      <c r="BK25" s="818">
        <f t="shared" si="11"/>
        <v>17.134114653924627</v>
      </c>
      <c r="BL25" s="599">
        <f t="shared" si="12"/>
        <v>7.3421439060205582</v>
      </c>
      <c r="BM25" s="599">
        <f t="shared" si="13"/>
        <v>9.7919707479040685</v>
      </c>
      <c r="BN25" s="599">
        <f t="shared" si="14"/>
        <v>4.9581697648775043</v>
      </c>
      <c r="BO25" s="598">
        <f t="shared" si="15"/>
        <v>6.1</v>
      </c>
      <c r="BP25" s="777">
        <f t="shared" si="16"/>
        <v>1</v>
      </c>
      <c r="BQ25" s="777">
        <f t="shared" si="17"/>
        <v>676</v>
      </c>
      <c r="BR25" s="819">
        <f t="shared" si="18"/>
        <v>3.7452378674985055E-2</v>
      </c>
      <c r="BS25" s="819">
        <f t="shared" si="19"/>
        <v>8.24207602209896</v>
      </c>
      <c r="BT25" s="599">
        <f t="shared" si="20"/>
        <v>1.4792899408284024</v>
      </c>
      <c r="BU25" s="599">
        <f t="shared" si="21"/>
        <v>6.7627860812705576</v>
      </c>
      <c r="BV25" s="599">
        <f t="shared" si="22"/>
        <v>1.4418375621534174</v>
      </c>
      <c r="BW25" s="598">
        <f t="shared" si="23"/>
        <v>3.1</v>
      </c>
      <c r="BX25" s="820"/>
      <c r="BY25" s="325"/>
      <c r="BZ25" s="87"/>
      <c r="CA25" s="118"/>
      <c r="CB25" s="118"/>
      <c r="CC25" s="118"/>
      <c r="CD25" s="118"/>
    </row>
    <row r="26" spans="1:82" ht="15" customHeight="1">
      <c r="A26" s="217" t="s">
        <v>80</v>
      </c>
      <c r="B26" s="217">
        <f t="shared" si="4"/>
        <v>288</v>
      </c>
      <c r="C26" s="217">
        <f t="shared" si="5"/>
        <v>1</v>
      </c>
      <c r="D26" s="218">
        <f t="shared" si="6"/>
        <v>3.4602076124567476</v>
      </c>
      <c r="E26" s="217">
        <f t="shared" si="7"/>
        <v>2</v>
      </c>
      <c r="F26" s="219">
        <f t="shared" si="8"/>
        <v>6.9444444444444438</v>
      </c>
      <c r="G26" s="234"/>
      <c r="H26" s="207"/>
      <c r="I26" s="182"/>
      <c r="J26" s="136"/>
      <c r="K26" s="136"/>
      <c r="L26" s="136"/>
      <c r="M26" s="136"/>
      <c r="N26" s="136"/>
      <c r="O26" s="136"/>
      <c r="P26" s="136"/>
      <c r="Q26" s="136"/>
      <c r="R26" s="136"/>
      <c r="S26" s="136"/>
      <c r="T26" s="183"/>
      <c r="U26" s="85"/>
      <c r="V26" s="85"/>
      <c r="W26" s="85"/>
      <c r="X26" s="85"/>
      <c r="Y26" s="85"/>
      <c r="Z26" s="85"/>
      <c r="AA26" s="85"/>
      <c r="AB26" s="85"/>
      <c r="AC26" s="85"/>
      <c r="AD26" s="85"/>
      <c r="AE26" s="85"/>
      <c r="AF26" s="85"/>
      <c r="AG26" s="85"/>
      <c r="AH26" s="85"/>
      <c r="AI26" s="85"/>
      <c r="AJ26" s="85"/>
      <c r="AK26" s="85"/>
      <c r="AL26" s="85"/>
      <c r="AM26" s="85"/>
      <c r="AN26" s="85"/>
      <c r="AO26" s="85"/>
      <c r="AP26" s="311"/>
      <c r="AQ26" s="311"/>
      <c r="AR26" s="771"/>
      <c r="AS26" s="840"/>
      <c r="AT26" s="835" t="s">
        <v>77</v>
      </c>
      <c r="AU26" s="839">
        <f t="shared" si="25"/>
        <v>13.084112149532711</v>
      </c>
      <c r="AV26" s="839">
        <f t="shared" si="26"/>
        <v>13.874159554583883</v>
      </c>
      <c r="AW26" s="839">
        <f t="shared" si="26"/>
        <v>7.8236204644488501</v>
      </c>
      <c r="AX26" s="839">
        <f t="shared" si="26"/>
        <v>7.3</v>
      </c>
      <c r="BD26" s="700"/>
      <c r="BE26" s="700"/>
      <c r="BF26" s="503" t="str">
        <f t="shared" si="24"/>
        <v>30-34age</v>
      </c>
      <c r="BG26" s="771" t="s">
        <v>132</v>
      </c>
      <c r="BH26" s="777">
        <f t="shared" si="9"/>
        <v>5</v>
      </c>
      <c r="BI26" s="777">
        <f t="shared" si="2"/>
        <v>584</v>
      </c>
      <c r="BJ26" s="818">
        <f t="shared" si="10"/>
        <v>2.7799424488329105</v>
      </c>
      <c r="BK26" s="818">
        <f t="shared" si="11"/>
        <v>19.980020683771691</v>
      </c>
      <c r="BL26" s="599">
        <f t="shared" si="12"/>
        <v>8.5616438356164384</v>
      </c>
      <c r="BM26" s="599">
        <f t="shared" si="13"/>
        <v>11.418376848155253</v>
      </c>
      <c r="BN26" s="599">
        <f t="shared" si="14"/>
        <v>5.7817013867835279</v>
      </c>
      <c r="BO26" s="598">
        <f t="shared" si="15"/>
        <v>6.1</v>
      </c>
      <c r="BP26" s="777">
        <f t="shared" si="16"/>
        <v>2</v>
      </c>
      <c r="BQ26" s="777">
        <f t="shared" si="17"/>
        <v>579</v>
      </c>
      <c r="BR26" s="819">
        <f t="shared" si="18"/>
        <v>0.41832345171669283</v>
      </c>
      <c r="BS26" s="819">
        <f t="shared" si="19"/>
        <v>12.477871619557789</v>
      </c>
      <c r="BT26" s="599">
        <f t="shared" si="20"/>
        <v>3.4542314335060449</v>
      </c>
      <c r="BU26" s="599">
        <f t="shared" si="21"/>
        <v>9.0236401860517432</v>
      </c>
      <c r="BV26" s="599">
        <f t="shared" si="22"/>
        <v>3.035907981789352</v>
      </c>
      <c r="BW26" s="598">
        <f t="shared" si="23"/>
        <v>3.2</v>
      </c>
      <c r="BX26" s="820"/>
      <c r="BY26" s="325"/>
      <c r="BZ26" s="87"/>
      <c r="CA26" s="118"/>
      <c r="CB26" s="118"/>
      <c r="CC26" s="118"/>
      <c r="CD26" s="118"/>
    </row>
    <row r="27" spans="1:82">
      <c r="A27" s="217" t="s">
        <v>81</v>
      </c>
      <c r="B27" s="217">
        <f t="shared" si="4"/>
        <v>98</v>
      </c>
      <c r="C27" s="217">
        <f t="shared" si="5"/>
        <v>1</v>
      </c>
      <c r="D27" s="218">
        <f t="shared" si="6"/>
        <v>10.101010101010102</v>
      </c>
      <c r="E27" s="217">
        <f t="shared" si="7"/>
        <v>3</v>
      </c>
      <c r="F27" s="219">
        <f t="shared" si="8"/>
        <v>30.612244897959183</v>
      </c>
      <c r="G27" s="234"/>
      <c r="H27" s="207"/>
      <c r="I27" s="182"/>
      <c r="J27" s="136"/>
      <c r="K27" s="136"/>
      <c r="L27" s="136"/>
      <c r="M27" s="136"/>
      <c r="N27" s="136"/>
      <c r="O27" s="136"/>
      <c r="P27" s="136"/>
      <c r="Q27" s="136"/>
      <c r="R27" s="136"/>
      <c r="S27" s="136"/>
      <c r="T27" s="183"/>
      <c r="U27" s="85"/>
      <c r="V27" s="85"/>
      <c r="W27" s="85"/>
      <c r="X27" s="85"/>
      <c r="Y27" s="85"/>
      <c r="Z27" s="85"/>
      <c r="AA27" s="85"/>
      <c r="AB27" s="85"/>
      <c r="AC27" s="85"/>
      <c r="AD27" s="85"/>
      <c r="AE27" s="85"/>
      <c r="AF27" s="85"/>
      <c r="AG27" s="85"/>
      <c r="AH27" s="85"/>
      <c r="AI27" s="85"/>
      <c r="AJ27" s="85"/>
      <c r="AK27" s="85"/>
      <c r="AL27" s="85"/>
      <c r="AM27" s="85"/>
      <c r="AN27" s="85"/>
      <c r="AO27" s="85"/>
      <c r="AP27" s="311"/>
      <c r="AQ27" s="311"/>
      <c r="AR27" s="771"/>
      <c r="AS27" s="839"/>
      <c r="AT27" s="835" t="s">
        <v>78</v>
      </c>
      <c r="AU27" s="839">
        <f t="shared" si="25"/>
        <v>7.3421439060205582</v>
      </c>
      <c r="AV27" s="839">
        <f t="shared" si="26"/>
        <v>9.7919707479040685</v>
      </c>
      <c r="AW27" s="839">
        <f t="shared" si="26"/>
        <v>4.9581697648775043</v>
      </c>
      <c r="AX27" s="839">
        <f t="shared" si="26"/>
        <v>6.1</v>
      </c>
      <c r="BD27" s="700"/>
      <c r="BE27" s="700"/>
      <c r="BF27" s="503" t="str">
        <f t="shared" si="24"/>
        <v>35-39age</v>
      </c>
      <c r="BG27" s="771" t="s">
        <v>133</v>
      </c>
      <c r="BH27" s="777">
        <f t="shared" si="9"/>
        <v>1</v>
      </c>
      <c r="BI27" s="777">
        <f t="shared" si="2"/>
        <v>289</v>
      </c>
      <c r="BJ27" s="818">
        <f t="shared" si="10"/>
        <v>8.7604871917958113E-2</v>
      </c>
      <c r="BK27" s="818">
        <f t="shared" si="11"/>
        <v>19.279042875221101</v>
      </c>
      <c r="BL27" s="599">
        <f t="shared" si="12"/>
        <v>3.4602076124567476</v>
      </c>
      <c r="BM27" s="599">
        <f t="shared" si="13"/>
        <v>15.818835262764354</v>
      </c>
      <c r="BN27" s="599">
        <f t="shared" si="14"/>
        <v>3.3726027405387895</v>
      </c>
      <c r="BO27" s="598">
        <f t="shared" si="15"/>
        <v>6.9</v>
      </c>
      <c r="BP27" s="777">
        <f t="shared" si="16"/>
        <v>2</v>
      </c>
      <c r="BQ27" s="777">
        <f t="shared" si="17"/>
        <v>288</v>
      </c>
      <c r="BR27" s="819">
        <f t="shared" si="18"/>
        <v>0.8410044393887679</v>
      </c>
      <c r="BS27" s="819">
        <f t="shared" si="19"/>
        <v>25.08572106848597</v>
      </c>
      <c r="BT27" s="599">
        <f t="shared" si="20"/>
        <v>6.9444444444444438</v>
      </c>
      <c r="BU27" s="599">
        <f t="shared" si="21"/>
        <v>18.141276624041527</v>
      </c>
      <c r="BV27" s="599">
        <f t="shared" si="22"/>
        <v>6.1034400050556759</v>
      </c>
      <c r="BW27" s="598">
        <f t="shared" si="23"/>
        <v>2.6</v>
      </c>
      <c r="BX27" s="820"/>
      <c r="BY27" s="325"/>
      <c r="BZ27" s="87"/>
      <c r="CA27" s="118"/>
      <c r="CB27" s="118"/>
      <c r="CC27" s="118"/>
      <c r="CD27" s="118"/>
    </row>
    <row r="28" spans="1:82">
      <c r="A28" s="217" t="s">
        <v>63</v>
      </c>
      <c r="B28" s="217">
        <f t="shared" si="4"/>
        <v>0</v>
      </c>
      <c r="C28" s="217">
        <f t="shared" si="5"/>
        <v>0</v>
      </c>
      <c r="D28" s="221" t="s">
        <v>119</v>
      </c>
      <c r="E28" s="217">
        <f t="shared" si="7"/>
        <v>0</v>
      </c>
      <c r="F28" s="222" t="s">
        <v>119</v>
      </c>
      <c r="G28" s="234"/>
      <c r="H28" s="196"/>
      <c r="I28" s="182"/>
      <c r="J28" s="136"/>
      <c r="K28" s="136"/>
      <c r="L28" s="136"/>
      <c r="M28" s="136"/>
      <c r="N28" s="136"/>
      <c r="O28" s="136"/>
      <c r="P28" s="136"/>
      <c r="Q28" s="136"/>
      <c r="R28" s="136"/>
      <c r="S28" s="136"/>
      <c r="T28" s="183"/>
      <c r="U28" s="85"/>
      <c r="V28" s="85"/>
      <c r="W28" s="85"/>
      <c r="X28" s="85"/>
      <c r="Y28" s="85"/>
      <c r="Z28" s="85"/>
      <c r="AA28" s="85"/>
      <c r="AB28" s="85"/>
      <c r="AC28" s="85"/>
      <c r="AD28" s="85"/>
      <c r="AE28" s="85"/>
      <c r="AF28" s="85"/>
      <c r="AG28" s="85"/>
      <c r="AH28" s="85"/>
      <c r="AI28" s="85"/>
      <c r="AJ28" s="85"/>
      <c r="AK28" s="85"/>
      <c r="AL28" s="85"/>
      <c r="AM28" s="85"/>
      <c r="AN28" s="85"/>
      <c r="AO28" s="85"/>
      <c r="AP28" s="311"/>
      <c r="AQ28" s="311"/>
      <c r="AR28" s="771"/>
      <c r="AT28" s="459" t="s">
        <v>79</v>
      </c>
      <c r="AU28" s="839">
        <f t="shared" si="25"/>
        <v>8.5616438356164384</v>
      </c>
      <c r="AV28" s="839">
        <f t="shared" si="26"/>
        <v>11.418376848155253</v>
      </c>
      <c r="AW28" s="839">
        <f t="shared" si="26"/>
        <v>5.7817013867835279</v>
      </c>
      <c r="AX28" s="839">
        <f t="shared" si="26"/>
        <v>6.1</v>
      </c>
      <c r="BD28" s="700"/>
      <c r="BE28" s="700"/>
      <c r="BF28" s="503" t="str">
        <f t="shared" si="24"/>
        <v>40+age</v>
      </c>
      <c r="BG28" s="771" t="s">
        <v>134</v>
      </c>
      <c r="BH28" s="777">
        <f t="shared" si="9"/>
        <v>1</v>
      </c>
      <c r="BI28" s="777">
        <f t="shared" si="2"/>
        <v>99</v>
      </c>
      <c r="BJ28" s="818">
        <f t="shared" si="10"/>
        <v>0.25573543418474642</v>
      </c>
      <c r="BK28" s="818">
        <f t="shared" si="11"/>
        <v>56.279226171099985</v>
      </c>
      <c r="BL28" s="599">
        <f t="shared" si="12"/>
        <v>10.101010101010102</v>
      </c>
      <c r="BM28" s="599">
        <f t="shared" si="13"/>
        <v>46.178216070089881</v>
      </c>
      <c r="BN28" s="599">
        <f t="shared" si="14"/>
        <v>9.8452746668253557</v>
      </c>
      <c r="BO28" s="598">
        <f t="shared" si="15"/>
        <v>6.5</v>
      </c>
      <c r="BP28" s="777">
        <f t="shared" si="16"/>
        <v>3</v>
      </c>
      <c r="BQ28" s="777">
        <f t="shared" si="17"/>
        <v>98</v>
      </c>
      <c r="BR28" s="819">
        <f t="shared" si="18"/>
        <v>6.3129808458734917</v>
      </c>
      <c r="BS28" s="819">
        <f t="shared" si="19"/>
        <v>89.461970099411474</v>
      </c>
      <c r="BT28" s="599">
        <f t="shared" si="20"/>
        <v>30.612244897959183</v>
      </c>
      <c r="BU28" s="599">
        <f t="shared" si="21"/>
        <v>58.849725201452287</v>
      </c>
      <c r="BV28" s="599">
        <f t="shared" si="22"/>
        <v>24.29926405208569</v>
      </c>
      <c r="BW28" s="598">
        <f t="shared" si="23"/>
        <v>6.1</v>
      </c>
      <c r="BX28" s="820"/>
      <c r="BY28" s="325"/>
      <c r="BZ28" s="87"/>
    </row>
    <row r="29" spans="1:82">
      <c r="A29" s="214" t="s">
        <v>82</v>
      </c>
      <c r="B29" s="214"/>
      <c r="C29" s="214"/>
      <c r="D29" s="220"/>
      <c r="E29" s="214"/>
      <c r="F29" s="214"/>
      <c r="G29" s="234"/>
      <c r="H29" s="207"/>
      <c r="I29" s="182"/>
      <c r="J29" s="136"/>
      <c r="K29" s="136"/>
      <c r="L29" s="136"/>
      <c r="M29" s="136"/>
      <c r="N29" s="136"/>
      <c r="O29" s="136"/>
      <c r="P29" s="136"/>
      <c r="Q29" s="136"/>
      <c r="R29" s="136"/>
      <c r="S29" s="136"/>
      <c r="T29" s="183"/>
      <c r="U29" s="85"/>
      <c r="V29" s="85"/>
      <c r="W29" s="85"/>
      <c r="X29" s="85"/>
      <c r="Y29" s="85"/>
      <c r="Z29" s="85"/>
      <c r="AA29" s="85"/>
      <c r="AB29" s="85"/>
      <c r="AC29" s="85"/>
      <c r="AD29" s="85"/>
      <c r="AE29" s="85"/>
      <c r="AF29" s="85"/>
      <c r="AG29" s="85"/>
      <c r="AH29" s="85"/>
      <c r="AI29" s="85"/>
      <c r="AJ29" s="85"/>
      <c r="AK29" s="85"/>
      <c r="AL29" s="85"/>
      <c r="AM29" s="85"/>
      <c r="AN29" s="85"/>
      <c r="AO29" s="85"/>
      <c r="AP29" s="311"/>
      <c r="AQ29" s="311"/>
      <c r="AR29" s="771"/>
      <c r="AT29" s="459" t="s">
        <v>80</v>
      </c>
      <c r="AU29" s="839">
        <f t="shared" si="25"/>
        <v>3.4602076124567476</v>
      </c>
      <c r="AV29" s="839">
        <f t="shared" si="26"/>
        <v>15.818835262764354</v>
      </c>
      <c r="AW29" s="839">
        <f t="shared" si="26"/>
        <v>3.3726027405387895</v>
      </c>
      <c r="AX29" s="839">
        <f t="shared" si="26"/>
        <v>6.9</v>
      </c>
      <c r="BD29" s="700"/>
      <c r="BE29" s="700"/>
      <c r="BF29" s="503" t="str">
        <f t="shared" si="24"/>
        <v>Unknownage</v>
      </c>
      <c r="BG29" s="773" t="s">
        <v>63</v>
      </c>
      <c r="BH29" s="777">
        <f t="shared" si="9"/>
        <v>0</v>
      </c>
      <c r="BI29" s="777">
        <f t="shared" si="2"/>
        <v>0</v>
      </c>
      <c r="BJ29" s="503"/>
      <c r="BK29" s="503"/>
      <c r="BL29" s="503"/>
      <c r="BM29" s="503"/>
      <c r="BN29" s="503"/>
      <c r="BO29" s="598"/>
      <c r="BP29" s="777">
        <f t="shared" si="16"/>
        <v>0</v>
      </c>
      <c r="BQ29" s="777">
        <f t="shared" si="17"/>
        <v>0</v>
      </c>
      <c r="BR29" s="819"/>
      <c r="BS29" s="819"/>
      <c r="BT29" s="821"/>
      <c r="BU29" s="503"/>
      <c r="BV29" s="503"/>
      <c r="BW29" s="598"/>
      <c r="BX29" s="822"/>
      <c r="BY29" s="311"/>
    </row>
    <row r="30" spans="1:82" ht="15" customHeight="1">
      <c r="A30" s="217" t="s">
        <v>83</v>
      </c>
      <c r="B30" s="217">
        <f t="shared" ref="B30:B35" si="27">BQ31</f>
        <v>14</v>
      </c>
      <c r="C30" s="217">
        <f t="shared" ref="C30:C35" si="28">BH31</f>
        <v>0</v>
      </c>
      <c r="D30" s="218">
        <f>C30/(B30+C30)*1000</f>
        <v>0</v>
      </c>
      <c r="E30" s="217">
        <f t="shared" ref="E30:E35" si="29">BP31</f>
        <v>0</v>
      </c>
      <c r="F30" s="219">
        <f>E30/B30*1000</f>
        <v>0</v>
      </c>
      <c r="G30" s="234"/>
      <c r="H30" s="207"/>
      <c r="I30" s="182"/>
      <c r="J30" s="136"/>
      <c r="K30" s="136"/>
      <c r="L30" s="136"/>
      <c r="M30" s="136"/>
      <c r="N30" s="136"/>
      <c r="O30" s="136"/>
      <c r="P30" s="136"/>
      <c r="Q30" s="136"/>
      <c r="R30" s="136"/>
      <c r="S30" s="136"/>
      <c r="T30" s="183"/>
      <c r="U30" s="85"/>
      <c r="V30" s="85"/>
      <c r="W30" s="85"/>
      <c r="X30" s="85"/>
      <c r="Y30" s="85"/>
      <c r="Z30" s="85"/>
      <c r="AA30" s="85"/>
      <c r="AB30" s="85"/>
      <c r="AC30" s="85"/>
      <c r="AD30" s="85"/>
      <c r="AE30" s="85"/>
      <c r="AF30" s="85"/>
      <c r="AG30" s="85"/>
      <c r="AH30" s="85"/>
      <c r="AI30" s="85"/>
      <c r="AJ30" s="85"/>
      <c r="AK30" s="85"/>
      <c r="AL30" s="85"/>
      <c r="AM30" s="85"/>
      <c r="AN30" s="85"/>
      <c r="AO30" s="85"/>
      <c r="AP30" s="311"/>
      <c r="AQ30" s="311"/>
      <c r="AR30" s="771"/>
      <c r="AT30" s="459" t="s">
        <v>81</v>
      </c>
      <c r="AU30" s="839">
        <f t="shared" si="25"/>
        <v>10.101010101010102</v>
      </c>
      <c r="AV30" s="839">
        <f t="shared" si="26"/>
        <v>46.178216070089881</v>
      </c>
      <c r="AW30" s="839">
        <f t="shared" si="26"/>
        <v>9.8452746668253557</v>
      </c>
      <c r="AX30" s="839">
        <f t="shared" si="26"/>
        <v>6.5</v>
      </c>
      <c r="BD30" s="700"/>
      <c r="BE30" s="700"/>
      <c r="BF30" s="503"/>
      <c r="BG30" s="823" t="s">
        <v>454</v>
      </c>
      <c r="BH30" s="777"/>
      <c r="BI30" s="777"/>
      <c r="BJ30" s="503"/>
      <c r="BK30" s="503"/>
      <c r="BL30" s="503"/>
      <c r="BM30" s="503"/>
      <c r="BN30" s="503"/>
      <c r="BO30" s="598"/>
      <c r="BP30" s="777"/>
      <c r="BQ30" s="777"/>
      <c r="BR30" s="819"/>
      <c r="BS30" s="819"/>
      <c r="BT30" s="821"/>
      <c r="BU30" s="503"/>
      <c r="BV30" s="503"/>
      <c r="BW30" s="598"/>
      <c r="BX30" s="820"/>
      <c r="BY30" s="325"/>
      <c r="BZ30" s="87"/>
      <c r="CA30" s="118"/>
      <c r="CB30" s="118"/>
      <c r="CC30" s="118"/>
      <c r="CD30" s="118"/>
    </row>
    <row r="31" spans="1:82">
      <c r="A31" s="223">
        <v>2</v>
      </c>
      <c r="B31" s="217">
        <f t="shared" si="27"/>
        <v>197</v>
      </c>
      <c r="C31" s="217">
        <f t="shared" si="28"/>
        <v>2</v>
      </c>
      <c r="D31" s="218">
        <f>C31/(B31+C31)*1000</f>
        <v>10.050251256281408</v>
      </c>
      <c r="E31" s="217">
        <f t="shared" si="29"/>
        <v>0</v>
      </c>
      <c r="F31" s="219">
        <f>E31/B31*1000</f>
        <v>0</v>
      </c>
      <c r="G31" s="234"/>
      <c r="H31" s="207"/>
      <c r="I31" s="182"/>
      <c r="J31" s="136"/>
      <c r="K31" s="136"/>
      <c r="L31" s="136"/>
      <c r="M31" s="136"/>
      <c r="N31" s="136"/>
      <c r="O31" s="136"/>
      <c r="P31" s="136"/>
      <c r="Q31" s="136"/>
      <c r="R31" s="136"/>
      <c r="S31" s="136"/>
      <c r="T31" s="183"/>
      <c r="U31" s="85"/>
      <c r="V31" s="85"/>
      <c r="W31" s="85"/>
      <c r="X31" s="85"/>
      <c r="Y31" s="85"/>
      <c r="Z31" s="85"/>
      <c r="AA31" s="85"/>
      <c r="AB31" s="85"/>
      <c r="AC31" s="85"/>
      <c r="AD31" s="85"/>
      <c r="AE31" s="85"/>
      <c r="AF31" s="85"/>
      <c r="AG31" s="85"/>
      <c r="AH31" s="85"/>
      <c r="AI31" s="85"/>
      <c r="AJ31" s="85"/>
      <c r="AK31" s="85"/>
      <c r="AL31" s="85"/>
      <c r="AM31" s="85"/>
      <c r="AN31" s="85"/>
      <c r="AO31" s="85"/>
      <c r="AP31" s="311"/>
      <c r="AQ31" s="311"/>
      <c r="AR31" s="771"/>
      <c r="AS31" s="839" t="s">
        <v>304</v>
      </c>
      <c r="AT31" s="835" t="s">
        <v>76</v>
      </c>
      <c r="AU31" s="839">
        <f t="shared" ref="AU31:AU36" si="30">BT23</f>
        <v>0</v>
      </c>
      <c r="AV31" s="839">
        <f t="shared" ref="AV31:AX36" si="31">BU23</f>
        <v>24.429665259032685</v>
      </c>
      <c r="AW31" s="839">
        <f t="shared" si="31"/>
        <v>0</v>
      </c>
      <c r="AX31" s="839">
        <f t="shared" si="31"/>
        <v>10.6</v>
      </c>
      <c r="BD31" s="700"/>
      <c r="BE31" s="700"/>
      <c r="BF31" s="503" t="str">
        <f>BG31&amp;BG$30</f>
        <v>Quin 1dep</v>
      </c>
      <c r="BG31" s="774" t="s">
        <v>421</v>
      </c>
      <c r="BH31" s="777">
        <f t="shared" ref="BH31:BH36" si="32">IFERROR(VLOOKUP($BF31&amp;$BH$9&amp;$BG$7,vw.deaths.dhb, 6, FALSE),0)</f>
        <v>0</v>
      </c>
      <c r="BI31" s="777">
        <f t="shared" si="2"/>
        <v>14</v>
      </c>
      <c r="BJ31" s="818">
        <f>IF(BH31=0,0,IF(BH31&lt;389,CHIINV(0.5+$BI$7/200,2*BH31)/2,BH31*(1-1/(9*BH31)-NORMSINV(0.5+$BI$7/200)/3/SQRT(BH31))^3))/BI31*1000</f>
        <v>0</v>
      </c>
      <c r="BK31" s="818">
        <f>IF(BH31&lt;389,CHIINV(0.5-$BI$7/200,2*BH31+2)/2,(BH31+1)*(1-1/(9*(BH31+1))+NORMSINV(0.5+$BI$7/200)/3/SQRT(BH31+1))^3)/BI31*1000</f>
        <v>263.49138957956683</v>
      </c>
      <c r="BL31" s="599">
        <f>BH31/BI31*1000</f>
        <v>0</v>
      </c>
      <c r="BM31" s="599">
        <f>BK31-BL31</f>
        <v>263.49138957956683</v>
      </c>
      <c r="BN31" s="599">
        <f>BL31-BJ31</f>
        <v>0</v>
      </c>
      <c r="BO31" s="598">
        <f>VLOOKUP($BF31&amp;$BO$9&amp;$BO$10, vw.deaths.dhb,8, FALSE)</f>
        <v>4.7</v>
      </c>
      <c r="BP31" s="777">
        <f t="shared" ref="BP31:BP36" si="33">IFERROR(VLOOKUP($BF31&amp;$BP$9&amp;$BG$7,vw.deaths.dhb, 6, FALSE),0)</f>
        <v>0</v>
      </c>
      <c r="BQ31" s="777">
        <f t="shared" ref="BQ31:BQ36" si="34">IFERROR(VLOOKUP($BF31&amp;$BQ$10&amp;$BG$7,vw.births.dhb, 6, FALSE),0)</f>
        <v>14</v>
      </c>
      <c r="BR31" s="819">
        <f>IF(BP31=0,0,IF(BP31&lt;389,CHIINV(0.5+$BI$7/200,2*BP31)/2,BP31*(1-1/(9*BP31)-NORMSINV(0.5+$BI$7/200)/3/SQRT(BP31))^3))/BQ31*1000</f>
        <v>0</v>
      </c>
      <c r="BS31" s="819">
        <f>IF(BP31&lt;389,CHIINV(0.5-$BI$7/200,2*BP31+2)/2,(BP31+1)*(1-1/(9*(BP31+1))+NORMSINV(0.5+$BI$7/200)/3/SQRT(BP31+1))^3)/BQ31*1000</f>
        <v>263.49138957956683</v>
      </c>
      <c r="BT31" s="599">
        <f>BP31/BQ31*1000</f>
        <v>0</v>
      </c>
      <c r="BU31" s="599">
        <f>BS31-BT31</f>
        <v>263.49138957956683</v>
      </c>
      <c r="BV31" s="599">
        <f>BT31-BR31</f>
        <v>0</v>
      </c>
      <c r="BW31" s="598">
        <f>VLOOKUP($BF31&amp;$BW$9&amp;$BW$10, vw.deaths.dhb, 8, FALSE)</f>
        <v>2.6</v>
      </c>
      <c r="BX31" s="820"/>
      <c r="BY31" s="325"/>
      <c r="BZ31" s="87"/>
      <c r="CA31" s="118"/>
      <c r="CB31" s="118"/>
      <c r="CC31" s="118"/>
      <c r="CD31" s="118"/>
    </row>
    <row r="32" spans="1:82">
      <c r="A32" s="223">
        <v>3</v>
      </c>
      <c r="B32" s="217">
        <f t="shared" si="27"/>
        <v>307</v>
      </c>
      <c r="C32" s="217">
        <f t="shared" si="28"/>
        <v>5</v>
      </c>
      <c r="D32" s="218">
        <f>C32/(B32+C32)*1000</f>
        <v>16.025641025641026</v>
      </c>
      <c r="E32" s="217">
        <f t="shared" si="29"/>
        <v>2</v>
      </c>
      <c r="F32" s="219">
        <f>E32/B32*1000</f>
        <v>6.5146579804560263</v>
      </c>
      <c r="G32" s="234"/>
      <c r="H32" s="207"/>
      <c r="I32" s="182"/>
      <c r="J32" s="136"/>
      <c r="K32" s="136"/>
      <c r="L32" s="136"/>
      <c r="M32" s="136"/>
      <c r="N32" s="136"/>
      <c r="O32" s="136"/>
      <c r="P32" s="136"/>
      <c r="Q32" s="136"/>
      <c r="R32" s="136"/>
      <c r="S32" s="136"/>
      <c r="T32" s="183"/>
      <c r="U32" s="85"/>
      <c r="V32" s="85"/>
      <c r="W32" s="85"/>
      <c r="X32" s="85"/>
      <c r="Y32" s="85"/>
      <c r="Z32" s="85"/>
      <c r="AA32" s="85"/>
      <c r="AB32" s="85"/>
      <c r="AC32" s="85"/>
      <c r="AD32" s="85"/>
      <c r="AE32" s="85"/>
      <c r="AF32" s="85"/>
      <c r="AG32" s="85"/>
      <c r="AH32" s="85"/>
      <c r="AI32" s="85"/>
      <c r="AJ32" s="85"/>
      <c r="AK32" s="85"/>
      <c r="AL32" s="85"/>
      <c r="AM32" s="85"/>
      <c r="AN32" s="85"/>
      <c r="AO32" s="85"/>
      <c r="AP32" s="311"/>
      <c r="AQ32" s="311"/>
      <c r="AR32" s="771"/>
      <c r="AS32" s="839"/>
      <c r="AT32" s="835" t="s">
        <v>77</v>
      </c>
      <c r="AU32" s="839">
        <f t="shared" si="30"/>
        <v>7.5757575757575761</v>
      </c>
      <c r="AV32" s="839">
        <f t="shared" si="31"/>
        <v>11.821190673113064</v>
      </c>
      <c r="AW32" s="839">
        <f t="shared" si="31"/>
        <v>5.5116186105562024</v>
      </c>
      <c r="AX32" s="839">
        <f t="shared" si="31"/>
        <v>6.1</v>
      </c>
      <c r="BD32" s="700"/>
      <c r="BE32" s="700"/>
      <c r="BF32" s="503" t="str">
        <f t="shared" ref="BF32:BF36" si="35">BG32&amp;BG$30</f>
        <v>Quin 2dep</v>
      </c>
      <c r="BG32" s="774" t="s">
        <v>422</v>
      </c>
      <c r="BH32" s="777">
        <f t="shared" si="32"/>
        <v>2</v>
      </c>
      <c r="BI32" s="777">
        <f t="shared" si="2"/>
        <v>199</v>
      </c>
      <c r="BJ32" s="818">
        <f>IF(BH32=0,0,IF(BH32&lt;389,CHIINV(0.5+$BI$7/200,2*BH32)/2,BH32*(1-1/(9*BH32)-NORMSINV(0.5+$BI$7/200)/3/SQRT(BH32))^3))/BI32*1000</f>
        <v>1.2171320529847496</v>
      </c>
      <c r="BK32" s="818">
        <f>IF(BH32&lt;389,CHIINV(0.5-$BI$7/200,2*BH32+2)/2,(BH32+1)*(1-1/(9*(BH32+1))+NORMSINV(0.5+$BI$7/200)/3/SQRT(BH32+1))^3)/BI32*1000</f>
        <v>36.30496315439175</v>
      </c>
      <c r="BL32" s="599">
        <f>BH32/BI32*1000</f>
        <v>10.050251256281408</v>
      </c>
      <c r="BM32" s="599">
        <f>BK32-BL32</f>
        <v>26.254711898110344</v>
      </c>
      <c r="BN32" s="599">
        <f>BL32-BJ32</f>
        <v>8.8331192032966577</v>
      </c>
      <c r="BO32" s="598">
        <f>VLOOKUP($BF32&amp;$BO$9&amp;$BO$10, vw.deaths.dhb,8, FALSE)</f>
        <v>6.3</v>
      </c>
      <c r="BP32" s="777">
        <f t="shared" si="33"/>
        <v>0</v>
      </c>
      <c r="BQ32" s="777">
        <f t="shared" si="34"/>
        <v>197</v>
      </c>
      <c r="BR32" s="819">
        <f>IF(BP32=0,0,IF(BP32&lt;389,CHIINV(0.5+$BI$7/200,2*BP32)/2,BP32*(1-1/(9*BP32)-NORMSINV(0.5+$BI$7/200)/3/SQRT(BP32))^3))/BQ32*1000</f>
        <v>0</v>
      </c>
      <c r="BS32" s="819">
        <f>IF(BP32&lt;389,CHIINV(0.5-$BI$7/200,2*BP32+2)/2,(BP32+1)*(1-1/(9*(BP32+1))+NORMSINV(0.5+$BI$7/200)/3/SQRT(BP32+1))^3)/BQ32*1000</f>
        <v>18.725276416822005</v>
      </c>
      <c r="BT32" s="599">
        <f>BP32/BQ32*1000</f>
        <v>0</v>
      </c>
      <c r="BU32" s="599">
        <f>BS32-BT32</f>
        <v>18.725276416822005</v>
      </c>
      <c r="BV32" s="599">
        <f>BT32-BR32</f>
        <v>0</v>
      </c>
      <c r="BW32" s="598">
        <f>VLOOKUP($BF32&amp;$BW$9&amp;$BW$10, vw.deaths.dhb, 8, FALSE)</f>
        <v>2.4</v>
      </c>
      <c r="BX32" s="820"/>
      <c r="BY32" s="325"/>
      <c r="BZ32" s="87"/>
      <c r="CA32" s="118"/>
      <c r="CB32" s="118"/>
      <c r="CC32" s="118"/>
      <c r="CD32" s="118"/>
    </row>
    <row r="33" spans="1:82">
      <c r="A33" s="223">
        <v>4</v>
      </c>
      <c r="B33" s="217">
        <f t="shared" si="27"/>
        <v>602</v>
      </c>
      <c r="C33" s="217">
        <f t="shared" si="28"/>
        <v>4</v>
      </c>
      <c r="D33" s="218">
        <f>C33/(B33+C33)*1000</f>
        <v>6.6006600660066006</v>
      </c>
      <c r="E33" s="217">
        <f t="shared" si="29"/>
        <v>4</v>
      </c>
      <c r="F33" s="219">
        <f>E33/B33*1000</f>
        <v>6.6445182724252492</v>
      </c>
      <c r="G33" s="234"/>
      <c r="H33" s="207"/>
      <c r="I33" s="182"/>
      <c r="J33" s="136"/>
      <c r="K33" s="136"/>
      <c r="L33" s="136"/>
      <c r="M33" s="136"/>
      <c r="N33" s="136"/>
      <c r="O33" s="136"/>
      <c r="P33" s="136"/>
      <c r="Q33" s="136"/>
      <c r="R33" s="136"/>
      <c r="S33" s="136"/>
      <c r="T33" s="183"/>
      <c r="U33" s="85"/>
      <c r="V33" s="85"/>
      <c r="W33" s="85"/>
      <c r="X33" s="85"/>
      <c r="Y33" s="85"/>
      <c r="Z33" s="85"/>
      <c r="AA33" s="85"/>
      <c r="AB33" s="85"/>
      <c r="AC33" s="85"/>
      <c r="AD33" s="85"/>
      <c r="AE33" s="85"/>
      <c r="AF33" s="85"/>
      <c r="AG33" s="85"/>
      <c r="AH33" s="85"/>
      <c r="AI33" s="85"/>
      <c r="AJ33" s="85"/>
      <c r="AK33" s="85"/>
      <c r="AL33" s="85"/>
      <c r="AM33" s="85"/>
      <c r="AN33" s="85"/>
      <c r="AO33" s="85"/>
      <c r="AP33" s="311"/>
      <c r="AQ33" s="311"/>
      <c r="AR33" s="771"/>
      <c r="AS33" s="839"/>
      <c r="AT33" s="835" t="s">
        <v>78</v>
      </c>
      <c r="AU33" s="839">
        <f t="shared" si="30"/>
        <v>1.4792899408284024</v>
      </c>
      <c r="AV33" s="839">
        <f t="shared" si="31"/>
        <v>6.7627860812705576</v>
      </c>
      <c r="AW33" s="839">
        <f t="shared" si="31"/>
        <v>1.4418375621534174</v>
      </c>
      <c r="AX33" s="839">
        <f t="shared" si="31"/>
        <v>3.1</v>
      </c>
      <c r="BD33" s="700"/>
      <c r="BE33" s="700"/>
      <c r="BF33" s="503" t="str">
        <f t="shared" si="35"/>
        <v>Quin 3dep</v>
      </c>
      <c r="BG33" s="774" t="s">
        <v>423</v>
      </c>
      <c r="BH33" s="777">
        <f t="shared" si="32"/>
        <v>5</v>
      </c>
      <c r="BI33" s="777">
        <f t="shared" si="2"/>
        <v>312</v>
      </c>
      <c r="BJ33" s="818">
        <f>IF(BH33=0,0,IF(BH33&lt;389,CHIINV(0.5+$BI$7/200,2*BH33)/2,BH33*(1-1/(9*BH33)-NORMSINV(0.5+$BI$7/200)/3/SQRT(BH33))^3))/BI33*1000</f>
        <v>5.2034820196103198</v>
      </c>
      <c r="BK33" s="818">
        <f>IF(BH33&lt;389,CHIINV(0.5-$BI$7/200,2*BH33+2)/2,(BH33+1)*(1-1/(9*(BH33+1))+NORMSINV(0.5+$BI$7/200)/3/SQRT(BH33+1))^3)/BI33*1000</f>
        <v>37.398500254239323</v>
      </c>
      <c r="BL33" s="599">
        <f>BH33/BI33*1000</f>
        <v>16.025641025641026</v>
      </c>
      <c r="BM33" s="599">
        <f>BK33-BL33</f>
        <v>21.372859228598298</v>
      </c>
      <c r="BN33" s="599">
        <f>BL33-BJ33</f>
        <v>10.822159006030706</v>
      </c>
      <c r="BO33" s="598">
        <f>VLOOKUP($BF33&amp;$BO$9&amp;$BO$10, vw.deaths.dhb,8, FALSE)</f>
        <v>6.2</v>
      </c>
      <c r="BP33" s="777">
        <f t="shared" si="33"/>
        <v>2</v>
      </c>
      <c r="BQ33" s="777">
        <f t="shared" si="34"/>
        <v>307</v>
      </c>
      <c r="BR33" s="819">
        <f>IF(BP33=0,0,IF(BP33&lt;389,CHIINV(0.5+$BI$7/200,2*BP33)/2,BP33*(1-1/(9*BP33)-NORMSINV(0.5+$BI$7/200)/3/SQRT(BP33))^3))/BQ33*1000</f>
        <v>0.78895530470346953</v>
      </c>
      <c r="BS33" s="819">
        <f>IF(BP33&lt;389,CHIINV(0.5-$BI$7/200,2*BP33+2)/2,(BP33+1)*(1-1/(9*(BP33+1))+NORMSINV(0.5+$BI$7/200)/3/SQRT(BP33+1))^3)/BQ33*1000</f>
        <v>23.533184585420063</v>
      </c>
      <c r="BT33" s="599">
        <f>BP33/BQ33*1000</f>
        <v>6.5146579804560263</v>
      </c>
      <c r="BU33" s="599">
        <f>BS33-BT33</f>
        <v>17.018526604964038</v>
      </c>
      <c r="BV33" s="599">
        <f>BT33-BR33</f>
        <v>5.7257026757525571</v>
      </c>
      <c r="BW33" s="598">
        <f>VLOOKUP($BF33&amp;$BW$9&amp;$BW$10, vw.deaths.dhb, 8, FALSE)</f>
        <v>2.9</v>
      </c>
      <c r="BX33" s="820"/>
      <c r="BY33" s="325"/>
      <c r="BZ33" s="87"/>
      <c r="CA33" s="118"/>
      <c r="CB33" s="118"/>
      <c r="CC33" s="118"/>
      <c r="CD33" s="118"/>
    </row>
    <row r="34" spans="1:82">
      <c r="A34" s="217" t="s">
        <v>84</v>
      </c>
      <c r="B34" s="217">
        <f t="shared" si="27"/>
        <v>1200</v>
      </c>
      <c r="C34" s="217">
        <f t="shared" si="28"/>
        <v>9</v>
      </c>
      <c r="D34" s="218">
        <f>C34/(B34+C34)*1000</f>
        <v>7.4441687344913152</v>
      </c>
      <c r="E34" s="217">
        <f t="shared" si="29"/>
        <v>6</v>
      </c>
      <c r="F34" s="219">
        <f>E34/B34*1000</f>
        <v>5</v>
      </c>
      <c r="G34" s="234"/>
      <c r="H34" s="207"/>
      <c r="I34" s="182"/>
      <c r="J34" s="136"/>
      <c r="K34" s="136"/>
      <c r="L34" s="136"/>
      <c r="M34" s="136"/>
      <c r="N34" s="136"/>
      <c r="O34" s="136"/>
      <c r="P34" s="136"/>
      <c r="Q34" s="136"/>
      <c r="R34" s="136"/>
      <c r="S34" s="136"/>
      <c r="T34" s="183"/>
      <c r="U34" s="121"/>
      <c r="V34" s="168"/>
      <c r="W34" s="168"/>
      <c r="X34" s="168"/>
      <c r="Y34" s="168"/>
      <c r="Z34" s="168"/>
      <c r="AA34" s="168"/>
      <c r="AB34" s="168"/>
      <c r="AC34" s="168"/>
      <c r="AD34" s="168"/>
      <c r="AE34" s="168"/>
      <c r="AF34" s="168"/>
      <c r="AG34" s="168"/>
      <c r="AH34" s="168"/>
      <c r="AI34" s="168"/>
      <c r="AJ34" s="168"/>
      <c r="AK34" s="168"/>
      <c r="AL34" s="168"/>
      <c r="AM34" s="168"/>
      <c r="AN34" s="168"/>
      <c r="AO34" s="168"/>
      <c r="AP34" s="543"/>
      <c r="AQ34" s="311"/>
      <c r="AR34" s="771"/>
      <c r="AS34" s="324"/>
      <c r="AT34" s="459" t="s">
        <v>79</v>
      </c>
      <c r="AU34" s="839">
        <f t="shared" si="30"/>
        <v>3.4542314335060449</v>
      </c>
      <c r="AV34" s="839">
        <f t="shared" si="31"/>
        <v>9.0236401860517432</v>
      </c>
      <c r="AW34" s="839">
        <f t="shared" si="31"/>
        <v>3.035907981789352</v>
      </c>
      <c r="AX34" s="839">
        <f t="shared" si="31"/>
        <v>3.2</v>
      </c>
      <c r="BD34" s="700"/>
      <c r="BE34" s="700"/>
      <c r="BF34" s="503" t="str">
        <f t="shared" si="35"/>
        <v>Quin 4dep</v>
      </c>
      <c r="BG34" s="774" t="s">
        <v>424</v>
      </c>
      <c r="BH34" s="777">
        <f t="shared" si="32"/>
        <v>4</v>
      </c>
      <c r="BI34" s="777">
        <f t="shared" si="2"/>
        <v>606</v>
      </c>
      <c r="BJ34" s="818">
        <f>IF(BH34=0,0,IF(BH34&lt;389,CHIINV(0.5+$BI$7/200,2*BH34)/2,BH34*(1-1/(9*BH34)-NORMSINV(0.5+$BI$7/200)/3/SQRT(BH34))^3))/BI34*1000</f>
        <v>1.7984577122546621</v>
      </c>
      <c r="BK34" s="818">
        <f>IF(BH34&lt;389,CHIINV(0.5-$BI$7/200,2*BH34+2)/2,(BH34+1)*(1-1/(9*(BH34+1))+NORMSINV(0.5+$BI$7/200)/3/SQRT(BH34+1))^3)/BI34*1000</f>
        <v>16.900311345550655</v>
      </c>
      <c r="BL34" s="599">
        <f>BH34/BI34*1000</f>
        <v>6.6006600660066006</v>
      </c>
      <c r="BM34" s="599">
        <f>BK34-BL34</f>
        <v>10.299651279544054</v>
      </c>
      <c r="BN34" s="599">
        <f>BL34-BJ34</f>
        <v>4.8022023537519383</v>
      </c>
      <c r="BO34" s="598">
        <f>VLOOKUP($BF34&amp;$BO$9&amp;$BO$10, vw.deaths.dhb,8, FALSE)</f>
        <v>6.8</v>
      </c>
      <c r="BP34" s="777">
        <f t="shared" si="33"/>
        <v>4</v>
      </c>
      <c r="BQ34" s="777">
        <f t="shared" si="34"/>
        <v>602</v>
      </c>
      <c r="BR34" s="819">
        <f>IF(BP34=0,0,IF(BP34&lt;389,CHIINV(0.5+$BI$7/200,2*BP34)/2,BP34*(1-1/(9*BP34)-NORMSINV(0.5+$BI$7/200)/3/SQRT(BP34))^3))/BQ34*1000</f>
        <v>1.8104075973859224</v>
      </c>
      <c r="BS34" s="819">
        <f>IF(BP34&lt;389,CHIINV(0.5-$BI$7/200,2*BP34+2)/2,(BP34+1)*(1-1/(9*(BP34+1))+NORMSINV(0.5+$BI$7/200)/3/SQRT(BP34+1))^3)/BQ34*1000</f>
        <v>17.012605773095846</v>
      </c>
      <c r="BT34" s="599">
        <f>BP34/BQ34*1000</f>
        <v>6.6445182724252492</v>
      </c>
      <c r="BU34" s="599">
        <f>BS34-BT34</f>
        <v>10.368087500670597</v>
      </c>
      <c r="BV34" s="599">
        <f>BT34-BR34</f>
        <v>4.8341106750393266</v>
      </c>
      <c r="BW34" s="598">
        <f>VLOOKUP($BF34&amp;$BW$9&amp;$BW$10, vw.deaths.dhb, 8, FALSE)</f>
        <v>4</v>
      </c>
      <c r="BX34" s="820"/>
      <c r="BY34" s="325"/>
      <c r="BZ34" s="87"/>
      <c r="CA34" s="118"/>
      <c r="CB34" s="118"/>
      <c r="CC34" s="118"/>
      <c r="CD34" s="118"/>
    </row>
    <row r="35" spans="1:82">
      <c r="A35" s="217" t="s">
        <v>63</v>
      </c>
      <c r="B35" s="217">
        <f t="shared" si="27"/>
        <v>0</v>
      </c>
      <c r="C35" s="217">
        <f t="shared" si="28"/>
        <v>0</v>
      </c>
      <c r="D35" s="221" t="s">
        <v>119</v>
      </c>
      <c r="E35" s="217">
        <f t="shared" si="29"/>
        <v>0</v>
      </c>
      <c r="F35" s="222" t="s">
        <v>119</v>
      </c>
      <c r="G35" s="234"/>
      <c r="H35" s="196"/>
      <c r="I35" s="182"/>
      <c r="J35" s="136"/>
      <c r="K35" s="136"/>
      <c r="L35" s="136"/>
      <c r="M35" s="136"/>
      <c r="N35" s="136"/>
      <c r="O35" s="136"/>
      <c r="P35" s="136"/>
      <c r="Q35" s="136"/>
      <c r="R35" s="136"/>
      <c r="S35" s="136"/>
      <c r="T35" s="183"/>
      <c r="AT35" s="459" t="s">
        <v>80</v>
      </c>
      <c r="AU35" s="839">
        <f t="shared" si="30"/>
        <v>6.9444444444444438</v>
      </c>
      <c r="AV35" s="839">
        <f t="shared" si="31"/>
        <v>18.141276624041527</v>
      </c>
      <c r="AW35" s="839">
        <f t="shared" si="31"/>
        <v>6.1034400050556759</v>
      </c>
      <c r="AX35" s="839">
        <f t="shared" si="31"/>
        <v>2.6</v>
      </c>
      <c r="BD35" s="700"/>
      <c r="BE35" s="700"/>
      <c r="BF35" s="503" t="str">
        <f t="shared" si="35"/>
        <v>Quin 5dep</v>
      </c>
      <c r="BG35" s="774" t="s">
        <v>425</v>
      </c>
      <c r="BH35" s="777">
        <f t="shared" si="32"/>
        <v>9</v>
      </c>
      <c r="BI35" s="777">
        <f t="shared" si="2"/>
        <v>1209</v>
      </c>
      <c r="BJ35" s="818">
        <f>IF(BH35=0,0,IF(BH35&lt;389,CHIINV(0.5+$BI$7/200,2*BH35)/2,BH35*(1-1/(9*BH35)-NORMSINV(0.5+$BI$7/200)/3/SQRT(BH35))^3))/BI35*1000</f>
        <v>3.4039479713633871</v>
      </c>
      <c r="BK35" s="818">
        <f>IF(BH35&lt;389,CHIINV(0.5-$BI$7/200,2*BH35+2)/2,(BH35+1)*(1-1/(9*(BH35+1))+NORMSINV(0.5+$BI$7/200)/3/SQRT(BH35+1))^3)/BI35*1000</f>
        <v>14.131351076442655</v>
      </c>
      <c r="BL35" s="599">
        <f>BH35/BI35*1000</f>
        <v>7.4441687344913152</v>
      </c>
      <c r="BM35" s="599">
        <f>BK35-BL35</f>
        <v>6.6871823419513401</v>
      </c>
      <c r="BN35" s="599">
        <f>BL35-BJ35</f>
        <v>4.0402207631279285</v>
      </c>
      <c r="BO35" s="598">
        <f>VLOOKUP($BF35&amp;$BO$9&amp;$BO$10, vw.deaths.dhb,8, FALSE)</f>
        <v>7.4</v>
      </c>
      <c r="BP35" s="777">
        <f t="shared" si="33"/>
        <v>6</v>
      </c>
      <c r="BQ35" s="777">
        <f t="shared" si="34"/>
        <v>1200</v>
      </c>
      <c r="BR35" s="819">
        <f>IF(BP35=0,0,IF(BP35&lt;389,CHIINV(0.5+$BI$7/200,2*BP35)/2,BP35*(1-1/(9*BP35)-NORMSINV(0.5+$BI$7/200)/3/SQRT(BP35))^3))/BQ35*1000</f>
        <v>1.834911877909043</v>
      </c>
      <c r="BS35" s="819">
        <f>IF(BP35&lt;389,CHIINV(0.5-$BI$7/200,2*BP35+2)/2,(BP35+1)*(1-1/(9*(BP35+1))+NORMSINV(0.5+$BI$7/200)/3/SQRT(BP35+1))^3)/BQ35*1000</f>
        <v>10.882895018765568</v>
      </c>
      <c r="BT35" s="599">
        <f>BP35/BQ35*1000</f>
        <v>5</v>
      </c>
      <c r="BU35" s="599">
        <f>BS35-BT35</f>
        <v>5.8828950187655682</v>
      </c>
      <c r="BV35" s="599">
        <f>BT35-BR35</f>
        <v>3.1650881220909568</v>
      </c>
      <c r="BW35" s="598">
        <f>VLOOKUP($BF35&amp;$BW$9&amp;$BW$10, vw.deaths.dhb, 8, FALSE)</f>
        <v>6.3</v>
      </c>
      <c r="BX35" s="820"/>
      <c r="BY35" s="325"/>
      <c r="BZ35" s="87"/>
    </row>
    <row r="36" spans="1:82" ht="15.75" customHeight="1">
      <c r="A36" s="214" t="s">
        <v>105</v>
      </c>
      <c r="B36" s="214"/>
      <c r="C36" s="214"/>
      <c r="D36" s="220"/>
      <c r="E36" s="214"/>
      <c r="F36" s="214"/>
      <c r="G36" s="234"/>
      <c r="H36" s="207"/>
      <c r="I36" s="182"/>
      <c r="J36" s="136"/>
      <c r="K36" s="136"/>
      <c r="L36" s="136"/>
      <c r="M36" s="136"/>
      <c r="N36" s="136"/>
      <c r="O36" s="136"/>
      <c r="P36" s="136"/>
      <c r="Q36" s="136"/>
      <c r="R36" s="136"/>
      <c r="S36" s="136"/>
      <c r="T36" s="183"/>
      <c r="AT36" s="459" t="s">
        <v>81</v>
      </c>
      <c r="AU36" s="839">
        <f t="shared" si="30"/>
        <v>30.612244897959183</v>
      </c>
      <c r="AV36" s="839">
        <f t="shared" si="31"/>
        <v>58.849725201452287</v>
      </c>
      <c r="AW36" s="839">
        <f t="shared" si="31"/>
        <v>24.29926405208569</v>
      </c>
      <c r="AX36" s="839">
        <f t="shared" si="31"/>
        <v>6.1</v>
      </c>
      <c r="BD36" s="700"/>
      <c r="BE36" s="700"/>
      <c r="BF36" s="503" t="str">
        <f t="shared" si="35"/>
        <v>Quin 9dep</v>
      </c>
      <c r="BG36" s="774" t="s">
        <v>426</v>
      </c>
      <c r="BH36" s="777">
        <f t="shared" si="32"/>
        <v>0</v>
      </c>
      <c r="BI36" s="777">
        <f t="shared" si="2"/>
        <v>0</v>
      </c>
      <c r="BJ36" s="503"/>
      <c r="BK36" s="503"/>
      <c r="BL36" s="503"/>
      <c r="BM36" s="503"/>
      <c r="BN36" s="503"/>
      <c r="BO36" s="598"/>
      <c r="BP36" s="777">
        <f t="shared" si="33"/>
        <v>0</v>
      </c>
      <c r="BQ36" s="777">
        <f t="shared" si="34"/>
        <v>0</v>
      </c>
      <c r="BR36" s="819"/>
      <c r="BS36" s="819"/>
      <c r="BT36" s="821"/>
      <c r="BU36" s="503"/>
      <c r="BV36" s="503"/>
      <c r="BW36" s="598"/>
      <c r="BX36" s="822"/>
      <c r="BY36" s="311"/>
    </row>
    <row r="37" spans="1:82">
      <c r="A37" s="450" t="s">
        <v>375</v>
      </c>
      <c r="B37" s="217">
        <f>BQ38</f>
        <v>12</v>
      </c>
      <c r="C37" s="217">
        <f>BH38</f>
        <v>13</v>
      </c>
      <c r="D37" s="570">
        <f>IF(B37=0, "-", (C37/(B37+C37)*1000))</f>
        <v>520</v>
      </c>
      <c r="E37" s="217">
        <f>BP38</f>
        <v>7</v>
      </c>
      <c r="F37" s="477">
        <f>IF(B37=0, "-", IF(E37/B37*1000&gt;1000, "-", (E37/B37*1000)))</f>
        <v>583.33333333333337</v>
      </c>
      <c r="G37" s="234"/>
      <c r="H37" s="207"/>
      <c r="I37" s="182"/>
      <c r="J37" s="136"/>
      <c r="K37" s="136"/>
      <c r="L37" s="136"/>
      <c r="M37" s="136"/>
      <c r="N37" s="136"/>
      <c r="O37" s="136"/>
      <c r="P37" s="136"/>
      <c r="Q37" s="136"/>
      <c r="R37" s="136"/>
      <c r="S37" s="136"/>
      <c r="T37" s="183"/>
      <c r="BD37" s="700"/>
      <c r="BE37" s="700"/>
      <c r="BF37" s="503"/>
      <c r="BG37" s="601" t="s">
        <v>450</v>
      </c>
      <c r="BH37" s="777"/>
      <c r="BI37" s="777"/>
      <c r="BJ37" s="503"/>
      <c r="BK37" s="503"/>
      <c r="BL37" s="503"/>
      <c r="BM37" s="503"/>
      <c r="BN37" s="503"/>
      <c r="BO37" s="598"/>
      <c r="BP37" s="777"/>
      <c r="BQ37" s="777"/>
      <c r="BR37" s="819"/>
      <c r="BS37" s="819"/>
      <c r="BT37" s="821"/>
      <c r="BU37" s="503"/>
      <c r="BV37" s="503"/>
      <c r="BW37" s="598"/>
      <c r="BX37" s="820"/>
      <c r="BY37" s="325"/>
      <c r="BZ37" s="87"/>
      <c r="CA37" s="118"/>
      <c r="CB37" s="118"/>
      <c r="CC37" s="118"/>
      <c r="CD37" s="118"/>
    </row>
    <row r="38" spans="1:82" s="427" customFormat="1">
      <c r="A38" s="450" t="s">
        <v>376</v>
      </c>
      <c r="B38" s="217">
        <f>BQ39</f>
        <v>10</v>
      </c>
      <c r="C38" s="217">
        <f t="shared" ref="C38:C42" si="36">BH39</f>
        <v>2</v>
      </c>
      <c r="D38" s="570">
        <f>IF(B38=0, "-", (C38/(B38+C38)*1000))</f>
        <v>166.66666666666666</v>
      </c>
      <c r="E38" s="217">
        <f t="shared" ref="E38:E42" si="37">BP39</f>
        <v>1</v>
      </c>
      <c r="F38" s="477">
        <f>IF(B38=0, "-", IF(E38/B38*1000&gt;1000, "-", (E38/B38*1000)))</f>
        <v>100</v>
      </c>
      <c r="G38" s="234"/>
      <c r="H38" s="207"/>
      <c r="I38" s="182"/>
      <c r="J38" s="136"/>
      <c r="K38" s="136"/>
      <c r="L38" s="136"/>
      <c r="M38" s="136"/>
      <c r="N38" s="136"/>
      <c r="O38" s="136"/>
      <c r="P38" s="136"/>
      <c r="Q38" s="136"/>
      <c r="R38" s="136"/>
      <c r="S38" s="136"/>
      <c r="T38" s="183"/>
      <c r="V38" s="813"/>
      <c r="W38" s="813"/>
      <c r="X38" s="813"/>
      <c r="Y38" s="813"/>
      <c r="Z38" s="813"/>
      <c r="AA38" s="813"/>
      <c r="AB38" s="813"/>
      <c r="AC38" s="813"/>
      <c r="AD38" s="813"/>
      <c r="AE38" s="813"/>
      <c r="AF38" s="813"/>
      <c r="AG38" s="813"/>
      <c r="AH38" s="813"/>
      <c r="AI38" s="813"/>
      <c r="AJ38" s="813"/>
      <c r="AK38" s="813"/>
      <c r="AL38" s="813"/>
      <c r="AM38" s="813"/>
      <c r="AP38" s="245"/>
      <c r="AQ38" s="243"/>
      <c r="AR38" s="780"/>
      <c r="AS38" s="459"/>
      <c r="AT38" s="459"/>
      <c r="AU38" s="459"/>
      <c r="AV38" s="459"/>
      <c r="AW38" s="459"/>
      <c r="AX38" s="459"/>
      <c r="AY38" s="459"/>
      <c r="AZ38" s="459"/>
      <c r="BA38" s="459"/>
      <c r="BB38" s="459"/>
      <c r="BC38" s="447"/>
      <c r="BD38" s="700"/>
      <c r="BE38" s="700"/>
      <c r="BF38" s="503" t="str">
        <f>BG38&amp;BG$37</f>
        <v>&lt;28gest</v>
      </c>
      <c r="BG38" s="503" t="s">
        <v>375</v>
      </c>
      <c r="BH38" s="777">
        <f t="shared" ref="BH38:BH43" si="38">IFERROR(VLOOKUP($BF38&amp;$BH$9&amp;$BG$7,vw.deaths.dhb, 6, FALSE),0)</f>
        <v>13</v>
      </c>
      <c r="BI38" s="777">
        <f t="shared" si="2"/>
        <v>25</v>
      </c>
      <c r="BJ38" s="818">
        <f>IF(BH38=0,0,IF(BH38&lt;389,CHIINV(0.5+$BI$7/200,2*BH38)/2,BH38*(1-1/(9*BH38)-NORMSINV(0.5+$BI$7/200)/3/SQRT(BH38))^3))/BI38*1000</f>
        <v>276.87809964015213</v>
      </c>
      <c r="BK38" s="818">
        <f>IF(BH38&lt;389,CHIINV(0.5-$BI$7/200,2*BH38+2)/2,(BH38+1)*(1-1/(9*(BH38+1))+NORMSINV(0.5+$BI$7/200)/3/SQRT(BH38+1))^3)/BI38*1000</f>
        <v>889.21583672635506</v>
      </c>
      <c r="BL38" s="599">
        <f>BH38/BI38*1000</f>
        <v>520</v>
      </c>
      <c r="BM38" s="599">
        <f>BK38-BL38</f>
        <v>369.21583672635506</v>
      </c>
      <c r="BN38" s="599">
        <f>BL38-BJ38</f>
        <v>243.12190035984787</v>
      </c>
      <c r="BO38" s="598">
        <f>VLOOKUP($BF38&amp;$BO$9&amp;$BO$10, vw.deaths.dhb,8, FALSE)</f>
        <v>466.1</v>
      </c>
      <c r="BP38" s="777">
        <f t="shared" ref="BP38:BP43" si="39">IFERROR(VLOOKUP($BF38&amp;$BP$9&amp;$BG$7,vw.deaths.dhb, 6, FALSE),0)</f>
        <v>7</v>
      </c>
      <c r="BQ38" s="777">
        <f t="shared" ref="BQ38:BQ43" si="40">IFERROR(VLOOKUP($BF38&amp;$BQ$10&amp;$BG$7,vw.births.dhb, 6, FALSE),0)</f>
        <v>12</v>
      </c>
      <c r="BR38" s="819">
        <f>IF(BP38=0,0,IF(BP38&lt;389,CHIINV(0.5+$BI$7/200,2*BP38)/2,BP38*(1-1/(9*BP38)-NORMSINV(0.5+$BI$7/200)/3/SQRT(BP38))^3))/BQ38*1000</f>
        <v>234.53025429332217</v>
      </c>
      <c r="BS38" s="819">
        <f>IF(BP38&lt;389,CHIINV(0.5-$BI$7/200,2*BP38+2)/2,(BP38+1)*(1-1/(9*(BP38+1))+NORMSINV(0.5+$BI$7/200)/3/SQRT(BP38+1))^3)/BQ38*1000</f>
        <v>1201.8896134751981</v>
      </c>
      <c r="BT38" s="599">
        <f>BP38/BQ38*1000</f>
        <v>583.33333333333337</v>
      </c>
      <c r="BU38" s="599">
        <f>BS38-BT38</f>
        <v>618.5562801418647</v>
      </c>
      <c r="BV38" s="599">
        <f>BT38-BR38</f>
        <v>348.8030790400112</v>
      </c>
      <c r="BW38" s="598">
        <f>VLOOKUP($BF38&amp;$BW$9&amp;$BW$10, vw.deaths.dhb, 8, FALSE)</f>
        <v>369.2</v>
      </c>
      <c r="BX38" s="820"/>
      <c r="BY38" s="325"/>
      <c r="BZ38" s="87"/>
      <c r="CA38" s="118"/>
      <c r="CB38" s="118"/>
      <c r="CC38" s="118"/>
      <c r="CD38" s="118"/>
    </row>
    <row r="39" spans="1:82">
      <c r="A39" s="217" t="s">
        <v>64</v>
      </c>
      <c r="B39" s="217">
        <f>BQ40</f>
        <v>126</v>
      </c>
      <c r="C39" s="217">
        <f t="shared" si="36"/>
        <v>2</v>
      </c>
      <c r="D39" s="218">
        <f t="shared" ref="D39:D41" si="41">C39/(B39+C39)*1000</f>
        <v>15.625</v>
      </c>
      <c r="E39" s="217">
        <f t="shared" si="37"/>
        <v>2</v>
      </c>
      <c r="F39" s="219">
        <f t="shared" ref="F39:F41" si="42">E39/B39*1000</f>
        <v>15.873015873015872</v>
      </c>
      <c r="G39" s="234"/>
      <c r="H39" s="207"/>
      <c r="I39" s="182"/>
      <c r="J39" s="136"/>
      <c r="K39" s="136"/>
      <c r="L39" s="136"/>
      <c r="M39" s="136"/>
      <c r="N39" s="136"/>
      <c r="O39" s="136"/>
      <c r="P39" s="136"/>
      <c r="Q39" s="136"/>
      <c r="R39" s="136"/>
      <c r="S39" s="136"/>
      <c r="T39" s="183"/>
      <c r="BD39" s="700"/>
      <c r="BE39" s="700"/>
      <c r="BF39" s="503" t="str">
        <f t="shared" ref="BF39:BF43" si="43">BG39&amp;BG$37</f>
        <v>28-31gest</v>
      </c>
      <c r="BG39" s="771" t="s">
        <v>395</v>
      </c>
      <c r="BH39" s="777">
        <f t="shared" si="38"/>
        <v>2</v>
      </c>
      <c r="BI39" s="777">
        <f t="shared" si="2"/>
        <v>12</v>
      </c>
      <c r="BJ39" s="818">
        <f>IF(BH39=0,0,IF(BH39&lt;389,CHIINV(0.5+$BI$7/200,2*BH39)/2,BH39*(1-1/(9*BH39)-NORMSINV(0.5+$BI$7/200)/3/SQRT(BH39))^3))/BI39*1000</f>
        <v>20.18410654533043</v>
      </c>
      <c r="BK39" s="818">
        <f>IF(BH39&lt;389,CHIINV(0.5-$BI$7/200,2*BH39+2)/2,(BH39+1)*(1-1/(9*(BH39+1))+NORMSINV(0.5+$BI$7/200)/3/SQRT(BH39+1))^3)/BI39*1000</f>
        <v>602.0573056436632</v>
      </c>
      <c r="BL39" s="598">
        <f>IF(BI39=0,"-",(BH39/BI39*1000))</f>
        <v>166.66666666666666</v>
      </c>
      <c r="BM39" s="599">
        <f>BK39-BL39</f>
        <v>435.39063897699657</v>
      </c>
      <c r="BN39" s="599">
        <f>BL39-BJ39</f>
        <v>146.48256012133623</v>
      </c>
      <c r="BO39" s="598">
        <f>VLOOKUP($BF39&amp;$BO$9&amp;$BO$10, vw.deaths.dhb,8, FALSE)</f>
        <v>83.5</v>
      </c>
      <c r="BP39" s="777">
        <f t="shared" si="39"/>
        <v>1</v>
      </c>
      <c r="BQ39" s="777">
        <f t="shared" si="40"/>
        <v>10</v>
      </c>
      <c r="BR39" s="819">
        <f>IF(BP39=0,0,IF(BP39&lt;389,CHIINV(0.5+$BI$7/200,2*BP39)/2,BP39*(1-1/(9*BP39)-NORMSINV(0.5+$BI$7/200)/3/SQRT(BP39))^3))/BQ39*1000</f>
        <v>2.5317807984289895</v>
      </c>
      <c r="BS39" s="819">
        <f>IF(BP39&lt;389,CHIINV(0.5-$BI$7/200,2*BP39+2)/2,(BP39+1)*(1-1/(9*(BP39+1))+NORMSINV(0.5+$BI$7/200)/3/SQRT(BP39+1))^3)/BQ39*1000</f>
        <v>557.16433909388979</v>
      </c>
      <c r="BT39" s="599">
        <f>BP39/BQ39*1000</f>
        <v>100</v>
      </c>
      <c r="BU39" s="599">
        <f>BS39-BT39</f>
        <v>457.16433909388979</v>
      </c>
      <c r="BV39" s="599">
        <f>BT39-BR39</f>
        <v>97.468219201571017</v>
      </c>
      <c r="BW39" s="598">
        <f>VLOOKUP($BF39&amp;$BW$9&amp;$BW$10, vw.deaths.dhb, 8, FALSE)</f>
        <v>33.6</v>
      </c>
      <c r="BX39" s="820"/>
      <c r="BY39" s="325"/>
      <c r="BZ39" s="87"/>
      <c r="CA39" s="118"/>
      <c r="CB39" s="118"/>
      <c r="CC39" s="118"/>
      <c r="CD39" s="118"/>
    </row>
    <row r="40" spans="1:82">
      <c r="A40" s="217" t="s">
        <v>65</v>
      </c>
      <c r="B40" s="217">
        <f t="shared" ref="B40:B42" si="44">BQ41</f>
        <v>2133</v>
      </c>
      <c r="C40" s="217">
        <f t="shared" si="36"/>
        <v>3</v>
      </c>
      <c r="D40" s="218">
        <f t="shared" si="41"/>
        <v>1.4044943820224718</v>
      </c>
      <c r="E40" s="217">
        <f t="shared" si="37"/>
        <v>2</v>
      </c>
      <c r="F40" s="219">
        <f t="shared" si="42"/>
        <v>0.93764650726676046</v>
      </c>
      <c r="G40" s="234"/>
      <c r="H40" s="207"/>
      <c r="I40" s="182"/>
      <c r="J40" s="136"/>
      <c r="K40" s="136"/>
      <c r="L40" s="136"/>
      <c r="M40" s="136"/>
      <c r="N40" s="136"/>
      <c r="O40" s="136"/>
      <c r="P40" s="136"/>
      <c r="Q40" s="136"/>
      <c r="R40" s="136"/>
      <c r="S40" s="136"/>
      <c r="T40" s="183"/>
      <c r="BD40" s="700"/>
      <c r="BE40" s="700"/>
      <c r="BF40" s="503" t="str">
        <f t="shared" si="43"/>
        <v>32-36gest</v>
      </c>
      <c r="BG40" s="773" t="s">
        <v>136</v>
      </c>
      <c r="BH40" s="777">
        <f t="shared" si="38"/>
        <v>2</v>
      </c>
      <c r="BI40" s="777">
        <f t="shared" si="2"/>
        <v>128</v>
      </c>
      <c r="BJ40" s="818">
        <f>IF(BH40=0,0,IF(BH40&lt;389,CHIINV(0.5+$BI$7/200,2*BH40)/2,BH40*(1-1/(9*BH40)-NORMSINV(0.5+$BI$7/200)/3/SQRT(BH40))^3))/BI40*1000</f>
        <v>1.8922599886247278</v>
      </c>
      <c r="BK40" s="818">
        <f>IF(BH40&lt;389,CHIINV(0.5-$BI$7/200,2*BH40+2)/2,(BH40+1)*(1-1/(9*(BH40+1))+NORMSINV(0.5+$BI$7/200)/3/SQRT(BH40+1))^3)/BI40*1000</f>
        <v>56.442872404093428</v>
      </c>
      <c r="BL40" s="599">
        <f>BH40/BI40*1000</f>
        <v>15.625</v>
      </c>
      <c r="BM40" s="599">
        <f>BK40-BL40</f>
        <v>40.817872404093428</v>
      </c>
      <c r="BN40" s="599">
        <f>BL40-BJ40</f>
        <v>13.732740011375272</v>
      </c>
      <c r="BO40" s="598">
        <f>VLOOKUP($BF40&amp;$BO$9&amp;$BO$10, vw.deaths.dhb,8, FALSE)</f>
        <v>14.5</v>
      </c>
      <c r="BP40" s="777">
        <f t="shared" si="39"/>
        <v>2</v>
      </c>
      <c r="BQ40" s="777">
        <f t="shared" si="40"/>
        <v>126</v>
      </c>
      <c r="BR40" s="819">
        <f>IF(BP40=0,0,IF(BP40&lt;389,CHIINV(0.5+$BI$7/200,2*BP40)/2,BP40*(1-1/(9*BP40)-NORMSINV(0.5+$BI$7/200)/3/SQRT(BP40))^3))/BQ40*1000</f>
        <v>1.9222958614600409</v>
      </c>
      <c r="BS40" s="819">
        <f>IF(BP40&lt;389,CHIINV(0.5-$BI$7/200,2*BP40+2)/2,(BP40+1)*(1-1/(9*(BP40+1))+NORMSINV(0.5+$BI$7/200)/3/SQRT(BP40+1))^3)/BQ40*1000</f>
        <v>57.338791013682219</v>
      </c>
      <c r="BT40" s="599">
        <f>BP40/BQ40*1000</f>
        <v>15.873015873015872</v>
      </c>
      <c r="BU40" s="599">
        <f>BS40-BT40</f>
        <v>41.465775140666345</v>
      </c>
      <c r="BV40" s="599">
        <f>BT40-BR40</f>
        <v>13.950720011555831</v>
      </c>
      <c r="BW40" s="598">
        <f>VLOOKUP($BF40&amp;$BW$9&amp;$BW$10, vw.deaths.dhb, 8, FALSE)</f>
        <v>6</v>
      </c>
      <c r="BX40" s="820"/>
      <c r="BY40" s="325"/>
      <c r="BZ40" s="87"/>
      <c r="CA40" s="118"/>
      <c r="CB40" s="118"/>
      <c r="CC40" s="118"/>
      <c r="CD40" s="118"/>
    </row>
    <row r="41" spans="1:82">
      <c r="A41" s="217" t="s">
        <v>66</v>
      </c>
      <c r="B41" s="217">
        <f t="shared" si="44"/>
        <v>39</v>
      </c>
      <c r="C41" s="217">
        <f t="shared" si="36"/>
        <v>0</v>
      </c>
      <c r="D41" s="218">
        <f t="shared" si="41"/>
        <v>0</v>
      </c>
      <c r="E41" s="217">
        <f t="shared" si="37"/>
        <v>0</v>
      </c>
      <c r="F41" s="219">
        <f t="shared" si="42"/>
        <v>0</v>
      </c>
      <c r="G41" s="234"/>
      <c r="H41" s="207"/>
      <c r="I41" s="182"/>
      <c r="J41" s="136"/>
      <c r="K41" s="136"/>
      <c r="L41" s="136"/>
      <c r="M41" s="136"/>
      <c r="N41" s="136"/>
      <c r="O41" s="136"/>
      <c r="P41" s="136"/>
      <c r="Q41" s="136"/>
      <c r="R41" s="136"/>
      <c r="S41" s="136"/>
      <c r="T41" s="183"/>
      <c r="BD41" s="700"/>
      <c r="BE41" s="700"/>
      <c r="BF41" s="503" t="str">
        <f t="shared" si="43"/>
        <v>37-41gest</v>
      </c>
      <c r="BG41" s="773" t="s">
        <v>137</v>
      </c>
      <c r="BH41" s="777">
        <f t="shared" si="38"/>
        <v>3</v>
      </c>
      <c r="BI41" s="777">
        <f t="shared" si="2"/>
        <v>2136</v>
      </c>
      <c r="BJ41" s="818">
        <f>IF(BH41=0,0,IF(BH41&lt;389,CHIINV(0.5+$BI$7/200,2*BH41)/2,BH41*(1-1/(9*BH41)-NORMSINV(0.5+$BI$7/200)/3/SQRT(BH41))^3))/BI41*1000</f>
        <v>0.28964050697359656</v>
      </c>
      <c r="BK41" s="818">
        <f>IF(BH41&lt;389,CHIINV(0.5-$BI$7/200,2*BH41+2)/2,(BH41+1)*(1-1/(9*(BH41+1))+NORMSINV(0.5+$BI$7/200)/3/SQRT(BH41+1))^3)/BI41*1000</f>
        <v>4.1045285907033353</v>
      </c>
      <c r="BL41" s="599">
        <f>BH41/BI41*1000</f>
        <v>1.4044943820224718</v>
      </c>
      <c r="BM41" s="599">
        <f>BK41-BL41</f>
        <v>2.7000342086808633</v>
      </c>
      <c r="BN41" s="599">
        <f>BL41-BJ41</f>
        <v>1.1148538750488752</v>
      </c>
      <c r="BO41" s="598">
        <f>VLOOKUP($BF41&amp;$BO$9&amp;$BO$10, vw.deaths.dhb,8, FALSE)</f>
        <v>1.6</v>
      </c>
      <c r="BP41" s="777">
        <f t="shared" si="39"/>
        <v>2</v>
      </c>
      <c r="BQ41" s="777">
        <f t="shared" si="40"/>
        <v>2133</v>
      </c>
      <c r="BR41" s="819">
        <f>IF(BP41=0,0,IF(BP41&lt;389,CHIINV(0.5+$BI$7/200,2*BP41)/2,BP41*(1-1/(9*BP41)-NORMSINV(0.5+$BI$7/200)/3/SQRT(BP41))^3))/BQ41*1000</f>
        <v>0.11355334202717542</v>
      </c>
      <c r="BS41" s="819">
        <f>IF(BP41&lt;389,CHIINV(0.5-$BI$7/200,2*BP41+2)/2,(BP41+1)*(1-1/(9*(BP41+1))+NORMSINV(0.5+$BI$7/200)/3/SQRT(BP41+1))^3)/BQ41*1000</f>
        <v>3.3871015788673038</v>
      </c>
      <c r="BT41" s="599">
        <f>BP41/BQ41*1000</f>
        <v>0.93764650726676046</v>
      </c>
      <c r="BU41" s="599">
        <f>BS41-BT41</f>
        <v>2.4494550716005432</v>
      </c>
      <c r="BV41" s="599">
        <f>BT41-BR41</f>
        <v>0.82409316523958509</v>
      </c>
      <c r="BW41" s="598">
        <f>VLOOKUP($BF41&amp;$BW$9&amp;$BW$10, vw.deaths.dhb, 8, FALSE)</f>
        <v>1.7</v>
      </c>
      <c r="BX41" s="820"/>
      <c r="BY41" s="325"/>
      <c r="BZ41" s="87"/>
      <c r="CA41" s="118"/>
      <c r="CB41" s="118"/>
      <c r="CC41" s="118"/>
      <c r="CD41" s="118"/>
    </row>
    <row r="42" spans="1:82">
      <c r="A42" s="217" t="s">
        <v>63</v>
      </c>
      <c r="B42" s="217">
        <f t="shared" si="44"/>
        <v>0</v>
      </c>
      <c r="C42" s="217">
        <f t="shared" si="36"/>
        <v>0</v>
      </c>
      <c r="D42" s="451" t="s">
        <v>119</v>
      </c>
      <c r="E42" s="217">
        <f t="shared" si="37"/>
        <v>0</v>
      </c>
      <c r="F42" s="222" t="s">
        <v>119</v>
      </c>
      <c r="G42" s="234"/>
      <c r="H42" s="196"/>
      <c r="I42" s="182"/>
      <c r="J42" s="136"/>
      <c r="K42" s="136"/>
      <c r="L42" s="136"/>
      <c r="M42" s="136"/>
      <c r="N42" s="136"/>
      <c r="O42" s="136"/>
      <c r="P42" s="136"/>
      <c r="Q42" s="136"/>
      <c r="R42" s="136"/>
      <c r="S42" s="136"/>
      <c r="T42" s="183"/>
      <c r="AS42" s="834"/>
      <c r="AT42" s="834"/>
      <c r="AU42" s="835">
        <f>$BK$7</f>
        <v>1</v>
      </c>
      <c r="AV42" s="835" t="s">
        <v>307</v>
      </c>
      <c r="AW42" s="836" t="s">
        <v>308</v>
      </c>
      <c r="AX42" s="836" t="s">
        <v>309</v>
      </c>
      <c r="BD42" s="700"/>
      <c r="BE42" s="700"/>
      <c r="BF42" s="503" t="str">
        <f t="shared" si="43"/>
        <v>42+gest</v>
      </c>
      <c r="BG42" s="773" t="s">
        <v>138</v>
      </c>
      <c r="BH42" s="777">
        <f t="shared" si="38"/>
        <v>0</v>
      </c>
      <c r="BI42" s="777">
        <f t="shared" si="2"/>
        <v>39</v>
      </c>
      <c r="BJ42" s="818">
        <f>IF(BH42=0,0,IF(BH42&lt;389,CHIINV(0.5+$BI$7/200,2*BH42)/2,BH42*(1-1/(9*BH42)-NORMSINV(0.5+$BI$7/200)/3/SQRT(BH42))^3))/BI42*1000</f>
        <v>0</v>
      </c>
      <c r="BK42" s="818">
        <f>IF(BH42&lt;389,CHIINV(0.5-$BI$7/200,2*BH42+2)/2,(BH42+1)*(1-1/(9*(BH42+1))+NORMSINV(0.5+$BI$7/200)/3/SQRT(BH42+1))^3)/BI42*1000</f>
        <v>94.586652669588091</v>
      </c>
      <c r="BL42" s="599">
        <f>BH42/BI42*1000</f>
        <v>0</v>
      </c>
      <c r="BM42" s="599">
        <f>BK42-BL42</f>
        <v>94.586652669588091</v>
      </c>
      <c r="BN42" s="599">
        <f>BL42-BJ42</f>
        <v>0</v>
      </c>
      <c r="BO42" s="598">
        <f>VLOOKUP($BF42&amp;$BO$9&amp;$BO$10, vw.deaths.dhb,8, FALSE)</f>
        <v>0</v>
      </c>
      <c r="BP42" s="777">
        <f t="shared" si="39"/>
        <v>0</v>
      </c>
      <c r="BQ42" s="777">
        <f t="shared" si="40"/>
        <v>39</v>
      </c>
      <c r="BR42" s="819">
        <f>IF(BP42=0,0,IF(BP42&lt;389,CHIINV(0.5+$BI$7/200,2*BP42)/2,BP42*(1-1/(9*BP42)-NORMSINV(0.5+$BI$7/200)/3/SQRT(BP42))^3))/BQ42*1000</f>
        <v>0</v>
      </c>
      <c r="BS42" s="819">
        <f>IF(BP42&lt;389,CHIINV(0.5-$BI$7/200,2*BP42+2)/2,(BP42+1)*(1-1/(9*(BP42+1))+NORMSINV(0.5+$BI$7/200)/3/SQRT(BP42+1))^3)/BQ42*1000</f>
        <v>94.586652669588091</v>
      </c>
      <c r="BT42" s="599">
        <f>BP42/BQ42*1000</f>
        <v>0</v>
      </c>
      <c r="BU42" s="599">
        <f>BS42-BT42</f>
        <v>94.586652669588091</v>
      </c>
      <c r="BV42" s="599">
        <f>BT42-BR42</f>
        <v>0</v>
      </c>
      <c r="BW42" s="598">
        <f>VLOOKUP($BF42&amp;$BW$9&amp;$BW$10, vw.deaths.dhb, 8, FALSE)</f>
        <v>3.9</v>
      </c>
      <c r="BX42" s="820"/>
      <c r="BY42" s="325"/>
      <c r="BZ42" s="87"/>
    </row>
    <row r="43" spans="1:82">
      <c r="A43" s="214" t="s">
        <v>1</v>
      </c>
      <c r="B43" s="214"/>
      <c r="C43" s="214"/>
      <c r="D43" s="220"/>
      <c r="E43" s="214"/>
      <c r="F43" s="214"/>
      <c r="G43" s="234"/>
      <c r="H43" s="207"/>
      <c r="I43" s="182"/>
      <c r="J43" s="136"/>
      <c r="K43" s="136"/>
      <c r="L43" s="136"/>
      <c r="M43" s="136"/>
      <c r="N43" s="136"/>
      <c r="O43" s="136"/>
      <c r="P43" s="136"/>
      <c r="Q43" s="136"/>
      <c r="R43" s="136"/>
      <c r="S43" s="136"/>
      <c r="T43" s="183"/>
      <c r="AS43" s="838" t="s">
        <v>303</v>
      </c>
      <c r="AT43" s="842" t="s">
        <v>83</v>
      </c>
      <c r="AU43" s="839">
        <f t="shared" ref="AU43:AX44" si="45">BL31</f>
        <v>0</v>
      </c>
      <c r="AV43" s="839">
        <f t="shared" si="45"/>
        <v>263.49138957956683</v>
      </c>
      <c r="AW43" s="839">
        <f t="shared" si="45"/>
        <v>0</v>
      </c>
      <c r="AX43" s="839">
        <f t="shared" si="45"/>
        <v>4.7</v>
      </c>
      <c r="BD43" s="700"/>
      <c r="BE43" s="700"/>
      <c r="BF43" s="503" t="str">
        <f t="shared" si="43"/>
        <v>Unknowngest</v>
      </c>
      <c r="BG43" s="773" t="s">
        <v>63</v>
      </c>
      <c r="BH43" s="777">
        <f t="shared" si="38"/>
        <v>0</v>
      </c>
      <c r="BI43" s="777">
        <f t="shared" si="2"/>
        <v>0</v>
      </c>
      <c r="BJ43" s="503"/>
      <c r="BK43" s="503"/>
      <c r="BL43" s="503"/>
      <c r="BM43" s="503"/>
      <c r="BN43" s="503"/>
      <c r="BO43" s="598"/>
      <c r="BP43" s="777">
        <f t="shared" si="39"/>
        <v>0</v>
      </c>
      <c r="BQ43" s="777">
        <f t="shared" si="40"/>
        <v>0</v>
      </c>
      <c r="BR43" s="819"/>
      <c r="BS43" s="819"/>
      <c r="BT43" s="821"/>
      <c r="BU43" s="503"/>
      <c r="BV43" s="503"/>
      <c r="BW43" s="598"/>
      <c r="BX43" s="822"/>
      <c r="BY43" s="311"/>
    </row>
    <row r="44" spans="1:82">
      <c r="A44" s="217" t="s">
        <v>378</v>
      </c>
      <c r="B44" s="217">
        <f>BQ45</f>
        <v>0</v>
      </c>
      <c r="C44" s="217">
        <f>BH45</f>
        <v>8</v>
      </c>
      <c r="D44" s="570" t="str">
        <f>IF(B44=0, "-", IF(C44/(B44+C44)*1000&gt;1000, "-", (C44/(B44+C44)*1000)))</f>
        <v>-</v>
      </c>
      <c r="E44" s="217">
        <f>BP45</f>
        <v>2</v>
      </c>
      <c r="F44" s="477" t="str">
        <f t="shared" ref="F44:F49" si="46">IF(B44=0, "-", IF(E44/B44*1000&gt;1000, "-", (E44/B44*1000)))</f>
        <v>-</v>
      </c>
      <c r="G44" s="234"/>
      <c r="H44" s="207"/>
      <c r="I44" s="182"/>
      <c r="J44" s="136"/>
      <c r="K44" s="136"/>
      <c r="L44" s="136"/>
      <c r="M44" s="136"/>
      <c r="N44" s="136"/>
      <c r="O44" s="136"/>
      <c r="P44" s="136"/>
      <c r="Q44" s="136"/>
      <c r="R44" s="136"/>
      <c r="S44" s="136"/>
      <c r="T44" s="183"/>
      <c r="AS44" s="840"/>
      <c r="AT44" s="842">
        <v>2</v>
      </c>
      <c r="AU44" s="839">
        <f t="shared" si="45"/>
        <v>10.050251256281408</v>
      </c>
      <c r="AV44" s="839">
        <f t="shared" si="45"/>
        <v>26.254711898110344</v>
      </c>
      <c r="AW44" s="839">
        <f t="shared" si="45"/>
        <v>8.8331192032966577</v>
      </c>
      <c r="AX44" s="839">
        <f t="shared" si="45"/>
        <v>6.3</v>
      </c>
      <c r="BD44" s="700"/>
      <c r="BE44" s="700"/>
      <c r="BF44" s="503"/>
      <c r="BG44" s="601" t="s">
        <v>447</v>
      </c>
      <c r="BH44" s="777"/>
      <c r="BI44" s="777"/>
      <c r="BJ44" s="503"/>
      <c r="BK44" s="503"/>
      <c r="BL44" s="503"/>
      <c r="BM44" s="503"/>
      <c r="BN44" s="503"/>
      <c r="BO44" s="598"/>
      <c r="BP44" s="777"/>
      <c r="BQ44" s="777"/>
      <c r="BR44" s="819"/>
      <c r="BS44" s="819"/>
      <c r="BT44" s="821"/>
      <c r="BU44" s="503"/>
      <c r="BV44" s="503"/>
      <c r="BW44" s="598"/>
      <c r="BX44" s="820"/>
      <c r="BY44" s="325"/>
      <c r="BZ44" s="87"/>
      <c r="CA44" s="118"/>
      <c r="CB44" s="118"/>
      <c r="CC44" s="118"/>
      <c r="CD44" s="118"/>
    </row>
    <row r="45" spans="1:82" s="400" customFormat="1">
      <c r="A45" s="565" t="s">
        <v>478</v>
      </c>
      <c r="B45" s="217">
        <f t="shared" ref="B45:B46" si="47">BQ46</f>
        <v>6</v>
      </c>
      <c r="C45" s="217">
        <f t="shared" ref="C45:C46" si="48">BH46</f>
        <v>5</v>
      </c>
      <c r="D45" s="570">
        <f>IF(B45=0, "-", IF(C45/(B45+C45)*1000&gt;1000, "-", (C45/(B45+C45)*1000)))</f>
        <v>454.5454545454545</v>
      </c>
      <c r="E45" s="217">
        <f t="shared" ref="E45:E46" si="49">BP46</f>
        <v>4</v>
      </c>
      <c r="F45" s="477">
        <f t="shared" si="46"/>
        <v>666.66666666666663</v>
      </c>
      <c r="G45" s="234"/>
      <c r="H45" s="207"/>
      <c r="I45" s="182"/>
      <c r="J45" s="136"/>
      <c r="K45" s="136"/>
      <c r="L45" s="136"/>
      <c r="M45" s="136"/>
      <c r="N45" s="136"/>
      <c r="O45" s="136"/>
      <c r="P45" s="136"/>
      <c r="Q45" s="136"/>
      <c r="R45" s="136"/>
      <c r="S45" s="136"/>
      <c r="T45" s="183"/>
      <c r="V45" s="813"/>
      <c r="W45" s="813"/>
      <c r="X45" s="813"/>
      <c r="Y45" s="813"/>
      <c r="Z45" s="813"/>
      <c r="AA45" s="813"/>
      <c r="AB45" s="813"/>
      <c r="AC45" s="813"/>
      <c r="AD45" s="813"/>
      <c r="AE45" s="813"/>
      <c r="AF45" s="813"/>
      <c r="AG45" s="813"/>
      <c r="AH45" s="813"/>
      <c r="AI45" s="813"/>
      <c r="AJ45" s="813"/>
      <c r="AK45" s="813"/>
      <c r="AL45" s="813"/>
      <c r="AM45" s="813"/>
      <c r="AP45" s="245"/>
      <c r="AQ45" s="243"/>
      <c r="AR45" s="780"/>
      <c r="AS45" s="289"/>
      <c r="AT45" s="795">
        <v>3</v>
      </c>
      <c r="AU45" s="802">
        <f t="shared" ref="AU45:AX47" si="50">BL33</f>
        <v>16.025641025641026</v>
      </c>
      <c r="AV45" s="802">
        <f t="shared" si="50"/>
        <v>21.372859228598298</v>
      </c>
      <c r="AW45" s="802">
        <f t="shared" si="50"/>
        <v>10.822159006030706</v>
      </c>
      <c r="AX45" s="802">
        <f t="shared" si="50"/>
        <v>6.2</v>
      </c>
      <c r="AY45" s="459"/>
      <c r="AZ45" s="459"/>
      <c r="BA45" s="459"/>
      <c r="BB45" s="459"/>
      <c r="BC45" s="447"/>
      <c r="BD45" s="700"/>
      <c r="BE45" s="700"/>
      <c r="BF45" s="503" t="str">
        <f>BG45&amp;BG$44</f>
        <v>&lt;500bwt</v>
      </c>
      <c r="BG45" s="503" t="s">
        <v>427</v>
      </c>
      <c r="BH45" s="777">
        <f t="shared" ref="BH45:BH51" si="51">IFERROR(VLOOKUP($BF45&amp;$BH$9&amp;$BG$7,vw.deaths.dhb, 6, FALSE),0)</f>
        <v>8</v>
      </c>
      <c r="BI45" s="777">
        <f t="shared" si="2"/>
        <v>8</v>
      </c>
      <c r="BJ45" s="818">
        <f t="shared" ref="BJ45:BJ46" si="52">IF(BH45=0,0,IF(BH45&lt;389,CHIINV(0.5+$BI$7/200,2*BH45)/2,BH45*(1-1/(9*BH45)-NORMSINV(0.5+$BI$7/200)/3/SQRT(BH45))^3))/BI45*1000</f>
        <v>431.72902209356261</v>
      </c>
      <c r="BK45" s="818">
        <f t="shared" ref="BK45:BK46" si="53">IF(BH45&lt;389,CHIINV(0.5-$BI$7/200,2*BH45+2)/2,(BH45+1)*(1-1/(9*(BH45+1))+NORMSINV(0.5+$BI$7/200)/3/SQRT(BH45+1))^3)/BI45*1000</f>
        <v>1970.3986525241644</v>
      </c>
      <c r="BL45" s="599">
        <f t="shared" ref="BL45" si="54">BH45/BI45*1000</f>
        <v>1000</v>
      </c>
      <c r="BM45" s="599">
        <f t="shared" ref="BM45:BM46" si="55">BK45-BL45</f>
        <v>970.39865252416439</v>
      </c>
      <c r="BN45" s="599">
        <f t="shared" ref="BN45:BN46" si="56">BL45-BJ45</f>
        <v>568.27097790643734</v>
      </c>
      <c r="BO45" s="598">
        <f t="shared" ref="BO45:BO51" si="57">VLOOKUP($BF45&amp;$BO$9&amp;$BO$10, vw.deaths.dhb,8, FALSE)</f>
        <v>726.8</v>
      </c>
      <c r="BP45" s="777">
        <f t="shared" ref="BP45:BP51" si="58">IFERROR(VLOOKUP($BF45&amp;$BP$9&amp;$BG$7,vw.deaths.dhb, 6, FALSE),0)</f>
        <v>2</v>
      </c>
      <c r="BQ45" s="777">
        <f t="shared" ref="BQ45:BQ51" si="59">IFERROR(VLOOKUP($BF45&amp;$BQ$10&amp;$BG$7,vw.births.dhb, 6, FALSE),0)</f>
        <v>0</v>
      </c>
      <c r="BR45" s="819" t="e">
        <f t="shared" ref="BR45:BR46" si="60">IF(BP45=0,0,IF(BP45&lt;389,CHIINV(0.5+$BI$7/200,2*BP45)/2,BP45*(1-1/(9*BP45)-NORMSINV(0.5+$BI$7/200)/3/SQRT(BP45))^3))/BQ45*1000</f>
        <v>#DIV/0!</v>
      </c>
      <c r="BS45" s="819" t="e">
        <f t="shared" ref="BS45:BS46" si="61">IF(BP45&lt;389,CHIINV(0.5-$BI$7/200,2*BP45+2)/2,(BP45+1)*(1-1/(9*(BP45+1))+NORMSINV(0.5+$BI$7/200)/3/SQRT(BP45+1))^3)/BQ45*1000</f>
        <v>#DIV/0!</v>
      </c>
      <c r="BT45" s="599" t="e">
        <f t="shared" ref="BT45:BT46" si="62">BP45/BQ45*1000</f>
        <v>#DIV/0!</v>
      </c>
      <c r="BU45" s="599" t="e">
        <f t="shared" ref="BU45:BU46" si="63">BS45-BT45</f>
        <v>#DIV/0!</v>
      </c>
      <c r="BV45" s="599" t="e">
        <f t="shared" ref="BV45:BV46" si="64">BT45-BR45</f>
        <v>#DIV/0!</v>
      </c>
      <c r="BW45" s="598">
        <f t="shared" ref="BW45:BW51" si="65">VLOOKUP($BF45&amp;$BW$9&amp;$BW$10, vw.deaths.dhb, 8, FALSE)</f>
        <v>698.1</v>
      </c>
      <c r="BX45" s="820"/>
      <c r="BY45" s="325"/>
      <c r="BZ45" s="87"/>
      <c r="CA45" s="118"/>
      <c r="CB45" s="118"/>
      <c r="CC45" s="118"/>
      <c r="CD45" s="118"/>
    </row>
    <row r="46" spans="1:82">
      <c r="A46" s="565" t="s">
        <v>479</v>
      </c>
      <c r="B46" s="217">
        <f t="shared" si="47"/>
        <v>16</v>
      </c>
      <c r="C46" s="217">
        <f t="shared" si="48"/>
        <v>2</v>
      </c>
      <c r="D46" s="570">
        <f>IF(B46=0, "-", IF(C46/(B46+C46)*1000&gt;1000, "-", (C46/(B46+C46)*1000)))</f>
        <v>111.1111111111111</v>
      </c>
      <c r="E46" s="217">
        <f t="shared" si="49"/>
        <v>1</v>
      </c>
      <c r="F46" s="477">
        <f t="shared" si="46"/>
        <v>62.5</v>
      </c>
      <c r="G46" s="234"/>
      <c r="H46" s="207"/>
      <c r="I46" s="182"/>
      <c r="J46" s="136"/>
      <c r="K46" s="136"/>
      <c r="L46" s="136"/>
      <c r="M46" s="136"/>
      <c r="N46" s="136"/>
      <c r="O46" s="136"/>
      <c r="P46" s="136"/>
      <c r="Q46" s="136"/>
      <c r="R46" s="136"/>
      <c r="S46" s="136"/>
      <c r="T46" s="183"/>
      <c r="AT46" s="843">
        <v>4</v>
      </c>
      <c r="AU46" s="839">
        <f t="shared" si="50"/>
        <v>6.6006600660066006</v>
      </c>
      <c r="AV46" s="839">
        <f t="shared" si="50"/>
        <v>10.299651279544054</v>
      </c>
      <c r="AW46" s="839">
        <f t="shared" si="50"/>
        <v>4.8022023537519383</v>
      </c>
      <c r="AX46" s="839">
        <f t="shared" si="50"/>
        <v>6.8</v>
      </c>
      <c r="BD46" s="700"/>
      <c r="BE46" s="700"/>
      <c r="BF46" s="503" t="str">
        <f t="shared" ref="BF46:BF51" si="66">BG46&amp;BG$44</f>
        <v>500-999bwt</v>
      </c>
      <c r="BG46" s="773" t="s">
        <v>428</v>
      </c>
      <c r="BH46" s="777">
        <f t="shared" si="51"/>
        <v>5</v>
      </c>
      <c r="BI46" s="777">
        <f t="shared" si="2"/>
        <v>11</v>
      </c>
      <c r="BJ46" s="818">
        <f t="shared" si="52"/>
        <v>147.58967182894725</v>
      </c>
      <c r="BK46" s="818">
        <f t="shared" si="53"/>
        <v>1060.7574617566063</v>
      </c>
      <c r="BL46" s="598">
        <f>IF(BI46=0, "-", (BH46/BI46*1000))</f>
        <v>454.5454545454545</v>
      </c>
      <c r="BM46" s="599">
        <f t="shared" si="55"/>
        <v>606.21200721115179</v>
      </c>
      <c r="BN46" s="599">
        <f t="shared" si="56"/>
        <v>306.95578271650726</v>
      </c>
      <c r="BO46" s="598">
        <f t="shared" si="57"/>
        <v>331.1</v>
      </c>
      <c r="BP46" s="777">
        <f t="shared" si="58"/>
        <v>4</v>
      </c>
      <c r="BQ46" s="777">
        <f t="shared" si="59"/>
        <v>6</v>
      </c>
      <c r="BR46" s="819">
        <f t="shared" si="60"/>
        <v>181.6442289377209</v>
      </c>
      <c r="BS46" s="819">
        <f t="shared" si="61"/>
        <v>1706.9314459006162</v>
      </c>
      <c r="BT46" s="599">
        <f t="shared" si="62"/>
        <v>666.66666666666663</v>
      </c>
      <c r="BU46" s="599">
        <f t="shared" si="63"/>
        <v>1040.2647792339494</v>
      </c>
      <c r="BV46" s="599">
        <f t="shared" si="64"/>
        <v>485.02243772894576</v>
      </c>
      <c r="BW46" s="598">
        <f t="shared" si="65"/>
        <v>290.8</v>
      </c>
      <c r="BX46" s="820"/>
      <c r="BY46" s="325"/>
      <c r="BZ46" s="87"/>
      <c r="CA46" s="118"/>
      <c r="CB46" s="118"/>
      <c r="CC46" s="118"/>
      <c r="CD46" s="118"/>
    </row>
    <row r="47" spans="1:82" ht="15" customHeight="1">
      <c r="A47" s="565" t="s">
        <v>477</v>
      </c>
      <c r="B47" s="217">
        <f t="shared" ref="B47:B48" si="67">BQ48</f>
        <v>105</v>
      </c>
      <c r="C47" s="217">
        <f t="shared" ref="C47:C48" si="68">BH48</f>
        <v>2</v>
      </c>
      <c r="D47" s="218">
        <f t="shared" ref="D47:D49" si="69">IF(C47/(B47+C47)*1000&gt;1000, "-", C47/(B47+C47)*1000)</f>
        <v>18.691588785046729</v>
      </c>
      <c r="E47" s="217">
        <f t="shared" ref="E47:E48" si="70">BP48</f>
        <v>3</v>
      </c>
      <c r="F47" s="477">
        <f t="shared" si="46"/>
        <v>28.571428571428569</v>
      </c>
      <c r="G47" s="234"/>
      <c r="H47" s="207"/>
      <c r="I47" s="182"/>
      <c r="J47" s="136"/>
      <c r="K47" s="136"/>
      <c r="L47" s="136"/>
      <c r="M47" s="136"/>
      <c r="N47" s="136"/>
      <c r="O47" s="136"/>
      <c r="P47" s="136"/>
      <c r="Q47" s="136"/>
      <c r="R47" s="136"/>
      <c r="S47" s="136"/>
      <c r="T47" s="183"/>
      <c r="AT47" s="843" t="s">
        <v>84</v>
      </c>
      <c r="AU47" s="839">
        <f t="shared" si="50"/>
        <v>7.4441687344913152</v>
      </c>
      <c r="AV47" s="839">
        <f t="shared" si="50"/>
        <v>6.6871823419513401</v>
      </c>
      <c r="AW47" s="839">
        <f t="shared" si="50"/>
        <v>4.0402207631279285</v>
      </c>
      <c r="AX47" s="839">
        <f t="shared" si="50"/>
        <v>7.4</v>
      </c>
      <c r="BD47" s="700"/>
      <c r="BE47" s="700"/>
      <c r="BF47" s="503" t="str">
        <f t="shared" si="66"/>
        <v>1000-1499bwt</v>
      </c>
      <c r="BG47" s="773" t="s">
        <v>429</v>
      </c>
      <c r="BH47" s="777">
        <f t="shared" si="51"/>
        <v>2</v>
      </c>
      <c r="BI47" s="777">
        <f t="shared" si="2"/>
        <v>18</v>
      </c>
      <c r="BJ47" s="818">
        <f t="shared" ref="BJ47:BJ51" si="71">IF(BH47=0,0,IF(BH47&lt;389,CHIINV(0.5+$BI$7/200,2*BH47)/2,BH47*(1-1/(9*BH47)-NORMSINV(0.5+$BI$7/200)/3/SQRT(BH47))^3))/BI47*1000</f>
        <v>13.456071030220286</v>
      </c>
      <c r="BK47" s="818">
        <f t="shared" ref="BK47:BK51" si="72">IF(BH47&lt;389,CHIINV(0.5-$BI$7/200,2*BH47+2)/2,(BH47+1)*(1-1/(9*(BH47+1))+NORMSINV(0.5+$BI$7/200)/3/SQRT(BH47+1))^3)/BI47*1000</f>
        <v>401.37153709577552</v>
      </c>
      <c r="BL47" s="598">
        <f>IF(BI47=0, "-", (BH47/BI47*1000))</f>
        <v>111.1111111111111</v>
      </c>
      <c r="BM47" s="599">
        <f t="shared" ref="BM47:BM51" si="73">BK47-BL47</f>
        <v>290.26042598466444</v>
      </c>
      <c r="BN47" s="599">
        <f t="shared" ref="BN47:BN51" si="74">BL47-BJ47</f>
        <v>97.655040080890814</v>
      </c>
      <c r="BO47" s="598">
        <f t="shared" si="57"/>
        <v>75.400000000000006</v>
      </c>
      <c r="BP47" s="777">
        <f t="shared" si="58"/>
        <v>1</v>
      </c>
      <c r="BQ47" s="777">
        <f t="shared" si="59"/>
        <v>16</v>
      </c>
      <c r="BR47" s="819">
        <f t="shared" ref="BR47:BR51" si="75">IF(BP47=0,0,IF(BP47&lt;389,CHIINV(0.5+$BI$7/200,2*BP47)/2,BP47*(1-1/(9*BP47)-NORMSINV(0.5+$BI$7/200)/3/SQRT(BP47))^3))/BQ47*1000</f>
        <v>1.5823629990181185</v>
      </c>
      <c r="BS47" s="819">
        <f t="shared" ref="BS47:BS51" si="76">IF(BP47&lt;389,CHIINV(0.5-$BI$7/200,2*BP47+2)/2,(BP47+1)*(1-1/(9*(BP47+1))+NORMSINV(0.5+$BI$7/200)/3/SQRT(BP47+1))^3)/BQ47*1000</f>
        <v>348.22771193368112</v>
      </c>
      <c r="BT47" s="599">
        <f t="shared" ref="BT47:BT51" si="77">BP47/BQ47*1000</f>
        <v>62.5</v>
      </c>
      <c r="BU47" s="599">
        <f t="shared" ref="BU47:BU51" si="78">BS47-BT47</f>
        <v>285.72771193368112</v>
      </c>
      <c r="BV47" s="599">
        <f t="shared" ref="BV47:BV51" si="79">BT47-BR47</f>
        <v>60.917637000981884</v>
      </c>
      <c r="BW47" s="598">
        <f t="shared" si="65"/>
        <v>24.2</v>
      </c>
      <c r="BX47" s="820"/>
      <c r="BY47" s="325"/>
      <c r="BZ47" s="87"/>
      <c r="CA47" s="118"/>
      <c r="CB47" s="118"/>
      <c r="CC47" s="118"/>
      <c r="CD47" s="118"/>
    </row>
    <row r="48" spans="1:82">
      <c r="A48" s="565" t="s">
        <v>480</v>
      </c>
      <c r="B48" s="217">
        <f t="shared" si="67"/>
        <v>2132</v>
      </c>
      <c r="C48" s="217">
        <f t="shared" si="68"/>
        <v>1</v>
      </c>
      <c r="D48" s="218">
        <f t="shared" si="69"/>
        <v>0.46882325363338023</v>
      </c>
      <c r="E48" s="217">
        <f t="shared" si="70"/>
        <v>2</v>
      </c>
      <c r="F48" s="477">
        <f t="shared" si="46"/>
        <v>0.93808630393996251</v>
      </c>
      <c r="G48" s="234"/>
      <c r="H48" s="207"/>
      <c r="I48" s="182"/>
      <c r="J48" s="136"/>
      <c r="K48" s="136"/>
      <c r="L48" s="136"/>
      <c r="M48" s="136"/>
      <c r="N48" s="136"/>
      <c r="O48" s="136"/>
      <c r="P48" s="136"/>
      <c r="Q48" s="136"/>
      <c r="R48" s="136"/>
      <c r="S48" s="136"/>
      <c r="T48" s="183"/>
      <c r="AS48" s="839" t="s">
        <v>304</v>
      </c>
      <c r="AT48" s="842" t="s">
        <v>83</v>
      </c>
      <c r="AU48" s="839">
        <f t="shared" ref="AU48:AX52" si="80">BT31</f>
        <v>0</v>
      </c>
      <c r="AV48" s="839">
        <f t="shared" si="80"/>
        <v>263.49138957956683</v>
      </c>
      <c r="AW48" s="839">
        <f t="shared" si="80"/>
        <v>0</v>
      </c>
      <c r="AX48" s="839">
        <f t="shared" si="80"/>
        <v>2.6</v>
      </c>
      <c r="BD48" s="700"/>
      <c r="BE48" s="700"/>
      <c r="BF48" s="503" t="str">
        <f t="shared" si="66"/>
        <v>1500-2499bwt</v>
      </c>
      <c r="BG48" s="773" t="s">
        <v>430</v>
      </c>
      <c r="BH48" s="777">
        <f t="shared" si="51"/>
        <v>2</v>
      </c>
      <c r="BI48" s="777">
        <f t="shared" si="2"/>
        <v>107</v>
      </c>
      <c r="BJ48" s="818">
        <f t="shared" si="71"/>
        <v>2.2636381172333189</v>
      </c>
      <c r="BK48" s="818">
        <f t="shared" si="72"/>
        <v>67.520445492747285</v>
      </c>
      <c r="BL48" s="598">
        <f t="shared" ref="BL48:BL50" si="81">BH48/BI48*1000</f>
        <v>18.691588785046729</v>
      </c>
      <c r="BM48" s="599">
        <f t="shared" si="73"/>
        <v>48.828856707700552</v>
      </c>
      <c r="BN48" s="599">
        <f t="shared" si="74"/>
        <v>16.427950667813409</v>
      </c>
      <c r="BO48" s="598">
        <f t="shared" si="57"/>
        <v>14.8</v>
      </c>
      <c r="BP48" s="777">
        <f t="shared" si="58"/>
        <v>3</v>
      </c>
      <c r="BQ48" s="777">
        <f t="shared" si="59"/>
        <v>105</v>
      </c>
      <c r="BR48" s="819">
        <f t="shared" si="75"/>
        <v>5.8921154561485931</v>
      </c>
      <c r="BS48" s="819">
        <f t="shared" si="76"/>
        <v>83.497838759450715</v>
      </c>
      <c r="BT48" s="599">
        <f t="shared" si="77"/>
        <v>28.571428571428569</v>
      </c>
      <c r="BU48" s="599">
        <f t="shared" si="78"/>
        <v>54.926410188022146</v>
      </c>
      <c r="BV48" s="599">
        <f t="shared" si="79"/>
        <v>22.679313115279975</v>
      </c>
      <c r="BW48" s="598">
        <f t="shared" si="65"/>
        <v>11.7</v>
      </c>
      <c r="BX48" s="820"/>
      <c r="BY48" s="325"/>
      <c r="BZ48" s="87"/>
      <c r="CA48" s="118"/>
      <c r="CB48" s="118"/>
      <c r="CC48" s="118"/>
      <c r="CD48" s="118"/>
    </row>
    <row r="49" spans="1:82">
      <c r="A49" s="217" t="s">
        <v>383</v>
      </c>
      <c r="B49" s="217">
        <f t="shared" ref="B49:B50" si="82">BQ50</f>
        <v>60</v>
      </c>
      <c r="C49" s="217">
        <f t="shared" ref="C49:C50" si="83">BH50</f>
        <v>0</v>
      </c>
      <c r="D49" s="218">
        <f t="shared" si="69"/>
        <v>0</v>
      </c>
      <c r="E49" s="217">
        <f t="shared" ref="E49:E50" si="84">BP50</f>
        <v>0</v>
      </c>
      <c r="F49" s="477">
        <f t="shared" si="46"/>
        <v>0</v>
      </c>
      <c r="G49" s="234"/>
      <c r="H49" s="207"/>
      <c r="I49" s="182"/>
      <c r="J49" s="136"/>
      <c r="K49" s="136"/>
      <c r="L49" s="136"/>
      <c r="M49" s="136"/>
      <c r="N49" s="136"/>
      <c r="O49" s="136"/>
      <c r="P49" s="136"/>
      <c r="Q49" s="136"/>
      <c r="R49" s="136"/>
      <c r="S49" s="136"/>
      <c r="T49" s="183"/>
      <c r="AS49" s="839"/>
      <c r="AT49" s="842">
        <v>2</v>
      </c>
      <c r="AU49" s="839">
        <f t="shared" si="80"/>
        <v>0</v>
      </c>
      <c r="AV49" s="839">
        <f t="shared" si="80"/>
        <v>18.725276416822005</v>
      </c>
      <c r="AW49" s="839">
        <f t="shared" si="80"/>
        <v>0</v>
      </c>
      <c r="AX49" s="839">
        <f t="shared" si="80"/>
        <v>2.4</v>
      </c>
      <c r="BD49" s="700"/>
      <c r="BE49" s="700"/>
      <c r="BF49" s="503" t="str">
        <f t="shared" si="66"/>
        <v>2500-4499bwt</v>
      </c>
      <c r="BG49" s="773" t="s">
        <v>431</v>
      </c>
      <c r="BH49" s="777">
        <f t="shared" si="51"/>
        <v>1</v>
      </c>
      <c r="BI49" s="777">
        <f t="shared" si="2"/>
        <v>2133</v>
      </c>
      <c r="BJ49" s="818">
        <f t="shared" si="71"/>
        <v>1.1869577114059962E-2</v>
      </c>
      <c r="BK49" s="818">
        <f t="shared" si="72"/>
        <v>2.6121159826248936</v>
      </c>
      <c r="BL49" s="598">
        <f t="shared" si="81"/>
        <v>0.46882325363338023</v>
      </c>
      <c r="BM49" s="599">
        <f t="shared" si="73"/>
        <v>2.1432927289915136</v>
      </c>
      <c r="BN49" s="599">
        <f t="shared" si="74"/>
        <v>0.45695367651932028</v>
      </c>
      <c r="BO49" s="598">
        <f t="shared" si="57"/>
        <v>1.5</v>
      </c>
      <c r="BP49" s="777">
        <f t="shared" si="58"/>
        <v>2</v>
      </c>
      <c r="BQ49" s="777">
        <f t="shared" si="59"/>
        <v>2132</v>
      </c>
      <c r="BR49" s="819">
        <f t="shared" si="75"/>
        <v>0.11360660344463656</v>
      </c>
      <c r="BS49" s="819">
        <f t="shared" si="76"/>
        <v>3.3886902756678983</v>
      </c>
      <c r="BT49" s="599">
        <f t="shared" si="77"/>
        <v>0.93808630393996251</v>
      </c>
      <c r="BU49" s="599">
        <f t="shared" si="78"/>
        <v>2.4506039717279355</v>
      </c>
      <c r="BV49" s="599">
        <f t="shared" si="79"/>
        <v>0.82447970049532593</v>
      </c>
      <c r="BW49" s="598">
        <f t="shared" si="65"/>
        <v>1.7</v>
      </c>
      <c r="BX49" s="820"/>
      <c r="BY49" s="325"/>
      <c r="BZ49" s="87"/>
      <c r="CA49" s="118"/>
      <c r="CB49" s="118"/>
      <c r="CC49" s="118"/>
      <c r="CD49" s="118"/>
    </row>
    <row r="50" spans="1:82">
      <c r="A50" s="224" t="s">
        <v>63</v>
      </c>
      <c r="B50" s="217">
        <f t="shared" si="82"/>
        <v>1</v>
      </c>
      <c r="C50" s="217">
        <f t="shared" si="83"/>
        <v>2</v>
      </c>
      <c r="D50" s="473" t="s">
        <v>119</v>
      </c>
      <c r="E50" s="474">
        <f t="shared" si="84"/>
        <v>0</v>
      </c>
      <c r="F50" s="475" t="s">
        <v>119</v>
      </c>
      <c r="G50" s="196"/>
      <c r="H50" s="196"/>
      <c r="I50" s="182"/>
      <c r="J50" s="136"/>
      <c r="K50" s="136"/>
      <c r="L50" s="136"/>
      <c r="M50" s="136"/>
      <c r="N50" s="136"/>
      <c r="O50" s="136"/>
      <c r="P50" s="136"/>
      <c r="Q50" s="136"/>
      <c r="R50" s="136"/>
      <c r="S50" s="136"/>
      <c r="T50" s="183"/>
      <c r="AS50" s="839"/>
      <c r="AT50" s="842">
        <v>3</v>
      </c>
      <c r="AU50" s="839">
        <f t="shared" si="80"/>
        <v>6.5146579804560263</v>
      </c>
      <c r="AV50" s="839">
        <f t="shared" si="80"/>
        <v>17.018526604964038</v>
      </c>
      <c r="AW50" s="839">
        <f t="shared" si="80"/>
        <v>5.7257026757525571</v>
      </c>
      <c r="AX50" s="839">
        <f t="shared" si="80"/>
        <v>2.9</v>
      </c>
      <c r="BD50" s="700"/>
      <c r="BE50" s="700"/>
      <c r="BF50" s="503" t="str">
        <f t="shared" si="66"/>
        <v>4500+bwt</v>
      </c>
      <c r="BG50" s="773" t="s">
        <v>432</v>
      </c>
      <c r="BH50" s="777">
        <f t="shared" si="51"/>
        <v>0</v>
      </c>
      <c r="BI50" s="777">
        <f t="shared" si="2"/>
        <v>60</v>
      </c>
      <c r="BJ50" s="818">
        <f t="shared" si="71"/>
        <v>0</v>
      </c>
      <c r="BK50" s="818">
        <f t="shared" si="72"/>
        <v>61.481324235232258</v>
      </c>
      <c r="BL50" s="598">
        <f t="shared" si="81"/>
        <v>0</v>
      </c>
      <c r="BM50" s="599">
        <f t="shared" si="73"/>
        <v>61.481324235232258</v>
      </c>
      <c r="BN50" s="599">
        <f t="shared" si="74"/>
        <v>0</v>
      </c>
      <c r="BO50" s="598">
        <f t="shared" si="57"/>
        <v>2.8</v>
      </c>
      <c r="BP50" s="777">
        <f t="shared" si="58"/>
        <v>0</v>
      </c>
      <c r="BQ50" s="777">
        <f t="shared" si="59"/>
        <v>60</v>
      </c>
      <c r="BR50" s="819">
        <f t="shared" si="75"/>
        <v>0</v>
      </c>
      <c r="BS50" s="819">
        <f t="shared" si="76"/>
        <v>61.481324235232258</v>
      </c>
      <c r="BT50" s="599">
        <f t="shared" si="77"/>
        <v>0</v>
      </c>
      <c r="BU50" s="599">
        <f t="shared" si="78"/>
        <v>61.481324235232258</v>
      </c>
      <c r="BV50" s="599">
        <f t="shared" si="79"/>
        <v>0</v>
      </c>
      <c r="BW50" s="598">
        <f t="shared" si="65"/>
        <v>0</v>
      </c>
      <c r="BX50" s="820"/>
      <c r="BY50" s="325"/>
      <c r="BZ50" s="87"/>
    </row>
    <row r="51" spans="1:82">
      <c r="A51" s="291" t="s">
        <v>344</v>
      </c>
      <c r="B51" s="458"/>
      <c r="C51" s="458"/>
      <c r="D51" s="458"/>
      <c r="E51" s="458"/>
      <c r="F51" s="458"/>
      <c r="G51" s="196"/>
      <c r="H51" s="196"/>
      <c r="I51" s="182"/>
      <c r="J51" s="136"/>
      <c r="K51" s="136"/>
      <c r="L51" s="136"/>
      <c r="M51" s="136"/>
      <c r="N51" s="136"/>
      <c r="O51" s="136"/>
      <c r="P51" s="136"/>
      <c r="Q51" s="136"/>
      <c r="R51" s="136"/>
      <c r="S51" s="136"/>
      <c r="T51" s="183"/>
      <c r="AS51" s="324"/>
      <c r="AT51" s="843">
        <v>4</v>
      </c>
      <c r="AU51" s="839">
        <f t="shared" si="80"/>
        <v>6.6445182724252492</v>
      </c>
      <c r="AV51" s="839">
        <f t="shared" si="80"/>
        <v>10.368087500670597</v>
      </c>
      <c r="AW51" s="839">
        <f t="shared" si="80"/>
        <v>4.8341106750393266</v>
      </c>
      <c r="AX51" s="839">
        <f t="shared" si="80"/>
        <v>4</v>
      </c>
      <c r="BD51" s="700"/>
      <c r="BE51" s="700"/>
      <c r="BF51" s="503" t="str">
        <f t="shared" si="66"/>
        <v>Unknownbwt</v>
      </c>
      <c r="BG51" s="324" t="s">
        <v>63</v>
      </c>
      <c r="BH51" s="777">
        <f t="shared" si="51"/>
        <v>2</v>
      </c>
      <c r="BI51" s="777">
        <f t="shared" si="2"/>
        <v>3</v>
      </c>
      <c r="BJ51" s="818">
        <f t="shared" si="71"/>
        <v>80.736426181321718</v>
      </c>
      <c r="BK51" s="818">
        <f t="shared" si="72"/>
        <v>2408.2292225746528</v>
      </c>
      <c r="BL51" s="598">
        <f>IF(BI51=0, "-", (BH51/BI51*1000))</f>
        <v>666.66666666666663</v>
      </c>
      <c r="BM51" s="599">
        <f t="shared" si="73"/>
        <v>1741.5625559079863</v>
      </c>
      <c r="BN51" s="599">
        <f t="shared" si="74"/>
        <v>585.93024048534494</v>
      </c>
      <c r="BO51" s="598" t="str">
        <f t="shared" si="57"/>
        <v>-</v>
      </c>
      <c r="BP51" s="777">
        <f t="shared" si="58"/>
        <v>0</v>
      </c>
      <c r="BQ51" s="777">
        <f t="shared" si="59"/>
        <v>1</v>
      </c>
      <c r="BR51" s="819">
        <f t="shared" si="75"/>
        <v>0</v>
      </c>
      <c r="BS51" s="819">
        <f t="shared" si="76"/>
        <v>3688.8794541139355</v>
      </c>
      <c r="BT51" s="599">
        <f t="shared" si="77"/>
        <v>0</v>
      </c>
      <c r="BU51" s="599">
        <f t="shared" si="78"/>
        <v>3688.8794541139355</v>
      </c>
      <c r="BV51" s="599">
        <f t="shared" si="79"/>
        <v>0</v>
      </c>
      <c r="BW51" s="598" t="str">
        <f t="shared" si="65"/>
        <v>-</v>
      </c>
      <c r="BX51" s="771"/>
      <c r="BY51" s="311"/>
    </row>
    <row r="52" spans="1:82">
      <c r="A52" s="291" t="s">
        <v>343</v>
      </c>
      <c r="B52" s="196"/>
      <c r="C52" s="196"/>
      <c r="D52" s="206"/>
      <c r="E52" s="196"/>
      <c r="F52" s="206"/>
      <c r="G52" s="196"/>
      <c r="H52" s="196"/>
      <c r="I52" s="182"/>
      <c r="J52" s="136"/>
      <c r="K52" s="136"/>
      <c r="L52" s="136"/>
      <c r="M52" s="136"/>
      <c r="N52" s="136"/>
      <c r="O52" s="136"/>
      <c r="P52" s="136"/>
      <c r="Q52" s="136"/>
      <c r="R52" s="136"/>
      <c r="S52" s="136"/>
      <c r="T52" s="183"/>
      <c r="AT52" s="843" t="s">
        <v>84</v>
      </c>
      <c r="AU52" s="839">
        <f t="shared" si="80"/>
        <v>5</v>
      </c>
      <c r="AV52" s="839">
        <f t="shared" si="80"/>
        <v>5.8828950187655682</v>
      </c>
      <c r="AW52" s="839">
        <f t="shared" si="80"/>
        <v>3.1650881220909568</v>
      </c>
      <c r="AX52" s="839">
        <f t="shared" si="80"/>
        <v>6.3</v>
      </c>
      <c r="BD52" s="700"/>
      <c r="BE52" s="700"/>
      <c r="BX52" s="771"/>
      <c r="BY52" s="311"/>
    </row>
    <row r="53" spans="1:82" ht="27" customHeight="1">
      <c r="A53" s="903" t="s">
        <v>631</v>
      </c>
      <c r="B53" s="903"/>
      <c r="C53" s="903"/>
      <c r="D53" s="903"/>
      <c r="E53" s="903"/>
      <c r="F53" s="903"/>
      <c r="G53" s="196"/>
      <c r="H53" s="196"/>
      <c r="I53" s="182"/>
      <c r="J53" s="136"/>
      <c r="K53" s="136"/>
      <c r="L53" s="136"/>
      <c r="M53" s="136"/>
      <c r="N53" s="136"/>
      <c r="O53" s="136"/>
      <c r="P53" s="136"/>
      <c r="Q53" s="136"/>
      <c r="R53" s="136"/>
      <c r="S53" s="136"/>
      <c r="T53" s="183"/>
      <c r="BD53" s="700"/>
      <c r="BE53" s="700"/>
      <c r="BX53" s="771"/>
      <c r="BY53" s="311"/>
    </row>
    <row r="54" spans="1:82" ht="24.75" customHeight="1">
      <c r="A54" s="903"/>
      <c r="B54" s="903"/>
      <c r="C54" s="903"/>
      <c r="D54" s="903"/>
      <c r="E54" s="903"/>
      <c r="F54" s="903"/>
      <c r="G54" s="196"/>
      <c r="H54" s="196"/>
      <c r="I54" s="182"/>
      <c r="J54" s="136"/>
      <c r="K54" s="136"/>
      <c r="L54" s="136"/>
      <c r="M54" s="136"/>
      <c r="N54" s="136"/>
      <c r="O54" s="136"/>
      <c r="P54" s="136"/>
      <c r="Q54" s="136"/>
      <c r="R54" s="136"/>
      <c r="S54" s="136"/>
      <c r="T54" s="183"/>
      <c r="AT54" s="843"/>
      <c r="BD54" s="700"/>
      <c r="BE54" s="700"/>
      <c r="BF54" s="324"/>
      <c r="BG54" s="324"/>
      <c r="BH54" s="324"/>
      <c r="BI54" s="324"/>
      <c r="BJ54" s="324"/>
      <c r="BK54" s="324"/>
      <c r="BL54" s="324"/>
      <c r="BM54" s="324"/>
      <c r="BN54" s="324"/>
      <c r="BO54" s="324"/>
      <c r="BP54" s="324"/>
      <c r="BQ54" s="324"/>
      <c r="BR54" s="324"/>
      <c r="BS54" s="324"/>
      <c r="BT54" s="324"/>
      <c r="BU54" s="324"/>
      <c r="BV54" s="324"/>
      <c r="BW54" s="324"/>
      <c r="BX54" s="771"/>
      <c r="BY54" s="311"/>
    </row>
    <row r="55" spans="1:82">
      <c r="A55" s="196"/>
      <c r="B55" s="196"/>
      <c r="C55" s="196"/>
      <c r="D55" s="206"/>
      <c r="E55" s="196"/>
      <c r="F55" s="206"/>
      <c r="G55" s="196"/>
      <c r="H55" s="196"/>
      <c r="I55" s="182"/>
      <c r="J55" s="136"/>
      <c r="K55" s="136"/>
      <c r="L55" s="136"/>
      <c r="M55" s="136"/>
      <c r="N55" s="136"/>
      <c r="O55" s="136"/>
      <c r="P55" s="136"/>
      <c r="Q55" s="136"/>
      <c r="R55" s="136"/>
      <c r="S55" s="136"/>
      <c r="T55" s="183"/>
      <c r="AU55" s="839"/>
      <c r="AV55" s="839"/>
      <c r="AW55" s="839"/>
      <c r="AX55" s="839"/>
      <c r="BF55" s="324"/>
      <c r="BG55" s="602"/>
      <c r="BH55" s="602"/>
      <c r="BI55" s="602"/>
      <c r="BJ55" s="602"/>
      <c r="BK55" s="602"/>
      <c r="BL55" s="602"/>
      <c r="BM55" s="602"/>
      <c r="BN55" s="602"/>
      <c r="BO55" s="602"/>
      <c r="BP55" s="602"/>
      <c r="BQ55" s="602"/>
      <c r="BR55" s="602"/>
      <c r="BS55" s="602"/>
      <c r="BT55" s="602"/>
      <c r="BU55" s="602"/>
      <c r="BV55" s="602"/>
      <c r="BW55" s="602"/>
    </row>
    <row r="56" spans="1:82">
      <c r="G56" s="196"/>
      <c r="H56" s="196"/>
      <c r="I56" s="182"/>
      <c r="J56" s="136"/>
      <c r="K56" s="136"/>
      <c r="L56" s="136"/>
      <c r="M56" s="136"/>
      <c r="N56" s="136"/>
      <c r="O56" s="136"/>
      <c r="P56" s="136"/>
      <c r="Q56" s="136"/>
      <c r="R56" s="136"/>
      <c r="S56" s="136"/>
      <c r="T56" s="183"/>
      <c r="BF56" s="824"/>
      <c r="BG56" s="602"/>
      <c r="BI56" s="602"/>
      <c r="BJ56" s="602"/>
      <c r="BL56" s="602"/>
      <c r="BM56" s="602"/>
      <c r="BT56" s="602"/>
      <c r="BU56" s="602"/>
      <c r="BW56" s="602"/>
    </row>
    <row r="57" spans="1:82">
      <c r="G57" s="196"/>
      <c r="H57" s="196"/>
      <c r="I57" s="182"/>
      <c r="J57" s="136"/>
      <c r="K57" s="136"/>
      <c r="L57" s="136"/>
      <c r="M57" s="136"/>
      <c r="N57" s="136"/>
      <c r="O57" s="136"/>
      <c r="P57" s="136"/>
      <c r="Q57" s="136"/>
      <c r="R57" s="136"/>
      <c r="S57" s="136"/>
      <c r="T57" s="183"/>
      <c r="BF57" s="825"/>
      <c r="BG57" s="826"/>
      <c r="BH57" s="826"/>
      <c r="BI57" s="826"/>
      <c r="BJ57" s="603"/>
      <c r="BK57" s="603"/>
      <c r="BL57" s="603"/>
      <c r="BM57" s="603"/>
      <c r="BN57" s="603"/>
      <c r="BO57" s="603"/>
      <c r="BP57" s="603"/>
      <c r="BQ57" s="603"/>
      <c r="BR57" s="603"/>
      <c r="BS57" s="603"/>
      <c r="BT57" s="603"/>
      <c r="BU57" s="603"/>
      <c r="BV57" s="603"/>
      <c r="BW57" s="603"/>
    </row>
    <row r="58" spans="1:82">
      <c r="A58" s="36"/>
      <c r="G58" s="196"/>
      <c r="H58" s="196"/>
      <c r="I58" s="182"/>
      <c r="J58" s="136"/>
      <c r="K58" s="136"/>
      <c r="L58" s="136"/>
      <c r="M58" s="136"/>
      <c r="N58" s="136"/>
      <c r="O58" s="136"/>
      <c r="P58" s="136"/>
      <c r="Q58" s="136"/>
      <c r="R58" s="136"/>
      <c r="S58" s="136"/>
      <c r="T58" s="183"/>
      <c r="BF58" s="814"/>
    </row>
    <row r="59" spans="1:82">
      <c r="G59" s="196"/>
      <c r="H59" s="196"/>
      <c r="I59" s="193"/>
      <c r="J59" s="194"/>
      <c r="K59" s="194"/>
      <c r="L59" s="194"/>
      <c r="M59" s="194"/>
      <c r="N59" s="194"/>
      <c r="O59" s="194"/>
      <c r="P59" s="194"/>
      <c r="Q59" s="194"/>
      <c r="R59" s="194"/>
      <c r="S59" s="194"/>
      <c r="T59" s="195"/>
      <c r="BF59" s="324"/>
      <c r="BG59" s="826"/>
      <c r="BH59" s="826"/>
      <c r="BI59" s="826"/>
      <c r="BJ59" s="603"/>
      <c r="BK59" s="603"/>
      <c r="BL59" s="603"/>
      <c r="BM59" s="603"/>
      <c r="BN59" s="603"/>
      <c r="BO59" s="603"/>
      <c r="BP59" s="603"/>
      <c r="BQ59" s="603"/>
      <c r="BR59" s="603"/>
      <c r="BS59" s="603"/>
      <c r="BT59" s="603"/>
      <c r="BU59" s="603"/>
      <c r="BV59" s="603"/>
      <c r="BW59" s="603"/>
    </row>
    <row r="60" spans="1:82">
      <c r="G60" s="196"/>
      <c r="H60" s="196"/>
      <c r="BF60" s="324"/>
      <c r="BG60" s="826"/>
      <c r="BH60" s="826"/>
      <c r="BI60" s="826"/>
      <c r="BJ60" s="603"/>
      <c r="BK60" s="603"/>
      <c r="BL60" s="603"/>
      <c r="BM60" s="603"/>
      <c r="BN60" s="603"/>
      <c r="BO60" s="603"/>
      <c r="BP60" s="603"/>
      <c r="BQ60" s="603"/>
      <c r="BR60" s="603"/>
      <c r="BS60" s="603"/>
      <c r="BT60" s="603"/>
      <c r="BU60" s="603"/>
      <c r="BV60" s="603"/>
      <c r="BW60" s="603"/>
    </row>
    <row r="61" spans="1:82">
      <c r="G61" s="196"/>
      <c r="H61" s="196"/>
      <c r="BF61" s="324"/>
    </row>
    <row r="62" spans="1:82">
      <c r="BF62" s="814"/>
    </row>
    <row r="63" spans="1:82">
      <c r="BF63" s="324"/>
      <c r="BG63" s="826"/>
      <c r="BH63" s="826"/>
      <c r="BI63" s="826"/>
      <c r="BJ63" s="603"/>
      <c r="BK63" s="603"/>
      <c r="BL63" s="603"/>
      <c r="BM63" s="603"/>
      <c r="BN63" s="603"/>
      <c r="BO63" s="603"/>
      <c r="BP63" s="603"/>
      <c r="BQ63" s="603"/>
      <c r="BR63" s="603"/>
      <c r="BS63" s="603"/>
      <c r="BT63" s="603"/>
      <c r="BU63" s="603"/>
      <c r="BV63" s="603"/>
      <c r="BW63" s="603"/>
    </row>
    <row r="64" spans="1:82">
      <c r="BF64" s="324"/>
      <c r="BG64" s="826"/>
      <c r="BH64" s="826"/>
      <c r="BI64" s="826"/>
      <c r="BJ64" s="603"/>
      <c r="BK64" s="603"/>
      <c r="BL64" s="603"/>
      <c r="BM64" s="603"/>
      <c r="BN64" s="603"/>
      <c r="BO64" s="603"/>
      <c r="BP64" s="603"/>
      <c r="BQ64" s="603"/>
      <c r="BR64" s="603"/>
      <c r="BS64" s="603"/>
      <c r="BT64" s="603"/>
      <c r="BU64" s="603"/>
      <c r="BV64" s="603"/>
      <c r="BW64" s="603"/>
    </row>
    <row r="65" spans="58:75">
      <c r="BF65" s="324"/>
      <c r="BG65" s="826"/>
      <c r="BH65" s="826"/>
      <c r="BI65" s="826"/>
      <c r="BJ65" s="603"/>
      <c r="BK65" s="603"/>
      <c r="BL65" s="603"/>
      <c r="BM65" s="603"/>
      <c r="BN65" s="603"/>
      <c r="BO65" s="603"/>
      <c r="BP65" s="603"/>
      <c r="BQ65" s="603"/>
      <c r="BR65" s="603"/>
      <c r="BS65" s="603"/>
      <c r="BT65" s="603"/>
      <c r="BU65" s="603"/>
      <c r="BV65" s="603"/>
      <c r="BW65" s="603"/>
    </row>
    <row r="66" spans="58:75">
      <c r="BF66" s="814"/>
    </row>
    <row r="67" spans="58:75">
      <c r="BF67" s="324"/>
      <c r="BG67" s="826"/>
      <c r="BH67" s="826"/>
      <c r="BI67" s="826"/>
      <c r="BJ67" s="603"/>
      <c r="BK67" s="603"/>
      <c r="BL67" s="603"/>
      <c r="BM67" s="603"/>
      <c r="BN67" s="603"/>
      <c r="BO67" s="603"/>
      <c r="BP67" s="603"/>
      <c r="BQ67" s="603"/>
      <c r="BR67" s="603"/>
      <c r="BS67" s="603"/>
      <c r="BT67" s="603"/>
      <c r="BU67" s="603"/>
      <c r="BV67" s="603"/>
      <c r="BW67" s="603"/>
    </row>
    <row r="68" spans="58:75">
      <c r="BF68" s="324"/>
      <c r="BG68" s="826"/>
      <c r="BH68" s="826"/>
      <c r="BI68" s="826"/>
      <c r="BJ68" s="603"/>
      <c r="BK68" s="603"/>
      <c r="BL68" s="603"/>
      <c r="BM68" s="603"/>
      <c r="BN68" s="603"/>
      <c r="BO68" s="603"/>
      <c r="BP68" s="603"/>
      <c r="BQ68" s="603"/>
      <c r="BR68" s="603"/>
      <c r="BS68" s="603"/>
      <c r="BT68" s="603"/>
      <c r="BU68" s="603"/>
      <c r="BV68" s="603"/>
      <c r="BW68" s="603"/>
    </row>
    <row r="69" spans="58:75">
      <c r="BF69" s="324"/>
      <c r="BG69" s="826"/>
      <c r="BH69" s="826"/>
      <c r="BI69" s="826"/>
      <c r="BJ69" s="603"/>
      <c r="BK69" s="603"/>
      <c r="BL69" s="603"/>
      <c r="BM69" s="603"/>
      <c r="BN69" s="603"/>
      <c r="BO69" s="603"/>
      <c r="BP69" s="603"/>
      <c r="BQ69" s="603"/>
      <c r="BR69" s="603"/>
      <c r="BS69" s="603"/>
      <c r="BT69" s="603"/>
      <c r="BU69" s="603"/>
      <c r="BV69" s="603"/>
      <c r="BW69" s="603"/>
    </row>
    <row r="70" spans="58:75">
      <c r="BF70" s="324"/>
      <c r="BG70" s="826"/>
      <c r="BH70" s="826"/>
      <c r="BI70" s="826"/>
      <c r="BJ70" s="603"/>
      <c r="BK70" s="603"/>
      <c r="BL70" s="603"/>
      <c r="BM70" s="603"/>
      <c r="BN70" s="603"/>
      <c r="BO70" s="603"/>
      <c r="BP70" s="603"/>
      <c r="BQ70" s="603"/>
      <c r="BR70" s="603"/>
      <c r="BS70" s="603"/>
      <c r="BT70" s="603"/>
      <c r="BU70" s="603"/>
      <c r="BV70" s="603"/>
      <c r="BW70" s="603"/>
    </row>
    <row r="71" spans="58:75">
      <c r="BF71" s="324"/>
      <c r="BG71" s="826"/>
      <c r="BH71" s="826"/>
      <c r="BI71" s="826"/>
      <c r="BJ71" s="603"/>
      <c r="BK71" s="603"/>
      <c r="BL71" s="603"/>
      <c r="BM71" s="603"/>
      <c r="BN71" s="603"/>
      <c r="BO71" s="603"/>
      <c r="BP71" s="603"/>
      <c r="BQ71" s="603"/>
      <c r="BR71" s="603"/>
      <c r="BS71" s="603"/>
      <c r="BT71" s="603"/>
      <c r="BU71" s="603"/>
      <c r="BV71" s="603"/>
      <c r="BW71" s="603"/>
    </row>
    <row r="72" spans="58:75">
      <c r="BF72" s="324"/>
      <c r="BG72" s="826"/>
      <c r="BH72" s="826"/>
      <c r="BI72" s="826"/>
      <c r="BJ72" s="603"/>
      <c r="BK72" s="603"/>
      <c r="BL72" s="603"/>
      <c r="BM72" s="603"/>
      <c r="BN72" s="603"/>
      <c r="BO72" s="603"/>
      <c r="BP72" s="603"/>
      <c r="BQ72" s="603"/>
      <c r="BR72" s="603"/>
      <c r="BS72" s="603"/>
      <c r="BT72" s="603"/>
      <c r="BU72" s="603"/>
      <c r="BV72" s="603"/>
      <c r="BW72" s="603"/>
    </row>
    <row r="73" spans="58:75">
      <c r="BF73" s="825"/>
    </row>
    <row r="74" spans="58:75">
      <c r="BF74" s="827"/>
    </row>
    <row r="75" spans="58:75">
      <c r="BF75" s="828"/>
      <c r="BG75" s="826"/>
      <c r="BH75" s="826"/>
      <c r="BI75" s="826"/>
      <c r="BJ75" s="603"/>
      <c r="BK75" s="603"/>
      <c r="BL75" s="603"/>
      <c r="BM75" s="603"/>
      <c r="BN75" s="603"/>
      <c r="BO75" s="603"/>
      <c r="BP75" s="603"/>
      <c r="BQ75" s="603"/>
      <c r="BR75" s="603"/>
      <c r="BS75" s="603"/>
      <c r="BT75" s="603"/>
      <c r="BU75" s="603"/>
      <c r="BV75" s="603"/>
      <c r="BW75" s="603"/>
    </row>
    <row r="76" spans="58:75">
      <c r="BF76" s="828"/>
      <c r="BG76" s="826"/>
      <c r="BH76" s="826"/>
      <c r="BI76" s="826"/>
      <c r="BJ76" s="603"/>
      <c r="BK76" s="603"/>
      <c r="BL76" s="603"/>
      <c r="BM76" s="603"/>
      <c r="BN76" s="603"/>
      <c r="BO76" s="603"/>
      <c r="BP76" s="603"/>
      <c r="BQ76" s="603"/>
      <c r="BR76" s="603"/>
      <c r="BS76" s="603"/>
      <c r="BT76" s="603"/>
      <c r="BU76" s="603"/>
      <c r="BV76" s="603"/>
      <c r="BW76" s="603"/>
    </row>
    <row r="77" spans="58:75">
      <c r="BF77" s="828"/>
      <c r="BG77" s="826"/>
      <c r="BH77" s="826"/>
      <c r="BI77" s="826"/>
      <c r="BJ77" s="603"/>
      <c r="BK77" s="603"/>
      <c r="BL77" s="603"/>
      <c r="BM77" s="603"/>
      <c r="BN77" s="603"/>
      <c r="BO77" s="603"/>
      <c r="BP77" s="603"/>
      <c r="BQ77" s="603"/>
      <c r="BR77" s="603"/>
      <c r="BS77" s="603"/>
      <c r="BT77" s="603"/>
      <c r="BU77" s="603"/>
      <c r="BV77" s="603"/>
      <c r="BW77" s="603"/>
    </row>
    <row r="78" spans="58:75">
      <c r="BF78" s="828"/>
      <c r="BG78" s="826"/>
      <c r="BH78" s="826"/>
      <c r="BI78" s="826"/>
      <c r="BJ78" s="603"/>
      <c r="BK78" s="603"/>
      <c r="BL78" s="603"/>
      <c r="BM78" s="603"/>
      <c r="BN78" s="603"/>
      <c r="BO78" s="603"/>
      <c r="BP78" s="603"/>
      <c r="BQ78" s="603"/>
      <c r="BR78" s="603"/>
      <c r="BS78" s="603"/>
      <c r="BT78" s="603"/>
      <c r="BU78" s="603"/>
      <c r="BV78" s="603"/>
      <c r="BW78" s="603"/>
    </row>
    <row r="79" spans="58:75">
      <c r="BF79" s="828"/>
      <c r="BG79" s="826"/>
      <c r="BH79" s="826"/>
      <c r="BI79" s="826"/>
      <c r="BJ79" s="603"/>
      <c r="BK79" s="603"/>
      <c r="BL79" s="603"/>
      <c r="BM79" s="603"/>
      <c r="BN79" s="603"/>
      <c r="BO79" s="603"/>
      <c r="BP79" s="603"/>
      <c r="BQ79" s="603"/>
      <c r="BR79" s="603"/>
      <c r="BS79" s="603"/>
      <c r="BT79" s="603"/>
      <c r="BU79" s="603"/>
      <c r="BV79" s="603"/>
      <c r="BW79" s="603"/>
    </row>
    <row r="80" spans="58:75">
      <c r="BF80" s="828"/>
    </row>
  </sheetData>
  <sheetProtection selectLockedCells="1"/>
  <mergeCells count="10">
    <mergeCell ref="A53:F54"/>
    <mergeCell ref="J23:S23"/>
    <mergeCell ref="J7:S7"/>
    <mergeCell ref="A7:F7"/>
    <mergeCell ref="BG9:BG10"/>
    <mergeCell ref="A8:A9"/>
    <mergeCell ref="C8:D8"/>
    <mergeCell ref="E8:F8"/>
    <mergeCell ref="B8:B9"/>
    <mergeCell ref="T10:T11"/>
  </mergeCells>
  <hyperlinks>
    <hyperlink ref="B1" location="Glossary!A1" display="Glossary" xr:uid="{00000000-0004-0000-1200-000000000000}"/>
    <hyperlink ref="A1" location="Contents!A1" display="Table of contents" xr:uid="{00000000-0004-0000-1200-000001000000}"/>
    <hyperlink ref="C1" location="About!A1" display="About the publication" xr:uid="{00000000-0004-0000-1200-000002000000}"/>
    <hyperlink ref="E1" location="KeyFindings!A1" display="Key findings" xr:uid="{00000000-0004-0000-1200-000003000000}"/>
  </hyperlinks>
  <pageMargins left="0.70866141732283472" right="0.70866141732283472" top="0.74803149606299213" bottom="0.74803149606299213" header="0.31496062992125984" footer="0.31496062992125984"/>
  <pageSetup paperSize="9" scale="56" fitToHeight="2" orientation="landscape" r:id="rId1"/>
  <headerFooter>
    <oddFooter>&amp;L&amp;"Arial,Regular"&amp;8&amp;K01+019Fetal and Infant Deaths 2016&amp;R&amp;"Arial,Regular"&amp;8&amp;K01+018Page &amp;P of &amp;N</oddFooter>
  </headerFooter>
  <ignoredErrors>
    <ignoredError sqref="B11:F36 B43:F43 B37:D37 E37 B38:B42 E39:F40 C38:C42 B50:F50 B44:D44 E44:F44 B45:C49 E45:E49 D47:D49 E38 D42:F42 E41:F41 D45:D46 F45:F46 BG7" unlockedFormula="1"/>
    <ignoredError sqref="D38:D41" formula="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1515" r:id="rId4" name="Drop Down 11">
              <controlPr defaultSize="0" autoLine="0" autoPict="0" altText="Select DHB">
                <anchor moveWithCells="1">
                  <from>
                    <xdr:col>0</xdr:col>
                    <xdr:colOff>895350</xdr:colOff>
                    <xdr:row>2</xdr:row>
                    <xdr:rowOff>9525</xdr:rowOff>
                  </from>
                  <to>
                    <xdr:col>3</xdr:col>
                    <xdr:colOff>104775</xdr:colOff>
                    <xdr:row>3</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CT46"/>
  <sheetViews>
    <sheetView showGridLines="0" zoomScaleNormal="100" workbookViewId="0">
      <pane ySplit="3" topLeftCell="A4" activePane="bottomLeft" state="frozen"/>
      <selection activeCell="D10" sqref="D10"/>
      <selection pane="bottomLeft" activeCell="A4" sqref="A4"/>
    </sheetView>
  </sheetViews>
  <sheetFormatPr defaultRowHeight="15"/>
  <cols>
    <col min="1" max="1" width="40.42578125" style="39" customWidth="1"/>
    <col min="2" max="2" width="14" customWidth="1"/>
    <col min="3" max="3" width="9.140625" style="63" hidden="1" customWidth="1"/>
    <col min="4" max="4" width="124.42578125" style="63" hidden="1" customWidth="1"/>
    <col min="5" max="5" width="110.85546875" customWidth="1"/>
    <col min="6" max="98" width="9.140625" style="103"/>
  </cols>
  <sheetData>
    <row r="1" spans="1:98" s="103" customFormat="1" ht="20.25">
      <c r="A1" s="76" t="s">
        <v>171</v>
      </c>
      <c r="C1" s="75"/>
      <c r="D1" s="75"/>
    </row>
    <row r="2" spans="1:98" s="103" customFormat="1">
      <c r="C2" s="75"/>
      <c r="D2" s="75"/>
    </row>
    <row r="3" spans="1:98" s="103" customFormat="1">
      <c r="A3" s="10" t="s">
        <v>172</v>
      </c>
      <c r="B3" s="10" t="s">
        <v>120</v>
      </c>
      <c r="C3" s="10" t="s">
        <v>126</v>
      </c>
      <c r="D3" s="236" t="s">
        <v>127</v>
      </c>
      <c r="E3" s="235" t="s">
        <v>171</v>
      </c>
      <c r="F3" s="178"/>
    </row>
    <row r="4" spans="1:98" s="102" customFormat="1" ht="26.25">
      <c r="A4" s="744" t="s">
        <v>618</v>
      </c>
      <c r="B4" s="254" t="s">
        <v>275</v>
      </c>
      <c r="C4" s="113"/>
      <c r="D4" s="113"/>
      <c r="E4" s="745" t="s">
        <v>624</v>
      </c>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row>
    <row r="5" spans="1:98" s="77" customFormat="1" ht="25.5">
      <c r="A5" s="640" t="s">
        <v>106</v>
      </c>
      <c r="B5" s="645" t="s">
        <v>106</v>
      </c>
      <c r="C5" s="625">
        <v>1</v>
      </c>
      <c r="D5" s="646" t="s">
        <v>548</v>
      </c>
      <c r="E5" s="627" t="str">
        <f>"Table "&amp;C5&amp;": "&amp;D5</f>
        <v xml:space="preserve">Table 1: Number and rate of deaths, by death type, 1996−2016
</v>
      </c>
      <c r="F5" s="178"/>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c r="CI5" s="103"/>
      <c r="CJ5" s="103"/>
      <c r="CK5" s="103"/>
      <c r="CL5" s="103"/>
      <c r="CM5" s="103"/>
      <c r="CN5" s="103"/>
      <c r="CO5" s="103"/>
      <c r="CP5" s="103"/>
      <c r="CQ5" s="103"/>
      <c r="CR5" s="103"/>
      <c r="CS5" s="103"/>
      <c r="CT5" s="103"/>
    </row>
    <row r="6" spans="1:98" ht="38.25">
      <c r="A6" s="524" t="s">
        <v>443</v>
      </c>
      <c r="B6" s="501" t="s">
        <v>444</v>
      </c>
      <c r="C6" s="106">
        <v>2</v>
      </c>
      <c r="D6" s="699" t="s">
        <v>585</v>
      </c>
      <c r="E6" s="105" t="str">
        <f t="shared" ref="E6:E7" si="0">"Table "&amp;C6&amp;": "&amp;D6</f>
        <v xml:space="preserve">Table 2: Number of deaths, by sex, ethnic group, maternal age group, deprivation quintile of residence, gestational age, birthweight and DHB of domicile, 2007−2016
</v>
      </c>
      <c r="F6" s="178"/>
    </row>
    <row r="7" spans="1:98" ht="38.25">
      <c r="A7" s="114"/>
      <c r="B7" s="104"/>
      <c r="C7" s="106">
        <v>3</v>
      </c>
      <c r="D7" s="699" t="s">
        <v>586</v>
      </c>
      <c r="E7" s="105" t="str">
        <f t="shared" si="0"/>
        <v xml:space="preserve">Table 3: Death rates, by sex, ethnic group, maternal age group, deprivation quintile of residence, gestational age, birthweight and DHB of domicile, 2007−2016
</v>
      </c>
      <c r="F7" s="178"/>
    </row>
    <row r="8" spans="1:98" ht="38.25">
      <c r="A8" s="640" t="s">
        <v>107</v>
      </c>
      <c r="B8" s="624" t="s">
        <v>121</v>
      </c>
      <c r="C8" s="625">
        <v>4</v>
      </c>
      <c r="D8" s="709" t="s">
        <v>587</v>
      </c>
      <c r="E8" s="627" t="str">
        <f>"Table "&amp;C8&amp;": "&amp;D8</f>
        <v xml:space="preserve">Table 4: Number of live births, by sex, ethnic group, maternal age group, deprivation quintile of residence, gestational age, birthweight and DHB of domicile, 2007−2016
</v>
      </c>
      <c r="F8" s="178"/>
    </row>
    <row r="9" spans="1:98" ht="38.25">
      <c r="A9" s="114" t="s">
        <v>73</v>
      </c>
      <c r="B9" s="104" t="s">
        <v>123</v>
      </c>
      <c r="C9" s="106">
        <v>5</v>
      </c>
      <c r="D9" s="401" t="s">
        <v>549</v>
      </c>
      <c r="E9" s="105" t="str">
        <f>"Table "&amp;C9&amp;": "&amp;D9</f>
        <v xml:space="preserve">Table 5: Number of fetal deaths, infant deaths and live births for each ethnic group, by sex, maternal age group, deprivation quintile of residence, gestational age and birthweight, 2016
</v>
      </c>
      <c r="F9" s="178"/>
    </row>
    <row r="10" spans="1:98" ht="38.25">
      <c r="A10" s="114"/>
      <c r="B10" s="104"/>
      <c r="C10" s="106">
        <v>6</v>
      </c>
      <c r="D10" s="401" t="s">
        <v>550</v>
      </c>
      <c r="E10" s="105" t="str">
        <f>"Table "&amp;C10&amp;": "&amp;D10</f>
        <v xml:space="preserve">Table 6: Rate of fetal deaths and infant deaths for each ethnic group, by sex, maternal age group, deprivation quintile of residence, gestational age and birthweight, 2016
</v>
      </c>
      <c r="F10" s="178"/>
    </row>
    <row r="11" spans="1:98" ht="38.25">
      <c r="A11" s="640" t="s">
        <v>159</v>
      </c>
      <c r="B11" s="642" t="s">
        <v>122</v>
      </c>
      <c r="C11" s="625">
        <v>7</v>
      </c>
      <c r="D11" s="643" t="s">
        <v>551</v>
      </c>
      <c r="E11" s="627" t="str">
        <f t="shared" ref="E11:E18" si="1">"Table "&amp;C11&amp;": "&amp;D11</f>
        <v xml:space="preserve">Table 7: Number of fetal deaths, infant deaths and live births for each maternal age group, by sex, ethnic group, deprivation quintile of residence, gestational age and birthweight, 2016
</v>
      </c>
      <c r="F11" s="178"/>
    </row>
    <row r="12" spans="1:98" ht="38.25">
      <c r="A12" s="640"/>
      <c r="B12" s="642"/>
      <c r="C12" s="625">
        <v>8</v>
      </c>
      <c r="D12" s="643" t="s">
        <v>552</v>
      </c>
      <c r="E12" s="627" t="str">
        <f t="shared" si="1"/>
        <v xml:space="preserve">Table 8: Rate of fetal deaths and infant deaths for each maternal age group, by sex, ethnic group, deprivation quintile of residence, gestational age and birthweight, 2016
</v>
      </c>
      <c r="F12" s="178"/>
    </row>
    <row r="13" spans="1:98" ht="38.25">
      <c r="A13" s="114" t="s">
        <v>157</v>
      </c>
      <c r="B13" s="104" t="s">
        <v>124</v>
      </c>
      <c r="C13" s="106">
        <v>9</v>
      </c>
      <c r="D13" s="401" t="s">
        <v>553</v>
      </c>
      <c r="E13" s="105" t="str">
        <f t="shared" si="1"/>
        <v xml:space="preserve">Table 9: Number of fetal deaths, infant deaths and live births for each deprivation quintile of residence, by sex, ethnic group, maternal age group, gestational age and birthweight, 2016
</v>
      </c>
      <c r="F13" s="178"/>
    </row>
    <row r="14" spans="1:98" ht="38.25">
      <c r="A14" s="114"/>
      <c r="B14" s="104"/>
      <c r="C14" s="106">
        <v>10</v>
      </c>
      <c r="D14" s="401" t="s">
        <v>554</v>
      </c>
      <c r="E14" s="105" t="str">
        <f t="shared" si="1"/>
        <v xml:space="preserve">Table 10: Rate of fetal deaths and infant deaths for each deprivation quintile of residence, by sex, ethnic group, maternal age group, gestational age and birthweight, 2016
</v>
      </c>
      <c r="F14" s="178"/>
    </row>
    <row r="15" spans="1:98" ht="38.25">
      <c r="A15" s="644" t="s">
        <v>2</v>
      </c>
      <c r="B15" s="642" t="s">
        <v>113</v>
      </c>
      <c r="C15" s="625">
        <v>11</v>
      </c>
      <c r="D15" s="643" t="s">
        <v>555</v>
      </c>
      <c r="E15" s="627" t="str">
        <f t="shared" si="1"/>
        <v xml:space="preserve">Table 11: Number of fetal deaths, infant deaths and live births for each gestational age, by sex, ethnic group, maternal age group, deprivation quintile of residence and birthweight, 2016
</v>
      </c>
      <c r="F15" s="178"/>
    </row>
    <row r="16" spans="1:98" ht="38.25">
      <c r="A16" s="640"/>
      <c r="B16" s="642"/>
      <c r="C16" s="625">
        <v>12</v>
      </c>
      <c r="D16" s="626" t="s">
        <v>556</v>
      </c>
      <c r="E16" s="627" t="str">
        <f t="shared" si="1"/>
        <v xml:space="preserve">Table 12: Rate of fetal deaths and infant deaths for each gestational age, by sex, ethnic group, maternal age group, deprivation quintile of residence and birthweight, 2016
</v>
      </c>
      <c r="F16" s="178"/>
    </row>
    <row r="17" spans="1:98" ht="38.25">
      <c r="A17" s="114" t="s">
        <v>1</v>
      </c>
      <c r="B17" s="104" t="s">
        <v>1</v>
      </c>
      <c r="C17" s="106">
        <v>13</v>
      </c>
      <c r="D17" s="401" t="s">
        <v>557</v>
      </c>
      <c r="E17" s="105" t="str">
        <f t="shared" si="1"/>
        <v xml:space="preserve">Table 13: Number of fetal deaths, infant deaths and live births, for each birthweight, by sex, ethnic group, maternal age group, deprivation quintile of residence and gestational age, 2016
</v>
      </c>
      <c r="F17" s="178"/>
    </row>
    <row r="18" spans="1:98" ht="38.25">
      <c r="A18" s="114"/>
      <c r="B18" s="104"/>
      <c r="C18" s="106">
        <v>14</v>
      </c>
      <c r="D18" s="401" t="s">
        <v>558</v>
      </c>
      <c r="E18" s="105" t="str">
        <f t="shared" si="1"/>
        <v xml:space="preserve">Table 14: Rate of fetal deaths and infant deaths for each birthweight, by sex, ethnic group, maternal age group, deprivation quintile of residence and gestational age, 2016
</v>
      </c>
      <c r="F18" s="178"/>
    </row>
    <row r="19" spans="1:98" ht="38.25">
      <c r="A19" s="640" t="s">
        <v>118</v>
      </c>
      <c r="B19" s="624" t="s">
        <v>125</v>
      </c>
      <c r="C19" s="625">
        <v>15</v>
      </c>
      <c r="D19" s="643" t="s">
        <v>559</v>
      </c>
      <c r="E19" s="627" t="str">
        <f t="shared" ref="E19:E25" si="2">"Table "&amp;C19&amp;": "&amp;D19</f>
        <v xml:space="preserve">Table 15: Number and rate of infant deaths, by age at death, sex, ethnic group, maternal age group, deprivation quintile of residence, gestational age and birthweight, 2016
</v>
      </c>
      <c r="F19" s="178"/>
    </row>
    <row r="20" spans="1:98" ht="25.5">
      <c r="A20" s="114" t="s">
        <v>270</v>
      </c>
      <c r="B20" s="104" t="s">
        <v>273</v>
      </c>
      <c r="C20" s="106">
        <v>16</v>
      </c>
      <c r="D20" s="699" t="s">
        <v>568</v>
      </c>
      <c r="E20" s="105" t="str">
        <f t="shared" si="2"/>
        <v xml:space="preserve">Table 16: Number, percentage and rate of fetal deaths by ICD chapter of underlying cause of death, 2012–2016
</v>
      </c>
      <c r="F20" s="178"/>
    </row>
    <row r="21" spans="1:98" s="102" customFormat="1" ht="25.5">
      <c r="A21" s="114"/>
      <c r="B21" s="104"/>
      <c r="C21" s="106">
        <v>17</v>
      </c>
      <c r="D21" s="699" t="s">
        <v>569</v>
      </c>
      <c r="E21" s="105" t="str">
        <f t="shared" si="2"/>
        <v xml:space="preserve">Table 17: Number, percentage and rate of infant deaths by ICD chapter of underlying cause of death, 2012–2016
</v>
      </c>
      <c r="F21" s="178"/>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row>
    <row r="22" spans="1:98" ht="38.25">
      <c r="A22" s="640" t="s">
        <v>271</v>
      </c>
      <c r="B22" s="642" t="s">
        <v>274</v>
      </c>
      <c r="C22" s="625">
        <v>18</v>
      </c>
      <c r="D22" s="643" t="s">
        <v>560</v>
      </c>
      <c r="E22" s="627" t="str">
        <f t="shared" si="2"/>
        <v xml:space="preserve">Table 18: Number of fetal and infant deaths for each ethnic group, by ICD chapter and 3-character-code of underlying cause of death, 2016
</v>
      </c>
      <c r="F22" s="178"/>
    </row>
    <row r="23" spans="1:98" ht="51">
      <c r="A23" s="647" t="s">
        <v>539</v>
      </c>
      <c r="B23" s="574" t="s">
        <v>482</v>
      </c>
      <c r="C23" s="106">
        <v>19</v>
      </c>
      <c r="D23" s="699" t="s">
        <v>581</v>
      </c>
      <c r="E23" s="105" t="str">
        <f>"Table "&amp;C23&amp;": "&amp;D23</f>
        <v xml:space="preserve">Table 19: Number of infant deaths classified as sudden infant death syndrome (SIDS) and sudden unexpected death in infancy (SUDI) in those aged &lt;1 year, by sex, ethnic group, maternal age group, deprivation quintile of residence, gestational age, birthweight and DHB of domicile during 2007−2016, and rates for the aggregate period 2012−2016
</v>
      </c>
    </row>
    <row r="24" spans="1:98" s="74" customFormat="1" ht="51">
      <c r="A24" s="641" t="s">
        <v>272</v>
      </c>
      <c r="B24" s="624" t="s">
        <v>202</v>
      </c>
      <c r="C24" s="625">
        <v>20</v>
      </c>
      <c r="D24" s="626" t="s">
        <v>561</v>
      </c>
      <c r="E24" s="627" t="str">
        <f t="shared" si="2"/>
        <v xml:space="preserve">Table 20: Number of infant deaths classified as sudden infant death syndrome (SIDS) and sudden unexpected death in infancy (SUDI) in those aged &lt;1 year, for each ethnic group, by sex, maternal age group, deprivation quintile of residence, gestational age, birthweight and DHB of domicile, 2016
</v>
      </c>
      <c r="F24" s="103"/>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row>
    <row r="25" spans="1:98" s="265" customFormat="1" ht="51">
      <c r="A25" s="641"/>
      <c r="B25" s="624"/>
      <c r="C25" s="625">
        <v>21</v>
      </c>
      <c r="D25" s="628" t="s">
        <v>576</v>
      </c>
      <c r="E25" s="627" t="str">
        <f t="shared" si="2"/>
        <v xml:space="preserve">Table 21: Number of infant deaths classified as sudden infant death syndrome (SIDS) and sudden unexpected death in infancy (SUDI) in those aged &lt;1 year, for each ethnic group, by sex, maternal age group, deprivation quintile of residence, gestational age, birthweight and DHB of domicile, 2012–2016
</v>
      </c>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c r="BZ25" s="103"/>
      <c r="CA25" s="103"/>
      <c r="CB25" s="103"/>
      <c r="CC25" s="103"/>
      <c r="CD25" s="103"/>
      <c r="CE25" s="103"/>
      <c r="CF25" s="103"/>
      <c r="CG25" s="103"/>
      <c r="CH25" s="103"/>
      <c r="CI25" s="103"/>
      <c r="CJ25" s="103"/>
      <c r="CK25" s="103"/>
      <c r="CL25" s="103"/>
      <c r="CM25" s="103"/>
      <c r="CN25" s="103"/>
      <c r="CO25" s="103"/>
      <c r="CP25" s="103"/>
      <c r="CQ25" s="103"/>
      <c r="CR25" s="103"/>
      <c r="CS25" s="103"/>
      <c r="CT25" s="103"/>
    </row>
    <row r="26" spans="1:98" s="102" customFormat="1" ht="25.5">
      <c r="A26" s="894" t="s">
        <v>294</v>
      </c>
      <c r="B26" s="255" t="s">
        <v>293</v>
      </c>
      <c r="C26" s="106">
        <v>1</v>
      </c>
      <c r="D26" s="401" t="s">
        <v>562</v>
      </c>
      <c r="E26" s="105" t="str">
        <f t="shared" ref="E26:E32" si="3">"Figure "&amp;C26&amp;": "&amp;D26</f>
        <v xml:space="preserve">Figure 1: Number and rate of fetal and infant deaths, 1996−2016
</v>
      </c>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103"/>
      <c r="CQ26" s="103"/>
      <c r="CR26" s="103"/>
      <c r="CS26" s="103"/>
      <c r="CT26" s="103"/>
    </row>
    <row r="27" spans="1:98" s="102" customFormat="1" ht="25.5">
      <c r="A27" s="894"/>
      <c r="B27" s="255"/>
      <c r="C27" s="106">
        <v>2</v>
      </c>
      <c r="D27" s="699" t="s">
        <v>577</v>
      </c>
      <c r="E27" s="105" t="str">
        <f t="shared" si="3"/>
        <v xml:space="preserve">Figure 2: Fetal and infant death rates by ethnic group, 2011−2015 and 2016
</v>
      </c>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c r="BV27" s="103"/>
      <c r="BW27" s="103"/>
      <c r="BX27" s="103"/>
      <c r="BY27" s="103"/>
      <c r="BZ27" s="103"/>
      <c r="CA27" s="103"/>
      <c r="CB27" s="103"/>
      <c r="CC27" s="103"/>
      <c r="CD27" s="103"/>
      <c r="CE27" s="103"/>
      <c r="CF27" s="103"/>
      <c r="CG27" s="103"/>
      <c r="CH27" s="103"/>
      <c r="CI27" s="103"/>
      <c r="CJ27" s="103"/>
      <c r="CK27" s="103"/>
      <c r="CL27" s="103"/>
      <c r="CM27" s="103"/>
      <c r="CN27" s="103"/>
      <c r="CO27" s="103"/>
      <c r="CP27" s="103"/>
      <c r="CQ27" s="103"/>
      <c r="CR27" s="103"/>
      <c r="CS27" s="103"/>
      <c r="CT27" s="103"/>
    </row>
    <row r="28" spans="1:98" s="102" customFormat="1" ht="25.5">
      <c r="A28" s="894"/>
      <c r="B28" s="255"/>
      <c r="C28" s="106">
        <v>3</v>
      </c>
      <c r="D28" s="699" t="s">
        <v>579</v>
      </c>
      <c r="E28" s="105" t="str">
        <f t="shared" si="3"/>
        <v xml:space="preserve">Figure 3: Fetal and infant death rates by maternal age group, 2011−2015 and 2016
</v>
      </c>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c r="BV28" s="103"/>
      <c r="BW28" s="103"/>
      <c r="BX28" s="103"/>
      <c r="BY28" s="103"/>
      <c r="BZ28" s="103"/>
      <c r="CA28" s="103"/>
      <c r="CB28" s="103"/>
      <c r="CC28" s="103"/>
      <c r="CD28" s="103"/>
      <c r="CE28" s="103"/>
      <c r="CF28" s="103"/>
      <c r="CG28" s="103"/>
      <c r="CH28" s="103"/>
      <c r="CI28" s="103"/>
      <c r="CJ28" s="103"/>
      <c r="CK28" s="103"/>
      <c r="CL28" s="103"/>
      <c r="CM28" s="103"/>
      <c r="CN28" s="103"/>
      <c r="CO28" s="103"/>
      <c r="CP28" s="103"/>
      <c r="CQ28" s="103"/>
      <c r="CR28" s="103"/>
      <c r="CS28" s="103"/>
      <c r="CT28" s="103"/>
    </row>
    <row r="29" spans="1:98" s="102" customFormat="1" ht="25.5">
      <c r="A29" s="894"/>
      <c r="B29" s="255"/>
      <c r="C29" s="106">
        <v>4</v>
      </c>
      <c r="D29" s="699" t="s">
        <v>578</v>
      </c>
      <c r="E29" s="105" t="str">
        <f t="shared" si="3"/>
        <v xml:space="preserve">Figure 4: Fetal and infant death rates by deprivation quintile of residence, 2011−2015 and 2016
</v>
      </c>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row>
    <row r="30" spans="1:98" s="102" customFormat="1" ht="29.25" customHeight="1">
      <c r="A30" s="894"/>
      <c r="B30" s="255"/>
      <c r="C30" s="106">
        <v>5</v>
      </c>
      <c r="D30" s="629" t="s">
        <v>563</v>
      </c>
      <c r="E30" s="105" t="str">
        <f t="shared" si="3"/>
        <v xml:space="preserve">Figure 5: Rates of sudden unexpected death in infancy (SUDI) and sudden infant death syndrome (SIDS) in those aged &lt;1 year, 2000−2016
</v>
      </c>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103"/>
      <c r="BX30" s="103"/>
      <c r="BY30" s="103"/>
      <c r="BZ30" s="103"/>
      <c r="CA30" s="103"/>
      <c r="CB30" s="103"/>
      <c r="CC30" s="103"/>
      <c r="CD30" s="103"/>
      <c r="CE30" s="103"/>
      <c r="CF30" s="103"/>
      <c r="CG30" s="103"/>
      <c r="CH30" s="103"/>
      <c r="CI30" s="103"/>
      <c r="CJ30" s="103"/>
      <c r="CK30" s="103"/>
      <c r="CL30" s="103"/>
      <c r="CM30" s="103"/>
      <c r="CN30" s="103"/>
      <c r="CO30" s="103"/>
      <c r="CP30" s="103"/>
      <c r="CQ30" s="103"/>
      <c r="CR30" s="103"/>
      <c r="CS30" s="103"/>
      <c r="CT30" s="103"/>
    </row>
    <row r="31" spans="1:98" s="102" customFormat="1" ht="28.5" customHeight="1">
      <c r="A31" s="894"/>
      <c r="B31" s="255"/>
      <c r="C31" s="106">
        <v>6</v>
      </c>
      <c r="D31" s="623" t="s">
        <v>570</v>
      </c>
      <c r="E31" s="105" t="str">
        <f t="shared" si="3"/>
        <v xml:space="preserve">Figure 6: Rates of sudden unexpected death in infancy (SUDI) and sudden infant death syndrome (SIDS) in those aged &lt;1 year, by ethnic group, 2012−2016
</v>
      </c>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c r="BV31" s="103"/>
      <c r="BW31" s="103"/>
      <c r="BX31" s="103"/>
      <c r="BY31" s="103"/>
      <c r="BZ31" s="103"/>
      <c r="CA31" s="103"/>
      <c r="CB31" s="103"/>
      <c r="CC31" s="103"/>
      <c r="CD31" s="103"/>
      <c r="CE31" s="103"/>
      <c r="CF31" s="103"/>
      <c r="CG31" s="103"/>
      <c r="CH31" s="103"/>
      <c r="CI31" s="103"/>
      <c r="CJ31" s="103"/>
      <c r="CK31" s="103"/>
      <c r="CL31" s="103"/>
      <c r="CM31" s="103"/>
      <c r="CN31" s="103"/>
      <c r="CO31" s="103"/>
      <c r="CP31" s="103"/>
      <c r="CQ31" s="103"/>
      <c r="CR31" s="103"/>
      <c r="CS31" s="103"/>
      <c r="CT31" s="103"/>
    </row>
    <row r="32" spans="1:98" s="279" customFormat="1" ht="30" customHeight="1">
      <c r="A32" s="894"/>
      <c r="B32" s="255"/>
      <c r="C32" s="106">
        <v>7</v>
      </c>
      <c r="D32" s="623" t="s">
        <v>571</v>
      </c>
      <c r="E32" s="105" t="str">
        <f t="shared" si="3"/>
        <v xml:space="preserve">Figure 7: Rates of sudden unexpected death in infancy (SUDI) and sudden infant death syndrome (SIDS) in those aged &lt;1 year, by maternal age group, 2012−2016
</v>
      </c>
      <c r="F32" s="103"/>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103"/>
      <c r="BW32" s="103"/>
      <c r="BX32" s="103"/>
      <c r="BY32" s="103"/>
      <c r="BZ32" s="103"/>
      <c r="CA32" s="103"/>
      <c r="CB32" s="103"/>
      <c r="CC32" s="103"/>
      <c r="CD32" s="103"/>
      <c r="CE32" s="103"/>
      <c r="CF32" s="103"/>
      <c r="CG32" s="103"/>
      <c r="CH32" s="103"/>
      <c r="CI32" s="103"/>
      <c r="CJ32" s="103"/>
      <c r="CK32" s="103"/>
      <c r="CL32" s="103"/>
      <c r="CM32" s="103"/>
      <c r="CN32" s="103"/>
      <c r="CO32" s="103"/>
      <c r="CP32" s="103"/>
      <c r="CQ32" s="103"/>
      <c r="CR32" s="103"/>
      <c r="CS32" s="103"/>
      <c r="CT32" s="103"/>
    </row>
    <row r="33" spans="1:98" s="102" customFormat="1" ht="38.25">
      <c r="A33" s="894"/>
      <c r="B33" s="255"/>
      <c r="C33" s="106">
        <v>8</v>
      </c>
      <c r="D33" s="623" t="s">
        <v>572</v>
      </c>
      <c r="E33" s="105" t="str">
        <f>"Figure "&amp;C33&amp;": "&amp;D33</f>
        <v xml:space="preserve">Figure 8: Rates of sudden unexpected death in infancy (SUDI) and sudden infant death syndrome (SIDS) in those aged &lt;1 year, by deprivation quintile of residence, 2012−2016
</v>
      </c>
      <c r="F33" s="103"/>
      <c r="G33" s="103"/>
      <c r="H33" s="103"/>
      <c r="I33" s="103"/>
      <c r="J33" s="103"/>
      <c r="K33" s="103"/>
      <c r="L33" s="103"/>
      <c r="M33" s="103"/>
      <c r="N33" s="103"/>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103"/>
      <c r="CE33" s="103"/>
      <c r="CF33" s="103"/>
      <c r="CG33" s="103"/>
      <c r="CH33" s="103"/>
      <c r="CI33" s="103"/>
      <c r="CJ33" s="103"/>
      <c r="CK33" s="103"/>
      <c r="CL33" s="103"/>
      <c r="CM33" s="103"/>
      <c r="CN33" s="103"/>
      <c r="CO33" s="103"/>
      <c r="CP33" s="103"/>
      <c r="CQ33" s="103"/>
      <c r="CR33" s="103"/>
      <c r="CS33" s="103"/>
      <c r="CT33" s="103"/>
    </row>
    <row r="34" spans="1:98" s="102" customFormat="1" ht="25.5">
      <c r="A34" s="895" t="s">
        <v>291</v>
      </c>
      <c r="B34" s="624" t="s">
        <v>292</v>
      </c>
      <c r="C34" s="625">
        <v>9</v>
      </c>
      <c r="D34" s="630" t="s">
        <v>564</v>
      </c>
      <c r="E34" s="627" t="str">
        <f>"Figure "&amp;C34&amp;": "&amp;D34</f>
        <v xml:space="preserve">Figure 9: Fetal death rate by DHB of domicile, 2016
</v>
      </c>
      <c r="F34" s="103"/>
      <c r="G34" s="103"/>
      <c r="H34" s="103"/>
      <c r="I34" s="103"/>
      <c r="J34" s="103"/>
      <c r="K34" s="103"/>
      <c r="L34" s="103"/>
      <c r="M34" s="103"/>
      <c r="N34" s="103"/>
      <c r="O34" s="103"/>
      <c r="P34" s="103"/>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3"/>
      <c r="CI34" s="103"/>
      <c r="CJ34" s="103"/>
      <c r="CK34" s="103"/>
      <c r="CL34" s="103"/>
      <c r="CM34" s="103"/>
      <c r="CN34" s="103"/>
      <c r="CO34" s="103"/>
      <c r="CP34" s="103"/>
      <c r="CQ34" s="103"/>
      <c r="CR34" s="103"/>
      <c r="CS34" s="103"/>
      <c r="CT34" s="103"/>
    </row>
    <row r="35" spans="1:98" s="102" customFormat="1" ht="25.5">
      <c r="A35" s="895"/>
      <c r="B35" s="624"/>
      <c r="C35" s="625">
        <v>10</v>
      </c>
      <c r="D35" s="630" t="s">
        <v>565</v>
      </c>
      <c r="E35" s="627" t="str">
        <f>"Figure "&amp;C35&amp;": "&amp;D35</f>
        <v xml:space="preserve">Figure 10: Infant death rate by DHB of domicile, 2016
</v>
      </c>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c r="CT35" s="103"/>
    </row>
    <row r="36" spans="1:98" s="102" customFormat="1" ht="25.5">
      <c r="A36" s="895"/>
      <c r="B36" s="624"/>
      <c r="C36" s="625">
        <v>11</v>
      </c>
      <c r="D36" s="628" t="s">
        <v>573</v>
      </c>
      <c r="E36" s="627" t="str">
        <f>"Figure "&amp;C36&amp;": "&amp;D36</f>
        <v xml:space="preserve">Figure 11: Rate of sudden infant death syndrome (SIDS) in those aged &lt;1 year, by DHB of domicile, 2012−2016
</v>
      </c>
      <c r="F36" s="103"/>
      <c r="G36" s="103"/>
      <c r="H36" s="103"/>
      <c r="I36" s="103"/>
      <c r="J36" s="103"/>
      <c r="K36" s="103"/>
      <c r="L36" s="103"/>
      <c r="M36" s="103"/>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103"/>
      <c r="CR36" s="103"/>
      <c r="CS36" s="103"/>
      <c r="CT36" s="103"/>
    </row>
    <row r="37" spans="1:98" s="102" customFormat="1" ht="25.5">
      <c r="A37" s="895"/>
      <c r="B37" s="624"/>
      <c r="C37" s="625">
        <v>12</v>
      </c>
      <c r="D37" s="628" t="s">
        <v>574</v>
      </c>
      <c r="E37" s="627" t="str">
        <f>"Figure "&amp;C37&amp;": "&amp;D37</f>
        <v xml:space="preserve">Figure 12: Rate of sudden unexpected death in infancy (SUDI) in those aged &lt;1 year, by DHB of domicile, 2012−2016
</v>
      </c>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c r="BO37" s="103"/>
      <c r="BP37" s="103"/>
      <c r="BQ37" s="103"/>
      <c r="BR37" s="103"/>
      <c r="BS37" s="103"/>
      <c r="BT37" s="103"/>
      <c r="BU37" s="103"/>
      <c r="BV37" s="103"/>
      <c r="BW37" s="103"/>
      <c r="BX37" s="103"/>
      <c r="BY37" s="103"/>
      <c r="BZ37" s="103"/>
      <c r="CA37" s="103"/>
      <c r="CB37" s="103"/>
      <c r="CC37" s="103"/>
      <c r="CD37" s="103"/>
      <c r="CE37" s="103"/>
      <c r="CF37" s="103"/>
      <c r="CG37" s="103"/>
      <c r="CH37" s="103"/>
      <c r="CI37" s="103"/>
      <c r="CJ37" s="103"/>
      <c r="CK37" s="103"/>
      <c r="CL37" s="103"/>
      <c r="CM37" s="103"/>
      <c r="CN37" s="103"/>
      <c r="CO37" s="103"/>
      <c r="CP37" s="103"/>
      <c r="CQ37" s="103"/>
      <c r="CR37" s="103"/>
      <c r="CS37" s="103"/>
      <c r="CT37" s="103"/>
    </row>
    <row r="38" spans="1:98" ht="38.25">
      <c r="A38" s="114" t="s">
        <v>142</v>
      </c>
      <c r="B38" s="255" t="s">
        <v>139</v>
      </c>
      <c r="C38" s="106">
        <v>22</v>
      </c>
      <c r="D38" s="658" t="s">
        <v>566</v>
      </c>
      <c r="E38" s="105" t="str">
        <f>"Table "&amp;C38&amp;": "&amp;D38</f>
        <v xml:space="preserve">Table 22: Number and rate of fetal deaths and infant deaths for selected DHB, by sex, ethnic group, maternal age group, deprivation quintile of residence, gestational age and birthweight, 2016
</v>
      </c>
      <c r="F38" s="178"/>
    </row>
    <row r="39" spans="1:98" s="122" customFormat="1" ht="38.25">
      <c r="A39" s="114"/>
      <c r="B39" s="255"/>
      <c r="C39" s="106">
        <v>13</v>
      </c>
      <c r="D39" s="495" t="s">
        <v>567</v>
      </c>
      <c r="E39" s="105" t="str">
        <f>"Figure "&amp;C39&amp;": "&amp;D39</f>
        <v xml:space="preserve">Figure 13: Rate of fetal and infant deaths for selected DHB, by ethnic group, maternal age group and deprivation quintile of residence, 2016
</v>
      </c>
      <c r="F39" s="178"/>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3"/>
      <c r="BX39" s="103"/>
      <c r="BY39" s="103"/>
      <c r="BZ39" s="103"/>
      <c r="CA39" s="103"/>
      <c r="CB39" s="103"/>
      <c r="CC39" s="103"/>
      <c r="CD39" s="103"/>
      <c r="CE39" s="103"/>
      <c r="CF39" s="103"/>
      <c r="CG39" s="103"/>
      <c r="CH39" s="103"/>
      <c r="CI39" s="103"/>
      <c r="CJ39" s="103"/>
      <c r="CK39" s="103"/>
      <c r="CL39" s="103"/>
      <c r="CM39" s="103"/>
      <c r="CN39" s="103"/>
      <c r="CO39" s="103"/>
      <c r="CP39" s="103"/>
      <c r="CQ39" s="103"/>
      <c r="CR39" s="103"/>
      <c r="CS39" s="103"/>
      <c r="CT39" s="103"/>
    </row>
    <row r="40" spans="1:98" ht="26.25">
      <c r="A40" s="640" t="s">
        <v>173</v>
      </c>
      <c r="B40" s="631" t="s">
        <v>177</v>
      </c>
      <c r="C40" s="632"/>
      <c r="D40" s="632"/>
      <c r="E40" s="633" t="s">
        <v>268</v>
      </c>
    </row>
    <row r="41" spans="1:98" s="478" customFormat="1" ht="23.25" customHeight="1">
      <c r="A41" s="640"/>
      <c r="B41" s="631"/>
      <c r="C41" s="625">
        <v>23</v>
      </c>
      <c r="D41" s="634" t="s">
        <v>575</v>
      </c>
      <c r="E41" s="627" t="str">
        <f>"Table "&amp;C41&amp;": "&amp;D41</f>
        <v>Table 23: Number of deaths registered in the year that occurred in a year prior, 2012−2016</v>
      </c>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c r="BV41" s="103"/>
      <c r="BW41" s="103"/>
      <c r="BX41" s="103"/>
      <c r="BY41" s="103"/>
      <c r="BZ41" s="103"/>
      <c r="CA41" s="103"/>
      <c r="CB41" s="103"/>
      <c r="CC41" s="103"/>
      <c r="CD41" s="103"/>
      <c r="CE41" s="103"/>
      <c r="CF41" s="103"/>
      <c r="CG41" s="103"/>
      <c r="CH41" s="103"/>
      <c r="CI41" s="103"/>
      <c r="CJ41" s="103"/>
      <c r="CK41" s="103"/>
      <c r="CL41" s="103"/>
      <c r="CM41" s="103"/>
      <c r="CN41" s="103"/>
      <c r="CO41" s="103"/>
      <c r="CP41" s="103"/>
      <c r="CQ41" s="103"/>
      <c r="CR41" s="103"/>
      <c r="CS41" s="103"/>
      <c r="CT41" s="103"/>
    </row>
    <row r="42" spans="1:98" s="122" customFormat="1" ht="26.25">
      <c r="A42" s="640"/>
      <c r="B42" s="631"/>
      <c r="C42" s="635"/>
      <c r="D42" s="635"/>
      <c r="E42" s="633" t="s">
        <v>312</v>
      </c>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103"/>
      <c r="BW42" s="103"/>
      <c r="BX42" s="103"/>
      <c r="BY42" s="103"/>
      <c r="BZ42" s="103"/>
      <c r="CA42" s="103"/>
      <c r="CB42" s="103"/>
      <c r="CC42" s="103"/>
      <c r="CD42" s="103"/>
      <c r="CE42" s="103"/>
      <c r="CF42" s="103"/>
      <c r="CG42" s="103"/>
      <c r="CH42" s="103"/>
      <c r="CI42" s="103"/>
      <c r="CJ42" s="103"/>
      <c r="CK42" s="103"/>
      <c r="CL42" s="103"/>
      <c r="CM42" s="103"/>
      <c r="CN42" s="103"/>
      <c r="CO42" s="103"/>
      <c r="CP42" s="103"/>
      <c r="CQ42" s="103"/>
      <c r="CR42" s="103"/>
      <c r="CS42" s="103"/>
      <c r="CT42" s="103"/>
    </row>
    <row r="43" spans="1:98" ht="26.25">
      <c r="A43" s="640"/>
      <c r="B43" s="631"/>
      <c r="C43" s="635"/>
      <c r="D43" s="635"/>
      <c r="E43" s="633" t="s">
        <v>311</v>
      </c>
    </row>
    <row r="44" spans="1:98" ht="26.25">
      <c r="A44" s="636" t="s">
        <v>115</v>
      </c>
      <c r="B44" s="637" t="s">
        <v>115</v>
      </c>
      <c r="C44" s="638"/>
      <c r="D44" s="638"/>
      <c r="E44" s="639" t="s">
        <v>310</v>
      </c>
    </row>
    <row r="45" spans="1:98">
      <c r="A45" s="107"/>
      <c r="B45" s="115"/>
      <c r="C45" s="37"/>
      <c r="D45" s="37"/>
      <c r="E45" s="116"/>
    </row>
    <row r="46" spans="1:98">
      <c r="A46" s="107"/>
      <c r="B46" s="107"/>
      <c r="C46" s="37"/>
      <c r="D46" s="37"/>
      <c r="E46" s="107"/>
    </row>
  </sheetData>
  <mergeCells count="2">
    <mergeCell ref="A26:A33"/>
    <mergeCell ref="A34:A37"/>
  </mergeCells>
  <hyperlinks>
    <hyperlink ref="B5" location="Overview!A1" display="Overview" xr:uid="{00000000-0004-0000-0100-000000000000}"/>
    <hyperlink ref="B20" location="CoDTrend!A1" display="CoDTrend" xr:uid="{00000000-0004-0000-0100-000001000000}"/>
    <hyperlink ref="B8" location="BirthsTrend!A1" display="BirthTrend" xr:uid="{00000000-0004-0000-0100-000002000000}"/>
    <hyperlink ref="B11" location="MatAge!A1" display="MatAge" xr:uid="{00000000-0004-0000-0100-000003000000}"/>
    <hyperlink ref="B9" location="Ethnic!A1" display="Ethnic" xr:uid="{00000000-0004-0000-0100-000004000000}"/>
    <hyperlink ref="B13" location="DepQuin!A1" display="DepQuin" xr:uid="{00000000-0004-0000-0100-000005000000}"/>
    <hyperlink ref="B15" location="Gestation!A1" display="Gestation" xr:uid="{00000000-0004-0000-0100-000006000000}"/>
    <hyperlink ref="B17" location="Birthweight!A1" display="Birthweight" xr:uid="{00000000-0004-0000-0100-000007000000}"/>
    <hyperlink ref="B19" location="AgeAtDth!A1" display="AgeAtDth" xr:uid="{00000000-0004-0000-0100-000008000000}"/>
    <hyperlink ref="B38" location="DHB!A1" display="DHB" xr:uid="{00000000-0004-0000-0100-000009000000}"/>
    <hyperlink ref="B44" location="Glossary!A1" display="Glossary" xr:uid="{00000000-0004-0000-0100-00000A000000}"/>
    <hyperlink ref="B40" location="About!A1" display="About" xr:uid="{00000000-0004-0000-0100-00000B000000}"/>
    <hyperlink ref="B24" location="SidsSudiEth!A1" display="SidsSudiEth" xr:uid="{00000000-0004-0000-0100-00000C000000}"/>
    <hyperlink ref="B22" location="CoDEth!A1" display="CoDEth" xr:uid="{00000000-0004-0000-0100-00000D000000}"/>
    <hyperlink ref="B4" location="KeyFindings!A1" display="KeyFindings" xr:uid="{00000000-0004-0000-0100-00000E000000}"/>
    <hyperlink ref="B34" location="GraphsDHB!A1" display="GraphsDHB" xr:uid="{00000000-0004-0000-0100-00000F000000}"/>
    <hyperlink ref="B26" location="GraphsNZ!A1" display="GraphsNZ" xr:uid="{00000000-0004-0000-0100-000010000000}"/>
    <hyperlink ref="B23" location="SidsSudiTrend!A1" display="SidsSudiTrend" xr:uid="{00000000-0004-0000-0100-000011000000}"/>
    <hyperlink ref="B6" location="DeathsTrend!A1" display="DeathTrends" xr:uid="{00000000-0004-0000-0100-000012000000}"/>
  </hyperlinks>
  <pageMargins left="0.70866141732283472" right="0.70866141732283472" top="0.74803149606299213" bottom="0.74803149606299213" header="0.31496062992125984" footer="0.31496062992125984"/>
  <pageSetup paperSize="9" scale="52" fitToHeight="2" orientation="portrait" r:id="rId1"/>
  <headerFooter>
    <oddFooter>&amp;L&amp;"Arial,Regular"&amp;8&amp;K01+018Fetal and Infant Deaths 2016&amp;R&amp;"Arial,Regular"&amp;8&amp;K01+017Page &amp;P of &amp;N</oddFooter>
  </headerFooter>
  <rowBreaks count="1" manualBreakCount="1">
    <brk id="27" max="4" man="1"/>
  </rowBreaks>
  <ignoredErrors>
    <ignoredError sqref="E38"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1">
    <pageSetUpPr fitToPage="1"/>
  </sheetPr>
  <dimension ref="A1:S101"/>
  <sheetViews>
    <sheetView showGridLines="0" zoomScaleNormal="100" workbookViewId="0">
      <pane ySplit="3" topLeftCell="A4" activePane="bottomLeft" state="frozen"/>
      <selection activeCell="A4" sqref="A4"/>
      <selection pane="bottomLeft" activeCell="A4" sqref="A4"/>
    </sheetView>
  </sheetViews>
  <sheetFormatPr defaultRowHeight="15"/>
  <cols>
    <col min="1" max="1" width="18.5703125" style="65" customWidth="1"/>
    <col min="2" max="5" width="8.7109375" style="65" customWidth="1"/>
    <col min="6" max="16384" width="9.140625" style="65"/>
  </cols>
  <sheetData>
    <row r="1" spans="1:18">
      <c r="A1" s="64" t="s">
        <v>158</v>
      </c>
      <c r="B1" s="64" t="s">
        <v>115</v>
      </c>
      <c r="C1" s="159" t="s">
        <v>173</v>
      </c>
      <c r="D1" s="162"/>
      <c r="E1" s="159" t="s">
        <v>353</v>
      </c>
      <c r="F1" s="64"/>
      <c r="G1" s="61"/>
    </row>
    <row r="2" spans="1:18" ht="9" customHeight="1">
      <c r="A2" s="64"/>
      <c r="B2" s="61"/>
      <c r="C2" s="66"/>
      <c r="D2" s="66"/>
      <c r="E2" s="66"/>
      <c r="F2" s="66"/>
    </row>
    <row r="3" spans="1:18" ht="20.25">
      <c r="A3" s="4" t="s">
        <v>173</v>
      </c>
      <c r="G3" s="69"/>
      <c r="M3" s="69"/>
    </row>
    <row r="5" spans="1:18">
      <c r="A5" s="10" t="s">
        <v>114</v>
      </c>
      <c r="B5" s="10"/>
      <c r="C5" s="10"/>
      <c r="D5" s="10"/>
      <c r="E5" s="10"/>
      <c r="F5" s="10"/>
      <c r="G5" s="10"/>
      <c r="H5" s="10"/>
      <c r="I5" s="10"/>
      <c r="J5" s="10"/>
      <c r="K5" s="10"/>
      <c r="L5" s="10"/>
      <c r="M5" s="10"/>
      <c r="N5" s="7"/>
      <c r="O5" s="7"/>
      <c r="P5" s="7"/>
      <c r="Q5" s="7"/>
      <c r="R5" s="7"/>
    </row>
    <row r="6" spans="1:18">
      <c r="A6" s="50" t="s">
        <v>358</v>
      </c>
      <c r="B6" s="50"/>
      <c r="C6" s="50"/>
      <c r="D6" s="50"/>
      <c r="E6" s="50"/>
      <c r="F6" s="50"/>
      <c r="G6" s="50"/>
      <c r="H6" s="50"/>
      <c r="I6" s="50"/>
      <c r="J6" s="50"/>
      <c r="K6" s="50"/>
      <c r="L6" s="50"/>
      <c r="M6" s="50"/>
      <c r="N6" s="7"/>
      <c r="O6" s="7"/>
      <c r="P6" s="7"/>
      <c r="Q6" s="7"/>
      <c r="R6" s="7"/>
    </row>
    <row r="7" spans="1:18" s="85" customFormat="1" ht="121.5" customHeight="1">
      <c r="A7" s="988" t="s">
        <v>664</v>
      </c>
      <c r="B7" s="988"/>
      <c r="C7" s="988"/>
      <c r="D7" s="988"/>
      <c r="E7" s="988"/>
      <c r="F7" s="988"/>
      <c r="G7" s="988"/>
      <c r="H7" s="988"/>
      <c r="I7" s="988"/>
      <c r="J7" s="988"/>
      <c r="K7" s="988"/>
      <c r="L7" s="988"/>
      <c r="M7" s="988"/>
      <c r="N7" s="57"/>
      <c r="O7" s="57"/>
      <c r="P7" s="57"/>
      <c r="Q7" s="57"/>
      <c r="R7" s="57"/>
    </row>
    <row r="8" spans="1:18" s="85" customFormat="1" ht="27" customHeight="1">
      <c r="A8" s="997" t="str">
        <f>Contents!E41</f>
        <v>Table 23: Number of deaths registered in the year that occurred in a year prior, 2012−2016</v>
      </c>
      <c r="B8" s="997"/>
      <c r="C8" s="997"/>
      <c r="D8" s="997"/>
      <c r="E8" s="997"/>
      <c r="F8" s="997"/>
      <c r="G8" s="239"/>
      <c r="H8" s="239"/>
      <c r="I8" s="239"/>
      <c r="J8" s="485"/>
      <c r="K8" s="485"/>
      <c r="L8" s="485"/>
      <c r="M8" s="485"/>
      <c r="N8" s="57"/>
      <c r="O8" s="57"/>
      <c r="P8" s="57"/>
      <c r="Q8" s="57"/>
      <c r="R8" s="57"/>
    </row>
    <row r="9" spans="1:18" s="85" customFormat="1">
      <c r="A9" s="489" t="s">
        <v>299</v>
      </c>
      <c r="B9" s="488">
        <v>2012</v>
      </c>
      <c r="C9" s="488">
        <v>2013</v>
      </c>
      <c r="D9" s="488">
        <v>2014</v>
      </c>
      <c r="E9" s="488">
        <v>2015</v>
      </c>
      <c r="F9" s="738">
        <v>2016</v>
      </c>
      <c r="G9" s="485"/>
      <c r="H9" s="485"/>
      <c r="I9" s="485"/>
      <c r="J9" s="485"/>
      <c r="K9" s="485"/>
      <c r="L9" s="485"/>
      <c r="M9" s="485"/>
      <c r="N9" s="57"/>
      <c r="O9" s="57"/>
      <c r="P9" s="57"/>
      <c r="Q9" s="57"/>
      <c r="R9" s="57"/>
    </row>
    <row r="10" spans="1:18" s="85" customFormat="1">
      <c r="A10" s="82" t="s">
        <v>47</v>
      </c>
      <c r="B10" s="82">
        <v>52</v>
      </c>
      <c r="C10" s="82">
        <v>46</v>
      </c>
      <c r="D10" s="82">
        <v>48</v>
      </c>
      <c r="E10" s="82">
        <v>23</v>
      </c>
      <c r="F10" s="743">
        <v>27</v>
      </c>
      <c r="G10" s="485"/>
      <c r="H10" s="485"/>
      <c r="I10" s="485"/>
      <c r="J10" s="485"/>
      <c r="K10" s="485"/>
      <c r="L10" s="485"/>
      <c r="M10" s="485"/>
      <c r="N10" s="57"/>
      <c r="O10" s="57"/>
      <c r="P10" s="57"/>
      <c r="Q10" s="57"/>
      <c r="R10" s="57"/>
    </row>
    <row r="11" spans="1:18" s="85" customFormat="1">
      <c r="A11" s="82" t="s">
        <v>48</v>
      </c>
      <c r="B11" s="82">
        <v>15</v>
      </c>
      <c r="C11" s="82">
        <v>10</v>
      </c>
      <c r="D11" s="82">
        <v>40</v>
      </c>
      <c r="E11" s="82">
        <v>23</v>
      </c>
      <c r="F11" s="739">
        <v>9</v>
      </c>
      <c r="G11" s="485"/>
      <c r="H11" s="485"/>
      <c r="I11" s="485"/>
      <c r="J11" s="485"/>
      <c r="K11" s="485"/>
      <c r="L11" s="485"/>
      <c r="M11" s="485"/>
      <c r="N11" s="57"/>
      <c r="O11" s="57"/>
      <c r="P11" s="57"/>
      <c r="Q11" s="57"/>
      <c r="R11" s="57"/>
    </row>
    <row r="12" spans="1:18" s="85" customFormat="1">
      <c r="A12" s="486"/>
      <c r="B12" s="486"/>
      <c r="C12" s="486"/>
      <c r="D12" s="486"/>
      <c r="E12" s="486"/>
      <c r="F12" s="486"/>
      <c r="G12" s="485"/>
      <c r="H12" s="485"/>
      <c r="I12" s="485"/>
      <c r="J12" s="485"/>
      <c r="K12" s="485"/>
      <c r="L12" s="485"/>
      <c r="M12" s="485"/>
      <c r="N12" s="57"/>
      <c r="O12" s="57"/>
      <c r="P12" s="57"/>
      <c r="Q12" s="57"/>
      <c r="R12" s="57"/>
    </row>
    <row r="13" spans="1:18" s="67" customFormat="1" ht="14.25">
      <c r="A13" s="50" t="s">
        <v>338</v>
      </c>
      <c r="B13" s="50"/>
      <c r="C13" s="50"/>
      <c r="D13" s="50"/>
      <c r="E13" s="50"/>
      <c r="F13" s="50"/>
      <c r="G13" s="50"/>
      <c r="H13" s="50"/>
      <c r="I13" s="50"/>
      <c r="J13" s="50"/>
      <c r="K13" s="50"/>
      <c r="L13" s="50"/>
      <c r="M13" s="50"/>
      <c r="N13" s="7"/>
      <c r="O13" s="7"/>
      <c r="P13" s="7"/>
      <c r="Q13" s="7"/>
      <c r="R13" s="7"/>
    </row>
    <row r="14" spans="1:18" s="68" customFormat="1" ht="210.75" customHeight="1">
      <c r="A14" s="989" t="s">
        <v>626</v>
      </c>
      <c r="B14" s="990"/>
      <c r="C14" s="990"/>
      <c r="D14" s="990"/>
      <c r="E14" s="990"/>
      <c r="F14" s="990"/>
      <c r="G14" s="990"/>
      <c r="H14" s="990"/>
      <c r="I14" s="990"/>
      <c r="J14" s="990"/>
      <c r="K14" s="990"/>
      <c r="L14" s="990"/>
      <c r="M14" s="990"/>
      <c r="N14" s="7"/>
      <c r="O14" s="7"/>
      <c r="P14" s="7"/>
      <c r="Q14" s="7"/>
      <c r="R14" s="7"/>
    </row>
    <row r="15" spans="1:18" s="2" customFormat="1" ht="20.25" customHeight="1">
      <c r="A15" s="174" t="s">
        <v>269</v>
      </c>
    </row>
    <row r="16" spans="1:18" s="68" customFormat="1" ht="14.25"/>
    <row r="17" spans="1:19" s="68" customFormat="1" ht="14.25">
      <c r="A17" s="70"/>
    </row>
    <row r="18" spans="1:19" s="68" customFormat="1" ht="14.25">
      <c r="A18" s="70"/>
    </row>
    <row r="19" spans="1:19" s="68" customFormat="1" ht="14.25">
      <c r="A19" s="10" t="s">
        <v>284</v>
      </c>
      <c r="B19" s="10"/>
      <c r="C19" s="10"/>
      <c r="D19" s="10"/>
      <c r="E19" s="10"/>
      <c r="F19" s="10"/>
      <c r="G19" s="10"/>
      <c r="H19" s="10"/>
      <c r="I19" s="10"/>
      <c r="J19" s="10"/>
      <c r="K19" s="10"/>
      <c r="L19" s="10"/>
      <c r="M19" s="10"/>
    </row>
    <row r="20" spans="1:19" s="68" customFormat="1" ht="14.25">
      <c r="A20" s="108" t="s">
        <v>285</v>
      </c>
      <c r="B20" s="108"/>
      <c r="C20" s="108"/>
      <c r="D20" s="108"/>
      <c r="E20" s="108"/>
      <c r="F20" s="108"/>
      <c r="G20" s="108"/>
      <c r="H20" s="108"/>
      <c r="I20" s="108"/>
      <c r="J20" s="108"/>
      <c r="K20" s="108"/>
      <c r="L20" s="108"/>
      <c r="M20" s="108"/>
    </row>
    <row r="21" spans="1:19" s="68" customFormat="1" ht="208.5" customHeight="1">
      <c r="A21" s="991" t="s">
        <v>663</v>
      </c>
      <c r="B21" s="992"/>
      <c r="C21" s="992"/>
      <c r="D21" s="992"/>
      <c r="E21" s="992"/>
      <c r="F21" s="992"/>
      <c r="G21" s="992"/>
      <c r="H21" s="992"/>
      <c r="I21" s="992"/>
      <c r="J21" s="992"/>
      <c r="K21" s="992"/>
      <c r="L21" s="992"/>
      <c r="M21" s="992"/>
    </row>
    <row r="22" spans="1:19" s="68" customFormat="1" ht="14.25">
      <c r="A22" s="108" t="s">
        <v>286</v>
      </c>
      <c r="B22" s="108"/>
      <c r="C22" s="108"/>
      <c r="D22" s="108"/>
      <c r="E22" s="108"/>
      <c r="F22" s="108"/>
      <c r="G22" s="108"/>
      <c r="H22" s="108"/>
      <c r="I22" s="108"/>
      <c r="J22" s="108"/>
      <c r="K22" s="108"/>
      <c r="L22" s="108"/>
      <c r="M22" s="108"/>
    </row>
    <row r="23" spans="1:19" s="68" customFormat="1" ht="62.25" customHeight="1">
      <c r="A23" s="993" t="s">
        <v>623</v>
      </c>
      <c r="B23" s="994"/>
      <c r="C23" s="994"/>
      <c r="D23" s="994"/>
      <c r="E23" s="994"/>
      <c r="F23" s="994"/>
      <c r="G23" s="994"/>
      <c r="H23" s="994"/>
      <c r="I23" s="994"/>
      <c r="J23" s="994"/>
      <c r="K23" s="994"/>
      <c r="L23" s="994"/>
      <c r="M23" s="994"/>
    </row>
    <row r="24" spans="1:19" s="68" customFormat="1" ht="40.5" customHeight="1">
      <c r="A24" s="995" t="s">
        <v>412</v>
      </c>
      <c r="B24" s="996"/>
      <c r="C24" s="996"/>
      <c r="D24" s="996"/>
      <c r="E24" s="996"/>
      <c r="F24" s="996"/>
      <c r="G24" s="996"/>
      <c r="H24" s="996"/>
      <c r="I24" s="996"/>
      <c r="J24" s="996"/>
      <c r="K24" s="996"/>
      <c r="L24" s="996"/>
      <c r="M24" s="996"/>
    </row>
    <row r="25" spans="1:19" s="68" customFormat="1" ht="14.25">
      <c r="A25" s="497" t="s">
        <v>413</v>
      </c>
    </row>
    <row r="26" spans="1:19" s="67" customFormat="1" ht="14.25"/>
    <row r="27" spans="1:19" s="68" customFormat="1" ht="14.25">
      <c r="A27" s="71" t="s">
        <v>178</v>
      </c>
      <c r="B27" s="10"/>
      <c r="C27" s="10"/>
      <c r="D27" s="10"/>
      <c r="E27" s="10"/>
      <c r="F27" s="10"/>
      <c r="G27" s="10"/>
      <c r="H27" s="10"/>
      <c r="I27" s="10"/>
      <c r="J27" s="10"/>
      <c r="K27" s="10"/>
      <c r="L27" s="10"/>
      <c r="M27" s="10"/>
      <c r="N27" s="7"/>
      <c r="O27" s="7"/>
      <c r="P27" s="7"/>
      <c r="Q27" s="7"/>
      <c r="R27" s="7"/>
      <c r="S27" s="7"/>
    </row>
    <row r="28" spans="1:19" s="68" customFormat="1" ht="14.25">
      <c r="A28" s="50" t="s">
        <v>174</v>
      </c>
      <c r="B28" s="50"/>
      <c r="C28" s="50"/>
      <c r="D28" s="50"/>
      <c r="E28" s="50"/>
      <c r="F28" s="50"/>
      <c r="G28" s="50"/>
      <c r="H28" s="50"/>
      <c r="I28" s="50"/>
      <c r="J28" s="50"/>
      <c r="K28" s="50"/>
      <c r="L28" s="50"/>
      <c r="M28" s="108"/>
      <c r="N28" s="7"/>
      <c r="O28" s="7"/>
      <c r="P28" s="7"/>
      <c r="Q28" s="7"/>
      <c r="R28" s="7"/>
      <c r="S28" s="7"/>
    </row>
    <row r="29" spans="1:19" s="68" customFormat="1">
      <c r="A29" s="5"/>
      <c r="B29" s="5"/>
      <c r="C29" s="5"/>
      <c r="D29" s="5"/>
      <c r="E29" s="5"/>
      <c r="F29" s="5"/>
      <c r="G29" s="5"/>
      <c r="H29" s="5"/>
      <c r="I29" s="5"/>
      <c r="J29" s="5"/>
      <c r="K29" s="5"/>
      <c r="L29" s="5"/>
      <c r="M29" s="7"/>
      <c r="N29" s="7"/>
      <c r="O29" s="7"/>
      <c r="P29" s="7"/>
      <c r="Q29" s="7"/>
      <c r="R29" s="7"/>
      <c r="S29" s="7"/>
    </row>
    <row r="30" spans="1:19" s="68" customFormat="1">
      <c r="A30" s="5"/>
      <c r="B30" s="5"/>
      <c r="C30" s="5"/>
      <c r="D30" s="5"/>
      <c r="E30" s="5"/>
      <c r="F30" s="5"/>
      <c r="G30" s="5"/>
      <c r="H30" s="5"/>
      <c r="I30" s="5"/>
      <c r="J30" s="5"/>
      <c r="K30" s="5"/>
      <c r="L30" s="5"/>
      <c r="M30" s="7"/>
      <c r="N30" s="7"/>
      <c r="O30" s="7"/>
      <c r="P30" s="7"/>
      <c r="Q30" s="7"/>
      <c r="R30" s="7"/>
      <c r="S30" s="7"/>
    </row>
    <row r="31" spans="1:19">
      <c r="A31" s="5"/>
      <c r="B31" s="5"/>
      <c r="C31" s="5"/>
      <c r="D31" s="5"/>
      <c r="E31" s="5"/>
      <c r="F31" s="5"/>
      <c r="G31" s="5"/>
      <c r="H31" s="5"/>
      <c r="I31" s="5"/>
      <c r="J31" s="5"/>
      <c r="K31" s="5"/>
      <c r="L31" s="5"/>
      <c r="M31" s="7"/>
      <c r="N31" s="7"/>
      <c r="O31" s="7"/>
      <c r="P31" s="7"/>
      <c r="Q31" s="7"/>
      <c r="R31" s="7"/>
      <c r="S31" s="7"/>
    </row>
    <row r="32" spans="1:19">
      <c r="A32" s="5"/>
      <c r="B32" s="5"/>
      <c r="C32" s="5"/>
      <c r="D32" s="5"/>
      <c r="E32" s="5"/>
      <c r="F32" s="5"/>
      <c r="G32" s="5"/>
      <c r="H32" s="5"/>
      <c r="I32" s="5"/>
      <c r="J32" s="5"/>
      <c r="K32" s="5"/>
      <c r="L32" s="5"/>
      <c r="M32" s="7"/>
      <c r="N32" s="7"/>
      <c r="O32" s="7"/>
      <c r="P32" s="7"/>
      <c r="Q32" s="7"/>
      <c r="R32" s="7"/>
      <c r="S32" s="7"/>
    </row>
    <row r="33" spans="1:19">
      <c r="A33" s="5"/>
      <c r="B33" s="5"/>
      <c r="C33" s="5"/>
      <c r="D33" s="5"/>
      <c r="E33" s="5"/>
      <c r="F33" s="5"/>
      <c r="G33" s="5"/>
      <c r="H33" s="5"/>
      <c r="I33" s="5"/>
      <c r="J33" s="5"/>
      <c r="K33" s="5"/>
      <c r="L33" s="5"/>
      <c r="M33" s="7"/>
      <c r="N33" s="7"/>
      <c r="O33" s="7"/>
      <c r="P33" s="7"/>
      <c r="Q33" s="7"/>
      <c r="R33" s="7"/>
      <c r="S33" s="7"/>
    </row>
    <row r="34" spans="1:19">
      <c r="A34" s="5"/>
      <c r="B34" s="5"/>
      <c r="C34" s="5"/>
      <c r="D34" s="5"/>
      <c r="E34" s="5"/>
      <c r="F34" s="5"/>
      <c r="G34" s="5"/>
      <c r="H34" s="5"/>
      <c r="I34" s="5"/>
      <c r="J34" s="5"/>
      <c r="K34" s="5"/>
      <c r="L34" s="5"/>
      <c r="M34" s="7"/>
      <c r="N34" s="7"/>
      <c r="O34" s="7"/>
      <c r="P34" s="7"/>
      <c r="Q34" s="7"/>
      <c r="R34" s="7"/>
      <c r="S34" s="7"/>
    </row>
    <row r="35" spans="1:19">
      <c r="A35" s="5"/>
      <c r="B35" s="5"/>
      <c r="C35" s="5"/>
      <c r="D35" s="5"/>
      <c r="E35" s="5"/>
      <c r="F35" s="5"/>
      <c r="G35" s="5"/>
      <c r="H35" s="5"/>
      <c r="I35" s="5"/>
      <c r="J35" s="5"/>
      <c r="K35" s="5"/>
      <c r="L35" s="5"/>
      <c r="M35" s="7"/>
      <c r="N35" s="7"/>
      <c r="O35" s="7"/>
      <c r="P35" s="7"/>
      <c r="Q35" s="7"/>
      <c r="R35" s="7"/>
      <c r="S35" s="7"/>
    </row>
    <row r="36" spans="1:19">
      <c r="A36" s="5"/>
      <c r="B36" s="5"/>
      <c r="C36" s="5"/>
      <c r="D36" s="5"/>
      <c r="E36" s="5"/>
      <c r="F36" s="5"/>
      <c r="G36" s="5"/>
      <c r="H36" s="5"/>
      <c r="I36" s="5"/>
      <c r="J36" s="5"/>
      <c r="K36" s="5"/>
      <c r="L36" s="5"/>
      <c r="M36" s="7"/>
      <c r="N36" s="7"/>
      <c r="O36" s="7"/>
      <c r="P36" s="7"/>
      <c r="Q36" s="7"/>
      <c r="R36" s="7"/>
      <c r="S36" s="7"/>
    </row>
    <row r="37" spans="1:19">
      <c r="A37" s="5"/>
      <c r="B37" s="5"/>
      <c r="C37" s="5"/>
      <c r="D37" s="5"/>
      <c r="E37" s="5"/>
      <c r="F37" s="5"/>
      <c r="G37" s="5"/>
      <c r="H37" s="5"/>
      <c r="I37" s="5"/>
      <c r="J37" s="5"/>
      <c r="K37" s="5"/>
      <c r="L37" s="5"/>
      <c r="M37" s="7"/>
      <c r="N37" s="7"/>
      <c r="O37" s="7"/>
      <c r="P37" s="7"/>
      <c r="Q37" s="7"/>
      <c r="R37" s="7"/>
      <c r="S37" s="7"/>
    </row>
    <row r="38" spans="1:19">
      <c r="A38" s="5"/>
      <c r="B38" s="5"/>
      <c r="C38" s="5"/>
      <c r="D38" s="5"/>
      <c r="E38" s="5"/>
      <c r="F38" s="5"/>
      <c r="G38" s="5"/>
      <c r="H38" s="5"/>
      <c r="I38" s="5"/>
      <c r="J38" s="5"/>
      <c r="K38" s="5"/>
      <c r="L38" s="5"/>
      <c r="M38" s="7"/>
      <c r="N38" s="7"/>
      <c r="O38" s="7"/>
      <c r="P38" s="7"/>
      <c r="Q38" s="7"/>
      <c r="R38" s="7"/>
      <c r="S38" s="7"/>
    </row>
    <row r="39" spans="1:19">
      <c r="A39" s="5"/>
      <c r="B39" s="5"/>
      <c r="C39" s="5"/>
      <c r="D39" s="5"/>
      <c r="E39" s="5"/>
      <c r="F39" s="5"/>
      <c r="G39" s="5"/>
      <c r="H39" s="5"/>
      <c r="I39" s="5"/>
      <c r="J39" s="5"/>
      <c r="K39" s="5"/>
      <c r="L39" s="5"/>
      <c r="M39" s="7"/>
      <c r="N39" s="7"/>
      <c r="O39" s="7"/>
      <c r="P39" s="7"/>
      <c r="Q39" s="7"/>
      <c r="R39" s="7"/>
      <c r="S39" s="7"/>
    </row>
    <row r="40" spans="1:19">
      <c r="A40" s="5"/>
      <c r="B40" s="5"/>
      <c r="C40" s="5"/>
      <c r="D40" s="5"/>
      <c r="E40" s="5"/>
      <c r="F40" s="5"/>
      <c r="G40" s="5"/>
      <c r="H40" s="5"/>
      <c r="I40" s="5"/>
      <c r="J40" s="5"/>
      <c r="K40" s="5"/>
      <c r="L40" s="5"/>
      <c r="M40" s="7"/>
      <c r="N40" s="7"/>
      <c r="O40" s="7"/>
      <c r="P40" s="7"/>
      <c r="Q40" s="7"/>
      <c r="R40" s="7"/>
      <c r="S40" s="7"/>
    </row>
    <row r="41" spans="1:19">
      <c r="A41" s="5"/>
      <c r="B41" s="5"/>
      <c r="C41" s="5"/>
      <c r="D41" s="5"/>
      <c r="E41" s="5"/>
      <c r="F41" s="5"/>
      <c r="G41" s="5"/>
      <c r="H41" s="5"/>
      <c r="I41" s="5"/>
      <c r="J41" s="5"/>
      <c r="K41" s="5"/>
      <c r="L41" s="5"/>
      <c r="M41" s="7"/>
      <c r="N41" s="7"/>
      <c r="O41" s="7"/>
      <c r="P41" s="7"/>
      <c r="Q41" s="7"/>
      <c r="R41" s="7"/>
      <c r="S41" s="7"/>
    </row>
    <row r="42" spans="1:19">
      <c r="A42" s="5"/>
      <c r="B42" s="5"/>
      <c r="C42" s="5"/>
      <c r="D42" s="5"/>
      <c r="E42" s="5"/>
      <c r="F42" s="5"/>
      <c r="G42" s="5"/>
      <c r="H42" s="5"/>
      <c r="I42" s="5"/>
      <c r="J42" s="5"/>
      <c r="K42" s="5"/>
      <c r="L42" s="5"/>
      <c r="M42" s="7"/>
      <c r="N42" s="7"/>
      <c r="O42" s="7"/>
      <c r="P42" s="7"/>
      <c r="Q42" s="7"/>
      <c r="R42" s="7"/>
      <c r="S42" s="7"/>
    </row>
    <row r="43" spans="1:19">
      <c r="A43" s="5"/>
      <c r="B43" s="5"/>
      <c r="C43" s="5"/>
      <c r="D43" s="5"/>
      <c r="E43" s="5"/>
      <c r="F43" s="5"/>
      <c r="G43" s="5"/>
      <c r="H43" s="5"/>
      <c r="I43" s="5"/>
      <c r="J43" s="5"/>
      <c r="K43" s="5"/>
      <c r="L43" s="5"/>
      <c r="M43" s="7"/>
      <c r="N43" s="7"/>
      <c r="O43" s="7"/>
      <c r="P43" s="7"/>
      <c r="Q43" s="7"/>
      <c r="R43" s="7"/>
      <c r="S43" s="7"/>
    </row>
    <row r="44" spans="1:19">
      <c r="A44" s="5"/>
      <c r="B44" s="5"/>
      <c r="C44" s="5"/>
      <c r="D44" s="5"/>
      <c r="E44" s="5"/>
      <c r="F44" s="5"/>
      <c r="G44" s="5"/>
      <c r="H44" s="5"/>
      <c r="I44" s="5"/>
      <c r="J44" s="5"/>
      <c r="K44" s="5"/>
      <c r="L44" s="5"/>
      <c r="M44" s="7"/>
      <c r="N44" s="7"/>
      <c r="O44" s="7"/>
      <c r="P44" s="7"/>
      <c r="Q44" s="7"/>
      <c r="R44" s="7"/>
      <c r="S44" s="7"/>
    </row>
    <row r="45" spans="1:19">
      <c r="A45" s="5"/>
      <c r="B45" s="5"/>
      <c r="C45" s="5"/>
      <c r="D45" s="5"/>
      <c r="E45" s="5"/>
      <c r="F45" s="5"/>
      <c r="G45" s="5"/>
      <c r="H45" s="5"/>
      <c r="I45" s="5"/>
      <c r="J45" s="5"/>
      <c r="K45" s="5"/>
      <c r="L45" s="5"/>
      <c r="M45" s="7"/>
      <c r="N45" s="7"/>
      <c r="O45" s="7"/>
      <c r="P45" s="7"/>
      <c r="Q45" s="7"/>
      <c r="R45" s="7"/>
      <c r="S45" s="7"/>
    </row>
    <row r="46" spans="1:19">
      <c r="M46" s="7"/>
      <c r="N46" s="7"/>
      <c r="O46" s="7"/>
      <c r="P46" s="7"/>
      <c r="Q46" s="7"/>
      <c r="R46" s="7"/>
      <c r="S46" s="7"/>
    </row>
    <row r="47" spans="1:19">
      <c r="A47" s="50" t="s">
        <v>175</v>
      </c>
      <c r="B47" s="50"/>
      <c r="C47" s="50"/>
      <c r="D47" s="50"/>
      <c r="E47" s="50"/>
      <c r="F47" s="50"/>
      <c r="G47" s="50"/>
      <c r="H47" s="50"/>
      <c r="I47" s="50"/>
      <c r="J47" s="50"/>
      <c r="K47" s="50"/>
      <c r="L47" s="50"/>
      <c r="M47" s="108"/>
      <c r="N47" s="7"/>
      <c r="O47" s="7"/>
      <c r="P47" s="7"/>
      <c r="Q47" s="7"/>
      <c r="R47" s="7"/>
      <c r="S47" s="7"/>
    </row>
    <row r="48" spans="1:19">
      <c r="M48" s="7"/>
      <c r="N48" s="7"/>
      <c r="O48" s="7"/>
      <c r="P48" s="7"/>
      <c r="Q48" s="7"/>
      <c r="R48" s="7"/>
      <c r="S48" s="7"/>
    </row>
    <row r="49" spans="13:19">
      <c r="M49" s="7"/>
      <c r="N49" s="7"/>
      <c r="O49" s="7"/>
      <c r="P49" s="7"/>
      <c r="Q49" s="7"/>
      <c r="R49" s="7"/>
      <c r="S49" s="7"/>
    </row>
    <row r="50" spans="13:19">
      <c r="M50" s="7"/>
      <c r="N50" s="7"/>
      <c r="O50" s="7"/>
      <c r="P50" s="7"/>
      <c r="Q50" s="7"/>
      <c r="R50" s="7"/>
      <c r="S50" s="7"/>
    </row>
    <row r="101" spans="1:13">
      <c r="A101" s="50" t="s">
        <v>176</v>
      </c>
      <c r="B101" s="50"/>
      <c r="C101" s="50"/>
      <c r="D101" s="50"/>
      <c r="E101" s="50"/>
      <c r="F101" s="50"/>
      <c r="G101" s="50"/>
      <c r="H101" s="50"/>
      <c r="I101" s="50"/>
      <c r="J101" s="50"/>
      <c r="K101" s="50"/>
      <c r="L101" s="50"/>
      <c r="M101" s="108"/>
    </row>
  </sheetData>
  <mergeCells count="6">
    <mergeCell ref="A7:M7"/>
    <mergeCell ref="A14:M14"/>
    <mergeCell ref="A21:M21"/>
    <mergeCell ref="A23:M23"/>
    <mergeCell ref="A24:M24"/>
    <mergeCell ref="A8:F8"/>
  </mergeCells>
  <hyperlinks>
    <hyperlink ref="B1" location="Glossary!A1" display="Glossary" xr:uid="{00000000-0004-0000-1300-000000000000}"/>
    <hyperlink ref="A1" location="Contents!A1" display="Table of contents" xr:uid="{00000000-0004-0000-1300-000001000000}"/>
    <hyperlink ref="C1" location="About!A1" display="About the publication" xr:uid="{00000000-0004-0000-1300-000002000000}"/>
    <hyperlink ref="E1" location="KeyFindings!A1" display="Key findings" xr:uid="{00000000-0004-0000-1300-000003000000}"/>
  </hyperlinks>
  <pageMargins left="0.70866141732283472" right="0.70866141732283472" top="0.74803149606299213" bottom="0.74803149606299213" header="0.31496062992125984" footer="0.31496062992125984"/>
  <pageSetup paperSize="9" scale="68" fitToHeight="0" orientation="portrait" r:id="rId1"/>
  <headerFooter>
    <oddFooter>&amp;L&amp;"Arial,Regular"&amp;8&amp;K01+019Fetal and Infant Deaths 2016&amp;R&amp;"Arial,Regular"&amp;8&amp;K01+018Page &amp;P of &amp;N</oddFooter>
  </headerFooter>
  <rowBreaks count="2" manualBreakCount="2">
    <brk id="26" max="12" man="1"/>
    <brk id="99" max="12" man="1"/>
  </rowBreaks>
  <ignoredErrors>
    <ignoredError sqref="A8" unlocked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pageSetUpPr fitToPage="1"/>
  </sheetPr>
  <dimension ref="A1:BQ146"/>
  <sheetViews>
    <sheetView showGridLines="0" zoomScaleNormal="100" workbookViewId="0">
      <pane ySplit="5" topLeftCell="A6" activePane="bottomLeft" state="frozen"/>
      <selection pane="bottomLeft" activeCell="A6" sqref="A6"/>
    </sheetView>
  </sheetViews>
  <sheetFormatPr defaultRowHeight="15"/>
  <cols>
    <col min="1" max="1" width="20.42578125" customWidth="1"/>
    <col min="2" max="2" width="126.42578125" customWidth="1"/>
    <col min="3" max="69" width="9.140625" style="103"/>
  </cols>
  <sheetData>
    <row r="1" spans="1:69" s="65" customFormat="1">
      <c r="A1" s="64" t="s">
        <v>158</v>
      </c>
      <c r="B1" s="659" t="s">
        <v>173</v>
      </c>
      <c r="C1" s="64"/>
      <c r="E1" s="66"/>
      <c r="F1" s="64"/>
      <c r="G1" s="89"/>
    </row>
    <row r="2" spans="1:69" s="65" customFormat="1" ht="9" customHeight="1">
      <c r="A2" s="64"/>
      <c r="B2" s="89"/>
      <c r="C2" s="66"/>
      <c r="D2" s="66"/>
      <c r="E2" s="66"/>
      <c r="F2" s="66"/>
    </row>
    <row r="3" spans="1:69" s="65" customFormat="1" ht="20.25">
      <c r="A3" s="76" t="s">
        <v>115</v>
      </c>
      <c r="G3" s="69"/>
      <c r="M3" s="69"/>
    </row>
    <row r="4" spans="1:69" s="7" customFormat="1" ht="12.75">
      <c r="A4" s="678"/>
      <c r="B4" s="6"/>
    </row>
    <row r="5" spans="1:69">
      <c r="A5" s="95" t="s">
        <v>25</v>
      </c>
      <c r="B5" s="95" t="s">
        <v>26</v>
      </c>
    </row>
    <row r="6" spans="1:69" ht="25.5">
      <c r="A6" s="177" t="s">
        <v>334</v>
      </c>
      <c r="B6" s="176" t="s">
        <v>357</v>
      </c>
    </row>
    <row r="7" spans="1:69" s="872" customFormat="1" ht="51.75" customHeight="1">
      <c r="A7" s="875"/>
      <c r="B7" s="176" t="s">
        <v>660</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row>
    <row r="8" spans="1:69" s="251" customFormat="1" ht="38.25">
      <c r="A8" s="94" t="s">
        <v>1</v>
      </c>
      <c r="B8" s="491" t="s">
        <v>400</v>
      </c>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row>
    <row r="9" spans="1:69" ht="63.75">
      <c r="A9" s="250" t="s">
        <v>3</v>
      </c>
      <c r="B9" s="741" t="s">
        <v>622</v>
      </c>
    </row>
    <row r="10" spans="1:69" s="102" customFormat="1" ht="89.25">
      <c r="A10" s="120" t="s">
        <v>287</v>
      </c>
      <c r="B10" s="96" t="s">
        <v>335</v>
      </c>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row>
    <row r="11" spans="1:69" ht="25.5">
      <c r="A11" s="175" t="s">
        <v>146</v>
      </c>
      <c r="B11" s="175" t="s">
        <v>147</v>
      </c>
    </row>
    <row r="12" spans="1:69" s="242" customFormat="1" ht="48.75" customHeight="1">
      <c r="A12" s="248" t="s">
        <v>325</v>
      </c>
      <c r="B12" s="663" t="s">
        <v>544</v>
      </c>
      <c r="C12" s="103"/>
      <c r="D12" s="103"/>
      <c r="E12" s="103"/>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row>
    <row r="13" spans="1:69" ht="78" customHeight="1">
      <c r="A13" s="175" t="s">
        <v>75</v>
      </c>
      <c r="B13" s="614" t="s">
        <v>527</v>
      </c>
    </row>
    <row r="14" spans="1:69" ht="48" customHeight="1">
      <c r="A14" s="248" t="s">
        <v>332</v>
      </c>
      <c r="B14" s="96" t="s">
        <v>217</v>
      </c>
    </row>
    <row r="15" spans="1:69" ht="78" customHeight="1">
      <c r="A15" s="175" t="s">
        <v>73</v>
      </c>
      <c r="B15" s="176" t="s">
        <v>545</v>
      </c>
    </row>
    <row r="16" spans="1:69" ht="150" customHeight="1">
      <c r="A16" s="94" t="s">
        <v>28</v>
      </c>
      <c r="B16" s="395" t="s">
        <v>411</v>
      </c>
    </row>
    <row r="17" spans="1:69" ht="63.75" customHeight="1">
      <c r="A17" s="175" t="s">
        <v>29</v>
      </c>
      <c r="B17" s="177" t="s">
        <v>211</v>
      </c>
    </row>
    <row r="18" spans="1:69" ht="54" customHeight="1">
      <c r="A18" s="455" t="s">
        <v>2</v>
      </c>
      <c r="B18" s="492" t="s">
        <v>409</v>
      </c>
    </row>
    <row r="19" spans="1:69" s="242" customFormat="1" ht="69.75" customHeight="1">
      <c r="A19" s="177" t="s">
        <v>326</v>
      </c>
      <c r="B19" s="746" t="s">
        <v>627</v>
      </c>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row>
    <row r="20" spans="1:69" ht="63.75">
      <c r="A20" s="94" t="s">
        <v>216</v>
      </c>
      <c r="B20" s="96" t="s">
        <v>407</v>
      </c>
    </row>
    <row r="21" spans="1:69" ht="60.75" customHeight="1">
      <c r="A21" s="175" t="s">
        <v>30</v>
      </c>
      <c r="B21" s="175" t="s">
        <v>212</v>
      </c>
    </row>
    <row r="22" spans="1:69" ht="25.5">
      <c r="A22" s="94" t="s">
        <v>205</v>
      </c>
      <c r="B22" s="96" t="s">
        <v>38</v>
      </c>
    </row>
    <row r="23" spans="1:69" ht="63.75">
      <c r="A23" s="175" t="s">
        <v>27</v>
      </c>
      <c r="B23" s="695" t="s">
        <v>336</v>
      </c>
    </row>
    <row r="24" spans="1:69" ht="50.25" customHeight="1">
      <c r="A24" s="94" t="s">
        <v>206</v>
      </c>
      <c r="B24" s="94" t="s">
        <v>218</v>
      </c>
    </row>
    <row r="25" spans="1:69" ht="61.5" customHeight="1">
      <c r="A25" s="175" t="s">
        <v>204</v>
      </c>
      <c r="B25" s="175" t="s">
        <v>207</v>
      </c>
    </row>
    <row r="26" spans="1:69" ht="50.25" customHeight="1">
      <c r="A26" s="94" t="s">
        <v>208</v>
      </c>
      <c r="B26" s="94" t="s">
        <v>219</v>
      </c>
    </row>
    <row r="27" spans="1:69" ht="63.75" customHeight="1">
      <c r="A27" s="175" t="s">
        <v>209</v>
      </c>
      <c r="B27" s="175" t="s">
        <v>210</v>
      </c>
    </row>
    <row r="28" spans="1:69" ht="25.5">
      <c r="A28" s="248" t="s">
        <v>333</v>
      </c>
      <c r="B28" s="96" t="s">
        <v>352</v>
      </c>
    </row>
    <row r="29" spans="1:69" ht="63" customHeight="1">
      <c r="A29" s="175" t="s">
        <v>214</v>
      </c>
      <c r="B29" s="177" t="s">
        <v>316</v>
      </c>
    </row>
    <row r="30" spans="1:69" ht="25.5">
      <c r="A30" s="120" t="s">
        <v>35</v>
      </c>
      <c r="B30" s="96" t="s">
        <v>39</v>
      </c>
    </row>
    <row r="31" spans="1:69" ht="25.5">
      <c r="A31" s="175" t="s">
        <v>32</v>
      </c>
      <c r="B31" s="175" t="s">
        <v>40</v>
      </c>
    </row>
    <row r="32" spans="1:69" ht="64.5" customHeight="1">
      <c r="A32" s="94" t="s">
        <v>31</v>
      </c>
      <c r="B32" s="94" t="s">
        <v>203</v>
      </c>
    </row>
    <row r="33" spans="1:69" ht="63.75">
      <c r="A33" s="175" t="s">
        <v>148</v>
      </c>
      <c r="B33" s="177" t="s">
        <v>361</v>
      </c>
    </row>
    <row r="34" spans="1:69" ht="38.25">
      <c r="A34" s="94" t="s">
        <v>0</v>
      </c>
      <c r="B34" s="494" t="s">
        <v>404</v>
      </c>
    </row>
    <row r="35" spans="1:69" ht="63.75">
      <c r="A35" s="175" t="s">
        <v>313</v>
      </c>
      <c r="B35" s="493" t="s">
        <v>403</v>
      </c>
    </row>
    <row r="36" spans="1:69" ht="25.5">
      <c r="A36" s="94" t="s">
        <v>33</v>
      </c>
      <c r="B36" s="94" t="s">
        <v>314</v>
      </c>
    </row>
    <row r="37" spans="1:69" ht="62.25" customHeight="1">
      <c r="A37" s="175" t="s">
        <v>34</v>
      </c>
      <c r="B37" s="175" t="s">
        <v>315</v>
      </c>
    </row>
    <row r="38" spans="1:69" ht="25.5">
      <c r="A38" s="120" t="s">
        <v>37</v>
      </c>
      <c r="B38" s="96" t="s">
        <v>39</v>
      </c>
    </row>
    <row r="39" spans="1:69" s="251" customFormat="1" ht="127.5">
      <c r="A39" s="177" t="s">
        <v>331</v>
      </c>
      <c r="B39" s="176" t="s">
        <v>374</v>
      </c>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row>
    <row r="40" spans="1:69" ht="26.25" customHeight="1">
      <c r="A40" s="94" t="s">
        <v>213</v>
      </c>
      <c r="B40" s="394" t="s">
        <v>371</v>
      </c>
    </row>
    <row r="41" spans="1:69" s="229" customFormat="1" ht="38.25">
      <c r="A41" s="177" t="s">
        <v>319</v>
      </c>
      <c r="B41" s="177" t="s">
        <v>337</v>
      </c>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row>
    <row r="42" spans="1:69" ht="25.5">
      <c r="A42" s="252" t="s">
        <v>36</v>
      </c>
      <c r="B42" s="253" t="s">
        <v>39</v>
      </c>
    </row>
    <row r="43" spans="1:69" s="103" customFormat="1"/>
    <row r="44" spans="1:69" s="103" customFormat="1"/>
    <row r="45" spans="1:69" s="103" customFormat="1"/>
    <row r="46" spans="1:69" s="103" customFormat="1"/>
    <row r="47" spans="1:69" s="103" customFormat="1"/>
    <row r="48" spans="1:69" s="103" customFormat="1"/>
    <row r="49" s="103" customFormat="1"/>
    <row r="50" s="103" customFormat="1"/>
    <row r="51" s="103" customFormat="1"/>
    <row r="52" s="103" customFormat="1"/>
    <row r="53" s="103" customFormat="1"/>
    <row r="54" s="103" customFormat="1"/>
    <row r="55" s="103" customFormat="1"/>
    <row r="56" s="103" customFormat="1"/>
    <row r="57" s="103" customFormat="1"/>
    <row r="58" s="103" customFormat="1"/>
    <row r="59" s="103" customFormat="1"/>
    <row r="60" s="103" customFormat="1"/>
    <row r="61" s="103" customFormat="1"/>
    <row r="62" s="103" customFormat="1"/>
    <row r="63" s="103" customFormat="1"/>
    <row r="64" s="103" customFormat="1"/>
    <row r="65" s="103" customFormat="1"/>
    <row r="66" s="103" customFormat="1"/>
    <row r="67" s="103" customFormat="1"/>
    <row r="68" s="103" customFormat="1"/>
    <row r="69" s="103" customFormat="1"/>
    <row r="70" s="103" customFormat="1"/>
    <row r="71" s="103" customFormat="1"/>
    <row r="72" s="103" customFormat="1"/>
    <row r="73" s="103" customFormat="1"/>
    <row r="74" s="103" customFormat="1"/>
    <row r="75" s="103" customFormat="1"/>
    <row r="76" s="103" customFormat="1"/>
    <row r="77" s="103" customFormat="1"/>
    <row r="78" s="103" customFormat="1"/>
    <row r="79" s="103" customFormat="1"/>
    <row r="80" s="103" customFormat="1"/>
    <row r="81" s="103" customFormat="1"/>
    <row r="82" s="103" customFormat="1"/>
    <row r="83" s="103" customFormat="1"/>
    <row r="84" s="103" customFormat="1"/>
    <row r="85" s="103" customFormat="1"/>
    <row r="86" s="103" customFormat="1"/>
    <row r="87" s="103" customFormat="1"/>
    <row r="88" s="103" customFormat="1"/>
    <row r="89" s="103" customFormat="1"/>
    <row r="90" s="103" customFormat="1"/>
    <row r="91" s="103" customFormat="1"/>
    <row r="92" s="103" customFormat="1"/>
    <row r="93" s="103" customFormat="1"/>
    <row r="94" s="103" customFormat="1"/>
    <row r="95" s="103" customFormat="1"/>
    <row r="96" s="103" customFormat="1"/>
    <row r="97" s="103" customFormat="1"/>
    <row r="98" s="103" customFormat="1"/>
    <row r="99" s="103" customFormat="1"/>
    <row r="100" s="103" customFormat="1"/>
    <row r="101" s="103" customFormat="1"/>
    <row r="102" s="103" customFormat="1"/>
    <row r="103" s="103" customFormat="1"/>
    <row r="104" s="103" customFormat="1"/>
    <row r="105" s="103" customFormat="1"/>
    <row r="106" s="103" customFormat="1"/>
    <row r="107" s="103" customFormat="1"/>
    <row r="108" s="103" customFormat="1"/>
    <row r="109" s="103" customFormat="1"/>
    <row r="110" s="103" customFormat="1"/>
    <row r="111" s="103" customFormat="1"/>
    <row r="112" s="103" customFormat="1"/>
    <row r="113" s="103" customFormat="1"/>
    <row r="114" s="103" customFormat="1"/>
    <row r="115" s="103" customFormat="1"/>
    <row r="116" s="103" customFormat="1"/>
    <row r="117" s="103" customFormat="1"/>
    <row r="118" s="103" customFormat="1"/>
    <row r="119" s="103" customFormat="1"/>
    <row r="120" s="103" customFormat="1"/>
    <row r="121" s="103" customFormat="1"/>
    <row r="122" s="103" customFormat="1"/>
    <row r="123" s="103" customFormat="1"/>
    <row r="124" s="103" customFormat="1"/>
    <row r="125" s="103" customFormat="1"/>
    <row r="126" s="103" customFormat="1"/>
    <row r="127" s="103" customFormat="1"/>
    <row r="128" s="103" customFormat="1"/>
    <row r="129" s="103" customFormat="1"/>
    <row r="130" s="103" customFormat="1"/>
    <row r="131" s="103" customFormat="1"/>
    <row r="132" s="103" customFormat="1"/>
    <row r="133" s="103" customFormat="1"/>
    <row r="134" s="103" customFormat="1"/>
    <row r="135" s="103" customFormat="1"/>
    <row r="136" s="103" customFormat="1"/>
    <row r="137" s="103" customFormat="1"/>
    <row r="138" s="103" customFormat="1"/>
    <row r="139" s="103" customFormat="1"/>
    <row r="140" s="103" customFormat="1"/>
    <row r="141" s="103" customFormat="1"/>
    <row r="142" s="103" customFormat="1"/>
    <row r="143" s="103" customFormat="1"/>
    <row r="144" s="103" customFormat="1"/>
    <row r="145" s="103" customFormat="1"/>
    <row r="146" s="103" customFormat="1"/>
  </sheetData>
  <hyperlinks>
    <hyperlink ref="B1" location="About!A1" display="About the publication" xr:uid="{00000000-0004-0000-1400-000000000000}"/>
    <hyperlink ref="A1" location="Contents!A1" display="Table of contents" xr:uid="{00000000-0004-0000-1400-000001000000}"/>
  </hyperlinks>
  <pageMargins left="0.70866141732283472" right="0.70866141732283472" top="0.74803149606299213" bottom="0.74803149606299213" header="0.31496062992125984" footer="0.31496062992125984"/>
  <pageSetup paperSize="9" scale="59" fitToHeight="0" orientation="portrait" r:id="rId1"/>
  <headerFooter>
    <oddFooter>&amp;L&amp;"Arial,Regular"&amp;8&amp;K01+019Fetal and Infant Deaths 2016&amp;R&amp;"Arial,Regular"&amp;8&amp;K01+018Page &amp;P of &amp;N</oddFooter>
  </headerFooter>
  <rowBreaks count="1" manualBreakCount="1">
    <brk id="25" max="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2B8CBE"/>
  </sheetPr>
  <dimension ref="A1:V33"/>
  <sheetViews>
    <sheetView view="pageBreakPreview" zoomScale="60" zoomScaleNormal="100" workbookViewId="0">
      <selection activeCell="J36" sqref="J36"/>
    </sheetView>
  </sheetViews>
  <sheetFormatPr defaultRowHeight="12.75"/>
  <cols>
    <col min="1" max="1" width="9.140625" style="511"/>
    <col min="2" max="2" width="23.7109375" style="511" bestFit="1" customWidth="1"/>
    <col min="3" max="3" width="17.7109375" style="511" bestFit="1" customWidth="1"/>
    <col min="4" max="4" width="17.7109375" style="511" customWidth="1"/>
    <col min="5" max="7" width="9.140625" style="511"/>
    <col min="8" max="8" width="16.5703125" style="511" bestFit="1" customWidth="1"/>
    <col min="9" max="10" width="12.85546875" style="511" customWidth="1"/>
    <col min="11" max="11" width="9.140625" style="511"/>
    <col min="12" max="12" width="23.5703125" style="511" bestFit="1" customWidth="1"/>
    <col min="13" max="13" width="15" style="511" customWidth="1"/>
    <col min="14" max="14" width="9.140625" style="511"/>
    <col min="15" max="15" width="17.5703125" style="511" bestFit="1" customWidth="1"/>
    <col min="16" max="16" width="17.5703125" style="511" customWidth="1"/>
    <col min="17" max="17" width="9.140625" style="511"/>
    <col min="18" max="18" width="25.140625" style="511" bestFit="1" customWidth="1"/>
    <col min="19" max="19" width="12.140625" style="511" customWidth="1"/>
    <col min="20" max="20" width="9.140625" style="511"/>
    <col min="21" max="21" width="16.85546875" style="511" bestFit="1" customWidth="1"/>
    <col min="22" max="22" width="16.85546875" style="511" customWidth="1"/>
    <col min="23" max="16384" width="9.140625" style="511"/>
  </cols>
  <sheetData>
    <row r="1" spans="1:22" s="510" customFormat="1">
      <c r="A1" s="510" t="s">
        <v>199</v>
      </c>
      <c r="B1" s="510" t="s">
        <v>179</v>
      </c>
      <c r="C1" s="510" t="s">
        <v>139</v>
      </c>
      <c r="D1" s="510" t="s">
        <v>139</v>
      </c>
      <c r="E1" s="510" t="s">
        <v>140</v>
      </c>
      <c r="H1" s="513" t="s">
        <v>439</v>
      </c>
      <c r="I1" s="514" t="s">
        <v>440</v>
      </c>
      <c r="J1" s="514" t="s">
        <v>441</v>
      </c>
      <c r="L1" s="510" t="s">
        <v>69</v>
      </c>
      <c r="O1" s="510" t="s">
        <v>73</v>
      </c>
      <c r="R1" s="510" t="s">
        <v>152</v>
      </c>
      <c r="U1" s="510" t="s">
        <v>82</v>
      </c>
    </row>
    <row r="2" spans="1:22">
      <c r="A2" s="511">
        <v>1</v>
      </c>
      <c r="B2" s="511" t="s">
        <v>180</v>
      </c>
      <c r="C2" s="511" t="s">
        <v>85</v>
      </c>
      <c r="D2" s="511" t="s">
        <v>85</v>
      </c>
      <c r="E2" s="511">
        <v>5</v>
      </c>
      <c r="H2" s="508" t="s">
        <v>47</v>
      </c>
      <c r="I2" s="514">
        <v>1</v>
      </c>
      <c r="J2" s="514" t="s">
        <v>420</v>
      </c>
      <c r="L2" s="511" t="s">
        <v>70</v>
      </c>
      <c r="N2" s="511">
        <v>1</v>
      </c>
      <c r="O2" s="511" t="s">
        <v>74</v>
      </c>
      <c r="P2" s="530" t="s">
        <v>129</v>
      </c>
      <c r="R2" s="511" t="s">
        <v>339</v>
      </c>
      <c r="S2" s="511" t="s">
        <v>339</v>
      </c>
      <c r="U2" s="511" t="s">
        <v>83</v>
      </c>
      <c r="V2" s="511" t="s">
        <v>421</v>
      </c>
    </row>
    <row r="3" spans="1:22">
      <c r="A3" s="511">
        <v>2</v>
      </c>
      <c r="B3" s="511" t="s">
        <v>181</v>
      </c>
      <c r="C3" s="511" t="s">
        <v>86</v>
      </c>
      <c r="D3" s="511" t="s">
        <v>86</v>
      </c>
      <c r="E3" s="511">
        <v>6</v>
      </c>
      <c r="H3" s="508" t="s">
        <v>43</v>
      </c>
      <c r="I3" s="514">
        <v>2</v>
      </c>
      <c r="J3" s="514" t="s">
        <v>436</v>
      </c>
      <c r="L3" s="511" t="s">
        <v>71</v>
      </c>
      <c r="N3" s="511">
        <v>2</v>
      </c>
      <c r="O3" s="511" t="s">
        <v>320</v>
      </c>
      <c r="P3" s="511" t="s">
        <v>320</v>
      </c>
      <c r="R3" s="511" t="s">
        <v>77</v>
      </c>
      <c r="S3" s="511" t="s">
        <v>130</v>
      </c>
      <c r="U3" s="511">
        <v>2</v>
      </c>
      <c r="V3" s="511" t="s">
        <v>422</v>
      </c>
    </row>
    <row r="4" spans="1:22">
      <c r="A4" s="511">
        <v>3</v>
      </c>
      <c r="B4" s="511" t="s">
        <v>182</v>
      </c>
      <c r="C4" s="511" t="s">
        <v>87</v>
      </c>
      <c r="D4" s="511" t="s">
        <v>87</v>
      </c>
      <c r="E4" s="511">
        <v>7</v>
      </c>
      <c r="H4" s="509" t="s">
        <v>49</v>
      </c>
      <c r="I4" s="514">
        <v>3</v>
      </c>
      <c r="J4" s="514" t="s">
        <v>434</v>
      </c>
      <c r="L4" s="511" t="s">
        <v>72</v>
      </c>
      <c r="N4" s="511">
        <v>3</v>
      </c>
      <c r="O4" s="511" t="s">
        <v>355</v>
      </c>
      <c r="P4" s="511" t="s">
        <v>355</v>
      </c>
      <c r="R4" s="511" t="s">
        <v>78</v>
      </c>
      <c r="S4" s="511" t="s">
        <v>131</v>
      </c>
      <c r="U4" s="511">
        <v>3</v>
      </c>
      <c r="V4" s="511" t="s">
        <v>423</v>
      </c>
    </row>
    <row r="5" spans="1:22">
      <c r="A5" s="511">
        <v>4</v>
      </c>
      <c r="B5" s="511" t="s">
        <v>183</v>
      </c>
      <c r="C5" s="511" t="s">
        <v>88</v>
      </c>
      <c r="D5" s="511" t="s">
        <v>88</v>
      </c>
      <c r="E5" s="511">
        <v>8</v>
      </c>
      <c r="H5" s="509" t="s">
        <v>50</v>
      </c>
      <c r="I5" s="514">
        <v>4</v>
      </c>
      <c r="J5" s="514" t="s">
        <v>435</v>
      </c>
      <c r="N5" s="511">
        <v>4</v>
      </c>
      <c r="O5" s="511" t="s">
        <v>356</v>
      </c>
      <c r="P5" s="511" t="s">
        <v>356</v>
      </c>
      <c r="R5" s="511" t="s">
        <v>79</v>
      </c>
      <c r="S5" s="511" t="s">
        <v>132</v>
      </c>
      <c r="U5" s="511">
        <v>4</v>
      </c>
      <c r="V5" s="511" t="s">
        <v>424</v>
      </c>
    </row>
    <row r="6" spans="1:22">
      <c r="A6" s="511">
        <v>5</v>
      </c>
      <c r="B6" s="511" t="s">
        <v>184</v>
      </c>
      <c r="C6" s="511" t="s">
        <v>89</v>
      </c>
      <c r="D6" s="511" t="s">
        <v>89</v>
      </c>
      <c r="E6" s="511">
        <v>9</v>
      </c>
      <c r="H6" s="509" t="s">
        <v>48</v>
      </c>
      <c r="I6" s="514">
        <v>5</v>
      </c>
      <c r="J6" s="514" t="s">
        <v>437</v>
      </c>
      <c r="N6" s="511">
        <v>5</v>
      </c>
      <c r="O6" s="530" t="s">
        <v>44</v>
      </c>
      <c r="P6" s="511" t="s">
        <v>44</v>
      </c>
      <c r="R6" s="511" t="s">
        <v>80</v>
      </c>
      <c r="S6" s="511" t="s">
        <v>133</v>
      </c>
      <c r="U6" s="511" t="s">
        <v>84</v>
      </c>
      <c r="V6" s="511" t="s">
        <v>425</v>
      </c>
    </row>
    <row r="7" spans="1:22">
      <c r="A7" s="511">
        <v>6</v>
      </c>
      <c r="B7" s="511" t="s">
        <v>185</v>
      </c>
      <c r="C7" s="511" t="s">
        <v>90</v>
      </c>
      <c r="D7" s="511" t="s">
        <v>90</v>
      </c>
      <c r="E7" s="511">
        <v>10</v>
      </c>
      <c r="R7" s="511" t="s">
        <v>81</v>
      </c>
      <c r="S7" s="511" t="s">
        <v>134</v>
      </c>
      <c r="U7" s="511" t="s">
        <v>63</v>
      </c>
      <c r="V7" s="511" t="s">
        <v>426</v>
      </c>
    </row>
    <row r="8" spans="1:22">
      <c r="A8" s="511">
        <v>7</v>
      </c>
      <c r="B8" s="511" t="s">
        <v>186</v>
      </c>
      <c r="C8" s="511" t="s">
        <v>91</v>
      </c>
      <c r="D8" s="511" t="s">
        <v>91</v>
      </c>
      <c r="E8" s="511">
        <v>11</v>
      </c>
      <c r="R8" s="511" t="s">
        <v>63</v>
      </c>
      <c r="S8" s="511" t="s">
        <v>63</v>
      </c>
    </row>
    <row r="9" spans="1:22">
      <c r="A9" s="511">
        <v>8</v>
      </c>
      <c r="B9" s="511" t="s">
        <v>367</v>
      </c>
      <c r="C9" s="511" t="s">
        <v>366</v>
      </c>
      <c r="D9" s="511" t="s">
        <v>433</v>
      </c>
      <c r="E9" s="511">
        <v>12</v>
      </c>
    </row>
    <row r="10" spans="1:22">
      <c r="A10" s="511">
        <v>9</v>
      </c>
      <c r="B10" s="511" t="s">
        <v>187</v>
      </c>
      <c r="C10" s="511" t="s">
        <v>92</v>
      </c>
      <c r="D10" s="511" t="s">
        <v>92</v>
      </c>
      <c r="E10" s="511">
        <v>13</v>
      </c>
      <c r="H10" s="530" t="s">
        <v>452</v>
      </c>
      <c r="I10" s="530" t="s">
        <v>457</v>
      </c>
      <c r="J10" s="530" t="s">
        <v>441</v>
      </c>
    </row>
    <row r="11" spans="1:22">
      <c r="A11" s="511">
        <v>10</v>
      </c>
      <c r="B11" s="511" t="s">
        <v>188</v>
      </c>
      <c r="C11" s="511" t="s">
        <v>93</v>
      </c>
      <c r="D11" s="511" t="s">
        <v>93</v>
      </c>
      <c r="E11" s="511">
        <v>14</v>
      </c>
      <c r="G11" s="511">
        <v>1</v>
      </c>
      <c r="H11" s="530" t="s">
        <v>459</v>
      </c>
      <c r="I11" s="530" t="s">
        <v>453</v>
      </c>
      <c r="J11" s="530"/>
    </row>
    <row r="12" spans="1:22">
      <c r="A12" s="511">
        <v>11</v>
      </c>
      <c r="B12" s="511" t="s">
        <v>189</v>
      </c>
      <c r="C12" s="511" t="s">
        <v>94</v>
      </c>
      <c r="D12" s="511" t="s">
        <v>94</v>
      </c>
      <c r="E12" s="511">
        <v>15</v>
      </c>
      <c r="G12" s="511">
        <v>2</v>
      </c>
      <c r="H12" s="530" t="s">
        <v>73</v>
      </c>
      <c r="I12" s="530" t="s">
        <v>449</v>
      </c>
      <c r="J12" s="530"/>
    </row>
    <row r="13" spans="1:22">
      <c r="A13" s="511">
        <v>12</v>
      </c>
      <c r="B13" s="511" t="s">
        <v>190</v>
      </c>
      <c r="C13" s="511" t="s">
        <v>95</v>
      </c>
      <c r="D13" s="511" t="s">
        <v>95</v>
      </c>
      <c r="E13" s="511">
        <v>16</v>
      </c>
      <c r="G13" s="511">
        <v>3</v>
      </c>
      <c r="H13" s="530" t="s">
        <v>75</v>
      </c>
      <c r="I13" s="530" t="s">
        <v>454</v>
      </c>
      <c r="J13" s="530"/>
      <c r="R13" s="510" t="s">
        <v>1</v>
      </c>
      <c r="U13" s="510" t="s">
        <v>105</v>
      </c>
    </row>
    <row r="14" spans="1:22">
      <c r="A14" s="511">
        <v>13</v>
      </c>
      <c r="B14" s="511" t="s">
        <v>191</v>
      </c>
      <c r="C14" s="511" t="s">
        <v>96</v>
      </c>
      <c r="D14" s="511" t="s">
        <v>96</v>
      </c>
      <c r="E14" s="511">
        <v>17</v>
      </c>
      <c r="G14" s="511">
        <v>4</v>
      </c>
      <c r="H14" s="530" t="s">
        <v>1</v>
      </c>
      <c r="I14" s="530" t="s">
        <v>447</v>
      </c>
      <c r="J14" s="530"/>
      <c r="N14" s="510"/>
      <c r="R14" s="511" t="s">
        <v>378</v>
      </c>
      <c r="S14" s="511" t="s">
        <v>427</v>
      </c>
      <c r="U14" s="511" t="s">
        <v>375</v>
      </c>
      <c r="V14" s="511" t="s">
        <v>375</v>
      </c>
    </row>
    <row r="15" spans="1:22">
      <c r="A15" s="511">
        <v>14</v>
      </c>
      <c r="B15" s="511" t="s">
        <v>192</v>
      </c>
      <c r="C15" s="511" t="s">
        <v>97</v>
      </c>
      <c r="D15" s="511" t="s">
        <v>97</v>
      </c>
      <c r="E15" s="511">
        <v>18</v>
      </c>
      <c r="G15" s="511">
        <v>5</v>
      </c>
      <c r="H15" s="530" t="s">
        <v>113</v>
      </c>
      <c r="I15" s="530" t="s">
        <v>450</v>
      </c>
      <c r="J15" s="530"/>
      <c r="R15" s="511" t="s">
        <v>377</v>
      </c>
      <c r="S15" s="511" t="s">
        <v>428</v>
      </c>
      <c r="U15" s="511" t="s">
        <v>376</v>
      </c>
      <c r="V15" s="511" t="s">
        <v>395</v>
      </c>
    </row>
    <row r="16" spans="1:22">
      <c r="A16" s="511">
        <v>15</v>
      </c>
      <c r="B16" s="511" t="s">
        <v>193</v>
      </c>
      <c r="C16" s="511" t="s">
        <v>98</v>
      </c>
      <c r="D16" s="511" t="s">
        <v>98</v>
      </c>
      <c r="E16" s="511">
        <v>19</v>
      </c>
      <c r="H16" s="530"/>
      <c r="R16" s="511" t="s">
        <v>380</v>
      </c>
      <c r="S16" s="511" t="s">
        <v>429</v>
      </c>
      <c r="U16" s="511" t="s">
        <v>64</v>
      </c>
      <c r="V16" s="511" t="s">
        <v>136</v>
      </c>
    </row>
    <row r="17" spans="1:22">
      <c r="A17" s="511">
        <v>16</v>
      </c>
      <c r="B17" s="511" t="s">
        <v>194</v>
      </c>
      <c r="C17" s="511" t="s">
        <v>99</v>
      </c>
      <c r="D17" s="511" t="s">
        <v>99</v>
      </c>
      <c r="E17" s="511">
        <v>20</v>
      </c>
      <c r="R17" s="511" t="s">
        <v>381</v>
      </c>
      <c r="S17" s="511" t="s">
        <v>430</v>
      </c>
      <c r="U17" s="511" t="s">
        <v>65</v>
      </c>
      <c r="V17" s="511" t="s">
        <v>137</v>
      </c>
    </row>
    <row r="18" spans="1:22" ht="15">
      <c r="A18" s="511">
        <v>17</v>
      </c>
      <c r="B18" s="511" t="s">
        <v>195</v>
      </c>
      <c r="C18" s="511" t="s">
        <v>100</v>
      </c>
      <c r="D18" s="511" t="s">
        <v>100</v>
      </c>
      <c r="E18" s="511">
        <v>21</v>
      </c>
      <c r="H18" s="551" t="s">
        <v>473</v>
      </c>
      <c r="I18" s="551" t="s">
        <v>474</v>
      </c>
      <c r="L18" s="528"/>
      <c r="M18" s="528"/>
      <c r="R18" s="511" t="s">
        <v>382</v>
      </c>
      <c r="S18" s="511" t="s">
        <v>431</v>
      </c>
      <c r="U18" s="511" t="s">
        <v>66</v>
      </c>
      <c r="V18" s="511" t="s">
        <v>138</v>
      </c>
    </row>
    <row r="19" spans="1:22" ht="15">
      <c r="A19" s="511">
        <v>18</v>
      </c>
      <c r="B19" s="511" t="s">
        <v>196</v>
      </c>
      <c r="C19" s="511" t="s">
        <v>101</v>
      </c>
      <c r="D19" s="511" t="s">
        <v>101</v>
      </c>
      <c r="E19" s="511">
        <v>22</v>
      </c>
      <c r="H19" s="551" t="s">
        <v>32</v>
      </c>
      <c r="I19" s="511">
        <v>1</v>
      </c>
      <c r="L19" s="528"/>
      <c r="M19" s="528"/>
      <c r="R19" s="511" t="s">
        <v>383</v>
      </c>
      <c r="S19" s="511" t="s">
        <v>432</v>
      </c>
      <c r="U19" s="511" t="s">
        <v>63</v>
      </c>
      <c r="V19" s="511" t="s">
        <v>63</v>
      </c>
    </row>
    <row r="20" spans="1:22" ht="15">
      <c r="A20" s="511">
        <v>19</v>
      </c>
      <c r="B20" s="511" t="s">
        <v>197</v>
      </c>
      <c r="C20" s="511" t="s">
        <v>102</v>
      </c>
      <c r="D20" s="511" t="s">
        <v>102</v>
      </c>
      <c r="E20" s="511">
        <v>23</v>
      </c>
      <c r="H20" s="551" t="s">
        <v>33</v>
      </c>
      <c r="I20" s="511">
        <v>2</v>
      </c>
      <c r="L20" s="528"/>
      <c r="M20" s="528"/>
      <c r="R20" s="511" t="s">
        <v>63</v>
      </c>
      <c r="S20" s="511" t="s">
        <v>63</v>
      </c>
    </row>
    <row r="21" spans="1:22" ht="15">
      <c r="A21" s="511">
        <v>20</v>
      </c>
      <c r="B21" s="511" t="s">
        <v>198</v>
      </c>
      <c r="C21" s="511" t="s">
        <v>103</v>
      </c>
      <c r="D21" s="511" t="s">
        <v>103</v>
      </c>
      <c r="E21" s="511">
        <v>24</v>
      </c>
      <c r="L21" s="528"/>
      <c r="M21" s="528"/>
    </row>
    <row r="22" spans="1:22" ht="15">
      <c r="A22" s="511">
        <v>99</v>
      </c>
      <c r="B22" s="511" t="s">
        <v>16</v>
      </c>
      <c r="C22" s="511" t="s">
        <v>16</v>
      </c>
      <c r="D22" s="511" t="s">
        <v>16</v>
      </c>
      <c r="E22" s="511">
        <v>26</v>
      </c>
      <c r="L22" s="528"/>
      <c r="M22" s="528"/>
    </row>
    <row r="23" spans="1:22">
      <c r="J23" s="510"/>
    </row>
    <row r="24" spans="1:22">
      <c r="J24" s="510"/>
      <c r="R24" s="530"/>
    </row>
    <row r="25" spans="1:22">
      <c r="J25" s="510"/>
      <c r="O25" s="530"/>
    </row>
    <row r="26" spans="1:22">
      <c r="B26" s="530" t="s">
        <v>460</v>
      </c>
      <c r="J26" s="510"/>
      <c r="K26" s="530"/>
      <c r="L26" s="530"/>
      <c r="M26" s="530"/>
      <c r="N26" s="530"/>
      <c r="O26" s="530"/>
      <c r="P26" s="530"/>
      <c r="Q26" s="530"/>
    </row>
    <row r="27" spans="1:22">
      <c r="B27" s="532">
        <v>2016</v>
      </c>
      <c r="M27" s="530"/>
    </row>
    <row r="28" spans="1:22">
      <c r="M28" s="530"/>
    </row>
    <row r="29" spans="1:22">
      <c r="B29" s="545" t="s">
        <v>467</v>
      </c>
      <c r="M29" s="530"/>
    </row>
    <row r="30" spans="1:22">
      <c r="B30" s="704" t="s">
        <v>580</v>
      </c>
      <c r="L30" s="530"/>
      <c r="M30" s="530"/>
    </row>
    <row r="31" spans="1:22">
      <c r="M31" s="530"/>
    </row>
    <row r="32" spans="1:22">
      <c r="B32" s="595" t="s">
        <v>519</v>
      </c>
      <c r="K32" s="530"/>
      <c r="M32" s="530"/>
    </row>
    <row r="33" spans="2:6">
      <c r="B33" s="550">
        <v>2012</v>
      </c>
      <c r="C33" s="511">
        <v>2013</v>
      </c>
      <c r="D33" s="511">
        <v>2014</v>
      </c>
      <c r="E33" s="550">
        <v>2015</v>
      </c>
      <c r="F33" s="511">
        <v>2016</v>
      </c>
    </row>
  </sheetData>
  <pageMargins left="0.7" right="0.7" top="0.75" bottom="0.75" header="0.3" footer="0.3"/>
  <pageSetup paperSize="9" orientation="portrait" r:id="rId1"/>
  <tableParts count="3">
    <tablePart r:id="rId2"/>
    <tablePart r:id="rId3"/>
    <tablePart r:id="rId4"/>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1"/>
  <dimension ref="A1:Z103"/>
  <sheetViews>
    <sheetView zoomScaleNormal="100" workbookViewId="0"/>
  </sheetViews>
  <sheetFormatPr defaultRowHeight="15"/>
  <cols>
    <col min="1" max="1" width="31.5703125" bestFit="1" customWidth="1"/>
    <col min="2" max="2" width="10" bestFit="1" customWidth="1"/>
    <col min="3" max="3" width="11.42578125" bestFit="1" customWidth="1"/>
    <col min="4" max="4" width="17.5703125" bestFit="1" customWidth="1"/>
    <col min="5" max="5" width="10" bestFit="1" customWidth="1"/>
    <col min="6" max="6" width="10.85546875" bestFit="1" customWidth="1"/>
    <col min="7" max="7" width="9.140625" bestFit="1" customWidth="1"/>
    <col min="8" max="8" width="17.85546875" bestFit="1" customWidth="1"/>
    <col min="9" max="9" width="8.42578125" bestFit="1" customWidth="1"/>
    <col min="10" max="10" width="5.85546875" bestFit="1" customWidth="1"/>
    <col min="11" max="11" width="12.5703125" bestFit="1" customWidth="1"/>
    <col min="12" max="12" width="9.85546875" bestFit="1" customWidth="1"/>
    <col min="13" max="13" width="12" bestFit="1" customWidth="1"/>
    <col min="14" max="14" width="8.42578125" bestFit="1" customWidth="1"/>
    <col min="15" max="15" width="11" bestFit="1" customWidth="1"/>
    <col min="16" max="16" width="11.140625" bestFit="1" customWidth="1"/>
    <col min="17" max="17" width="14.5703125" bestFit="1" customWidth="1"/>
    <col min="18" max="18" width="10.85546875" bestFit="1" customWidth="1"/>
    <col min="19" max="19" width="10.140625" bestFit="1" customWidth="1"/>
    <col min="20" max="20" width="19.5703125" bestFit="1" customWidth="1"/>
    <col min="21" max="21" width="11" bestFit="1" customWidth="1"/>
    <col min="22" max="22" width="10.85546875" bestFit="1" customWidth="1"/>
    <col min="23" max="23" width="16.5703125" bestFit="1" customWidth="1"/>
    <col min="24" max="24" width="9.140625" bestFit="1" customWidth="1"/>
    <col min="25" max="25" width="10.28515625" bestFit="1" customWidth="1"/>
    <col min="26" max="26" width="12.5703125" bestFit="1" customWidth="1"/>
  </cols>
  <sheetData>
    <row r="1" spans="1:26">
      <c r="A1" s="44" t="s">
        <v>438</v>
      </c>
      <c r="B1" s="42" t="s">
        <v>141</v>
      </c>
      <c r="C1" s="42" t="s">
        <v>455</v>
      </c>
      <c r="D1" s="42" t="s">
        <v>456</v>
      </c>
      <c r="E1" s="42" t="s">
        <v>85</v>
      </c>
      <c r="F1" s="42" t="s">
        <v>86</v>
      </c>
      <c r="G1" s="42" t="s">
        <v>87</v>
      </c>
      <c r="H1" s="42" t="s">
        <v>88</v>
      </c>
      <c r="I1" s="42" t="s">
        <v>89</v>
      </c>
      <c r="J1" s="42" t="s">
        <v>90</v>
      </c>
      <c r="K1" s="42" t="s">
        <v>91</v>
      </c>
      <c r="L1" s="98" t="s">
        <v>366</v>
      </c>
      <c r="M1" s="42" t="s">
        <v>92</v>
      </c>
      <c r="N1" s="42" t="s">
        <v>93</v>
      </c>
      <c r="O1" s="42" t="s">
        <v>94</v>
      </c>
      <c r="P1" s="42" t="s">
        <v>95</v>
      </c>
      <c r="Q1" s="42" t="s">
        <v>96</v>
      </c>
      <c r="R1" s="42" t="s">
        <v>97</v>
      </c>
      <c r="S1" s="42" t="s">
        <v>98</v>
      </c>
      <c r="T1" s="42" t="s">
        <v>99</v>
      </c>
      <c r="U1" s="42" t="s">
        <v>100</v>
      </c>
      <c r="V1" s="42" t="s">
        <v>101</v>
      </c>
      <c r="W1" s="42" t="s">
        <v>102</v>
      </c>
      <c r="X1" s="42" t="s">
        <v>103</v>
      </c>
      <c r="Y1" s="42" t="s">
        <v>63</v>
      </c>
      <c r="Z1" s="42" t="s">
        <v>16</v>
      </c>
    </row>
    <row r="2" spans="1:26">
      <c r="A2" s="45" t="str">
        <f>D2&amp;C2&amp;B2</f>
        <v>Malesexfetal</v>
      </c>
      <c r="B2" s="39" t="s">
        <v>420</v>
      </c>
      <c r="C2" s="39" t="s">
        <v>451</v>
      </c>
      <c r="D2" s="39" t="s">
        <v>70</v>
      </c>
      <c r="E2" s="449">
        <f t="shared" ref="E2:Z2" si="0">IFERROR(VLOOKUP($A$2&amp;E$1, vw.deaths.dhb, 6, FALSE),0)</f>
        <v>13</v>
      </c>
      <c r="F2" s="449">
        <f t="shared" si="0"/>
        <v>20</v>
      </c>
      <c r="G2" s="449">
        <f t="shared" si="0"/>
        <v>19</v>
      </c>
      <c r="H2" s="449">
        <f t="shared" si="0"/>
        <v>32</v>
      </c>
      <c r="I2" s="449">
        <f t="shared" si="0"/>
        <v>32</v>
      </c>
      <c r="J2" s="449">
        <f t="shared" si="0"/>
        <v>7</v>
      </c>
      <c r="K2" s="449">
        <f t="shared" si="0"/>
        <v>9</v>
      </c>
      <c r="L2" s="449">
        <f t="shared" si="0"/>
        <v>0</v>
      </c>
      <c r="M2" s="449">
        <f t="shared" si="0"/>
        <v>2</v>
      </c>
      <c r="N2" s="449">
        <f t="shared" si="0"/>
        <v>4</v>
      </c>
      <c r="O2" s="449">
        <f t="shared" si="0"/>
        <v>7</v>
      </c>
      <c r="P2" s="449">
        <f t="shared" si="0"/>
        <v>2</v>
      </c>
      <c r="Q2" s="449">
        <f t="shared" si="0"/>
        <v>11</v>
      </c>
      <c r="R2" s="449">
        <f t="shared" si="0"/>
        <v>4</v>
      </c>
      <c r="S2" s="449">
        <f t="shared" si="0"/>
        <v>3</v>
      </c>
      <c r="T2" s="449">
        <f t="shared" si="0"/>
        <v>2</v>
      </c>
      <c r="U2" s="449">
        <f t="shared" si="0"/>
        <v>3</v>
      </c>
      <c r="V2" s="449">
        <f t="shared" si="0"/>
        <v>24</v>
      </c>
      <c r="W2" s="449">
        <f t="shared" si="0"/>
        <v>3</v>
      </c>
      <c r="X2" s="449">
        <f t="shared" si="0"/>
        <v>18</v>
      </c>
      <c r="Y2" s="449">
        <f t="shared" si="0"/>
        <v>1</v>
      </c>
      <c r="Z2" s="449">
        <f t="shared" si="0"/>
        <v>216</v>
      </c>
    </row>
    <row r="3" spans="1:26">
      <c r="A3" s="45" t="str">
        <f t="shared" ref="A3:A66" si="1">D3&amp;C3&amp;B3</f>
        <v>Femalesexfetal</v>
      </c>
      <c r="B3" s="39" t="s">
        <v>420</v>
      </c>
      <c r="C3" s="536" t="s">
        <v>451</v>
      </c>
      <c r="D3" s="39" t="s">
        <v>71</v>
      </c>
      <c r="E3" s="449">
        <f t="shared" ref="E3:Z3" si="2">IFERROR(VLOOKUP($A$3&amp;E$1, vw.deaths.dhb, 6, FALSE),0)</f>
        <v>7</v>
      </c>
      <c r="F3" s="449">
        <f t="shared" si="2"/>
        <v>22</v>
      </c>
      <c r="G3" s="449">
        <f t="shared" si="2"/>
        <v>20</v>
      </c>
      <c r="H3" s="449">
        <f t="shared" si="2"/>
        <v>29</v>
      </c>
      <c r="I3" s="449">
        <f t="shared" si="2"/>
        <v>25</v>
      </c>
      <c r="J3" s="449">
        <f t="shared" si="2"/>
        <v>6</v>
      </c>
      <c r="K3" s="449">
        <f t="shared" si="2"/>
        <v>10</v>
      </c>
      <c r="L3" s="449">
        <f t="shared" si="2"/>
        <v>0</v>
      </c>
      <c r="M3" s="449">
        <f t="shared" si="2"/>
        <v>5</v>
      </c>
      <c r="N3" s="449">
        <f t="shared" si="2"/>
        <v>9</v>
      </c>
      <c r="O3" s="449">
        <f t="shared" si="2"/>
        <v>4</v>
      </c>
      <c r="P3" s="449">
        <f t="shared" si="2"/>
        <v>2</v>
      </c>
      <c r="Q3" s="449">
        <f t="shared" si="2"/>
        <v>7</v>
      </c>
      <c r="R3" s="449">
        <f t="shared" si="2"/>
        <v>3</v>
      </c>
      <c r="S3" s="449">
        <f t="shared" si="2"/>
        <v>2</v>
      </c>
      <c r="T3" s="449">
        <f t="shared" si="2"/>
        <v>2</v>
      </c>
      <c r="U3" s="449">
        <f t="shared" si="2"/>
        <v>5</v>
      </c>
      <c r="V3" s="449">
        <f t="shared" si="2"/>
        <v>20</v>
      </c>
      <c r="W3" s="449">
        <f t="shared" si="2"/>
        <v>0</v>
      </c>
      <c r="X3" s="449">
        <f t="shared" si="2"/>
        <v>9</v>
      </c>
      <c r="Y3" s="449">
        <f t="shared" si="2"/>
        <v>0</v>
      </c>
      <c r="Z3" s="449">
        <f t="shared" si="2"/>
        <v>189</v>
      </c>
    </row>
    <row r="4" spans="1:26">
      <c r="A4" s="45" t="str">
        <f t="shared" si="1"/>
        <v>Ind/Unksexfetal</v>
      </c>
      <c r="B4" s="39" t="s">
        <v>420</v>
      </c>
      <c r="C4" s="536" t="s">
        <v>451</v>
      </c>
      <c r="D4" s="39" t="s">
        <v>458</v>
      </c>
      <c r="E4" s="449">
        <f t="shared" ref="E4:Z4" si="3">IFERROR(VLOOKUP($A$4&amp;E$1, vw.deaths.dhb, 6, FALSE),0)</f>
        <v>0</v>
      </c>
      <c r="F4" s="449">
        <f t="shared" si="3"/>
        <v>0</v>
      </c>
      <c r="G4" s="449">
        <f t="shared" si="3"/>
        <v>0</v>
      </c>
      <c r="H4" s="449">
        <f t="shared" si="3"/>
        <v>5</v>
      </c>
      <c r="I4" s="449">
        <f t="shared" si="3"/>
        <v>1</v>
      </c>
      <c r="J4" s="449">
        <f t="shared" si="3"/>
        <v>0</v>
      </c>
      <c r="K4" s="449">
        <f t="shared" si="3"/>
        <v>0</v>
      </c>
      <c r="L4" s="449">
        <f t="shared" si="3"/>
        <v>0</v>
      </c>
      <c r="M4" s="449">
        <f t="shared" si="3"/>
        <v>0</v>
      </c>
      <c r="N4" s="449">
        <f t="shared" si="3"/>
        <v>0</v>
      </c>
      <c r="O4" s="449">
        <f t="shared" si="3"/>
        <v>0</v>
      </c>
      <c r="P4" s="449">
        <f t="shared" si="3"/>
        <v>0</v>
      </c>
      <c r="Q4" s="449">
        <f t="shared" si="3"/>
        <v>0</v>
      </c>
      <c r="R4" s="449">
        <f t="shared" si="3"/>
        <v>0</v>
      </c>
      <c r="S4" s="449">
        <f t="shared" si="3"/>
        <v>0</v>
      </c>
      <c r="T4" s="449">
        <f t="shared" si="3"/>
        <v>0</v>
      </c>
      <c r="U4" s="449">
        <f t="shared" si="3"/>
        <v>0</v>
      </c>
      <c r="V4" s="449">
        <f t="shared" si="3"/>
        <v>0</v>
      </c>
      <c r="W4" s="449">
        <f t="shared" si="3"/>
        <v>0</v>
      </c>
      <c r="X4" s="449">
        <f t="shared" si="3"/>
        <v>1</v>
      </c>
      <c r="Y4" s="449">
        <f t="shared" si="3"/>
        <v>1</v>
      </c>
      <c r="Z4" s="449">
        <f t="shared" si="3"/>
        <v>8</v>
      </c>
    </row>
    <row r="5" spans="1:26">
      <c r="A5" s="45" t="str">
        <f t="shared" si="1"/>
        <v>Malesexinfant</v>
      </c>
      <c r="B5" s="39" t="s">
        <v>437</v>
      </c>
      <c r="C5" s="536" t="s">
        <v>451</v>
      </c>
      <c r="D5" s="536" t="s">
        <v>70</v>
      </c>
      <c r="E5" s="449">
        <f t="shared" ref="E5:Z5" si="4">IFERROR(VLOOKUP($A$5&amp;E$1, vw.deaths.dhb, 6, FALSE),0)</f>
        <v>7</v>
      </c>
      <c r="F5" s="449">
        <f t="shared" si="4"/>
        <v>7</v>
      </c>
      <c r="G5" s="449">
        <f t="shared" si="4"/>
        <v>11</v>
      </c>
      <c r="H5" s="449">
        <f t="shared" si="4"/>
        <v>37</v>
      </c>
      <c r="I5" s="449">
        <f t="shared" si="4"/>
        <v>16</v>
      </c>
      <c r="J5" s="449">
        <f t="shared" si="4"/>
        <v>0</v>
      </c>
      <c r="K5" s="449">
        <f t="shared" si="4"/>
        <v>10</v>
      </c>
      <c r="L5" s="449">
        <f t="shared" si="4"/>
        <v>0</v>
      </c>
      <c r="M5" s="449">
        <f t="shared" si="4"/>
        <v>3</v>
      </c>
      <c r="N5" s="449">
        <f t="shared" si="4"/>
        <v>5</v>
      </c>
      <c r="O5" s="449">
        <f t="shared" si="4"/>
        <v>3</v>
      </c>
      <c r="P5" s="449">
        <f t="shared" si="4"/>
        <v>3</v>
      </c>
      <c r="Q5" s="449">
        <f t="shared" si="4"/>
        <v>5</v>
      </c>
      <c r="R5" s="449">
        <f t="shared" si="4"/>
        <v>4</v>
      </c>
      <c r="S5" s="449">
        <f t="shared" si="4"/>
        <v>0</v>
      </c>
      <c r="T5" s="449">
        <f t="shared" si="4"/>
        <v>1</v>
      </c>
      <c r="U5" s="449">
        <f t="shared" si="4"/>
        <v>0</v>
      </c>
      <c r="V5" s="449">
        <f t="shared" si="4"/>
        <v>8</v>
      </c>
      <c r="W5" s="449">
        <f t="shared" si="4"/>
        <v>2</v>
      </c>
      <c r="X5" s="449">
        <f t="shared" si="4"/>
        <v>4</v>
      </c>
      <c r="Y5" s="449">
        <f t="shared" si="4"/>
        <v>0</v>
      </c>
      <c r="Z5" s="449">
        <f t="shared" si="4"/>
        <v>127</v>
      </c>
    </row>
    <row r="6" spans="1:26">
      <c r="A6" s="45" t="str">
        <f t="shared" si="1"/>
        <v>femalesexinfant</v>
      </c>
      <c r="B6" s="39" t="s">
        <v>437</v>
      </c>
      <c r="C6" s="536" t="s">
        <v>451</v>
      </c>
      <c r="D6" s="39" t="s">
        <v>465</v>
      </c>
      <c r="E6" s="449">
        <f t="shared" ref="E6:Z6" si="5">IFERROR(VLOOKUP($A$6&amp;E$1, vw.deaths.dhb, 6, FALSE),0)</f>
        <v>5</v>
      </c>
      <c r="F6" s="449">
        <f t="shared" si="5"/>
        <v>11</v>
      </c>
      <c r="G6" s="449">
        <f t="shared" si="5"/>
        <v>7</v>
      </c>
      <c r="H6" s="449">
        <f t="shared" si="5"/>
        <v>20</v>
      </c>
      <c r="I6" s="449">
        <f t="shared" si="5"/>
        <v>12</v>
      </c>
      <c r="J6" s="449">
        <f t="shared" si="5"/>
        <v>0</v>
      </c>
      <c r="K6" s="449">
        <f t="shared" si="5"/>
        <v>8</v>
      </c>
      <c r="L6" s="449">
        <f t="shared" si="5"/>
        <v>0</v>
      </c>
      <c r="M6" s="449">
        <f t="shared" si="5"/>
        <v>3</v>
      </c>
      <c r="N6" s="449">
        <f t="shared" si="5"/>
        <v>1</v>
      </c>
      <c r="O6" s="449">
        <f t="shared" si="5"/>
        <v>7</v>
      </c>
      <c r="P6" s="449">
        <f t="shared" si="5"/>
        <v>3</v>
      </c>
      <c r="Q6" s="449">
        <f t="shared" si="5"/>
        <v>6</v>
      </c>
      <c r="R6" s="449">
        <f t="shared" si="5"/>
        <v>5</v>
      </c>
      <c r="S6" s="449">
        <f t="shared" si="5"/>
        <v>1</v>
      </c>
      <c r="T6" s="449">
        <f t="shared" si="5"/>
        <v>1</v>
      </c>
      <c r="U6" s="449">
        <f t="shared" si="5"/>
        <v>2</v>
      </c>
      <c r="V6" s="449">
        <f t="shared" si="5"/>
        <v>13</v>
      </c>
      <c r="W6" s="449">
        <f t="shared" si="5"/>
        <v>1</v>
      </c>
      <c r="X6" s="449">
        <f t="shared" si="5"/>
        <v>5</v>
      </c>
      <c r="Y6" s="449">
        <f t="shared" si="5"/>
        <v>1</v>
      </c>
      <c r="Z6" s="449">
        <f t="shared" si="5"/>
        <v>114</v>
      </c>
    </row>
    <row r="7" spans="1:26">
      <c r="A7" s="45" t="str">
        <f t="shared" si="1"/>
        <v>Ind/Unksexinfant</v>
      </c>
      <c r="B7" s="39" t="s">
        <v>437</v>
      </c>
      <c r="C7" s="536" t="s">
        <v>451</v>
      </c>
      <c r="D7" s="39" t="s">
        <v>458</v>
      </c>
      <c r="E7" s="449">
        <f t="shared" ref="E7:Z7" si="6">IFERROR(VLOOKUP($A$7&amp;E$1, vw.deaths.dhb, 6, FALSE),0)</f>
        <v>0</v>
      </c>
      <c r="F7" s="449">
        <f t="shared" si="6"/>
        <v>0</v>
      </c>
      <c r="G7" s="449">
        <f t="shared" si="6"/>
        <v>0</v>
      </c>
      <c r="H7" s="449">
        <f t="shared" si="6"/>
        <v>0</v>
      </c>
      <c r="I7" s="449">
        <f t="shared" si="6"/>
        <v>0</v>
      </c>
      <c r="J7" s="449">
        <f t="shared" si="6"/>
        <v>0</v>
      </c>
      <c r="K7" s="449">
        <f t="shared" si="6"/>
        <v>0</v>
      </c>
      <c r="L7" s="449">
        <f t="shared" si="6"/>
        <v>0</v>
      </c>
      <c r="M7" s="449">
        <f t="shared" si="6"/>
        <v>0</v>
      </c>
      <c r="N7" s="449">
        <f t="shared" si="6"/>
        <v>0</v>
      </c>
      <c r="O7" s="449">
        <f t="shared" si="6"/>
        <v>0</v>
      </c>
      <c r="P7" s="449">
        <f t="shared" si="6"/>
        <v>0</v>
      </c>
      <c r="Q7" s="449">
        <f t="shared" si="6"/>
        <v>0</v>
      </c>
      <c r="R7" s="449">
        <f t="shared" si="6"/>
        <v>0</v>
      </c>
      <c r="S7" s="449">
        <f t="shared" si="6"/>
        <v>0</v>
      </c>
      <c r="T7" s="449">
        <f t="shared" si="6"/>
        <v>0</v>
      </c>
      <c r="U7" s="449">
        <f t="shared" si="6"/>
        <v>0</v>
      </c>
      <c r="V7" s="449">
        <f t="shared" si="6"/>
        <v>0</v>
      </c>
      <c r="W7" s="449">
        <f t="shared" si="6"/>
        <v>0</v>
      </c>
      <c r="X7" s="449">
        <f t="shared" si="6"/>
        <v>0</v>
      </c>
      <c r="Y7" s="449">
        <f t="shared" si="6"/>
        <v>0</v>
      </c>
      <c r="Z7" s="449">
        <f t="shared" si="6"/>
        <v>0</v>
      </c>
    </row>
    <row r="8" spans="1:26">
      <c r="A8" s="45" t="str">
        <f t="shared" si="1"/>
        <v>Maoriethfetal</v>
      </c>
      <c r="B8" s="39" t="s">
        <v>420</v>
      </c>
      <c r="C8" s="39" t="s">
        <v>449</v>
      </c>
      <c r="D8" s="39" t="s">
        <v>129</v>
      </c>
      <c r="E8" s="449">
        <f t="shared" ref="E8:Z8" si="7">IFERROR(VLOOKUP($A$8&amp;E$1, vw.deaths.dhb, 6, FALSE),0)</f>
        <v>10</v>
      </c>
      <c r="F8" s="449">
        <f t="shared" si="7"/>
        <v>10</v>
      </c>
      <c r="G8" s="449">
        <f t="shared" si="7"/>
        <v>4</v>
      </c>
      <c r="H8" s="449">
        <f t="shared" si="7"/>
        <v>16</v>
      </c>
      <c r="I8" s="449">
        <f t="shared" si="7"/>
        <v>22</v>
      </c>
      <c r="J8" s="449">
        <f t="shared" si="7"/>
        <v>11</v>
      </c>
      <c r="K8" s="449">
        <f t="shared" si="7"/>
        <v>8</v>
      </c>
      <c r="L8" s="449">
        <f t="shared" si="7"/>
        <v>0</v>
      </c>
      <c r="M8" s="449">
        <f t="shared" si="7"/>
        <v>2</v>
      </c>
      <c r="N8" s="449">
        <f t="shared" si="7"/>
        <v>6</v>
      </c>
      <c r="O8" s="449">
        <f t="shared" si="7"/>
        <v>4</v>
      </c>
      <c r="P8" s="449">
        <f t="shared" si="7"/>
        <v>2</v>
      </c>
      <c r="Q8" s="449">
        <f t="shared" si="7"/>
        <v>1</v>
      </c>
      <c r="R8" s="449">
        <f t="shared" si="7"/>
        <v>3</v>
      </c>
      <c r="S8" s="449">
        <f t="shared" si="7"/>
        <v>4</v>
      </c>
      <c r="T8" s="449">
        <f t="shared" si="7"/>
        <v>0</v>
      </c>
      <c r="U8" s="449">
        <f t="shared" si="7"/>
        <v>3</v>
      </c>
      <c r="V8" s="449">
        <f t="shared" si="7"/>
        <v>4</v>
      </c>
      <c r="W8" s="449">
        <f t="shared" si="7"/>
        <v>1</v>
      </c>
      <c r="X8" s="449">
        <f t="shared" si="7"/>
        <v>8</v>
      </c>
      <c r="Y8" s="449">
        <f t="shared" si="7"/>
        <v>2</v>
      </c>
      <c r="Z8" s="449">
        <f t="shared" si="7"/>
        <v>122</v>
      </c>
    </row>
    <row r="9" spans="1:26">
      <c r="A9" s="45" t="str">
        <f t="shared" si="1"/>
        <v>Pacific peoplesethfetal</v>
      </c>
      <c r="B9" s="39" t="s">
        <v>420</v>
      </c>
      <c r="C9" s="536" t="s">
        <v>449</v>
      </c>
      <c r="D9" s="39" t="s">
        <v>320</v>
      </c>
      <c r="E9" s="449">
        <f t="shared" ref="E9:Z9" si="8">IFERROR(VLOOKUP($A$9&amp;E$1, vw.deaths.dhb, 6, FALSE),0)</f>
        <v>1</v>
      </c>
      <c r="F9" s="449">
        <f t="shared" si="8"/>
        <v>3</v>
      </c>
      <c r="G9" s="449">
        <f t="shared" si="8"/>
        <v>6</v>
      </c>
      <c r="H9" s="449">
        <f t="shared" si="8"/>
        <v>25</v>
      </c>
      <c r="I9" s="449">
        <f t="shared" si="8"/>
        <v>0</v>
      </c>
      <c r="J9" s="449">
        <f t="shared" si="8"/>
        <v>0</v>
      </c>
      <c r="K9" s="449">
        <f t="shared" si="8"/>
        <v>1</v>
      </c>
      <c r="L9" s="449">
        <f t="shared" si="8"/>
        <v>0</v>
      </c>
      <c r="M9" s="449">
        <f t="shared" si="8"/>
        <v>0</v>
      </c>
      <c r="N9" s="449">
        <f t="shared" si="8"/>
        <v>0</v>
      </c>
      <c r="O9" s="449">
        <f t="shared" si="8"/>
        <v>0</v>
      </c>
      <c r="P9" s="449">
        <f t="shared" si="8"/>
        <v>0</v>
      </c>
      <c r="Q9" s="449">
        <f t="shared" si="8"/>
        <v>4</v>
      </c>
      <c r="R9" s="449">
        <f t="shared" si="8"/>
        <v>0</v>
      </c>
      <c r="S9" s="449">
        <f t="shared" si="8"/>
        <v>0</v>
      </c>
      <c r="T9" s="449">
        <f t="shared" si="8"/>
        <v>1</v>
      </c>
      <c r="U9" s="449">
        <f t="shared" si="8"/>
        <v>0</v>
      </c>
      <c r="V9" s="449">
        <f t="shared" si="8"/>
        <v>2</v>
      </c>
      <c r="W9" s="449">
        <f t="shared" si="8"/>
        <v>0</v>
      </c>
      <c r="X9" s="449">
        <f t="shared" si="8"/>
        <v>2</v>
      </c>
      <c r="Y9" s="449">
        <f t="shared" si="8"/>
        <v>0</v>
      </c>
      <c r="Z9" s="449">
        <f t="shared" si="8"/>
        <v>45</v>
      </c>
    </row>
    <row r="10" spans="1:26">
      <c r="A10" s="45" t="str">
        <f t="shared" si="1"/>
        <v>Asianethfetal</v>
      </c>
      <c r="B10" s="39" t="s">
        <v>420</v>
      </c>
      <c r="C10" s="536" t="s">
        <v>449</v>
      </c>
      <c r="D10" s="39" t="s">
        <v>355</v>
      </c>
      <c r="E10" s="449">
        <f t="shared" ref="E10:Z10" si="9">IFERROR(VLOOKUP($A$10&amp;E$1, vw.deaths.dhb, 6, FALSE),0)</f>
        <v>1</v>
      </c>
      <c r="F10" s="449">
        <f t="shared" si="9"/>
        <v>12</v>
      </c>
      <c r="G10" s="449">
        <f t="shared" si="9"/>
        <v>15</v>
      </c>
      <c r="H10" s="449">
        <f t="shared" si="9"/>
        <v>13</v>
      </c>
      <c r="I10" s="449">
        <f t="shared" si="9"/>
        <v>8</v>
      </c>
      <c r="J10" s="449">
        <f t="shared" si="9"/>
        <v>1</v>
      </c>
      <c r="K10" s="449">
        <f t="shared" si="9"/>
        <v>2</v>
      </c>
      <c r="L10" s="449">
        <f t="shared" si="9"/>
        <v>0</v>
      </c>
      <c r="M10" s="449">
        <f t="shared" si="9"/>
        <v>1</v>
      </c>
      <c r="N10" s="449">
        <f t="shared" si="9"/>
        <v>0</v>
      </c>
      <c r="O10" s="449">
        <f t="shared" si="9"/>
        <v>2</v>
      </c>
      <c r="P10" s="449">
        <f t="shared" si="9"/>
        <v>1</v>
      </c>
      <c r="Q10" s="449">
        <f t="shared" si="9"/>
        <v>3</v>
      </c>
      <c r="R10" s="449">
        <f t="shared" si="9"/>
        <v>1</v>
      </c>
      <c r="S10" s="449">
        <f t="shared" si="9"/>
        <v>0</v>
      </c>
      <c r="T10" s="449">
        <f t="shared" si="9"/>
        <v>0</v>
      </c>
      <c r="U10" s="449">
        <f t="shared" si="9"/>
        <v>0</v>
      </c>
      <c r="V10" s="449">
        <f t="shared" si="9"/>
        <v>11</v>
      </c>
      <c r="W10" s="449">
        <f t="shared" si="9"/>
        <v>0</v>
      </c>
      <c r="X10" s="449">
        <f t="shared" si="9"/>
        <v>2</v>
      </c>
      <c r="Y10" s="449">
        <f t="shared" si="9"/>
        <v>0</v>
      </c>
      <c r="Z10" s="449">
        <f t="shared" si="9"/>
        <v>73</v>
      </c>
    </row>
    <row r="11" spans="1:26" s="308" customFormat="1">
      <c r="A11" s="45" t="str">
        <f t="shared" si="1"/>
        <v>European or Otherethfetal</v>
      </c>
      <c r="B11" s="308" t="s">
        <v>420</v>
      </c>
      <c r="C11" s="536" t="s">
        <v>449</v>
      </c>
      <c r="D11" s="308" t="s">
        <v>356</v>
      </c>
      <c r="E11" s="449">
        <f t="shared" ref="E11:Z11" si="10">IFERROR(VLOOKUP($A$11&amp;E$1, vw.deaths.dhb, 6, FALSE),0)</f>
        <v>8</v>
      </c>
      <c r="F11" s="449">
        <f t="shared" si="10"/>
        <v>17</v>
      </c>
      <c r="G11" s="449">
        <f t="shared" si="10"/>
        <v>14</v>
      </c>
      <c r="H11" s="449">
        <f t="shared" si="10"/>
        <v>12</v>
      </c>
      <c r="I11" s="449">
        <f t="shared" si="10"/>
        <v>28</v>
      </c>
      <c r="J11" s="449">
        <f t="shared" si="10"/>
        <v>1</v>
      </c>
      <c r="K11" s="449">
        <f t="shared" si="10"/>
        <v>8</v>
      </c>
      <c r="L11" s="449">
        <f t="shared" si="10"/>
        <v>0</v>
      </c>
      <c r="M11" s="449">
        <f t="shared" si="10"/>
        <v>4</v>
      </c>
      <c r="N11" s="449">
        <f t="shared" si="10"/>
        <v>7</v>
      </c>
      <c r="O11" s="449">
        <f t="shared" si="10"/>
        <v>5</v>
      </c>
      <c r="P11" s="449">
        <f t="shared" si="10"/>
        <v>1</v>
      </c>
      <c r="Q11" s="449">
        <f t="shared" si="10"/>
        <v>10</v>
      </c>
      <c r="R11" s="449">
        <f t="shared" si="10"/>
        <v>3</v>
      </c>
      <c r="S11" s="449">
        <f t="shared" si="10"/>
        <v>1</v>
      </c>
      <c r="T11" s="449">
        <f t="shared" si="10"/>
        <v>3</v>
      </c>
      <c r="U11" s="449">
        <f t="shared" si="10"/>
        <v>5</v>
      </c>
      <c r="V11" s="449">
        <f t="shared" si="10"/>
        <v>27</v>
      </c>
      <c r="W11" s="449">
        <f t="shared" si="10"/>
        <v>2</v>
      </c>
      <c r="X11" s="449">
        <f t="shared" si="10"/>
        <v>16</v>
      </c>
      <c r="Y11" s="449">
        <f t="shared" si="10"/>
        <v>0</v>
      </c>
      <c r="Z11" s="449">
        <f t="shared" si="10"/>
        <v>173</v>
      </c>
    </row>
    <row r="12" spans="1:26">
      <c r="A12" s="45" t="str">
        <f t="shared" si="1"/>
        <v>Maoriethinfant</v>
      </c>
      <c r="B12" s="39" t="s">
        <v>437</v>
      </c>
      <c r="C12" s="536" t="s">
        <v>449</v>
      </c>
      <c r="D12" s="39" t="s">
        <v>129</v>
      </c>
      <c r="E12" s="449">
        <f t="shared" ref="E12:Z12" si="11">IFERROR(VLOOKUP($A$12&amp;E$1, vw.deaths.dhb, 6, FALSE),0)</f>
        <v>7</v>
      </c>
      <c r="F12" s="449">
        <f t="shared" si="11"/>
        <v>5</v>
      </c>
      <c r="G12" s="449">
        <f t="shared" si="11"/>
        <v>6</v>
      </c>
      <c r="H12" s="449">
        <f t="shared" si="11"/>
        <v>23</v>
      </c>
      <c r="I12" s="449">
        <f t="shared" si="11"/>
        <v>13</v>
      </c>
      <c r="J12" s="449">
        <f t="shared" si="11"/>
        <v>0</v>
      </c>
      <c r="K12" s="449">
        <f t="shared" si="11"/>
        <v>10</v>
      </c>
      <c r="L12" s="449">
        <f t="shared" si="11"/>
        <v>0</v>
      </c>
      <c r="M12" s="449">
        <f t="shared" si="11"/>
        <v>4</v>
      </c>
      <c r="N12" s="449">
        <f t="shared" si="11"/>
        <v>3</v>
      </c>
      <c r="O12" s="449">
        <f t="shared" si="11"/>
        <v>6</v>
      </c>
      <c r="P12" s="449">
        <f t="shared" si="11"/>
        <v>0</v>
      </c>
      <c r="Q12" s="449">
        <f t="shared" si="11"/>
        <v>4</v>
      </c>
      <c r="R12" s="449">
        <f t="shared" si="11"/>
        <v>3</v>
      </c>
      <c r="S12" s="449">
        <f t="shared" si="11"/>
        <v>1</v>
      </c>
      <c r="T12" s="449">
        <f t="shared" si="11"/>
        <v>0</v>
      </c>
      <c r="U12" s="449">
        <f t="shared" si="11"/>
        <v>2</v>
      </c>
      <c r="V12" s="449">
        <f t="shared" si="11"/>
        <v>7</v>
      </c>
      <c r="W12" s="449">
        <f t="shared" si="11"/>
        <v>2</v>
      </c>
      <c r="X12" s="449">
        <f t="shared" si="11"/>
        <v>4</v>
      </c>
      <c r="Y12" s="449">
        <f t="shared" si="11"/>
        <v>0</v>
      </c>
      <c r="Z12" s="449">
        <f t="shared" si="11"/>
        <v>103</v>
      </c>
    </row>
    <row r="13" spans="1:26">
      <c r="A13" s="45" t="str">
        <f t="shared" si="1"/>
        <v>Pacific peoplesethinfant</v>
      </c>
      <c r="B13" s="39" t="s">
        <v>437</v>
      </c>
      <c r="C13" s="536" t="s">
        <v>449</v>
      </c>
      <c r="D13" s="308" t="s">
        <v>320</v>
      </c>
      <c r="E13" s="449">
        <f t="shared" ref="E13:Z13" si="12">IFERROR(VLOOKUP($A$13&amp;E$1, vw.deaths.dhb, 6, FALSE),0)</f>
        <v>0</v>
      </c>
      <c r="F13" s="449">
        <f t="shared" si="12"/>
        <v>2</v>
      </c>
      <c r="G13" s="449">
        <f t="shared" si="12"/>
        <v>5</v>
      </c>
      <c r="H13" s="449">
        <f t="shared" si="12"/>
        <v>21</v>
      </c>
      <c r="I13" s="449">
        <f t="shared" si="12"/>
        <v>2</v>
      </c>
      <c r="J13" s="449">
        <f t="shared" si="12"/>
        <v>0</v>
      </c>
      <c r="K13" s="449">
        <f t="shared" si="12"/>
        <v>1</v>
      </c>
      <c r="L13" s="449">
        <f t="shared" si="12"/>
        <v>0</v>
      </c>
      <c r="M13" s="449">
        <f t="shared" si="12"/>
        <v>1</v>
      </c>
      <c r="N13" s="449">
        <f t="shared" si="12"/>
        <v>0</v>
      </c>
      <c r="O13" s="449">
        <f t="shared" si="12"/>
        <v>1</v>
      </c>
      <c r="P13" s="449">
        <f t="shared" si="12"/>
        <v>2</v>
      </c>
      <c r="Q13" s="449">
        <f t="shared" si="12"/>
        <v>0</v>
      </c>
      <c r="R13" s="449">
        <f t="shared" si="12"/>
        <v>1</v>
      </c>
      <c r="S13" s="449">
        <f t="shared" si="12"/>
        <v>0</v>
      </c>
      <c r="T13" s="449">
        <f t="shared" si="12"/>
        <v>0</v>
      </c>
      <c r="U13" s="449">
        <f t="shared" si="12"/>
        <v>0</v>
      </c>
      <c r="V13" s="449">
        <f t="shared" si="12"/>
        <v>0</v>
      </c>
      <c r="W13" s="449">
        <f t="shared" si="12"/>
        <v>0</v>
      </c>
      <c r="X13" s="449">
        <f t="shared" si="12"/>
        <v>0</v>
      </c>
      <c r="Y13" s="449">
        <f t="shared" si="12"/>
        <v>1</v>
      </c>
      <c r="Z13" s="449">
        <f t="shared" si="12"/>
        <v>37</v>
      </c>
    </row>
    <row r="14" spans="1:26">
      <c r="A14" s="45" t="str">
        <f t="shared" si="1"/>
        <v>Asianethinfant</v>
      </c>
      <c r="B14" s="39" t="s">
        <v>437</v>
      </c>
      <c r="C14" s="536" t="s">
        <v>449</v>
      </c>
      <c r="D14" s="308" t="s">
        <v>355</v>
      </c>
      <c r="E14" s="449">
        <f t="shared" ref="E14:Z14" si="13">IFERROR(VLOOKUP($A$14&amp;E$1, vw.deaths.dhb, 6, FALSE),0)</f>
        <v>1</v>
      </c>
      <c r="F14" s="449">
        <f t="shared" si="13"/>
        <v>2</v>
      </c>
      <c r="G14" s="449">
        <f t="shared" si="13"/>
        <v>4</v>
      </c>
      <c r="H14" s="449">
        <f t="shared" si="13"/>
        <v>8</v>
      </c>
      <c r="I14" s="449">
        <f t="shared" si="13"/>
        <v>0</v>
      </c>
      <c r="J14" s="449">
        <f t="shared" si="13"/>
        <v>0</v>
      </c>
      <c r="K14" s="449">
        <f t="shared" si="13"/>
        <v>2</v>
      </c>
      <c r="L14" s="449">
        <f t="shared" si="13"/>
        <v>0</v>
      </c>
      <c r="M14" s="449">
        <f t="shared" si="13"/>
        <v>1</v>
      </c>
      <c r="N14" s="449">
        <f t="shared" si="13"/>
        <v>0</v>
      </c>
      <c r="O14" s="449">
        <f t="shared" si="13"/>
        <v>0</v>
      </c>
      <c r="P14" s="449">
        <f t="shared" si="13"/>
        <v>0</v>
      </c>
      <c r="Q14" s="449">
        <f t="shared" si="13"/>
        <v>2</v>
      </c>
      <c r="R14" s="449">
        <f t="shared" si="13"/>
        <v>2</v>
      </c>
      <c r="S14" s="449">
        <f t="shared" si="13"/>
        <v>0</v>
      </c>
      <c r="T14" s="449">
        <f t="shared" si="13"/>
        <v>0</v>
      </c>
      <c r="U14" s="449">
        <f t="shared" si="13"/>
        <v>0</v>
      </c>
      <c r="V14" s="449">
        <f t="shared" si="13"/>
        <v>3</v>
      </c>
      <c r="W14" s="449">
        <f t="shared" si="13"/>
        <v>0</v>
      </c>
      <c r="X14" s="449">
        <f t="shared" si="13"/>
        <v>2</v>
      </c>
      <c r="Y14" s="449">
        <f t="shared" si="13"/>
        <v>0</v>
      </c>
      <c r="Z14" s="449">
        <f t="shared" si="13"/>
        <v>27</v>
      </c>
    </row>
    <row r="15" spans="1:26" s="308" customFormat="1">
      <c r="A15" s="45" t="str">
        <f t="shared" si="1"/>
        <v>European or Otherethinfant</v>
      </c>
      <c r="B15" s="308" t="s">
        <v>437</v>
      </c>
      <c r="C15" s="536" t="s">
        <v>449</v>
      </c>
      <c r="D15" s="308" t="s">
        <v>356</v>
      </c>
      <c r="E15" s="449">
        <f t="shared" ref="E15:Z15" si="14">IFERROR(VLOOKUP($A$15&amp;E$1, vw.deaths.dhb, 6, FALSE),0)</f>
        <v>4</v>
      </c>
      <c r="F15" s="449">
        <f t="shared" si="14"/>
        <v>9</v>
      </c>
      <c r="G15" s="449">
        <f t="shared" si="14"/>
        <v>3</v>
      </c>
      <c r="H15" s="449">
        <f t="shared" si="14"/>
        <v>5</v>
      </c>
      <c r="I15" s="449">
        <f t="shared" si="14"/>
        <v>13</v>
      </c>
      <c r="J15" s="449">
        <f t="shared" si="14"/>
        <v>0</v>
      </c>
      <c r="K15" s="449">
        <f t="shared" si="14"/>
        <v>5</v>
      </c>
      <c r="L15" s="449">
        <f t="shared" si="14"/>
        <v>0</v>
      </c>
      <c r="M15" s="449">
        <f t="shared" si="14"/>
        <v>0</v>
      </c>
      <c r="N15" s="449">
        <f t="shared" si="14"/>
        <v>3</v>
      </c>
      <c r="O15" s="449">
        <f t="shared" si="14"/>
        <v>3</v>
      </c>
      <c r="P15" s="449">
        <f t="shared" si="14"/>
        <v>4</v>
      </c>
      <c r="Q15" s="449">
        <f t="shared" si="14"/>
        <v>5</v>
      </c>
      <c r="R15" s="449">
        <f t="shared" si="14"/>
        <v>3</v>
      </c>
      <c r="S15" s="449">
        <f t="shared" si="14"/>
        <v>0</v>
      </c>
      <c r="T15" s="449">
        <f t="shared" si="14"/>
        <v>2</v>
      </c>
      <c r="U15" s="449">
        <f t="shared" si="14"/>
        <v>0</v>
      </c>
      <c r="V15" s="449">
        <f t="shared" si="14"/>
        <v>11</v>
      </c>
      <c r="W15" s="449">
        <f t="shared" si="14"/>
        <v>1</v>
      </c>
      <c r="X15" s="449">
        <f t="shared" si="14"/>
        <v>3</v>
      </c>
      <c r="Y15" s="449">
        <f t="shared" si="14"/>
        <v>0</v>
      </c>
      <c r="Z15" s="449">
        <f t="shared" si="14"/>
        <v>74</v>
      </c>
    </row>
    <row r="16" spans="1:26">
      <c r="A16" s="45" t="str">
        <f t="shared" si="1"/>
        <v>&lt;20agefetal</v>
      </c>
      <c r="B16" s="39" t="s">
        <v>420</v>
      </c>
      <c r="C16" s="39" t="s">
        <v>453</v>
      </c>
      <c r="D16" s="39" t="s">
        <v>339</v>
      </c>
      <c r="E16" s="449">
        <f t="shared" ref="E16:Z16" si="15">IFERROR(VLOOKUP($A$16&amp;E$1, vw.deaths.dhb, 6, FALSE),0)</f>
        <v>1</v>
      </c>
      <c r="F16" s="449">
        <f t="shared" si="15"/>
        <v>3</v>
      </c>
      <c r="G16" s="449">
        <f t="shared" si="15"/>
        <v>1</v>
      </c>
      <c r="H16" s="449">
        <f t="shared" si="15"/>
        <v>8</v>
      </c>
      <c r="I16" s="449">
        <f t="shared" si="15"/>
        <v>2</v>
      </c>
      <c r="J16" s="449">
        <f t="shared" si="15"/>
        <v>3</v>
      </c>
      <c r="K16" s="449">
        <f t="shared" si="15"/>
        <v>2</v>
      </c>
      <c r="L16" s="449">
        <f t="shared" si="15"/>
        <v>0</v>
      </c>
      <c r="M16" s="449">
        <f t="shared" si="15"/>
        <v>0</v>
      </c>
      <c r="N16" s="449">
        <f t="shared" si="15"/>
        <v>3</v>
      </c>
      <c r="O16" s="449">
        <f t="shared" si="15"/>
        <v>1</v>
      </c>
      <c r="P16" s="449">
        <f t="shared" si="15"/>
        <v>1</v>
      </c>
      <c r="Q16" s="449">
        <f t="shared" si="15"/>
        <v>0</v>
      </c>
      <c r="R16" s="449">
        <f t="shared" si="15"/>
        <v>1</v>
      </c>
      <c r="S16" s="449">
        <f t="shared" si="15"/>
        <v>2</v>
      </c>
      <c r="T16" s="449">
        <f t="shared" si="15"/>
        <v>0</v>
      </c>
      <c r="U16" s="449">
        <f t="shared" si="15"/>
        <v>1</v>
      </c>
      <c r="V16" s="449">
        <f t="shared" si="15"/>
        <v>4</v>
      </c>
      <c r="W16" s="449">
        <f t="shared" si="15"/>
        <v>0</v>
      </c>
      <c r="X16" s="449">
        <f t="shared" si="15"/>
        <v>3</v>
      </c>
      <c r="Y16" s="449">
        <f t="shared" si="15"/>
        <v>0</v>
      </c>
      <c r="Z16" s="449">
        <f t="shared" si="15"/>
        <v>36</v>
      </c>
    </row>
    <row r="17" spans="1:26">
      <c r="A17" s="45" t="str">
        <f t="shared" si="1"/>
        <v>20-24agefetal</v>
      </c>
      <c r="B17" s="39" t="s">
        <v>420</v>
      </c>
      <c r="C17" s="536" t="s">
        <v>453</v>
      </c>
      <c r="D17" s="39" t="s">
        <v>130</v>
      </c>
      <c r="E17" s="449">
        <f t="shared" ref="E17:Z17" si="16">IFERROR(VLOOKUP($A$17&amp;E$1, vw.deaths.dhb, 6, FALSE),0)</f>
        <v>7</v>
      </c>
      <c r="F17" s="449">
        <f t="shared" si="16"/>
        <v>3</v>
      </c>
      <c r="G17" s="449">
        <f t="shared" si="16"/>
        <v>2</v>
      </c>
      <c r="H17" s="449">
        <f t="shared" si="16"/>
        <v>15</v>
      </c>
      <c r="I17" s="449">
        <f t="shared" si="16"/>
        <v>14</v>
      </c>
      <c r="J17" s="449">
        <f t="shared" si="16"/>
        <v>6</v>
      </c>
      <c r="K17" s="449">
        <f t="shared" si="16"/>
        <v>5</v>
      </c>
      <c r="L17" s="449">
        <f t="shared" si="16"/>
        <v>0</v>
      </c>
      <c r="M17" s="449">
        <f t="shared" si="16"/>
        <v>0</v>
      </c>
      <c r="N17" s="449">
        <f t="shared" si="16"/>
        <v>3</v>
      </c>
      <c r="O17" s="449">
        <f t="shared" si="16"/>
        <v>0</v>
      </c>
      <c r="P17" s="449">
        <f t="shared" si="16"/>
        <v>2</v>
      </c>
      <c r="Q17" s="449">
        <f t="shared" si="16"/>
        <v>2</v>
      </c>
      <c r="R17" s="449">
        <f t="shared" si="16"/>
        <v>1</v>
      </c>
      <c r="S17" s="449">
        <f t="shared" si="16"/>
        <v>1</v>
      </c>
      <c r="T17" s="449">
        <f t="shared" si="16"/>
        <v>0</v>
      </c>
      <c r="U17" s="449">
        <f t="shared" si="16"/>
        <v>0</v>
      </c>
      <c r="V17" s="449">
        <f t="shared" si="16"/>
        <v>5</v>
      </c>
      <c r="W17" s="449">
        <f t="shared" si="16"/>
        <v>3</v>
      </c>
      <c r="X17" s="449">
        <f t="shared" si="16"/>
        <v>4</v>
      </c>
      <c r="Y17" s="449">
        <f t="shared" si="16"/>
        <v>0</v>
      </c>
      <c r="Z17" s="449">
        <f t="shared" si="16"/>
        <v>73</v>
      </c>
    </row>
    <row r="18" spans="1:26">
      <c r="A18" s="45" t="str">
        <f t="shared" si="1"/>
        <v>25-29agefetal</v>
      </c>
      <c r="B18" s="39" t="s">
        <v>420</v>
      </c>
      <c r="C18" s="536" t="s">
        <v>453</v>
      </c>
      <c r="D18" s="39" t="s">
        <v>131</v>
      </c>
      <c r="E18" s="449">
        <f t="shared" ref="E18:Z18" si="17">IFERROR(VLOOKUP($A$18&amp;E$1, vw.deaths.dhb, 6, FALSE),0)</f>
        <v>5</v>
      </c>
      <c r="F18" s="449">
        <f t="shared" si="17"/>
        <v>11</v>
      </c>
      <c r="G18" s="449">
        <f t="shared" si="17"/>
        <v>7</v>
      </c>
      <c r="H18" s="449">
        <f t="shared" si="17"/>
        <v>16</v>
      </c>
      <c r="I18" s="449">
        <f t="shared" si="17"/>
        <v>11</v>
      </c>
      <c r="J18" s="449">
        <f t="shared" si="17"/>
        <v>4</v>
      </c>
      <c r="K18" s="449">
        <f t="shared" si="17"/>
        <v>3</v>
      </c>
      <c r="L18" s="449">
        <f t="shared" si="17"/>
        <v>0</v>
      </c>
      <c r="M18" s="449">
        <f t="shared" si="17"/>
        <v>4</v>
      </c>
      <c r="N18" s="449">
        <f t="shared" si="17"/>
        <v>2</v>
      </c>
      <c r="O18" s="449">
        <f t="shared" si="17"/>
        <v>6</v>
      </c>
      <c r="P18" s="449">
        <f t="shared" si="17"/>
        <v>0</v>
      </c>
      <c r="Q18" s="449">
        <f t="shared" si="17"/>
        <v>4</v>
      </c>
      <c r="R18" s="449">
        <f t="shared" si="17"/>
        <v>2</v>
      </c>
      <c r="S18" s="449">
        <f t="shared" si="17"/>
        <v>1</v>
      </c>
      <c r="T18" s="449">
        <f t="shared" si="17"/>
        <v>0</v>
      </c>
      <c r="U18" s="449">
        <f t="shared" si="17"/>
        <v>3</v>
      </c>
      <c r="V18" s="449">
        <f t="shared" si="17"/>
        <v>13</v>
      </c>
      <c r="W18" s="449">
        <f t="shared" si="17"/>
        <v>0</v>
      </c>
      <c r="X18" s="449">
        <f t="shared" si="17"/>
        <v>9</v>
      </c>
      <c r="Y18" s="449">
        <f t="shared" si="17"/>
        <v>1</v>
      </c>
      <c r="Z18" s="449">
        <f t="shared" si="17"/>
        <v>103</v>
      </c>
    </row>
    <row r="19" spans="1:26">
      <c r="A19" s="45" t="str">
        <f t="shared" si="1"/>
        <v>30-34agefetal</v>
      </c>
      <c r="B19" s="39" t="s">
        <v>420</v>
      </c>
      <c r="C19" s="536" t="s">
        <v>453</v>
      </c>
      <c r="D19" s="39" t="s">
        <v>132</v>
      </c>
      <c r="E19" s="449">
        <f t="shared" ref="E19:Z19" si="18">IFERROR(VLOOKUP($A$19&amp;E$1, vw.deaths.dhb, 6, FALSE),0)</f>
        <v>5</v>
      </c>
      <c r="F19" s="449">
        <f t="shared" si="18"/>
        <v>12</v>
      </c>
      <c r="G19" s="449">
        <f t="shared" si="18"/>
        <v>20</v>
      </c>
      <c r="H19" s="449">
        <f t="shared" si="18"/>
        <v>14</v>
      </c>
      <c r="I19" s="449">
        <f t="shared" si="18"/>
        <v>15</v>
      </c>
      <c r="J19" s="449">
        <f t="shared" si="18"/>
        <v>0</v>
      </c>
      <c r="K19" s="449">
        <f t="shared" si="18"/>
        <v>6</v>
      </c>
      <c r="L19" s="449">
        <f t="shared" si="18"/>
        <v>0</v>
      </c>
      <c r="M19" s="449">
        <f t="shared" si="18"/>
        <v>2</v>
      </c>
      <c r="N19" s="449">
        <f t="shared" si="18"/>
        <v>4</v>
      </c>
      <c r="O19" s="449">
        <f t="shared" si="18"/>
        <v>2</v>
      </c>
      <c r="P19" s="449">
        <f t="shared" si="18"/>
        <v>1</v>
      </c>
      <c r="Q19" s="449">
        <f t="shared" si="18"/>
        <v>6</v>
      </c>
      <c r="R19" s="449">
        <f t="shared" si="18"/>
        <v>2</v>
      </c>
      <c r="S19" s="449">
        <f t="shared" si="18"/>
        <v>1</v>
      </c>
      <c r="T19" s="449">
        <f t="shared" si="18"/>
        <v>2</v>
      </c>
      <c r="U19" s="449">
        <f t="shared" si="18"/>
        <v>2</v>
      </c>
      <c r="V19" s="449">
        <f t="shared" si="18"/>
        <v>12</v>
      </c>
      <c r="W19" s="449">
        <f t="shared" si="18"/>
        <v>0</v>
      </c>
      <c r="X19" s="449">
        <f t="shared" si="18"/>
        <v>7</v>
      </c>
      <c r="Y19" s="449">
        <f t="shared" si="18"/>
        <v>1</v>
      </c>
      <c r="Z19" s="449">
        <f t="shared" si="18"/>
        <v>115</v>
      </c>
    </row>
    <row r="20" spans="1:26">
      <c r="A20" s="45" t="str">
        <f t="shared" si="1"/>
        <v>35-39agefetal</v>
      </c>
      <c r="B20" s="39" t="s">
        <v>420</v>
      </c>
      <c r="C20" s="536" t="s">
        <v>453</v>
      </c>
      <c r="D20" s="39" t="s">
        <v>133</v>
      </c>
      <c r="E20" s="449">
        <f t="shared" ref="E20:Z20" si="19">IFERROR(VLOOKUP($A$20&amp;E$1, vw.deaths.dhb, 6, FALSE),0)</f>
        <v>1</v>
      </c>
      <c r="F20" s="449">
        <f t="shared" si="19"/>
        <v>11</v>
      </c>
      <c r="G20" s="449">
        <f t="shared" si="19"/>
        <v>9</v>
      </c>
      <c r="H20" s="449">
        <f t="shared" si="19"/>
        <v>12</v>
      </c>
      <c r="I20" s="449">
        <f t="shared" si="19"/>
        <v>11</v>
      </c>
      <c r="J20" s="449">
        <f t="shared" si="19"/>
        <v>0</v>
      </c>
      <c r="K20" s="449">
        <f t="shared" si="19"/>
        <v>3</v>
      </c>
      <c r="L20" s="449">
        <f t="shared" si="19"/>
        <v>0</v>
      </c>
      <c r="M20" s="449">
        <f t="shared" si="19"/>
        <v>1</v>
      </c>
      <c r="N20" s="449">
        <f t="shared" si="19"/>
        <v>1</v>
      </c>
      <c r="O20" s="449">
        <f t="shared" si="19"/>
        <v>2</v>
      </c>
      <c r="P20" s="449">
        <f t="shared" si="19"/>
        <v>0</v>
      </c>
      <c r="Q20" s="449">
        <f t="shared" si="19"/>
        <v>4</v>
      </c>
      <c r="R20" s="449">
        <f t="shared" si="19"/>
        <v>1</v>
      </c>
      <c r="S20" s="449">
        <f t="shared" si="19"/>
        <v>0</v>
      </c>
      <c r="T20" s="449">
        <f t="shared" si="19"/>
        <v>0</v>
      </c>
      <c r="U20" s="449">
        <f t="shared" si="19"/>
        <v>2</v>
      </c>
      <c r="V20" s="449">
        <f t="shared" si="19"/>
        <v>7</v>
      </c>
      <c r="W20" s="449">
        <f t="shared" si="19"/>
        <v>0</v>
      </c>
      <c r="X20" s="449">
        <f t="shared" si="19"/>
        <v>5</v>
      </c>
      <c r="Y20" s="449">
        <f t="shared" si="19"/>
        <v>0</v>
      </c>
      <c r="Z20" s="449">
        <f t="shared" si="19"/>
        <v>70</v>
      </c>
    </row>
    <row r="21" spans="1:26">
      <c r="A21" s="45" t="str">
        <f t="shared" si="1"/>
        <v>40+agefetal</v>
      </c>
      <c r="B21" s="39" t="s">
        <v>420</v>
      </c>
      <c r="C21" s="536" t="s">
        <v>453</v>
      </c>
      <c r="D21" s="39" t="s">
        <v>134</v>
      </c>
      <c r="E21" s="449">
        <f t="shared" ref="E21:Z21" si="20">IFERROR(VLOOKUP($A$21&amp;E$1, vw.deaths.dhb, 6, FALSE),0)</f>
        <v>1</v>
      </c>
      <c r="F21" s="449">
        <f t="shared" si="20"/>
        <v>2</v>
      </c>
      <c r="G21" s="449">
        <f t="shared" si="20"/>
        <v>0</v>
      </c>
      <c r="H21" s="449">
        <f t="shared" si="20"/>
        <v>1</v>
      </c>
      <c r="I21" s="449">
        <f t="shared" si="20"/>
        <v>5</v>
      </c>
      <c r="J21" s="449">
        <f t="shared" si="20"/>
        <v>0</v>
      </c>
      <c r="K21" s="449">
        <f t="shared" si="20"/>
        <v>0</v>
      </c>
      <c r="L21" s="449">
        <f t="shared" si="20"/>
        <v>0</v>
      </c>
      <c r="M21" s="449">
        <f t="shared" si="20"/>
        <v>0</v>
      </c>
      <c r="N21" s="449">
        <f t="shared" si="20"/>
        <v>0</v>
      </c>
      <c r="O21" s="449">
        <f t="shared" si="20"/>
        <v>0</v>
      </c>
      <c r="P21" s="449">
        <f t="shared" si="20"/>
        <v>0</v>
      </c>
      <c r="Q21" s="449">
        <f t="shared" si="20"/>
        <v>2</v>
      </c>
      <c r="R21" s="449">
        <f t="shared" si="20"/>
        <v>0</v>
      </c>
      <c r="S21" s="449">
        <f t="shared" si="20"/>
        <v>0</v>
      </c>
      <c r="T21" s="449">
        <f t="shared" si="20"/>
        <v>2</v>
      </c>
      <c r="U21" s="449">
        <f t="shared" si="20"/>
        <v>0</v>
      </c>
      <c r="V21" s="449">
        <f t="shared" si="20"/>
        <v>3</v>
      </c>
      <c r="W21" s="449">
        <f t="shared" si="20"/>
        <v>0</v>
      </c>
      <c r="X21" s="449">
        <f t="shared" si="20"/>
        <v>0</v>
      </c>
      <c r="Y21" s="449">
        <f t="shared" si="20"/>
        <v>0</v>
      </c>
      <c r="Z21" s="449">
        <f t="shared" si="20"/>
        <v>16</v>
      </c>
    </row>
    <row r="22" spans="1:26">
      <c r="A22" s="45" t="str">
        <f t="shared" si="1"/>
        <v>&lt;20ageinfant</v>
      </c>
      <c r="B22" s="39" t="s">
        <v>437</v>
      </c>
      <c r="C22" s="536" t="s">
        <v>453</v>
      </c>
      <c r="D22" s="39" t="s">
        <v>339</v>
      </c>
      <c r="E22" s="449">
        <f t="shared" ref="E22:Z22" si="21">IFERROR(VLOOKUP($A$22&amp;E$1, vw.deaths.dhb, 6, FALSE),0)</f>
        <v>0</v>
      </c>
      <c r="F22" s="449">
        <f t="shared" si="21"/>
        <v>2</v>
      </c>
      <c r="G22" s="449">
        <f t="shared" si="21"/>
        <v>2</v>
      </c>
      <c r="H22" s="449">
        <f t="shared" si="21"/>
        <v>12</v>
      </c>
      <c r="I22" s="449">
        <f t="shared" si="21"/>
        <v>4</v>
      </c>
      <c r="J22" s="449">
        <f t="shared" si="21"/>
        <v>0</v>
      </c>
      <c r="K22" s="449">
        <f t="shared" si="21"/>
        <v>1</v>
      </c>
      <c r="L22" s="449">
        <f t="shared" si="21"/>
        <v>0</v>
      </c>
      <c r="M22" s="449">
        <f t="shared" si="21"/>
        <v>2</v>
      </c>
      <c r="N22" s="449">
        <f t="shared" si="21"/>
        <v>0</v>
      </c>
      <c r="O22" s="449">
        <f t="shared" si="21"/>
        <v>1</v>
      </c>
      <c r="P22" s="449">
        <f t="shared" si="21"/>
        <v>0</v>
      </c>
      <c r="Q22" s="449">
        <f t="shared" si="21"/>
        <v>0</v>
      </c>
      <c r="R22" s="449">
        <f t="shared" si="21"/>
        <v>1</v>
      </c>
      <c r="S22" s="449">
        <f t="shared" si="21"/>
        <v>1</v>
      </c>
      <c r="T22" s="449">
        <f t="shared" si="21"/>
        <v>0</v>
      </c>
      <c r="U22" s="449">
        <f t="shared" si="21"/>
        <v>1</v>
      </c>
      <c r="V22" s="449">
        <f t="shared" si="21"/>
        <v>0</v>
      </c>
      <c r="W22" s="449">
        <f t="shared" si="21"/>
        <v>0</v>
      </c>
      <c r="X22" s="449">
        <f t="shared" si="21"/>
        <v>0</v>
      </c>
      <c r="Y22" s="449">
        <f t="shared" si="21"/>
        <v>0</v>
      </c>
      <c r="Z22" s="449">
        <f t="shared" si="21"/>
        <v>27</v>
      </c>
    </row>
    <row r="23" spans="1:26">
      <c r="A23" s="45" t="str">
        <f t="shared" si="1"/>
        <v>20-24ageinfant</v>
      </c>
      <c r="B23" s="39" t="s">
        <v>437</v>
      </c>
      <c r="C23" s="536" t="s">
        <v>453</v>
      </c>
      <c r="D23" s="39" t="s">
        <v>130</v>
      </c>
      <c r="E23" s="449">
        <f t="shared" ref="E23:Z23" si="22">IFERROR(VLOOKUP($A$23&amp;E$1, vw.deaths.dhb, 6, FALSE),0)</f>
        <v>4</v>
      </c>
      <c r="F23" s="449">
        <f t="shared" si="22"/>
        <v>3</v>
      </c>
      <c r="G23" s="449">
        <f t="shared" si="22"/>
        <v>2</v>
      </c>
      <c r="H23" s="449">
        <f t="shared" si="22"/>
        <v>15</v>
      </c>
      <c r="I23" s="449">
        <f t="shared" si="22"/>
        <v>7</v>
      </c>
      <c r="J23" s="449">
        <f t="shared" si="22"/>
        <v>0</v>
      </c>
      <c r="K23" s="449">
        <f t="shared" si="22"/>
        <v>5</v>
      </c>
      <c r="L23" s="449">
        <f t="shared" si="22"/>
        <v>0</v>
      </c>
      <c r="M23" s="449">
        <f t="shared" si="22"/>
        <v>1</v>
      </c>
      <c r="N23" s="449">
        <f t="shared" si="22"/>
        <v>3</v>
      </c>
      <c r="O23" s="449">
        <f t="shared" si="22"/>
        <v>4</v>
      </c>
      <c r="P23" s="449">
        <f t="shared" si="22"/>
        <v>2</v>
      </c>
      <c r="Q23" s="449">
        <f t="shared" si="22"/>
        <v>0</v>
      </c>
      <c r="R23" s="449">
        <f t="shared" si="22"/>
        <v>3</v>
      </c>
      <c r="S23" s="449">
        <f t="shared" si="22"/>
        <v>0</v>
      </c>
      <c r="T23" s="449">
        <f t="shared" si="22"/>
        <v>0</v>
      </c>
      <c r="U23" s="449">
        <f t="shared" si="22"/>
        <v>1</v>
      </c>
      <c r="V23" s="449">
        <f t="shared" si="22"/>
        <v>6</v>
      </c>
      <c r="W23" s="449">
        <f t="shared" si="22"/>
        <v>1</v>
      </c>
      <c r="X23" s="449">
        <f t="shared" si="22"/>
        <v>2</v>
      </c>
      <c r="Y23" s="449">
        <f t="shared" si="22"/>
        <v>0</v>
      </c>
      <c r="Z23" s="449">
        <f t="shared" si="22"/>
        <v>61</v>
      </c>
    </row>
    <row r="24" spans="1:26">
      <c r="A24" s="45" t="str">
        <f t="shared" si="1"/>
        <v>25-29ageinfant</v>
      </c>
      <c r="B24" s="39" t="s">
        <v>437</v>
      </c>
      <c r="C24" s="536" t="s">
        <v>453</v>
      </c>
      <c r="D24" s="39" t="s">
        <v>131</v>
      </c>
      <c r="E24" s="449">
        <f t="shared" ref="E24:Z24" si="23">IFERROR(VLOOKUP($A$24&amp;E$1, vw.deaths.dhb, 6, FALSE),0)</f>
        <v>1</v>
      </c>
      <c r="F24" s="449">
        <f t="shared" si="23"/>
        <v>3</v>
      </c>
      <c r="G24" s="449">
        <f t="shared" si="23"/>
        <v>4</v>
      </c>
      <c r="H24" s="449">
        <f t="shared" si="23"/>
        <v>7</v>
      </c>
      <c r="I24" s="449">
        <f t="shared" si="23"/>
        <v>7</v>
      </c>
      <c r="J24" s="449">
        <f t="shared" si="23"/>
        <v>0</v>
      </c>
      <c r="K24" s="449">
        <f t="shared" si="23"/>
        <v>4</v>
      </c>
      <c r="L24" s="449">
        <f t="shared" si="23"/>
        <v>0</v>
      </c>
      <c r="M24" s="449">
        <f t="shared" si="23"/>
        <v>2</v>
      </c>
      <c r="N24" s="449">
        <f t="shared" si="23"/>
        <v>2</v>
      </c>
      <c r="O24" s="449">
        <f t="shared" si="23"/>
        <v>4</v>
      </c>
      <c r="P24" s="449">
        <f t="shared" si="23"/>
        <v>1</v>
      </c>
      <c r="Q24" s="449">
        <f t="shared" si="23"/>
        <v>4</v>
      </c>
      <c r="R24" s="449">
        <f t="shared" si="23"/>
        <v>0</v>
      </c>
      <c r="S24" s="449">
        <f t="shared" si="23"/>
        <v>0</v>
      </c>
      <c r="T24" s="449">
        <f t="shared" si="23"/>
        <v>2</v>
      </c>
      <c r="U24" s="449">
        <f t="shared" si="23"/>
        <v>0</v>
      </c>
      <c r="V24" s="449">
        <f t="shared" si="23"/>
        <v>7</v>
      </c>
      <c r="W24" s="449">
        <f t="shared" si="23"/>
        <v>1</v>
      </c>
      <c r="X24" s="449">
        <f t="shared" si="23"/>
        <v>2</v>
      </c>
      <c r="Y24" s="449">
        <f t="shared" si="23"/>
        <v>0</v>
      </c>
      <c r="Z24" s="449">
        <f t="shared" si="23"/>
        <v>52</v>
      </c>
    </row>
    <row r="25" spans="1:26">
      <c r="A25" s="45" t="str">
        <f t="shared" si="1"/>
        <v>30-34ageinfant</v>
      </c>
      <c r="B25" s="39" t="s">
        <v>437</v>
      </c>
      <c r="C25" s="536" t="s">
        <v>453</v>
      </c>
      <c r="D25" s="39" t="s">
        <v>132</v>
      </c>
      <c r="E25" s="449">
        <f t="shared" ref="E25:Z25" si="24">IFERROR(VLOOKUP($A$25&amp;E$1, vw.deaths.dhb, 6, FALSE),0)</f>
        <v>2</v>
      </c>
      <c r="F25" s="449">
        <f t="shared" si="24"/>
        <v>6</v>
      </c>
      <c r="G25" s="449">
        <f t="shared" si="24"/>
        <v>7</v>
      </c>
      <c r="H25" s="449">
        <f t="shared" si="24"/>
        <v>13</v>
      </c>
      <c r="I25" s="449">
        <f t="shared" si="24"/>
        <v>8</v>
      </c>
      <c r="J25" s="449">
        <f t="shared" si="24"/>
        <v>0</v>
      </c>
      <c r="K25" s="449">
        <f t="shared" si="24"/>
        <v>3</v>
      </c>
      <c r="L25" s="449">
        <f t="shared" si="24"/>
        <v>0</v>
      </c>
      <c r="M25" s="449">
        <f t="shared" si="24"/>
        <v>1</v>
      </c>
      <c r="N25" s="449">
        <f t="shared" si="24"/>
        <v>1</v>
      </c>
      <c r="O25" s="449">
        <f t="shared" si="24"/>
        <v>1</v>
      </c>
      <c r="P25" s="449">
        <f t="shared" si="24"/>
        <v>2</v>
      </c>
      <c r="Q25" s="449">
        <f t="shared" si="24"/>
        <v>4</v>
      </c>
      <c r="R25" s="449">
        <f t="shared" si="24"/>
        <v>1</v>
      </c>
      <c r="S25" s="449">
        <f t="shared" si="24"/>
        <v>0</v>
      </c>
      <c r="T25" s="449">
        <f t="shared" si="24"/>
        <v>0</v>
      </c>
      <c r="U25" s="449">
        <f t="shared" si="24"/>
        <v>0</v>
      </c>
      <c r="V25" s="449">
        <f t="shared" si="24"/>
        <v>6</v>
      </c>
      <c r="W25" s="449">
        <f t="shared" si="24"/>
        <v>1</v>
      </c>
      <c r="X25" s="449">
        <f t="shared" si="24"/>
        <v>3</v>
      </c>
      <c r="Y25" s="449">
        <f t="shared" si="24"/>
        <v>0</v>
      </c>
      <c r="Z25" s="449">
        <f t="shared" si="24"/>
        <v>59</v>
      </c>
    </row>
    <row r="26" spans="1:26">
      <c r="A26" s="45" t="str">
        <f t="shared" si="1"/>
        <v>35-39ageinfant</v>
      </c>
      <c r="B26" s="39" t="s">
        <v>437</v>
      </c>
      <c r="C26" s="536" t="s">
        <v>453</v>
      </c>
      <c r="D26" s="39" t="s">
        <v>133</v>
      </c>
      <c r="E26" s="449">
        <f t="shared" ref="E26:Z26" si="25">IFERROR(VLOOKUP($A$26&amp;E$1, vw.deaths.dhb, 6, FALSE),0)</f>
        <v>2</v>
      </c>
      <c r="F26" s="449">
        <f t="shared" si="25"/>
        <v>4</v>
      </c>
      <c r="G26" s="449">
        <f t="shared" si="25"/>
        <v>2</v>
      </c>
      <c r="H26" s="449">
        <f t="shared" si="25"/>
        <v>4</v>
      </c>
      <c r="I26" s="449">
        <f t="shared" si="25"/>
        <v>2</v>
      </c>
      <c r="J26" s="449">
        <f t="shared" si="25"/>
        <v>0</v>
      </c>
      <c r="K26" s="449">
        <f t="shared" si="25"/>
        <v>2</v>
      </c>
      <c r="L26" s="449">
        <f t="shared" si="25"/>
        <v>0</v>
      </c>
      <c r="M26" s="449">
        <f t="shared" si="25"/>
        <v>0</v>
      </c>
      <c r="N26" s="449">
        <f t="shared" si="25"/>
        <v>0</v>
      </c>
      <c r="O26" s="449">
        <f t="shared" si="25"/>
        <v>0</v>
      </c>
      <c r="P26" s="449">
        <f t="shared" si="25"/>
        <v>1</v>
      </c>
      <c r="Q26" s="449">
        <f t="shared" si="25"/>
        <v>2</v>
      </c>
      <c r="R26" s="449">
        <f t="shared" si="25"/>
        <v>3</v>
      </c>
      <c r="S26" s="449">
        <f t="shared" si="25"/>
        <v>0</v>
      </c>
      <c r="T26" s="449">
        <f t="shared" si="25"/>
        <v>0</v>
      </c>
      <c r="U26" s="449">
        <f t="shared" si="25"/>
        <v>0</v>
      </c>
      <c r="V26" s="449">
        <f t="shared" si="25"/>
        <v>2</v>
      </c>
      <c r="W26" s="449">
        <f t="shared" si="25"/>
        <v>0</v>
      </c>
      <c r="X26" s="449">
        <f t="shared" si="25"/>
        <v>2</v>
      </c>
      <c r="Y26" s="449">
        <f t="shared" si="25"/>
        <v>0</v>
      </c>
      <c r="Z26" s="449">
        <f t="shared" si="25"/>
        <v>26</v>
      </c>
    </row>
    <row r="27" spans="1:26">
      <c r="A27" s="45" t="str">
        <f t="shared" si="1"/>
        <v>40+ageinfant</v>
      </c>
      <c r="B27" s="39" t="s">
        <v>437</v>
      </c>
      <c r="C27" s="536" t="s">
        <v>453</v>
      </c>
      <c r="D27" s="39" t="s">
        <v>134</v>
      </c>
      <c r="E27" s="449">
        <f t="shared" ref="E27:Z27" si="26">IFERROR(VLOOKUP($A$27&amp;E$1, vw.deaths.dhb, 6, FALSE),0)</f>
        <v>3</v>
      </c>
      <c r="F27" s="449">
        <f t="shared" si="26"/>
        <v>0</v>
      </c>
      <c r="G27" s="449">
        <f t="shared" si="26"/>
        <v>1</v>
      </c>
      <c r="H27" s="449">
        <f t="shared" si="26"/>
        <v>6</v>
      </c>
      <c r="I27" s="449">
        <f t="shared" si="26"/>
        <v>0</v>
      </c>
      <c r="J27" s="449">
        <f t="shared" si="26"/>
        <v>0</v>
      </c>
      <c r="K27" s="449">
        <f t="shared" si="26"/>
        <v>3</v>
      </c>
      <c r="L27" s="449">
        <f t="shared" si="26"/>
        <v>0</v>
      </c>
      <c r="M27" s="449">
        <f t="shared" si="26"/>
        <v>0</v>
      </c>
      <c r="N27" s="449">
        <f t="shared" si="26"/>
        <v>0</v>
      </c>
      <c r="O27" s="449">
        <f t="shared" si="26"/>
        <v>0</v>
      </c>
      <c r="P27" s="449">
        <f t="shared" si="26"/>
        <v>0</v>
      </c>
      <c r="Q27" s="449">
        <f t="shared" si="26"/>
        <v>1</v>
      </c>
      <c r="R27" s="449">
        <f t="shared" si="26"/>
        <v>1</v>
      </c>
      <c r="S27" s="449">
        <f t="shared" si="26"/>
        <v>0</v>
      </c>
      <c r="T27" s="449">
        <f t="shared" si="26"/>
        <v>0</v>
      </c>
      <c r="U27" s="449">
        <f t="shared" si="26"/>
        <v>0</v>
      </c>
      <c r="V27" s="449">
        <f t="shared" si="26"/>
        <v>0</v>
      </c>
      <c r="W27" s="449">
        <f t="shared" si="26"/>
        <v>0</v>
      </c>
      <c r="X27" s="449">
        <f t="shared" si="26"/>
        <v>0</v>
      </c>
      <c r="Y27" s="449">
        <f t="shared" si="26"/>
        <v>0</v>
      </c>
      <c r="Z27" s="449">
        <f t="shared" si="26"/>
        <v>15</v>
      </c>
    </row>
    <row r="28" spans="1:26">
      <c r="A28" s="45" t="str">
        <f t="shared" si="1"/>
        <v>Unknownageinfant</v>
      </c>
      <c r="B28" s="39" t="s">
        <v>437</v>
      </c>
      <c r="C28" s="536" t="s">
        <v>453</v>
      </c>
      <c r="D28" s="39" t="s">
        <v>63</v>
      </c>
      <c r="E28" s="449">
        <f t="shared" ref="E28:Z28" si="27">IFERROR(VLOOKUP($A$28&amp;E$1, vw.deaths.dhb, 6, FALSE),0)</f>
        <v>0</v>
      </c>
      <c r="F28" s="449">
        <f t="shared" si="27"/>
        <v>0</v>
      </c>
      <c r="G28" s="449">
        <f t="shared" si="27"/>
        <v>0</v>
      </c>
      <c r="H28" s="449">
        <f t="shared" si="27"/>
        <v>0</v>
      </c>
      <c r="I28" s="449">
        <f t="shared" si="27"/>
        <v>0</v>
      </c>
      <c r="J28" s="449">
        <f t="shared" si="27"/>
        <v>0</v>
      </c>
      <c r="K28" s="449">
        <f t="shared" si="27"/>
        <v>0</v>
      </c>
      <c r="L28" s="449">
        <f t="shared" si="27"/>
        <v>0</v>
      </c>
      <c r="M28" s="449">
        <f t="shared" si="27"/>
        <v>0</v>
      </c>
      <c r="N28" s="449">
        <f t="shared" si="27"/>
        <v>0</v>
      </c>
      <c r="O28" s="449">
        <f t="shared" si="27"/>
        <v>0</v>
      </c>
      <c r="P28" s="449">
        <f t="shared" si="27"/>
        <v>0</v>
      </c>
      <c r="Q28" s="449">
        <f t="shared" si="27"/>
        <v>0</v>
      </c>
      <c r="R28" s="449">
        <f t="shared" si="27"/>
        <v>0</v>
      </c>
      <c r="S28" s="449">
        <f t="shared" si="27"/>
        <v>0</v>
      </c>
      <c r="T28" s="449">
        <f t="shared" si="27"/>
        <v>0</v>
      </c>
      <c r="U28" s="449">
        <f t="shared" si="27"/>
        <v>0</v>
      </c>
      <c r="V28" s="449">
        <f t="shared" si="27"/>
        <v>0</v>
      </c>
      <c r="W28" s="449">
        <f t="shared" si="27"/>
        <v>0</v>
      </c>
      <c r="X28" s="449">
        <f t="shared" si="27"/>
        <v>0</v>
      </c>
      <c r="Y28" s="449">
        <f t="shared" si="27"/>
        <v>1</v>
      </c>
      <c r="Z28" s="449">
        <f t="shared" si="27"/>
        <v>1</v>
      </c>
    </row>
    <row r="29" spans="1:26">
      <c r="A29" s="45" t="str">
        <f t="shared" si="1"/>
        <v>Unknownagefetal</v>
      </c>
      <c r="B29" s="39" t="s">
        <v>420</v>
      </c>
      <c r="C29" s="536" t="s">
        <v>453</v>
      </c>
      <c r="D29" s="536" t="s">
        <v>63</v>
      </c>
      <c r="E29" s="449">
        <f t="shared" ref="E29:Z29" si="28">IFERROR(VLOOKUP($A$29&amp;E$1, vw.deaths.dhb, 6, FALSE),0)</f>
        <v>0</v>
      </c>
      <c r="F29" s="449">
        <f t="shared" si="28"/>
        <v>0</v>
      </c>
      <c r="G29" s="449">
        <f t="shared" si="28"/>
        <v>0</v>
      </c>
      <c r="H29" s="449">
        <f t="shared" si="28"/>
        <v>0</v>
      </c>
      <c r="I29" s="449">
        <f t="shared" si="28"/>
        <v>0</v>
      </c>
      <c r="J29" s="449">
        <f t="shared" si="28"/>
        <v>0</v>
      </c>
      <c r="K29" s="449">
        <f t="shared" si="28"/>
        <v>0</v>
      </c>
      <c r="L29" s="449">
        <f t="shared" si="28"/>
        <v>0</v>
      </c>
      <c r="M29" s="449">
        <f t="shared" si="28"/>
        <v>0</v>
      </c>
      <c r="N29" s="449">
        <f t="shared" si="28"/>
        <v>0</v>
      </c>
      <c r="O29" s="449">
        <f t="shared" si="28"/>
        <v>0</v>
      </c>
      <c r="P29" s="449">
        <f t="shared" si="28"/>
        <v>0</v>
      </c>
      <c r="Q29" s="449">
        <f t="shared" si="28"/>
        <v>0</v>
      </c>
      <c r="R29" s="449">
        <f t="shared" si="28"/>
        <v>0</v>
      </c>
      <c r="S29" s="449">
        <f t="shared" si="28"/>
        <v>0</v>
      </c>
      <c r="T29" s="449">
        <f t="shared" si="28"/>
        <v>0</v>
      </c>
      <c r="U29" s="449">
        <f t="shared" si="28"/>
        <v>0</v>
      </c>
      <c r="V29" s="449">
        <f t="shared" si="28"/>
        <v>0</v>
      </c>
      <c r="W29" s="449">
        <f t="shared" si="28"/>
        <v>0</v>
      </c>
      <c r="X29" s="449">
        <f t="shared" si="28"/>
        <v>0</v>
      </c>
      <c r="Y29" s="449">
        <f t="shared" si="28"/>
        <v>0</v>
      </c>
      <c r="Z29" s="449">
        <f t="shared" si="28"/>
        <v>0</v>
      </c>
    </row>
    <row r="30" spans="1:26">
      <c r="A30" s="45" t="str">
        <f t="shared" si="1"/>
        <v>Quin 1depfetal</v>
      </c>
      <c r="B30" s="39" t="s">
        <v>420</v>
      </c>
      <c r="C30" s="39" t="s">
        <v>454</v>
      </c>
      <c r="D30" s="39" t="s">
        <v>421</v>
      </c>
      <c r="E30" s="449">
        <f t="shared" ref="E30:Z30" si="29">IFERROR(VLOOKUP($A$30&amp;E$1, vw.deaths.dhb, 6, FALSE),0)</f>
        <v>0</v>
      </c>
      <c r="F30" s="449">
        <f t="shared" si="29"/>
        <v>8</v>
      </c>
      <c r="G30" s="449">
        <f t="shared" si="29"/>
        <v>3</v>
      </c>
      <c r="H30" s="449">
        <f t="shared" si="29"/>
        <v>4</v>
      </c>
      <c r="I30" s="449">
        <f t="shared" si="29"/>
        <v>3</v>
      </c>
      <c r="J30" s="449">
        <f t="shared" si="29"/>
        <v>0</v>
      </c>
      <c r="K30" s="449">
        <f t="shared" si="29"/>
        <v>0</v>
      </c>
      <c r="L30" s="449">
        <f t="shared" si="29"/>
        <v>0</v>
      </c>
      <c r="M30" s="449">
        <f t="shared" si="29"/>
        <v>0</v>
      </c>
      <c r="N30" s="449">
        <f t="shared" si="29"/>
        <v>0</v>
      </c>
      <c r="O30" s="449">
        <f t="shared" si="29"/>
        <v>2</v>
      </c>
      <c r="P30" s="449">
        <f t="shared" si="29"/>
        <v>0</v>
      </c>
      <c r="Q30" s="449">
        <f t="shared" si="29"/>
        <v>3</v>
      </c>
      <c r="R30" s="449">
        <f t="shared" si="29"/>
        <v>1</v>
      </c>
      <c r="S30" s="449">
        <f t="shared" si="29"/>
        <v>0</v>
      </c>
      <c r="T30" s="449">
        <f t="shared" si="29"/>
        <v>0</v>
      </c>
      <c r="U30" s="449">
        <f t="shared" si="29"/>
        <v>0</v>
      </c>
      <c r="V30" s="449">
        <f t="shared" si="29"/>
        <v>10</v>
      </c>
      <c r="W30" s="449">
        <f t="shared" si="29"/>
        <v>1</v>
      </c>
      <c r="X30" s="449">
        <f t="shared" si="29"/>
        <v>8</v>
      </c>
      <c r="Y30" s="449">
        <f t="shared" si="29"/>
        <v>0</v>
      </c>
      <c r="Z30" s="449">
        <f t="shared" si="29"/>
        <v>43</v>
      </c>
    </row>
    <row r="31" spans="1:26">
      <c r="A31" s="45" t="str">
        <f t="shared" si="1"/>
        <v>Quin 2depfetal</v>
      </c>
      <c r="B31" s="39" t="s">
        <v>420</v>
      </c>
      <c r="C31" s="536" t="s">
        <v>454</v>
      </c>
      <c r="D31" s="39" t="s">
        <v>422</v>
      </c>
      <c r="E31" s="449">
        <f t="shared" ref="E31:Z31" si="30">IFERROR(VLOOKUP($A$31&amp;E$1, vw.deaths.dhb, 6, FALSE),0)</f>
        <v>2</v>
      </c>
      <c r="F31" s="449">
        <f t="shared" si="30"/>
        <v>14</v>
      </c>
      <c r="G31" s="449">
        <f t="shared" si="30"/>
        <v>8</v>
      </c>
      <c r="H31" s="449">
        <f t="shared" si="30"/>
        <v>2</v>
      </c>
      <c r="I31" s="449">
        <f t="shared" si="30"/>
        <v>4</v>
      </c>
      <c r="J31" s="449">
        <f t="shared" si="30"/>
        <v>2</v>
      </c>
      <c r="K31" s="449">
        <f t="shared" si="30"/>
        <v>3</v>
      </c>
      <c r="L31" s="449">
        <f t="shared" si="30"/>
        <v>0</v>
      </c>
      <c r="M31" s="449">
        <f t="shared" si="30"/>
        <v>3</v>
      </c>
      <c r="N31" s="449">
        <f t="shared" si="30"/>
        <v>1</v>
      </c>
      <c r="O31" s="449">
        <f t="shared" si="30"/>
        <v>3</v>
      </c>
      <c r="P31" s="449">
        <f t="shared" si="30"/>
        <v>1</v>
      </c>
      <c r="Q31" s="449">
        <f t="shared" si="30"/>
        <v>3</v>
      </c>
      <c r="R31" s="449">
        <f t="shared" si="30"/>
        <v>0</v>
      </c>
      <c r="S31" s="449">
        <f t="shared" si="30"/>
        <v>0</v>
      </c>
      <c r="T31" s="449">
        <f t="shared" si="30"/>
        <v>2</v>
      </c>
      <c r="U31" s="449">
        <f t="shared" si="30"/>
        <v>2</v>
      </c>
      <c r="V31" s="449">
        <f t="shared" si="30"/>
        <v>9</v>
      </c>
      <c r="W31" s="449">
        <f t="shared" si="30"/>
        <v>0</v>
      </c>
      <c r="X31" s="449">
        <f t="shared" si="30"/>
        <v>5</v>
      </c>
      <c r="Y31" s="449">
        <f t="shared" si="30"/>
        <v>0</v>
      </c>
      <c r="Z31" s="449">
        <f t="shared" si="30"/>
        <v>64</v>
      </c>
    </row>
    <row r="32" spans="1:26">
      <c r="A32" s="45" t="str">
        <f t="shared" si="1"/>
        <v>Quin 3depfetal</v>
      </c>
      <c r="B32" s="39" t="s">
        <v>420</v>
      </c>
      <c r="C32" s="536" t="s">
        <v>454</v>
      </c>
      <c r="D32" s="536" t="s">
        <v>423</v>
      </c>
      <c r="E32" s="449">
        <f t="shared" ref="E32:Z32" si="31">IFERROR(VLOOKUP($A$32&amp;E$1, vw.deaths.dhb, 6, FALSE),0)</f>
        <v>5</v>
      </c>
      <c r="F32" s="449">
        <f t="shared" si="31"/>
        <v>3</v>
      </c>
      <c r="G32" s="449">
        <f t="shared" si="31"/>
        <v>9</v>
      </c>
      <c r="H32" s="449">
        <f t="shared" si="31"/>
        <v>6</v>
      </c>
      <c r="I32" s="449">
        <f t="shared" si="31"/>
        <v>9</v>
      </c>
      <c r="J32" s="449">
        <f t="shared" si="31"/>
        <v>1</v>
      </c>
      <c r="K32" s="449">
        <f t="shared" si="31"/>
        <v>4</v>
      </c>
      <c r="L32" s="449">
        <f t="shared" si="31"/>
        <v>0</v>
      </c>
      <c r="M32" s="449">
        <f t="shared" si="31"/>
        <v>0</v>
      </c>
      <c r="N32" s="449">
        <f t="shared" si="31"/>
        <v>6</v>
      </c>
      <c r="O32" s="449">
        <f t="shared" si="31"/>
        <v>2</v>
      </c>
      <c r="P32" s="449">
        <f t="shared" si="31"/>
        <v>0</v>
      </c>
      <c r="Q32" s="449">
        <f t="shared" si="31"/>
        <v>1</v>
      </c>
      <c r="R32" s="449">
        <f t="shared" si="31"/>
        <v>1</v>
      </c>
      <c r="S32" s="449">
        <f t="shared" si="31"/>
        <v>1</v>
      </c>
      <c r="T32" s="449">
        <f t="shared" si="31"/>
        <v>1</v>
      </c>
      <c r="U32" s="449">
        <f t="shared" si="31"/>
        <v>2</v>
      </c>
      <c r="V32" s="449">
        <f t="shared" si="31"/>
        <v>8</v>
      </c>
      <c r="W32" s="449">
        <f t="shared" si="31"/>
        <v>1</v>
      </c>
      <c r="X32" s="449">
        <f t="shared" si="31"/>
        <v>8</v>
      </c>
      <c r="Y32" s="449">
        <f t="shared" si="31"/>
        <v>0</v>
      </c>
      <c r="Z32" s="449">
        <f t="shared" si="31"/>
        <v>68</v>
      </c>
    </row>
    <row r="33" spans="1:26">
      <c r="A33" s="45" t="str">
        <f t="shared" si="1"/>
        <v>Quin 4depfetal</v>
      </c>
      <c r="B33" s="39" t="s">
        <v>420</v>
      </c>
      <c r="C33" s="536" t="s">
        <v>454</v>
      </c>
      <c r="D33" s="536" t="s">
        <v>424</v>
      </c>
      <c r="E33" s="449">
        <f t="shared" ref="E33:Z33" si="32">IFERROR(VLOOKUP($A$33&amp;E$1, vw.deaths.dhb, 6, FALSE),0)</f>
        <v>4</v>
      </c>
      <c r="F33" s="449">
        <f t="shared" si="32"/>
        <v>10</v>
      </c>
      <c r="G33" s="449">
        <f t="shared" si="32"/>
        <v>7</v>
      </c>
      <c r="H33" s="449">
        <f t="shared" si="32"/>
        <v>5</v>
      </c>
      <c r="I33" s="449">
        <f t="shared" si="32"/>
        <v>21</v>
      </c>
      <c r="J33" s="449">
        <f t="shared" si="32"/>
        <v>1</v>
      </c>
      <c r="K33" s="449">
        <f t="shared" si="32"/>
        <v>4</v>
      </c>
      <c r="L33" s="449">
        <f t="shared" si="32"/>
        <v>0</v>
      </c>
      <c r="M33" s="449">
        <f t="shared" si="32"/>
        <v>3</v>
      </c>
      <c r="N33" s="449">
        <f t="shared" si="32"/>
        <v>4</v>
      </c>
      <c r="O33" s="449">
        <f t="shared" si="32"/>
        <v>1</v>
      </c>
      <c r="P33" s="449">
        <f t="shared" si="32"/>
        <v>1</v>
      </c>
      <c r="Q33" s="449">
        <f t="shared" si="32"/>
        <v>3</v>
      </c>
      <c r="R33" s="449">
        <f t="shared" si="32"/>
        <v>2</v>
      </c>
      <c r="S33" s="449">
        <f t="shared" si="32"/>
        <v>3</v>
      </c>
      <c r="T33" s="449">
        <f t="shared" si="32"/>
        <v>1</v>
      </c>
      <c r="U33" s="449">
        <f t="shared" si="32"/>
        <v>4</v>
      </c>
      <c r="V33" s="449">
        <f t="shared" si="32"/>
        <v>12</v>
      </c>
      <c r="W33" s="449">
        <f t="shared" si="32"/>
        <v>1</v>
      </c>
      <c r="X33" s="449">
        <f t="shared" si="32"/>
        <v>2</v>
      </c>
      <c r="Y33" s="449">
        <f t="shared" si="32"/>
        <v>0</v>
      </c>
      <c r="Z33" s="449">
        <f t="shared" si="32"/>
        <v>90</v>
      </c>
    </row>
    <row r="34" spans="1:26">
      <c r="A34" s="45" t="str">
        <f t="shared" si="1"/>
        <v>Quin 5depfetal</v>
      </c>
      <c r="B34" s="39" t="s">
        <v>420</v>
      </c>
      <c r="C34" s="536" t="s">
        <v>454</v>
      </c>
      <c r="D34" s="536" t="s">
        <v>425</v>
      </c>
      <c r="E34" s="449">
        <f t="shared" ref="E34:Z34" si="33">IFERROR(VLOOKUP($A$34&amp;E$1, vw.deaths.dhb, 6, FALSE),0)</f>
        <v>9</v>
      </c>
      <c r="F34" s="449">
        <f t="shared" si="33"/>
        <v>2</v>
      </c>
      <c r="G34" s="449">
        <f t="shared" si="33"/>
        <v>12</v>
      </c>
      <c r="H34" s="449">
        <f t="shared" si="33"/>
        <v>45</v>
      </c>
      <c r="I34" s="449">
        <f t="shared" si="33"/>
        <v>20</v>
      </c>
      <c r="J34" s="449">
        <f t="shared" si="33"/>
        <v>9</v>
      </c>
      <c r="K34" s="449">
        <f t="shared" si="33"/>
        <v>8</v>
      </c>
      <c r="L34" s="449">
        <f t="shared" si="33"/>
        <v>0</v>
      </c>
      <c r="M34" s="449">
        <f t="shared" si="33"/>
        <v>1</v>
      </c>
      <c r="N34" s="449">
        <f t="shared" si="33"/>
        <v>2</v>
      </c>
      <c r="O34" s="449">
        <f t="shared" si="33"/>
        <v>3</v>
      </c>
      <c r="P34" s="449">
        <f t="shared" si="33"/>
        <v>2</v>
      </c>
      <c r="Q34" s="449">
        <f t="shared" si="33"/>
        <v>3</v>
      </c>
      <c r="R34" s="449">
        <f t="shared" si="33"/>
        <v>3</v>
      </c>
      <c r="S34" s="449">
        <f t="shared" si="33"/>
        <v>1</v>
      </c>
      <c r="T34" s="449">
        <f t="shared" si="33"/>
        <v>0</v>
      </c>
      <c r="U34" s="449">
        <f t="shared" si="33"/>
        <v>0</v>
      </c>
      <c r="V34" s="449">
        <f t="shared" si="33"/>
        <v>1</v>
      </c>
      <c r="W34" s="449">
        <f t="shared" si="33"/>
        <v>0</v>
      </c>
      <c r="X34" s="449">
        <f t="shared" si="33"/>
        <v>4</v>
      </c>
      <c r="Y34" s="449">
        <f t="shared" si="33"/>
        <v>0</v>
      </c>
      <c r="Z34" s="449">
        <f t="shared" si="33"/>
        <v>126</v>
      </c>
    </row>
    <row r="35" spans="1:26">
      <c r="A35" s="45" t="str">
        <f t="shared" si="1"/>
        <v>Quin 9depfetal</v>
      </c>
      <c r="B35" s="39" t="s">
        <v>420</v>
      </c>
      <c r="C35" s="536" t="s">
        <v>454</v>
      </c>
      <c r="D35" s="536" t="s">
        <v>426</v>
      </c>
      <c r="E35" s="449">
        <f t="shared" ref="E35:Z35" si="34">IFERROR(VLOOKUP($A$35&amp;E$1, vw.deaths.dhb, 6, FALSE),0)</f>
        <v>0</v>
      </c>
      <c r="F35" s="449">
        <f t="shared" si="34"/>
        <v>5</v>
      </c>
      <c r="G35" s="449">
        <f t="shared" si="34"/>
        <v>0</v>
      </c>
      <c r="H35" s="449">
        <f t="shared" si="34"/>
        <v>4</v>
      </c>
      <c r="I35" s="449">
        <f t="shared" si="34"/>
        <v>1</v>
      </c>
      <c r="J35" s="449">
        <f t="shared" si="34"/>
        <v>0</v>
      </c>
      <c r="K35" s="449">
        <f t="shared" si="34"/>
        <v>0</v>
      </c>
      <c r="L35" s="449">
        <f t="shared" si="34"/>
        <v>0</v>
      </c>
      <c r="M35" s="449">
        <f t="shared" si="34"/>
        <v>0</v>
      </c>
      <c r="N35" s="449">
        <f t="shared" si="34"/>
        <v>0</v>
      </c>
      <c r="O35" s="449">
        <f t="shared" si="34"/>
        <v>0</v>
      </c>
      <c r="P35" s="449">
        <f t="shared" si="34"/>
        <v>0</v>
      </c>
      <c r="Q35" s="449">
        <f t="shared" si="34"/>
        <v>5</v>
      </c>
      <c r="R35" s="449">
        <f t="shared" si="34"/>
        <v>0</v>
      </c>
      <c r="S35" s="449">
        <f t="shared" si="34"/>
        <v>0</v>
      </c>
      <c r="T35" s="449">
        <f t="shared" si="34"/>
        <v>0</v>
      </c>
      <c r="U35" s="449">
        <f t="shared" si="34"/>
        <v>0</v>
      </c>
      <c r="V35" s="449">
        <f t="shared" si="34"/>
        <v>4</v>
      </c>
      <c r="W35" s="449">
        <f t="shared" si="34"/>
        <v>0</v>
      </c>
      <c r="X35" s="449">
        <f t="shared" si="34"/>
        <v>1</v>
      </c>
      <c r="Y35" s="449">
        <f t="shared" si="34"/>
        <v>2</v>
      </c>
      <c r="Z35" s="449">
        <f t="shared" si="34"/>
        <v>22</v>
      </c>
    </row>
    <row r="36" spans="1:26">
      <c r="A36" s="45" t="str">
        <f t="shared" si="1"/>
        <v>Quin 1depinfant</v>
      </c>
      <c r="B36" s="39" t="s">
        <v>437</v>
      </c>
      <c r="C36" s="536" t="s">
        <v>454</v>
      </c>
      <c r="D36" s="536" t="s">
        <v>421</v>
      </c>
      <c r="E36" s="449">
        <f t="shared" ref="E36:Z36" si="35">IFERROR(VLOOKUP($A$36&amp;E$1, vw.deaths.dhb, 6, FALSE),0)</f>
        <v>0</v>
      </c>
      <c r="F36" s="449">
        <f t="shared" si="35"/>
        <v>2</v>
      </c>
      <c r="G36" s="449">
        <f t="shared" si="35"/>
        <v>1</v>
      </c>
      <c r="H36" s="449">
        <f t="shared" si="35"/>
        <v>1</v>
      </c>
      <c r="I36" s="449">
        <f t="shared" si="35"/>
        <v>3</v>
      </c>
      <c r="J36" s="449">
        <f t="shared" si="35"/>
        <v>0</v>
      </c>
      <c r="K36" s="449">
        <f t="shared" si="35"/>
        <v>1</v>
      </c>
      <c r="L36" s="449">
        <f t="shared" si="35"/>
        <v>0</v>
      </c>
      <c r="M36" s="449">
        <f t="shared" si="35"/>
        <v>0</v>
      </c>
      <c r="N36" s="449">
        <f t="shared" si="35"/>
        <v>2</v>
      </c>
      <c r="O36" s="449">
        <f t="shared" si="35"/>
        <v>1</v>
      </c>
      <c r="P36" s="449">
        <f t="shared" si="35"/>
        <v>0</v>
      </c>
      <c r="Q36" s="449">
        <f t="shared" si="35"/>
        <v>2</v>
      </c>
      <c r="R36" s="449">
        <f t="shared" si="35"/>
        <v>2</v>
      </c>
      <c r="S36" s="449">
        <f t="shared" si="35"/>
        <v>0</v>
      </c>
      <c r="T36" s="449">
        <f t="shared" si="35"/>
        <v>1</v>
      </c>
      <c r="U36" s="449">
        <f t="shared" si="35"/>
        <v>1</v>
      </c>
      <c r="V36" s="449">
        <f t="shared" si="35"/>
        <v>5</v>
      </c>
      <c r="W36" s="449">
        <f t="shared" si="35"/>
        <v>1</v>
      </c>
      <c r="X36" s="449">
        <f t="shared" si="35"/>
        <v>1</v>
      </c>
      <c r="Y36" s="449">
        <f t="shared" si="35"/>
        <v>0</v>
      </c>
      <c r="Z36" s="449">
        <f t="shared" si="35"/>
        <v>24</v>
      </c>
    </row>
    <row r="37" spans="1:26">
      <c r="A37" s="45" t="str">
        <f t="shared" si="1"/>
        <v>Quin 2depinfant</v>
      </c>
      <c r="B37" s="39" t="s">
        <v>437</v>
      </c>
      <c r="C37" s="536" t="s">
        <v>454</v>
      </c>
      <c r="D37" s="536" t="s">
        <v>422</v>
      </c>
      <c r="E37" s="449">
        <f t="shared" ref="E37:Z37" si="36">IFERROR(VLOOKUP($A$37&amp;E$1, vw.deaths.dhb, 6, FALSE),0)</f>
        <v>0</v>
      </c>
      <c r="F37" s="449">
        <f t="shared" si="36"/>
        <v>4</v>
      </c>
      <c r="G37" s="449">
        <f t="shared" si="36"/>
        <v>2</v>
      </c>
      <c r="H37" s="449">
        <f t="shared" si="36"/>
        <v>2</v>
      </c>
      <c r="I37" s="449">
        <f t="shared" si="36"/>
        <v>2</v>
      </c>
      <c r="J37" s="449">
        <f t="shared" si="36"/>
        <v>0</v>
      </c>
      <c r="K37" s="449">
        <f t="shared" si="36"/>
        <v>1</v>
      </c>
      <c r="L37" s="449">
        <f t="shared" si="36"/>
        <v>0</v>
      </c>
      <c r="M37" s="449">
        <f t="shared" si="36"/>
        <v>0</v>
      </c>
      <c r="N37" s="449">
        <f t="shared" si="36"/>
        <v>1</v>
      </c>
      <c r="O37" s="449">
        <f t="shared" si="36"/>
        <v>2</v>
      </c>
      <c r="P37" s="449">
        <f t="shared" si="36"/>
        <v>1</v>
      </c>
      <c r="Q37" s="449">
        <f t="shared" si="36"/>
        <v>1</v>
      </c>
      <c r="R37" s="449">
        <f t="shared" si="36"/>
        <v>1</v>
      </c>
      <c r="S37" s="449">
        <f t="shared" si="36"/>
        <v>0</v>
      </c>
      <c r="T37" s="449">
        <f t="shared" si="36"/>
        <v>0</v>
      </c>
      <c r="U37" s="449">
        <f t="shared" si="36"/>
        <v>0</v>
      </c>
      <c r="V37" s="449">
        <f t="shared" si="36"/>
        <v>6</v>
      </c>
      <c r="W37" s="449">
        <f t="shared" si="36"/>
        <v>0</v>
      </c>
      <c r="X37" s="449">
        <f t="shared" si="36"/>
        <v>1</v>
      </c>
      <c r="Y37" s="449">
        <f t="shared" si="36"/>
        <v>0</v>
      </c>
      <c r="Z37" s="449">
        <f t="shared" si="36"/>
        <v>24</v>
      </c>
    </row>
    <row r="38" spans="1:26">
      <c r="A38" s="45" t="str">
        <f t="shared" si="1"/>
        <v>Quin 3depinfant</v>
      </c>
      <c r="B38" s="39" t="s">
        <v>437</v>
      </c>
      <c r="C38" s="536" t="s">
        <v>454</v>
      </c>
      <c r="D38" s="536" t="s">
        <v>423</v>
      </c>
      <c r="E38" s="449">
        <f t="shared" ref="E38:Z38" si="37">IFERROR(VLOOKUP($A$38&amp;E$1, vw.deaths.dhb, 6, FALSE),0)</f>
        <v>2</v>
      </c>
      <c r="F38" s="449">
        <f t="shared" si="37"/>
        <v>3</v>
      </c>
      <c r="G38" s="449">
        <f t="shared" si="37"/>
        <v>3</v>
      </c>
      <c r="H38" s="449">
        <f t="shared" si="37"/>
        <v>2</v>
      </c>
      <c r="I38" s="449">
        <f t="shared" si="37"/>
        <v>6</v>
      </c>
      <c r="J38" s="449">
        <f t="shared" si="37"/>
        <v>0</v>
      </c>
      <c r="K38" s="449">
        <f t="shared" si="37"/>
        <v>0</v>
      </c>
      <c r="L38" s="449">
        <f t="shared" si="37"/>
        <v>0</v>
      </c>
      <c r="M38" s="449">
        <f t="shared" si="37"/>
        <v>0</v>
      </c>
      <c r="N38" s="449">
        <f t="shared" si="37"/>
        <v>2</v>
      </c>
      <c r="O38" s="449">
        <f t="shared" si="37"/>
        <v>1</v>
      </c>
      <c r="P38" s="449">
        <f t="shared" si="37"/>
        <v>0</v>
      </c>
      <c r="Q38" s="449">
        <f t="shared" si="37"/>
        <v>3</v>
      </c>
      <c r="R38" s="449">
        <f t="shared" si="37"/>
        <v>2</v>
      </c>
      <c r="S38" s="449">
        <f t="shared" si="37"/>
        <v>0</v>
      </c>
      <c r="T38" s="449">
        <f t="shared" si="37"/>
        <v>1</v>
      </c>
      <c r="U38" s="449">
        <f t="shared" si="37"/>
        <v>1</v>
      </c>
      <c r="V38" s="449">
        <f t="shared" si="37"/>
        <v>3</v>
      </c>
      <c r="W38" s="449">
        <f t="shared" si="37"/>
        <v>0</v>
      </c>
      <c r="X38" s="449">
        <f t="shared" si="37"/>
        <v>3</v>
      </c>
      <c r="Y38" s="449">
        <f t="shared" si="37"/>
        <v>0</v>
      </c>
      <c r="Z38" s="449">
        <f t="shared" si="37"/>
        <v>32</v>
      </c>
    </row>
    <row r="39" spans="1:26">
      <c r="A39" s="45" t="str">
        <f t="shared" si="1"/>
        <v>Quin 4depinfant</v>
      </c>
      <c r="B39" s="39" t="s">
        <v>437</v>
      </c>
      <c r="C39" s="536" t="s">
        <v>454</v>
      </c>
      <c r="D39" s="536" t="s">
        <v>424</v>
      </c>
      <c r="E39" s="449">
        <f t="shared" ref="E39:Z39" si="38">IFERROR(VLOOKUP($A$39&amp;E$1, vw.deaths.dhb, 6, FALSE),0)</f>
        <v>4</v>
      </c>
      <c r="F39" s="449">
        <f t="shared" si="38"/>
        <v>6</v>
      </c>
      <c r="G39" s="449">
        <f t="shared" si="38"/>
        <v>3</v>
      </c>
      <c r="H39" s="449">
        <f t="shared" si="38"/>
        <v>6</v>
      </c>
      <c r="I39" s="449">
        <f t="shared" si="38"/>
        <v>9</v>
      </c>
      <c r="J39" s="449">
        <f t="shared" si="38"/>
        <v>0</v>
      </c>
      <c r="K39" s="449">
        <f t="shared" si="38"/>
        <v>8</v>
      </c>
      <c r="L39" s="449">
        <f t="shared" si="38"/>
        <v>0</v>
      </c>
      <c r="M39" s="449">
        <f t="shared" si="38"/>
        <v>1</v>
      </c>
      <c r="N39" s="449">
        <f t="shared" si="38"/>
        <v>1</v>
      </c>
      <c r="O39" s="449">
        <f t="shared" si="38"/>
        <v>2</v>
      </c>
      <c r="P39" s="449">
        <f t="shared" si="38"/>
        <v>0</v>
      </c>
      <c r="Q39" s="449">
        <f t="shared" si="38"/>
        <v>3</v>
      </c>
      <c r="R39" s="449">
        <f t="shared" si="38"/>
        <v>1</v>
      </c>
      <c r="S39" s="449">
        <f t="shared" si="38"/>
        <v>0</v>
      </c>
      <c r="T39" s="449">
        <f t="shared" si="38"/>
        <v>0</v>
      </c>
      <c r="U39" s="449">
        <f t="shared" si="38"/>
        <v>0</v>
      </c>
      <c r="V39" s="449">
        <f t="shared" si="38"/>
        <v>4</v>
      </c>
      <c r="W39" s="449">
        <f t="shared" si="38"/>
        <v>2</v>
      </c>
      <c r="X39" s="449">
        <f t="shared" si="38"/>
        <v>2</v>
      </c>
      <c r="Y39" s="449">
        <f t="shared" si="38"/>
        <v>0</v>
      </c>
      <c r="Z39" s="449">
        <f t="shared" si="38"/>
        <v>52</v>
      </c>
    </row>
    <row r="40" spans="1:26">
      <c r="A40" s="45" t="str">
        <f t="shared" si="1"/>
        <v>Quin 5depinfant</v>
      </c>
      <c r="B40" s="39" t="s">
        <v>437</v>
      </c>
      <c r="C40" s="536" t="s">
        <v>454</v>
      </c>
      <c r="D40" s="536" t="s">
        <v>425</v>
      </c>
      <c r="E40" s="449">
        <f t="shared" ref="E40:Z40" si="39">IFERROR(VLOOKUP($A$40&amp;E$1, vw.deaths.dhb, 6, FALSE),0)</f>
        <v>6</v>
      </c>
      <c r="F40" s="449">
        <f t="shared" si="39"/>
        <v>3</v>
      </c>
      <c r="G40" s="449">
        <f t="shared" si="39"/>
        <v>9</v>
      </c>
      <c r="H40" s="449">
        <f t="shared" si="39"/>
        <v>46</v>
      </c>
      <c r="I40" s="449">
        <f t="shared" si="39"/>
        <v>8</v>
      </c>
      <c r="J40" s="449">
        <f t="shared" si="39"/>
        <v>0</v>
      </c>
      <c r="K40" s="449">
        <f t="shared" si="39"/>
        <v>8</v>
      </c>
      <c r="L40" s="449">
        <f t="shared" si="39"/>
        <v>0</v>
      </c>
      <c r="M40" s="449">
        <f t="shared" si="39"/>
        <v>5</v>
      </c>
      <c r="N40" s="449">
        <f t="shared" si="39"/>
        <v>0</v>
      </c>
      <c r="O40" s="449">
        <f t="shared" si="39"/>
        <v>4</v>
      </c>
      <c r="P40" s="449">
        <f t="shared" si="39"/>
        <v>5</v>
      </c>
      <c r="Q40" s="449">
        <f t="shared" si="39"/>
        <v>1</v>
      </c>
      <c r="R40" s="449">
        <f t="shared" si="39"/>
        <v>3</v>
      </c>
      <c r="S40" s="449">
        <f t="shared" si="39"/>
        <v>1</v>
      </c>
      <c r="T40" s="449">
        <f t="shared" si="39"/>
        <v>0</v>
      </c>
      <c r="U40" s="449">
        <f t="shared" si="39"/>
        <v>0</v>
      </c>
      <c r="V40" s="449">
        <f t="shared" si="39"/>
        <v>3</v>
      </c>
      <c r="W40" s="449">
        <f t="shared" si="39"/>
        <v>0</v>
      </c>
      <c r="X40" s="449">
        <f t="shared" si="39"/>
        <v>2</v>
      </c>
      <c r="Y40" s="449">
        <f t="shared" si="39"/>
        <v>0</v>
      </c>
      <c r="Z40" s="449">
        <f t="shared" si="39"/>
        <v>107</v>
      </c>
    </row>
    <row r="41" spans="1:26">
      <c r="A41" s="45" t="str">
        <f t="shared" si="1"/>
        <v>Quin 9depinfant</v>
      </c>
      <c r="B41" s="39" t="s">
        <v>437</v>
      </c>
      <c r="C41" s="536" t="s">
        <v>454</v>
      </c>
      <c r="D41" s="536" t="s">
        <v>426</v>
      </c>
      <c r="E41" s="449">
        <f t="shared" ref="E41:Z41" si="40">IFERROR(VLOOKUP($A$41&amp;E$1, vw.deaths.dhb, 6, FALSE),0)</f>
        <v>0</v>
      </c>
      <c r="F41" s="449">
        <f t="shared" si="40"/>
        <v>0</v>
      </c>
      <c r="G41" s="449">
        <f t="shared" si="40"/>
        <v>0</v>
      </c>
      <c r="H41" s="449">
        <f t="shared" si="40"/>
        <v>0</v>
      </c>
      <c r="I41" s="449">
        <f t="shared" si="40"/>
        <v>0</v>
      </c>
      <c r="J41" s="449">
        <f t="shared" si="40"/>
        <v>0</v>
      </c>
      <c r="K41" s="449">
        <f t="shared" si="40"/>
        <v>0</v>
      </c>
      <c r="L41" s="449">
        <f t="shared" si="40"/>
        <v>0</v>
      </c>
      <c r="M41" s="449">
        <f t="shared" si="40"/>
        <v>0</v>
      </c>
      <c r="N41" s="449">
        <f t="shared" si="40"/>
        <v>0</v>
      </c>
      <c r="O41" s="449">
        <f t="shared" si="40"/>
        <v>0</v>
      </c>
      <c r="P41" s="449">
        <f t="shared" si="40"/>
        <v>0</v>
      </c>
      <c r="Q41" s="449">
        <f t="shared" si="40"/>
        <v>1</v>
      </c>
      <c r="R41" s="449">
        <f t="shared" si="40"/>
        <v>0</v>
      </c>
      <c r="S41" s="449">
        <f t="shared" si="40"/>
        <v>0</v>
      </c>
      <c r="T41" s="449">
        <f t="shared" si="40"/>
        <v>0</v>
      </c>
      <c r="U41" s="449">
        <f t="shared" si="40"/>
        <v>0</v>
      </c>
      <c r="V41" s="449">
        <f t="shared" si="40"/>
        <v>0</v>
      </c>
      <c r="W41" s="449">
        <f t="shared" si="40"/>
        <v>0</v>
      </c>
      <c r="X41" s="449">
        <f t="shared" si="40"/>
        <v>0</v>
      </c>
      <c r="Y41" s="449">
        <f t="shared" si="40"/>
        <v>1</v>
      </c>
      <c r="Z41" s="449">
        <f t="shared" si="40"/>
        <v>2</v>
      </c>
    </row>
    <row r="42" spans="1:26" s="427" customFormat="1">
      <c r="A42" s="45" t="str">
        <f t="shared" si="1"/>
        <v>&lt;28gestfetal</v>
      </c>
      <c r="B42" s="427" t="s">
        <v>420</v>
      </c>
      <c r="C42" s="427" t="s">
        <v>450</v>
      </c>
      <c r="D42" s="427" t="s">
        <v>375</v>
      </c>
      <c r="E42" s="449">
        <f t="shared" ref="E42:Z42" si="41">IFERROR(VLOOKUP($A$42&amp;E$1, vw.deaths.dhb, 6, FALSE),0)</f>
        <v>13</v>
      </c>
      <c r="F42" s="449">
        <f t="shared" si="41"/>
        <v>26</v>
      </c>
      <c r="G42" s="449">
        <f t="shared" si="41"/>
        <v>15</v>
      </c>
      <c r="H42" s="449">
        <f t="shared" si="41"/>
        <v>35</v>
      </c>
      <c r="I42" s="449">
        <f t="shared" si="41"/>
        <v>30</v>
      </c>
      <c r="J42" s="449">
        <f t="shared" si="41"/>
        <v>5</v>
      </c>
      <c r="K42" s="449">
        <f t="shared" si="41"/>
        <v>14</v>
      </c>
      <c r="L42" s="449">
        <f t="shared" si="41"/>
        <v>0</v>
      </c>
      <c r="M42" s="449">
        <f t="shared" si="41"/>
        <v>3</v>
      </c>
      <c r="N42" s="449">
        <f t="shared" si="41"/>
        <v>5</v>
      </c>
      <c r="O42" s="449">
        <f t="shared" si="41"/>
        <v>5</v>
      </c>
      <c r="P42" s="449">
        <f t="shared" si="41"/>
        <v>3</v>
      </c>
      <c r="Q42" s="449">
        <f t="shared" si="41"/>
        <v>9</v>
      </c>
      <c r="R42" s="449">
        <f t="shared" si="41"/>
        <v>4</v>
      </c>
      <c r="S42" s="449">
        <f t="shared" si="41"/>
        <v>3</v>
      </c>
      <c r="T42" s="449">
        <f t="shared" si="41"/>
        <v>3</v>
      </c>
      <c r="U42" s="449">
        <f t="shared" si="41"/>
        <v>5</v>
      </c>
      <c r="V42" s="449">
        <f t="shared" si="41"/>
        <v>25</v>
      </c>
      <c r="W42" s="449">
        <f t="shared" si="41"/>
        <v>2</v>
      </c>
      <c r="X42" s="449">
        <f t="shared" si="41"/>
        <v>19</v>
      </c>
      <c r="Y42" s="449">
        <f t="shared" si="41"/>
        <v>1</v>
      </c>
      <c r="Z42" s="449">
        <f t="shared" si="41"/>
        <v>227</v>
      </c>
    </row>
    <row r="43" spans="1:26">
      <c r="A43" s="45" t="str">
        <f t="shared" si="1"/>
        <v>28-31gestfetal</v>
      </c>
      <c r="B43" s="39" t="s">
        <v>420</v>
      </c>
      <c r="C43" s="536" t="s">
        <v>450</v>
      </c>
      <c r="D43" s="264" t="s">
        <v>395</v>
      </c>
      <c r="E43" s="449">
        <f t="shared" ref="E43:Z43" si="42">IFERROR(VLOOKUP($A$43&amp;E$1, vw.deaths.dhb, 6, FALSE),0)</f>
        <v>2</v>
      </c>
      <c r="F43" s="449">
        <f t="shared" si="42"/>
        <v>5</v>
      </c>
      <c r="G43" s="449">
        <f t="shared" si="42"/>
        <v>8</v>
      </c>
      <c r="H43" s="449">
        <f t="shared" si="42"/>
        <v>6</v>
      </c>
      <c r="I43" s="449">
        <f t="shared" si="42"/>
        <v>2</v>
      </c>
      <c r="J43" s="449">
        <f t="shared" si="42"/>
        <v>0</v>
      </c>
      <c r="K43" s="449">
        <f t="shared" si="42"/>
        <v>2</v>
      </c>
      <c r="L43" s="449">
        <f t="shared" si="42"/>
        <v>0</v>
      </c>
      <c r="M43" s="449">
        <f t="shared" si="42"/>
        <v>0</v>
      </c>
      <c r="N43" s="449">
        <f t="shared" si="42"/>
        <v>1</v>
      </c>
      <c r="O43" s="449">
        <f t="shared" si="42"/>
        <v>0</v>
      </c>
      <c r="P43" s="449">
        <f t="shared" si="42"/>
        <v>0</v>
      </c>
      <c r="Q43" s="449">
        <f t="shared" si="42"/>
        <v>1</v>
      </c>
      <c r="R43" s="449">
        <f t="shared" si="42"/>
        <v>2</v>
      </c>
      <c r="S43" s="449">
        <f t="shared" si="42"/>
        <v>0</v>
      </c>
      <c r="T43" s="449">
        <f t="shared" si="42"/>
        <v>0</v>
      </c>
      <c r="U43" s="449">
        <f t="shared" si="42"/>
        <v>1</v>
      </c>
      <c r="V43" s="449">
        <f t="shared" si="42"/>
        <v>5</v>
      </c>
      <c r="W43" s="449">
        <f t="shared" si="42"/>
        <v>0</v>
      </c>
      <c r="X43" s="449">
        <f t="shared" si="42"/>
        <v>3</v>
      </c>
      <c r="Y43" s="449">
        <f t="shared" si="42"/>
        <v>0</v>
      </c>
      <c r="Z43" s="449">
        <f t="shared" si="42"/>
        <v>38</v>
      </c>
    </row>
    <row r="44" spans="1:26">
      <c r="A44" s="45" t="str">
        <f t="shared" si="1"/>
        <v>32-36gestfetal</v>
      </c>
      <c r="B44" s="39" t="s">
        <v>420</v>
      </c>
      <c r="C44" s="536" t="s">
        <v>450</v>
      </c>
      <c r="D44" s="264" t="s">
        <v>136</v>
      </c>
      <c r="E44" s="449">
        <f t="shared" ref="E44:Z44" si="43">IFERROR(VLOOKUP($A$44&amp;E$1, vw.deaths.dhb, 6, FALSE),0)</f>
        <v>2</v>
      </c>
      <c r="F44" s="449">
        <f t="shared" si="43"/>
        <v>4</v>
      </c>
      <c r="G44" s="449">
        <f t="shared" si="43"/>
        <v>8</v>
      </c>
      <c r="H44" s="449">
        <f t="shared" si="43"/>
        <v>13</v>
      </c>
      <c r="I44" s="449">
        <f t="shared" si="43"/>
        <v>6</v>
      </c>
      <c r="J44" s="449">
        <f t="shared" si="43"/>
        <v>3</v>
      </c>
      <c r="K44" s="449">
        <f t="shared" si="43"/>
        <v>1</v>
      </c>
      <c r="L44" s="449">
        <f t="shared" si="43"/>
        <v>0</v>
      </c>
      <c r="M44" s="449">
        <f t="shared" si="43"/>
        <v>0</v>
      </c>
      <c r="N44" s="449">
        <f t="shared" si="43"/>
        <v>2</v>
      </c>
      <c r="O44" s="449">
        <f t="shared" si="43"/>
        <v>5</v>
      </c>
      <c r="P44" s="449">
        <f t="shared" si="43"/>
        <v>0</v>
      </c>
      <c r="Q44" s="449">
        <f t="shared" si="43"/>
        <v>2</v>
      </c>
      <c r="R44" s="449">
        <f t="shared" si="43"/>
        <v>1</v>
      </c>
      <c r="S44" s="449">
        <f t="shared" si="43"/>
        <v>1</v>
      </c>
      <c r="T44" s="449">
        <f t="shared" si="43"/>
        <v>0</v>
      </c>
      <c r="U44" s="449">
        <f t="shared" si="43"/>
        <v>1</v>
      </c>
      <c r="V44" s="449">
        <f t="shared" si="43"/>
        <v>3</v>
      </c>
      <c r="W44" s="449">
        <f t="shared" si="43"/>
        <v>1</v>
      </c>
      <c r="X44" s="449">
        <f t="shared" si="43"/>
        <v>2</v>
      </c>
      <c r="Y44" s="449">
        <f t="shared" si="43"/>
        <v>1</v>
      </c>
      <c r="Z44" s="449">
        <f t="shared" si="43"/>
        <v>56</v>
      </c>
    </row>
    <row r="45" spans="1:26">
      <c r="A45" s="45" t="str">
        <f t="shared" si="1"/>
        <v>37-41gestfetal</v>
      </c>
      <c r="B45" s="39" t="s">
        <v>420</v>
      </c>
      <c r="C45" s="536" t="s">
        <v>450</v>
      </c>
      <c r="D45" s="264" t="s">
        <v>137</v>
      </c>
      <c r="E45" s="449">
        <f t="shared" ref="E45:Z45" si="44">IFERROR(VLOOKUP($A$45&amp;E$1, vw.deaths.dhb, 6, FALSE),0)</f>
        <v>3</v>
      </c>
      <c r="F45" s="449">
        <f t="shared" si="44"/>
        <v>7</v>
      </c>
      <c r="G45" s="449">
        <f t="shared" si="44"/>
        <v>8</v>
      </c>
      <c r="H45" s="449">
        <f t="shared" si="44"/>
        <v>10</v>
      </c>
      <c r="I45" s="449">
        <f t="shared" si="44"/>
        <v>18</v>
      </c>
      <c r="J45" s="449">
        <f t="shared" si="44"/>
        <v>5</v>
      </c>
      <c r="K45" s="449">
        <f t="shared" si="44"/>
        <v>2</v>
      </c>
      <c r="L45" s="449">
        <f t="shared" si="44"/>
        <v>0</v>
      </c>
      <c r="M45" s="449">
        <f t="shared" si="44"/>
        <v>4</v>
      </c>
      <c r="N45" s="449">
        <f t="shared" si="44"/>
        <v>5</v>
      </c>
      <c r="O45" s="449">
        <f t="shared" si="44"/>
        <v>1</v>
      </c>
      <c r="P45" s="449">
        <f t="shared" si="44"/>
        <v>0</v>
      </c>
      <c r="Q45" s="449">
        <f t="shared" si="44"/>
        <v>6</v>
      </c>
      <c r="R45" s="449">
        <f t="shared" si="44"/>
        <v>0</v>
      </c>
      <c r="S45" s="449">
        <f t="shared" si="44"/>
        <v>1</v>
      </c>
      <c r="T45" s="449">
        <f t="shared" si="44"/>
        <v>1</v>
      </c>
      <c r="U45" s="449">
        <f t="shared" si="44"/>
        <v>1</v>
      </c>
      <c r="V45" s="449">
        <f t="shared" si="44"/>
        <v>10</v>
      </c>
      <c r="W45" s="449">
        <f t="shared" si="44"/>
        <v>0</v>
      </c>
      <c r="X45" s="449">
        <f t="shared" si="44"/>
        <v>4</v>
      </c>
      <c r="Y45" s="449">
        <f t="shared" si="44"/>
        <v>0</v>
      </c>
      <c r="Z45" s="449">
        <f t="shared" si="44"/>
        <v>86</v>
      </c>
    </row>
    <row r="46" spans="1:26">
      <c r="A46" s="45" t="str">
        <f t="shared" si="1"/>
        <v>42+gestfetal</v>
      </c>
      <c r="B46" s="39" t="s">
        <v>420</v>
      </c>
      <c r="C46" s="536" t="s">
        <v>450</v>
      </c>
      <c r="D46" s="264" t="s">
        <v>138</v>
      </c>
      <c r="E46" s="449">
        <f t="shared" ref="E46:Z46" si="45">IFERROR(VLOOKUP($A$46&amp;E$1, vw.deaths.dhb, 6, FALSE),0)</f>
        <v>0</v>
      </c>
      <c r="F46" s="449">
        <f t="shared" si="45"/>
        <v>0</v>
      </c>
      <c r="G46" s="449">
        <f t="shared" si="45"/>
        <v>0</v>
      </c>
      <c r="H46" s="449">
        <f t="shared" si="45"/>
        <v>0</v>
      </c>
      <c r="I46" s="449">
        <f t="shared" si="45"/>
        <v>0</v>
      </c>
      <c r="J46" s="449">
        <f t="shared" si="45"/>
        <v>0</v>
      </c>
      <c r="K46" s="449">
        <f t="shared" si="45"/>
        <v>0</v>
      </c>
      <c r="L46" s="449">
        <f t="shared" si="45"/>
        <v>0</v>
      </c>
      <c r="M46" s="449">
        <f t="shared" si="45"/>
        <v>0</v>
      </c>
      <c r="N46" s="449">
        <f t="shared" si="45"/>
        <v>0</v>
      </c>
      <c r="O46" s="449">
        <f t="shared" si="45"/>
        <v>0</v>
      </c>
      <c r="P46" s="449">
        <f t="shared" si="45"/>
        <v>0</v>
      </c>
      <c r="Q46" s="449">
        <f t="shared" si="45"/>
        <v>0</v>
      </c>
      <c r="R46" s="449">
        <f t="shared" si="45"/>
        <v>0</v>
      </c>
      <c r="S46" s="449">
        <f t="shared" si="45"/>
        <v>0</v>
      </c>
      <c r="T46" s="449">
        <f t="shared" si="45"/>
        <v>0</v>
      </c>
      <c r="U46" s="449">
        <f t="shared" si="45"/>
        <v>0</v>
      </c>
      <c r="V46" s="449">
        <f t="shared" si="45"/>
        <v>0</v>
      </c>
      <c r="W46" s="449">
        <f t="shared" si="45"/>
        <v>0</v>
      </c>
      <c r="X46" s="449">
        <f t="shared" si="45"/>
        <v>0</v>
      </c>
      <c r="Y46" s="449">
        <f t="shared" si="45"/>
        <v>0</v>
      </c>
      <c r="Z46" s="449">
        <f t="shared" si="45"/>
        <v>0</v>
      </c>
    </row>
    <row r="47" spans="1:26">
      <c r="A47" s="45" t="str">
        <f t="shared" si="1"/>
        <v>Unknowngestfetal</v>
      </c>
      <c r="B47" s="264" t="s">
        <v>420</v>
      </c>
      <c r="C47" s="536" t="s">
        <v>450</v>
      </c>
      <c r="D47" s="536" t="s">
        <v>63</v>
      </c>
      <c r="E47" s="449">
        <f t="shared" ref="E47:Z47" si="46">IFERROR(VLOOKUP($A$47&amp;E$1, vw.deaths.dhb, 6, FALSE),0)</f>
        <v>0</v>
      </c>
      <c r="F47" s="449">
        <f t="shared" si="46"/>
        <v>0</v>
      </c>
      <c r="G47" s="449">
        <f t="shared" si="46"/>
        <v>0</v>
      </c>
      <c r="H47" s="449">
        <f t="shared" si="46"/>
        <v>2</v>
      </c>
      <c r="I47" s="449">
        <f t="shared" si="46"/>
        <v>2</v>
      </c>
      <c r="J47" s="449">
        <f t="shared" si="46"/>
        <v>0</v>
      </c>
      <c r="K47" s="449">
        <f t="shared" si="46"/>
        <v>0</v>
      </c>
      <c r="L47" s="449">
        <f t="shared" si="46"/>
        <v>0</v>
      </c>
      <c r="M47" s="449">
        <f t="shared" si="46"/>
        <v>0</v>
      </c>
      <c r="N47" s="449">
        <f t="shared" si="46"/>
        <v>0</v>
      </c>
      <c r="O47" s="449">
        <f t="shared" si="46"/>
        <v>0</v>
      </c>
      <c r="P47" s="449">
        <f t="shared" si="46"/>
        <v>1</v>
      </c>
      <c r="Q47" s="449">
        <f t="shared" si="46"/>
        <v>0</v>
      </c>
      <c r="R47" s="449">
        <f t="shared" si="46"/>
        <v>0</v>
      </c>
      <c r="S47" s="449">
        <f t="shared" si="46"/>
        <v>0</v>
      </c>
      <c r="T47" s="449">
        <f t="shared" si="46"/>
        <v>0</v>
      </c>
      <c r="U47" s="449">
        <f t="shared" si="46"/>
        <v>0</v>
      </c>
      <c r="V47" s="449">
        <f t="shared" si="46"/>
        <v>1</v>
      </c>
      <c r="W47" s="449">
        <f t="shared" si="46"/>
        <v>0</v>
      </c>
      <c r="X47" s="449">
        <f t="shared" si="46"/>
        <v>0</v>
      </c>
      <c r="Y47" s="449">
        <f t="shared" si="46"/>
        <v>0</v>
      </c>
      <c r="Z47" s="449">
        <f t="shared" si="46"/>
        <v>6</v>
      </c>
    </row>
    <row r="48" spans="1:26" s="427" customFormat="1">
      <c r="A48" s="45" t="str">
        <f t="shared" si="1"/>
        <v>&lt;28gestinfant</v>
      </c>
      <c r="B48" s="427" t="s">
        <v>437</v>
      </c>
      <c r="C48" s="536" t="s">
        <v>450</v>
      </c>
      <c r="D48" s="427" t="s">
        <v>375</v>
      </c>
      <c r="E48" s="449">
        <f t="shared" ref="E48:Z48" si="47">IFERROR(VLOOKUP($A$48&amp;E$1, vw.deaths.dhb, 6, FALSE),0)</f>
        <v>7</v>
      </c>
      <c r="F48" s="449">
        <f t="shared" si="47"/>
        <v>8</v>
      </c>
      <c r="G48" s="449">
        <f t="shared" si="47"/>
        <v>11</v>
      </c>
      <c r="H48" s="449">
        <f t="shared" si="47"/>
        <v>26</v>
      </c>
      <c r="I48" s="449">
        <f t="shared" si="47"/>
        <v>9</v>
      </c>
      <c r="J48" s="449">
        <f t="shared" si="47"/>
        <v>0</v>
      </c>
      <c r="K48" s="449">
        <f t="shared" si="47"/>
        <v>7</v>
      </c>
      <c r="L48" s="449">
        <f t="shared" si="47"/>
        <v>0</v>
      </c>
      <c r="M48" s="449">
        <f t="shared" si="47"/>
        <v>1</v>
      </c>
      <c r="N48" s="449">
        <f t="shared" si="47"/>
        <v>2</v>
      </c>
      <c r="O48" s="449">
        <f t="shared" si="47"/>
        <v>1</v>
      </c>
      <c r="P48" s="449">
        <f t="shared" si="47"/>
        <v>0</v>
      </c>
      <c r="Q48" s="449">
        <f t="shared" si="47"/>
        <v>3</v>
      </c>
      <c r="R48" s="449">
        <f t="shared" si="47"/>
        <v>4</v>
      </c>
      <c r="S48" s="449">
        <f t="shared" si="47"/>
        <v>1</v>
      </c>
      <c r="T48" s="449">
        <f t="shared" si="47"/>
        <v>1</v>
      </c>
      <c r="U48" s="449">
        <f t="shared" si="47"/>
        <v>2</v>
      </c>
      <c r="V48" s="449">
        <f t="shared" si="47"/>
        <v>7</v>
      </c>
      <c r="W48" s="449">
        <f t="shared" si="47"/>
        <v>2</v>
      </c>
      <c r="X48" s="449">
        <f t="shared" si="47"/>
        <v>4</v>
      </c>
      <c r="Y48" s="449">
        <f t="shared" si="47"/>
        <v>0</v>
      </c>
      <c r="Z48" s="449">
        <f t="shared" si="47"/>
        <v>96</v>
      </c>
    </row>
    <row r="49" spans="1:26">
      <c r="A49" s="45" t="str">
        <f t="shared" si="1"/>
        <v>28-31gestinfant</v>
      </c>
      <c r="B49" s="39" t="s">
        <v>437</v>
      </c>
      <c r="C49" s="536" t="s">
        <v>450</v>
      </c>
      <c r="D49" s="264" t="s">
        <v>395</v>
      </c>
      <c r="E49" s="449">
        <f t="shared" ref="E49:Z49" si="48">IFERROR(VLOOKUP($A$49&amp;E$1, vw.deaths.dhb, 6, FALSE),0)</f>
        <v>1</v>
      </c>
      <c r="F49" s="449">
        <f t="shared" si="48"/>
        <v>1</v>
      </c>
      <c r="G49" s="449">
        <f t="shared" si="48"/>
        <v>1</v>
      </c>
      <c r="H49" s="449">
        <f t="shared" si="48"/>
        <v>2</v>
      </c>
      <c r="I49" s="449">
        <f t="shared" si="48"/>
        <v>1</v>
      </c>
      <c r="J49" s="449">
        <f t="shared" si="48"/>
        <v>0</v>
      </c>
      <c r="K49" s="449">
        <f t="shared" si="48"/>
        <v>1</v>
      </c>
      <c r="L49" s="449">
        <f t="shared" si="48"/>
        <v>0</v>
      </c>
      <c r="M49" s="449">
        <f t="shared" si="48"/>
        <v>1</v>
      </c>
      <c r="N49" s="449">
        <f t="shared" si="48"/>
        <v>0</v>
      </c>
      <c r="O49" s="449">
        <f t="shared" si="48"/>
        <v>2</v>
      </c>
      <c r="P49" s="449">
        <f t="shared" si="48"/>
        <v>0</v>
      </c>
      <c r="Q49" s="449">
        <f t="shared" si="48"/>
        <v>0</v>
      </c>
      <c r="R49" s="449">
        <f t="shared" si="48"/>
        <v>0</v>
      </c>
      <c r="S49" s="449">
        <f t="shared" si="48"/>
        <v>0</v>
      </c>
      <c r="T49" s="449">
        <f t="shared" si="48"/>
        <v>0</v>
      </c>
      <c r="U49" s="449">
        <f t="shared" si="48"/>
        <v>0</v>
      </c>
      <c r="V49" s="449">
        <f t="shared" si="48"/>
        <v>3</v>
      </c>
      <c r="W49" s="449">
        <f t="shared" si="48"/>
        <v>0</v>
      </c>
      <c r="X49" s="449">
        <f t="shared" si="48"/>
        <v>1</v>
      </c>
      <c r="Y49" s="449">
        <f t="shared" si="48"/>
        <v>0</v>
      </c>
      <c r="Z49" s="449">
        <f t="shared" si="48"/>
        <v>14</v>
      </c>
    </row>
    <row r="50" spans="1:26">
      <c r="A50" s="45" t="str">
        <f t="shared" si="1"/>
        <v>32-36gestinfant</v>
      </c>
      <c r="B50" s="39" t="s">
        <v>437</v>
      </c>
      <c r="C50" s="536" t="s">
        <v>450</v>
      </c>
      <c r="D50" s="264" t="s">
        <v>136</v>
      </c>
      <c r="E50" s="449">
        <f t="shared" ref="E50:Z50" si="49">IFERROR(VLOOKUP($A$50&amp;E$1, vw.deaths.dhb, 6, FALSE),0)</f>
        <v>2</v>
      </c>
      <c r="F50" s="449">
        <f t="shared" si="49"/>
        <v>3</v>
      </c>
      <c r="G50" s="449">
        <f t="shared" si="49"/>
        <v>0</v>
      </c>
      <c r="H50" s="449">
        <f t="shared" si="49"/>
        <v>8</v>
      </c>
      <c r="I50" s="449">
        <f t="shared" si="49"/>
        <v>1</v>
      </c>
      <c r="J50" s="449">
        <f t="shared" si="49"/>
        <v>0</v>
      </c>
      <c r="K50" s="449">
        <f t="shared" si="49"/>
        <v>1</v>
      </c>
      <c r="L50" s="449">
        <f t="shared" si="49"/>
        <v>0</v>
      </c>
      <c r="M50" s="449">
        <f t="shared" si="49"/>
        <v>0</v>
      </c>
      <c r="N50" s="449">
        <f t="shared" si="49"/>
        <v>1</v>
      </c>
      <c r="O50" s="449">
        <f t="shared" si="49"/>
        <v>0</v>
      </c>
      <c r="P50" s="449">
        <f t="shared" si="49"/>
        <v>2</v>
      </c>
      <c r="Q50" s="449">
        <f t="shared" si="49"/>
        <v>1</v>
      </c>
      <c r="R50" s="449">
        <f t="shared" si="49"/>
        <v>1</v>
      </c>
      <c r="S50" s="449">
        <f t="shared" si="49"/>
        <v>0</v>
      </c>
      <c r="T50" s="449">
        <f t="shared" si="49"/>
        <v>0</v>
      </c>
      <c r="U50" s="449">
        <f t="shared" si="49"/>
        <v>0</v>
      </c>
      <c r="V50" s="449">
        <f t="shared" si="49"/>
        <v>2</v>
      </c>
      <c r="W50" s="449">
        <f t="shared" si="49"/>
        <v>0</v>
      </c>
      <c r="X50" s="449">
        <f t="shared" si="49"/>
        <v>0</v>
      </c>
      <c r="Y50" s="449">
        <f t="shared" si="49"/>
        <v>0</v>
      </c>
      <c r="Z50" s="449">
        <f t="shared" si="49"/>
        <v>23</v>
      </c>
    </row>
    <row r="51" spans="1:26">
      <c r="A51" s="45" t="str">
        <f t="shared" si="1"/>
        <v>37-41gestinfant</v>
      </c>
      <c r="B51" s="39" t="s">
        <v>437</v>
      </c>
      <c r="C51" s="536" t="s">
        <v>450</v>
      </c>
      <c r="D51" s="264" t="s">
        <v>137</v>
      </c>
      <c r="E51" s="449">
        <f t="shared" ref="E51:Z51" si="50">IFERROR(VLOOKUP($A$51&amp;E$1, vw.deaths.dhb, 6, FALSE),0)</f>
        <v>2</v>
      </c>
      <c r="F51" s="449">
        <f t="shared" si="50"/>
        <v>6</v>
      </c>
      <c r="G51" s="449">
        <f t="shared" si="50"/>
        <v>6</v>
      </c>
      <c r="H51" s="449">
        <f t="shared" si="50"/>
        <v>18</v>
      </c>
      <c r="I51" s="449">
        <f t="shared" si="50"/>
        <v>13</v>
      </c>
      <c r="J51" s="449">
        <f t="shared" si="50"/>
        <v>0</v>
      </c>
      <c r="K51" s="449">
        <f t="shared" si="50"/>
        <v>4</v>
      </c>
      <c r="L51" s="449">
        <f t="shared" si="50"/>
        <v>0</v>
      </c>
      <c r="M51" s="449">
        <f t="shared" si="50"/>
        <v>3</v>
      </c>
      <c r="N51" s="449">
        <f t="shared" si="50"/>
        <v>3</v>
      </c>
      <c r="O51" s="449">
        <f t="shared" si="50"/>
        <v>5</v>
      </c>
      <c r="P51" s="449">
        <f t="shared" si="50"/>
        <v>3</v>
      </c>
      <c r="Q51" s="449">
        <f t="shared" si="50"/>
        <v>7</v>
      </c>
      <c r="R51" s="449">
        <f t="shared" si="50"/>
        <v>4</v>
      </c>
      <c r="S51" s="449">
        <f t="shared" si="50"/>
        <v>0</v>
      </c>
      <c r="T51" s="449">
        <f t="shared" si="50"/>
        <v>1</v>
      </c>
      <c r="U51" s="449">
        <f t="shared" si="50"/>
        <v>0</v>
      </c>
      <c r="V51" s="449">
        <f t="shared" si="50"/>
        <v>9</v>
      </c>
      <c r="W51" s="449">
        <f t="shared" si="50"/>
        <v>1</v>
      </c>
      <c r="X51" s="449">
        <f t="shared" si="50"/>
        <v>4</v>
      </c>
      <c r="Y51" s="449">
        <f t="shared" si="50"/>
        <v>0</v>
      </c>
      <c r="Z51" s="449">
        <f t="shared" si="50"/>
        <v>91</v>
      </c>
    </row>
    <row r="52" spans="1:26">
      <c r="A52" s="45" t="str">
        <f t="shared" si="1"/>
        <v>42+gestinfant</v>
      </c>
      <c r="B52" s="39" t="s">
        <v>437</v>
      </c>
      <c r="C52" s="536" t="s">
        <v>450</v>
      </c>
      <c r="D52" s="264" t="s">
        <v>138</v>
      </c>
      <c r="E52" s="449">
        <f t="shared" ref="E52:Z52" si="51">IFERROR(VLOOKUP($A$52&amp;E$1, vw.deaths.dhb, 6, FALSE),0)</f>
        <v>0</v>
      </c>
      <c r="F52" s="449">
        <f t="shared" si="51"/>
        <v>0</v>
      </c>
      <c r="G52" s="449">
        <f t="shared" si="51"/>
        <v>0</v>
      </c>
      <c r="H52" s="449">
        <f t="shared" si="51"/>
        <v>2</v>
      </c>
      <c r="I52" s="449">
        <f t="shared" si="51"/>
        <v>1</v>
      </c>
      <c r="J52" s="449">
        <f t="shared" si="51"/>
        <v>0</v>
      </c>
      <c r="K52" s="449">
        <f t="shared" si="51"/>
        <v>1</v>
      </c>
      <c r="L52" s="449">
        <f t="shared" si="51"/>
        <v>0</v>
      </c>
      <c r="M52" s="449">
        <f t="shared" si="51"/>
        <v>0</v>
      </c>
      <c r="N52" s="449">
        <f t="shared" si="51"/>
        <v>0</v>
      </c>
      <c r="O52" s="449">
        <f t="shared" si="51"/>
        <v>0</v>
      </c>
      <c r="P52" s="449">
        <f t="shared" si="51"/>
        <v>0</v>
      </c>
      <c r="Q52" s="449">
        <f t="shared" si="51"/>
        <v>0</v>
      </c>
      <c r="R52" s="449">
        <f t="shared" si="51"/>
        <v>0</v>
      </c>
      <c r="S52" s="449">
        <f t="shared" si="51"/>
        <v>0</v>
      </c>
      <c r="T52" s="449">
        <f t="shared" si="51"/>
        <v>0</v>
      </c>
      <c r="U52" s="449">
        <f t="shared" si="51"/>
        <v>0</v>
      </c>
      <c r="V52" s="449">
        <f t="shared" si="51"/>
        <v>0</v>
      </c>
      <c r="W52" s="449">
        <f t="shared" si="51"/>
        <v>0</v>
      </c>
      <c r="X52" s="449">
        <f t="shared" si="51"/>
        <v>0</v>
      </c>
      <c r="Y52" s="449">
        <f t="shared" si="51"/>
        <v>0</v>
      </c>
      <c r="Z52" s="449">
        <f t="shared" si="51"/>
        <v>4</v>
      </c>
    </row>
    <row r="53" spans="1:26">
      <c r="A53" s="45" t="str">
        <f t="shared" si="1"/>
        <v>Unknowngestinfant</v>
      </c>
      <c r="B53" s="264" t="s">
        <v>437</v>
      </c>
      <c r="C53" s="536" t="s">
        <v>450</v>
      </c>
      <c r="D53" s="536" t="s">
        <v>63</v>
      </c>
      <c r="E53" s="449">
        <f t="shared" ref="E53:Z53" si="52">IFERROR(VLOOKUP($A$53&amp;E$1, vw.deaths.dhb, 6, FALSE),0)</f>
        <v>0</v>
      </c>
      <c r="F53" s="449">
        <f t="shared" si="52"/>
        <v>0</v>
      </c>
      <c r="G53" s="449">
        <f t="shared" si="52"/>
        <v>0</v>
      </c>
      <c r="H53" s="449">
        <f t="shared" si="52"/>
        <v>1</v>
      </c>
      <c r="I53" s="449">
        <f t="shared" si="52"/>
        <v>3</v>
      </c>
      <c r="J53" s="449">
        <f t="shared" si="52"/>
        <v>0</v>
      </c>
      <c r="K53" s="449">
        <f t="shared" si="52"/>
        <v>4</v>
      </c>
      <c r="L53" s="449">
        <f t="shared" si="52"/>
        <v>0</v>
      </c>
      <c r="M53" s="449">
        <f t="shared" si="52"/>
        <v>1</v>
      </c>
      <c r="N53" s="449">
        <f t="shared" si="52"/>
        <v>0</v>
      </c>
      <c r="O53" s="449">
        <f t="shared" si="52"/>
        <v>2</v>
      </c>
      <c r="P53" s="449">
        <f t="shared" si="52"/>
        <v>1</v>
      </c>
      <c r="Q53" s="449">
        <f t="shared" si="52"/>
        <v>0</v>
      </c>
      <c r="R53" s="449">
        <f t="shared" si="52"/>
        <v>0</v>
      </c>
      <c r="S53" s="449">
        <f t="shared" si="52"/>
        <v>0</v>
      </c>
      <c r="T53" s="449">
        <f t="shared" si="52"/>
        <v>0</v>
      </c>
      <c r="U53" s="449">
        <f t="shared" si="52"/>
        <v>0</v>
      </c>
      <c r="V53" s="449">
        <f t="shared" si="52"/>
        <v>0</v>
      </c>
      <c r="W53" s="449">
        <f t="shared" si="52"/>
        <v>0</v>
      </c>
      <c r="X53" s="449">
        <f t="shared" si="52"/>
        <v>0</v>
      </c>
      <c r="Y53" s="449">
        <f t="shared" si="52"/>
        <v>1</v>
      </c>
      <c r="Z53" s="449">
        <f t="shared" si="52"/>
        <v>13</v>
      </c>
    </row>
    <row r="54" spans="1:26" s="427" customFormat="1">
      <c r="A54" s="45" t="str">
        <f t="shared" si="1"/>
        <v>&lt;500bwtfetal</v>
      </c>
      <c r="B54" s="427" t="s">
        <v>420</v>
      </c>
      <c r="C54" s="427" t="s">
        <v>447</v>
      </c>
      <c r="D54" s="427" t="s">
        <v>427</v>
      </c>
      <c r="E54" s="449">
        <f t="shared" ref="E54:Z54" si="53">IFERROR(VLOOKUP($A$54&amp;E$1, vw.deaths.dhb, 6, FALSE),0)</f>
        <v>8</v>
      </c>
      <c r="F54" s="449">
        <f t="shared" si="53"/>
        <v>16</v>
      </c>
      <c r="G54" s="449">
        <f t="shared" si="53"/>
        <v>9</v>
      </c>
      <c r="H54" s="449">
        <f t="shared" si="53"/>
        <v>24</v>
      </c>
      <c r="I54" s="449">
        <f t="shared" si="53"/>
        <v>16</v>
      </c>
      <c r="J54" s="449">
        <f t="shared" si="53"/>
        <v>2</v>
      </c>
      <c r="K54" s="449">
        <f t="shared" si="53"/>
        <v>12</v>
      </c>
      <c r="L54" s="449">
        <f t="shared" si="53"/>
        <v>0</v>
      </c>
      <c r="M54" s="449">
        <f t="shared" si="53"/>
        <v>2</v>
      </c>
      <c r="N54" s="449">
        <f t="shared" si="53"/>
        <v>3</v>
      </c>
      <c r="O54" s="449">
        <f t="shared" si="53"/>
        <v>3</v>
      </c>
      <c r="P54" s="449">
        <f t="shared" si="53"/>
        <v>1</v>
      </c>
      <c r="Q54" s="449">
        <f t="shared" si="53"/>
        <v>6</v>
      </c>
      <c r="R54" s="449">
        <f t="shared" si="53"/>
        <v>2</v>
      </c>
      <c r="S54" s="449">
        <f t="shared" si="53"/>
        <v>1</v>
      </c>
      <c r="T54" s="449">
        <f t="shared" si="53"/>
        <v>1</v>
      </c>
      <c r="U54" s="449">
        <f t="shared" si="53"/>
        <v>3</v>
      </c>
      <c r="V54" s="449">
        <f t="shared" si="53"/>
        <v>18</v>
      </c>
      <c r="W54" s="449">
        <f t="shared" si="53"/>
        <v>2</v>
      </c>
      <c r="X54" s="449">
        <f t="shared" si="53"/>
        <v>11</v>
      </c>
      <c r="Y54" s="449">
        <f t="shared" si="53"/>
        <v>1</v>
      </c>
      <c r="Z54" s="449">
        <f t="shared" si="53"/>
        <v>141</v>
      </c>
    </row>
    <row r="55" spans="1:26" s="427" customFormat="1">
      <c r="A55" s="45" t="str">
        <f t="shared" si="1"/>
        <v>500-999bwtfetal</v>
      </c>
      <c r="B55" s="427" t="s">
        <v>420</v>
      </c>
      <c r="C55" s="536" t="s">
        <v>447</v>
      </c>
      <c r="D55" s="427" t="s">
        <v>428</v>
      </c>
      <c r="E55" s="449">
        <f t="shared" ref="E55:Z55" si="54">IFERROR(VLOOKUP($A$55&amp;E$1, vw.deaths.dhb, 6, FALSE),0)</f>
        <v>5</v>
      </c>
      <c r="F55" s="449">
        <f t="shared" si="54"/>
        <v>14</v>
      </c>
      <c r="G55" s="449">
        <f t="shared" si="54"/>
        <v>9</v>
      </c>
      <c r="H55" s="449">
        <f t="shared" si="54"/>
        <v>14</v>
      </c>
      <c r="I55" s="449">
        <f t="shared" si="54"/>
        <v>12</v>
      </c>
      <c r="J55" s="449">
        <f t="shared" si="54"/>
        <v>3</v>
      </c>
      <c r="K55" s="449">
        <f t="shared" si="54"/>
        <v>4</v>
      </c>
      <c r="L55" s="449">
        <f t="shared" si="54"/>
        <v>0</v>
      </c>
      <c r="M55" s="449">
        <f t="shared" si="54"/>
        <v>0</v>
      </c>
      <c r="N55" s="449">
        <f t="shared" si="54"/>
        <v>2</v>
      </c>
      <c r="O55" s="449">
        <f t="shared" si="54"/>
        <v>2</v>
      </c>
      <c r="P55" s="449">
        <f t="shared" si="54"/>
        <v>2</v>
      </c>
      <c r="Q55" s="449">
        <f t="shared" si="54"/>
        <v>2</v>
      </c>
      <c r="R55" s="449">
        <f t="shared" si="54"/>
        <v>2</v>
      </c>
      <c r="S55" s="449">
        <f t="shared" si="54"/>
        <v>2</v>
      </c>
      <c r="T55" s="449">
        <f t="shared" si="54"/>
        <v>1</v>
      </c>
      <c r="U55" s="449">
        <f t="shared" si="54"/>
        <v>1</v>
      </c>
      <c r="V55" s="449">
        <f t="shared" si="54"/>
        <v>12</v>
      </c>
      <c r="W55" s="449">
        <f t="shared" si="54"/>
        <v>0</v>
      </c>
      <c r="X55" s="449">
        <f t="shared" si="54"/>
        <v>8</v>
      </c>
      <c r="Y55" s="449">
        <f t="shared" si="54"/>
        <v>0</v>
      </c>
      <c r="Z55" s="449">
        <f t="shared" si="54"/>
        <v>97</v>
      </c>
    </row>
    <row r="56" spans="1:26">
      <c r="A56" s="45" t="str">
        <f t="shared" si="1"/>
        <v>1000-1499bwtfetal</v>
      </c>
      <c r="B56" s="39" t="s">
        <v>420</v>
      </c>
      <c r="C56" s="536" t="s">
        <v>447</v>
      </c>
      <c r="D56" s="39" t="s">
        <v>429</v>
      </c>
      <c r="E56" s="449">
        <f t="shared" ref="E56:Z56" si="55">IFERROR(VLOOKUP($A$56&amp;E$1, vw.deaths.dhb, 6, FALSE),0)</f>
        <v>2</v>
      </c>
      <c r="F56" s="449">
        <f t="shared" si="55"/>
        <v>1</v>
      </c>
      <c r="G56" s="449">
        <f t="shared" si="55"/>
        <v>6</v>
      </c>
      <c r="H56" s="449">
        <f t="shared" si="55"/>
        <v>7</v>
      </c>
      <c r="I56" s="449">
        <f t="shared" si="55"/>
        <v>2</v>
      </c>
      <c r="J56" s="449">
        <f t="shared" si="55"/>
        <v>0</v>
      </c>
      <c r="K56" s="449">
        <f t="shared" si="55"/>
        <v>0</v>
      </c>
      <c r="L56" s="449">
        <f t="shared" si="55"/>
        <v>0</v>
      </c>
      <c r="M56" s="449">
        <f t="shared" si="55"/>
        <v>1</v>
      </c>
      <c r="N56" s="449">
        <f t="shared" si="55"/>
        <v>0</v>
      </c>
      <c r="O56" s="449">
        <f t="shared" si="55"/>
        <v>1</v>
      </c>
      <c r="P56" s="449">
        <f t="shared" si="55"/>
        <v>0</v>
      </c>
      <c r="Q56" s="449">
        <f t="shared" si="55"/>
        <v>2</v>
      </c>
      <c r="R56" s="449">
        <f t="shared" si="55"/>
        <v>1</v>
      </c>
      <c r="S56" s="449">
        <f t="shared" si="55"/>
        <v>0</v>
      </c>
      <c r="T56" s="449">
        <f t="shared" si="55"/>
        <v>0</v>
      </c>
      <c r="U56" s="449">
        <f t="shared" si="55"/>
        <v>2</v>
      </c>
      <c r="V56" s="449">
        <f t="shared" si="55"/>
        <v>2</v>
      </c>
      <c r="W56" s="449">
        <f t="shared" si="55"/>
        <v>0</v>
      </c>
      <c r="X56" s="449">
        <f t="shared" si="55"/>
        <v>0</v>
      </c>
      <c r="Y56" s="449">
        <f t="shared" si="55"/>
        <v>0</v>
      </c>
      <c r="Z56" s="449">
        <f t="shared" si="55"/>
        <v>27</v>
      </c>
    </row>
    <row r="57" spans="1:26" s="453" customFormat="1">
      <c r="A57" s="45" t="str">
        <f t="shared" si="1"/>
        <v>1500-2499bwtfetal</v>
      </c>
      <c r="B57" s="453" t="s">
        <v>420</v>
      </c>
      <c r="C57" s="536" t="s">
        <v>447</v>
      </c>
      <c r="D57" s="453" t="s">
        <v>430</v>
      </c>
      <c r="E57" s="449">
        <f t="shared" ref="E57:Z57" si="56">IFERROR(VLOOKUP($A$57&amp;E$1, vw.deaths.dhb, 6, FALSE),0)</f>
        <v>2</v>
      </c>
      <c r="F57" s="449">
        <f t="shared" si="56"/>
        <v>5</v>
      </c>
      <c r="G57" s="449">
        <f t="shared" si="56"/>
        <v>7</v>
      </c>
      <c r="H57" s="449">
        <f t="shared" si="56"/>
        <v>5</v>
      </c>
      <c r="I57" s="449">
        <f t="shared" si="56"/>
        <v>9</v>
      </c>
      <c r="J57" s="449">
        <f t="shared" si="56"/>
        <v>2</v>
      </c>
      <c r="K57" s="449">
        <f t="shared" si="56"/>
        <v>0</v>
      </c>
      <c r="L57" s="449">
        <f t="shared" si="56"/>
        <v>0</v>
      </c>
      <c r="M57" s="449">
        <f t="shared" si="56"/>
        <v>0</v>
      </c>
      <c r="N57" s="449">
        <f t="shared" si="56"/>
        <v>3</v>
      </c>
      <c r="O57" s="449">
        <f t="shared" si="56"/>
        <v>3</v>
      </c>
      <c r="P57" s="449">
        <f t="shared" si="56"/>
        <v>0</v>
      </c>
      <c r="Q57" s="449">
        <f t="shared" si="56"/>
        <v>2</v>
      </c>
      <c r="R57" s="449">
        <f t="shared" si="56"/>
        <v>1</v>
      </c>
      <c r="S57" s="449">
        <f t="shared" si="56"/>
        <v>1</v>
      </c>
      <c r="T57" s="449">
        <f t="shared" si="56"/>
        <v>0</v>
      </c>
      <c r="U57" s="449">
        <f t="shared" si="56"/>
        <v>1</v>
      </c>
      <c r="V57" s="449">
        <f t="shared" si="56"/>
        <v>1</v>
      </c>
      <c r="W57" s="449">
        <f t="shared" si="56"/>
        <v>1</v>
      </c>
      <c r="X57" s="449">
        <f t="shared" si="56"/>
        <v>1</v>
      </c>
      <c r="Y57" s="449">
        <f t="shared" si="56"/>
        <v>1</v>
      </c>
      <c r="Z57" s="449">
        <f t="shared" si="56"/>
        <v>45</v>
      </c>
    </row>
    <row r="58" spans="1:26">
      <c r="A58" s="45" t="str">
        <f t="shared" si="1"/>
        <v>2500-4499bwtfetal</v>
      </c>
      <c r="B58" s="39" t="s">
        <v>420</v>
      </c>
      <c r="C58" s="536" t="s">
        <v>447</v>
      </c>
      <c r="D58" s="39" t="s">
        <v>431</v>
      </c>
      <c r="E58" s="449">
        <f t="shared" ref="E58:Z58" si="57">IFERROR(VLOOKUP($A$58&amp;E$1, vw.deaths.dhb, 6, FALSE),0)</f>
        <v>1</v>
      </c>
      <c r="F58" s="449">
        <f t="shared" si="57"/>
        <v>5</v>
      </c>
      <c r="G58" s="449">
        <f t="shared" si="57"/>
        <v>8</v>
      </c>
      <c r="H58" s="449">
        <f t="shared" si="57"/>
        <v>14</v>
      </c>
      <c r="I58" s="449">
        <f t="shared" si="57"/>
        <v>12</v>
      </c>
      <c r="J58" s="449">
        <f t="shared" si="57"/>
        <v>6</v>
      </c>
      <c r="K58" s="449">
        <f t="shared" si="57"/>
        <v>3</v>
      </c>
      <c r="L58" s="449">
        <f t="shared" si="57"/>
        <v>0</v>
      </c>
      <c r="M58" s="449">
        <f t="shared" si="57"/>
        <v>3</v>
      </c>
      <c r="N58" s="449">
        <f t="shared" si="57"/>
        <v>4</v>
      </c>
      <c r="O58" s="449">
        <f t="shared" si="57"/>
        <v>1</v>
      </c>
      <c r="P58" s="449">
        <f t="shared" si="57"/>
        <v>0</v>
      </c>
      <c r="Q58" s="449">
        <f t="shared" si="57"/>
        <v>6</v>
      </c>
      <c r="R58" s="449">
        <f t="shared" si="57"/>
        <v>0</v>
      </c>
      <c r="S58" s="449">
        <f t="shared" si="57"/>
        <v>1</v>
      </c>
      <c r="T58" s="449">
        <f t="shared" si="57"/>
        <v>1</v>
      </c>
      <c r="U58" s="449">
        <f t="shared" si="57"/>
        <v>1</v>
      </c>
      <c r="V58" s="449">
        <f t="shared" si="57"/>
        <v>10</v>
      </c>
      <c r="W58" s="449">
        <f t="shared" si="57"/>
        <v>0</v>
      </c>
      <c r="X58" s="449">
        <f t="shared" si="57"/>
        <v>5</v>
      </c>
      <c r="Y58" s="449">
        <f t="shared" si="57"/>
        <v>0</v>
      </c>
      <c r="Z58" s="449">
        <f t="shared" si="57"/>
        <v>81</v>
      </c>
    </row>
    <row r="59" spans="1:26">
      <c r="A59" s="45" t="str">
        <f t="shared" si="1"/>
        <v>4500+bwtfetal</v>
      </c>
      <c r="B59" s="39" t="s">
        <v>420</v>
      </c>
      <c r="C59" s="536" t="s">
        <v>447</v>
      </c>
      <c r="D59" s="39" t="s">
        <v>432</v>
      </c>
      <c r="E59" s="449">
        <f t="shared" ref="E59:Z59" si="58">IFERROR(VLOOKUP($A$59&amp;E$1, vw.deaths.dhb, 6, FALSE),0)</f>
        <v>0</v>
      </c>
      <c r="F59" s="449">
        <f t="shared" si="58"/>
        <v>0</v>
      </c>
      <c r="G59" s="449">
        <f t="shared" si="58"/>
        <v>0</v>
      </c>
      <c r="H59" s="449">
        <f t="shared" si="58"/>
        <v>1</v>
      </c>
      <c r="I59" s="449">
        <f t="shared" si="58"/>
        <v>2</v>
      </c>
      <c r="J59" s="449">
        <f t="shared" si="58"/>
        <v>0</v>
      </c>
      <c r="K59" s="449">
        <f t="shared" si="58"/>
        <v>0</v>
      </c>
      <c r="L59" s="449">
        <f t="shared" si="58"/>
        <v>0</v>
      </c>
      <c r="M59" s="449">
        <f t="shared" si="58"/>
        <v>0</v>
      </c>
      <c r="N59" s="449">
        <f t="shared" si="58"/>
        <v>0</v>
      </c>
      <c r="O59" s="449">
        <f t="shared" si="58"/>
        <v>0</v>
      </c>
      <c r="P59" s="449">
        <f t="shared" si="58"/>
        <v>0</v>
      </c>
      <c r="Q59" s="449">
        <f t="shared" si="58"/>
        <v>0</v>
      </c>
      <c r="R59" s="449">
        <f t="shared" si="58"/>
        <v>0</v>
      </c>
      <c r="S59" s="449">
        <f t="shared" si="58"/>
        <v>0</v>
      </c>
      <c r="T59" s="449">
        <f t="shared" si="58"/>
        <v>0</v>
      </c>
      <c r="U59" s="449">
        <f t="shared" si="58"/>
        <v>0</v>
      </c>
      <c r="V59" s="449">
        <f t="shared" si="58"/>
        <v>0</v>
      </c>
      <c r="W59" s="449">
        <f t="shared" si="58"/>
        <v>0</v>
      </c>
      <c r="X59" s="449">
        <f t="shared" si="58"/>
        <v>1</v>
      </c>
      <c r="Y59" s="449">
        <f t="shared" si="58"/>
        <v>0</v>
      </c>
      <c r="Z59" s="449">
        <f t="shared" si="58"/>
        <v>4</v>
      </c>
    </row>
    <row r="60" spans="1:26">
      <c r="A60" s="45" t="str">
        <f t="shared" si="1"/>
        <v>Unknownbwtfetal</v>
      </c>
      <c r="B60" s="266" t="s">
        <v>420</v>
      </c>
      <c r="C60" s="536" t="s">
        <v>447</v>
      </c>
      <c r="D60" s="39" t="s">
        <v>63</v>
      </c>
      <c r="E60" s="449">
        <f t="shared" ref="E60:Z60" si="59">IFERROR(VLOOKUP($A$60&amp;E$1, vw.deaths.dhb, 6, FALSE),0)</f>
        <v>2</v>
      </c>
      <c r="F60" s="449">
        <f t="shared" si="59"/>
        <v>1</v>
      </c>
      <c r="G60" s="449">
        <f t="shared" si="59"/>
        <v>0</v>
      </c>
      <c r="H60" s="449">
        <f t="shared" si="59"/>
        <v>1</v>
      </c>
      <c r="I60" s="449">
        <f t="shared" si="59"/>
        <v>5</v>
      </c>
      <c r="J60" s="449">
        <f t="shared" si="59"/>
        <v>0</v>
      </c>
      <c r="K60" s="449">
        <f t="shared" si="59"/>
        <v>0</v>
      </c>
      <c r="L60" s="449">
        <f t="shared" si="59"/>
        <v>0</v>
      </c>
      <c r="M60" s="449">
        <f t="shared" si="59"/>
        <v>1</v>
      </c>
      <c r="N60" s="449">
        <f t="shared" si="59"/>
        <v>1</v>
      </c>
      <c r="O60" s="449">
        <f t="shared" si="59"/>
        <v>1</v>
      </c>
      <c r="P60" s="449">
        <f t="shared" si="59"/>
        <v>1</v>
      </c>
      <c r="Q60" s="449">
        <f t="shared" si="59"/>
        <v>0</v>
      </c>
      <c r="R60" s="449">
        <f t="shared" si="59"/>
        <v>1</v>
      </c>
      <c r="S60" s="449">
        <f t="shared" si="59"/>
        <v>0</v>
      </c>
      <c r="T60" s="449">
        <f t="shared" si="59"/>
        <v>1</v>
      </c>
      <c r="U60" s="449">
        <f t="shared" si="59"/>
        <v>0</v>
      </c>
      <c r="V60" s="449">
        <f t="shared" si="59"/>
        <v>1</v>
      </c>
      <c r="W60" s="449">
        <f t="shared" si="59"/>
        <v>0</v>
      </c>
      <c r="X60" s="449">
        <f t="shared" si="59"/>
        <v>2</v>
      </c>
      <c r="Y60" s="449">
        <f t="shared" si="59"/>
        <v>0</v>
      </c>
      <c r="Z60" s="449">
        <f t="shared" si="59"/>
        <v>18</v>
      </c>
    </row>
    <row r="61" spans="1:26" s="427" customFormat="1">
      <c r="A61" s="45" t="str">
        <f t="shared" si="1"/>
        <v>&lt;500bwtinfant</v>
      </c>
      <c r="B61" s="427" t="s">
        <v>437</v>
      </c>
      <c r="C61" s="536" t="s">
        <v>447</v>
      </c>
      <c r="D61" s="536" t="s">
        <v>427</v>
      </c>
      <c r="E61" s="449">
        <f t="shared" ref="E61:Z61" si="60">IFERROR(VLOOKUP($A$61&amp;E$1, vw.deaths.dhb, 6, FALSE),0)</f>
        <v>2</v>
      </c>
      <c r="F61" s="449">
        <f t="shared" si="60"/>
        <v>3</v>
      </c>
      <c r="G61" s="449">
        <f t="shared" si="60"/>
        <v>6</v>
      </c>
      <c r="H61" s="449">
        <f t="shared" si="60"/>
        <v>11</v>
      </c>
      <c r="I61" s="449">
        <f t="shared" si="60"/>
        <v>5</v>
      </c>
      <c r="J61" s="449">
        <f t="shared" si="60"/>
        <v>0</v>
      </c>
      <c r="K61" s="449">
        <f t="shared" si="60"/>
        <v>2</v>
      </c>
      <c r="L61" s="449">
        <f t="shared" si="60"/>
        <v>0</v>
      </c>
      <c r="M61" s="449">
        <f t="shared" si="60"/>
        <v>0</v>
      </c>
      <c r="N61" s="449">
        <f t="shared" si="60"/>
        <v>0</v>
      </c>
      <c r="O61" s="449">
        <f t="shared" si="60"/>
        <v>1</v>
      </c>
      <c r="P61" s="449">
        <f t="shared" si="60"/>
        <v>0</v>
      </c>
      <c r="Q61" s="449">
        <f t="shared" si="60"/>
        <v>0</v>
      </c>
      <c r="R61" s="449">
        <f t="shared" si="60"/>
        <v>2</v>
      </c>
      <c r="S61" s="449">
        <f t="shared" si="60"/>
        <v>1</v>
      </c>
      <c r="T61" s="449">
        <f t="shared" si="60"/>
        <v>0</v>
      </c>
      <c r="U61" s="449">
        <f t="shared" si="60"/>
        <v>1</v>
      </c>
      <c r="V61" s="449">
        <f t="shared" si="60"/>
        <v>1</v>
      </c>
      <c r="W61" s="449">
        <f t="shared" si="60"/>
        <v>0</v>
      </c>
      <c r="X61" s="449">
        <f t="shared" si="60"/>
        <v>2</v>
      </c>
      <c r="Y61" s="449">
        <f t="shared" si="60"/>
        <v>0</v>
      </c>
      <c r="Z61" s="449">
        <f t="shared" si="60"/>
        <v>37</v>
      </c>
    </row>
    <row r="62" spans="1:26" s="427" customFormat="1">
      <c r="A62" s="45" t="str">
        <f t="shared" si="1"/>
        <v>500-999bwtinfant</v>
      </c>
      <c r="B62" s="427" t="s">
        <v>437</v>
      </c>
      <c r="C62" s="536" t="s">
        <v>447</v>
      </c>
      <c r="D62" s="536" t="s">
        <v>428</v>
      </c>
      <c r="E62" s="449">
        <f t="shared" ref="E62:Z62" si="61">IFERROR(VLOOKUP($A$62&amp;E$1, vw.deaths.dhb, 6, FALSE),0)</f>
        <v>4</v>
      </c>
      <c r="F62" s="449">
        <f t="shared" si="61"/>
        <v>6</v>
      </c>
      <c r="G62" s="449">
        <f t="shared" si="61"/>
        <v>5</v>
      </c>
      <c r="H62" s="449">
        <f t="shared" si="61"/>
        <v>16</v>
      </c>
      <c r="I62" s="449">
        <f t="shared" si="61"/>
        <v>5</v>
      </c>
      <c r="J62" s="449">
        <f t="shared" si="61"/>
        <v>0</v>
      </c>
      <c r="K62" s="449">
        <f t="shared" si="61"/>
        <v>5</v>
      </c>
      <c r="L62" s="449">
        <f t="shared" si="61"/>
        <v>0</v>
      </c>
      <c r="M62" s="449">
        <f t="shared" si="61"/>
        <v>1</v>
      </c>
      <c r="N62" s="449">
        <f t="shared" si="61"/>
        <v>2</v>
      </c>
      <c r="O62" s="449">
        <f t="shared" si="61"/>
        <v>0</v>
      </c>
      <c r="P62" s="449">
        <f t="shared" si="61"/>
        <v>0</v>
      </c>
      <c r="Q62" s="449">
        <f t="shared" si="61"/>
        <v>2</v>
      </c>
      <c r="R62" s="449">
        <f t="shared" si="61"/>
        <v>2</v>
      </c>
      <c r="S62" s="449">
        <f t="shared" si="61"/>
        <v>0</v>
      </c>
      <c r="T62" s="449">
        <f t="shared" si="61"/>
        <v>1</v>
      </c>
      <c r="U62" s="449">
        <f t="shared" si="61"/>
        <v>1</v>
      </c>
      <c r="V62" s="449">
        <f t="shared" si="61"/>
        <v>3</v>
      </c>
      <c r="W62" s="449">
        <f t="shared" si="61"/>
        <v>2</v>
      </c>
      <c r="X62" s="449">
        <f t="shared" si="61"/>
        <v>2</v>
      </c>
      <c r="Y62" s="449">
        <f t="shared" si="61"/>
        <v>0</v>
      </c>
      <c r="Z62" s="449">
        <f t="shared" si="61"/>
        <v>57</v>
      </c>
    </row>
    <row r="63" spans="1:26">
      <c r="A63" s="45" t="str">
        <f t="shared" si="1"/>
        <v>1000-1499bwtinfant</v>
      </c>
      <c r="B63" s="39" t="s">
        <v>437</v>
      </c>
      <c r="C63" s="536" t="s">
        <v>447</v>
      </c>
      <c r="D63" s="536" t="s">
        <v>429</v>
      </c>
      <c r="E63" s="449">
        <f t="shared" ref="E63:Z63" si="62">IFERROR(VLOOKUP($A$63&amp;E$1, vw.deaths.dhb, 6, FALSE),0)</f>
        <v>1</v>
      </c>
      <c r="F63" s="449">
        <f t="shared" si="62"/>
        <v>0</v>
      </c>
      <c r="G63" s="449">
        <f t="shared" si="62"/>
        <v>0</v>
      </c>
      <c r="H63" s="449">
        <f t="shared" si="62"/>
        <v>0</v>
      </c>
      <c r="I63" s="449">
        <f t="shared" si="62"/>
        <v>0</v>
      </c>
      <c r="J63" s="449">
        <f t="shared" si="62"/>
        <v>0</v>
      </c>
      <c r="K63" s="449">
        <f t="shared" si="62"/>
        <v>1</v>
      </c>
      <c r="L63" s="449">
        <f t="shared" si="62"/>
        <v>0</v>
      </c>
      <c r="M63" s="449">
        <f t="shared" si="62"/>
        <v>1</v>
      </c>
      <c r="N63" s="449">
        <f t="shared" si="62"/>
        <v>0</v>
      </c>
      <c r="O63" s="449">
        <f t="shared" si="62"/>
        <v>1</v>
      </c>
      <c r="P63" s="449">
        <f t="shared" si="62"/>
        <v>0</v>
      </c>
      <c r="Q63" s="449">
        <f t="shared" si="62"/>
        <v>1</v>
      </c>
      <c r="R63" s="449">
        <f t="shared" si="62"/>
        <v>0</v>
      </c>
      <c r="S63" s="449">
        <f t="shared" si="62"/>
        <v>0</v>
      </c>
      <c r="T63" s="449">
        <f t="shared" si="62"/>
        <v>0</v>
      </c>
      <c r="U63" s="449">
        <f t="shared" si="62"/>
        <v>0</v>
      </c>
      <c r="V63" s="449">
        <f t="shared" si="62"/>
        <v>2</v>
      </c>
      <c r="W63" s="449">
        <f t="shared" si="62"/>
        <v>0</v>
      </c>
      <c r="X63" s="449">
        <f t="shared" si="62"/>
        <v>1</v>
      </c>
      <c r="Y63" s="449">
        <f t="shared" si="62"/>
        <v>0</v>
      </c>
      <c r="Z63" s="449">
        <f t="shared" si="62"/>
        <v>8</v>
      </c>
    </row>
    <row r="64" spans="1:26" s="453" customFormat="1">
      <c r="A64" s="45" t="str">
        <f t="shared" si="1"/>
        <v>1500-2499bwtinfant</v>
      </c>
      <c r="B64" s="453" t="s">
        <v>437</v>
      </c>
      <c r="C64" s="536" t="s">
        <v>447</v>
      </c>
      <c r="D64" s="536" t="s">
        <v>430</v>
      </c>
      <c r="E64" s="449">
        <f t="shared" ref="E64:Z64" si="63">IFERROR(VLOOKUP($A$64&amp;E$1, vw.deaths.dhb, 6, FALSE),0)</f>
        <v>3</v>
      </c>
      <c r="F64" s="449">
        <f t="shared" si="63"/>
        <v>5</v>
      </c>
      <c r="G64" s="449">
        <f t="shared" si="63"/>
        <v>2</v>
      </c>
      <c r="H64" s="449">
        <f t="shared" si="63"/>
        <v>10</v>
      </c>
      <c r="I64" s="449">
        <f t="shared" si="63"/>
        <v>2</v>
      </c>
      <c r="J64" s="449">
        <f t="shared" si="63"/>
        <v>0</v>
      </c>
      <c r="K64" s="449">
        <f t="shared" si="63"/>
        <v>1</v>
      </c>
      <c r="L64" s="449">
        <f t="shared" si="63"/>
        <v>0</v>
      </c>
      <c r="M64" s="449">
        <f t="shared" si="63"/>
        <v>0</v>
      </c>
      <c r="N64" s="449">
        <f t="shared" si="63"/>
        <v>1</v>
      </c>
      <c r="O64" s="449">
        <f t="shared" si="63"/>
        <v>1</v>
      </c>
      <c r="P64" s="449">
        <f t="shared" si="63"/>
        <v>1</v>
      </c>
      <c r="Q64" s="449">
        <f t="shared" si="63"/>
        <v>2</v>
      </c>
      <c r="R64" s="449">
        <f t="shared" si="63"/>
        <v>1</v>
      </c>
      <c r="S64" s="449">
        <f t="shared" si="63"/>
        <v>0</v>
      </c>
      <c r="T64" s="449">
        <f t="shared" si="63"/>
        <v>0</v>
      </c>
      <c r="U64" s="449">
        <f t="shared" si="63"/>
        <v>0</v>
      </c>
      <c r="V64" s="449">
        <f t="shared" si="63"/>
        <v>5</v>
      </c>
      <c r="W64" s="449">
        <f t="shared" si="63"/>
        <v>1</v>
      </c>
      <c r="X64" s="449">
        <f t="shared" si="63"/>
        <v>0</v>
      </c>
      <c r="Y64" s="449">
        <f t="shared" si="63"/>
        <v>0</v>
      </c>
      <c r="Z64" s="449">
        <f t="shared" si="63"/>
        <v>35</v>
      </c>
    </row>
    <row r="65" spans="1:26">
      <c r="A65" s="45" t="str">
        <f t="shared" si="1"/>
        <v>2500-4499bwtinfant</v>
      </c>
      <c r="B65" s="39" t="s">
        <v>437</v>
      </c>
      <c r="C65" s="536" t="s">
        <v>447</v>
      </c>
      <c r="D65" s="536" t="s">
        <v>431</v>
      </c>
      <c r="E65" s="449">
        <f t="shared" ref="E65:Z65" si="64">IFERROR(VLOOKUP($A$65&amp;E$1, vw.deaths.dhb, 6, FALSE),0)</f>
        <v>2</v>
      </c>
      <c r="F65" s="449">
        <f t="shared" si="64"/>
        <v>4</v>
      </c>
      <c r="G65" s="449">
        <f t="shared" si="64"/>
        <v>5</v>
      </c>
      <c r="H65" s="449">
        <f t="shared" si="64"/>
        <v>20</v>
      </c>
      <c r="I65" s="449">
        <f t="shared" si="64"/>
        <v>14</v>
      </c>
      <c r="J65" s="449">
        <f t="shared" si="64"/>
        <v>0</v>
      </c>
      <c r="K65" s="449">
        <f t="shared" si="64"/>
        <v>8</v>
      </c>
      <c r="L65" s="449">
        <f t="shared" si="64"/>
        <v>0</v>
      </c>
      <c r="M65" s="449">
        <f t="shared" si="64"/>
        <v>3</v>
      </c>
      <c r="N65" s="449">
        <f t="shared" si="64"/>
        <v>3</v>
      </c>
      <c r="O65" s="449">
        <f t="shared" si="64"/>
        <v>5</v>
      </c>
      <c r="P65" s="449">
        <f t="shared" si="64"/>
        <v>4</v>
      </c>
      <c r="Q65" s="449">
        <f t="shared" si="64"/>
        <v>6</v>
      </c>
      <c r="R65" s="449">
        <f t="shared" si="64"/>
        <v>4</v>
      </c>
      <c r="S65" s="449">
        <f t="shared" si="64"/>
        <v>0</v>
      </c>
      <c r="T65" s="449">
        <f t="shared" si="64"/>
        <v>1</v>
      </c>
      <c r="U65" s="449">
        <f t="shared" si="64"/>
        <v>0</v>
      </c>
      <c r="V65" s="449">
        <f t="shared" si="64"/>
        <v>9</v>
      </c>
      <c r="W65" s="449">
        <f t="shared" si="64"/>
        <v>0</v>
      </c>
      <c r="X65" s="449">
        <f t="shared" si="64"/>
        <v>4</v>
      </c>
      <c r="Y65" s="449">
        <f t="shared" si="64"/>
        <v>0</v>
      </c>
      <c r="Z65" s="449">
        <f t="shared" si="64"/>
        <v>95</v>
      </c>
    </row>
    <row r="66" spans="1:26">
      <c r="A66" s="45" t="str">
        <f t="shared" si="1"/>
        <v>4500+bwtinfant</v>
      </c>
      <c r="B66" s="39" t="s">
        <v>437</v>
      </c>
      <c r="C66" s="536" t="s">
        <v>447</v>
      </c>
      <c r="D66" s="536" t="s">
        <v>432</v>
      </c>
      <c r="E66" s="449">
        <f t="shared" ref="E66:Z66" si="65">IFERROR(VLOOKUP($A$66&amp;E$1, vw.deaths.dhb, 6, FALSE),0)</f>
        <v>0</v>
      </c>
      <c r="F66" s="449">
        <f t="shared" si="65"/>
        <v>0</v>
      </c>
      <c r="G66" s="449">
        <f t="shared" si="65"/>
        <v>0</v>
      </c>
      <c r="H66" s="449">
        <f t="shared" si="65"/>
        <v>0</v>
      </c>
      <c r="I66" s="449">
        <f t="shared" si="65"/>
        <v>0</v>
      </c>
      <c r="J66" s="449">
        <f t="shared" si="65"/>
        <v>0</v>
      </c>
      <c r="K66" s="449">
        <f t="shared" si="65"/>
        <v>0</v>
      </c>
      <c r="L66" s="449">
        <f t="shared" si="65"/>
        <v>0</v>
      </c>
      <c r="M66" s="449">
        <f t="shared" si="65"/>
        <v>0</v>
      </c>
      <c r="N66" s="449">
        <f t="shared" si="65"/>
        <v>0</v>
      </c>
      <c r="O66" s="449">
        <f t="shared" si="65"/>
        <v>0</v>
      </c>
      <c r="P66" s="449">
        <f t="shared" si="65"/>
        <v>0</v>
      </c>
      <c r="Q66" s="449">
        <f t="shared" si="65"/>
        <v>0</v>
      </c>
      <c r="R66" s="449">
        <f t="shared" si="65"/>
        <v>0</v>
      </c>
      <c r="S66" s="449">
        <f t="shared" si="65"/>
        <v>0</v>
      </c>
      <c r="T66" s="449">
        <f t="shared" si="65"/>
        <v>0</v>
      </c>
      <c r="U66" s="449">
        <f t="shared" si="65"/>
        <v>0</v>
      </c>
      <c r="V66" s="449">
        <f t="shared" si="65"/>
        <v>0</v>
      </c>
      <c r="W66" s="449">
        <f t="shared" si="65"/>
        <v>0</v>
      </c>
      <c r="X66" s="449">
        <f t="shared" si="65"/>
        <v>0</v>
      </c>
      <c r="Y66" s="449">
        <f t="shared" si="65"/>
        <v>0</v>
      </c>
      <c r="Z66" s="449">
        <f t="shared" si="65"/>
        <v>0</v>
      </c>
    </row>
    <row r="67" spans="1:26">
      <c r="A67" s="45" t="str">
        <f t="shared" ref="A67:A103" si="66">D67&amp;C67&amp;B67</f>
        <v>Unknownbwtinfant</v>
      </c>
      <c r="B67" s="266" t="s">
        <v>437</v>
      </c>
      <c r="C67" s="536" t="s">
        <v>447</v>
      </c>
      <c r="D67" s="536" t="s">
        <v>63</v>
      </c>
      <c r="E67" s="449">
        <f t="shared" ref="E67:Z67" si="67">IFERROR(VLOOKUP($A$67&amp;E$1, vw.deaths.dhb, 6, FALSE),0)</f>
        <v>0</v>
      </c>
      <c r="F67" s="449">
        <f t="shared" si="67"/>
        <v>0</v>
      </c>
      <c r="G67" s="449">
        <f t="shared" si="67"/>
        <v>0</v>
      </c>
      <c r="H67" s="449">
        <f t="shared" si="67"/>
        <v>0</v>
      </c>
      <c r="I67" s="449">
        <f t="shared" si="67"/>
        <v>2</v>
      </c>
      <c r="J67" s="449">
        <f t="shared" si="67"/>
        <v>0</v>
      </c>
      <c r="K67" s="449">
        <f t="shared" si="67"/>
        <v>1</v>
      </c>
      <c r="L67" s="449">
        <f t="shared" si="67"/>
        <v>0</v>
      </c>
      <c r="M67" s="449">
        <f t="shared" si="67"/>
        <v>1</v>
      </c>
      <c r="N67" s="449">
        <f t="shared" si="67"/>
        <v>0</v>
      </c>
      <c r="O67" s="449">
        <f t="shared" si="67"/>
        <v>2</v>
      </c>
      <c r="P67" s="449">
        <f t="shared" si="67"/>
        <v>1</v>
      </c>
      <c r="Q67" s="449">
        <f t="shared" si="67"/>
        <v>0</v>
      </c>
      <c r="R67" s="449">
        <f t="shared" si="67"/>
        <v>0</v>
      </c>
      <c r="S67" s="449">
        <f t="shared" si="67"/>
        <v>0</v>
      </c>
      <c r="T67" s="449">
        <f t="shared" si="67"/>
        <v>0</v>
      </c>
      <c r="U67" s="449">
        <f t="shared" si="67"/>
        <v>0</v>
      </c>
      <c r="V67" s="449">
        <f t="shared" si="67"/>
        <v>1</v>
      </c>
      <c r="W67" s="449">
        <f t="shared" si="67"/>
        <v>0</v>
      </c>
      <c r="X67" s="449">
        <f t="shared" si="67"/>
        <v>0</v>
      </c>
      <c r="Y67" s="449">
        <f t="shared" si="67"/>
        <v>1</v>
      </c>
      <c r="Z67" s="449">
        <f t="shared" si="67"/>
        <v>9</v>
      </c>
    </row>
    <row r="68" spans="1:26">
      <c r="A68" s="45" t="str">
        <f t="shared" si="66"/>
        <v>Femalesexbirths</v>
      </c>
      <c r="B68" s="39" t="s">
        <v>445</v>
      </c>
      <c r="C68" s="47" t="s">
        <v>451</v>
      </c>
      <c r="D68" s="265" t="s">
        <v>71</v>
      </c>
      <c r="E68" s="449">
        <f t="shared" ref="E68:Z68" si="68">IFERROR(VLOOKUP($A$68&amp;E$1, vw.births.dhb, 6, FALSE),0)</f>
        <v>1136</v>
      </c>
      <c r="F68" s="449">
        <f t="shared" si="68"/>
        <v>3896</v>
      </c>
      <c r="G68" s="449">
        <f t="shared" si="68"/>
        <v>2904</v>
      </c>
      <c r="H68" s="449">
        <f t="shared" si="68"/>
        <v>4026</v>
      </c>
      <c r="I68" s="449">
        <f t="shared" si="68"/>
        <v>2679</v>
      </c>
      <c r="J68" s="449">
        <f t="shared" si="68"/>
        <v>751</v>
      </c>
      <c r="K68" s="449">
        <f t="shared" si="68"/>
        <v>1383</v>
      </c>
      <c r="L68" s="449">
        <f t="shared" si="68"/>
        <v>0</v>
      </c>
      <c r="M68" s="449">
        <f t="shared" si="68"/>
        <v>1035</v>
      </c>
      <c r="N68" s="449">
        <f t="shared" si="68"/>
        <v>721</v>
      </c>
      <c r="O68" s="449">
        <f t="shared" si="68"/>
        <v>1026</v>
      </c>
      <c r="P68" s="449">
        <f t="shared" si="68"/>
        <v>415</v>
      </c>
      <c r="Q68" s="449">
        <f t="shared" si="68"/>
        <v>1762</v>
      </c>
      <c r="R68" s="449">
        <f t="shared" si="68"/>
        <v>967</v>
      </c>
      <c r="S68" s="449">
        <f t="shared" si="68"/>
        <v>254</v>
      </c>
      <c r="T68" s="449">
        <f t="shared" si="68"/>
        <v>758</v>
      </c>
      <c r="U68" s="449">
        <f t="shared" si="68"/>
        <v>159</v>
      </c>
      <c r="V68" s="449">
        <f t="shared" si="68"/>
        <v>3157</v>
      </c>
      <c r="W68" s="449">
        <f t="shared" si="68"/>
        <v>286</v>
      </c>
      <c r="X68" s="449">
        <f t="shared" si="68"/>
        <v>1650</v>
      </c>
      <c r="Y68" s="449">
        <f t="shared" si="68"/>
        <v>67</v>
      </c>
      <c r="Z68" s="449">
        <f t="shared" si="68"/>
        <v>29427</v>
      </c>
    </row>
    <row r="69" spans="1:26">
      <c r="A69" s="45" t="str">
        <f t="shared" si="66"/>
        <v>Malesexbirths</v>
      </c>
      <c r="B69" s="39" t="s">
        <v>445</v>
      </c>
      <c r="C69" s="168" t="s">
        <v>451</v>
      </c>
      <c r="D69" s="265" t="s">
        <v>70</v>
      </c>
      <c r="E69" s="449">
        <f t="shared" ref="E69:Z69" si="69">IFERROR(VLOOKUP($A$69&amp;E$1, vw.births.dhb, 6, FALSE),0)</f>
        <v>1184</v>
      </c>
      <c r="F69" s="449">
        <f t="shared" si="69"/>
        <v>4155</v>
      </c>
      <c r="G69" s="449">
        <f t="shared" si="69"/>
        <v>3001</v>
      </c>
      <c r="H69" s="449">
        <f t="shared" si="69"/>
        <v>4349</v>
      </c>
      <c r="I69" s="449">
        <f t="shared" si="69"/>
        <v>2828</v>
      </c>
      <c r="J69" s="449">
        <f t="shared" si="69"/>
        <v>818</v>
      </c>
      <c r="K69" s="449">
        <f t="shared" si="69"/>
        <v>1557</v>
      </c>
      <c r="L69" s="449">
        <f t="shared" si="69"/>
        <v>0</v>
      </c>
      <c r="M69" s="449">
        <f t="shared" si="69"/>
        <v>1063</v>
      </c>
      <c r="N69" s="449">
        <f t="shared" si="69"/>
        <v>770</v>
      </c>
      <c r="O69" s="449">
        <f t="shared" si="69"/>
        <v>1080</v>
      </c>
      <c r="P69" s="449">
        <f t="shared" si="69"/>
        <v>428</v>
      </c>
      <c r="Q69" s="449">
        <f t="shared" si="69"/>
        <v>1765</v>
      </c>
      <c r="R69" s="449">
        <f t="shared" si="69"/>
        <v>1037</v>
      </c>
      <c r="S69" s="449">
        <f t="shared" si="69"/>
        <v>227</v>
      </c>
      <c r="T69" s="449">
        <f t="shared" si="69"/>
        <v>781</v>
      </c>
      <c r="U69" s="449">
        <f t="shared" si="69"/>
        <v>168</v>
      </c>
      <c r="V69" s="449">
        <f t="shared" si="69"/>
        <v>3242</v>
      </c>
      <c r="W69" s="449">
        <f t="shared" si="69"/>
        <v>355</v>
      </c>
      <c r="X69" s="449">
        <f t="shared" si="69"/>
        <v>1764</v>
      </c>
      <c r="Y69" s="449">
        <f t="shared" si="69"/>
        <v>63</v>
      </c>
      <c r="Z69" s="449">
        <f t="shared" si="69"/>
        <v>31009</v>
      </c>
    </row>
    <row r="70" spans="1:26">
      <c r="A70" s="45" t="str">
        <f t="shared" si="66"/>
        <v>Ind/Unksexbirths</v>
      </c>
      <c r="B70" s="39" t="s">
        <v>445</v>
      </c>
      <c r="C70" s="168" t="s">
        <v>451</v>
      </c>
      <c r="D70" s="47" t="s">
        <v>458</v>
      </c>
      <c r="E70" s="449">
        <f t="shared" ref="E70:Z70" si="70">IFERROR(VLOOKUP($A$70&amp;E$1, vw.births.dhb, 6, FALSE),0)</f>
        <v>0</v>
      </c>
      <c r="F70" s="449">
        <f t="shared" si="70"/>
        <v>0</v>
      </c>
      <c r="G70" s="449">
        <f t="shared" si="70"/>
        <v>0</v>
      </c>
      <c r="H70" s="449">
        <f t="shared" si="70"/>
        <v>0</v>
      </c>
      <c r="I70" s="449">
        <f t="shared" si="70"/>
        <v>0</v>
      </c>
      <c r="J70" s="449">
        <f t="shared" si="70"/>
        <v>0</v>
      </c>
      <c r="K70" s="449">
        <f t="shared" si="70"/>
        <v>0</v>
      </c>
      <c r="L70" s="449">
        <f t="shared" si="70"/>
        <v>0</v>
      </c>
      <c r="M70" s="449">
        <f t="shared" si="70"/>
        <v>0</v>
      </c>
      <c r="N70" s="449">
        <f t="shared" si="70"/>
        <v>0</v>
      </c>
      <c r="O70" s="449">
        <f t="shared" si="70"/>
        <v>0</v>
      </c>
      <c r="P70" s="449">
        <f t="shared" si="70"/>
        <v>0</v>
      </c>
      <c r="Q70" s="449">
        <f t="shared" si="70"/>
        <v>0</v>
      </c>
      <c r="R70" s="449">
        <f t="shared" si="70"/>
        <v>0</v>
      </c>
      <c r="S70" s="449">
        <f t="shared" si="70"/>
        <v>0</v>
      </c>
      <c r="T70" s="449">
        <f t="shared" si="70"/>
        <v>0</v>
      </c>
      <c r="U70" s="449">
        <f t="shared" si="70"/>
        <v>0</v>
      </c>
      <c r="V70" s="449">
        <f t="shared" si="70"/>
        <v>0</v>
      </c>
      <c r="W70" s="449">
        <f t="shared" si="70"/>
        <v>0</v>
      </c>
      <c r="X70" s="449">
        <f t="shared" si="70"/>
        <v>0</v>
      </c>
      <c r="Y70" s="449">
        <f t="shared" si="70"/>
        <v>0</v>
      </c>
      <c r="Z70" s="449">
        <f t="shared" si="70"/>
        <v>0</v>
      </c>
    </row>
    <row r="71" spans="1:26">
      <c r="A71" s="45" t="str">
        <f t="shared" si="66"/>
        <v>Maoriethbirths</v>
      </c>
      <c r="B71" s="39" t="s">
        <v>445</v>
      </c>
      <c r="C71" s="39" t="s">
        <v>449</v>
      </c>
      <c r="D71" s="39" t="s">
        <v>129</v>
      </c>
      <c r="E71" s="449">
        <f t="shared" ref="E71:Z71" si="71">IFERROR(VLOOKUP($A$71&amp;E$1, vw.births.dhb, 6, FALSE),0)</f>
        <v>1318</v>
      </c>
      <c r="F71" s="449">
        <f t="shared" si="71"/>
        <v>1450</v>
      </c>
      <c r="G71" s="449">
        <f t="shared" si="71"/>
        <v>772</v>
      </c>
      <c r="H71" s="449">
        <f t="shared" si="71"/>
        <v>2147</v>
      </c>
      <c r="I71" s="449">
        <f t="shared" si="71"/>
        <v>2248</v>
      </c>
      <c r="J71" s="449">
        <f t="shared" si="71"/>
        <v>858</v>
      </c>
      <c r="K71" s="449">
        <f t="shared" si="71"/>
        <v>1343</v>
      </c>
      <c r="L71" s="449">
        <f t="shared" si="71"/>
        <v>0</v>
      </c>
      <c r="M71" s="449">
        <f t="shared" si="71"/>
        <v>1006</v>
      </c>
      <c r="N71" s="449">
        <f t="shared" si="71"/>
        <v>509</v>
      </c>
      <c r="O71" s="449">
        <f t="shared" si="71"/>
        <v>813</v>
      </c>
      <c r="P71" s="449">
        <f t="shared" si="71"/>
        <v>403</v>
      </c>
      <c r="Q71" s="449">
        <f t="shared" si="71"/>
        <v>678</v>
      </c>
      <c r="R71" s="449">
        <f t="shared" si="71"/>
        <v>617</v>
      </c>
      <c r="S71" s="449">
        <f t="shared" si="71"/>
        <v>173</v>
      </c>
      <c r="T71" s="449">
        <f t="shared" si="71"/>
        <v>375</v>
      </c>
      <c r="U71" s="449">
        <f t="shared" si="71"/>
        <v>83</v>
      </c>
      <c r="V71" s="449">
        <f t="shared" si="71"/>
        <v>1161</v>
      </c>
      <c r="W71" s="449">
        <f t="shared" si="71"/>
        <v>105</v>
      </c>
      <c r="X71" s="449">
        <f t="shared" si="71"/>
        <v>678</v>
      </c>
      <c r="Y71" s="449">
        <f t="shared" si="71"/>
        <v>18</v>
      </c>
      <c r="Z71" s="449">
        <f t="shared" si="71"/>
        <v>17329</v>
      </c>
    </row>
    <row r="72" spans="1:26">
      <c r="A72" s="45" t="str">
        <f t="shared" si="66"/>
        <v>Pacific peoplesethbirths</v>
      </c>
      <c r="B72" s="39" t="s">
        <v>445</v>
      </c>
      <c r="C72" s="536" t="s">
        <v>449</v>
      </c>
      <c r="D72" s="308" t="s">
        <v>320</v>
      </c>
      <c r="E72" s="449">
        <f t="shared" ref="E72:Z72" si="72">IFERROR(VLOOKUP($A$72&amp;E$1, vw.births.dhb, 6, FALSE),0)</f>
        <v>61</v>
      </c>
      <c r="F72" s="449">
        <f t="shared" si="72"/>
        <v>781</v>
      </c>
      <c r="G72" s="449">
        <f t="shared" si="72"/>
        <v>938</v>
      </c>
      <c r="H72" s="449">
        <f t="shared" si="72"/>
        <v>2300</v>
      </c>
      <c r="I72" s="449">
        <f t="shared" si="72"/>
        <v>217</v>
      </c>
      <c r="J72" s="449">
        <f t="shared" si="72"/>
        <v>63</v>
      </c>
      <c r="K72" s="449">
        <f t="shared" si="72"/>
        <v>80</v>
      </c>
      <c r="L72" s="449">
        <f t="shared" si="72"/>
        <v>0</v>
      </c>
      <c r="M72" s="449">
        <f t="shared" si="72"/>
        <v>148</v>
      </c>
      <c r="N72" s="449">
        <f t="shared" si="72"/>
        <v>32</v>
      </c>
      <c r="O72" s="449">
        <f t="shared" si="72"/>
        <v>116</v>
      </c>
      <c r="P72" s="449">
        <f t="shared" si="72"/>
        <v>57</v>
      </c>
      <c r="Q72" s="449">
        <f t="shared" si="72"/>
        <v>358</v>
      </c>
      <c r="R72" s="449">
        <f t="shared" si="72"/>
        <v>190</v>
      </c>
      <c r="S72" s="449">
        <f t="shared" si="72"/>
        <v>20</v>
      </c>
      <c r="T72" s="449">
        <f t="shared" si="72"/>
        <v>50</v>
      </c>
      <c r="U72" s="449">
        <f t="shared" si="72"/>
        <v>3</v>
      </c>
      <c r="V72" s="449">
        <f t="shared" si="72"/>
        <v>341</v>
      </c>
      <c r="W72" s="449">
        <f t="shared" si="72"/>
        <v>19</v>
      </c>
      <c r="X72" s="449">
        <f t="shared" si="72"/>
        <v>147</v>
      </c>
      <c r="Y72" s="449">
        <f t="shared" si="72"/>
        <v>29</v>
      </c>
      <c r="Z72" s="449">
        <f t="shared" si="72"/>
        <v>5976</v>
      </c>
    </row>
    <row r="73" spans="1:26">
      <c r="A73" s="45" t="str">
        <f t="shared" si="66"/>
        <v>Asianethbirths</v>
      </c>
      <c r="B73" s="39" t="s">
        <v>445</v>
      </c>
      <c r="C73" s="536" t="s">
        <v>449</v>
      </c>
      <c r="D73" s="308" t="s">
        <v>355</v>
      </c>
      <c r="E73" s="449">
        <f t="shared" ref="E73:Z73" si="73">IFERROR(VLOOKUP($A$73&amp;E$1, vw.births.dhb, 6, FALSE),0)</f>
        <v>126</v>
      </c>
      <c r="F73" s="449">
        <f t="shared" si="73"/>
        <v>2342</v>
      </c>
      <c r="G73" s="449">
        <f t="shared" si="73"/>
        <v>2061</v>
      </c>
      <c r="H73" s="449">
        <f t="shared" si="73"/>
        <v>2234</v>
      </c>
      <c r="I73" s="449">
        <f t="shared" si="73"/>
        <v>669</v>
      </c>
      <c r="J73" s="449">
        <f t="shared" si="73"/>
        <v>148</v>
      </c>
      <c r="K73" s="449">
        <f t="shared" si="73"/>
        <v>235</v>
      </c>
      <c r="L73" s="449">
        <f t="shared" si="73"/>
        <v>0</v>
      </c>
      <c r="M73" s="449">
        <f t="shared" si="73"/>
        <v>111</v>
      </c>
      <c r="N73" s="449">
        <f t="shared" si="73"/>
        <v>109</v>
      </c>
      <c r="O73" s="449">
        <f t="shared" si="73"/>
        <v>191</v>
      </c>
      <c r="P73" s="449">
        <f t="shared" si="73"/>
        <v>38</v>
      </c>
      <c r="Q73" s="449">
        <f t="shared" si="73"/>
        <v>678</v>
      </c>
      <c r="R73" s="449">
        <f t="shared" si="73"/>
        <v>313</v>
      </c>
      <c r="S73" s="449">
        <f t="shared" si="73"/>
        <v>34</v>
      </c>
      <c r="T73" s="449">
        <f t="shared" si="73"/>
        <v>135</v>
      </c>
      <c r="U73" s="449">
        <f t="shared" si="73"/>
        <v>12</v>
      </c>
      <c r="V73" s="449">
        <f t="shared" si="73"/>
        <v>1083</v>
      </c>
      <c r="W73" s="449">
        <f t="shared" si="73"/>
        <v>53</v>
      </c>
      <c r="X73" s="449">
        <f t="shared" si="73"/>
        <v>264</v>
      </c>
      <c r="Y73" s="449">
        <f t="shared" si="73"/>
        <v>52</v>
      </c>
      <c r="Z73" s="449">
        <f t="shared" si="73"/>
        <v>10902</v>
      </c>
    </row>
    <row r="74" spans="1:26" s="308" customFormat="1">
      <c r="A74" s="45" t="str">
        <f t="shared" si="66"/>
        <v>European or Otherethbirths</v>
      </c>
      <c r="B74" s="308" t="s">
        <v>445</v>
      </c>
      <c r="C74" s="536" t="s">
        <v>449</v>
      </c>
      <c r="D74" s="308" t="s">
        <v>356</v>
      </c>
      <c r="E74" s="449">
        <f t="shared" ref="E74:Z74" si="74">IFERROR(VLOOKUP($A$74&amp;E$1, vw.births.dhb, 6, FALSE),0)</f>
        <v>815</v>
      </c>
      <c r="F74" s="449">
        <f t="shared" si="74"/>
        <v>3478</v>
      </c>
      <c r="G74" s="449">
        <f t="shared" si="74"/>
        <v>2134</v>
      </c>
      <c r="H74" s="449">
        <f t="shared" si="74"/>
        <v>1694</v>
      </c>
      <c r="I74" s="449">
        <f t="shared" si="74"/>
        <v>2373</v>
      </c>
      <c r="J74" s="449">
        <f t="shared" si="74"/>
        <v>500</v>
      </c>
      <c r="K74" s="449">
        <f t="shared" si="74"/>
        <v>1282</v>
      </c>
      <c r="L74" s="449">
        <f t="shared" si="74"/>
        <v>0</v>
      </c>
      <c r="M74" s="449">
        <f t="shared" si="74"/>
        <v>833</v>
      </c>
      <c r="N74" s="449">
        <f t="shared" si="74"/>
        <v>841</v>
      </c>
      <c r="O74" s="449">
        <f t="shared" si="74"/>
        <v>986</v>
      </c>
      <c r="P74" s="449">
        <f t="shared" si="74"/>
        <v>345</v>
      </c>
      <c r="Q74" s="449">
        <f t="shared" si="74"/>
        <v>1813</v>
      </c>
      <c r="R74" s="449">
        <f t="shared" si="74"/>
        <v>884</v>
      </c>
      <c r="S74" s="449">
        <f t="shared" si="74"/>
        <v>254</v>
      </c>
      <c r="T74" s="449">
        <f t="shared" si="74"/>
        <v>979</v>
      </c>
      <c r="U74" s="449">
        <f t="shared" si="74"/>
        <v>229</v>
      </c>
      <c r="V74" s="449">
        <f t="shared" si="74"/>
        <v>3814</v>
      </c>
      <c r="W74" s="449">
        <f t="shared" si="74"/>
        <v>464</v>
      </c>
      <c r="X74" s="449">
        <f t="shared" si="74"/>
        <v>2325</v>
      </c>
      <c r="Y74" s="449">
        <f t="shared" si="74"/>
        <v>31</v>
      </c>
      <c r="Z74" s="449">
        <f t="shared" si="74"/>
        <v>26229</v>
      </c>
    </row>
    <row r="75" spans="1:26">
      <c r="A75" s="45" t="str">
        <f t="shared" si="66"/>
        <v>&lt;20agebirths</v>
      </c>
      <c r="B75" s="39" t="s">
        <v>445</v>
      </c>
      <c r="C75" s="39" t="s">
        <v>453</v>
      </c>
      <c r="D75" s="266" t="s">
        <v>339</v>
      </c>
      <c r="E75" s="449">
        <f t="shared" ref="E75:Z75" si="75">IFERROR(VLOOKUP($A$75&amp;E$1, vw.births.dhb, 6, FALSE),0)</f>
        <v>151</v>
      </c>
      <c r="F75" s="449">
        <f t="shared" si="75"/>
        <v>192</v>
      </c>
      <c r="G75" s="449">
        <f t="shared" si="75"/>
        <v>129</v>
      </c>
      <c r="H75" s="449">
        <f t="shared" si="75"/>
        <v>443</v>
      </c>
      <c r="I75" s="449">
        <f t="shared" si="75"/>
        <v>317</v>
      </c>
      <c r="J75" s="449">
        <f t="shared" si="75"/>
        <v>101</v>
      </c>
      <c r="K75" s="449">
        <f t="shared" si="75"/>
        <v>149</v>
      </c>
      <c r="L75" s="449">
        <f t="shared" si="75"/>
        <v>0</v>
      </c>
      <c r="M75" s="449">
        <f t="shared" si="75"/>
        <v>148</v>
      </c>
      <c r="N75" s="449">
        <f t="shared" si="75"/>
        <v>59</v>
      </c>
      <c r="O75" s="449">
        <f t="shared" si="75"/>
        <v>110</v>
      </c>
      <c r="P75" s="449">
        <f t="shared" si="75"/>
        <v>59</v>
      </c>
      <c r="Q75" s="449">
        <f t="shared" si="75"/>
        <v>83</v>
      </c>
      <c r="R75" s="449">
        <f t="shared" si="75"/>
        <v>103</v>
      </c>
      <c r="S75" s="449">
        <f t="shared" si="75"/>
        <v>27</v>
      </c>
      <c r="T75" s="449">
        <f t="shared" si="75"/>
        <v>65</v>
      </c>
      <c r="U75" s="449">
        <f t="shared" si="75"/>
        <v>17</v>
      </c>
      <c r="V75" s="449">
        <f t="shared" si="75"/>
        <v>192</v>
      </c>
      <c r="W75" s="449">
        <f t="shared" si="75"/>
        <v>20</v>
      </c>
      <c r="X75" s="449">
        <f t="shared" si="75"/>
        <v>115</v>
      </c>
      <c r="Y75" s="449">
        <f t="shared" si="75"/>
        <v>2</v>
      </c>
      <c r="Z75" s="449">
        <f t="shared" si="75"/>
        <v>2559</v>
      </c>
    </row>
    <row r="76" spans="1:26">
      <c r="A76" s="45" t="str">
        <f t="shared" si="66"/>
        <v>20-24agebirths</v>
      </c>
      <c r="B76" s="39" t="s">
        <v>445</v>
      </c>
      <c r="C76" s="536" t="s">
        <v>453</v>
      </c>
      <c r="D76" s="39" t="s">
        <v>130</v>
      </c>
      <c r="E76" s="449">
        <f t="shared" ref="E76:Z76" si="76">IFERROR(VLOOKUP($A$76&amp;E$1, vw.births.dhb, 6, FALSE),0)</f>
        <v>528</v>
      </c>
      <c r="F76" s="449">
        <f t="shared" si="76"/>
        <v>862</v>
      </c>
      <c r="G76" s="449">
        <f t="shared" si="76"/>
        <v>617</v>
      </c>
      <c r="H76" s="449">
        <f t="shared" si="76"/>
        <v>1634</v>
      </c>
      <c r="I76" s="449">
        <f t="shared" si="76"/>
        <v>1100</v>
      </c>
      <c r="J76" s="449">
        <f t="shared" si="76"/>
        <v>358</v>
      </c>
      <c r="K76" s="449">
        <f t="shared" si="76"/>
        <v>617</v>
      </c>
      <c r="L76" s="449">
        <f t="shared" si="76"/>
        <v>0</v>
      </c>
      <c r="M76" s="449">
        <f t="shared" si="76"/>
        <v>472</v>
      </c>
      <c r="N76" s="449">
        <f t="shared" si="76"/>
        <v>301</v>
      </c>
      <c r="O76" s="449">
        <f t="shared" si="76"/>
        <v>409</v>
      </c>
      <c r="P76" s="449">
        <f t="shared" si="76"/>
        <v>207</v>
      </c>
      <c r="Q76" s="449">
        <f t="shared" si="76"/>
        <v>366</v>
      </c>
      <c r="R76" s="449">
        <f t="shared" si="76"/>
        <v>328</v>
      </c>
      <c r="S76" s="449">
        <f t="shared" si="76"/>
        <v>100</v>
      </c>
      <c r="T76" s="449">
        <f t="shared" si="76"/>
        <v>267</v>
      </c>
      <c r="U76" s="449">
        <f t="shared" si="76"/>
        <v>65</v>
      </c>
      <c r="V76" s="449">
        <f t="shared" si="76"/>
        <v>858</v>
      </c>
      <c r="W76" s="449">
        <f t="shared" si="76"/>
        <v>121</v>
      </c>
      <c r="X76" s="449">
        <f t="shared" si="76"/>
        <v>531</v>
      </c>
      <c r="Y76" s="449">
        <f t="shared" si="76"/>
        <v>16</v>
      </c>
      <c r="Z76" s="449">
        <f t="shared" si="76"/>
        <v>9934</v>
      </c>
    </row>
    <row r="77" spans="1:26">
      <c r="A77" s="45" t="str">
        <f t="shared" si="66"/>
        <v>25-29agebirths</v>
      </c>
      <c r="B77" s="39" t="s">
        <v>445</v>
      </c>
      <c r="C77" s="536" t="s">
        <v>453</v>
      </c>
      <c r="D77" s="39" t="s">
        <v>131</v>
      </c>
      <c r="E77" s="449">
        <f t="shared" ref="E77:Z77" si="77">IFERROR(VLOOKUP($A$77&amp;E$1, vw.births.dhb, 6, FALSE),0)</f>
        <v>676</v>
      </c>
      <c r="F77" s="449">
        <f t="shared" si="77"/>
        <v>2112</v>
      </c>
      <c r="G77" s="449">
        <f t="shared" si="77"/>
        <v>1317</v>
      </c>
      <c r="H77" s="449">
        <f t="shared" si="77"/>
        <v>2434</v>
      </c>
      <c r="I77" s="449">
        <f t="shared" si="77"/>
        <v>1653</v>
      </c>
      <c r="J77" s="449">
        <f t="shared" si="77"/>
        <v>491</v>
      </c>
      <c r="K77" s="449">
        <f t="shared" si="77"/>
        <v>808</v>
      </c>
      <c r="L77" s="449">
        <f t="shared" si="77"/>
        <v>0</v>
      </c>
      <c r="M77" s="449">
        <f t="shared" si="77"/>
        <v>593</v>
      </c>
      <c r="N77" s="449">
        <f t="shared" si="77"/>
        <v>451</v>
      </c>
      <c r="O77" s="449">
        <f t="shared" si="77"/>
        <v>675</v>
      </c>
      <c r="P77" s="449">
        <f t="shared" si="77"/>
        <v>273</v>
      </c>
      <c r="Q77" s="449">
        <f t="shared" si="77"/>
        <v>754</v>
      </c>
      <c r="R77" s="449">
        <f t="shared" si="77"/>
        <v>556</v>
      </c>
      <c r="S77" s="449">
        <f t="shared" si="77"/>
        <v>139</v>
      </c>
      <c r="T77" s="449">
        <f t="shared" si="77"/>
        <v>431</v>
      </c>
      <c r="U77" s="449">
        <f t="shared" si="77"/>
        <v>100</v>
      </c>
      <c r="V77" s="449">
        <f t="shared" si="77"/>
        <v>1811</v>
      </c>
      <c r="W77" s="449">
        <f t="shared" si="77"/>
        <v>217</v>
      </c>
      <c r="X77" s="449">
        <f t="shared" si="77"/>
        <v>899</v>
      </c>
      <c r="Y77" s="449">
        <f t="shared" si="77"/>
        <v>42</v>
      </c>
      <c r="Z77" s="449">
        <f t="shared" si="77"/>
        <v>16664</v>
      </c>
    </row>
    <row r="78" spans="1:26">
      <c r="A78" s="45" t="str">
        <f t="shared" si="66"/>
        <v>30-34agebirths</v>
      </c>
      <c r="B78" s="39" t="s">
        <v>445</v>
      </c>
      <c r="C78" s="536" t="s">
        <v>453</v>
      </c>
      <c r="D78" s="39" t="s">
        <v>132</v>
      </c>
      <c r="E78" s="449">
        <f t="shared" ref="E78:Z78" si="78">IFERROR(VLOOKUP($A$78&amp;E$1, vw.births.dhb, 6, FALSE),0)</f>
        <v>579</v>
      </c>
      <c r="F78" s="449">
        <f t="shared" si="78"/>
        <v>2932</v>
      </c>
      <c r="G78" s="449">
        <f t="shared" si="78"/>
        <v>2138</v>
      </c>
      <c r="H78" s="449">
        <f t="shared" si="78"/>
        <v>2379</v>
      </c>
      <c r="I78" s="449">
        <f t="shared" si="78"/>
        <v>1537</v>
      </c>
      <c r="J78" s="449">
        <f t="shared" si="78"/>
        <v>372</v>
      </c>
      <c r="K78" s="449">
        <f t="shared" si="78"/>
        <v>815</v>
      </c>
      <c r="L78" s="449">
        <f t="shared" si="78"/>
        <v>0</v>
      </c>
      <c r="M78" s="449">
        <f t="shared" si="78"/>
        <v>559</v>
      </c>
      <c r="N78" s="449">
        <f t="shared" si="78"/>
        <v>428</v>
      </c>
      <c r="O78" s="449">
        <f t="shared" si="78"/>
        <v>564</v>
      </c>
      <c r="P78" s="449">
        <f t="shared" si="78"/>
        <v>194</v>
      </c>
      <c r="Q78" s="449">
        <f t="shared" si="78"/>
        <v>1246</v>
      </c>
      <c r="R78" s="449">
        <f t="shared" si="78"/>
        <v>616</v>
      </c>
      <c r="S78" s="449">
        <f t="shared" si="78"/>
        <v>120</v>
      </c>
      <c r="T78" s="449">
        <f t="shared" si="78"/>
        <v>472</v>
      </c>
      <c r="U78" s="449">
        <f t="shared" si="78"/>
        <v>88</v>
      </c>
      <c r="V78" s="449">
        <f t="shared" si="78"/>
        <v>2148</v>
      </c>
      <c r="W78" s="449">
        <f t="shared" si="78"/>
        <v>189</v>
      </c>
      <c r="X78" s="449">
        <f t="shared" si="78"/>
        <v>1131</v>
      </c>
      <c r="Y78" s="449">
        <f t="shared" si="78"/>
        <v>43</v>
      </c>
      <c r="Z78" s="449">
        <f t="shared" si="78"/>
        <v>18720</v>
      </c>
    </row>
    <row r="79" spans="1:26">
      <c r="A79" s="45" t="str">
        <f t="shared" si="66"/>
        <v>35-39agebirths</v>
      </c>
      <c r="B79" s="39" t="s">
        <v>445</v>
      </c>
      <c r="C79" s="536" t="s">
        <v>453</v>
      </c>
      <c r="D79" s="39" t="s">
        <v>133</v>
      </c>
      <c r="E79" s="449">
        <f t="shared" ref="E79:Z79" si="79">IFERROR(VLOOKUP($A$79&amp;E$1, vw.births.dhb, 6, FALSE),0)</f>
        <v>288</v>
      </c>
      <c r="F79" s="449">
        <f t="shared" si="79"/>
        <v>1618</v>
      </c>
      <c r="G79" s="449">
        <f t="shared" si="79"/>
        <v>1355</v>
      </c>
      <c r="H79" s="449">
        <f t="shared" si="79"/>
        <v>1167</v>
      </c>
      <c r="I79" s="449">
        <f t="shared" si="79"/>
        <v>741</v>
      </c>
      <c r="J79" s="449">
        <f t="shared" si="79"/>
        <v>196</v>
      </c>
      <c r="K79" s="449">
        <f t="shared" si="79"/>
        <v>438</v>
      </c>
      <c r="L79" s="449">
        <f t="shared" si="79"/>
        <v>0</v>
      </c>
      <c r="M79" s="449">
        <f t="shared" si="79"/>
        <v>274</v>
      </c>
      <c r="N79" s="449">
        <f t="shared" si="79"/>
        <v>207</v>
      </c>
      <c r="O79" s="449">
        <f t="shared" si="79"/>
        <v>280</v>
      </c>
      <c r="P79" s="449">
        <f t="shared" si="79"/>
        <v>95</v>
      </c>
      <c r="Q79" s="449">
        <f t="shared" si="79"/>
        <v>863</v>
      </c>
      <c r="R79" s="449">
        <f t="shared" si="79"/>
        <v>314</v>
      </c>
      <c r="S79" s="449">
        <f t="shared" si="79"/>
        <v>73</v>
      </c>
      <c r="T79" s="449">
        <f t="shared" si="79"/>
        <v>241</v>
      </c>
      <c r="U79" s="449">
        <f t="shared" si="79"/>
        <v>44</v>
      </c>
      <c r="V79" s="449">
        <f t="shared" si="79"/>
        <v>1124</v>
      </c>
      <c r="W79" s="449">
        <f t="shared" si="79"/>
        <v>79</v>
      </c>
      <c r="X79" s="449">
        <f t="shared" si="79"/>
        <v>593</v>
      </c>
      <c r="Y79" s="449">
        <f t="shared" si="79"/>
        <v>22</v>
      </c>
      <c r="Z79" s="449">
        <f t="shared" si="79"/>
        <v>10105</v>
      </c>
    </row>
    <row r="80" spans="1:26">
      <c r="A80" s="45" t="str">
        <f t="shared" si="66"/>
        <v>40+agebirths</v>
      </c>
      <c r="B80" s="39" t="s">
        <v>445</v>
      </c>
      <c r="C80" s="536" t="s">
        <v>453</v>
      </c>
      <c r="D80" s="39" t="s">
        <v>134</v>
      </c>
      <c r="E80" s="449">
        <f t="shared" ref="E80:Z80" si="80">IFERROR(VLOOKUP($A$80&amp;E$1, vw.births.dhb, 6, FALSE),0)</f>
        <v>98</v>
      </c>
      <c r="F80" s="449">
        <f t="shared" si="80"/>
        <v>335</v>
      </c>
      <c r="G80" s="449">
        <f t="shared" si="80"/>
        <v>349</v>
      </c>
      <c r="H80" s="449">
        <f t="shared" si="80"/>
        <v>318</v>
      </c>
      <c r="I80" s="449">
        <f t="shared" si="80"/>
        <v>159</v>
      </c>
      <c r="J80" s="449">
        <f t="shared" si="80"/>
        <v>51</v>
      </c>
      <c r="K80" s="449">
        <f t="shared" si="80"/>
        <v>113</v>
      </c>
      <c r="L80" s="449">
        <f t="shared" si="80"/>
        <v>0</v>
      </c>
      <c r="M80" s="449">
        <f t="shared" si="80"/>
        <v>52</v>
      </c>
      <c r="N80" s="449">
        <f t="shared" si="80"/>
        <v>45</v>
      </c>
      <c r="O80" s="449">
        <f t="shared" si="80"/>
        <v>68</v>
      </c>
      <c r="P80" s="449">
        <f t="shared" si="80"/>
        <v>15</v>
      </c>
      <c r="Q80" s="449">
        <f t="shared" si="80"/>
        <v>215</v>
      </c>
      <c r="R80" s="449">
        <f t="shared" si="80"/>
        <v>87</v>
      </c>
      <c r="S80" s="449">
        <f t="shared" si="80"/>
        <v>22</v>
      </c>
      <c r="T80" s="449">
        <f t="shared" si="80"/>
        <v>63</v>
      </c>
      <c r="U80" s="449">
        <f t="shared" si="80"/>
        <v>13</v>
      </c>
      <c r="V80" s="449">
        <f t="shared" si="80"/>
        <v>266</v>
      </c>
      <c r="W80" s="449">
        <f t="shared" si="80"/>
        <v>15</v>
      </c>
      <c r="X80" s="449">
        <f t="shared" si="80"/>
        <v>145</v>
      </c>
      <c r="Y80" s="449">
        <f t="shared" si="80"/>
        <v>5</v>
      </c>
      <c r="Z80" s="449">
        <f t="shared" si="80"/>
        <v>2454</v>
      </c>
    </row>
    <row r="81" spans="1:26">
      <c r="A81" s="45" t="str">
        <f t="shared" si="66"/>
        <v>Unknownagebirths</v>
      </c>
      <c r="B81" s="39" t="s">
        <v>445</v>
      </c>
      <c r="C81" s="536" t="s">
        <v>453</v>
      </c>
      <c r="D81" s="541" t="s">
        <v>63</v>
      </c>
      <c r="E81" s="449">
        <f t="shared" ref="E81:Z81" si="81">IFERROR(VLOOKUP($A$81&amp;E$1, vw.births.dhb, 6, FALSE),0)</f>
        <v>0</v>
      </c>
      <c r="F81" s="449">
        <f t="shared" si="81"/>
        <v>0</v>
      </c>
      <c r="G81" s="449">
        <f t="shared" si="81"/>
        <v>0</v>
      </c>
      <c r="H81" s="449">
        <f t="shared" si="81"/>
        <v>0</v>
      </c>
      <c r="I81" s="449">
        <f t="shared" si="81"/>
        <v>0</v>
      </c>
      <c r="J81" s="449">
        <f t="shared" si="81"/>
        <v>0</v>
      </c>
      <c r="K81" s="449">
        <f t="shared" si="81"/>
        <v>0</v>
      </c>
      <c r="L81" s="449">
        <f t="shared" si="81"/>
        <v>0</v>
      </c>
      <c r="M81" s="449">
        <f t="shared" si="81"/>
        <v>0</v>
      </c>
      <c r="N81" s="449">
        <f t="shared" si="81"/>
        <v>0</v>
      </c>
      <c r="O81" s="449">
        <f t="shared" si="81"/>
        <v>0</v>
      </c>
      <c r="P81" s="449">
        <f t="shared" si="81"/>
        <v>0</v>
      </c>
      <c r="Q81" s="449">
        <f t="shared" si="81"/>
        <v>0</v>
      </c>
      <c r="R81" s="449">
        <f t="shared" si="81"/>
        <v>0</v>
      </c>
      <c r="S81" s="449">
        <f t="shared" si="81"/>
        <v>0</v>
      </c>
      <c r="T81" s="449">
        <f t="shared" si="81"/>
        <v>0</v>
      </c>
      <c r="U81" s="449">
        <f t="shared" si="81"/>
        <v>0</v>
      </c>
      <c r="V81" s="449">
        <f t="shared" si="81"/>
        <v>0</v>
      </c>
      <c r="W81" s="449">
        <f t="shared" si="81"/>
        <v>0</v>
      </c>
      <c r="X81" s="449">
        <f t="shared" si="81"/>
        <v>0</v>
      </c>
      <c r="Y81" s="449">
        <f t="shared" si="81"/>
        <v>0</v>
      </c>
      <c r="Z81" s="449">
        <f t="shared" si="81"/>
        <v>0</v>
      </c>
    </row>
    <row r="82" spans="1:26">
      <c r="A82" s="45" t="str">
        <f t="shared" si="66"/>
        <v>Quin 1depbirths</v>
      </c>
      <c r="B82" s="39" t="s">
        <v>445</v>
      </c>
      <c r="C82" s="48" t="s">
        <v>454</v>
      </c>
      <c r="D82" s="536" t="s">
        <v>421</v>
      </c>
      <c r="E82" s="449">
        <f t="shared" ref="E82:Z82" si="82">IFERROR(VLOOKUP($A$82&amp;E$1, vw.births.dhb, 6, FALSE),0)</f>
        <v>14</v>
      </c>
      <c r="F82" s="449">
        <f t="shared" si="82"/>
        <v>1735</v>
      </c>
      <c r="G82" s="449">
        <f t="shared" si="82"/>
        <v>903</v>
      </c>
      <c r="H82" s="449">
        <f t="shared" si="82"/>
        <v>756</v>
      </c>
      <c r="I82" s="449">
        <f t="shared" si="82"/>
        <v>596</v>
      </c>
      <c r="J82" s="449">
        <f t="shared" si="82"/>
        <v>55</v>
      </c>
      <c r="K82" s="449">
        <f t="shared" si="82"/>
        <v>165</v>
      </c>
      <c r="L82" s="449">
        <f t="shared" si="82"/>
        <v>0</v>
      </c>
      <c r="M82" s="449">
        <f t="shared" si="82"/>
        <v>135</v>
      </c>
      <c r="N82" s="449">
        <f t="shared" si="82"/>
        <v>180</v>
      </c>
      <c r="O82" s="449">
        <f t="shared" si="82"/>
        <v>136</v>
      </c>
      <c r="P82" s="449">
        <f t="shared" si="82"/>
        <v>8</v>
      </c>
      <c r="Q82" s="449">
        <f t="shared" si="82"/>
        <v>1072</v>
      </c>
      <c r="R82" s="449">
        <f t="shared" si="82"/>
        <v>368</v>
      </c>
      <c r="S82" s="449">
        <f t="shared" si="82"/>
        <v>68</v>
      </c>
      <c r="T82" s="449">
        <f t="shared" si="82"/>
        <v>142</v>
      </c>
      <c r="U82" s="449">
        <f t="shared" si="82"/>
        <v>20</v>
      </c>
      <c r="V82" s="449">
        <f t="shared" si="82"/>
        <v>1785</v>
      </c>
      <c r="W82" s="449">
        <f t="shared" si="82"/>
        <v>98</v>
      </c>
      <c r="X82" s="449">
        <f t="shared" si="82"/>
        <v>933</v>
      </c>
      <c r="Y82" s="449">
        <f t="shared" si="82"/>
        <v>0</v>
      </c>
      <c r="Z82" s="449">
        <f t="shared" si="82"/>
        <v>9194</v>
      </c>
    </row>
    <row r="83" spans="1:26">
      <c r="A83" s="45" t="str">
        <f t="shared" si="66"/>
        <v>Quin 2depbirths</v>
      </c>
      <c r="B83" s="39" t="s">
        <v>445</v>
      </c>
      <c r="C83" s="48" t="s">
        <v>454</v>
      </c>
      <c r="D83" s="536" t="s">
        <v>422</v>
      </c>
      <c r="E83" s="449">
        <f t="shared" ref="E83:Z83" si="83">IFERROR(VLOOKUP($A$83&amp;E$1, vw.births.dhb, 6, FALSE),0)</f>
        <v>197</v>
      </c>
      <c r="F83" s="449">
        <f t="shared" si="83"/>
        <v>1901</v>
      </c>
      <c r="G83" s="449">
        <f t="shared" si="83"/>
        <v>1114</v>
      </c>
      <c r="H83" s="449">
        <f t="shared" si="83"/>
        <v>1165</v>
      </c>
      <c r="I83" s="449">
        <f t="shared" si="83"/>
        <v>448</v>
      </c>
      <c r="J83" s="449">
        <f t="shared" si="83"/>
        <v>205</v>
      </c>
      <c r="K83" s="449">
        <f t="shared" si="83"/>
        <v>317</v>
      </c>
      <c r="L83" s="449">
        <f t="shared" si="83"/>
        <v>0</v>
      </c>
      <c r="M83" s="449">
        <f t="shared" si="83"/>
        <v>364</v>
      </c>
      <c r="N83" s="449">
        <f t="shared" si="83"/>
        <v>147</v>
      </c>
      <c r="O83" s="449">
        <f t="shared" si="83"/>
        <v>301</v>
      </c>
      <c r="P83" s="449">
        <f t="shared" si="83"/>
        <v>49</v>
      </c>
      <c r="Q83" s="449">
        <f t="shared" si="83"/>
        <v>661</v>
      </c>
      <c r="R83" s="449">
        <f t="shared" si="83"/>
        <v>196</v>
      </c>
      <c r="S83" s="449">
        <f t="shared" si="83"/>
        <v>56</v>
      </c>
      <c r="T83" s="449">
        <f t="shared" si="83"/>
        <v>417</v>
      </c>
      <c r="U83" s="449">
        <f t="shared" si="83"/>
        <v>65</v>
      </c>
      <c r="V83" s="449">
        <f t="shared" si="83"/>
        <v>1542</v>
      </c>
      <c r="W83" s="449">
        <f t="shared" si="83"/>
        <v>185</v>
      </c>
      <c r="X83" s="449">
        <f t="shared" si="83"/>
        <v>734</v>
      </c>
      <c r="Y83" s="449">
        <f t="shared" si="83"/>
        <v>0</v>
      </c>
      <c r="Z83" s="449">
        <f t="shared" si="83"/>
        <v>10123</v>
      </c>
    </row>
    <row r="84" spans="1:26">
      <c r="A84" s="45" t="str">
        <f t="shared" si="66"/>
        <v>Quin 3depbirths</v>
      </c>
      <c r="B84" s="39" t="s">
        <v>445</v>
      </c>
      <c r="C84" s="48" t="s">
        <v>454</v>
      </c>
      <c r="D84" s="536" t="s">
        <v>423</v>
      </c>
      <c r="E84" s="449">
        <f t="shared" ref="E84:Z84" si="84">IFERROR(VLOOKUP($A$84&amp;E$1, vw.births.dhb, 6, FALSE),0)</f>
        <v>307</v>
      </c>
      <c r="F84" s="449">
        <f t="shared" si="84"/>
        <v>1819</v>
      </c>
      <c r="G84" s="449">
        <f t="shared" si="84"/>
        <v>1256</v>
      </c>
      <c r="H84" s="449">
        <f t="shared" si="84"/>
        <v>792</v>
      </c>
      <c r="I84" s="449">
        <f t="shared" si="84"/>
        <v>1204</v>
      </c>
      <c r="J84" s="449">
        <f t="shared" si="84"/>
        <v>197</v>
      </c>
      <c r="K84" s="449">
        <f t="shared" si="84"/>
        <v>670</v>
      </c>
      <c r="L84" s="449">
        <f t="shared" si="84"/>
        <v>0</v>
      </c>
      <c r="M84" s="449">
        <f t="shared" si="84"/>
        <v>201</v>
      </c>
      <c r="N84" s="449">
        <f t="shared" si="84"/>
        <v>520</v>
      </c>
      <c r="O84" s="449">
        <f t="shared" si="84"/>
        <v>439</v>
      </c>
      <c r="P84" s="449">
        <f t="shared" si="84"/>
        <v>125</v>
      </c>
      <c r="Q84" s="449">
        <f t="shared" si="84"/>
        <v>637</v>
      </c>
      <c r="R84" s="449">
        <f t="shared" si="84"/>
        <v>339</v>
      </c>
      <c r="S84" s="449">
        <f t="shared" si="84"/>
        <v>29</v>
      </c>
      <c r="T84" s="449">
        <f t="shared" si="84"/>
        <v>356</v>
      </c>
      <c r="U84" s="449">
        <f t="shared" si="84"/>
        <v>75</v>
      </c>
      <c r="V84" s="449">
        <f t="shared" si="84"/>
        <v>953</v>
      </c>
      <c r="W84" s="449">
        <f t="shared" si="84"/>
        <v>176</v>
      </c>
      <c r="X84" s="449">
        <f t="shared" si="84"/>
        <v>765</v>
      </c>
      <c r="Y84" s="449">
        <f t="shared" si="84"/>
        <v>0</v>
      </c>
      <c r="Z84" s="449">
        <f t="shared" si="84"/>
        <v>10971</v>
      </c>
    </row>
    <row r="85" spans="1:26">
      <c r="A85" s="45" t="str">
        <f t="shared" si="66"/>
        <v>Quin 4depbirths</v>
      </c>
      <c r="B85" s="39" t="s">
        <v>445</v>
      </c>
      <c r="C85" s="48" t="s">
        <v>454</v>
      </c>
      <c r="D85" s="536" t="s">
        <v>424</v>
      </c>
      <c r="E85" s="449">
        <f t="shared" ref="E85:Z85" si="85">IFERROR(VLOOKUP($A$85&amp;E$1, vw.births.dhb, 6, FALSE),0)</f>
        <v>602</v>
      </c>
      <c r="F85" s="449">
        <f t="shared" si="85"/>
        <v>1652</v>
      </c>
      <c r="G85" s="449">
        <f t="shared" si="85"/>
        <v>1001</v>
      </c>
      <c r="H85" s="449">
        <f t="shared" si="85"/>
        <v>1046</v>
      </c>
      <c r="I85" s="449">
        <f t="shared" si="85"/>
        <v>1503</v>
      </c>
      <c r="J85" s="449">
        <f t="shared" si="85"/>
        <v>320</v>
      </c>
      <c r="K85" s="449">
        <f t="shared" si="85"/>
        <v>875</v>
      </c>
      <c r="L85" s="449">
        <f t="shared" si="85"/>
        <v>0</v>
      </c>
      <c r="M85" s="449">
        <f t="shared" si="85"/>
        <v>416</v>
      </c>
      <c r="N85" s="449">
        <f t="shared" si="85"/>
        <v>361</v>
      </c>
      <c r="O85" s="449">
        <f t="shared" si="85"/>
        <v>431</v>
      </c>
      <c r="P85" s="449">
        <f t="shared" si="85"/>
        <v>266</v>
      </c>
      <c r="Q85" s="449">
        <f t="shared" si="85"/>
        <v>668</v>
      </c>
      <c r="R85" s="449">
        <f t="shared" si="85"/>
        <v>655</v>
      </c>
      <c r="S85" s="449">
        <f t="shared" si="85"/>
        <v>233</v>
      </c>
      <c r="T85" s="449">
        <f t="shared" si="85"/>
        <v>522</v>
      </c>
      <c r="U85" s="449">
        <f t="shared" si="85"/>
        <v>150</v>
      </c>
      <c r="V85" s="449">
        <f t="shared" si="85"/>
        <v>1623</v>
      </c>
      <c r="W85" s="449">
        <f t="shared" si="85"/>
        <v>161</v>
      </c>
      <c r="X85" s="449">
        <f t="shared" si="85"/>
        <v>616</v>
      </c>
      <c r="Y85" s="449">
        <f t="shared" si="85"/>
        <v>0</v>
      </c>
      <c r="Z85" s="449">
        <f t="shared" si="85"/>
        <v>13131</v>
      </c>
    </row>
    <row r="86" spans="1:26">
      <c r="A86" s="45" t="str">
        <f t="shared" si="66"/>
        <v>Quin 5depbirths</v>
      </c>
      <c r="B86" s="39" t="s">
        <v>445</v>
      </c>
      <c r="C86" s="48" t="s">
        <v>454</v>
      </c>
      <c r="D86" s="536" t="s">
        <v>425</v>
      </c>
      <c r="E86" s="449">
        <f t="shared" ref="E86:Z86" si="86">IFERROR(VLOOKUP($A$86&amp;E$1, vw.births.dhb, 6, FALSE),0)</f>
        <v>1200</v>
      </c>
      <c r="F86" s="449">
        <f t="shared" si="86"/>
        <v>944</v>
      </c>
      <c r="G86" s="449">
        <f t="shared" si="86"/>
        <v>1630</v>
      </c>
      <c r="H86" s="449">
        <f t="shared" si="86"/>
        <v>4616</v>
      </c>
      <c r="I86" s="449">
        <f t="shared" si="86"/>
        <v>1756</v>
      </c>
      <c r="J86" s="449">
        <f t="shared" si="86"/>
        <v>792</v>
      </c>
      <c r="K86" s="449">
        <f t="shared" si="86"/>
        <v>913</v>
      </c>
      <c r="L86" s="449">
        <f t="shared" si="86"/>
        <v>0</v>
      </c>
      <c r="M86" s="449">
        <f t="shared" si="86"/>
        <v>982</v>
      </c>
      <c r="N86" s="449">
        <f t="shared" si="86"/>
        <v>283</v>
      </c>
      <c r="O86" s="449">
        <f t="shared" si="86"/>
        <v>799</v>
      </c>
      <c r="P86" s="449">
        <f t="shared" si="86"/>
        <v>395</v>
      </c>
      <c r="Q86" s="449">
        <f t="shared" si="86"/>
        <v>489</v>
      </c>
      <c r="R86" s="449">
        <f t="shared" si="86"/>
        <v>446</v>
      </c>
      <c r="S86" s="449">
        <f t="shared" si="86"/>
        <v>95</v>
      </c>
      <c r="T86" s="449">
        <f t="shared" si="86"/>
        <v>102</v>
      </c>
      <c r="U86" s="449">
        <f t="shared" si="86"/>
        <v>17</v>
      </c>
      <c r="V86" s="449">
        <f t="shared" si="86"/>
        <v>496</v>
      </c>
      <c r="W86" s="449">
        <f t="shared" si="86"/>
        <v>21</v>
      </c>
      <c r="X86" s="449">
        <f t="shared" si="86"/>
        <v>366</v>
      </c>
      <c r="Y86" s="449">
        <f t="shared" si="86"/>
        <v>0</v>
      </c>
      <c r="Z86" s="449">
        <f t="shared" si="86"/>
        <v>16886</v>
      </c>
    </row>
    <row r="87" spans="1:26">
      <c r="A87" s="45" t="str">
        <f t="shared" si="66"/>
        <v>Quin 9depbirths</v>
      </c>
      <c r="B87" s="39" t="s">
        <v>445</v>
      </c>
      <c r="C87" s="48" t="s">
        <v>454</v>
      </c>
      <c r="D87" s="536" t="s">
        <v>426</v>
      </c>
      <c r="E87" s="449">
        <f t="shared" ref="E87:Z87" si="87">IFERROR(VLOOKUP($A$87&amp;E$1, vw.births.dhb, 6, FALSE),0)</f>
        <v>0</v>
      </c>
      <c r="F87" s="449">
        <f t="shared" si="87"/>
        <v>0</v>
      </c>
      <c r="G87" s="449">
        <f t="shared" si="87"/>
        <v>1</v>
      </c>
      <c r="H87" s="449">
        <f t="shared" si="87"/>
        <v>0</v>
      </c>
      <c r="I87" s="449">
        <f t="shared" si="87"/>
        <v>0</v>
      </c>
      <c r="J87" s="449">
        <f t="shared" si="87"/>
        <v>0</v>
      </c>
      <c r="K87" s="449">
        <f t="shared" si="87"/>
        <v>0</v>
      </c>
      <c r="L87" s="449">
        <f t="shared" si="87"/>
        <v>0</v>
      </c>
      <c r="M87" s="449">
        <f t="shared" si="87"/>
        <v>0</v>
      </c>
      <c r="N87" s="449">
        <f t="shared" si="87"/>
        <v>0</v>
      </c>
      <c r="O87" s="449">
        <f t="shared" si="87"/>
        <v>0</v>
      </c>
      <c r="P87" s="449">
        <f t="shared" si="87"/>
        <v>0</v>
      </c>
      <c r="Q87" s="449">
        <f t="shared" si="87"/>
        <v>0</v>
      </c>
      <c r="R87" s="449">
        <f t="shared" si="87"/>
        <v>0</v>
      </c>
      <c r="S87" s="449">
        <f t="shared" si="87"/>
        <v>0</v>
      </c>
      <c r="T87" s="449">
        <f t="shared" si="87"/>
        <v>0</v>
      </c>
      <c r="U87" s="449">
        <f t="shared" si="87"/>
        <v>0</v>
      </c>
      <c r="V87" s="449">
        <f t="shared" si="87"/>
        <v>0</v>
      </c>
      <c r="W87" s="449">
        <f t="shared" si="87"/>
        <v>0</v>
      </c>
      <c r="X87" s="449">
        <f t="shared" si="87"/>
        <v>0</v>
      </c>
      <c r="Y87" s="449">
        <f t="shared" si="87"/>
        <v>130</v>
      </c>
      <c r="Z87" s="449">
        <f t="shared" si="87"/>
        <v>131</v>
      </c>
    </row>
    <row r="88" spans="1:26" s="427" customFormat="1">
      <c r="A88" s="45" t="str">
        <f t="shared" si="66"/>
        <v>&lt;28gestbirths</v>
      </c>
      <c r="B88" s="427" t="s">
        <v>445</v>
      </c>
      <c r="C88" s="168" t="s">
        <v>450</v>
      </c>
      <c r="D88" s="427" t="s">
        <v>375</v>
      </c>
      <c r="E88" s="449">
        <f t="shared" ref="E88:Z88" si="88">IFERROR(VLOOKUP($A$88&amp;E$1, vw.births.dhb, 6, FALSE),0)</f>
        <v>12</v>
      </c>
      <c r="F88" s="449">
        <f t="shared" si="88"/>
        <v>29</v>
      </c>
      <c r="G88" s="449">
        <f t="shared" si="88"/>
        <v>25</v>
      </c>
      <c r="H88" s="449">
        <f t="shared" si="88"/>
        <v>51</v>
      </c>
      <c r="I88" s="449">
        <f t="shared" si="88"/>
        <v>20</v>
      </c>
      <c r="J88" s="449">
        <f t="shared" si="88"/>
        <v>10</v>
      </c>
      <c r="K88" s="449">
        <f t="shared" si="88"/>
        <v>11</v>
      </c>
      <c r="L88" s="449">
        <f t="shared" si="88"/>
        <v>0</v>
      </c>
      <c r="M88" s="449">
        <f t="shared" si="88"/>
        <v>6</v>
      </c>
      <c r="N88" s="449">
        <f t="shared" si="88"/>
        <v>8</v>
      </c>
      <c r="O88" s="449">
        <f t="shared" si="88"/>
        <v>7</v>
      </c>
      <c r="P88" s="449">
        <f t="shared" si="88"/>
        <v>0</v>
      </c>
      <c r="Q88" s="449">
        <f t="shared" si="88"/>
        <v>13</v>
      </c>
      <c r="R88" s="449">
        <f t="shared" si="88"/>
        <v>11</v>
      </c>
      <c r="S88" s="449">
        <f t="shared" si="88"/>
        <v>4</v>
      </c>
      <c r="T88" s="449">
        <f t="shared" si="88"/>
        <v>6</v>
      </c>
      <c r="U88" s="449">
        <f t="shared" si="88"/>
        <v>1</v>
      </c>
      <c r="V88" s="449">
        <f t="shared" si="88"/>
        <v>20</v>
      </c>
      <c r="W88" s="449">
        <f t="shared" si="88"/>
        <v>5</v>
      </c>
      <c r="X88" s="449">
        <f t="shared" si="88"/>
        <v>17</v>
      </c>
      <c r="Y88" s="449">
        <f t="shared" si="88"/>
        <v>1</v>
      </c>
      <c r="Z88" s="449">
        <f t="shared" si="88"/>
        <v>260</v>
      </c>
    </row>
    <row r="89" spans="1:26">
      <c r="A89" s="45" t="str">
        <f t="shared" si="66"/>
        <v>28-31gestbirths</v>
      </c>
      <c r="B89" s="39" t="s">
        <v>445</v>
      </c>
      <c r="C89" s="168" t="s">
        <v>450</v>
      </c>
      <c r="D89" s="427" t="s">
        <v>395</v>
      </c>
      <c r="E89" s="449">
        <f t="shared" ref="E89:Z89" si="89">IFERROR(VLOOKUP($A$89&amp;E$1, vw.births.dhb, 6, FALSE),0)</f>
        <v>10</v>
      </c>
      <c r="F89" s="449">
        <f t="shared" si="89"/>
        <v>50</v>
      </c>
      <c r="G89" s="449">
        <f t="shared" si="89"/>
        <v>28</v>
      </c>
      <c r="H89" s="449">
        <f t="shared" si="89"/>
        <v>49</v>
      </c>
      <c r="I89" s="449">
        <f t="shared" si="89"/>
        <v>43</v>
      </c>
      <c r="J89" s="449">
        <f t="shared" si="89"/>
        <v>8</v>
      </c>
      <c r="K89" s="449">
        <f t="shared" si="89"/>
        <v>24</v>
      </c>
      <c r="L89" s="449">
        <f t="shared" si="89"/>
        <v>0</v>
      </c>
      <c r="M89" s="449">
        <f t="shared" si="89"/>
        <v>13</v>
      </c>
      <c r="N89" s="449">
        <f t="shared" si="89"/>
        <v>6</v>
      </c>
      <c r="O89" s="449">
        <f t="shared" si="89"/>
        <v>28</v>
      </c>
      <c r="P89" s="449">
        <f t="shared" si="89"/>
        <v>7</v>
      </c>
      <c r="Q89" s="449">
        <f t="shared" si="89"/>
        <v>24</v>
      </c>
      <c r="R89" s="449">
        <f t="shared" si="89"/>
        <v>18</v>
      </c>
      <c r="S89" s="449">
        <f t="shared" si="89"/>
        <v>3</v>
      </c>
      <c r="T89" s="449">
        <f t="shared" si="89"/>
        <v>10</v>
      </c>
      <c r="U89" s="449">
        <f t="shared" si="89"/>
        <v>2</v>
      </c>
      <c r="V89" s="449">
        <f t="shared" si="89"/>
        <v>58</v>
      </c>
      <c r="W89" s="449">
        <f t="shared" si="89"/>
        <v>3</v>
      </c>
      <c r="X89" s="449">
        <f t="shared" si="89"/>
        <v>29</v>
      </c>
      <c r="Y89" s="449">
        <f t="shared" si="89"/>
        <v>0</v>
      </c>
      <c r="Z89" s="449">
        <f t="shared" si="89"/>
        <v>417</v>
      </c>
    </row>
    <row r="90" spans="1:26">
      <c r="A90" s="45" t="str">
        <f t="shared" si="66"/>
        <v>32-36gestbirths</v>
      </c>
      <c r="B90" s="39" t="s">
        <v>445</v>
      </c>
      <c r="C90" s="168" t="s">
        <v>450</v>
      </c>
      <c r="D90" s="427" t="s">
        <v>136</v>
      </c>
      <c r="E90" s="449">
        <f t="shared" ref="E90:Z90" si="90">IFERROR(VLOOKUP($A$90&amp;E$1, vw.births.dhb, 6, FALSE),0)</f>
        <v>126</v>
      </c>
      <c r="F90" s="449">
        <f t="shared" si="90"/>
        <v>479</v>
      </c>
      <c r="G90" s="449">
        <f t="shared" si="90"/>
        <v>320</v>
      </c>
      <c r="H90" s="449">
        <f t="shared" si="90"/>
        <v>537</v>
      </c>
      <c r="I90" s="449">
        <f t="shared" si="90"/>
        <v>335</v>
      </c>
      <c r="J90" s="449">
        <f t="shared" si="90"/>
        <v>86</v>
      </c>
      <c r="K90" s="449">
        <f t="shared" si="90"/>
        <v>180</v>
      </c>
      <c r="L90" s="449">
        <f t="shared" si="90"/>
        <v>0</v>
      </c>
      <c r="M90" s="449">
        <f t="shared" si="90"/>
        <v>134</v>
      </c>
      <c r="N90" s="449">
        <f t="shared" si="90"/>
        <v>95</v>
      </c>
      <c r="O90" s="449">
        <f t="shared" si="90"/>
        <v>163</v>
      </c>
      <c r="P90" s="449">
        <f t="shared" si="90"/>
        <v>62</v>
      </c>
      <c r="Q90" s="449">
        <f t="shared" si="90"/>
        <v>232</v>
      </c>
      <c r="R90" s="449">
        <f t="shared" si="90"/>
        <v>151</v>
      </c>
      <c r="S90" s="449">
        <f t="shared" si="90"/>
        <v>27</v>
      </c>
      <c r="T90" s="449">
        <f t="shared" si="90"/>
        <v>79</v>
      </c>
      <c r="U90" s="449">
        <f t="shared" si="90"/>
        <v>12</v>
      </c>
      <c r="V90" s="449">
        <f t="shared" si="90"/>
        <v>415</v>
      </c>
      <c r="W90" s="449">
        <f t="shared" si="90"/>
        <v>48</v>
      </c>
      <c r="X90" s="449">
        <f t="shared" si="90"/>
        <v>251</v>
      </c>
      <c r="Y90" s="449">
        <f t="shared" si="90"/>
        <v>12</v>
      </c>
      <c r="Z90" s="449">
        <f t="shared" si="90"/>
        <v>3814</v>
      </c>
    </row>
    <row r="91" spans="1:26">
      <c r="A91" s="45" t="str">
        <f t="shared" si="66"/>
        <v>37-41gestbirths</v>
      </c>
      <c r="B91" s="39" t="s">
        <v>445</v>
      </c>
      <c r="C91" s="168" t="s">
        <v>450</v>
      </c>
      <c r="D91" s="427" t="s">
        <v>137</v>
      </c>
      <c r="E91" s="449">
        <f t="shared" ref="E91:Z91" si="91">IFERROR(VLOOKUP($A$91&amp;E$1, vw.births.dhb, 6, FALSE),0)</f>
        <v>2133</v>
      </c>
      <c r="F91" s="449">
        <f t="shared" si="91"/>
        <v>7340</v>
      </c>
      <c r="G91" s="449">
        <f t="shared" si="91"/>
        <v>5451</v>
      </c>
      <c r="H91" s="449">
        <f t="shared" si="91"/>
        <v>7610</v>
      </c>
      <c r="I91" s="449">
        <f t="shared" si="91"/>
        <v>4902</v>
      </c>
      <c r="J91" s="449">
        <f t="shared" si="91"/>
        <v>1452</v>
      </c>
      <c r="K91" s="449">
        <f t="shared" si="91"/>
        <v>2674</v>
      </c>
      <c r="L91" s="449">
        <f t="shared" si="91"/>
        <v>0</v>
      </c>
      <c r="M91" s="449">
        <f t="shared" si="91"/>
        <v>1885</v>
      </c>
      <c r="N91" s="449">
        <f t="shared" si="91"/>
        <v>1361</v>
      </c>
      <c r="O91" s="449">
        <f t="shared" si="91"/>
        <v>1872</v>
      </c>
      <c r="P91" s="449">
        <f t="shared" si="91"/>
        <v>761</v>
      </c>
      <c r="Q91" s="449">
        <f t="shared" si="91"/>
        <v>3226</v>
      </c>
      <c r="R91" s="449">
        <f t="shared" si="91"/>
        <v>1813</v>
      </c>
      <c r="S91" s="449">
        <f t="shared" si="91"/>
        <v>438</v>
      </c>
      <c r="T91" s="449">
        <f t="shared" si="91"/>
        <v>1425</v>
      </c>
      <c r="U91" s="449">
        <f t="shared" si="91"/>
        <v>306</v>
      </c>
      <c r="V91" s="449">
        <f t="shared" si="91"/>
        <v>5805</v>
      </c>
      <c r="W91" s="449">
        <f t="shared" si="91"/>
        <v>577</v>
      </c>
      <c r="X91" s="449">
        <f t="shared" si="91"/>
        <v>3076</v>
      </c>
      <c r="Y91" s="449">
        <f t="shared" si="91"/>
        <v>112</v>
      </c>
      <c r="Z91" s="449">
        <f t="shared" si="91"/>
        <v>54899</v>
      </c>
    </row>
    <row r="92" spans="1:26">
      <c r="A92" s="45" t="str">
        <f t="shared" si="66"/>
        <v>42+gestbirths</v>
      </c>
      <c r="B92" s="39" t="s">
        <v>445</v>
      </c>
      <c r="C92" s="168" t="s">
        <v>450</v>
      </c>
      <c r="D92" s="427" t="s">
        <v>138</v>
      </c>
      <c r="E92" s="449">
        <f t="shared" ref="E92:Z92" si="92">IFERROR(VLOOKUP($A$92&amp;E$1, vw.births.dhb, 6, FALSE),0)</f>
        <v>39</v>
      </c>
      <c r="F92" s="449">
        <f t="shared" si="92"/>
        <v>152</v>
      </c>
      <c r="G92" s="449">
        <f t="shared" si="92"/>
        <v>78</v>
      </c>
      <c r="H92" s="449">
        <f t="shared" si="92"/>
        <v>125</v>
      </c>
      <c r="I92" s="449">
        <f t="shared" si="92"/>
        <v>196</v>
      </c>
      <c r="J92" s="449">
        <f t="shared" si="92"/>
        <v>12</v>
      </c>
      <c r="K92" s="449">
        <f t="shared" si="92"/>
        <v>46</v>
      </c>
      <c r="L92" s="449">
        <f t="shared" si="92"/>
        <v>0</v>
      </c>
      <c r="M92" s="449">
        <f t="shared" si="92"/>
        <v>59</v>
      </c>
      <c r="N92" s="449">
        <f t="shared" si="92"/>
        <v>21</v>
      </c>
      <c r="O92" s="449">
        <f t="shared" si="92"/>
        <v>36</v>
      </c>
      <c r="P92" s="449">
        <f t="shared" si="92"/>
        <v>13</v>
      </c>
      <c r="Q92" s="449">
        <f t="shared" si="92"/>
        <v>31</v>
      </c>
      <c r="R92" s="449">
        <f t="shared" si="92"/>
        <v>10</v>
      </c>
      <c r="S92" s="449">
        <f t="shared" si="92"/>
        <v>9</v>
      </c>
      <c r="T92" s="449">
        <f t="shared" si="92"/>
        <v>19</v>
      </c>
      <c r="U92" s="449">
        <f t="shared" si="92"/>
        <v>6</v>
      </c>
      <c r="V92" s="449">
        <f t="shared" si="92"/>
        <v>101</v>
      </c>
      <c r="W92" s="449">
        <f t="shared" si="92"/>
        <v>8</v>
      </c>
      <c r="X92" s="449">
        <f t="shared" si="92"/>
        <v>40</v>
      </c>
      <c r="Y92" s="449">
        <f t="shared" si="92"/>
        <v>4</v>
      </c>
      <c r="Z92" s="449">
        <f t="shared" si="92"/>
        <v>1017</v>
      </c>
    </row>
    <row r="93" spans="1:26">
      <c r="A93" s="45" t="str">
        <f t="shared" si="66"/>
        <v>Unknowngestbirths</v>
      </c>
      <c r="B93" s="39" t="s">
        <v>445</v>
      </c>
      <c r="C93" s="168" t="s">
        <v>450</v>
      </c>
      <c r="D93" s="427" t="s">
        <v>63</v>
      </c>
      <c r="E93" s="449">
        <f t="shared" ref="E93:Z93" si="93">IFERROR(VLOOKUP($A$93&amp;E$1, vw.births.dhb, 6, FALSE),0)</f>
        <v>0</v>
      </c>
      <c r="F93" s="449">
        <f t="shared" si="93"/>
        <v>1</v>
      </c>
      <c r="G93" s="449">
        <f t="shared" si="93"/>
        <v>3</v>
      </c>
      <c r="H93" s="449">
        <f t="shared" si="93"/>
        <v>3</v>
      </c>
      <c r="I93" s="449">
        <f t="shared" si="93"/>
        <v>11</v>
      </c>
      <c r="J93" s="449">
        <f t="shared" si="93"/>
        <v>1</v>
      </c>
      <c r="K93" s="449">
        <f t="shared" si="93"/>
        <v>5</v>
      </c>
      <c r="L93" s="449">
        <f t="shared" si="93"/>
        <v>0</v>
      </c>
      <c r="M93" s="449">
        <f t="shared" si="93"/>
        <v>1</v>
      </c>
      <c r="N93" s="449">
        <f t="shared" si="93"/>
        <v>0</v>
      </c>
      <c r="O93" s="449">
        <f t="shared" si="93"/>
        <v>0</v>
      </c>
      <c r="P93" s="449">
        <f t="shared" si="93"/>
        <v>0</v>
      </c>
      <c r="Q93" s="449">
        <f t="shared" si="93"/>
        <v>1</v>
      </c>
      <c r="R93" s="449">
        <f t="shared" si="93"/>
        <v>1</v>
      </c>
      <c r="S93" s="449">
        <f t="shared" si="93"/>
        <v>0</v>
      </c>
      <c r="T93" s="449">
        <f t="shared" si="93"/>
        <v>0</v>
      </c>
      <c r="U93" s="449">
        <f t="shared" si="93"/>
        <v>0</v>
      </c>
      <c r="V93" s="449">
        <f t="shared" si="93"/>
        <v>0</v>
      </c>
      <c r="W93" s="449">
        <f t="shared" si="93"/>
        <v>0</v>
      </c>
      <c r="X93" s="449">
        <f t="shared" si="93"/>
        <v>1</v>
      </c>
      <c r="Y93" s="449">
        <f t="shared" si="93"/>
        <v>1</v>
      </c>
      <c r="Z93" s="449">
        <f t="shared" si="93"/>
        <v>29</v>
      </c>
    </row>
    <row r="94" spans="1:26" s="427" customFormat="1">
      <c r="A94" s="45" t="str">
        <f t="shared" si="66"/>
        <v>&lt;500bwtbirths</v>
      </c>
      <c r="B94" s="427" t="s">
        <v>445</v>
      </c>
      <c r="C94" s="168" t="s">
        <v>447</v>
      </c>
      <c r="D94" s="536" t="s">
        <v>427</v>
      </c>
      <c r="E94" s="449">
        <f t="shared" ref="E94:Z94" si="94">IFERROR(VLOOKUP($A$94&amp;E$1, vw.births.dhb, 6, FALSE),0)</f>
        <v>0</v>
      </c>
      <c r="F94" s="449">
        <f t="shared" si="94"/>
        <v>9</v>
      </c>
      <c r="G94" s="449">
        <f t="shared" si="94"/>
        <v>6</v>
      </c>
      <c r="H94" s="449">
        <f t="shared" si="94"/>
        <v>15</v>
      </c>
      <c r="I94" s="449">
        <f t="shared" si="94"/>
        <v>6</v>
      </c>
      <c r="J94" s="449">
        <f t="shared" si="94"/>
        <v>2</v>
      </c>
      <c r="K94" s="449">
        <f t="shared" si="94"/>
        <v>3</v>
      </c>
      <c r="L94" s="449">
        <f t="shared" si="94"/>
        <v>0</v>
      </c>
      <c r="M94" s="449">
        <f t="shared" si="94"/>
        <v>0</v>
      </c>
      <c r="N94" s="449">
        <f t="shared" si="94"/>
        <v>2</v>
      </c>
      <c r="O94" s="449">
        <f t="shared" si="94"/>
        <v>1</v>
      </c>
      <c r="P94" s="449">
        <f t="shared" si="94"/>
        <v>0</v>
      </c>
      <c r="Q94" s="449">
        <f t="shared" si="94"/>
        <v>1</v>
      </c>
      <c r="R94" s="449">
        <f t="shared" si="94"/>
        <v>2</v>
      </c>
      <c r="S94" s="449">
        <f t="shared" si="94"/>
        <v>1</v>
      </c>
      <c r="T94" s="449">
        <f t="shared" si="94"/>
        <v>0</v>
      </c>
      <c r="U94" s="449">
        <f t="shared" si="94"/>
        <v>0</v>
      </c>
      <c r="V94" s="449">
        <f t="shared" si="94"/>
        <v>2</v>
      </c>
      <c r="W94" s="449">
        <f t="shared" si="94"/>
        <v>0</v>
      </c>
      <c r="X94" s="449">
        <f t="shared" si="94"/>
        <v>3</v>
      </c>
      <c r="Y94" s="449">
        <f t="shared" si="94"/>
        <v>0</v>
      </c>
      <c r="Z94" s="449">
        <f t="shared" si="94"/>
        <v>53</v>
      </c>
    </row>
    <row r="95" spans="1:26" s="427" customFormat="1">
      <c r="A95" s="45" t="str">
        <f t="shared" si="66"/>
        <v>500-999bwtbirths</v>
      </c>
      <c r="B95" s="427" t="s">
        <v>445</v>
      </c>
      <c r="C95" s="168" t="s">
        <v>447</v>
      </c>
      <c r="D95" s="536" t="s">
        <v>428</v>
      </c>
      <c r="E95" s="449">
        <f t="shared" ref="E95:Z95" si="95">IFERROR(VLOOKUP($A$95&amp;E$1, vw.births.dhb, 6, FALSE),0)</f>
        <v>6</v>
      </c>
      <c r="F95" s="449">
        <f t="shared" si="95"/>
        <v>17</v>
      </c>
      <c r="G95" s="449">
        <f t="shared" si="95"/>
        <v>22</v>
      </c>
      <c r="H95" s="449">
        <f t="shared" si="95"/>
        <v>31</v>
      </c>
      <c r="I95" s="449">
        <f t="shared" si="95"/>
        <v>19</v>
      </c>
      <c r="J95" s="449">
        <f t="shared" si="95"/>
        <v>7</v>
      </c>
      <c r="K95" s="449">
        <f t="shared" si="95"/>
        <v>9</v>
      </c>
      <c r="L95" s="449">
        <f t="shared" si="95"/>
        <v>0</v>
      </c>
      <c r="M95" s="449">
        <f t="shared" si="95"/>
        <v>7</v>
      </c>
      <c r="N95" s="449">
        <f t="shared" si="95"/>
        <v>4</v>
      </c>
      <c r="O95" s="449">
        <f t="shared" si="95"/>
        <v>10</v>
      </c>
      <c r="P95" s="449">
        <f t="shared" si="95"/>
        <v>1</v>
      </c>
      <c r="Q95" s="449">
        <f t="shared" si="95"/>
        <v>11</v>
      </c>
      <c r="R95" s="449">
        <f t="shared" si="95"/>
        <v>10</v>
      </c>
      <c r="S95" s="449">
        <f t="shared" si="95"/>
        <v>3</v>
      </c>
      <c r="T95" s="449">
        <f t="shared" si="95"/>
        <v>5</v>
      </c>
      <c r="U95" s="449">
        <f t="shared" si="95"/>
        <v>1</v>
      </c>
      <c r="V95" s="449">
        <f t="shared" si="95"/>
        <v>12</v>
      </c>
      <c r="W95" s="449">
        <f t="shared" si="95"/>
        <v>2</v>
      </c>
      <c r="X95" s="449">
        <f t="shared" si="95"/>
        <v>16</v>
      </c>
      <c r="Y95" s="449">
        <f t="shared" si="95"/>
        <v>1</v>
      </c>
      <c r="Z95" s="449">
        <f t="shared" si="95"/>
        <v>196</v>
      </c>
    </row>
    <row r="96" spans="1:26">
      <c r="A96" s="45" t="str">
        <f t="shared" si="66"/>
        <v>1000-1499bwtbirths</v>
      </c>
      <c r="B96" s="39" t="s">
        <v>445</v>
      </c>
      <c r="C96" s="168" t="s">
        <v>447</v>
      </c>
      <c r="D96" s="536" t="s">
        <v>429</v>
      </c>
      <c r="E96" s="449">
        <f t="shared" ref="E96:Z96" si="96">IFERROR(VLOOKUP($A$96&amp;E$1, vw.births.dhb, 6, FALSE),0)</f>
        <v>16</v>
      </c>
      <c r="F96" s="449">
        <f t="shared" si="96"/>
        <v>40</v>
      </c>
      <c r="G96" s="449">
        <f t="shared" si="96"/>
        <v>28</v>
      </c>
      <c r="H96" s="449">
        <f t="shared" si="96"/>
        <v>44</v>
      </c>
      <c r="I96" s="449">
        <f t="shared" si="96"/>
        <v>33</v>
      </c>
      <c r="J96" s="449">
        <f t="shared" si="96"/>
        <v>7</v>
      </c>
      <c r="K96" s="449">
        <f t="shared" si="96"/>
        <v>13</v>
      </c>
      <c r="L96" s="449">
        <f t="shared" si="96"/>
        <v>0</v>
      </c>
      <c r="M96" s="449">
        <f t="shared" si="96"/>
        <v>9</v>
      </c>
      <c r="N96" s="449">
        <f t="shared" si="96"/>
        <v>6</v>
      </c>
      <c r="O96" s="449">
        <f t="shared" si="96"/>
        <v>19</v>
      </c>
      <c r="P96" s="449">
        <f t="shared" si="96"/>
        <v>4</v>
      </c>
      <c r="Q96" s="449">
        <f t="shared" si="96"/>
        <v>18</v>
      </c>
      <c r="R96" s="449">
        <f t="shared" si="96"/>
        <v>12</v>
      </c>
      <c r="S96" s="449">
        <f t="shared" si="96"/>
        <v>2</v>
      </c>
      <c r="T96" s="449">
        <f t="shared" si="96"/>
        <v>5</v>
      </c>
      <c r="U96" s="449">
        <f t="shared" si="96"/>
        <v>0</v>
      </c>
      <c r="V96" s="449">
        <f t="shared" si="96"/>
        <v>40</v>
      </c>
      <c r="W96" s="449">
        <f t="shared" si="96"/>
        <v>5</v>
      </c>
      <c r="X96" s="449">
        <f t="shared" si="96"/>
        <v>25</v>
      </c>
      <c r="Y96" s="449">
        <f t="shared" si="96"/>
        <v>0</v>
      </c>
      <c r="Z96" s="449">
        <f t="shared" si="96"/>
        <v>331</v>
      </c>
    </row>
    <row r="97" spans="1:26" s="453" customFormat="1">
      <c r="A97" s="45" t="str">
        <f t="shared" si="66"/>
        <v>1500-2499bwtbirths</v>
      </c>
      <c r="B97" s="453" t="s">
        <v>445</v>
      </c>
      <c r="C97" s="168" t="s">
        <v>447</v>
      </c>
      <c r="D97" s="536" t="s">
        <v>430</v>
      </c>
      <c r="E97" s="449">
        <f t="shared" ref="E97:Z97" si="97">IFERROR(VLOOKUP($A$97&amp;E$1, vw.births.dhb, 6, FALSE),0)</f>
        <v>105</v>
      </c>
      <c r="F97" s="449">
        <f t="shared" si="97"/>
        <v>377</v>
      </c>
      <c r="G97" s="449">
        <f t="shared" si="97"/>
        <v>299</v>
      </c>
      <c r="H97" s="449">
        <f t="shared" si="97"/>
        <v>411</v>
      </c>
      <c r="I97" s="449">
        <f t="shared" si="97"/>
        <v>270</v>
      </c>
      <c r="J97" s="449">
        <f t="shared" si="97"/>
        <v>74</v>
      </c>
      <c r="K97" s="449">
        <f t="shared" si="97"/>
        <v>129</v>
      </c>
      <c r="L97" s="449">
        <f t="shared" si="97"/>
        <v>0</v>
      </c>
      <c r="M97" s="449">
        <f t="shared" si="97"/>
        <v>118</v>
      </c>
      <c r="N97" s="449">
        <f t="shared" si="97"/>
        <v>85</v>
      </c>
      <c r="O97" s="449">
        <f t="shared" si="97"/>
        <v>129</v>
      </c>
      <c r="P97" s="449">
        <f t="shared" si="97"/>
        <v>46</v>
      </c>
      <c r="Q97" s="449">
        <f t="shared" si="97"/>
        <v>171</v>
      </c>
      <c r="R97" s="449">
        <f t="shared" si="97"/>
        <v>116</v>
      </c>
      <c r="S97" s="449">
        <f t="shared" si="97"/>
        <v>30</v>
      </c>
      <c r="T97" s="449">
        <f t="shared" si="97"/>
        <v>58</v>
      </c>
      <c r="U97" s="449">
        <f t="shared" si="97"/>
        <v>10</v>
      </c>
      <c r="V97" s="449">
        <f t="shared" si="97"/>
        <v>312</v>
      </c>
      <c r="W97" s="449">
        <f t="shared" si="97"/>
        <v>28</v>
      </c>
      <c r="X97" s="449">
        <f t="shared" si="97"/>
        <v>167</v>
      </c>
      <c r="Y97" s="449">
        <f t="shared" si="97"/>
        <v>4</v>
      </c>
      <c r="Z97" s="449">
        <f t="shared" si="97"/>
        <v>2991</v>
      </c>
    </row>
    <row r="98" spans="1:26">
      <c r="A98" s="45" t="str">
        <f t="shared" si="66"/>
        <v>2500-4499bwtbirths</v>
      </c>
      <c r="B98" s="39" t="s">
        <v>445</v>
      </c>
      <c r="C98" s="168" t="s">
        <v>447</v>
      </c>
      <c r="D98" s="536" t="s">
        <v>431</v>
      </c>
      <c r="E98" s="449">
        <f t="shared" ref="E98:Z98" si="98">IFERROR(VLOOKUP($A$98&amp;E$1, vw.births.dhb, 6, FALSE),0)</f>
        <v>2132</v>
      </c>
      <c r="F98" s="449">
        <f t="shared" si="98"/>
        <v>7445</v>
      </c>
      <c r="G98" s="449">
        <f t="shared" si="98"/>
        <v>5449</v>
      </c>
      <c r="H98" s="449">
        <f t="shared" si="98"/>
        <v>7674</v>
      </c>
      <c r="I98" s="449">
        <f t="shared" si="98"/>
        <v>5017</v>
      </c>
      <c r="J98" s="449">
        <f t="shared" si="98"/>
        <v>1442</v>
      </c>
      <c r="K98" s="449">
        <f t="shared" si="98"/>
        <v>2716</v>
      </c>
      <c r="L98" s="449">
        <f t="shared" si="98"/>
        <v>0</v>
      </c>
      <c r="M98" s="449">
        <f t="shared" si="98"/>
        <v>1911</v>
      </c>
      <c r="N98" s="449">
        <f t="shared" si="98"/>
        <v>1367</v>
      </c>
      <c r="O98" s="449">
        <f t="shared" si="98"/>
        <v>1892</v>
      </c>
      <c r="P98" s="449">
        <f t="shared" si="98"/>
        <v>773</v>
      </c>
      <c r="Q98" s="449">
        <f t="shared" si="98"/>
        <v>3252</v>
      </c>
      <c r="R98" s="449">
        <f t="shared" si="98"/>
        <v>1811</v>
      </c>
      <c r="S98" s="449">
        <f t="shared" si="98"/>
        <v>428</v>
      </c>
      <c r="T98" s="449">
        <f t="shared" si="98"/>
        <v>1418</v>
      </c>
      <c r="U98" s="449">
        <f t="shared" si="98"/>
        <v>306</v>
      </c>
      <c r="V98" s="449">
        <f t="shared" si="98"/>
        <v>5868</v>
      </c>
      <c r="W98" s="449">
        <f t="shared" si="98"/>
        <v>588</v>
      </c>
      <c r="X98" s="449">
        <f t="shared" si="98"/>
        <v>3111</v>
      </c>
      <c r="Y98" s="449">
        <f t="shared" si="98"/>
        <v>122</v>
      </c>
      <c r="Z98" s="449">
        <f t="shared" si="98"/>
        <v>55407</v>
      </c>
    </row>
    <row r="99" spans="1:26">
      <c r="A99" s="45" t="str">
        <f t="shared" si="66"/>
        <v>4500+bwtbirths</v>
      </c>
      <c r="B99" s="39" t="s">
        <v>445</v>
      </c>
      <c r="C99" s="168" t="s">
        <v>447</v>
      </c>
      <c r="D99" s="536" t="s">
        <v>432</v>
      </c>
      <c r="E99" s="449">
        <f t="shared" ref="E99:Z99" si="99">IFERROR(VLOOKUP($A$99&amp;E$1, vw.births.dhb, 6, FALSE),0)</f>
        <v>60</v>
      </c>
      <c r="F99" s="449">
        <f t="shared" si="99"/>
        <v>158</v>
      </c>
      <c r="G99" s="449">
        <f t="shared" si="99"/>
        <v>96</v>
      </c>
      <c r="H99" s="449">
        <f t="shared" si="99"/>
        <v>196</v>
      </c>
      <c r="I99" s="449">
        <f t="shared" si="99"/>
        <v>158</v>
      </c>
      <c r="J99" s="449">
        <f t="shared" si="99"/>
        <v>36</v>
      </c>
      <c r="K99" s="449">
        <f t="shared" si="99"/>
        <v>66</v>
      </c>
      <c r="L99" s="449">
        <f t="shared" si="99"/>
        <v>0</v>
      </c>
      <c r="M99" s="449">
        <f t="shared" si="99"/>
        <v>50</v>
      </c>
      <c r="N99" s="449">
        <f t="shared" si="99"/>
        <v>26</v>
      </c>
      <c r="O99" s="449">
        <f t="shared" si="99"/>
        <v>54</v>
      </c>
      <c r="P99" s="449">
        <f t="shared" si="99"/>
        <v>19</v>
      </c>
      <c r="Q99" s="449">
        <f t="shared" si="99"/>
        <v>73</v>
      </c>
      <c r="R99" s="449">
        <f t="shared" si="99"/>
        <v>52</v>
      </c>
      <c r="S99" s="449">
        <f t="shared" si="99"/>
        <v>16</v>
      </c>
      <c r="T99" s="449">
        <f t="shared" si="99"/>
        <v>53</v>
      </c>
      <c r="U99" s="449">
        <f t="shared" si="99"/>
        <v>10</v>
      </c>
      <c r="V99" s="449">
        <f t="shared" si="99"/>
        <v>163</v>
      </c>
      <c r="W99" s="449">
        <f t="shared" si="99"/>
        <v>18</v>
      </c>
      <c r="X99" s="449">
        <f t="shared" si="99"/>
        <v>92</v>
      </c>
      <c r="Y99" s="449">
        <f t="shared" si="99"/>
        <v>2</v>
      </c>
      <c r="Z99" s="449">
        <f t="shared" si="99"/>
        <v>1423</v>
      </c>
    </row>
    <row r="100" spans="1:26">
      <c r="A100" s="45" t="str">
        <f t="shared" si="66"/>
        <v>Unknownbwtbirths</v>
      </c>
      <c r="B100" s="39" t="s">
        <v>445</v>
      </c>
      <c r="C100" s="168" t="s">
        <v>447</v>
      </c>
      <c r="D100" s="536" t="s">
        <v>63</v>
      </c>
      <c r="E100" s="449">
        <f t="shared" ref="E100:Z100" si="100">IFERROR(VLOOKUP($A$100&amp;E$1, vw.births.dhb, 6, FALSE),0)</f>
        <v>1</v>
      </c>
      <c r="F100" s="449">
        <f t="shared" si="100"/>
        <v>5</v>
      </c>
      <c r="G100" s="449">
        <f t="shared" si="100"/>
        <v>5</v>
      </c>
      <c r="H100" s="449">
        <f t="shared" si="100"/>
        <v>4</v>
      </c>
      <c r="I100" s="449">
        <f t="shared" si="100"/>
        <v>4</v>
      </c>
      <c r="J100" s="449">
        <f t="shared" si="100"/>
        <v>1</v>
      </c>
      <c r="K100" s="449">
        <f t="shared" si="100"/>
        <v>4</v>
      </c>
      <c r="L100" s="449">
        <f t="shared" si="100"/>
        <v>0</v>
      </c>
      <c r="M100" s="449">
        <f t="shared" si="100"/>
        <v>3</v>
      </c>
      <c r="N100" s="449">
        <f t="shared" si="100"/>
        <v>1</v>
      </c>
      <c r="O100" s="449">
        <f t="shared" si="100"/>
        <v>1</v>
      </c>
      <c r="P100" s="449">
        <f t="shared" si="100"/>
        <v>0</v>
      </c>
      <c r="Q100" s="449">
        <f t="shared" si="100"/>
        <v>1</v>
      </c>
      <c r="R100" s="449">
        <f t="shared" si="100"/>
        <v>1</v>
      </c>
      <c r="S100" s="449">
        <f t="shared" si="100"/>
        <v>1</v>
      </c>
      <c r="T100" s="449">
        <f t="shared" si="100"/>
        <v>0</v>
      </c>
      <c r="U100" s="449">
        <f t="shared" si="100"/>
        <v>0</v>
      </c>
      <c r="V100" s="449">
        <f t="shared" si="100"/>
        <v>2</v>
      </c>
      <c r="W100" s="449">
        <f t="shared" si="100"/>
        <v>0</v>
      </c>
      <c r="X100" s="449">
        <f t="shared" si="100"/>
        <v>0</v>
      </c>
      <c r="Y100" s="449">
        <f t="shared" si="100"/>
        <v>1</v>
      </c>
      <c r="Z100" s="449">
        <f t="shared" si="100"/>
        <v>35</v>
      </c>
    </row>
    <row r="101" spans="1:26">
      <c r="A101" s="45" t="str">
        <f t="shared" si="66"/>
        <v>TotalOverallbirths</v>
      </c>
      <c r="B101" s="537" t="s">
        <v>445</v>
      </c>
      <c r="C101" s="85" t="s">
        <v>104</v>
      </c>
      <c r="D101" s="85" t="s">
        <v>44</v>
      </c>
      <c r="E101" s="449">
        <f>IFERROR(VLOOKUP($A$101&amp;E$1, vw.births.dhb, 6, FALSE),0)</f>
        <v>2320</v>
      </c>
      <c r="F101" s="449">
        <f>IFERROR(VLOOKUP($A$101&amp;F$1, vw.births.dhb, 6, FALSE),0)</f>
        <v>8051</v>
      </c>
      <c r="G101" s="449">
        <v>6074</v>
      </c>
      <c r="H101" s="449">
        <v>8072</v>
      </c>
      <c r="I101" s="449">
        <v>5235</v>
      </c>
      <c r="J101" s="449">
        <v>1364</v>
      </c>
      <c r="K101" s="449">
        <v>2688</v>
      </c>
      <c r="L101" s="449">
        <v>673</v>
      </c>
      <c r="M101" s="449">
        <v>2100</v>
      </c>
      <c r="N101" s="449">
        <v>1534</v>
      </c>
      <c r="O101" s="449">
        <v>2093</v>
      </c>
      <c r="P101" s="449">
        <v>800</v>
      </c>
      <c r="Q101" s="449">
        <v>3559</v>
      </c>
      <c r="R101" s="449">
        <v>1814</v>
      </c>
      <c r="S101" s="449">
        <v>493</v>
      </c>
      <c r="T101" s="449">
        <v>1449</v>
      </c>
      <c r="U101" s="449">
        <v>381</v>
      </c>
      <c r="V101" s="449">
        <v>5987</v>
      </c>
      <c r="W101" s="449">
        <v>624</v>
      </c>
      <c r="X101" s="449">
        <v>3269</v>
      </c>
      <c r="Y101" s="449">
        <v>212</v>
      </c>
      <c r="Z101" s="449">
        <f t="shared" ref="Z101" si="101">SUM(E101:Y101)</f>
        <v>58792</v>
      </c>
    </row>
    <row r="102" spans="1:26">
      <c r="A102" s="45" t="str">
        <f t="shared" si="66"/>
        <v>TotalOverallfetal</v>
      </c>
      <c r="B102" s="39" t="s">
        <v>420</v>
      </c>
      <c r="C102" s="46" t="s">
        <v>104</v>
      </c>
      <c r="D102" s="85" t="s">
        <v>44</v>
      </c>
      <c r="E102" s="449">
        <f t="shared" ref="E102:Z102" si="102">IFERROR(VLOOKUP($A$102&amp;E$1, vw.deaths.dhb, 6, FALSE),0)</f>
        <v>20</v>
      </c>
      <c r="F102" s="449">
        <f t="shared" si="102"/>
        <v>42</v>
      </c>
      <c r="G102" s="449">
        <f t="shared" si="102"/>
        <v>39</v>
      </c>
      <c r="H102" s="449">
        <f t="shared" si="102"/>
        <v>66</v>
      </c>
      <c r="I102" s="449">
        <f t="shared" si="102"/>
        <v>58</v>
      </c>
      <c r="J102" s="449">
        <f t="shared" si="102"/>
        <v>13</v>
      </c>
      <c r="K102" s="449">
        <f t="shared" si="102"/>
        <v>19</v>
      </c>
      <c r="L102" s="449">
        <f t="shared" si="102"/>
        <v>0</v>
      </c>
      <c r="M102" s="449">
        <f t="shared" si="102"/>
        <v>7</v>
      </c>
      <c r="N102" s="449">
        <f t="shared" si="102"/>
        <v>13</v>
      </c>
      <c r="O102" s="449">
        <f t="shared" si="102"/>
        <v>11</v>
      </c>
      <c r="P102" s="449">
        <f t="shared" si="102"/>
        <v>4</v>
      </c>
      <c r="Q102" s="449">
        <f t="shared" si="102"/>
        <v>18</v>
      </c>
      <c r="R102" s="449">
        <f t="shared" si="102"/>
        <v>7</v>
      </c>
      <c r="S102" s="449">
        <f t="shared" si="102"/>
        <v>5</v>
      </c>
      <c r="T102" s="449">
        <f t="shared" si="102"/>
        <v>4</v>
      </c>
      <c r="U102" s="449">
        <f t="shared" si="102"/>
        <v>8</v>
      </c>
      <c r="V102" s="449">
        <f t="shared" si="102"/>
        <v>44</v>
      </c>
      <c r="W102" s="449">
        <f t="shared" si="102"/>
        <v>3</v>
      </c>
      <c r="X102" s="449">
        <f t="shared" si="102"/>
        <v>28</v>
      </c>
      <c r="Y102" s="449">
        <f t="shared" si="102"/>
        <v>2</v>
      </c>
      <c r="Z102" s="449">
        <f t="shared" si="102"/>
        <v>413</v>
      </c>
    </row>
    <row r="103" spans="1:26">
      <c r="A103" s="45" t="str">
        <f t="shared" si="66"/>
        <v>TotalOverallinfant</v>
      </c>
      <c r="B103" s="39" t="s">
        <v>437</v>
      </c>
      <c r="C103" s="46" t="s">
        <v>104</v>
      </c>
      <c r="D103" s="85" t="s">
        <v>44</v>
      </c>
      <c r="E103" s="449">
        <f t="shared" ref="E103:Z103" si="103">IFERROR(VLOOKUP($A$103&amp;E$1, vw.deaths.dhb, 6, FALSE),0)</f>
        <v>12</v>
      </c>
      <c r="F103" s="449">
        <f t="shared" si="103"/>
        <v>18</v>
      </c>
      <c r="G103" s="449">
        <f t="shared" si="103"/>
        <v>18</v>
      </c>
      <c r="H103" s="449">
        <f t="shared" si="103"/>
        <v>57</v>
      </c>
      <c r="I103" s="449">
        <f t="shared" si="103"/>
        <v>28</v>
      </c>
      <c r="J103" s="449">
        <f t="shared" si="103"/>
        <v>0</v>
      </c>
      <c r="K103" s="449">
        <f t="shared" si="103"/>
        <v>18</v>
      </c>
      <c r="L103" s="449">
        <f t="shared" si="103"/>
        <v>0</v>
      </c>
      <c r="M103" s="449">
        <f t="shared" si="103"/>
        <v>6</v>
      </c>
      <c r="N103" s="449">
        <f t="shared" si="103"/>
        <v>6</v>
      </c>
      <c r="O103" s="449">
        <f t="shared" si="103"/>
        <v>10</v>
      </c>
      <c r="P103" s="449">
        <f t="shared" si="103"/>
        <v>6</v>
      </c>
      <c r="Q103" s="449">
        <f t="shared" si="103"/>
        <v>11</v>
      </c>
      <c r="R103" s="449">
        <f t="shared" si="103"/>
        <v>9</v>
      </c>
      <c r="S103" s="449">
        <f t="shared" si="103"/>
        <v>1</v>
      </c>
      <c r="T103" s="449">
        <f t="shared" si="103"/>
        <v>2</v>
      </c>
      <c r="U103" s="449">
        <f t="shared" si="103"/>
        <v>2</v>
      </c>
      <c r="V103" s="449">
        <f t="shared" si="103"/>
        <v>21</v>
      </c>
      <c r="W103" s="449">
        <f t="shared" si="103"/>
        <v>3</v>
      </c>
      <c r="X103" s="449">
        <f t="shared" si="103"/>
        <v>9</v>
      </c>
      <c r="Y103" s="449">
        <f t="shared" si="103"/>
        <v>1</v>
      </c>
      <c r="Z103" s="449">
        <f t="shared" si="103"/>
        <v>241</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2B8CBE"/>
  </sheetPr>
  <dimension ref="A1:DB5777"/>
  <sheetViews>
    <sheetView zoomScaleNormal="100" workbookViewId="0">
      <selection activeCell="AY9" sqref="AY9"/>
    </sheetView>
  </sheetViews>
  <sheetFormatPr defaultRowHeight="15"/>
  <cols>
    <col min="1" max="1" width="24.28515625" style="502" customWidth="1"/>
    <col min="2" max="3" width="9.140625" style="604"/>
    <col min="4" max="4" width="13.7109375" style="604" bestFit="1" customWidth="1"/>
    <col min="5" max="6" width="9.140625" style="604"/>
    <col min="7" max="7" width="9.140625" style="606"/>
    <col min="8" max="8" width="9.42578125" style="499" customWidth="1"/>
    <col min="9" max="9" width="22.28515625" style="499" customWidth="1"/>
    <col min="10" max="16" width="9.140625" style="604"/>
    <col min="17" max="17" width="10.28515625" customWidth="1"/>
    <col min="18" max="18" width="28.85546875" bestFit="1" customWidth="1"/>
    <col min="19" max="23" width="9.140625" style="604"/>
    <col min="25" max="25" width="30.28515625" customWidth="1"/>
    <col min="26" max="28" width="9.140625" style="604"/>
    <col min="29" max="30" width="9.5703125" style="604" bestFit="1" customWidth="1"/>
    <col min="31" max="34" width="9.140625" style="604"/>
    <col min="35" max="35" width="9.140625" style="527"/>
    <col min="36" max="36" width="27" customWidth="1"/>
    <col min="37" max="40" width="9.140625" style="604"/>
    <col min="41" max="42" width="9.5703125" style="604" bestFit="1" customWidth="1"/>
    <col min="44" max="44" width="44.85546875" customWidth="1"/>
    <col min="45" max="50" width="9.140625" style="604"/>
    <col min="51" max="51" width="9.140625" style="606"/>
    <col min="52" max="52" width="9.140625" style="604"/>
    <col min="55" max="60" width="9.140625" style="604"/>
    <col min="62" max="62" width="16.28515625" customWidth="1"/>
    <col min="63" max="68" width="9.140625" style="604"/>
    <col min="71" max="75" width="9.140625" style="604"/>
    <col min="78" max="82" width="9.140625" style="604"/>
    <col min="85" max="90" width="9.140625" style="604"/>
    <col min="92" max="92" width="20.140625" customWidth="1"/>
    <col min="93" max="93" width="9.140625" style="604"/>
    <col min="94" max="94" width="12.7109375" style="604" customWidth="1"/>
    <col min="95" max="98" width="9.140625" style="604"/>
  </cols>
  <sheetData>
    <row r="1" spans="1:106" s="499" customFormat="1" ht="23.25">
      <c r="A1" s="999" t="s">
        <v>485</v>
      </c>
      <c r="B1" s="999"/>
      <c r="C1" s="999"/>
      <c r="D1" s="999"/>
      <c r="E1" s="999"/>
      <c r="F1" s="999"/>
      <c r="G1" s="999"/>
      <c r="I1" s="999" t="s">
        <v>486</v>
      </c>
      <c r="J1" s="999"/>
      <c r="K1" s="999"/>
      <c r="L1" s="999"/>
      <c r="M1" s="999"/>
      <c r="N1" s="999"/>
      <c r="O1" s="999"/>
      <c r="P1" s="999"/>
      <c r="R1" s="999" t="s">
        <v>487</v>
      </c>
      <c r="S1" s="999"/>
      <c r="T1" s="999"/>
      <c r="U1" s="999"/>
      <c r="V1" s="999"/>
      <c r="W1" s="999"/>
      <c r="Y1" s="999" t="s">
        <v>488</v>
      </c>
      <c r="Z1" s="999"/>
      <c r="AA1" s="999"/>
      <c r="AB1" s="999"/>
      <c r="AC1" s="999"/>
      <c r="AD1" s="999"/>
      <c r="AE1" s="999"/>
      <c r="AF1" s="999"/>
      <c r="AG1" s="999"/>
      <c r="AH1" s="999"/>
      <c r="AI1" s="527"/>
      <c r="AJ1" s="999" t="s">
        <v>489</v>
      </c>
      <c r="AK1" s="999"/>
      <c r="AL1" s="999"/>
      <c r="AM1" s="999"/>
      <c r="AN1" s="999"/>
      <c r="AO1" s="999"/>
      <c r="AP1" s="999"/>
      <c r="AR1" s="999" t="s">
        <v>490</v>
      </c>
      <c r="AS1" s="999"/>
      <c r="AT1" s="999"/>
      <c r="AU1" s="999"/>
      <c r="AV1" s="999"/>
      <c r="AW1" s="999"/>
      <c r="AX1" s="999"/>
      <c r="AY1" s="999"/>
      <c r="AZ1" s="999"/>
      <c r="BB1" s="999" t="s">
        <v>491</v>
      </c>
      <c r="BC1" s="999"/>
      <c r="BD1" s="999"/>
      <c r="BE1" s="999"/>
      <c r="BF1" s="999"/>
      <c r="BG1" s="999"/>
      <c r="BH1" s="999"/>
      <c r="BJ1" s="999" t="s">
        <v>492</v>
      </c>
      <c r="BK1" s="999"/>
      <c r="BL1" s="999"/>
      <c r="BM1" s="999"/>
      <c r="BN1" s="999"/>
      <c r="BO1" s="999"/>
      <c r="BP1" s="999"/>
      <c r="BR1" s="998" t="s">
        <v>493</v>
      </c>
      <c r="BS1" s="998"/>
      <c r="BT1" s="998"/>
      <c r="BU1" s="998"/>
      <c r="BV1" s="998"/>
      <c r="BW1" s="998"/>
      <c r="BY1" s="999" t="s">
        <v>494</v>
      </c>
      <c r="BZ1" s="999"/>
      <c r="CA1" s="999"/>
      <c r="CB1" s="999"/>
      <c r="CC1" s="999"/>
      <c r="CD1" s="999"/>
      <c r="CF1" s="999" t="s">
        <v>495</v>
      </c>
      <c r="CG1" s="999"/>
      <c r="CH1" s="999"/>
      <c r="CI1" s="999"/>
      <c r="CJ1" s="999"/>
      <c r="CK1" s="999"/>
      <c r="CL1" s="999"/>
      <c r="CN1" s="999" t="s">
        <v>521</v>
      </c>
      <c r="CO1" s="999"/>
      <c r="CP1" s="999"/>
      <c r="CQ1" s="999"/>
      <c r="CR1" s="999"/>
      <c r="CS1" s="999"/>
      <c r="CT1" s="999"/>
      <c r="CV1" s="504"/>
      <c r="CW1" s="575"/>
      <c r="CX1" s="575"/>
      <c r="CY1" s="575"/>
      <c r="CZ1" s="575"/>
      <c r="DA1" s="575"/>
      <c r="DB1" s="575"/>
    </row>
    <row r="2" spans="1:106" s="505" customFormat="1">
      <c r="A2" s="505" t="s">
        <v>438</v>
      </c>
      <c r="B2" s="605" t="s">
        <v>414</v>
      </c>
      <c r="C2" s="605" t="s">
        <v>299</v>
      </c>
      <c r="D2" s="605" t="s">
        <v>415</v>
      </c>
      <c r="E2" s="605" t="s">
        <v>416</v>
      </c>
      <c r="F2" s="605" t="s">
        <v>417</v>
      </c>
      <c r="G2" s="607" t="s">
        <v>418</v>
      </c>
      <c r="I2" s="505" t="s">
        <v>438</v>
      </c>
      <c r="J2" s="605" t="s">
        <v>414</v>
      </c>
      <c r="K2" s="605" t="s">
        <v>446</v>
      </c>
      <c r="L2" s="605" t="s">
        <v>415</v>
      </c>
      <c r="M2" s="605" t="s">
        <v>416</v>
      </c>
      <c r="N2" s="605" t="s">
        <v>417</v>
      </c>
      <c r="O2" s="605" t="s">
        <v>418</v>
      </c>
      <c r="P2" s="605" t="s">
        <v>419</v>
      </c>
      <c r="R2" s="505" t="s">
        <v>438</v>
      </c>
      <c r="S2" s="605" t="s">
        <v>414</v>
      </c>
      <c r="T2" s="605" t="s">
        <v>445</v>
      </c>
      <c r="U2" s="605" t="s">
        <v>446</v>
      </c>
      <c r="V2" s="605" t="s">
        <v>415</v>
      </c>
      <c r="W2" s="605" t="s">
        <v>445</v>
      </c>
      <c r="Y2" s="505" t="s">
        <v>438</v>
      </c>
      <c r="Z2" s="605" t="s">
        <v>414</v>
      </c>
      <c r="AA2" s="605" t="s">
        <v>456</v>
      </c>
      <c r="AB2" s="605" t="s">
        <v>455</v>
      </c>
      <c r="AC2" s="605" t="s">
        <v>457</v>
      </c>
      <c r="AD2" s="605" t="s">
        <v>452</v>
      </c>
      <c r="AE2" s="605" t="s">
        <v>416</v>
      </c>
      <c r="AF2" s="605" t="s">
        <v>417</v>
      </c>
      <c r="AG2" s="605" t="s">
        <v>418</v>
      </c>
      <c r="AH2" s="605" t="s">
        <v>419</v>
      </c>
      <c r="AJ2" s="505" t="s">
        <v>438</v>
      </c>
      <c r="AK2" s="605" t="s">
        <v>414</v>
      </c>
      <c r="AL2" s="605" t="s">
        <v>456</v>
      </c>
      <c r="AM2" s="605" t="s">
        <v>455</v>
      </c>
      <c r="AN2" s="605" t="s">
        <v>457</v>
      </c>
      <c r="AO2" s="605" t="s">
        <v>452</v>
      </c>
      <c r="AP2" s="605" t="s">
        <v>417</v>
      </c>
      <c r="AR2" s="505" t="s">
        <v>438</v>
      </c>
      <c r="AS2" s="605" t="s">
        <v>414</v>
      </c>
      <c r="AT2" s="605" t="s">
        <v>456</v>
      </c>
      <c r="AU2" s="605" t="s">
        <v>455</v>
      </c>
      <c r="AV2" s="605" t="s">
        <v>448</v>
      </c>
      <c r="AW2" s="605" t="s">
        <v>416</v>
      </c>
      <c r="AX2" s="605" t="s">
        <v>417</v>
      </c>
      <c r="AY2" s="607" t="s">
        <v>418</v>
      </c>
      <c r="AZ2" s="605" t="s">
        <v>419</v>
      </c>
      <c r="BB2" s="505" t="s">
        <v>438</v>
      </c>
      <c r="BC2" s="605" t="s">
        <v>414</v>
      </c>
      <c r="BD2" s="605" t="s">
        <v>456</v>
      </c>
      <c r="BE2" s="605" t="s">
        <v>455</v>
      </c>
      <c r="BF2" s="605" t="s">
        <v>448</v>
      </c>
      <c r="BG2" s="605" t="s">
        <v>417</v>
      </c>
      <c r="BH2" s="605" t="s">
        <v>419</v>
      </c>
      <c r="BJ2" s="505" t="s">
        <v>438</v>
      </c>
      <c r="BK2" s="605" t="s">
        <v>456</v>
      </c>
      <c r="BL2" s="605" t="s">
        <v>455</v>
      </c>
      <c r="BM2" s="605" t="s">
        <v>468</v>
      </c>
      <c r="BN2" s="605" t="s">
        <v>417</v>
      </c>
      <c r="BO2" s="605" t="s">
        <v>418</v>
      </c>
      <c r="BP2" s="605" t="s">
        <v>419</v>
      </c>
      <c r="BR2" s="505" t="s">
        <v>438</v>
      </c>
      <c r="BS2" s="605" t="s">
        <v>414</v>
      </c>
      <c r="BT2" s="605" t="s">
        <v>472</v>
      </c>
      <c r="BU2" s="605" t="s">
        <v>456</v>
      </c>
      <c r="BV2" s="605" t="s">
        <v>455</v>
      </c>
      <c r="BW2" s="605" t="s">
        <v>468</v>
      </c>
      <c r="BY2" s="505" t="s">
        <v>438</v>
      </c>
      <c r="BZ2" s="605" t="s">
        <v>414</v>
      </c>
      <c r="CA2" s="605" t="s">
        <v>456</v>
      </c>
      <c r="CB2" s="605" t="s">
        <v>455</v>
      </c>
      <c r="CC2" s="605" t="s">
        <v>468</v>
      </c>
      <c r="CD2" s="605" t="s">
        <v>419</v>
      </c>
      <c r="CF2" s="505" t="s">
        <v>438</v>
      </c>
      <c r="CG2" s="605" t="s">
        <v>414</v>
      </c>
      <c r="CH2" s="605" t="s">
        <v>472</v>
      </c>
      <c r="CI2" s="605" t="s">
        <v>456</v>
      </c>
      <c r="CJ2" s="605" t="s">
        <v>455</v>
      </c>
      <c r="CK2" s="605" t="s">
        <v>468</v>
      </c>
      <c r="CL2" s="605" t="s">
        <v>419</v>
      </c>
      <c r="CN2" s="505" t="s">
        <v>438</v>
      </c>
      <c r="CO2" s="605" t="s">
        <v>414</v>
      </c>
      <c r="CP2" s="605" t="s">
        <v>520</v>
      </c>
      <c r="CQ2" s="605" t="s">
        <v>416</v>
      </c>
      <c r="CR2" s="605" t="s">
        <v>497</v>
      </c>
      <c r="CS2" s="605" t="s">
        <v>418</v>
      </c>
      <c r="CT2" s="605" t="s">
        <v>419</v>
      </c>
    </row>
    <row r="3" spans="1:106">
      <c r="A3" s="502" t="str">
        <f>B3&amp;C3&amp;D3</f>
        <v>1996deathsFetal</v>
      </c>
      <c r="B3" s="604">
        <v>1996</v>
      </c>
      <c r="C3" s="604" t="s">
        <v>496</v>
      </c>
      <c r="D3" s="604" t="s">
        <v>47</v>
      </c>
      <c r="E3" s="604">
        <v>409</v>
      </c>
      <c r="F3" s="604">
        <v>57843</v>
      </c>
      <c r="G3" s="604">
        <v>7.1</v>
      </c>
      <c r="I3" s="499" t="str">
        <f>J3&amp;K3&amp;L3&amp;P3</f>
        <v>1996OverallTotalFetal</v>
      </c>
      <c r="J3" s="604">
        <v>1996</v>
      </c>
      <c r="K3" s="604" t="s">
        <v>104</v>
      </c>
      <c r="L3" s="604" t="s">
        <v>44</v>
      </c>
      <c r="M3" s="604">
        <v>409</v>
      </c>
      <c r="N3" s="604">
        <v>57843</v>
      </c>
      <c r="O3" s="604">
        <v>7.1</v>
      </c>
      <c r="P3" s="604" t="s">
        <v>47</v>
      </c>
      <c r="R3" t="str">
        <f>S3&amp;T3&amp;U3&amp;V3</f>
        <v>1996birthsbwt&lt;500</v>
      </c>
      <c r="S3" s="604">
        <v>1996</v>
      </c>
      <c r="T3" s="604" t="s">
        <v>445</v>
      </c>
      <c r="U3" s="604" t="s">
        <v>447</v>
      </c>
      <c r="V3" s="604" t="s">
        <v>427</v>
      </c>
      <c r="W3" s="604">
        <v>44</v>
      </c>
      <c r="Y3" t="str">
        <f>Z3&amp;AA3&amp;AB3&amp;AC3&amp;AD3&amp;AH3</f>
        <v>2016ethageMaori&lt;20fetal</v>
      </c>
      <c r="Z3" s="604">
        <v>2016</v>
      </c>
      <c r="AA3" s="604" t="s">
        <v>449</v>
      </c>
      <c r="AB3" s="604" t="s">
        <v>453</v>
      </c>
      <c r="AC3" s="604" t="s">
        <v>129</v>
      </c>
      <c r="AD3" s="604" t="s">
        <v>339</v>
      </c>
      <c r="AE3" s="604">
        <v>20</v>
      </c>
      <c r="AF3" s="604">
        <v>1613</v>
      </c>
      <c r="AG3" s="604">
        <v>12.2</v>
      </c>
      <c r="AH3" s="604" t="s">
        <v>420</v>
      </c>
      <c r="AJ3" t="str">
        <f>AK3&amp;AL3&amp;AM3&amp;AN3&amp;AO3</f>
        <v>2016ethageMaori&lt;20</v>
      </c>
      <c r="AK3" s="604">
        <v>2016</v>
      </c>
      <c r="AL3" s="604" t="s">
        <v>449</v>
      </c>
      <c r="AM3" s="604" t="s">
        <v>453</v>
      </c>
      <c r="AN3" s="604" t="s">
        <v>129</v>
      </c>
      <c r="AO3" s="604" t="s">
        <v>339</v>
      </c>
      <c r="AP3" s="604">
        <v>1613</v>
      </c>
      <c r="AR3" t="str">
        <f>AT3&amp;AU3&amp;AZ3&amp;AV3</f>
        <v>TotalOverallfetalNorthland</v>
      </c>
      <c r="AS3" s="604">
        <v>2016</v>
      </c>
      <c r="AT3" s="604" t="s">
        <v>44</v>
      </c>
      <c r="AU3" s="604" t="s">
        <v>104</v>
      </c>
      <c r="AV3" s="604" t="s">
        <v>85</v>
      </c>
      <c r="AW3" s="604">
        <v>20</v>
      </c>
      <c r="AX3" s="604">
        <v>2340</v>
      </c>
      <c r="AY3" s="606">
        <v>8.5</v>
      </c>
      <c r="AZ3" s="604" t="s">
        <v>420</v>
      </c>
      <c r="BB3" t="str">
        <f>BD3&amp;BE3&amp;BH3&amp;BF3</f>
        <v>TotalOverallbirthsNorthland</v>
      </c>
      <c r="BC3" s="604">
        <v>2016</v>
      </c>
      <c r="BD3" s="604" t="s">
        <v>44</v>
      </c>
      <c r="BE3" s="604" t="s">
        <v>104</v>
      </c>
      <c r="BF3" s="604" t="s">
        <v>85</v>
      </c>
      <c r="BG3" s="604">
        <v>2320</v>
      </c>
      <c r="BH3" s="604" t="s">
        <v>445</v>
      </c>
      <c r="BJ3" t="str">
        <f>BK3&amp;BL3&amp;BP3</f>
        <v>Quin 1depfetal</v>
      </c>
      <c r="BK3" s="604" t="s">
        <v>421</v>
      </c>
      <c r="BL3" s="604" t="s">
        <v>454</v>
      </c>
      <c r="BM3" s="604">
        <v>280</v>
      </c>
      <c r="BN3" s="604">
        <v>42804</v>
      </c>
      <c r="BO3" s="604">
        <v>6.5</v>
      </c>
      <c r="BP3" s="604" t="s">
        <v>420</v>
      </c>
      <c r="BR3" t="str">
        <f>BT3&amp;BU3&amp;BV3</f>
        <v>&lt;1 day&lt;20age</v>
      </c>
      <c r="BS3" s="604">
        <v>2016</v>
      </c>
      <c r="BT3" s="604" t="s">
        <v>469</v>
      </c>
      <c r="BU3" s="604" t="s">
        <v>339</v>
      </c>
      <c r="BV3" s="604" t="s">
        <v>453</v>
      </c>
      <c r="BW3" s="604">
        <v>7</v>
      </c>
      <c r="BY3" t="str">
        <f>BZ3&amp;CA3&amp;CB3&amp;CD3</f>
        <v>2000&lt;20ageSIDS</v>
      </c>
      <c r="BZ3" s="604">
        <v>2000</v>
      </c>
      <c r="CA3" s="604" t="s">
        <v>339</v>
      </c>
      <c r="CB3" s="604" t="s">
        <v>453</v>
      </c>
      <c r="CC3" s="604">
        <v>13</v>
      </c>
      <c r="CD3" s="604" t="s">
        <v>32</v>
      </c>
      <c r="CF3" t="str">
        <f>CG3&amp;CH3&amp;CI3&amp;CJ3&amp;CL3</f>
        <v>2016Asian&lt;20ageSIDS</v>
      </c>
      <c r="CG3" s="604">
        <v>2016</v>
      </c>
      <c r="CH3" s="604" t="s">
        <v>355</v>
      </c>
      <c r="CI3" s="604" t="s">
        <v>339</v>
      </c>
      <c r="CJ3" s="604" t="s">
        <v>453</v>
      </c>
      <c r="CK3" s="604">
        <v>0</v>
      </c>
      <c r="CL3" s="604" t="s">
        <v>32</v>
      </c>
      <c r="CN3" t="str">
        <f>CO3&amp;CP3&amp;CT3</f>
        <v>2016A00–B99fetal</v>
      </c>
      <c r="CO3" s="604">
        <v>2016</v>
      </c>
      <c r="CP3" s="604" t="s">
        <v>498</v>
      </c>
      <c r="CQ3" s="604">
        <v>0</v>
      </c>
      <c r="CR3" s="604">
        <v>0</v>
      </c>
      <c r="CS3" s="604">
        <v>0</v>
      </c>
      <c r="CT3" s="604" t="s">
        <v>420</v>
      </c>
    </row>
    <row r="4" spans="1:106">
      <c r="A4" s="502" t="str">
        <f t="shared" ref="A4:A67" si="0">B4&amp;C4&amp;D4</f>
        <v>1996deathsEarly neonatal</v>
      </c>
      <c r="B4" s="604">
        <v>1996</v>
      </c>
      <c r="C4" s="604" t="s">
        <v>496</v>
      </c>
      <c r="D4" s="604" t="s">
        <v>41</v>
      </c>
      <c r="E4" s="604">
        <v>173</v>
      </c>
      <c r="F4" s="604">
        <v>57434</v>
      </c>
      <c r="G4" s="604" t="s">
        <v>119</v>
      </c>
      <c r="I4" s="578" t="str">
        <f t="shared" ref="I4:I67" si="1">J4&amp;K4&amp;L4&amp;P4</f>
        <v>1997OverallTotalFetal</v>
      </c>
      <c r="J4" s="604">
        <v>1997</v>
      </c>
      <c r="K4" s="604" t="s">
        <v>104</v>
      </c>
      <c r="L4" s="604" t="s">
        <v>44</v>
      </c>
      <c r="M4" s="604">
        <v>417</v>
      </c>
      <c r="N4" s="604">
        <v>58151</v>
      </c>
      <c r="O4" s="604">
        <v>7.2</v>
      </c>
      <c r="P4" s="604" t="s">
        <v>47</v>
      </c>
      <c r="Q4" s="499"/>
      <c r="R4" s="502" t="str">
        <f t="shared" ref="R4:R67" si="2">S4&amp;T4&amp;U4&amp;V4</f>
        <v>1996birthsbwt500-999</v>
      </c>
      <c r="S4" s="604">
        <v>1996</v>
      </c>
      <c r="T4" s="604" t="s">
        <v>445</v>
      </c>
      <c r="U4" s="604" t="s">
        <v>447</v>
      </c>
      <c r="V4" s="604" t="s">
        <v>428</v>
      </c>
      <c r="W4" s="604">
        <v>207</v>
      </c>
      <c r="Y4" s="535" t="str">
        <f t="shared" ref="Y4:Y67" si="3">Z4&amp;AA4&amp;AB4&amp;AC4&amp;AD4&amp;AH4</f>
        <v>2016ethagePacific peoples&lt;20fetal</v>
      </c>
      <c r="Z4" s="604">
        <v>2016</v>
      </c>
      <c r="AA4" s="604" t="s">
        <v>449</v>
      </c>
      <c r="AB4" s="604" t="s">
        <v>453</v>
      </c>
      <c r="AC4" s="604" t="s">
        <v>320</v>
      </c>
      <c r="AD4" s="604" t="s">
        <v>339</v>
      </c>
      <c r="AE4" s="604">
        <v>5</v>
      </c>
      <c r="AF4" s="604">
        <v>380</v>
      </c>
      <c r="AG4" s="604">
        <v>13</v>
      </c>
      <c r="AH4" s="604" t="s">
        <v>420</v>
      </c>
      <c r="AJ4" s="535" t="str">
        <f t="shared" ref="AJ4:AJ67" si="4">AK4&amp;AL4&amp;AM4&amp;AN4&amp;AO4</f>
        <v>2016ethagePacific peoples&lt;20</v>
      </c>
      <c r="AK4" s="604">
        <v>2016</v>
      </c>
      <c r="AL4" s="604" t="s">
        <v>449</v>
      </c>
      <c r="AM4" s="604" t="s">
        <v>453</v>
      </c>
      <c r="AN4" s="604" t="s">
        <v>320</v>
      </c>
      <c r="AO4" s="604" t="s">
        <v>339</v>
      </c>
      <c r="AP4" s="604">
        <v>380</v>
      </c>
      <c r="AR4" s="538" t="str">
        <f t="shared" ref="AR4:AR67" si="5">AT4&amp;AU4&amp;AZ4&amp;AV4</f>
        <v>TotalOverallfetalWaitemata</v>
      </c>
      <c r="AS4" s="604">
        <v>2016</v>
      </c>
      <c r="AT4" s="604" t="s">
        <v>44</v>
      </c>
      <c r="AU4" s="604" t="s">
        <v>104</v>
      </c>
      <c r="AV4" s="604" t="s">
        <v>86</v>
      </c>
      <c r="AW4" s="604">
        <v>42</v>
      </c>
      <c r="AX4" s="604">
        <v>8093</v>
      </c>
      <c r="AY4" s="606">
        <v>5.2</v>
      </c>
      <c r="AZ4" s="604" t="s">
        <v>420</v>
      </c>
      <c r="BB4" s="536" t="str">
        <f t="shared" ref="BB4:BB67" si="6">BD4&amp;BE4&amp;BH4&amp;BF4</f>
        <v>TotalOverallbirthsWaitemata</v>
      </c>
      <c r="BC4" s="604">
        <v>2016</v>
      </c>
      <c r="BD4" s="604" t="s">
        <v>44</v>
      </c>
      <c r="BE4" s="604" t="s">
        <v>104</v>
      </c>
      <c r="BF4" s="604" t="s">
        <v>86</v>
      </c>
      <c r="BG4" s="604">
        <v>8051</v>
      </c>
      <c r="BH4" s="604" t="s">
        <v>445</v>
      </c>
      <c r="BJ4" s="542" t="str">
        <f t="shared" ref="BJ4:BJ35" si="7">BK4&amp;BL4&amp;BP4</f>
        <v>Quin 2depfetal</v>
      </c>
      <c r="BK4" s="604" t="s">
        <v>422</v>
      </c>
      <c r="BL4" s="604" t="s">
        <v>454</v>
      </c>
      <c r="BM4" s="604">
        <v>304</v>
      </c>
      <c r="BN4" s="604">
        <v>47402</v>
      </c>
      <c r="BO4" s="604">
        <v>6.4</v>
      </c>
      <c r="BP4" s="604" t="s">
        <v>420</v>
      </c>
      <c r="BR4" s="547" t="str">
        <f t="shared" ref="BR4:BR67" si="8">BT4&amp;BU4&amp;BV4</f>
        <v>&lt;1 day20-24age</v>
      </c>
      <c r="BS4" s="604">
        <v>2016</v>
      </c>
      <c r="BT4" s="604" t="s">
        <v>469</v>
      </c>
      <c r="BU4" s="604" t="s">
        <v>130</v>
      </c>
      <c r="BV4" s="604" t="s">
        <v>453</v>
      </c>
      <c r="BW4" s="604">
        <v>27</v>
      </c>
      <c r="BY4" s="553" t="str">
        <f t="shared" ref="BY4:BY67" si="9">BZ4&amp;CA4&amp;CB4&amp;CD4</f>
        <v>200020-24ageSIDS</v>
      </c>
      <c r="BZ4" s="604">
        <v>2000</v>
      </c>
      <c r="CA4" s="604" t="s">
        <v>130</v>
      </c>
      <c r="CB4" s="604" t="s">
        <v>453</v>
      </c>
      <c r="CC4" s="604">
        <v>24</v>
      </c>
      <c r="CD4" s="604" t="s">
        <v>32</v>
      </c>
      <c r="CF4" s="554" t="str">
        <f t="shared" ref="CF4:CF67" si="10">CG4&amp;CH4&amp;CI4&amp;CJ4&amp;CL4</f>
        <v>2016European or Other&lt;20ageSIDS</v>
      </c>
      <c r="CG4" s="604">
        <v>2016</v>
      </c>
      <c r="CH4" s="604" t="s">
        <v>356</v>
      </c>
      <c r="CI4" s="604" t="s">
        <v>339</v>
      </c>
      <c r="CJ4" s="604" t="s">
        <v>453</v>
      </c>
      <c r="CK4" s="604">
        <v>0</v>
      </c>
      <c r="CL4" s="604" t="s">
        <v>32</v>
      </c>
      <c r="CN4" s="575" t="str">
        <f t="shared" ref="CN4:CN67" si="11">CO4&amp;CP4&amp;CT4</f>
        <v>2016C00–D48fetal</v>
      </c>
      <c r="CO4" s="604">
        <v>2016</v>
      </c>
      <c r="CP4" s="604" t="s">
        <v>499</v>
      </c>
      <c r="CQ4" s="604">
        <v>0</v>
      </c>
      <c r="CR4" s="604">
        <v>0</v>
      </c>
      <c r="CS4" s="604">
        <v>0</v>
      </c>
      <c r="CT4" s="604" t="s">
        <v>420</v>
      </c>
      <c r="CV4" s="575"/>
    </row>
    <row r="5" spans="1:106">
      <c r="A5" s="502" t="str">
        <f t="shared" si="0"/>
        <v>1996deathsLate neonatal</v>
      </c>
      <c r="B5" s="604">
        <v>1996</v>
      </c>
      <c r="C5" s="604" t="s">
        <v>496</v>
      </c>
      <c r="D5" s="604" t="s">
        <v>42</v>
      </c>
      <c r="E5" s="604">
        <v>50</v>
      </c>
      <c r="F5" s="604">
        <v>57434</v>
      </c>
      <c r="G5" s="604" t="s">
        <v>119</v>
      </c>
      <c r="I5" s="578" t="str">
        <f t="shared" si="1"/>
        <v>1998OverallTotalFetal</v>
      </c>
      <c r="J5" s="604">
        <v>1998</v>
      </c>
      <c r="K5" s="604" t="s">
        <v>104</v>
      </c>
      <c r="L5" s="604" t="s">
        <v>44</v>
      </c>
      <c r="M5" s="604">
        <v>348</v>
      </c>
      <c r="N5" s="604">
        <v>58082</v>
      </c>
      <c r="O5" s="604">
        <v>6</v>
      </c>
      <c r="P5" s="604" t="s">
        <v>47</v>
      </c>
      <c r="Q5" s="499"/>
      <c r="R5" s="502" t="str">
        <f t="shared" si="2"/>
        <v>1996birthsbwt1000-1499</v>
      </c>
      <c r="S5" s="604">
        <v>1996</v>
      </c>
      <c r="T5" s="604" t="s">
        <v>445</v>
      </c>
      <c r="U5" s="604" t="s">
        <v>447</v>
      </c>
      <c r="V5" s="604" t="s">
        <v>429</v>
      </c>
      <c r="W5" s="604">
        <v>366</v>
      </c>
      <c r="Y5" s="535" t="str">
        <f t="shared" si="3"/>
        <v>2016ethageAsian&lt;20fetal</v>
      </c>
      <c r="Z5" s="604">
        <v>2016</v>
      </c>
      <c r="AA5" s="604" t="s">
        <v>449</v>
      </c>
      <c r="AB5" s="604" t="s">
        <v>453</v>
      </c>
      <c r="AC5" s="604" t="s">
        <v>355</v>
      </c>
      <c r="AD5" s="604" t="s">
        <v>339</v>
      </c>
      <c r="AE5" s="604">
        <v>1</v>
      </c>
      <c r="AF5" s="604">
        <v>45</v>
      </c>
      <c r="AG5" s="604">
        <v>21.7</v>
      </c>
      <c r="AH5" s="604" t="s">
        <v>420</v>
      </c>
      <c r="AJ5" s="535" t="str">
        <f t="shared" si="4"/>
        <v>2016ethageAsian&lt;20</v>
      </c>
      <c r="AK5" s="604">
        <v>2016</v>
      </c>
      <c r="AL5" s="604" t="s">
        <v>449</v>
      </c>
      <c r="AM5" s="604" t="s">
        <v>453</v>
      </c>
      <c r="AN5" s="604" t="s">
        <v>355</v>
      </c>
      <c r="AO5" s="604" t="s">
        <v>339</v>
      </c>
      <c r="AP5" s="604">
        <v>45</v>
      </c>
      <c r="AR5" s="538" t="str">
        <f t="shared" si="5"/>
        <v>TotalOverallfetalAuckland</v>
      </c>
      <c r="AS5" s="604">
        <v>2016</v>
      </c>
      <c r="AT5" s="604" t="s">
        <v>44</v>
      </c>
      <c r="AU5" s="604" t="s">
        <v>104</v>
      </c>
      <c r="AV5" s="604" t="s">
        <v>87</v>
      </c>
      <c r="AW5" s="604">
        <v>39</v>
      </c>
      <c r="AX5" s="604">
        <v>5944</v>
      </c>
      <c r="AY5" s="606">
        <v>6.6</v>
      </c>
      <c r="AZ5" s="604" t="s">
        <v>420</v>
      </c>
      <c r="BB5" s="536" t="str">
        <f t="shared" si="6"/>
        <v>TotalOverallbirthsAuckland</v>
      </c>
      <c r="BC5" s="604">
        <v>2016</v>
      </c>
      <c r="BD5" s="604" t="s">
        <v>44</v>
      </c>
      <c r="BE5" s="604" t="s">
        <v>104</v>
      </c>
      <c r="BF5" s="604" t="s">
        <v>87</v>
      </c>
      <c r="BG5" s="604">
        <v>5905</v>
      </c>
      <c r="BH5" s="604" t="s">
        <v>445</v>
      </c>
      <c r="BJ5" s="542" t="str">
        <f t="shared" si="7"/>
        <v>Quin 3depfetal</v>
      </c>
      <c r="BK5" s="604" t="s">
        <v>423</v>
      </c>
      <c r="BL5" s="604" t="s">
        <v>454</v>
      </c>
      <c r="BM5" s="604">
        <v>333</v>
      </c>
      <c r="BN5" s="604">
        <v>53439</v>
      </c>
      <c r="BO5" s="604">
        <v>6.2</v>
      </c>
      <c r="BP5" s="604" t="s">
        <v>420</v>
      </c>
      <c r="BR5" s="547" t="str">
        <f t="shared" si="8"/>
        <v>&lt;1 day25-29age</v>
      </c>
      <c r="BS5" s="604">
        <v>2016</v>
      </c>
      <c r="BT5" s="604" t="s">
        <v>469</v>
      </c>
      <c r="BU5" s="604" t="s">
        <v>131</v>
      </c>
      <c r="BV5" s="604" t="s">
        <v>453</v>
      </c>
      <c r="BW5" s="604">
        <v>20</v>
      </c>
      <c r="BY5" s="553" t="str">
        <f t="shared" si="9"/>
        <v>200025-29ageSIDS</v>
      </c>
      <c r="BZ5" s="604">
        <v>2000</v>
      </c>
      <c r="CA5" s="604" t="s">
        <v>131</v>
      </c>
      <c r="CB5" s="604" t="s">
        <v>453</v>
      </c>
      <c r="CC5" s="604">
        <v>8</v>
      </c>
      <c r="CD5" s="604" t="s">
        <v>32</v>
      </c>
      <c r="CF5" s="554" t="str">
        <f t="shared" si="10"/>
        <v>2016Maori&lt;20ageSIDS</v>
      </c>
      <c r="CG5" s="604">
        <v>2016</v>
      </c>
      <c r="CH5" s="604" t="s">
        <v>129</v>
      </c>
      <c r="CI5" s="604" t="s">
        <v>339</v>
      </c>
      <c r="CJ5" s="604" t="s">
        <v>453</v>
      </c>
      <c r="CK5" s="604">
        <v>2</v>
      </c>
      <c r="CL5" s="604" t="s">
        <v>32</v>
      </c>
      <c r="CN5" s="575" t="str">
        <f t="shared" si="11"/>
        <v>2016D50–D89fetal</v>
      </c>
      <c r="CO5" s="604">
        <v>2016</v>
      </c>
      <c r="CP5" s="604" t="s">
        <v>500</v>
      </c>
      <c r="CQ5" s="604">
        <v>0</v>
      </c>
      <c r="CR5" s="604">
        <v>0</v>
      </c>
      <c r="CS5" s="604">
        <v>0</v>
      </c>
      <c r="CT5" s="604" t="s">
        <v>420</v>
      </c>
      <c r="CV5" s="575"/>
    </row>
    <row r="6" spans="1:106">
      <c r="A6" s="502" t="str">
        <f t="shared" si="0"/>
        <v>1996deathsPost-neonatal</v>
      </c>
      <c r="B6" s="604">
        <v>1996</v>
      </c>
      <c r="C6" s="604" t="s">
        <v>496</v>
      </c>
      <c r="D6" s="604" t="s">
        <v>43</v>
      </c>
      <c r="E6" s="604">
        <v>194</v>
      </c>
      <c r="F6" s="604">
        <v>57434</v>
      </c>
      <c r="G6" s="604">
        <v>3.4</v>
      </c>
      <c r="I6" s="578" t="str">
        <f t="shared" si="1"/>
        <v>1999OverallTotalFetal</v>
      </c>
      <c r="J6" s="604">
        <v>1999</v>
      </c>
      <c r="K6" s="604" t="s">
        <v>104</v>
      </c>
      <c r="L6" s="604" t="s">
        <v>44</v>
      </c>
      <c r="M6" s="604">
        <v>426</v>
      </c>
      <c r="N6" s="604">
        <v>57847</v>
      </c>
      <c r="O6" s="604">
        <v>7.4</v>
      </c>
      <c r="P6" s="604" t="s">
        <v>47</v>
      </c>
      <c r="Q6" s="499"/>
      <c r="R6" s="502" t="str">
        <f t="shared" si="2"/>
        <v>1996birthsbwt1500-2499</v>
      </c>
      <c r="S6" s="604">
        <v>1996</v>
      </c>
      <c r="T6" s="604" t="s">
        <v>445</v>
      </c>
      <c r="U6" s="604" t="s">
        <v>447</v>
      </c>
      <c r="V6" s="604" t="s">
        <v>430</v>
      </c>
      <c r="W6" s="604">
        <v>2976</v>
      </c>
      <c r="Y6" s="535" t="str">
        <f t="shared" si="3"/>
        <v>2016ethageEuropean or Other&lt;20fetal</v>
      </c>
      <c r="Z6" s="604">
        <v>2016</v>
      </c>
      <c r="AA6" s="604" t="s">
        <v>449</v>
      </c>
      <c r="AB6" s="604" t="s">
        <v>453</v>
      </c>
      <c r="AC6" s="604" t="s">
        <v>356</v>
      </c>
      <c r="AD6" s="604" t="s">
        <v>339</v>
      </c>
      <c r="AE6" s="604">
        <v>10</v>
      </c>
      <c r="AF6" s="604">
        <v>521</v>
      </c>
      <c r="AG6" s="604">
        <v>18.8</v>
      </c>
      <c r="AH6" s="604" t="s">
        <v>420</v>
      </c>
      <c r="AJ6" s="535" t="str">
        <f t="shared" si="4"/>
        <v>2016ethageEuropean or Other&lt;20</v>
      </c>
      <c r="AK6" s="604">
        <v>2016</v>
      </c>
      <c r="AL6" s="604" t="s">
        <v>449</v>
      </c>
      <c r="AM6" s="604" t="s">
        <v>453</v>
      </c>
      <c r="AN6" s="604" t="s">
        <v>356</v>
      </c>
      <c r="AO6" s="604" t="s">
        <v>339</v>
      </c>
      <c r="AP6" s="604">
        <v>521</v>
      </c>
      <c r="AR6" s="538" t="str">
        <f t="shared" si="5"/>
        <v>TotalOverallfetalCounties Manukau</v>
      </c>
      <c r="AS6" s="604">
        <v>2016</v>
      </c>
      <c r="AT6" s="604" t="s">
        <v>44</v>
      </c>
      <c r="AU6" s="604" t="s">
        <v>104</v>
      </c>
      <c r="AV6" s="604" t="s">
        <v>88</v>
      </c>
      <c r="AW6" s="604">
        <v>66</v>
      </c>
      <c r="AX6" s="604">
        <v>8441</v>
      </c>
      <c r="AY6" s="606">
        <v>7.8</v>
      </c>
      <c r="AZ6" s="604" t="s">
        <v>420</v>
      </c>
      <c r="BB6" s="536" t="str">
        <f t="shared" si="6"/>
        <v>TotalOverallbirthsCounties Manukau</v>
      </c>
      <c r="BC6" s="604">
        <v>2016</v>
      </c>
      <c r="BD6" s="604" t="s">
        <v>44</v>
      </c>
      <c r="BE6" s="604" t="s">
        <v>104</v>
      </c>
      <c r="BF6" s="604" t="s">
        <v>88</v>
      </c>
      <c r="BG6" s="604">
        <v>8375</v>
      </c>
      <c r="BH6" s="604" t="s">
        <v>445</v>
      </c>
      <c r="BJ6" s="542" t="str">
        <f t="shared" si="7"/>
        <v>Quin 4depfetal</v>
      </c>
      <c r="BK6" s="604" t="s">
        <v>424</v>
      </c>
      <c r="BL6" s="604" t="s">
        <v>454</v>
      </c>
      <c r="BM6" s="604">
        <v>451</v>
      </c>
      <c r="BN6" s="604">
        <v>65935</v>
      </c>
      <c r="BO6" s="604">
        <v>6.8</v>
      </c>
      <c r="BP6" s="604" t="s">
        <v>420</v>
      </c>
      <c r="BR6" s="547" t="str">
        <f t="shared" si="8"/>
        <v>&lt;1 day30-34age</v>
      </c>
      <c r="BS6" s="604">
        <v>2016</v>
      </c>
      <c r="BT6" s="604" t="s">
        <v>469</v>
      </c>
      <c r="BU6" s="604" t="s">
        <v>132</v>
      </c>
      <c r="BV6" s="604" t="s">
        <v>453</v>
      </c>
      <c r="BW6" s="604">
        <v>27</v>
      </c>
      <c r="BY6" s="553" t="str">
        <f t="shared" si="9"/>
        <v>200030-34ageSIDS</v>
      </c>
      <c r="BZ6" s="604">
        <v>2000</v>
      </c>
      <c r="CA6" s="604" t="s">
        <v>132</v>
      </c>
      <c r="CB6" s="604" t="s">
        <v>453</v>
      </c>
      <c r="CC6" s="604">
        <v>12</v>
      </c>
      <c r="CD6" s="604" t="s">
        <v>32</v>
      </c>
      <c r="CF6" s="554" t="str">
        <f t="shared" si="10"/>
        <v>2016Pacific peoples&lt;20ageSIDS</v>
      </c>
      <c r="CG6" s="604">
        <v>2016</v>
      </c>
      <c r="CH6" s="604" t="s">
        <v>320</v>
      </c>
      <c r="CI6" s="604" t="s">
        <v>339</v>
      </c>
      <c r="CJ6" s="604" t="s">
        <v>453</v>
      </c>
      <c r="CK6" s="604">
        <v>1</v>
      </c>
      <c r="CL6" s="604" t="s">
        <v>32</v>
      </c>
      <c r="CN6" s="575" t="str">
        <f t="shared" si="11"/>
        <v>2016E00–E89fetal</v>
      </c>
      <c r="CO6" s="604">
        <v>2016</v>
      </c>
      <c r="CP6" s="604" t="s">
        <v>501</v>
      </c>
      <c r="CQ6" s="604">
        <v>1</v>
      </c>
      <c r="CR6" s="604">
        <v>0.2</v>
      </c>
      <c r="CS6" s="604">
        <v>1.643E-2</v>
      </c>
      <c r="CT6" s="604" t="s">
        <v>420</v>
      </c>
      <c r="CV6" s="575"/>
    </row>
    <row r="7" spans="1:106">
      <c r="A7" s="502" t="str">
        <f t="shared" si="0"/>
        <v>1997deathsFetal</v>
      </c>
      <c r="B7" s="604">
        <v>1997</v>
      </c>
      <c r="C7" s="604" t="s">
        <v>496</v>
      </c>
      <c r="D7" s="604" t="s">
        <v>47</v>
      </c>
      <c r="E7" s="604">
        <v>417</v>
      </c>
      <c r="F7" s="604">
        <v>58151</v>
      </c>
      <c r="G7" s="604">
        <v>7.2</v>
      </c>
      <c r="I7" s="578" t="str">
        <f t="shared" si="1"/>
        <v>2000OverallTotalFetal</v>
      </c>
      <c r="J7" s="604">
        <v>2000</v>
      </c>
      <c r="K7" s="604" t="s">
        <v>104</v>
      </c>
      <c r="L7" s="604" t="s">
        <v>44</v>
      </c>
      <c r="M7" s="604">
        <v>369</v>
      </c>
      <c r="N7" s="604">
        <v>57363</v>
      </c>
      <c r="O7" s="604">
        <v>6.4</v>
      </c>
      <c r="P7" s="604" t="s">
        <v>47</v>
      </c>
      <c r="Q7" s="499"/>
      <c r="R7" s="502" t="str">
        <f t="shared" si="2"/>
        <v>1996birthsbwt2500-4499</v>
      </c>
      <c r="S7" s="604">
        <v>1996</v>
      </c>
      <c r="T7" s="604" t="s">
        <v>445</v>
      </c>
      <c r="U7" s="604" t="s">
        <v>447</v>
      </c>
      <c r="V7" s="604" t="s">
        <v>431</v>
      </c>
      <c r="W7" s="604">
        <v>52386</v>
      </c>
      <c r="Y7" s="535" t="str">
        <f t="shared" si="3"/>
        <v>2016ethageMaori20-24fetal</v>
      </c>
      <c r="Z7" s="604">
        <v>2016</v>
      </c>
      <c r="AA7" s="604" t="s">
        <v>449</v>
      </c>
      <c r="AB7" s="604" t="s">
        <v>453</v>
      </c>
      <c r="AC7" s="604" t="s">
        <v>129</v>
      </c>
      <c r="AD7" s="604" t="s">
        <v>130</v>
      </c>
      <c r="AE7" s="604">
        <v>35</v>
      </c>
      <c r="AF7" s="604">
        <v>4901</v>
      </c>
      <c r="AG7" s="604">
        <v>7.1</v>
      </c>
      <c r="AH7" s="604" t="s">
        <v>420</v>
      </c>
      <c r="AJ7" s="535" t="str">
        <f t="shared" si="4"/>
        <v>2016ethageMaori20-24</v>
      </c>
      <c r="AK7" s="604">
        <v>2016</v>
      </c>
      <c r="AL7" s="604" t="s">
        <v>449</v>
      </c>
      <c r="AM7" s="604" t="s">
        <v>453</v>
      </c>
      <c r="AN7" s="604" t="s">
        <v>129</v>
      </c>
      <c r="AO7" s="604" t="s">
        <v>130</v>
      </c>
      <c r="AP7" s="604">
        <v>4901</v>
      </c>
      <c r="AR7" s="538" t="str">
        <f t="shared" si="5"/>
        <v>TotalOverallfetalWaikato</v>
      </c>
      <c r="AS7" s="604">
        <v>2016</v>
      </c>
      <c r="AT7" s="604" t="s">
        <v>44</v>
      </c>
      <c r="AU7" s="604" t="s">
        <v>104</v>
      </c>
      <c r="AV7" s="604" t="s">
        <v>89</v>
      </c>
      <c r="AW7" s="604">
        <v>58</v>
      </c>
      <c r="AX7" s="604">
        <v>5565</v>
      </c>
      <c r="AY7" s="606">
        <v>10.4</v>
      </c>
      <c r="AZ7" s="604" t="s">
        <v>420</v>
      </c>
      <c r="BB7" s="536" t="str">
        <f t="shared" si="6"/>
        <v>TotalOverallbirthsWaikato</v>
      </c>
      <c r="BC7" s="604">
        <v>2016</v>
      </c>
      <c r="BD7" s="604" t="s">
        <v>44</v>
      </c>
      <c r="BE7" s="604" t="s">
        <v>104</v>
      </c>
      <c r="BF7" s="604" t="s">
        <v>89</v>
      </c>
      <c r="BG7" s="604">
        <v>5507</v>
      </c>
      <c r="BH7" s="604" t="s">
        <v>445</v>
      </c>
      <c r="BJ7" s="542" t="str">
        <f t="shared" si="7"/>
        <v>Quin 5depfetal</v>
      </c>
      <c r="BK7" s="604" t="s">
        <v>425</v>
      </c>
      <c r="BL7" s="604" t="s">
        <v>454</v>
      </c>
      <c r="BM7" s="604">
        <v>659</v>
      </c>
      <c r="BN7" s="604">
        <v>86114</v>
      </c>
      <c r="BO7" s="604">
        <v>7.7</v>
      </c>
      <c r="BP7" s="604" t="s">
        <v>420</v>
      </c>
      <c r="BR7" s="547" t="str">
        <f t="shared" si="8"/>
        <v>&lt;1 day35-39age</v>
      </c>
      <c r="BS7" s="604">
        <v>2016</v>
      </c>
      <c r="BT7" s="604" t="s">
        <v>469</v>
      </c>
      <c r="BU7" s="604" t="s">
        <v>133</v>
      </c>
      <c r="BV7" s="604" t="s">
        <v>453</v>
      </c>
      <c r="BW7" s="604">
        <v>11</v>
      </c>
      <c r="BY7" s="553" t="str">
        <f t="shared" si="9"/>
        <v>200035-39ageSIDS</v>
      </c>
      <c r="BZ7" s="604">
        <v>2000</v>
      </c>
      <c r="CA7" s="604" t="s">
        <v>133</v>
      </c>
      <c r="CB7" s="604" t="s">
        <v>453</v>
      </c>
      <c r="CC7" s="604">
        <v>6</v>
      </c>
      <c r="CD7" s="604" t="s">
        <v>32</v>
      </c>
      <c r="CF7" s="554" t="str">
        <f t="shared" si="10"/>
        <v>2016Asian20-24ageSIDS</v>
      </c>
      <c r="CG7" s="604">
        <v>2016</v>
      </c>
      <c r="CH7" s="604" t="s">
        <v>355</v>
      </c>
      <c r="CI7" s="604" t="s">
        <v>130</v>
      </c>
      <c r="CJ7" s="604" t="s">
        <v>453</v>
      </c>
      <c r="CK7" s="604">
        <v>0</v>
      </c>
      <c r="CL7" s="604" t="s">
        <v>32</v>
      </c>
      <c r="CN7" s="575" t="str">
        <f t="shared" si="11"/>
        <v>2016G00–G99fetal</v>
      </c>
      <c r="CO7" s="604">
        <v>2016</v>
      </c>
      <c r="CP7" s="604" t="s">
        <v>503</v>
      </c>
      <c r="CQ7" s="604">
        <v>0</v>
      </c>
      <c r="CR7" s="604">
        <v>0</v>
      </c>
      <c r="CS7" s="604">
        <v>0</v>
      </c>
      <c r="CT7" s="604" t="s">
        <v>420</v>
      </c>
      <c r="CV7" s="575"/>
    </row>
    <row r="8" spans="1:106">
      <c r="A8" s="502" t="str">
        <f t="shared" si="0"/>
        <v>1997deathsEarly neonatal</v>
      </c>
      <c r="B8" s="604">
        <v>1997</v>
      </c>
      <c r="C8" s="604" t="s">
        <v>496</v>
      </c>
      <c r="D8" s="604" t="s">
        <v>41</v>
      </c>
      <c r="E8" s="604">
        <v>171</v>
      </c>
      <c r="F8" s="604">
        <v>57734</v>
      </c>
      <c r="G8" s="604" t="s">
        <v>119</v>
      </c>
      <c r="I8" s="578" t="str">
        <f t="shared" si="1"/>
        <v>2001OverallTotalFetal</v>
      </c>
      <c r="J8" s="604">
        <v>2001</v>
      </c>
      <c r="K8" s="604" t="s">
        <v>104</v>
      </c>
      <c r="L8" s="604" t="s">
        <v>44</v>
      </c>
      <c r="M8" s="604">
        <v>386</v>
      </c>
      <c r="N8" s="604">
        <v>56610</v>
      </c>
      <c r="O8" s="604">
        <v>6.8</v>
      </c>
      <c r="P8" s="604" t="s">
        <v>47</v>
      </c>
      <c r="Q8" s="499"/>
      <c r="R8" s="502" t="str">
        <f t="shared" si="2"/>
        <v>1996birthsbwt4500+</v>
      </c>
      <c r="S8" s="604">
        <v>1996</v>
      </c>
      <c r="T8" s="604" t="s">
        <v>445</v>
      </c>
      <c r="U8" s="604" t="s">
        <v>447</v>
      </c>
      <c r="V8" s="604" t="s">
        <v>432</v>
      </c>
      <c r="W8" s="604">
        <v>1339</v>
      </c>
      <c r="Y8" s="535" t="str">
        <f t="shared" si="3"/>
        <v>2016ethagePacific peoples20-24fetal</v>
      </c>
      <c r="Z8" s="604">
        <v>2016</v>
      </c>
      <c r="AA8" s="604" t="s">
        <v>449</v>
      </c>
      <c r="AB8" s="604" t="s">
        <v>453</v>
      </c>
      <c r="AC8" s="604" t="s">
        <v>320</v>
      </c>
      <c r="AD8" s="604" t="s">
        <v>130</v>
      </c>
      <c r="AE8" s="604">
        <v>8</v>
      </c>
      <c r="AF8" s="604">
        <v>1509</v>
      </c>
      <c r="AG8" s="604">
        <v>5.3</v>
      </c>
      <c r="AH8" s="604" t="s">
        <v>420</v>
      </c>
      <c r="AJ8" s="535" t="str">
        <f t="shared" si="4"/>
        <v>2016ethagePacific peoples20-24</v>
      </c>
      <c r="AK8" s="604">
        <v>2016</v>
      </c>
      <c r="AL8" s="604" t="s">
        <v>449</v>
      </c>
      <c r="AM8" s="604" t="s">
        <v>453</v>
      </c>
      <c r="AN8" s="604" t="s">
        <v>320</v>
      </c>
      <c r="AO8" s="604" t="s">
        <v>130</v>
      </c>
      <c r="AP8" s="604">
        <v>1509</v>
      </c>
      <c r="AR8" s="538" t="str">
        <f t="shared" si="5"/>
        <v>TotalOverallfetalLakes</v>
      </c>
      <c r="AS8" s="604">
        <v>2016</v>
      </c>
      <c r="AT8" s="604" t="s">
        <v>44</v>
      </c>
      <c r="AU8" s="604" t="s">
        <v>104</v>
      </c>
      <c r="AV8" s="604" t="s">
        <v>90</v>
      </c>
      <c r="AW8" s="604">
        <v>13</v>
      </c>
      <c r="AX8" s="604">
        <v>1582</v>
      </c>
      <c r="AY8" s="606">
        <v>8.1999999999999993</v>
      </c>
      <c r="AZ8" s="604" t="s">
        <v>420</v>
      </c>
      <c r="BB8" s="536" t="str">
        <f t="shared" si="6"/>
        <v>TotalOverallbirthsLakes</v>
      </c>
      <c r="BC8" s="604">
        <v>2016</v>
      </c>
      <c r="BD8" s="604" t="s">
        <v>44</v>
      </c>
      <c r="BE8" s="604" t="s">
        <v>104</v>
      </c>
      <c r="BF8" s="604" t="s">
        <v>90</v>
      </c>
      <c r="BG8" s="604">
        <v>1569</v>
      </c>
      <c r="BH8" s="604" t="s">
        <v>445</v>
      </c>
      <c r="BJ8" s="542" t="str">
        <f t="shared" si="7"/>
        <v>Quin 9depfetal</v>
      </c>
      <c r="BK8" s="604" t="s">
        <v>426</v>
      </c>
      <c r="BL8" s="604" t="s">
        <v>454</v>
      </c>
      <c r="BM8" s="604">
        <v>96</v>
      </c>
      <c r="BN8" s="604">
        <v>10746</v>
      </c>
      <c r="BO8" s="604">
        <v>8.9</v>
      </c>
      <c r="BP8" s="604" t="s">
        <v>420</v>
      </c>
      <c r="BR8" s="547" t="str">
        <f t="shared" si="8"/>
        <v>&lt;1 day40+age</v>
      </c>
      <c r="BS8" s="604">
        <v>2016</v>
      </c>
      <c r="BT8" s="604" t="s">
        <v>469</v>
      </c>
      <c r="BU8" s="604" t="s">
        <v>134</v>
      </c>
      <c r="BV8" s="604" t="s">
        <v>453</v>
      </c>
      <c r="BW8" s="604">
        <v>8</v>
      </c>
      <c r="BY8" s="553" t="str">
        <f t="shared" si="9"/>
        <v>200040+ageSIDS</v>
      </c>
      <c r="BZ8" s="604">
        <v>2000</v>
      </c>
      <c r="CA8" s="604" t="s">
        <v>134</v>
      </c>
      <c r="CB8" s="604" t="s">
        <v>453</v>
      </c>
      <c r="CC8" s="604">
        <v>0</v>
      </c>
      <c r="CD8" s="604" t="s">
        <v>32</v>
      </c>
      <c r="CF8" s="554" t="str">
        <f t="shared" si="10"/>
        <v>2016European or Other20-24ageSIDS</v>
      </c>
      <c r="CG8" s="604">
        <v>2016</v>
      </c>
      <c r="CH8" s="604" t="s">
        <v>356</v>
      </c>
      <c r="CI8" s="604" t="s">
        <v>130</v>
      </c>
      <c r="CJ8" s="604" t="s">
        <v>453</v>
      </c>
      <c r="CK8" s="604">
        <v>2</v>
      </c>
      <c r="CL8" s="604" t="s">
        <v>32</v>
      </c>
      <c r="CN8" s="575" t="str">
        <f t="shared" si="11"/>
        <v>2016I00–I99fetal</v>
      </c>
      <c r="CO8" s="604">
        <v>2016</v>
      </c>
      <c r="CP8" s="604" t="s">
        <v>506</v>
      </c>
      <c r="CQ8" s="604">
        <v>1</v>
      </c>
      <c r="CR8" s="604">
        <v>0.2</v>
      </c>
      <c r="CS8" s="604">
        <v>1.643E-2</v>
      </c>
      <c r="CT8" s="604" t="s">
        <v>420</v>
      </c>
      <c r="CV8" s="575"/>
    </row>
    <row r="9" spans="1:106">
      <c r="A9" s="502" t="str">
        <f t="shared" si="0"/>
        <v>1997deathsLate neonatal</v>
      </c>
      <c r="B9" s="604">
        <v>1997</v>
      </c>
      <c r="C9" s="604" t="s">
        <v>496</v>
      </c>
      <c r="D9" s="604" t="s">
        <v>42</v>
      </c>
      <c r="E9" s="604">
        <v>38</v>
      </c>
      <c r="F9" s="604">
        <v>57734</v>
      </c>
      <c r="G9" s="604" t="s">
        <v>119</v>
      </c>
      <c r="I9" s="578" t="str">
        <f t="shared" si="1"/>
        <v>2002OverallTotalFetal</v>
      </c>
      <c r="J9" s="604">
        <v>2002</v>
      </c>
      <c r="K9" s="604" t="s">
        <v>104</v>
      </c>
      <c r="L9" s="604" t="s">
        <v>44</v>
      </c>
      <c r="M9" s="604">
        <v>390</v>
      </c>
      <c r="N9" s="604">
        <v>54905</v>
      </c>
      <c r="O9" s="604">
        <v>7.1</v>
      </c>
      <c r="P9" s="604" t="s">
        <v>47</v>
      </c>
      <c r="Q9" s="499"/>
      <c r="R9" s="502" t="str">
        <f t="shared" si="2"/>
        <v>1996birthsbwtUnknown</v>
      </c>
      <c r="S9" s="604">
        <v>1996</v>
      </c>
      <c r="T9" s="604" t="s">
        <v>445</v>
      </c>
      <c r="U9" s="604" t="s">
        <v>447</v>
      </c>
      <c r="V9" s="604" t="s">
        <v>63</v>
      </c>
      <c r="W9" s="604">
        <v>116</v>
      </c>
      <c r="Y9" s="535" t="str">
        <f t="shared" si="3"/>
        <v>2016ethageAsian20-24fetal</v>
      </c>
      <c r="Z9" s="604">
        <v>2016</v>
      </c>
      <c r="AA9" s="604" t="s">
        <v>449</v>
      </c>
      <c r="AB9" s="604" t="s">
        <v>453</v>
      </c>
      <c r="AC9" s="604" t="s">
        <v>355</v>
      </c>
      <c r="AD9" s="604" t="s">
        <v>130</v>
      </c>
      <c r="AE9" s="604">
        <v>7</v>
      </c>
      <c r="AF9" s="604">
        <v>790</v>
      </c>
      <c r="AG9" s="604">
        <v>8.8000000000000007</v>
      </c>
      <c r="AH9" s="604" t="s">
        <v>420</v>
      </c>
      <c r="AJ9" s="535" t="str">
        <f t="shared" si="4"/>
        <v>2016ethageAsian20-24</v>
      </c>
      <c r="AK9" s="604">
        <v>2016</v>
      </c>
      <c r="AL9" s="604" t="s">
        <v>449</v>
      </c>
      <c r="AM9" s="604" t="s">
        <v>453</v>
      </c>
      <c r="AN9" s="604" t="s">
        <v>355</v>
      </c>
      <c r="AO9" s="604" t="s">
        <v>130</v>
      </c>
      <c r="AP9" s="604">
        <v>790</v>
      </c>
      <c r="AR9" s="538" t="str">
        <f t="shared" si="5"/>
        <v>TotalOverallfetalBay of Plenty</v>
      </c>
      <c r="AS9" s="604">
        <v>2016</v>
      </c>
      <c r="AT9" s="604" t="s">
        <v>44</v>
      </c>
      <c r="AU9" s="604" t="s">
        <v>104</v>
      </c>
      <c r="AV9" s="604" t="s">
        <v>91</v>
      </c>
      <c r="AW9" s="604">
        <v>19</v>
      </c>
      <c r="AX9" s="604">
        <v>2959</v>
      </c>
      <c r="AY9" s="606">
        <v>6.4</v>
      </c>
      <c r="AZ9" s="604" t="s">
        <v>420</v>
      </c>
      <c r="BB9" s="536" t="str">
        <f t="shared" si="6"/>
        <v>TotalOverallbirthsBay of Plenty</v>
      </c>
      <c r="BC9" s="604">
        <v>2016</v>
      </c>
      <c r="BD9" s="604" t="s">
        <v>44</v>
      </c>
      <c r="BE9" s="604" t="s">
        <v>104</v>
      </c>
      <c r="BF9" s="604" t="s">
        <v>91</v>
      </c>
      <c r="BG9" s="604">
        <v>2940</v>
      </c>
      <c r="BH9" s="604" t="s">
        <v>445</v>
      </c>
      <c r="BJ9" s="542" t="str">
        <f t="shared" si="7"/>
        <v>Asianethfetal</v>
      </c>
      <c r="BK9" s="604" t="s">
        <v>355</v>
      </c>
      <c r="BL9" s="604" t="s">
        <v>449</v>
      </c>
      <c r="BM9" s="604">
        <v>318</v>
      </c>
      <c r="BN9" s="604">
        <v>44664</v>
      </c>
      <c r="BO9" s="604">
        <v>7.1</v>
      </c>
      <c r="BP9" s="604" t="s">
        <v>420</v>
      </c>
      <c r="BR9" s="547" t="str">
        <f t="shared" si="8"/>
        <v>1-6 days&lt;20age</v>
      </c>
      <c r="BS9" s="604">
        <v>2016</v>
      </c>
      <c r="BT9" s="604" t="s">
        <v>470</v>
      </c>
      <c r="BU9" s="604" t="s">
        <v>339</v>
      </c>
      <c r="BV9" s="604" t="s">
        <v>453</v>
      </c>
      <c r="BW9" s="604">
        <v>5</v>
      </c>
      <c r="BY9" s="553" t="str">
        <f t="shared" si="9"/>
        <v>2000UnknownageSIDS</v>
      </c>
      <c r="BZ9" s="604">
        <v>2000</v>
      </c>
      <c r="CA9" s="604" t="s">
        <v>63</v>
      </c>
      <c r="CB9" s="604" t="s">
        <v>453</v>
      </c>
      <c r="CC9" s="604">
        <v>0</v>
      </c>
      <c r="CD9" s="604" t="s">
        <v>32</v>
      </c>
      <c r="CF9" s="554" t="str">
        <f t="shared" si="10"/>
        <v>2016Maori20-24ageSIDS</v>
      </c>
      <c r="CG9" s="604">
        <v>2016</v>
      </c>
      <c r="CH9" s="604" t="s">
        <v>129</v>
      </c>
      <c r="CI9" s="604" t="s">
        <v>130</v>
      </c>
      <c r="CJ9" s="604" t="s">
        <v>453</v>
      </c>
      <c r="CK9" s="604">
        <v>6</v>
      </c>
      <c r="CL9" s="604" t="s">
        <v>32</v>
      </c>
      <c r="CN9" s="575" t="str">
        <f t="shared" si="11"/>
        <v>2016J00–J99fetal</v>
      </c>
      <c r="CO9" s="604">
        <v>2016</v>
      </c>
      <c r="CP9" s="604" t="s">
        <v>507</v>
      </c>
      <c r="CQ9" s="604">
        <v>0</v>
      </c>
      <c r="CR9" s="604">
        <v>0</v>
      </c>
      <c r="CS9" s="604">
        <v>0</v>
      </c>
      <c r="CT9" s="604" t="s">
        <v>420</v>
      </c>
      <c r="CV9" s="575"/>
    </row>
    <row r="10" spans="1:106">
      <c r="A10" s="502" t="str">
        <f t="shared" si="0"/>
        <v>1997deathsPost-neonatal</v>
      </c>
      <c r="B10" s="604">
        <v>1997</v>
      </c>
      <c r="C10" s="604" t="s">
        <v>496</v>
      </c>
      <c r="D10" s="604" t="s">
        <v>43</v>
      </c>
      <c r="E10" s="604">
        <v>182</v>
      </c>
      <c r="F10" s="604">
        <v>57734</v>
      </c>
      <c r="G10" s="604">
        <v>3.2</v>
      </c>
      <c r="I10" s="578" t="str">
        <f t="shared" si="1"/>
        <v>2003OverallTotalFetal</v>
      </c>
      <c r="J10" s="604">
        <v>2003</v>
      </c>
      <c r="K10" s="604" t="s">
        <v>104</v>
      </c>
      <c r="L10" s="604" t="s">
        <v>44</v>
      </c>
      <c r="M10" s="604">
        <v>393</v>
      </c>
      <c r="N10" s="604">
        <v>56969</v>
      </c>
      <c r="O10" s="604">
        <v>6.9</v>
      </c>
      <c r="P10" s="604" t="s">
        <v>47</v>
      </c>
      <c r="Q10" s="499"/>
      <c r="R10" s="502" t="str">
        <f t="shared" si="2"/>
        <v>1997birthsbwt&lt;500</v>
      </c>
      <c r="S10" s="604">
        <v>1997</v>
      </c>
      <c r="T10" s="604" t="s">
        <v>445</v>
      </c>
      <c r="U10" s="604" t="s">
        <v>447</v>
      </c>
      <c r="V10" s="604" t="s">
        <v>427</v>
      </c>
      <c r="W10" s="604">
        <v>33</v>
      </c>
      <c r="Y10" s="535" t="str">
        <f t="shared" si="3"/>
        <v>2016ethageEuropean or Other20-24fetal</v>
      </c>
      <c r="Z10" s="604">
        <v>2016</v>
      </c>
      <c r="AA10" s="604" t="s">
        <v>449</v>
      </c>
      <c r="AB10" s="604" t="s">
        <v>453</v>
      </c>
      <c r="AC10" s="604" t="s">
        <v>356</v>
      </c>
      <c r="AD10" s="604" t="s">
        <v>130</v>
      </c>
      <c r="AE10" s="604">
        <v>23</v>
      </c>
      <c r="AF10" s="604">
        <v>2734</v>
      </c>
      <c r="AG10" s="604">
        <v>8.3000000000000007</v>
      </c>
      <c r="AH10" s="604" t="s">
        <v>420</v>
      </c>
      <c r="AJ10" s="535" t="str">
        <f t="shared" si="4"/>
        <v>2016ethageEuropean or Other20-24</v>
      </c>
      <c r="AK10" s="604">
        <v>2016</v>
      </c>
      <c r="AL10" s="604" t="s">
        <v>449</v>
      </c>
      <c r="AM10" s="604" t="s">
        <v>453</v>
      </c>
      <c r="AN10" s="604" t="s">
        <v>356</v>
      </c>
      <c r="AO10" s="604" t="s">
        <v>130</v>
      </c>
      <c r="AP10" s="604">
        <v>2734</v>
      </c>
      <c r="AR10" s="538" t="str">
        <f t="shared" si="5"/>
        <v>TotalOverallfetalTairawhiti</v>
      </c>
      <c r="AS10" s="604">
        <v>2016</v>
      </c>
      <c r="AT10" s="604" t="s">
        <v>44</v>
      </c>
      <c r="AU10" s="604" t="s">
        <v>104</v>
      </c>
      <c r="AV10" s="604" t="s">
        <v>433</v>
      </c>
      <c r="AW10" s="604">
        <v>2</v>
      </c>
      <c r="AX10" s="604">
        <v>771</v>
      </c>
      <c r="AY10" s="606">
        <v>2.6</v>
      </c>
      <c r="AZ10" s="604" t="s">
        <v>420</v>
      </c>
      <c r="BB10" s="536" t="str">
        <f t="shared" si="6"/>
        <v>TotalOverallbirthsTairawhiti</v>
      </c>
      <c r="BC10" s="604">
        <v>2016</v>
      </c>
      <c r="BD10" s="604" t="s">
        <v>44</v>
      </c>
      <c r="BE10" s="604" t="s">
        <v>104</v>
      </c>
      <c r="BF10" s="604" t="s">
        <v>433</v>
      </c>
      <c r="BG10" s="604">
        <v>769</v>
      </c>
      <c r="BH10" s="604" t="s">
        <v>445</v>
      </c>
      <c r="BJ10" s="542" t="str">
        <f t="shared" si="7"/>
        <v>European or Otherethfetal</v>
      </c>
      <c r="BK10" s="604" t="s">
        <v>356</v>
      </c>
      <c r="BL10" s="604" t="s">
        <v>449</v>
      </c>
      <c r="BM10" s="604">
        <v>967</v>
      </c>
      <c r="BN10" s="604">
        <v>140440</v>
      </c>
      <c r="BO10" s="604">
        <v>6.9</v>
      </c>
      <c r="BP10" s="604" t="s">
        <v>420</v>
      </c>
      <c r="BR10" s="547" t="str">
        <f t="shared" si="8"/>
        <v>1-6 days20-24age</v>
      </c>
      <c r="BS10" s="604">
        <v>2016</v>
      </c>
      <c r="BT10" s="604" t="s">
        <v>470</v>
      </c>
      <c r="BU10" s="604" t="s">
        <v>130</v>
      </c>
      <c r="BV10" s="604" t="s">
        <v>453</v>
      </c>
      <c r="BW10" s="604">
        <v>11</v>
      </c>
      <c r="BY10" s="553" t="str">
        <f t="shared" si="9"/>
        <v>2001&lt;20ageSIDS</v>
      </c>
      <c r="BZ10" s="604">
        <v>2001</v>
      </c>
      <c r="CA10" s="604" t="s">
        <v>339</v>
      </c>
      <c r="CB10" s="604" t="s">
        <v>453</v>
      </c>
      <c r="CC10" s="604">
        <v>7</v>
      </c>
      <c r="CD10" s="604" t="s">
        <v>32</v>
      </c>
      <c r="CF10" s="554" t="str">
        <f t="shared" si="10"/>
        <v>2016Pacific peoples20-24ageSIDS</v>
      </c>
      <c r="CG10" s="604">
        <v>2016</v>
      </c>
      <c r="CH10" s="604" t="s">
        <v>320</v>
      </c>
      <c r="CI10" s="604" t="s">
        <v>130</v>
      </c>
      <c r="CJ10" s="604" t="s">
        <v>453</v>
      </c>
      <c r="CK10" s="604">
        <v>1</v>
      </c>
      <c r="CL10" s="604" t="s">
        <v>32</v>
      </c>
      <c r="CN10" s="575" t="str">
        <f t="shared" si="11"/>
        <v>2016K00–K93fetal</v>
      </c>
      <c r="CO10" s="604">
        <v>2016</v>
      </c>
      <c r="CP10" s="604" t="s">
        <v>508</v>
      </c>
      <c r="CQ10" s="604">
        <v>0</v>
      </c>
      <c r="CR10" s="604">
        <v>0</v>
      </c>
      <c r="CS10" s="604">
        <v>0</v>
      </c>
      <c r="CT10" s="604" t="s">
        <v>420</v>
      </c>
      <c r="CV10" s="575"/>
    </row>
    <row r="11" spans="1:106">
      <c r="A11" s="502" t="str">
        <f t="shared" si="0"/>
        <v>1998deathsFetal</v>
      </c>
      <c r="B11" s="604">
        <v>1998</v>
      </c>
      <c r="C11" s="604" t="s">
        <v>496</v>
      </c>
      <c r="D11" s="604" t="s">
        <v>47</v>
      </c>
      <c r="E11" s="604">
        <v>348</v>
      </c>
      <c r="F11" s="604">
        <v>58082</v>
      </c>
      <c r="G11" s="604">
        <v>6</v>
      </c>
      <c r="I11" s="578" t="str">
        <f t="shared" si="1"/>
        <v>2004OverallTotalFetal</v>
      </c>
      <c r="J11" s="604">
        <v>2004</v>
      </c>
      <c r="K11" s="604" t="s">
        <v>104</v>
      </c>
      <c r="L11" s="604" t="s">
        <v>44</v>
      </c>
      <c r="M11" s="604">
        <v>506</v>
      </c>
      <c r="N11" s="604">
        <v>59229</v>
      </c>
      <c r="O11" s="604">
        <v>8.5</v>
      </c>
      <c r="P11" s="604" t="s">
        <v>47</v>
      </c>
      <c r="Q11" s="499"/>
      <c r="R11" s="502" t="str">
        <f t="shared" si="2"/>
        <v>1997birthsbwt500-999</v>
      </c>
      <c r="S11" s="604">
        <v>1997</v>
      </c>
      <c r="T11" s="604" t="s">
        <v>445</v>
      </c>
      <c r="U11" s="604" t="s">
        <v>447</v>
      </c>
      <c r="V11" s="604" t="s">
        <v>428</v>
      </c>
      <c r="W11" s="604">
        <v>231</v>
      </c>
      <c r="Y11" s="535" t="str">
        <f t="shared" si="3"/>
        <v>2016ethageMaori25-29fetal</v>
      </c>
      <c r="Z11" s="604">
        <v>2016</v>
      </c>
      <c r="AA11" s="604" t="s">
        <v>449</v>
      </c>
      <c r="AB11" s="604" t="s">
        <v>453</v>
      </c>
      <c r="AC11" s="604" t="s">
        <v>129</v>
      </c>
      <c r="AD11" s="604" t="s">
        <v>131</v>
      </c>
      <c r="AE11" s="604">
        <v>28</v>
      </c>
      <c r="AF11" s="604">
        <v>4991</v>
      </c>
      <c r="AG11" s="604">
        <v>5.6</v>
      </c>
      <c r="AH11" s="604" t="s">
        <v>420</v>
      </c>
      <c r="AJ11" s="535" t="str">
        <f t="shared" si="4"/>
        <v>2016ethageMaori25-29</v>
      </c>
      <c r="AK11" s="604">
        <v>2016</v>
      </c>
      <c r="AL11" s="604" t="s">
        <v>449</v>
      </c>
      <c r="AM11" s="604" t="s">
        <v>453</v>
      </c>
      <c r="AN11" s="604" t="s">
        <v>129</v>
      </c>
      <c r="AO11" s="604" t="s">
        <v>131</v>
      </c>
      <c r="AP11" s="604">
        <v>4991</v>
      </c>
      <c r="AR11" s="538" t="str">
        <f t="shared" si="5"/>
        <v>TotalOverallfetalHawke's Bay</v>
      </c>
      <c r="AS11" s="604">
        <v>2016</v>
      </c>
      <c r="AT11" s="604" t="s">
        <v>44</v>
      </c>
      <c r="AU11" s="604" t="s">
        <v>104</v>
      </c>
      <c r="AV11" s="604" t="s">
        <v>92</v>
      </c>
      <c r="AW11" s="604">
        <v>7</v>
      </c>
      <c r="AX11" s="604">
        <v>2105</v>
      </c>
      <c r="AY11" s="606">
        <v>3.3</v>
      </c>
      <c r="AZ11" s="604" t="s">
        <v>420</v>
      </c>
      <c r="BB11" s="536" t="str">
        <f t="shared" si="6"/>
        <v>TotalOverallbirthsHawke's Bay</v>
      </c>
      <c r="BC11" s="604">
        <v>2016</v>
      </c>
      <c r="BD11" s="604" t="s">
        <v>44</v>
      </c>
      <c r="BE11" s="604" t="s">
        <v>104</v>
      </c>
      <c r="BF11" s="604" t="s">
        <v>92</v>
      </c>
      <c r="BG11" s="604">
        <v>2098</v>
      </c>
      <c r="BH11" s="604" t="s">
        <v>445</v>
      </c>
      <c r="BJ11" s="542" t="str">
        <f t="shared" si="7"/>
        <v>Maoriethfetal</v>
      </c>
      <c r="BK11" s="604" t="s">
        <v>129</v>
      </c>
      <c r="BL11" s="604" t="s">
        <v>449</v>
      </c>
      <c r="BM11" s="604">
        <v>601</v>
      </c>
      <c r="BN11" s="604">
        <v>87992</v>
      </c>
      <c r="BO11" s="604">
        <v>6.8</v>
      </c>
      <c r="BP11" s="604" t="s">
        <v>420</v>
      </c>
      <c r="BR11" s="547" t="str">
        <f t="shared" si="8"/>
        <v>1-6 days25-29age</v>
      </c>
      <c r="BS11" s="604">
        <v>2016</v>
      </c>
      <c r="BT11" s="604" t="s">
        <v>470</v>
      </c>
      <c r="BU11" s="604" t="s">
        <v>131</v>
      </c>
      <c r="BV11" s="604" t="s">
        <v>453</v>
      </c>
      <c r="BW11" s="604">
        <v>4</v>
      </c>
      <c r="BY11" s="553" t="str">
        <f t="shared" si="9"/>
        <v>200120-24ageSIDS</v>
      </c>
      <c r="BZ11" s="604">
        <v>2001</v>
      </c>
      <c r="CA11" s="604" t="s">
        <v>130</v>
      </c>
      <c r="CB11" s="604" t="s">
        <v>453</v>
      </c>
      <c r="CC11" s="604">
        <v>16</v>
      </c>
      <c r="CD11" s="604" t="s">
        <v>32</v>
      </c>
      <c r="CF11" s="554" t="str">
        <f t="shared" si="10"/>
        <v>2016Asian25-29ageSIDS</v>
      </c>
      <c r="CG11" s="604">
        <v>2016</v>
      </c>
      <c r="CH11" s="604" t="s">
        <v>355</v>
      </c>
      <c r="CI11" s="604" t="s">
        <v>131</v>
      </c>
      <c r="CJ11" s="604" t="s">
        <v>453</v>
      </c>
      <c r="CK11" s="604">
        <v>1</v>
      </c>
      <c r="CL11" s="604" t="s">
        <v>32</v>
      </c>
      <c r="CN11" s="575" t="str">
        <f t="shared" si="11"/>
        <v>2016P00–P96fetal</v>
      </c>
      <c r="CO11" s="604">
        <v>2016</v>
      </c>
      <c r="CP11" s="604" t="s">
        <v>513</v>
      </c>
      <c r="CQ11" s="604">
        <v>292</v>
      </c>
      <c r="CR11" s="604">
        <v>70.7</v>
      </c>
      <c r="CS11" s="604">
        <v>4.7987599999999997</v>
      </c>
      <c r="CT11" s="604" t="s">
        <v>420</v>
      </c>
      <c r="CV11" s="575"/>
    </row>
    <row r="12" spans="1:106">
      <c r="A12" s="502" t="str">
        <f t="shared" si="0"/>
        <v>1998deathsEarly neonatal</v>
      </c>
      <c r="B12" s="604">
        <v>1998</v>
      </c>
      <c r="C12" s="604" t="s">
        <v>496</v>
      </c>
      <c r="D12" s="604" t="s">
        <v>41</v>
      </c>
      <c r="E12" s="604">
        <v>136</v>
      </c>
      <c r="F12" s="604">
        <v>57734</v>
      </c>
      <c r="G12" s="604" t="s">
        <v>119</v>
      </c>
      <c r="I12" s="578" t="str">
        <f t="shared" si="1"/>
        <v>2005OverallTotalFetal</v>
      </c>
      <c r="J12" s="604">
        <v>2005</v>
      </c>
      <c r="K12" s="604" t="s">
        <v>104</v>
      </c>
      <c r="L12" s="604" t="s">
        <v>44</v>
      </c>
      <c r="M12" s="604">
        <v>403</v>
      </c>
      <c r="N12" s="604">
        <v>59130</v>
      </c>
      <c r="O12" s="604">
        <v>6.8</v>
      </c>
      <c r="P12" s="604" t="s">
        <v>47</v>
      </c>
      <c r="Q12" s="499"/>
      <c r="R12" s="502" t="str">
        <f t="shared" si="2"/>
        <v>1997birthsbwt1000-1499</v>
      </c>
      <c r="S12" s="604">
        <v>1997</v>
      </c>
      <c r="T12" s="604" t="s">
        <v>445</v>
      </c>
      <c r="U12" s="604" t="s">
        <v>447</v>
      </c>
      <c r="V12" s="604" t="s">
        <v>429</v>
      </c>
      <c r="W12" s="604">
        <v>353</v>
      </c>
      <c r="Y12" s="535" t="str">
        <f t="shared" si="3"/>
        <v>2016ethagePacific peoples25-29fetal</v>
      </c>
      <c r="Z12" s="604">
        <v>2016</v>
      </c>
      <c r="AA12" s="604" t="s">
        <v>449</v>
      </c>
      <c r="AB12" s="604" t="s">
        <v>453</v>
      </c>
      <c r="AC12" s="604" t="s">
        <v>320</v>
      </c>
      <c r="AD12" s="604" t="s">
        <v>131</v>
      </c>
      <c r="AE12" s="604">
        <v>13</v>
      </c>
      <c r="AF12" s="604">
        <v>1704</v>
      </c>
      <c r="AG12" s="604">
        <v>7.6</v>
      </c>
      <c r="AH12" s="604" t="s">
        <v>420</v>
      </c>
      <c r="AJ12" s="535" t="str">
        <f t="shared" si="4"/>
        <v>2016ethagePacific peoples25-29</v>
      </c>
      <c r="AK12" s="604">
        <v>2016</v>
      </c>
      <c r="AL12" s="604" t="s">
        <v>449</v>
      </c>
      <c r="AM12" s="604" t="s">
        <v>453</v>
      </c>
      <c r="AN12" s="604" t="s">
        <v>320</v>
      </c>
      <c r="AO12" s="604" t="s">
        <v>131</v>
      </c>
      <c r="AP12" s="604">
        <v>1704</v>
      </c>
      <c r="AR12" s="538" t="str">
        <f t="shared" si="5"/>
        <v>TotalOverallfetalTaranaki</v>
      </c>
      <c r="AS12" s="604">
        <v>2016</v>
      </c>
      <c r="AT12" s="604" t="s">
        <v>44</v>
      </c>
      <c r="AU12" s="604" t="s">
        <v>104</v>
      </c>
      <c r="AV12" s="604" t="s">
        <v>93</v>
      </c>
      <c r="AW12" s="604">
        <v>13</v>
      </c>
      <c r="AX12" s="604">
        <v>1504</v>
      </c>
      <c r="AY12" s="606">
        <v>8.6</v>
      </c>
      <c r="AZ12" s="604" t="s">
        <v>420</v>
      </c>
      <c r="BB12" s="536" t="str">
        <f t="shared" si="6"/>
        <v>TotalOverallbirthsTaranaki</v>
      </c>
      <c r="BC12" s="604">
        <v>2016</v>
      </c>
      <c r="BD12" s="604" t="s">
        <v>44</v>
      </c>
      <c r="BE12" s="604" t="s">
        <v>104</v>
      </c>
      <c r="BF12" s="604" t="s">
        <v>93</v>
      </c>
      <c r="BG12" s="604">
        <v>1491</v>
      </c>
      <c r="BH12" s="604" t="s">
        <v>445</v>
      </c>
      <c r="BJ12" s="542" t="str">
        <f t="shared" si="7"/>
        <v>Pacific peoplesethfetal</v>
      </c>
      <c r="BK12" s="604" t="s">
        <v>320</v>
      </c>
      <c r="BL12" s="604" t="s">
        <v>449</v>
      </c>
      <c r="BM12" s="604">
        <v>237</v>
      </c>
      <c r="BN12" s="604">
        <v>33344</v>
      </c>
      <c r="BO12" s="604">
        <v>7.1</v>
      </c>
      <c r="BP12" s="604" t="s">
        <v>420</v>
      </c>
      <c r="BR12" s="547" t="str">
        <f t="shared" si="8"/>
        <v>1-6 days30-34age</v>
      </c>
      <c r="BS12" s="604">
        <v>2016</v>
      </c>
      <c r="BT12" s="604" t="s">
        <v>470</v>
      </c>
      <c r="BU12" s="604" t="s">
        <v>132</v>
      </c>
      <c r="BV12" s="604" t="s">
        <v>453</v>
      </c>
      <c r="BW12" s="604">
        <v>6</v>
      </c>
      <c r="BY12" s="553" t="str">
        <f t="shared" si="9"/>
        <v>200125-29ageSIDS</v>
      </c>
      <c r="BZ12" s="604">
        <v>2001</v>
      </c>
      <c r="CA12" s="604" t="s">
        <v>131</v>
      </c>
      <c r="CB12" s="604" t="s">
        <v>453</v>
      </c>
      <c r="CC12" s="604">
        <v>13</v>
      </c>
      <c r="CD12" s="604" t="s">
        <v>32</v>
      </c>
      <c r="CF12" s="554" t="str">
        <f t="shared" si="10"/>
        <v>2016European or Other25-29ageSIDS</v>
      </c>
      <c r="CG12" s="604">
        <v>2016</v>
      </c>
      <c r="CH12" s="604" t="s">
        <v>356</v>
      </c>
      <c r="CI12" s="604" t="s">
        <v>131</v>
      </c>
      <c r="CJ12" s="604" t="s">
        <v>453</v>
      </c>
      <c r="CK12" s="604">
        <v>1</v>
      </c>
      <c r="CL12" s="604" t="s">
        <v>32</v>
      </c>
      <c r="CN12" s="575" t="str">
        <f t="shared" si="11"/>
        <v>2016Q00–Q99fetal</v>
      </c>
      <c r="CO12" s="604">
        <v>2016</v>
      </c>
      <c r="CP12" s="604" t="s">
        <v>514</v>
      </c>
      <c r="CQ12" s="604">
        <v>119</v>
      </c>
      <c r="CR12" s="604">
        <v>28.8</v>
      </c>
      <c r="CS12" s="604">
        <v>1.95566</v>
      </c>
      <c r="CT12" s="604" t="s">
        <v>420</v>
      </c>
      <c r="CV12" s="575"/>
    </row>
    <row r="13" spans="1:106">
      <c r="A13" s="502" t="str">
        <f t="shared" si="0"/>
        <v>1998deathsLate neonatal</v>
      </c>
      <c r="B13" s="604">
        <v>1998</v>
      </c>
      <c r="C13" s="604" t="s">
        <v>496</v>
      </c>
      <c r="D13" s="604" t="s">
        <v>42</v>
      </c>
      <c r="E13" s="604">
        <v>35</v>
      </c>
      <c r="F13" s="604">
        <v>57734</v>
      </c>
      <c r="G13" s="604" t="s">
        <v>119</v>
      </c>
      <c r="I13" s="578" t="str">
        <f t="shared" si="1"/>
        <v>2006OverallTotalFetal</v>
      </c>
      <c r="J13" s="604">
        <v>2006</v>
      </c>
      <c r="K13" s="604" t="s">
        <v>104</v>
      </c>
      <c r="L13" s="604" t="s">
        <v>44</v>
      </c>
      <c r="M13" s="604">
        <v>409</v>
      </c>
      <c r="N13" s="604">
        <v>60683</v>
      </c>
      <c r="O13" s="604">
        <v>6.7</v>
      </c>
      <c r="P13" s="604" t="s">
        <v>47</v>
      </c>
      <c r="Q13" s="499"/>
      <c r="R13" s="502" t="str">
        <f t="shared" si="2"/>
        <v>1997birthsbwt1500-2499</v>
      </c>
      <c r="S13" s="604">
        <v>1997</v>
      </c>
      <c r="T13" s="604" t="s">
        <v>445</v>
      </c>
      <c r="U13" s="604" t="s">
        <v>447</v>
      </c>
      <c r="V13" s="604" t="s">
        <v>430</v>
      </c>
      <c r="W13" s="604">
        <v>2980</v>
      </c>
      <c r="Y13" s="535" t="str">
        <f t="shared" si="3"/>
        <v>2016ethageAsian25-29fetal</v>
      </c>
      <c r="Z13" s="604">
        <v>2016</v>
      </c>
      <c r="AA13" s="604" t="s">
        <v>449</v>
      </c>
      <c r="AB13" s="604" t="s">
        <v>453</v>
      </c>
      <c r="AC13" s="604" t="s">
        <v>355</v>
      </c>
      <c r="AD13" s="604" t="s">
        <v>131</v>
      </c>
      <c r="AE13" s="604">
        <v>18</v>
      </c>
      <c r="AF13" s="604">
        <v>3248</v>
      </c>
      <c r="AG13" s="604">
        <v>5.5</v>
      </c>
      <c r="AH13" s="604" t="s">
        <v>420</v>
      </c>
      <c r="AJ13" s="535" t="str">
        <f t="shared" si="4"/>
        <v>2016ethageAsian25-29</v>
      </c>
      <c r="AK13" s="604">
        <v>2016</v>
      </c>
      <c r="AL13" s="604" t="s">
        <v>449</v>
      </c>
      <c r="AM13" s="604" t="s">
        <v>453</v>
      </c>
      <c r="AN13" s="604" t="s">
        <v>355</v>
      </c>
      <c r="AO13" s="604" t="s">
        <v>131</v>
      </c>
      <c r="AP13" s="604">
        <v>3248</v>
      </c>
      <c r="AR13" s="538" t="str">
        <f t="shared" si="5"/>
        <v>TotalOverallfetalMidCentral</v>
      </c>
      <c r="AS13" s="604">
        <v>2016</v>
      </c>
      <c r="AT13" s="604" t="s">
        <v>44</v>
      </c>
      <c r="AU13" s="604" t="s">
        <v>104</v>
      </c>
      <c r="AV13" s="604" t="s">
        <v>94</v>
      </c>
      <c r="AW13" s="604">
        <v>11</v>
      </c>
      <c r="AX13" s="604">
        <v>2117</v>
      </c>
      <c r="AY13" s="606">
        <v>5.2</v>
      </c>
      <c r="AZ13" s="604" t="s">
        <v>420</v>
      </c>
      <c r="BB13" s="536" t="str">
        <f t="shared" si="6"/>
        <v>TotalOverallbirthsMidCentral</v>
      </c>
      <c r="BC13" s="604">
        <v>2016</v>
      </c>
      <c r="BD13" s="604" t="s">
        <v>44</v>
      </c>
      <c r="BE13" s="604" t="s">
        <v>104</v>
      </c>
      <c r="BF13" s="604" t="s">
        <v>94</v>
      </c>
      <c r="BG13" s="604">
        <v>2106</v>
      </c>
      <c r="BH13" s="604" t="s">
        <v>445</v>
      </c>
      <c r="BJ13" s="542" t="str">
        <f t="shared" si="7"/>
        <v>&lt;20agefetal</v>
      </c>
      <c r="BK13" s="604" t="s">
        <v>339</v>
      </c>
      <c r="BL13" s="604" t="s">
        <v>453</v>
      </c>
      <c r="BM13" s="604">
        <v>168</v>
      </c>
      <c r="BN13" s="604">
        <v>17517</v>
      </c>
      <c r="BO13" s="604">
        <v>9.6</v>
      </c>
      <c r="BP13" s="604" t="s">
        <v>420</v>
      </c>
      <c r="BR13" s="547" t="str">
        <f t="shared" si="8"/>
        <v>1-6 days35-39age</v>
      </c>
      <c r="BS13" s="604">
        <v>2016</v>
      </c>
      <c r="BT13" s="604" t="s">
        <v>470</v>
      </c>
      <c r="BU13" s="604" t="s">
        <v>133</v>
      </c>
      <c r="BV13" s="604" t="s">
        <v>453</v>
      </c>
      <c r="BW13" s="604">
        <v>5</v>
      </c>
      <c r="BY13" s="553" t="str">
        <f t="shared" si="9"/>
        <v>200130-34ageSIDS</v>
      </c>
      <c r="BZ13" s="604">
        <v>2001</v>
      </c>
      <c r="CA13" s="604" t="s">
        <v>132</v>
      </c>
      <c r="CB13" s="604" t="s">
        <v>453</v>
      </c>
      <c r="CC13" s="604">
        <v>11</v>
      </c>
      <c r="CD13" s="604" t="s">
        <v>32</v>
      </c>
      <c r="CF13" s="554" t="str">
        <f t="shared" si="10"/>
        <v>2016Maori25-29ageSIDS</v>
      </c>
      <c r="CG13" s="604">
        <v>2016</v>
      </c>
      <c r="CH13" s="604" t="s">
        <v>129</v>
      </c>
      <c r="CI13" s="604" t="s">
        <v>131</v>
      </c>
      <c r="CJ13" s="604" t="s">
        <v>453</v>
      </c>
      <c r="CK13" s="604">
        <v>4</v>
      </c>
      <c r="CL13" s="604" t="s">
        <v>32</v>
      </c>
      <c r="CN13" s="575" t="str">
        <f t="shared" si="11"/>
        <v>2016R00–R99fetal</v>
      </c>
      <c r="CO13" s="604">
        <v>2016</v>
      </c>
      <c r="CP13" s="604" t="s">
        <v>515</v>
      </c>
      <c r="CQ13" s="604">
        <v>0</v>
      </c>
      <c r="CR13" s="604">
        <v>0</v>
      </c>
      <c r="CS13" s="604">
        <v>0</v>
      </c>
      <c r="CT13" s="604" t="s">
        <v>420</v>
      </c>
      <c r="CV13" s="575"/>
    </row>
    <row r="14" spans="1:106">
      <c r="A14" s="502" t="str">
        <f t="shared" si="0"/>
        <v>1998deathsPost-neonatal</v>
      </c>
      <c r="B14" s="604">
        <v>1998</v>
      </c>
      <c r="C14" s="604" t="s">
        <v>496</v>
      </c>
      <c r="D14" s="604" t="s">
        <v>43</v>
      </c>
      <c r="E14" s="604">
        <v>137</v>
      </c>
      <c r="F14" s="604">
        <v>57734</v>
      </c>
      <c r="G14" s="604">
        <v>2.4</v>
      </c>
      <c r="I14" s="578" t="str">
        <f t="shared" si="1"/>
        <v>2007OverallTotalFetal</v>
      </c>
      <c r="J14" s="604">
        <v>2007</v>
      </c>
      <c r="K14" s="604" t="s">
        <v>104</v>
      </c>
      <c r="L14" s="604" t="s">
        <v>44</v>
      </c>
      <c r="M14" s="604">
        <v>470</v>
      </c>
      <c r="N14" s="604">
        <v>65591</v>
      </c>
      <c r="O14" s="604">
        <v>7.2</v>
      </c>
      <c r="P14" s="604" t="s">
        <v>47</v>
      </c>
      <c r="Q14" s="499"/>
      <c r="R14" s="502" t="str">
        <f t="shared" si="2"/>
        <v>1997birthsbwt2500-4499</v>
      </c>
      <c r="S14" s="604">
        <v>1997</v>
      </c>
      <c r="T14" s="604" t="s">
        <v>445</v>
      </c>
      <c r="U14" s="604" t="s">
        <v>447</v>
      </c>
      <c r="V14" s="604" t="s">
        <v>431</v>
      </c>
      <c r="W14" s="604">
        <v>52712</v>
      </c>
      <c r="Y14" s="535" t="str">
        <f t="shared" si="3"/>
        <v>2016ethageEuropean or Other25-29fetal</v>
      </c>
      <c r="Z14" s="604">
        <v>2016</v>
      </c>
      <c r="AA14" s="604" t="s">
        <v>449</v>
      </c>
      <c r="AB14" s="604" t="s">
        <v>453</v>
      </c>
      <c r="AC14" s="604" t="s">
        <v>356</v>
      </c>
      <c r="AD14" s="604" t="s">
        <v>131</v>
      </c>
      <c r="AE14" s="604">
        <v>44</v>
      </c>
      <c r="AF14" s="604">
        <v>6721</v>
      </c>
      <c r="AG14" s="604">
        <v>6.5</v>
      </c>
      <c r="AH14" s="604" t="s">
        <v>420</v>
      </c>
      <c r="AJ14" s="535" t="str">
        <f t="shared" si="4"/>
        <v>2016ethageEuropean or Other25-29</v>
      </c>
      <c r="AK14" s="604">
        <v>2016</v>
      </c>
      <c r="AL14" s="604" t="s">
        <v>449</v>
      </c>
      <c r="AM14" s="604" t="s">
        <v>453</v>
      </c>
      <c r="AN14" s="604" t="s">
        <v>356</v>
      </c>
      <c r="AO14" s="604" t="s">
        <v>131</v>
      </c>
      <c r="AP14" s="604">
        <v>6721</v>
      </c>
      <c r="AR14" s="538" t="str">
        <f t="shared" si="5"/>
        <v>TotalOverallfetalWhanganui</v>
      </c>
      <c r="AS14" s="604">
        <v>2016</v>
      </c>
      <c r="AT14" s="604" t="s">
        <v>44</v>
      </c>
      <c r="AU14" s="604" t="s">
        <v>104</v>
      </c>
      <c r="AV14" s="604" t="s">
        <v>95</v>
      </c>
      <c r="AW14" s="604">
        <v>4</v>
      </c>
      <c r="AX14" s="604">
        <v>847</v>
      </c>
      <c r="AY14" s="606">
        <v>4.7</v>
      </c>
      <c r="AZ14" s="604" t="s">
        <v>420</v>
      </c>
      <c r="BB14" s="536" t="str">
        <f t="shared" si="6"/>
        <v>TotalOverallbirthsWhanganui</v>
      </c>
      <c r="BC14" s="604">
        <v>2016</v>
      </c>
      <c r="BD14" s="604" t="s">
        <v>44</v>
      </c>
      <c r="BE14" s="604" t="s">
        <v>104</v>
      </c>
      <c r="BF14" s="604" t="s">
        <v>95</v>
      </c>
      <c r="BG14" s="604">
        <v>843</v>
      </c>
      <c r="BH14" s="604" t="s">
        <v>445</v>
      </c>
      <c r="BJ14" s="542" t="str">
        <f t="shared" si="7"/>
        <v>20-24agefetal</v>
      </c>
      <c r="BK14" s="604" t="s">
        <v>130</v>
      </c>
      <c r="BL14" s="604" t="s">
        <v>453</v>
      </c>
      <c r="BM14" s="604">
        <v>362</v>
      </c>
      <c r="BN14" s="604">
        <v>55509</v>
      </c>
      <c r="BO14" s="604">
        <v>6.5</v>
      </c>
      <c r="BP14" s="604" t="s">
        <v>420</v>
      </c>
      <c r="BR14" s="547" t="str">
        <f t="shared" si="8"/>
        <v>1-6 days40+age</v>
      </c>
      <c r="BS14" s="604">
        <v>2016</v>
      </c>
      <c r="BT14" s="604" t="s">
        <v>470</v>
      </c>
      <c r="BU14" s="604" t="s">
        <v>134</v>
      </c>
      <c r="BV14" s="604" t="s">
        <v>453</v>
      </c>
      <c r="BW14" s="604">
        <v>2</v>
      </c>
      <c r="BY14" s="553" t="str">
        <f t="shared" si="9"/>
        <v>200135-39ageSIDS</v>
      </c>
      <c r="BZ14" s="604">
        <v>2001</v>
      </c>
      <c r="CA14" s="604" t="s">
        <v>133</v>
      </c>
      <c r="CB14" s="604" t="s">
        <v>453</v>
      </c>
      <c r="CC14" s="604">
        <v>2</v>
      </c>
      <c r="CD14" s="604" t="s">
        <v>32</v>
      </c>
      <c r="CF14" s="554" t="str">
        <f t="shared" si="10"/>
        <v>2016Pacific peoples25-29ageSIDS</v>
      </c>
      <c r="CG14" s="604">
        <v>2016</v>
      </c>
      <c r="CH14" s="604" t="s">
        <v>320</v>
      </c>
      <c r="CI14" s="604" t="s">
        <v>131</v>
      </c>
      <c r="CJ14" s="604" t="s">
        <v>453</v>
      </c>
      <c r="CK14" s="604">
        <v>0</v>
      </c>
      <c r="CL14" s="604" t="s">
        <v>32</v>
      </c>
      <c r="CN14" s="575" t="str">
        <f t="shared" si="11"/>
        <v>2016V00–Y98fetal</v>
      </c>
      <c r="CO14" s="604">
        <v>2016</v>
      </c>
      <c r="CP14" s="604" t="s">
        <v>523</v>
      </c>
      <c r="CQ14" s="604">
        <v>0</v>
      </c>
      <c r="CR14" s="604">
        <v>0</v>
      </c>
      <c r="CS14" s="604">
        <v>0</v>
      </c>
      <c r="CT14" s="604" t="s">
        <v>420</v>
      </c>
      <c r="CV14" s="575"/>
    </row>
    <row r="15" spans="1:106">
      <c r="A15" s="502" t="str">
        <f t="shared" si="0"/>
        <v>1999deathsFetal</v>
      </c>
      <c r="B15" s="604">
        <v>1999</v>
      </c>
      <c r="C15" s="604" t="s">
        <v>496</v>
      </c>
      <c r="D15" s="604" t="s">
        <v>47</v>
      </c>
      <c r="E15" s="604">
        <v>426</v>
      </c>
      <c r="F15" s="604">
        <v>57847</v>
      </c>
      <c r="G15" s="604">
        <v>7.4</v>
      </c>
      <c r="I15" s="578" t="str">
        <f t="shared" si="1"/>
        <v>2008OverallTotalFetal</v>
      </c>
      <c r="J15" s="604">
        <v>2008</v>
      </c>
      <c r="K15" s="604" t="s">
        <v>104</v>
      </c>
      <c r="L15" s="604" t="s">
        <v>44</v>
      </c>
      <c r="M15" s="604">
        <v>556</v>
      </c>
      <c r="N15" s="604">
        <v>65889</v>
      </c>
      <c r="O15" s="604">
        <v>8.4</v>
      </c>
      <c r="P15" s="604" t="s">
        <v>47</v>
      </c>
      <c r="Q15" s="499"/>
      <c r="R15" s="502" t="str">
        <f t="shared" si="2"/>
        <v>1997birthsbwt4500+</v>
      </c>
      <c r="S15" s="604">
        <v>1997</v>
      </c>
      <c r="T15" s="604" t="s">
        <v>445</v>
      </c>
      <c r="U15" s="604" t="s">
        <v>447</v>
      </c>
      <c r="V15" s="604" t="s">
        <v>432</v>
      </c>
      <c r="W15" s="604">
        <v>1351</v>
      </c>
      <c r="Y15" s="535" t="str">
        <f t="shared" si="3"/>
        <v>2016ethageMaori30-34fetal</v>
      </c>
      <c r="Z15" s="604">
        <v>2016</v>
      </c>
      <c r="AA15" s="604" t="s">
        <v>449</v>
      </c>
      <c r="AB15" s="604" t="s">
        <v>453</v>
      </c>
      <c r="AC15" s="604" t="s">
        <v>129</v>
      </c>
      <c r="AD15" s="604" t="s">
        <v>132</v>
      </c>
      <c r="AE15" s="604">
        <v>23</v>
      </c>
      <c r="AF15" s="604">
        <v>3514</v>
      </c>
      <c r="AG15" s="604">
        <v>6.5</v>
      </c>
      <c r="AH15" s="604" t="s">
        <v>420</v>
      </c>
      <c r="AJ15" s="535" t="str">
        <f t="shared" si="4"/>
        <v>2016ethageMaori30-34</v>
      </c>
      <c r="AK15" s="604">
        <v>2016</v>
      </c>
      <c r="AL15" s="604" t="s">
        <v>449</v>
      </c>
      <c r="AM15" s="604" t="s">
        <v>453</v>
      </c>
      <c r="AN15" s="604" t="s">
        <v>129</v>
      </c>
      <c r="AO15" s="604" t="s">
        <v>132</v>
      </c>
      <c r="AP15" s="604">
        <v>3514</v>
      </c>
      <c r="AR15" s="538" t="str">
        <f t="shared" si="5"/>
        <v>TotalOverallfetalCapital &amp; Coast</v>
      </c>
      <c r="AS15" s="604">
        <v>2016</v>
      </c>
      <c r="AT15" s="604" t="s">
        <v>44</v>
      </c>
      <c r="AU15" s="604" t="s">
        <v>104</v>
      </c>
      <c r="AV15" s="604" t="s">
        <v>96</v>
      </c>
      <c r="AW15" s="604">
        <v>18</v>
      </c>
      <c r="AX15" s="604">
        <v>3545</v>
      </c>
      <c r="AY15" s="606">
        <v>5.0999999999999996</v>
      </c>
      <c r="AZ15" s="604" t="s">
        <v>420</v>
      </c>
      <c r="BB15" s="536" t="str">
        <f t="shared" si="6"/>
        <v>TotalOverallbirthsCapital &amp; Coast</v>
      </c>
      <c r="BC15" s="604">
        <v>2016</v>
      </c>
      <c r="BD15" s="604" t="s">
        <v>44</v>
      </c>
      <c r="BE15" s="604" t="s">
        <v>104</v>
      </c>
      <c r="BF15" s="604" t="s">
        <v>96</v>
      </c>
      <c r="BG15" s="604">
        <v>3527</v>
      </c>
      <c r="BH15" s="604" t="s">
        <v>445</v>
      </c>
      <c r="BJ15" s="542" t="str">
        <f t="shared" si="7"/>
        <v>25-29agefetal</v>
      </c>
      <c r="BK15" s="604" t="s">
        <v>131</v>
      </c>
      <c r="BL15" s="604" t="s">
        <v>453</v>
      </c>
      <c r="BM15" s="604">
        <v>493</v>
      </c>
      <c r="BN15" s="604">
        <v>79658</v>
      </c>
      <c r="BO15" s="604">
        <v>6.2</v>
      </c>
      <c r="BP15" s="604" t="s">
        <v>420</v>
      </c>
      <c r="BR15" s="547" t="str">
        <f t="shared" si="8"/>
        <v>28+ days&lt;20age</v>
      </c>
      <c r="BS15" s="604">
        <v>2016</v>
      </c>
      <c r="BT15" s="604" t="s">
        <v>117</v>
      </c>
      <c r="BU15" s="604" t="s">
        <v>339</v>
      </c>
      <c r="BV15" s="604" t="s">
        <v>453</v>
      </c>
      <c r="BW15" s="604">
        <v>10</v>
      </c>
      <c r="BY15" s="553" t="str">
        <f t="shared" si="9"/>
        <v>200140+ageSIDS</v>
      </c>
      <c r="BZ15" s="604">
        <v>2001</v>
      </c>
      <c r="CA15" s="604" t="s">
        <v>134</v>
      </c>
      <c r="CB15" s="604" t="s">
        <v>453</v>
      </c>
      <c r="CC15" s="604">
        <v>0</v>
      </c>
      <c r="CD15" s="604" t="s">
        <v>32</v>
      </c>
      <c r="CF15" s="554" t="str">
        <f t="shared" si="10"/>
        <v>2016Asian30-34ageSIDS</v>
      </c>
      <c r="CG15" s="604">
        <v>2016</v>
      </c>
      <c r="CH15" s="604" t="s">
        <v>355</v>
      </c>
      <c r="CI15" s="604" t="s">
        <v>132</v>
      </c>
      <c r="CJ15" s="604" t="s">
        <v>453</v>
      </c>
      <c r="CK15" s="604">
        <v>0</v>
      </c>
      <c r="CL15" s="604" t="s">
        <v>32</v>
      </c>
      <c r="CN15" s="575" t="str">
        <f t="shared" si="11"/>
        <v>2016AllChptrsfetal</v>
      </c>
      <c r="CO15" s="604">
        <v>2016</v>
      </c>
      <c r="CP15" s="604" t="s">
        <v>518</v>
      </c>
      <c r="CQ15" s="604">
        <v>413</v>
      </c>
      <c r="CR15" s="604">
        <v>100</v>
      </c>
      <c r="CS15" s="604">
        <v>6.7872899999999996</v>
      </c>
      <c r="CT15" s="604" t="s">
        <v>420</v>
      </c>
      <c r="CV15" s="575"/>
    </row>
    <row r="16" spans="1:106">
      <c r="A16" s="502" t="str">
        <f t="shared" si="0"/>
        <v>1999deathsEarly neonatal</v>
      </c>
      <c r="B16" s="604">
        <v>1999</v>
      </c>
      <c r="C16" s="604" t="s">
        <v>496</v>
      </c>
      <c r="D16" s="604" t="s">
        <v>41</v>
      </c>
      <c r="E16" s="604">
        <v>156</v>
      </c>
      <c r="F16" s="604">
        <v>57421</v>
      </c>
      <c r="G16" s="604" t="s">
        <v>119</v>
      </c>
      <c r="I16" s="578" t="str">
        <f t="shared" si="1"/>
        <v>2009OverallTotalFetal</v>
      </c>
      <c r="J16" s="604">
        <v>2009</v>
      </c>
      <c r="K16" s="604" t="s">
        <v>104</v>
      </c>
      <c r="L16" s="604" t="s">
        <v>44</v>
      </c>
      <c r="M16" s="604">
        <v>482</v>
      </c>
      <c r="N16" s="604">
        <v>63767</v>
      </c>
      <c r="O16" s="604">
        <v>7.6</v>
      </c>
      <c r="P16" s="604" t="s">
        <v>47</v>
      </c>
      <c r="Q16" s="499"/>
      <c r="R16" s="502" t="str">
        <f t="shared" si="2"/>
        <v>1997birthsbwtUnknown</v>
      </c>
      <c r="S16" s="604">
        <v>1997</v>
      </c>
      <c r="T16" s="604" t="s">
        <v>445</v>
      </c>
      <c r="U16" s="604" t="s">
        <v>447</v>
      </c>
      <c r="V16" s="604" t="s">
        <v>63</v>
      </c>
      <c r="W16" s="604">
        <v>74</v>
      </c>
      <c r="Y16" s="535" t="str">
        <f t="shared" si="3"/>
        <v>2016ethagePacific peoples30-34fetal</v>
      </c>
      <c r="Z16" s="604">
        <v>2016</v>
      </c>
      <c r="AA16" s="604" t="s">
        <v>449</v>
      </c>
      <c r="AB16" s="604" t="s">
        <v>453</v>
      </c>
      <c r="AC16" s="604" t="s">
        <v>320</v>
      </c>
      <c r="AD16" s="604" t="s">
        <v>132</v>
      </c>
      <c r="AE16" s="604">
        <v>11</v>
      </c>
      <c r="AF16" s="604">
        <v>1354</v>
      </c>
      <c r="AG16" s="604">
        <v>8.1</v>
      </c>
      <c r="AH16" s="604" t="s">
        <v>420</v>
      </c>
      <c r="AJ16" s="535" t="str">
        <f t="shared" si="4"/>
        <v>2016ethagePacific peoples30-34</v>
      </c>
      <c r="AK16" s="604">
        <v>2016</v>
      </c>
      <c r="AL16" s="604" t="s">
        <v>449</v>
      </c>
      <c r="AM16" s="604" t="s">
        <v>453</v>
      </c>
      <c r="AN16" s="604" t="s">
        <v>320</v>
      </c>
      <c r="AO16" s="604" t="s">
        <v>132</v>
      </c>
      <c r="AP16" s="604">
        <v>1354</v>
      </c>
      <c r="AR16" s="538" t="str">
        <f t="shared" si="5"/>
        <v>TotalOverallfetalHutt Valley</v>
      </c>
      <c r="AS16" s="604">
        <v>2016</v>
      </c>
      <c r="AT16" s="604" t="s">
        <v>44</v>
      </c>
      <c r="AU16" s="604" t="s">
        <v>104</v>
      </c>
      <c r="AV16" s="604" t="s">
        <v>97</v>
      </c>
      <c r="AW16" s="604">
        <v>7</v>
      </c>
      <c r="AX16" s="604">
        <v>2011</v>
      </c>
      <c r="AY16" s="606">
        <v>3.5</v>
      </c>
      <c r="AZ16" s="604" t="s">
        <v>420</v>
      </c>
      <c r="BB16" s="536" t="str">
        <f t="shared" si="6"/>
        <v>TotalOverallbirthsHutt Valley</v>
      </c>
      <c r="BC16" s="604">
        <v>2016</v>
      </c>
      <c r="BD16" s="604" t="s">
        <v>44</v>
      </c>
      <c r="BE16" s="604" t="s">
        <v>104</v>
      </c>
      <c r="BF16" s="604" t="s">
        <v>97</v>
      </c>
      <c r="BG16" s="604">
        <v>2004</v>
      </c>
      <c r="BH16" s="604" t="s">
        <v>445</v>
      </c>
      <c r="BJ16" s="542" t="str">
        <f t="shared" si="7"/>
        <v>30-34agefetal</v>
      </c>
      <c r="BK16" s="604" t="s">
        <v>132</v>
      </c>
      <c r="BL16" s="604" t="s">
        <v>453</v>
      </c>
      <c r="BM16" s="604">
        <v>562</v>
      </c>
      <c r="BN16" s="604">
        <v>88694</v>
      </c>
      <c r="BO16" s="604">
        <v>6.3</v>
      </c>
      <c r="BP16" s="604" t="s">
        <v>420</v>
      </c>
      <c r="BR16" s="547" t="str">
        <f t="shared" si="8"/>
        <v>28+ days20-24age</v>
      </c>
      <c r="BS16" s="604">
        <v>2016</v>
      </c>
      <c r="BT16" s="604" t="s">
        <v>117</v>
      </c>
      <c r="BU16" s="604" t="s">
        <v>130</v>
      </c>
      <c r="BV16" s="604" t="s">
        <v>453</v>
      </c>
      <c r="BW16" s="604">
        <v>19</v>
      </c>
      <c r="BY16" s="553" t="str">
        <f t="shared" si="9"/>
        <v>2001UnknownageSIDS</v>
      </c>
      <c r="BZ16" s="604">
        <v>2001</v>
      </c>
      <c r="CA16" s="604" t="s">
        <v>63</v>
      </c>
      <c r="CB16" s="604" t="s">
        <v>453</v>
      </c>
      <c r="CC16" s="604">
        <v>0</v>
      </c>
      <c r="CD16" s="604" t="s">
        <v>32</v>
      </c>
      <c r="CF16" s="554" t="str">
        <f t="shared" si="10"/>
        <v>2016European or Other30-34ageSIDS</v>
      </c>
      <c r="CG16" s="604">
        <v>2016</v>
      </c>
      <c r="CH16" s="604" t="s">
        <v>356</v>
      </c>
      <c r="CI16" s="604" t="s">
        <v>132</v>
      </c>
      <c r="CJ16" s="604" t="s">
        <v>453</v>
      </c>
      <c r="CK16" s="604">
        <v>1</v>
      </c>
      <c r="CL16" s="604" t="s">
        <v>32</v>
      </c>
      <c r="CN16" s="575" t="str">
        <f t="shared" si="11"/>
        <v>2016A00–B99infant</v>
      </c>
      <c r="CO16" s="604">
        <v>2016</v>
      </c>
      <c r="CP16" s="604" t="s">
        <v>498</v>
      </c>
      <c r="CQ16" s="604">
        <v>2</v>
      </c>
      <c r="CR16" s="604">
        <v>0.8</v>
      </c>
      <c r="CS16" s="604">
        <v>0.03</v>
      </c>
      <c r="CT16" s="604" t="s">
        <v>437</v>
      </c>
      <c r="CV16" s="575"/>
    </row>
    <row r="17" spans="1:100">
      <c r="A17" s="502" t="str">
        <f t="shared" si="0"/>
        <v>1999deathsLate neonatal</v>
      </c>
      <c r="B17" s="604">
        <v>1999</v>
      </c>
      <c r="C17" s="604" t="s">
        <v>496</v>
      </c>
      <c r="D17" s="604" t="s">
        <v>42</v>
      </c>
      <c r="E17" s="604">
        <v>26</v>
      </c>
      <c r="F17" s="604">
        <v>57421</v>
      </c>
      <c r="G17" s="604" t="s">
        <v>119</v>
      </c>
      <c r="I17" s="578" t="str">
        <f t="shared" si="1"/>
        <v>2010OverallTotalFetal</v>
      </c>
      <c r="J17" s="604">
        <v>2010</v>
      </c>
      <c r="K17" s="604" t="s">
        <v>104</v>
      </c>
      <c r="L17" s="604" t="s">
        <v>44</v>
      </c>
      <c r="M17" s="604">
        <v>469</v>
      </c>
      <c r="N17" s="604">
        <v>65168</v>
      </c>
      <c r="O17" s="604">
        <v>7.2</v>
      </c>
      <c r="P17" s="604" t="s">
        <v>47</v>
      </c>
      <c r="Q17" s="499"/>
      <c r="R17" s="502" t="str">
        <f t="shared" si="2"/>
        <v>1998birthsbwt&lt;500</v>
      </c>
      <c r="S17" s="604">
        <v>1998</v>
      </c>
      <c r="T17" s="604" t="s">
        <v>445</v>
      </c>
      <c r="U17" s="604" t="s">
        <v>447</v>
      </c>
      <c r="V17" s="604" t="s">
        <v>427</v>
      </c>
      <c r="W17" s="604">
        <v>19</v>
      </c>
      <c r="Y17" s="535" t="str">
        <f t="shared" si="3"/>
        <v>2016ethageAsian30-34fetal</v>
      </c>
      <c r="Z17" s="604">
        <v>2016</v>
      </c>
      <c r="AA17" s="604" t="s">
        <v>449</v>
      </c>
      <c r="AB17" s="604" t="s">
        <v>453</v>
      </c>
      <c r="AC17" s="604" t="s">
        <v>355</v>
      </c>
      <c r="AD17" s="604" t="s">
        <v>132</v>
      </c>
      <c r="AE17" s="604">
        <v>29</v>
      </c>
      <c r="AF17" s="604">
        <v>4523</v>
      </c>
      <c r="AG17" s="604">
        <v>6.4</v>
      </c>
      <c r="AH17" s="604" t="s">
        <v>420</v>
      </c>
      <c r="AJ17" s="535" t="str">
        <f t="shared" si="4"/>
        <v>2016ethageAsian30-34</v>
      </c>
      <c r="AK17" s="604">
        <v>2016</v>
      </c>
      <c r="AL17" s="604" t="s">
        <v>449</v>
      </c>
      <c r="AM17" s="604" t="s">
        <v>453</v>
      </c>
      <c r="AN17" s="604" t="s">
        <v>355</v>
      </c>
      <c r="AO17" s="604" t="s">
        <v>132</v>
      </c>
      <c r="AP17" s="604">
        <v>4523</v>
      </c>
      <c r="AR17" s="538" t="str">
        <f t="shared" si="5"/>
        <v>TotalOverallfetalWairarapa</v>
      </c>
      <c r="AS17" s="604">
        <v>2016</v>
      </c>
      <c r="AT17" s="604" t="s">
        <v>44</v>
      </c>
      <c r="AU17" s="604" t="s">
        <v>104</v>
      </c>
      <c r="AV17" s="604" t="s">
        <v>98</v>
      </c>
      <c r="AW17" s="604">
        <v>5</v>
      </c>
      <c r="AX17" s="604">
        <v>486</v>
      </c>
      <c r="AY17" s="606">
        <v>10.3</v>
      </c>
      <c r="AZ17" s="604" t="s">
        <v>420</v>
      </c>
      <c r="BB17" s="536" t="str">
        <f t="shared" si="6"/>
        <v>TotalOverallbirthsWairarapa</v>
      </c>
      <c r="BC17" s="604">
        <v>2016</v>
      </c>
      <c r="BD17" s="604" t="s">
        <v>44</v>
      </c>
      <c r="BE17" s="604" t="s">
        <v>104</v>
      </c>
      <c r="BF17" s="604" t="s">
        <v>98</v>
      </c>
      <c r="BG17" s="604">
        <v>481</v>
      </c>
      <c r="BH17" s="604" t="s">
        <v>445</v>
      </c>
      <c r="BJ17" s="542" t="str">
        <f t="shared" si="7"/>
        <v>35-39agefetal</v>
      </c>
      <c r="BK17" s="604" t="s">
        <v>133</v>
      </c>
      <c r="BL17" s="604" t="s">
        <v>453</v>
      </c>
      <c r="BM17" s="604">
        <v>401</v>
      </c>
      <c r="BN17" s="604">
        <v>51996</v>
      </c>
      <c r="BO17" s="604">
        <v>7.7</v>
      </c>
      <c r="BP17" s="604" t="s">
        <v>420</v>
      </c>
      <c r="BR17" s="547" t="str">
        <f t="shared" si="8"/>
        <v>28+ days25-29age</v>
      </c>
      <c r="BS17" s="604">
        <v>2016</v>
      </c>
      <c r="BT17" s="604" t="s">
        <v>117</v>
      </c>
      <c r="BU17" s="604" t="s">
        <v>131</v>
      </c>
      <c r="BV17" s="604" t="s">
        <v>453</v>
      </c>
      <c r="BW17" s="604">
        <v>22</v>
      </c>
      <c r="BY17" s="553" t="str">
        <f t="shared" si="9"/>
        <v>2002&lt;20ageSIDS</v>
      </c>
      <c r="BZ17" s="604">
        <v>2002</v>
      </c>
      <c r="CA17" s="604" t="s">
        <v>339</v>
      </c>
      <c r="CB17" s="604" t="s">
        <v>453</v>
      </c>
      <c r="CC17" s="604">
        <v>3</v>
      </c>
      <c r="CD17" s="604" t="s">
        <v>32</v>
      </c>
      <c r="CF17" s="554" t="str">
        <f t="shared" si="10"/>
        <v>2016Maori30-34ageSIDS</v>
      </c>
      <c r="CG17" s="604">
        <v>2016</v>
      </c>
      <c r="CH17" s="604" t="s">
        <v>129</v>
      </c>
      <c r="CI17" s="604" t="s">
        <v>132</v>
      </c>
      <c r="CJ17" s="604" t="s">
        <v>453</v>
      </c>
      <c r="CK17" s="604">
        <v>3</v>
      </c>
      <c r="CL17" s="604" t="s">
        <v>32</v>
      </c>
      <c r="CN17" s="575" t="str">
        <f t="shared" si="11"/>
        <v>2016C00–D48infant</v>
      </c>
      <c r="CO17" s="604">
        <v>2016</v>
      </c>
      <c r="CP17" s="604" t="s">
        <v>499</v>
      </c>
      <c r="CQ17" s="604">
        <v>2</v>
      </c>
      <c r="CR17" s="604">
        <v>0.8</v>
      </c>
      <c r="CS17" s="604">
        <v>0.03</v>
      </c>
      <c r="CT17" s="604" t="s">
        <v>437</v>
      </c>
      <c r="CV17" s="575"/>
    </row>
    <row r="18" spans="1:100">
      <c r="A18" s="502" t="str">
        <f t="shared" si="0"/>
        <v>1999deathsPost-neonatal</v>
      </c>
      <c r="B18" s="604">
        <v>1999</v>
      </c>
      <c r="C18" s="604" t="s">
        <v>496</v>
      </c>
      <c r="D18" s="604" t="s">
        <v>43</v>
      </c>
      <c r="E18" s="604">
        <v>153</v>
      </c>
      <c r="F18" s="604">
        <v>57421</v>
      </c>
      <c r="G18" s="604">
        <v>2.7</v>
      </c>
      <c r="I18" s="578" t="str">
        <f t="shared" si="1"/>
        <v>2011OverallTotalFetal</v>
      </c>
      <c r="J18" s="604">
        <v>2011</v>
      </c>
      <c r="K18" s="604" t="s">
        <v>104</v>
      </c>
      <c r="L18" s="604" t="s">
        <v>44</v>
      </c>
      <c r="M18" s="604">
        <v>451</v>
      </c>
      <c r="N18" s="604">
        <v>62625</v>
      </c>
      <c r="O18" s="604">
        <v>7.2</v>
      </c>
      <c r="P18" s="604" t="s">
        <v>47</v>
      </c>
      <c r="Q18" s="499"/>
      <c r="R18" s="502" t="str">
        <f t="shared" si="2"/>
        <v>1998birthsbwt500-999</v>
      </c>
      <c r="S18" s="604">
        <v>1998</v>
      </c>
      <c r="T18" s="604" t="s">
        <v>445</v>
      </c>
      <c r="U18" s="604" t="s">
        <v>447</v>
      </c>
      <c r="V18" s="604" t="s">
        <v>428</v>
      </c>
      <c r="W18" s="604">
        <v>110</v>
      </c>
      <c r="Y18" s="535" t="str">
        <f t="shared" si="3"/>
        <v>2016ethageEuropean or Other30-34fetal</v>
      </c>
      <c r="Z18" s="604">
        <v>2016</v>
      </c>
      <c r="AA18" s="604" t="s">
        <v>449</v>
      </c>
      <c r="AB18" s="604" t="s">
        <v>453</v>
      </c>
      <c r="AC18" s="604" t="s">
        <v>356</v>
      </c>
      <c r="AD18" s="604" t="s">
        <v>132</v>
      </c>
      <c r="AE18" s="604">
        <v>52</v>
      </c>
      <c r="AF18" s="604">
        <v>9329</v>
      </c>
      <c r="AG18" s="604">
        <v>5.5</v>
      </c>
      <c r="AH18" s="604" t="s">
        <v>420</v>
      </c>
      <c r="AJ18" s="535" t="str">
        <f t="shared" si="4"/>
        <v>2016ethageEuropean or Other30-34</v>
      </c>
      <c r="AK18" s="604">
        <v>2016</v>
      </c>
      <c r="AL18" s="604" t="s">
        <v>449</v>
      </c>
      <c r="AM18" s="604" t="s">
        <v>453</v>
      </c>
      <c r="AN18" s="604" t="s">
        <v>356</v>
      </c>
      <c r="AO18" s="604" t="s">
        <v>132</v>
      </c>
      <c r="AP18" s="604">
        <v>9329</v>
      </c>
      <c r="AR18" s="538" t="str">
        <f t="shared" si="5"/>
        <v>TotalOverallfetalNelson Marlborough</v>
      </c>
      <c r="AS18" s="604">
        <v>2016</v>
      </c>
      <c r="AT18" s="604" t="s">
        <v>44</v>
      </c>
      <c r="AU18" s="604" t="s">
        <v>104</v>
      </c>
      <c r="AV18" s="604" t="s">
        <v>99</v>
      </c>
      <c r="AW18" s="604">
        <v>4</v>
      </c>
      <c r="AX18" s="604">
        <v>1543</v>
      </c>
      <c r="AY18" s="606">
        <v>2.6</v>
      </c>
      <c r="AZ18" s="604" t="s">
        <v>420</v>
      </c>
      <c r="BB18" s="536" t="str">
        <f t="shared" si="6"/>
        <v>TotalOverallbirthsNelson Marlborough</v>
      </c>
      <c r="BC18" s="604">
        <v>2016</v>
      </c>
      <c r="BD18" s="604" t="s">
        <v>44</v>
      </c>
      <c r="BE18" s="604" t="s">
        <v>104</v>
      </c>
      <c r="BF18" s="604" t="s">
        <v>99</v>
      </c>
      <c r="BG18" s="604">
        <v>1539</v>
      </c>
      <c r="BH18" s="604" t="s">
        <v>445</v>
      </c>
      <c r="BJ18" s="542" t="str">
        <f t="shared" si="7"/>
        <v>40+agefetal</v>
      </c>
      <c r="BK18" s="604" t="s">
        <v>134</v>
      </c>
      <c r="BL18" s="604" t="s">
        <v>453</v>
      </c>
      <c r="BM18" s="604">
        <v>137</v>
      </c>
      <c r="BN18" s="604">
        <v>13066</v>
      </c>
      <c r="BO18" s="604">
        <v>10.5</v>
      </c>
      <c r="BP18" s="604" t="s">
        <v>420</v>
      </c>
      <c r="BR18" s="547" t="str">
        <f t="shared" si="8"/>
        <v>28+ days30-34age</v>
      </c>
      <c r="BS18" s="604">
        <v>2016</v>
      </c>
      <c r="BT18" s="604" t="s">
        <v>117</v>
      </c>
      <c r="BU18" s="604" t="s">
        <v>132</v>
      </c>
      <c r="BV18" s="604" t="s">
        <v>453</v>
      </c>
      <c r="BW18" s="604">
        <v>18</v>
      </c>
      <c r="BY18" s="553" t="str">
        <f t="shared" si="9"/>
        <v>200220-24ageSIDS</v>
      </c>
      <c r="BZ18" s="604">
        <v>2002</v>
      </c>
      <c r="CA18" s="604" t="s">
        <v>130</v>
      </c>
      <c r="CB18" s="604" t="s">
        <v>453</v>
      </c>
      <c r="CC18" s="604">
        <v>13</v>
      </c>
      <c r="CD18" s="604" t="s">
        <v>32</v>
      </c>
      <c r="CF18" s="554" t="str">
        <f t="shared" si="10"/>
        <v>2016Pacific peoples30-34ageSIDS</v>
      </c>
      <c r="CG18" s="604">
        <v>2016</v>
      </c>
      <c r="CH18" s="604" t="s">
        <v>320</v>
      </c>
      <c r="CI18" s="604" t="s">
        <v>132</v>
      </c>
      <c r="CJ18" s="604" t="s">
        <v>453</v>
      </c>
      <c r="CK18" s="604">
        <v>0</v>
      </c>
      <c r="CL18" s="604" t="s">
        <v>32</v>
      </c>
      <c r="CN18" s="575" t="str">
        <f t="shared" si="11"/>
        <v>2016D50–D89infant</v>
      </c>
      <c r="CO18" s="604">
        <v>2016</v>
      </c>
      <c r="CP18" s="604" t="s">
        <v>500</v>
      </c>
      <c r="CQ18" s="604">
        <v>2</v>
      </c>
      <c r="CR18" s="604">
        <v>0.8</v>
      </c>
      <c r="CS18" s="604">
        <v>0.03</v>
      </c>
      <c r="CT18" s="604" t="s">
        <v>437</v>
      </c>
      <c r="CV18" s="575"/>
    </row>
    <row r="19" spans="1:100">
      <c r="A19" s="502" t="str">
        <f t="shared" si="0"/>
        <v>2000deathsFetal</v>
      </c>
      <c r="B19" s="604">
        <v>2000</v>
      </c>
      <c r="C19" s="604" t="s">
        <v>496</v>
      </c>
      <c r="D19" s="604" t="s">
        <v>47</v>
      </c>
      <c r="E19" s="604">
        <v>369</v>
      </c>
      <c r="F19" s="604">
        <v>57363</v>
      </c>
      <c r="G19" s="604">
        <v>6.4</v>
      </c>
      <c r="I19" s="578" t="str">
        <f t="shared" si="1"/>
        <v>2012OverallTotalFetal</v>
      </c>
      <c r="J19" s="604">
        <v>2012</v>
      </c>
      <c r="K19" s="604" t="s">
        <v>104</v>
      </c>
      <c r="L19" s="604" t="s">
        <v>44</v>
      </c>
      <c r="M19" s="604">
        <v>448</v>
      </c>
      <c r="N19" s="604">
        <v>62483</v>
      </c>
      <c r="O19" s="604">
        <v>7.2</v>
      </c>
      <c r="P19" s="604" t="s">
        <v>47</v>
      </c>
      <c r="Q19" s="499"/>
      <c r="R19" s="502" t="str">
        <f t="shared" si="2"/>
        <v>1998birthsbwt1000-1499</v>
      </c>
      <c r="S19" s="604">
        <v>1998</v>
      </c>
      <c r="T19" s="604" t="s">
        <v>445</v>
      </c>
      <c r="U19" s="604" t="s">
        <v>447</v>
      </c>
      <c r="V19" s="604" t="s">
        <v>429</v>
      </c>
      <c r="W19" s="604">
        <v>161</v>
      </c>
      <c r="Y19" s="535" t="str">
        <f t="shared" si="3"/>
        <v>2016ethageMaori35-39fetal</v>
      </c>
      <c r="Z19" s="604">
        <v>2016</v>
      </c>
      <c r="AA19" s="604" t="s">
        <v>449</v>
      </c>
      <c r="AB19" s="604" t="s">
        <v>453</v>
      </c>
      <c r="AC19" s="604" t="s">
        <v>129</v>
      </c>
      <c r="AD19" s="604" t="s">
        <v>133</v>
      </c>
      <c r="AE19" s="604">
        <v>12</v>
      </c>
      <c r="AF19" s="604">
        <v>1805</v>
      </c>
      <c r="AG19" s="604">
        <v>6.6</v>
      </c>
      <c r="AH19" s="604" t="s">
        <v>420</v>
      </c>
      <c r="AJ19" s="535" t="str">
        <f t="shared" si="4"/>
        <v>2016ethageMaori35-39</v>
      </c>
      <c r="AK19" s="604">
        <v>2016</v>
      </c>
      <c r="AL19" s="604" t="s">
        <v>449</v>
      </c>
      <c r="AM19" s="604" t="s">
        <v>453</v>
      </c>
      <c r="AN19" s="604" t="s">
        <v>129</v>
      </c>
      <c r="AO19" s="604" t="s">
        <v>133</v>
      </c>
      <c r="AP19" s="604">
        <v>1805</v>
      </c>
      <c r="AR19" s="538" t="str">
        <f t="shared" si="5"/>
        <v>TotalOverallfetalWest Coast</v>
      </c>
      <c r="AS19" s="604">
        <v>2016</v>
      </c>
      <c r="AT19" s="604" t="s">
        <v>44</v>
      </c>
      <c r="AU19" s="604" t="s">
        <v>104</v>
      </c>
      <c r="AV19" s="604" t="s">
        <v>100</v>
      </c>
      <c r="AW19" s="604">
        <v>8</v>
      </c>
      <c r="AX19" s="604">
        <v>335</v>
      </c>
      <c r="AY19" s="606">
        <v>23.9</v>
      </c>
      <c r="AZ19" s="604" t="s">
        <v>420</v>
      </c>
      <c r="BB19" s="536" t="str">
        <f t="shared" si="6"/>
        <v>TotalOverallbirthsWest Coast</v>
      </c>
      <c r="BC19" s="604">
        <v>2016</v>
      </c>
      <c r="BD19" s="604" t="s">
        <v>44</v>
      </c>
      <c r="BE19" s="604" t="s">
        <v>104</v>
      </c>
      <c r="BF19" s="604" t="s">
        <v>100</v>
      </c>
      <c r="BG19" s="604">
        <v>327</v>
      </c>
      <c r="BH19" s="604" t="s">
        <v>445</v>
      </c>
      <c r="BJ19" s="542" t="str">
        <f t="shared" si="7"/>
        <v>Quin 1depinfant</v>
      </c>
      <c r="BK19" s="604" t="s">
        <v>421</v>
      </c>
      <c r="BL19" s="604" t="s">
        <v>454</v>
      </c>
      <c r="BM19" s="604">
        <v>120</v>
      </c>
      <c r="BN19" s="604">
        <v>42524</v>
      </c>
      <c r="BO19" s="604">
        <v>2.8</v>
      </c>
      <c r="BP19" s="604" t="s">
        <v>437</v>
      </c>
      <c r="BR19" s="547" t="str">
        <f t="shared" si="8"/>
        <v>28+ days35-39age</v>
      </c>
      <c r="BS19" s="604">
        <v>2016</v>
      </c>
      <c r="BT19" s="604" t="s">
        <v>117</v>
      </c>
      <c r="BU19" s="604" t="s">
        <v>133</v>
      </c>
      <c r="BV19" s="604" t="s">
        <v>453</v>
      </c>
      <c r="BW19" s="604">
        <v>7</v>
      </c>
      <c r="BY19" s="553" t="str">
        <f t="shared" si="9"/>
        <v>200225-29ageSIDS</v>
      </c>
      <c r="BZ19" s="604">
        <v>2002</v>
      </c>
      <c r="CA19" s="604" t="s">
        <v>131</v>
      </c>
      <c r="CB19" s="604" t="s">
        <v>453</v>
      </c>
      <c r="CC19" s="604">
        <v>9</v>
      </c>
      <c r="CD19" s="604" t="s">
        <v>32</v>
      </c>
      <c r="CF19" s="554" t="str">
        <f t="shared" si="10"/>
        <v>2016Asian35-39ageSIDS</v>
      </c>
      <c r="CG19" s="604">
        <v>2016</v>
      </c>
      <c r="CH19" s="604" t="s">
        <v>355</v>
      </c>
      <c r="CI19" s="604" t="s">
        <v>133</v>
      </c>
      <c r="CJ19" s="604" t="s">
        <v>453</v>
      </c>
      <c r="CK19" s="604">
        <v>0</v>
      </c>
      <c r="CL19" s="604" t="s">
        <v>32</v>
      </c>
      <c r="CN19" s="575" t="str">
        <f t="shared" si="11"/>
        <v>2016E00–E89infant</v>
      </c>
      <c r="CO19" s="604">
        <v>2016</v>
      </c>
      <c r="CP19" s="604" t="s">
        <v>501</v>
      </c>
      <c r="CQ19" s="604">
        <v>3</v>
      </c>
      <c r="CR19" s="604">
        <v>1.2</v>
      </c>
      <c r="CS19" s="604">
        <v>0.05</v>
      </c>
      <c r="CT19" s="604" t="s">
        <v>437</v>
      </c>
      <c r="CV19" s="575"/>
    </row>
    <row r="20" spans="1:100">
      <c r="A20" s="502" t="str">
        <f t="shared" si="0"/>
        <v>2000deathsEarly neonatal</v>
      </c>
      <c r="B20" s="604">
        <v>2000</v>
      </c>
      <c r="C20" s="604" t="s">
        <v>496</v>
      </c>
      <c r="D20" s="604" t="s">
        <v>41</v>
      </c>
      <c r="E20" s="604">
        <v>174</v>
      </c>
      <c r="F20" s="604">
        <v>56994</v>
      </c>
      <c r="G20" s="604" t="s">
        <v>119</v>
      </c>
      <c r="I20" s="578" t="str">
        <f t="shared" si="1"/>
        <v>2013OverallTotalFetal</v>
      </c>
      <c r="J20" s="604">
        <v>2013</v>
      </c>
      <c r="K20" s="604" t="s">
        <v>104</v>
      </c>
      <c r="L20" s="604" t="s">
        <v>44</v>
      </c>
      <c r="M20" s="604">
        <v>393</v>
      </c>
      <c r="N20" s="604">
        <v>60094</v>
      </c>
      <c r="O20" s="604">
        <v>6.5</v>
      </c>
      <c r="P20" s="604" t="s">
        <v>47</v>
      </c>
      <c r="Q20" s="499"/>
      <c r="R20" s="502" t="str">
        <f t="shared" si="2"/>
        <v>1998birthsbwt1500-2499</v>
      </c>
      <c r="S20" s="604">
        <v>1998</v>
      </c>
      <c r="T20" s="604" t="s">
        <v>445</v>
      </c>
      <c r="U20" s="604" t="s">
        <v>447</v>
      </c>
      <c r="V20" s="604" t="s">
        <v>430</v>
      </c>
      <c r="W20" s="604">
        <v>1447</v>
      </c>
      <c r="Y20" s="535" t="str">
        <f t="shared" si="3"/>
        <v>2016ethagePacific peoples35-39fetal</v>
      </c>
      <c r="Z20" s="604">
        <v>2016</v>
      </c>
      <c r="AA20" s="604" t="s">
        <v>449</v>
      </c>
      <c r="AB20" s="604" t="s">
        <v>453</v>
      </c>
      <c r="AC20" s="604" t="s">
        <v>320</v>
      </c>
      <c r="AD20" s="604" t="s">
        <v>133</v>
      </c>
      <c r="AE20" s="604">
        <v>6</v>
      </c>
      <c r="AF20" s="604">
        <v>795</v>
      </c>
      <c r="AG20" s="604">
        <v>7.5</v>
      </c>
      <c r="AH20" s="604" t="s">
        <v>420</v>
      </c>
      <c r="AJ20" s="535" t="str">
        <f t="shared" si="4"/>
        <v>2016ethagePacific peoples35-39</v>
      </c>
      <c r="AK20" s="604">
        <v>2016</v>
      </c>
      <c r="AL20" s="604" t="s">
        <v>449</v>
      </c>
      <c r="AM20" s="604" t="s">
        <v>453</v>
      </c>
      <c r="AN20" s="604" t="s">
        <v>320</v>
      </c>
      <c r="AO20" s="604" t="s">
        <v>133</v>
      </c>
      <c r="AP20" s="604">
        <v>795</v>
      </c>
      <c r="AR20" s="538" t="str">
        <f t="shared" si="5"/>
        <v>TotalOverallfetalCanterbury</v>
      </c>
      <c r="AS20" s="604">
        <v>2016</v>
      </c>
      <c r="AT20" s="604" t="s">
        <v>44</v>
      </c>
      <c r="AU20" s="604" t="s">
        <v>104</v>
      </c>
      <c r="AV20" s="604" t="s">
        <v>101</v>
      </c>
      <c r="AW20" s="604">
        <v>44</v>
      </c>
      <c r="AX20" s="604">
        <v>6443</v>
      </c>
      <c r="AY20" s="606">
        <v>6.8</v>
      </c>
      <c r="AZ20" s="604" t="s">
        <v>420</v>
      </c>
      <c r="BB20" s="536" t="str">
        <f t="shared" si="6"/>
        <v>TotalOverallbirthsCanterbury</v>
      </c>
      <c r="BC20" s="604">
        <v>2016</v>
      </c>
      <c r="BD20" s="604" t="s">
        <v>44</v>
      </c>
      <c r="BE20" s="604" t="s">
        <v>104</v>
      </c>
      <c r="BF20" s="604" t="s">
        <v>101</v>
      </c>
      <c r="BG20" s="604">
        <v>6399</v>
      </c>
      <c r="BH20" s="604" t="s">
        <v>445</v>
      </c>
      <c r="BJ20" s="542" t="str">
        <f t="shared" si="7"/>
        <v>Quin 2depinfant</v>
      </c>
      <c r="BK20" s="604" t="s">
        <v>422</v>
      </c>
      <c r="BL20" s="604" t="s">
        <v>454</v>
      </c>
      <c r="BM20" s="604">
        <v>152</v>
      </c>
      <c r="BN20" s="604">
        <v>47098</v>
      </c>
      <c r="BO20" s="604">
        <v>3.2</v>
      </c>
      <c r="BP20" s="604" t="s">
        <v>437</v>
      </c>
      <c r="BR20" s="547" t="str">
        <f t="shared" si="8"/>
        <v>28+ days40+age</v>
      </c>
      <c r="BS20" s="604">
        <v>2016</v>
      </c>
      <c r="BT20" s="604" t="s">
        <v>117</v>
      </c>
      <c r="BU20" s="604" t="s">
        <v>134</v>
      </c>
      <c r="BV20" s="604" t="s">
        <v>453</v>
      </c>
      <c r="BW20" s="604">
        <v>3</v>
      </c>
      <c r="BY20" s="553" t="str">
        <f t="shared" si="9"/>
        <v>200230-34ageSIDS</v>
      </c>
      <c r="BZ20" s="604">
        <v>2002</v>
      </c>
      <c r="CA20" s="604" t="s">
        <v>132</v>
      </c>
      <c r="CB20" s="604" t="s">
        <v>453</v>
      </c>
      <c r="CC20" s="604">
        <v>11</v>
      </c>
      <c r="CD20" s="604" t="s">
        <v>32</v>
      </c>
      <c r="CF20" s="554" t="str">
        <f t="shared" si="10"/>
        <v>2016European or Other35-39ageSIDS</v>
      </c>
      <c r="CG20" s="604">
        <v>2016</v>
      </c>
      <c r="CH20" s="604" t="s">
        <v>356</v>
      </c>
      <c r="CI20" s="604" t="s">
        <v>133</v>
      </c>
      <c r="CJ20" s="604" t="s">
        <v>453</v>
      </c>
      <c r="CK20" s="604">
        <v>0</v>
      </c>
      <c r="CL20" s="604" t="s">
        <v>32</v>
      </c>
      <c r="CN20" s="575" t="str">
        <f t="shared" si="11"/>
        <v>2016G00–G99infant</v>
      </c>
      <c r="CO20" s="604">
        <v>2016</v>
      </c>
      <c r="CP20" s="604" t="s">
        <v>503</v>
      </c>
      <c r="CQ20" s="604">
        <v>2</v>
      </c>
      <c r="CR20" s="604">
        <v>0.8</v>
      </c>
      <c r="CS20" s="604">
        <v>0.03</v>
      </c>
      <c r="CT20" s="604" t="s">
        <v>437</v>
      </c>
      <c r="CV20" s="575"/>
    </row>
    <row r="21" spans="1:100">
      <c r="A21" s="502" t="str">
        <f t="shared" si="0"/>
        <v>2000deathsLate neonatal</v>
      </c>
      <c r="B21" s="604">
        <v>2000</v>
      </c>
      <c r="C21" s="604" t="s">
        <v>496</v>
      </c>
      <c r="D21" s="604" t="s">
        <v>42</v>
      </c>
      <c r="E21" s="604">
        <v>42</v>
      </c>
      <c r="F21" s="604">
        <v>56994</v>
      </c>
      <c r="G21" s="604" t="s">
        <v>119</v>
      </c>
      <c r="I21" s="578" t="str">
        <f t="shared" si="1"/>
        <v>2014OverallTotalFetal</v>
      </c>
      <c r="J21" s="604">
        <v>2014</v>
      </c>
      <c r="K21" s="604" t="s">
        <v>104</v>
      </c>
      <c r="L21" s="604" t="s">
        <v>44</v>
      </c>
      <c r="M21" s="604">
        <v>447</v>
      </c>
      <c r="N21" s="604">
        <v>58732</v>
      </c>
      <c r="O21" s="604">
        <v>7.6</v>
      </c>
      <c r="P21" s="604" t="s">
        <v>47</v>
      </c>
      <c r="Q21" s="499"/>
      <c r="R21" s="502" t="str">
        <f t="shared" si="2"/>
        <v>1998birthsbwt2500-4499</v>
      </c>
      <c r="S21" s="604">
        <v>1998</v>
      </c>
      <c r="T21" s="604" t="s">
        <v>445</v>
      </c>
      <c r="U21" s="604" t="s">
        <v>447</v>
      </c>
      <c r="V21" s="604" t="s">
        <v>431</v>
      </c>
      <c r="W21" s="604">
        <v>25477</v>
      </c>
      <c r="Y21" s="535" t="str">
        <f t="shared" si="3"/>
        <v>2016ethageAsian35-39fetal</v>
      </c>
      <c r="Z21" s="604">
        <v>2016</v>
      </c>
      <c r="AA21" s="604" t="s">
        <v>449</v>
      </c>
      <c r="AB21" s="604" t="s">
        <v>453</v>
      </c>
      <c r="AC21" s="604" t="s">
        <v>355</v>
      </c>
      <c r="AD21" s="604" t="s">
        <v>133</v>
      </c>
      <c r="AE21" s="604">
        <v>16</v>
      </c>
      <c r="AF21" s="604">
        <v>1938</v>
      </c>
      <c r="AG21" s="604">
        <v>8.1999999999999993</v>
      </c>
      <c r="AH21" s="604" t="s">
        <v>420</v>
      </c>
      <c r="AJ21" s="535" t="str">
        <f t="shared" si="4"/>
        <v>2016ethageAsian35-39</v>
      </c>
      <c r="AK21" s="604">
        <v>2016</v>
      </c>
      <c r="AL21" s="604" t="s">
        <v>449</v>
      </c>
      <c r="AM21" s="604" t="s">
        <v>453</v>
      </c>
      <c r="AN21" s="604" t="s">
        <v>355</v>
      </c>
      <c r="AO21" s="604" t="s">
        <v>133</v>
      </c>
      <c r="AP21" s="604">
        <v>1938</v>
      </c>
      <c r="AR21" s="538" t="str">
        <f t="shared" si="5"/>
        <v>TotalOverallfetalSouth Canterbury</v>
      </c>
      <c r="AS21" s="604">
        <v>2016</v>
      </c>
      <c r="AT21" s="604" t="s">
        <v>44</v>
      </c>
      <c r="AU21" s="604" t="s">
        <v>104</v>
      </c>
      <c r="AV21" s="604" t="s">
        <v>102</v>
      </c>
      <c r="AW21" s="604">
        <v>3</v>
      </c>
      <c r="AX21" s="604">
        <v>644</v>
      </c>
      <c r="AY21" s="606">
        <v>4.7</v>
      </c>
      <c r="AZ21" s="604" t="s">
        <v>420</v>
      </c>
      <c r="BB21" s="536" t="str">
        <f t="shared" si="6"/>
        <v>TotalOverallbirthsSouth Canterbury</v>
      </c>
      <c r="BC21" s="604">
        <v>2016</v>
      </c>
      <c r="BD21" s="604" t="s">
        <v>44</v>
      </c>
      <c r="BE21" s="604" t="s">
        <v>104</v>
      </c>
      <c r="BF21" s="604" t="s">
        <v>102</v>
      </c>
      <c r="BG21" s="604">
        <v>641</v>
      </c>
      <c r="BH21" s="604" t="s">
        <v>445</v>
      </c>
      <c r="BJ21" s="542" t="str">
        <f t="shared" si="7"/>
        <v>Quin 3depinfant</v>
      </c>
      <c r="BK21" s="604" t="s">
        <v>423</v>
      </c>
      <c r="BL21" s="604" t="s">
        <v>454</v>
      </c>
      <c r="BM21" s="604">
        <v>234</v>
      </c>
      <c r="BN21" s="604">
        <v>53106</v>
      </c>
      <c r="BO21" s="604">
        <v>4.4000000000000004</v>
      </c>
      <c r="BP21" s="604" t="s">
        <v>437</v>
      </c>
      <c r="BR21" s="547" t="str">
        <f t="shared" si="8"/>
        <v>28+ daysUnknownage</v>
      </c>
      <c r="BS21" s="604">
        <v>2016</v>
      </c>
      <c r="BT21" s="604" t="s">
        <v>117</v>
      </c>
      <c r="BU21" s="604" t="s">
        <v>63</v>
      </c>
      <c r="BV21" s="604" t="s">
        <v>453</v>
      </c>
      <c r="BW21" s="604">
        <v>1</v>
      </c>
      <c r="BY21" s="553" t="str">
        <f t="shared" si="9"/>
        <v>200235-39ageSIDS</v>
      </c>
      <c r="BZ21" s="604">
        <v>2002</v>
      </c>
      <c r="CA21" s="604" t="s">
        <v>133</v>
      </c>
      <c r="CB21" s="604" t="s">
        <v>453</v>
      </c>
      <c r="CC21" s="604">
        <v>7</v>
      </c>
      <c r="CD21" s="604" t="s">
        <v>32</v>
      </c>
      <c r="CF21" s="554" t="str">
        <f t="shared" si="10"/>
        <v>2016Maori35-39ageSIDS</v>
      </c>
      <c r="CG21" s="604">
        <v>2016</v>
      </c>
      <c r="CH21" s="604" t="s">
        <v>129</v>
      </c>
      <c r="CI21" s="604" t="s">
        <v>133</v>
      </c>
      <c r="CJ21" s="604" t="s">
        <v>453</v>
      </c>
      <c r="CK21" s="604">
        <v>0</v>
      </c>
      <c r="CL21" s="604" t="s">
        <v>32</v>
      </c>
      <c r="CN21" s="575" t="str">
        <f t="shared" si="11"/>
        <v>2016I00–I99infant</v>
      </c>
      <c r="CO21" s="604">
        <v>2016</v>
      </c>
      <c r="CP21" s="604" t="s">
        <v>506</v>
      </c>
      <c r="CQ21" s="604">
        <v>1</v>
      </c>
      <c r="CR21" s="604">
        <v>0.4</v>
      </c>
      <c r="CS21" s="604">
        <v>0.02</v>
      </c>
      <c r="CT21" s="604" t="s">
        <v>437</v>
      </c>
      <c r="CV21" s="575"/>
    </row>
    <row r="22" spans="1:100">
      <c r="A22" s="502" t="str">
        <f t="shared" si="0"/>
        <v>2000deathsPost-neonatal</v>
      </c>
      <c r="B22" s="604">
        <v>2000</v>
      </c>
      <c r="C22" s="604" t="s">
        <v>496</v>
      </c>
      <c r="D22" s="604" t="s">
        <v>43</v>
      </c>
      <c r="E22" s="604">
        <v>143</v>
      </c>
      <c r="F22" s="604">
        <v>56994</v>
      </c>
      <c r="G22" s="604">
        <v>2.5</v>
      </c>
      <c r="I22" s="578" t="str">
        <f t="shared" si="1"/>
        <v>2015OverallTotalFetal</v>
      </c>
      <c r="J22" s="604">
        <v>2015</v>
      </c>
      <c r="K22" s="604" t="s">
        <v>104</v>
      </c>
      <c r="L22" s="604" t="s">
        <v>44</v>
      </c>
      <c r="M22" s="604">
        <v>384</v>
      </c>
      <c r="N22" s="604">
        <v>62506</v>
      </c>
      <c r="O22" s="604">
        <v>6.1</v>
      </c>
      <c r="P22" s="604" t="s">
        <v>47</v>
      </c>
      <c r="Q22" s="499"/>
      <c r="R22" s="502" t="str">
        <f t="shared" si="2"/>
        <v>1998birthsbwt4500+</v>
      </c>
      <c r="S22" s="604">
        <v>1998</v>
      </c>
      <c r="T22" s="604" t="s">
        <v>445</v>
      </c>
      <c r="U22" s="604" t="s">
        <v>447</v>
      </c>
      <c r="V22" s="604" t="s">
        <v>432</v>
      </c>
      <c r="W22" s="604">
        <v>653</v>
      </c>
      <c r="Y22" s="535" t="str">
        <f t="shared" si="3"/>
        <v>2016ethageEuropean or Other35-39fetal</v>
      </c>
      <c r="Z22" s="604">
        <v>2016</v>
      </c>
      <c r="AA22" s="604" t="s">
        <v>449</v>
      </c>
      <c r="AB22" s="604" t="s">
        <v>453</v>
      </c>
      <c r="AC22" s="604" t="s">
        <v>356</v>
      </c>
      <c r="AD22" s="604" t="s">
        <v>133</v>
      </c>
      <c r="AE22" s="604">
        <v>36</v>
      </c>
      <c r="AF22" s="604">
        <v>5567</v>
      </c>
      <c r="AG22" s="604">
        <v>6.4</v>
      </c>
      <c r="AH22" s="604" t="s">
        <v>420</v>
      </c>
      <c r="AJ22" s="535" t="str">
        <f t="shared" si="4"/>
        <v>2016ethageEuropean or Other35-39</v>
      </c>
      <c r="AK22" s="604">
        <v>2016</v>
      </c>
      <c r="AL22" s="604" t="s">
        <v>449</v>
      </c>
      <c r="AM22" s="604" t="s">
        <v>453</v>
      </c>
      <c r="AN22" s="604" t="s">
        <v>356</v>
      </c>
      <c r="AO22" s="604" t="s">
        <v>133</v>
      </c>
      <c r="AP22" s="604">
        <v>5567</v>
      </c>
      <c r="AR22" s="538" t="str">
        <f t="shared" si="5"/>
        <v>TotalOverallfetalSouthern</v>
      </c>
      <c r="AS22" s="604">
        <v>2016</v>
      </c>
      <c r="AT22" s="604" t="s">
        <v>44</v>
      </c>
      <c r="AU22" s="604" t="s">
        <v>104</v>
      </c>
      <c r="AV22" s="604" t="s">
        <v>103</v>
      </c>
      <c r="AW22" s="604">
        <v>28</v>
      </c>
      <c r="AX22" s="604">
        <v>3442</v>
      </c>
      <c r="AY22" s="606">
        <v>8.1</v>
      </c>
      <c r="AZ22" s="604" t="s">
        <v>420</v>
      </c>
      <c r="BB22" s="536" t="str">
        <f t="shared" si="6"/>
        <v>TotalOverallbirthsSouthern</v>
      </c>
      <c r="BC22" s="604">
        <v>2016</v>
      </c>
      <c r="BD22" s="604" t="s">
        <v>44</v>
      </c>
      <c r="BE22" s="604" t="s">
        <v>104</v>
      </c>
      <c r="BF22" s="604" t="s">
        <v>103</v>
      </c>
      <c r="BG22" s="604">
        <v>3414</v>
      </c>
      <c r="BH22" s="604" t="s">
        <v>445</v>
      </c>
      <c r="BJ22" s="542" t="str">
        <f t="shared" si="7"/>
        <v>Quin 4depinfant</v>
      </c>
      <c r="BK22" s="604" t="s">
        <v>424</v>
      </c>
      <c r="BL22" s="604" t="s">
        <v>454</v>
      </c>
      <c r="BM22" s="604">
        <v>302</v>
      </c>
      <c r="BN22" s="604">
        <v>65484</v>
      </c>
      <c r="BO22" s="604">
        <v>4.5999999999999996</v>
      </c>
      <c r="BP22" s="604" t="s">
        <v>437</v>
      </c>
      <c r="BR22" s="547" t="str">
        <f t="shared" si="8"/>
        <v>7-27 days&lt;20age</v>
      </c>
      <c r="BS22" s="604">
        <v>2016</v>
      </c>
      <c r="BT22" s="604" t="s">
        <v>471</v>
      </c>
      <c r="BU22" s="604" t="s">
        <v>339</v>
      </c>
      <c r="BV22" s="604" t="s">
        <v>453</v>
      </c>
      <c r="BW22" s="604">
        <v>5</v>
      </c>
      <c r="BY22" s="553" t="str">
        <f t="shared" si="9"/>
        <v>200240+ageSIDS</v>
      </c>
      <c r="BZ22" s="604">
        <v>2002</v>
      </c>
      <c r="CA22" s="604" t="s">
        <v>134</v>
      </c>
      <c r="CB22" s="604" t="s">
        <v>453</v>
      </c>
      <c r="CC22" s="604">
        <v>1</v>
      </c>
      <c r="CD22" s="604" t="s">
        <v>32</v>
      </c>
      <c r="CF22" s="554" t="str">
        <f t="shared" si="10"/>
        <v>2016Pacific peoples35-39ageSIDS</v>
      </c>
      <c r="CG22" s="604">
        <v>2016</v>
      </c>
      <c r="CH22" s="604" t="s">
        <v>320</v>
      </c>
      <c r="CI22" s="604" t="s">
        <v>133</v>
      </c>
      <c r="CJ22" s="604" t="s">
        <v>453</v>
      </c>
      <c r="CK22" s="604">
        <v>1</v>
      </c>
      <c r="CL22" s="604" t="s">
        <v>32</v>
      </c>
      <c r="CN22" s="575" t="str">
        <f t="shared" si="11"/>
        <v>2016J00–J99infant</v>
      </c>
      <c r="CO22" s="604">
        <v>2016</v>
      </c>
      <c r="CP22" s="604" t="s">
        <v>507</v>
      </c>
      <c r="CQ22" s="604">
        <v>3</v>
      </c>
      <c r="CR22" s="604">
        <v>1.2</v>
      </c>
      <c r="CS22" s="604">
        <v>0.05</v>
      </c>
      <c r="CT22" s="604" t="s">
        <v>437</v>
      </c>
      <c r="CV22" s="575"/>
    </row>
    <row r="23" spans="1:100">
      <c r="A23" s="502" t="str">
        <f t="shared" si="0"/>
        <v>2001deathsFetal</v>
      </c>
      <c r="B23" s="604">
        <v>2001</v>
      </c>
      <c r="C23" s="604" t="s">
        <v>496</v>
      </c>
      <c r="D23" s="604" t="s">
        <v>47</v>
      </c>
      <c r="E23" s="604">
        <v>386</v>
      </c>
      <c r="F23" s="604">
        <v>56610</v>
      </c>
      <c r="G23" s="604">
        <v>6.8</v>
      </c>
      <c r="I23" s="578" t="str">
        <f t="shared" si="1"/>
        <v>2016OverallTotalFetal</v>
      </c>
      <c r="J23" s="604">
        <v>2016</v>
      </c>
      <c r="K23" s="604" t="s">
        <v>104</v>
      </c>
      <c r="L23" s="604" t="s">
        <v>44</v>
      </c>
      <c r="M23" s="604">
        <v>413</v>
      </c>
      <c r="N23" s="604">
        <v>60849</v>
      </c>
      <c r="O23" s="604">
        <v>6.8</v>
      </c>
      <c r="P23" s="604" t="s">
        <v>47</v>
      </c>
      <c r="Q23" s="499"/>
      <c r="R23" s="502" t="str">
        <f t="shared" si="2"/>
        <v>1998birthsbwtUnknown</v>
      </c>
      <c r="S23" s="604">
        <v>1998</v>
      </c>
      <c r="T23" s="604" t="s">
        <v>445</v>
      </c>
      <c r="U23" s="604" t="s">
        <v>447</v>
      </c>
      <c r="V23" s="604" t="s">
        <v>63</v>
      </c>
      <c r="W23" s="604">
        <v>27654</v>
      </c>
      <c r="Y23" s="535" t="str">
        <f t="shared" si="3"/>
        <v>2016ethageMaori40+fetal</v>
      </c>
      <c r="Z23" s="604">
        <v>2016</v>
      </c>
      <c r="AA23" s="604" t="s">
        <v>449</v>
      </c>
      <c r="AB23" s="604" t="s">
        <v>453</v>
      </c>
      <c r="AC23" s="604" t="s">
        <v>129</v>
      </c>
      <c r="AD23" s="604" t="s">
        <v>134</v>
      </c>
      <c r="AE23" s="604">
        <v>4</v>
      </c>
      <c r="AF23" s="604">
        <v>505</v>
      </c>
      <c r="AG23" s="604">
        <v>7.9</v>
      </c>
      <c r="AH23" s="604" t="s">
        <v>420</v>
      </c>
      <c r="AJ23" s="535" t="str">
        <f t="shared" si="4"/>
        <v>2016ethageMaori40+</v>
      </c>
      <c r="AK23" s="604">
        <v>2016</v>
      </c>
      <c r="AL23" s="604" t="s">
        <v>449</v>
      </c>
      <c r="AM23" s="604" t="s">
        <v>453</v>
      </c>
      <c r="AN23" s="604" t="s">
        <v>129</v>
      </c>
      <c r="AO23" s="604" t="s">
        <v>134</v>
      </c>
      <c r="AP23" s="604">
        <v>505</v>
      </c>
      <c r="AR23" s="538" t="str">
        <f t="shared" si="5"/>
        <v>TotalOverallfetalUnknown</v>
      </c>
      <c r="AS23" s="604">
        <v>2016</v>
      </c>
      <c r="AT23" s="604" t="s">
        <v>44</v>
      </c>
      <c r="AU23" s="604" t="s">
        <v>104</v>
      </c>
      <c r="AV23" s="604" t="s">
        <v>63</v>
      </c>
      <c r="AW23" s="604">
        <v>2</v>
      </c>
      <c r="AX23" s="604">
        <v>132</v>
      </c>
      <c r="AY23" s="606" t="s">
        <v>119</v>
      </c>
      <c r="AZ23" s="604" t="s">
        <v>420</v>
      </c>
      <c r="BB23" s="536" t="str">
        <f t="shared" si="6"/>
        <v>TotalOverallbirthsUnknown</v>
      </c>
      <c r="BC23" s="604">
        <v>2016</v>
      </c>
      <c r="BD23" s="604" t="s">
        <v>44</v>
      </c>
      <c r="BE23" s="604" t="s">
        <v>104</v>
      </c>
      <c r="BF23" s="604" t="s">
        <v>63</v>
      </c>
      <c r="BG23" s="604">
        <v>130</v>
      </c>
      <c r="BH23" s="604" t="s">
        <v>445</v>
      </c>
      <c r="BJ23" s="542" t="str">
        <f t="shared" si="7"/>
        <v>Quin 5depinfant</v>
      </c>
      <c r="BK23" s="604" t="s">
        <v>425</v>
      </c>
      <c r="BL23" s="604" t="s">
        <v>454</v>
      </c>
      <c r="BM23" s="604">
        <v>663</v>
      </c>
      <c r="BN23" s="604">
        <v>85455</v>
      </c>
      <c r="BO23" s="604">
        <v>7.8</v>
      </c>
      <c r="BP23" s="604" t="s">
        <v>437</v>
      </c>
      <c r="BR23" s="547" t="str">
        <f t="shared" si="8"/>
        <v>7-27 days20-24age</v>
      </c>
      <c r="BS23" s="604">
        <v>2016</v>
      </c>
      <c r="BT23" s="604" t="s">
        <v>471</v>
      </c>
      <c r="BU23" s="604" t="s">
        <v>130</v>
      </c>
      <c r="BV23" s="604" t="s">
        <v>453</v>
      </c>
      <c r="BW23" s="604">
        <v>4</v>
      </c>
      <c r="BY23" s="553" t="str">
        <f t="shared" si="9"/>
        <v>2002UnknownageSIDS</v>
      </c>
      <c r="BZ23" s="604">
        <v>2002</v>
      </c>
      <c r="CA23" s="604" t="s">
        <v>63</v>
      </c>
      <c r="CB23" s="604" t="s">
        <v>453</v>
      </c>
      <c r="CC23" s="604">
        <v>0</v>
      </c>
      <c r="CD23" s="604" t="s">
        <v>32</v>
      </c>
      <c r="CF23" s="554" t="str">
        <f t="shared" si="10"/>
        <v>2016Asian40+ageSIDS</v>
      </c>
      <c r="CG23" s="604">
        <v>2016</v>
      </c>
      <c r="CH23" s="604" t="s">
        <v>355</v>
      </c>
      <c r="CI23" s="604" t="s">
        <v>134</v>
      </c>
      <c r="CJ23" s="604" t="s">
        <v>453</v>
      </c>
      <c r="CK23" s="604">
        <v>0</v>
      </c>
      <c r="CL23" s="604" t="s">
        <v>32</v>
      </c>
      <c r="CN23" s="575" t="str">
        <f t="shared" si="11"/>
        <v>2016K00–K93infant</v>
      </c>
      <c r="CO23" s="604">
        <v>2016</v>
      </c>
      <c r="CP23" s="604" t="s">
        <v>508</v>
      </c>
      <c r="CQ23" s="604">
        <v>1</v>
      </c>
      <c r="CR23" s="604">
        <v>0.4</v>
      </c>
      <c r="CS23" s="604">
        <v>0.02</v>
      </c>
      <c r="CT23" s="604" t="s">
        <v>437</v>
      </c>
      <c r="CV23" s="575"/>
    </row>
    <row r="24" spans="1:100">
      <c r="A24" s="502" t="str">
        <f t="shared" si="0"/>
        <v>2001deathsEarly neonatal</v>
      </c>
      <c r="B24" s="604">
        <v>2001</v>
      </c>
      <c r="C24" s="604" t="s">
        <v>496</v>
      </c>
      <c r="D24" s="604" t="s">
        <v>41</v>
      </c>
      <c r="E24" s="604">
        <v>143</v>
      </c>
      <c r="F24" s="604">
        <v>56224</v>
      </c>
      <c r="G24" s="604" t="s">
        <v>119</v>
      </c>
      <c r="I24" s="578" t="str">
        <f t="shared" si="1"/>
        <v>1996age&lt;20Fetal</v>
      </c>
      <c r="J24" s="604">
        <v>1996</v>
      </c>
      <c r="K24" s="604" t="s">
        <v>453</v>
      </c>
      <c r="L24" s="604" t="s">
        <v>339</v>
      </c>
      <c r="M24" s="604">
        <v>38</v>
      </c>
      <c r="N24" s="604">
        <v>4450</v>
      </c>
      <c r="O24" s="604">
        <v>8.5</v>
      </c>
      <c r="P24" s="604" t="s">
        <v>47</v>
      </c>
      <c r="Q24" s="499"/>
      <c r="R24" s="502" t="str">
        <f t="shared" si="2"/>
        <v>1999birthsbwt&lt;500</v>
      </c>
      <c r="S24" s="604">
        <v>1999</v>
      </c>
      <c r="T24" s="604" t="s">
        <v>445</v>
      </c>
      <c r="U24" s="604" t="s">
        <v>447</v>
      </c>
      <c r="V24" s="604" t="s">
        <v>427</v>
      </c>
      <c r="W24" s="604">
        <v>45</v>
      </c>
      <c r="Y24" s="535" t="str">
        <f t="shared" si="3"/>
        <v>2016ethagePacific peoples40+fetal</v>
      </c>
      <c r="Z24" s="604">
        <v>2016</v>
      </c>
      <c r="AA24" s="604" t="s">
        <v>449</v>
      </c>
      <c r="AB24" s="604" t="s">
        <v>453</v>
      </c>
      <c r="AC24" s="604" t="s">
        <v>320</v>
      </c>
      <c r="AD24" s="604" t="s">
        <v>134</v>
      </c>
      <c r="AE24" s="604">
        <v>2</v>
      </c>
      <c r="AF24" s="604">
        <v>234</v>
      </c>
      <c r="AG24" s="604">
        <v>8.5</v>
      </c>
      <c r="AH24" s="604" t="s">
        <v>420</v>
      </c>
      <c r="AJ24" s="535" t="str">
        <f t="shared" si="4"/>
        <v>2016ethagePacific peoples40+</v>
      </c>
      <c r="AK24" s="604">
        <v>2016</v>
      </c>
      <c r="AL24" s="604" t="s">
        <v>449</v>
      </c>
      <c r="AM24" s="604" t="s">
        <v>453</v>
      </c>
      <c r="AN24" s="604" t="s">
        <v>320</v>
      </c>
      <c r="AO24" s="604" t="s">
        <v>134</v>
      </c>
      <c r="AP24" s="604">
        <v>234</v>
      </c>
      <c r="AR24" s="538" t="str">
        <f t="shared" si="5"/>
        <v>TotalOverallfetalNew Zealand</v>
      </c>
      <c r="AS24" s="604">
        <v>2016</v>
      </c>
      <c r="AT24" s="604" t="s">
        <v>44</v>
      </c>
      <c r="AU24" s="604" t="s">
        <v>104</v>
      </c>
      <c r="AV24" s="604" t="s">
        <v>16</v>
      </c>
      <c r="AW24" s="604">
        <v>413</v>
      </c>
      <c r="AX24" s="604">
        <v>60849</v>
      </c>
      <c r="AY24" s="606">
        <v>6.8</v>
      </c>
      <c r="AZ24" s="604" t="s">
        <v>420</v>
      </c>
      <c r="BB24" s="536" t="str">
        <f t="shared" si="6"/>
        <v>TotalOverallbirthsNew Zealand</v>
      </c>
      <c r="BC24" s="604">
        <v>2016</v>
      </c>
      <c r="BD24" s="604" t="s">
        <v>44</v>
      </c>
      <c r="BE24" s="604" t="s">
        <v>104</v>
      </c>
      <c r="BF24" s="604" t="s">
        <v>16</v>
      </c>
      <c r="BG24" s="604">
        <v>60436</v>
      </c>
      <c r="BH24" s="604" t="s">
        <v>445</v>
      </c>
      <c r="BJ24" s="542" t="str">
        <f t="shared" si="7"/>
        <v>Quin 9depinfant</v>
      </c>
      <c r="BK24" s="604" t="s">
        <v>426</v>
      </c>
      <c r="BL24" s="604" t="s">
        <v>454</v>
      </c>
      <c r="BM24" s="604">
        <v>40</v>
      </c>
      <c r="BN24" s="604">
        <v>10650</v>
      </c>
      <c r="BO24" s="604">
        <v>3.8</v>
      </c>
      <c r="BP24" s="604" t="s">
        <v>437</v>
      </c>
      <c r="BR24" s="547" t="str">
        <f t="shared" si="8"/>
        <v>7-27 days25-29age</v>
      </c>
      <c r="BS24" s="604">
        <v>2016</v>
      </c>
      <c r="BT24" s="604" t="s">
        <v>471</v>
      </c>
      <c r="BU24" s="604" t="s">
        <v>131</v>
      </c>
      <c r="BV24" s="604" t="s">
        <v>453</v>
      </c>
      <c r="BW24" s="604">
        <v>6</v>
      </c>
      <c r="BY24" s="553" t="str">
        <f t="shared" si="9"/>
        <v>2003&lt;20ageSIDS</v>
      </c>
      <c r="BZ24" s="604">
        <v>2003</v>
      </c>
      <c r="CA24" s="604" t="s">
        <v>339</v>
      </c>
      <c r="CB24" s="604" t="s">
        <v>453</v>
      </c>
      <c r="CC24" s="604">
        <v>3</v>
      </c>
      <c r="CD24" s="604" t="s">
        <v>32</v>
      </c>
      <c r="CF24" s="554" t="str">
        <f t="shared" si="10"/>
        <v>2016European or Other40+ageSIDS</v>
      </c>
      <c r="CG24" s="604">
        <v>2016</v>
      </c>
      <c r="CH24" s="604" t="s">
        <v>356</v>
      </c>
      <c r="CI24" s="604" t="s">
        <v>134</v>
      </c>
      <c r="CJ24" s="604" t="s">
        <v>453</v>
      </c>
      <c r="CK24" s="604">
        <v>0</v>
      </c>
      <c r="CL24" s="604" t="s">
        <v>32</v>
      </c>
      <c r="CN24" s="575" t="str">
        <f t="shared" si="11"/>
        <v>2016P00–P96infant</v>
      </c>
      <c r="CO24" s="604">
        <v>2016</v>
      </c>
      <c r="CP24" s="604" t="s">
        <v>513</v>
      </c>
      <c r="CQ24" s="604">
        <v>126</v>
      </c>
      <c r="CR24" s="604">
        <v>52.3</v>
      </c>
      <c r="CS24" s="604">
        <v>2.08</v>
      </c>
      <c r="CT24" s="604" t="s">
        <v>437</v>
      </c>
      <c r="CV24" s="575"/>
    </row>
    <row r="25" spans="1:100">
      <c r="A25" s="502" t="str">
        <f t="shared" si="0"/>
        <v>2001deathsLate neonatal</v>
      </c>
      <c r="B25" s="604">
        <v>2001</v>
      </c>
      <c r="C25" s="604" t="s">
        <v>496</v>
      </c>
      <c r="D25" s="604" t="s">
        <v>42</v>
      </c>
      <c r="E25" s="604">
        <v>27</v>
      </c>
      <c r="F25" s="604">
        <v>56224</v>
      </c>
      <c r="G25" s="604" t="s">
        <v>119</v>
      </c>
      <c r="I25" s="578" t="str">
        <f t="shared" si="1"/>
        <v>1996age20-24Fetal</v>
      </c>
      <c r="J25" s="604">
        <v>1996</v>
      </c>
      <c r="K25" s="604" t="s">
        <v>453</v>
      </c>
      <c r="L25" s="604" t="s">
        <v>130</v>
      </c>
      <c r="M25" s="604">
        <v>87</v>
      </c>
      <c r="N25" s="604">
        <v>11504</v>
      </c>
      <c r="O25" s="604">
        <v>7.6</v>
      </c>
      <c r="P25" s="604" t="s">
        <v>47</v>
      </c>
      <c r="Q25" s="499"/>
      <c r="R25" s="502" t="str">
        <f t="shared" si="2"/>
        <v>1999birthsbwt500-999</v>
      </c>
      <c r="S25" s="604">
        <v>1999</v>
      </c>
      <c r="T25" s="604" t="s">
        <v>445</v>
      </c>
      <c r="U25" s="604" t="s">
        <v>447</v>
      </c>
      <c r="V25" s="604" t="s">
        <v>428</v>
      </c>
      <c r="W25" s="604">
        <v>231</v>
      </c>
      <c r="Y25" s="535" t="str">
        <f t="shared" si="3"/>
        <v>2016ethageAsian40+fetal</v>
      </c>
      <c r="Z25" s="604">
        <v>2016</v>
      </c>
      <c r="AA25" s="604" t="s">
        <v>449</v>
      </c>
      <c r="AB25" s="604" t="s">
        <v>453</v>
      </c>
      <c r="AC25" s="604" t="s">
        <v>355</v>
      </c>
      <c r="AD25" s="604" t="s">
        <v>134</v>
      </c>
      <c r="AE25" s="604">
        <v>2</v>
      </c>
      <c r="AF25" s="604">
        <v>358</v>
      </c>
      <c r="AG25" s="604">
        <v>5.6</v>
      </c>
      <c r="AH25" s="604" t="s">
        <v>420</v>
      </c>
      <c r="AJ25" s="535" t="str">
        <f t="shared" si="4"/>
        <v>2016ethageAsian40+</v>
      </c>
      <c r="AK25" s="604">
        <v>2016</v>
      </c>
      <c r="AL25" s="604" t="s">
        <v>449</v>
      </c>
      <c r="AM25" s="604" t="s">
        <v>453</v>
      </c>
      <c r="AN25" s="604" t="s">
        <v>355</v>
      </c>
      <c r="AO25" s="604" t="s">
        <v>134</v>
      </c>
      <c r="AP25" s="604">
        <v>358</v>
      </c>
      <c r="AR25" s="538" t="str">
        <f t="shared" si="5"/>
        <v>&lt;20agefetalNorthland</v>
      </c>
      <c r="AS25" s="604">
        <v>2016</v>
      </c>
      <c r="AT25" s="604" t="s">
        <v>339</v>
      </c>
      <c r="AU25" s="604" t="s">
        <v>453</v>
      </c>
      <c r="AV25" s="604" t="s">
        <v>85</v>
      </c>
      <c r="AW25" s="604">
        <v>1</v>
      </c>
      <c r="AX25" s="604">
        <v>152</v>
      </c>
      <c r="AY25" s="606">
        <v>6.6</v>
      </c>
      <c r="AZ25" s="604" t="s">
        <v>420</v>
      </c>
      <c r="BB25" s="536" t="str">
        <f t="shared" si="6"/>
        <v>&lt;20agebirthsNorthland</v>
      </c>
      <c r="BC25" s="604">
        <v>2016</v>
      </c>
      <c r="BD25" s="604" t="s">
        <v>339</v>
      </c>
      <c r="BE25" s="604" t="s">
        <v>453</v>
      </c>
      <c r="BF25" s="604" t="s">
        <v>85</v>
      </c>
      <c r="BG25" s="604">
        <v>151</v>
      </c>
      <c r="BH25" s="604" t="s">
        <v>445</v>
      </c>
      <c r="BJ25" s="542" t="str">
        <f t="shared" si="7"/>
        <v>Asianethinfant</v>
      </c>
      <c r="BK25" s="604" t="s">
        <v>355</v>
      </c>
      <c r="BL25" s="604" t="s">
        <v>449</v>
      </c>
      <c r="BM25" s="604">
        <v>176</v>
      </c>
      <c r="BN25" s="604">
        <v>44346</v>
      </c>
      <c r="BO25" s="604">
        <v>4</v>
      </c>
      <c r="BP25" s="604" t="s">
        <v>437</v>
      </c>
      <c r="BR25" s="547" t="str">
        <f t="shared" si="8"/>
        <v>7-27 days30-34age</v>
      </c>
      <c r="BS25" s="604">
        <v>2016</v>
      </c>
      <c r="BT25" s="604" t="s">
        <v>471</v>
      </c>
      <c r="BU25" s="604" t="s">
        <v>132</v>
      </c>
      <c r="BV25" s="604" t="s">
        <v>453</v>
      </c>
      <c r="BW25" s="604">
        <v>8</v>
      </c>
      <c r="BY25" s="553" t="str">
        <f t="shared" si="9"/>
        <v>200320-24ageSIDS</v>
      </c>
      <c r="BZ25" s="604">
        <v>2003</v>
      </c>
      <c r="CA25" s="604" t="s">
        <v>130</v>
      </c>
      <c r="CB25" s="604" t="s">
        <v>453</v>
      </c>
      <c r="CC25" s="604">
        <v>13</v>
      </c>
      <c r="CD25" s="604" t="s">
        <v>32</v>
      </c>
      <c r="CF25" s="554" t="str">
        <f t="shared" si="10"/>
        <v>2016Maori40+ageSIDS</v>
      </c>
      <c r="CG25" s="604">
        <v>2016</v>
      </c>
      <c r="CH25" s="604" t="s">
        <v>129</v>
      </c>
      <c r="CI25" s="604" t="s">
        <v>134</v>
      </c>
      <c r="CJ25" s="604" t="s">
        <v>453</v>
      </c>
      <c r="CK25" s="604">
        <v>0</v>
      </c>
      <c r="CL25" s="604" t="s">
        <v>32</v>
      </c>
      <c r="CN25" s="575" t="str">
        <f t="shared" si="11"/>
        <v>2016Q00–Q99infant</v>
      </c>
      <c r="CO25" s="604">
        <v>2016</v>
      </c>
      <c r="CP25" s="604" t="s">
        <v>514</v>
      </c>
      <c r="CQ25" s="604">
        <v>53</v>
      </c>
      <c r="CR25" s="604">
        <v>22</v>
      </c>
      <c r="CS25" s="604">
        <v>0.88</v>
      </c>
      <c r="CT25" s="604" t="s">
        <v>437</v>
      </c>
      <c r="CV25" s="575"/>
    </row>
    <row r="26" spans="1:100">
      <c r="A26" s="502" t="str">
        <f t="shared" si="0"/>
        <v>2001deathsPost-neonatal</v>
      </c>
      <c r="B26" s="604">
        <v>2001</v>
      </c>
      <c r="C26" s="604" t="s">
        <v>496</v>
      </c>
      <c r="D26" s="604" t="s">
        <v>43</v>
      </c>
      <c r="E26" s="604">
        <v>145</v>
      </c>
      <c r="F26" s="604">
        <v>56224</v>
      </c>
      <c r="G26" s="604">
        <v>2.6</v>
      </c>
      <c r="I26" s="578" t="str">
        <f t="shared" si="1"/>
        <v>1996age25-29Fetal</v>
      </c>
      <c r="J26" s="604">
        <v>1996</v>
      </c>
      <c r="K26" s="604" t="s">
        <v>453</v>
      </c>
      <c r="L26" s="604" t="s">
        <v>131</v>
      </c>
      <c r="M26" s="604">
        <v>122</v>
      </c>
      <c r="N26" s="604">
        <v>17578</v>
      </c>
      <c r="O26" s="604">
        <v>6.9</v>
      </c>
      <c r="P26" s="604" t="s">
        <v>47</v>
      </c>
      <c r="Q26" s="499"/>
      <c r="R26" s="502" t="str">
        <f t="shared" si="2"/>
        <v>1999birthsbwt1000-1499</v>
      </c>
      <c r="S26" s="604">
        <v>1999</v>
      </c>
      <c r="T26" s="604" t="s">
        <v>445</v>
      </c>
      <c r="U26" s="604" t="s">
        <v>447</v>
      </c>
      <c r="V26" s="604" t="s">
        <v>429</v>
      </c>
      <c r="W26" s="604">
        <v>355</v>
      </c>
      <c r="Y26" s="535" t="str">
        <f t="shared" si="3"/>
        <v>2016ethageEuropean or Other40+fetal</v>
      </c>
      <c r="Z26" s="604">
        <v>2016</v>
      </c>
      <c r="AA26" s="604" t="s">
        <v>449</v>
      </c>
      <c r="AB26" s="604" t="s">
        <v>453</v>
      </c>
      <c r="AC26" s="604" t="s">
        <v>356</v>
      </c>
      <c r="AD26" s="604" t="s">
        <v>134</v>
      </c>
      <c r="AE26" s="604">
        <v>8</v>
      </c>
      <c r="AF26" s="604">
        <v>1357</v>
      </c>
      <c r="AG26" s="604">
        <v>5.9</v>
      </c>
      <c r="AH26" s="604" t="s">
        <v>420</v>
      </c>
      <c r="AJ26" s="535" t="str">
        <f t="shared" si="4"/>
        <v>2016ethageEuropean or Other40+</v>
      </c>
      <c r="AK26" s="604">
        <v>2016</v>
      </c>
      <c r="AL26" s="604" t="s">
        <v>449</v>
      </c>
      <c r="AM26" s="604" t="s">
        <v>453</v>
      </c>
      <c r="AN26" s="604" t="s">
        <v>356</v>
      </c>
      <c r="AO26" s="604" t="s">
        <v>134</v>
      </c>
      <c r="AP26" s="604">
        <v>1357</v>
      </c>
      <c r="AR26" s="538" t="str">
        <f t="shared" si="5"/>
        <v>20-24agefetalNorthland</v>
      </c>
      <c r="AS26" s="604">
        <v>2016</v>
      </c>
      <c r="AT26" s="604" t="s">
        <v>130</v>
      </c>
      <c r="AU26" s="604" t="s">
        <v>453</v>
      </c>
      <c r="AV26" s="604" t="s">
        <v>85</v>
      </c>
      <c r="AW26" s="604">
        <v>7</v>
      </c>
      <c r="AX26" s="604">
        <v>535</v>
      </c>
      <c r="AY26" s="606">
        <v>13.1</v>
      </c>
      <c r="AZ26" s="604" t="s">
        <v>420</v>
      </c>
      <c r="BB26" s="536" t="str">
        <f t="shared" si="6"/>
        <v>20-24agebirthsNorthland</v>
      </c>
      <c r="BC26" s="604">
        <v>2016</v>
      </c>
      <c r="BD26" s="604" t="s">
        <v>130</v>
      </c>
      <c r="BE26" s="604" t="s">
        <v>453</v>
      </c>
      <c r="BF26" s="604" t="s">
        <v>85</v>
      </c>
      <c r="BG26" s="604">
        <v>528</v>
      </c>
      <c r="BH26" s="604" t="s">
        <v>445</v>
      </c>
      <c r="BJ26" s="542" t="str">
        <f t="shared" si="7"/>
        <v>European or Otherethinfant</v>
      </c>
      <c r="BK26" s="604" t="s">
        <v>356</v>
      </c>
      <c r="BL26" s="604" t="s">
        <v>449</v>
      </c>
      <c r="BM26" s="604">
        <v>565</v>
      </c>
      <c r="BN26" s="604">
        <v>139473</v>
      </c>
      <c r="BO26" s="604">
        <v>4.0999999999999996</v>
      </c>
      <c r="BP26" s="604" t="s">
        <v>437</v>
      </c>
      <c r="BR26" s="547" t="str">
        <f t="shared" si="8"/>
        <v>7-27 days35-39age</v>
      </c>
      <c r="BS26" s="604">
        <v>2016</v>
      </c>
      <c r="BT26" s="604" t="s">
        <v>471</v>
      </c>
      <c r="BU26" s="604" t="s">
        <v>133</v>
      </c>
      <c r="BV26" s="604" t="s">
        <v>453</v>
      </c>
      <c r="BW26" s="604">
        <v>3</v>
      </c>
      <c r="BY26" s="553" t="str">
        <f t="shared" si="9"/>
        <v>200325-29ageSIDS</v>
      </c>
      <c r="BZ26" s="604">
        <v>2003</v>
      </c>
      <c r="CA26" s="604" t="s">
        <v>131</v>
      </c>
      <c r="CB26" s="604" t="s">
        <v>453</v>
      </c>
      <c r="CC26" s="604">
        <v>19</v>
      </c>
      <c r="CD26" s="604" t="s">
        <v>32</v>
      </c>
      <c r="CF26" s="554" t="str">
        <f t="shared" si="10"/>
        <v>2016Pacific peoples40+ageSIDS</v>
      </c>
      <c r="CG26" s="604">
        <v>2016</v>
      </c>
      <c r="CH26" s="604" t="s">
        <v>320</v>
      </c>
      <c r="CI26" s="604" t="s">
        <v>134</v>
      </c>
      <c r="CJ26" s="604" t="s">
        <v>453</v>
      </c>
      <c r="CK26" s="604">
        <v>0</v>
      </c>
      <c r="CL26" s="604" t="s">
        <v>32</v>
      </c>
      <c r="CN26" s="575" t="str">
        <f t="shared" si="11"/>
        <v>2016R00–R99infant</v>
      </c>
      <c r="CO26" s="604">
        <v>2016</v>
      </c>
      <c r="CP26" s="604" t="s">
        <v>515</v>
      </c>
      <c r="CQ26" s="604">
        <v>23</v>
      </c>
      <c r="CR26" s="604">
        <v>9.5</v>
      </c>
      <c r="CS26" s="604">
        <v>0.38</v>
      </c>
      <c r="CT26" s="604" t="s">
        <v>437</v>
      </c>
      <c r="CV26" s="575"/>
    </row>
    <row r="27" spans="1:100">
      <c r="A27" s="502" t="str">
        <f t="shared" si="0"/>
        <v>2002deathsFetal</v>
      </c>
      <c r="B27" s="604">
        <v>2002</v>
      </c>
      <c r="C27" s="604" t="s">
        <v>496</v>
      </c>
      <c r="D27" s="604" t="s">
        <v>47</v>
      </c>
      <c r="E27" s="604">
        <v>390</v>
      </c>
      <c r="F27" s="604">
        <v>54905</v>
      </c>
      <c r="G27" s="604">
        <v>7.1</v>
      </c>
      <c r="I27" s="578" t="str">
        <f t="shared" si="1"/>
        <v>1996age30-34Fetal</v>
      </c>
      <c r="J27" s="604">
        <v>1996</v>
      </c>
      <c r="K27" s="604" t="s">
        <v>453</v>
      </c>
      <c r="L27" s="604" t="s">
        <v>132</v>
      </c>
      <c r="M27" s="604">
        <v>100</v>
      </c>
      <c r="N27" s="604">
        <v>16399</v>
      </c>
      <c r="O27" s="604">
        <v>6.1</v>
      </c>
      <c r="P27" s="604" t="s">
        <v>47</v>
      </c>
      <c r="Q27" s="499"/>
      <c r="R27" s="502" t="str">
        <f t="shared" si="2"/>
        <v>1999birthsbwt1500-2499</v>
      </c>
      <c r="S27" s="604">
        <v>1999</v>
      </c>
      <c r="T27" s="604" t="s">
        <v>445</v>
      </c>
      <c r="U27" s="604" t="s">
        <v>447</v>
      </c>
      <c r="V27" s="604" t="s">
        <v>430</v>
      </c>
      <c r="W27" s="604">
        <v>3005</v>
      </c>
      <c r="Y27" s="535" t="str">
        <f t="shared" si="3"/>
        <v>2016sexageMale&lt;20fetal</v>
      </c>
      <c r="Z27" s="604">
        <v>2016</v>
      </c>
      <c r="AA27" s="604" t="s">
        <v>451</v>
      </c>
      <c r="AB27" s="604" t="s">
        <v>453</v>
      </c>
      <c r="AC27" s="604" t="s">
        <v>70</v>
      </c>
      <c r="AD27" s="604" t="s">
        <v>339</v>
      </c>
      <c r="AE27" s="604">
        <v>20</v>
      </c>
      <c r="AF27" s="604">
        <v>1302</v>
      </c>
      <c r="AG27" s="604">
        <v>15.1</v>
      </c>
      <c r="AH27" s="604" t="s">
        <v>420</v>
      </c>
      <c r="AJ27" s="535" t="str">
        <f t="shared" si="4"/>
        <v>2016sexageMale&lt;20</v>
      </c>
      <c r="AK27" s="604">
        <v>2016</v>
      </c>
      <c r="AL27" s="604" t="s">
        <v>451</v>
      </c>
      <c r="AM27" s="604" t="s">
        <v>453</v>
      </c>
      <c r="AN27" s="604" t="s">
        <v>70</v>
      </c>
      <c r="AO27" s="604" t="s">
        <v>339</v>
      </c>
      <c r="AP27" s="604">
        <v>1302</v>
      </c>
      <c r="AR27" s="538" t="str">
        <f t="shared" si="5"/>
        <v>25-29agefetalNorthland</v>
      </c>
      <c r="AS27" s="604">
        <v>2016</v>
      </c>
      <c r="AT27" s="604" t="s">
        <v>131</v>
      </c>
      <c r="AU27" s="604" t="s">
        <v>453</v>
      </c>
      <c r="AV27" s="604" t="s">
        <v>85</v>
      </c>
      <c r="AW27" s="604">
        <v>5</v>
      </c>
      <c r="AX27" s="604">
        <v>681</v>
      </c>
      <c r="AY27" s="606">
        <v>7.3</v>
      </c>
      <c r="AZ27" s="604" t="s">
        <v>420</v>
      </c>
      <c r="BB27" s="536" t="str">
        <f t="shared" si="6"/>
        <v>25-29agebirthsNorthland</v>
      </c>
      <c r="BC27" s="604">
        <v>2016</v>
      </c>
      <c r="BD27" s="604" t="s">
        <v>131</v>
      </c>
      <c r="BE27" s="604" t="s">
        <v>453</v>
      </c>
      <c r="BF27" s="604" t="s">
        <v>85</v>
      </c>
      <c r="BG27" s="604">
        <v>676</v>
      </c>
      <c r="BH27" s="604" t="s">
        <v>445</v>
      </c>
      <c r="BJ27" s="542" t="str">
        <f t="shared" si="7"/>
        <v>Maoriethinfant</v>
      </c>
      <c r="BK27" s="604" t="s">
        <v>129</v>
      </c>
      <c r="BL27" s="604" t="s">
        <v>449</v>
      </c>
      <c r="BM27" s="604">
        <v>538</v>
      </c>
      <c r="BN27" s="604">
        <v>87391</v>
      </c>
      <c r="BO27" s="604">
        <v>6.2</v>
      </c>
      <c r="BP27" s="604" t="s">
        <v>437</v>
      </c>
      <c r="BR27" s="547" t="str">
        <f t="shared" si="8"/>
        <v>7-27 days40+age</v>
      </c>
      <c r="BS27" s="604">
        <v>2016</v>
      </c>
      <c r="BT27" s="604" t="s">
        <v>471</v>
      </c>
      <c r="BU27" s="604" t="s">
        <v>134</v>
      </c>
      <c r="BV27" s="604" t="s">
        <v>453</v>
      </c>
      <c r="BW27" s="604">
        <v>2</v>
      </c>
      <c r="BY27" s="553" t="str">
        <f t="shared" si="9"/>
        <v>200330-34ageSIDS</v>
      </c>
      <c r="BZ27" s="604">
        <v>2003</v>
      </c>
      <c r="CA27" s="604" t="s">
        <v>132</v>
      </c>
      <c r="CB27" s="604" t="s">
        <v>453</v>
      </c>
      <c r="CC27" s="604">
        <v>7</v>
      </c>
      <c r="CD27" s="604" t="s">
        <v>32</v>
      </c>
      <c r="CF27" s="554" t="str">
        <f t="shared" si="10"/>
        <v>2016Pacific peoplesUnknownageSIDS</v>
      </c>
      <c r="CG27" s="604">
        <v>2016</v>
      </c>
      <c r="CH27" s="604" t="s">
        <v>320</v>
      </c>
      <c r="CI27" s="604" t="s">
        <v>63</v>
      </c>
      <c r="CJ27" s="604" t="s">
        <v>453</v>
      </c>
      <c r="CK27" s="604">
        <v>0</v>
      </c>
      <c r="CL27" s="604" t="s">
        <v>32</v>
      </c>
      <c r="CN27" s="575" t="str">
        <f t="shared" si="11"/>
        <v>2016V00–Y98infant</v>
      </c>
      <c r="CO27" s="604">
        <v>2016</v>
      </c>
      <c r="CP27" s="604" t="s">
        <v>523</v>
      </c>
      <c r="CQ27" s="604">
        <v>23</v>
      </c>
      <c r="CR27" s="604">
        <v>9.5</v>
      </c>
      <c r="CS27" s="604">
        <v>0.38</v>
      </c>
      <c r="CT27" s="604" t="s">
        <v>437</v>
      </c>
      <c r="CV27" s="575"/>
    </row>
    <row r="28" spans="1:100">
      <c r="A28" s="502" t="str">
        <f t="shared" si="0"/>
        <v>2002deathsEarly neonatal</v>
      </c>
      <c r="B28" s="604">
        <v>2002</v>
      </c>
      <c r="C28" s="604" t="s">
        <v>496</v>
      </c>
      <c r="D28" s="604" t="s">
        <v>41</v>
      </c>
      <c r="E28" s="604">
        <v>185</v>
      </c>
      <c r="F28" s="604">
        <v>54515</v>
      </c>
      <c r="G28" s="604" t="s">
        <v>119</v>
      </c>
      <c r="I28" s="578" t="str">
        <f t="shared" si="1"/>
        <v>1996age35-39Fetal</v>
      </c>
      <c r="J28" s="604">
        <v>1996</v>
      </c>
      <c r="K28" s="604" t="s">
        <v>453</v>
      </c>
      <c r="L28" s="604" t="s">
        <v>133</v>
      </c>
      <c r="M28" s="604">
        <v>42</v>
      </c>
      <c r="N28" s="604">
        <v>6768</v>
      </c>
      <c r="O28" s="604">
        <v>6.2</v>
      </c>
      <c r="P28" s="604" t="s">
        <v>47</v>
      </c>
      <c r="Q28" s="499"/>
      <c r="R28" s="502" t="str">
        <f t="shared" si="2"/>
        <v>1999birthsbwt2500-4499</v>
      </c>
      <c r="S28" s="604">
        <v>1999</v>
      </c>
      <c r="T28" s="604" t="s">
        <v>445</v>
      </c>
      <c r="U28" s="604" t="s">
        <v>447</v>
      </c>
      <c r="V28" s="604" t="s">
        <v>431</v>
      </c>
      <c r="W28" s="604">
        <v>52234</v>
      </c>
      <c r="Y28" s="535" t="str">
        <f t="shared" si="3"/>
        <v>2016sexageFemale&lt;20fetal</v>
      </c>
      <c r="Z28" s="604">
        <v>2016</v>
      </c>
      <c r="AA28" s="604" t="s">
        <v>451</v>
      </c>
      <c r="AB28" s="604" t="s">
        <v>453</v>
      </c>
      <c r="AC28" s="604" t="s">
        <v>71</v>
      </c>
      <c r="AD28" s="604" t="s">
        <v>339</v>
      </c>
      <c r="AE28" s="604">
        <v>15</v>
      </c>
      <c r="AF28" s="604">
        <v>1257</v>
      </c>
      <c r="AG28" s="604">
        <v>11.8</v>
      </c>
      <c r="AH28" s="604" t="s">
        <v>420</v>
      </c>
      <c r="AJ28" s="535" t="str">
        <f t="shared" si="4"/>
        <v>2016sexageFemale&lt;20</v>
      </c>
      <c r="AK28" s="604">
        <v>2016</v>
      </c>
      <c r="AL28" s="604" t="s">
        <v>451</v>
      </c>
      <c r="AM28" s="604" t="s">
        <v>453</v>
      </c>
      <c r="AN28" s="604" t="s">
        <v>71</v>
      </c>
      <c r="AO28" s="604" t="s">
        <v>339</v>
      </c>
      <c r="AP28" s="604">
        <v>1257</v>
      </c>
      <c r="AR28" s="538" t="str">
        <f t="shared" si="5"/>
        <v>30-34agefetalNorthland</v>
      </c>
      <c r="AS28" s="604">
        <v>2016</v>
      </c>
      <c r="AT28" s="604" t="s">
        <v>132</v>
      </c>
      <c r="AU28" s="604" t="s">
        <v>453</v>
      </c>
      <c r="AV28" s="604" t="s">
        <v>85</v>
      </c>
      <c r="AW28" s="604">
        <v>5</v>
      </c>
      <c r="AX28" s="604">
        <v>584</v>
      </c>
      <c r="AY28" s="606">
        <v>8.6</v>
      </c>
      <c r="AZ28" s="604" t="s">
        <v>420</v>
      </c>
      <c r="BB28" s="536" t="str">
        <f t="shared" si="6"/>
        <v>30-34agebirthsNorthland</v>
      </c>
      <c r="BC28" s="604">
        <v>2016</v>
      </c>
      <c r="BD28" s="604" t="s">
        <v>132</v>
      </c>
      <c r="BE28" s="604" t="s">
        <v>453</v>
      </c>
      <c r="BF28" s="604" t="s">
        <v>85</v>
      </c>
      <c r="BG28" s="604">
        <v>579</v>
      </c>
      <c r="BH28" s="604" t="s">
        <v>445</v>
      </c>
      <c r="BJ28" s="542" t="str">
        <f t="shared" si="7"/>
        <v>Pacific peoplesethinfant</v>
      </c>
      <c r="BK28" s="604" t="s">
        <v>320</v>
      </c>
      <c r="BL28" s="604" t="s">
        <v>449</v>
      </c>
      <c r="BM28" s="604">
        <v>232</v>
      </c>
      <c r="BN28" s="604">
        <v>33107</v>
      </c>
      <c r="BO28" s="604">
        <v>7</v>
      </c>
      <c r="BP28" s="604" t="s">
        <v>437</v>
      </c>
      <c r="BR28" s="547" t="str">
        <f t="shared" si="8"/>
        <v>&lt;1 dayMalesex</v>
      </c>
      <c r="BS28" s="604">
        <v>2016</v>
      </c>
      <c r="BT28" s="604" t="s">
        <v>469</v>
      </c>
      <c r="BU28" s="604" t="s">
        <v>70</v>
      </c>
      <c r="BV28" s="604" t="s">
        <v>451</v>
      </c>
      <c r="BW28" s="604">
        <v>52</v>
      </c>
      <c r="BY28" s="553" t="str">
        <f t="shared" si="9"/>
        <v>200335-39ageSIDS</v>
      </c>
      <c r="BZ28" s="604">
        <v>2003</v>
      </c>
      <c r="CA28" s="604" t="s">
        <v>133</v>
      </c>
      <c r="CB28" s="604" t="s">
        <v>453</v>
      </c>
      <c r="CC28" s="604">
        <v>5</v>
      </c>
      <c r="CD28" s="604" t="s">
        <v>32</v>
      </c>
      <c r="CF28" s="554" t="str">
        <f t="shared" si="10"/>
        <v>2016AsianMalesexSIDS</v>
      </c>
      <c r="CG28" s="604">
        <v>2016</v>
      </c>
      <c r="CH28" s="604" t="s">
        <v>355</v>
      </c>
      <c r="CI28" s="604" t="s">
        <v>70</v>
      </c>
      <c r="CJ28" s="604" t="s">
        <v>451</v>
      </c>
      <c r="CK28" s="604">
        <v>1</v>
      </c>
      <c r="CL28" s="604" t="s">
        <v>32</v>
      </c>
      <c r="CN28" s="575" t="str">
        <f t="shared" si="11"/>
        <v>2016AllChptrsinfant</v>
      </c>
      <c r="CO28" s="604">
        <v>2016</v>
      </c>
      <c r="CP28" s="604" t="s">
        <v>518</v>
      </c>
      <c r="CQ28" s="604">
        <v>241</v>
      </c>
      <c r="CR28" s="604">
        <v>100</v>
      </c>
      <c r="CS28" s="604">
        <v>3.99</v>
      </c>
      <c r="CT28" s="604" t="s">
        <v>437</v>
      </c>
      <c r="CV28" s="575"/>
    </row>
    <row r="29" spans="1:100">
      <c r="A29" s="502" t="str">
        <f t="shared" si="0"/>
        <v>2002deathsLate neonatal</v>
      </c>
      <c r="B29" s="604">
        <v>2002</v>
      </c>
      <c r="C29" s="604" t="s">
        <v>496</v>
      </c>
      <c r="D29" s="604" t="s">
        <v>42</v>
      </c>
      <c r="E29" s="604">
        <v>36</v>
      </c>
      <c r="F29" s="604">
        <v>54515</v>
      </c>
      <c r="G29" s="604" t="s">
        <v>119</v>
      </c>
      <c r="I29" s="578" t="str">
        <f t="shared" si="1"/>
        <v>1996age40+Fetal</v>
      </c>
      <c r="J29" s="604">
        <v>1996</v>
      </c>
      <c r="K29" s="604" t="s">
        <v>453</v>
      </c>
      <c r="L29" s="604" t="s">
        <v>134</v>
      </c>
      <c r="M29" s="604">
        <v>19</v>
      </c>
      <c r="N29" s="604">
        <v>1143</v>
      </c>
      <c r="O29" s="604">
        <v>16.600000000000001</v>
      </c>
      <c r="P29" s="604" t="s">
        <v>47</v>
      </c>
      <c r="Q29" s="499"/>
      <c r="R29" s="502" t="str">
        <f t="shared" si="2"/>
        <v>1999birthsbwt4500+</v>
      </c>
      <c r="S29" s="604">
        <v>1999</v>
      </c>
      <c r="T29" s="604" t="s">
        <v>445</v>
      </c>
      <c r="U29" s="604" t="s">
        <v>447</v>
      </c>
      <c r="V29" s="604" t="s">
        <v>432</v>
      </c>
      <c r="W29" s="604">
        <v>1505</v>
      </c>
      <c r="Y29" s="535" t="str">
        <f t="shared" si="3"/>
        <v>2016sexageMale20-24fetal</v>
      </c>
      <c r="Z29" s="604">
        <v>2016</v>
      </c>
      <c r="AA29" s="604" t="s">
        <v>451</v>
      </c>
      <c r="AB29" s="604" t="s">
        <v>453</v>
      </c>
      <c r="AC29" s="604" t="s">
        <v>70</v>
      </c>
      <c r="AD29" s="604" t="s">
        <v>130</v>
      </c>
      <c r="AE29" s="604">
        <v>38</v>
      </c>
      <c r="AF29" s="604">
        <v>5130</v>
      </c>
      <c r="AG29" s="604">
        <v>7.4</v>
      </c>
      <c r="AH29" s="604" t="s">
        <v>420</v>
      </c>
      <c r="AJ29" s="535" t="str">
        <f t="shared" si="4"/>
        <v>2016sexageMale20-24</v>
      </c>
      <c r="AK29" s="604">
        <v>2016</v>
      </c>
      <c r="AL29" s="604" t="s">
        <v>451</v>
      </c>
      <c r="AM29" s="604" t="s">
        <v>453</v>
      </c>
      <c r="AN29" s="604" t="s">
        <v>70</v>
      </c>
      <c r="AO29" s="604" t="s">
        <v>130</v>
      </c>
      <c r="AP29" s="604">
        <v>5130</v>
      </c>
      <c r="AR29" s="538" t="str">
        <f t="shared" si="5"/>
        <v>35-39agefetalNorthland</v>
      </c>
      <c r="AS29" s="604">
        <v>2016</v>
      </c>
      <c r="AT29" s="604" t="s">
        <v>133</v>
      </c>
      <c r="AU29" s="604" t="s">
        <v>453</v>
      </c>
      <c r="AV29" s="604" t="s">
        <v>85</v>
      </c>
      <c r="AW29" s="604">
        <v>1</v>
      </c>
      <c r="AX29" s="604">
        <v>289</v>
      </c>
      <c r="AY29" s="606">
        <v>3.5</v>
      </c>
      <c r="AZ29" s="604" t="s">
        <v>420</v>
      </c>
      <c r="BB29" s="536" t="str">
        <f t="shared" si="6"/>
        <v>35-39agebirthsNorthland</v>
      </c>
      <c r="BC29" s="604">
        <v>2016</v>
      </c>
      <c r="BD29" s="604" t="s">
        <v>133</v>
      </c>
      <c r="BE29" s="604" t="s">
        <v>453</v>
      </c>
      <c r="BF29" s="604" t="s">
        <v>85</v>
      </c>
      <c r="BG29" s="604">
        <v>288</v>
      </c>
      <c r="BH29" s="604" t="s">
        <v>445</v>
      </c>
      <c r="BJ29" s="542" t="str">
        <f t="shared" si="7"/>
        <v>&lt;20ageinfant</v>
      </c>
      <c r="BK29" s="604" t="s">
        <v>339</v>
      </c>
      <c r="BL29" s="604" t="s">
        <v>453</v>
      </c>
      <c r="BM29" s="604">
        <v>174</v>
      </c>
      <c r="BN29" s="604">
        <v>17349</v>
      </c>
      <c r="BO29" s="604">
        <v>10</v>
      </c>
      <c r="BP29" s="604" t="s">
        <v>437</v>
      </c>
      <c r="BR29" s="547" t="str">
        <f t="shared" si="8"/>
        <v>&lt;1 dayFemalesex</v>
      </c>
      <c r="BS29" s="604">
        <v>2016</v>
      </c>
      <c r="BT29" s="604" t="s">
        <v>469</v>
      </c>
      <c r="BU29" s="604" t="s">
        <v>71</v>
      </c>
      <c r="BV29" s="604" t="s">
        <v>451</v>
      </c>
      <c r="BW29" s="604">
        <v>48</v>
      </c>
      <c r="BY29" s="553" t="str">
        <f t="shared" si="9"/>
        <v>200340+ageSIDS</v>
      </c>
      <c r="BZ29" s="604">
        <v>2003</v>
      </c>
      <c r="CA29" s="604" t="s">
        <v>134</v>
      </c>
      <c r="CB29" s="604" t="s">
        <v>453</v>
      </c>
      <c r="CC29" s="604">
        <v>2</v>
      </c>
      <c r="CD29" s="604" t="s">
        <v>32</v>
      </c>
      <c r="CF29" s="554" t="str">
        <f t="shared" si="10"/>
        <v>2016European or OtherMalesexSIDS</v>
      </c>
      <c r="CG29" s="604">
        <v>2016</v>
      </c>
      <c r="CH29" s="604" t="s">
        <v>356</v>
      </c>
      <c r="CI29" s="604" t="s">
        <v>70</v>
      </c>
      <c r="CJ29" s="604" t="s">
        <v>451</v>
      </c>
      <c r="CK29" s="604">
        <v>2</v>
      </c>
      <c r="CL29" s="604" t="s">
        <v>32</v>
      </c>
      <c r="CN29" s="575" t="str">
        <f t="shared" si="11"/>
        <v>2012A00–B99fetal</v>
      </c>
      <c r="CO29" s="604">
        <v>2012</v>
      </c>
      <c r="CP29" s="604" t="s">
        <v>498</v>
      </c>
      <c r="CQ29" s="604">
        <v>0</v>
      </c>
      <c r="CR29" s="604">
        <v>0</v>
      </c>
      <c r="CS29" s="604">
        <v>0</v>
      </c>
      <c r="CT29" s="604" t="s">
        <v>420</v>
      </c>
      <c r="CV29" s="575"/>
    </row>
    <row r="30" spans="1:100">
      <c r="A30" s="502" t="str">
        <f t="shared" si="0"/>
        <v>2002deathsPost-neonatal</v>
      </c>
      <c r="B30" s="604">
        <v>2002</v>
      </c>
      <c r="C30" s="604" t="s">
        <v>496</v>
      </c>
      <c r="D30" s="604" t="s">
        <v>43</v>
      </c>
      <c r="E30" s="604">
        <v>116</v>
      </c>
      <c r="F30" s="604">
        <v>54515</v>
      </c>
      <c r="G30" s="604">
        <v>2.1</v>
      </c>
      <c r="I30" s="578" t="str">
        <f t="shared" si="1"/>
        <v>1996ageUnknownFetal</v>
      </c>
      <c r="J30" s="604">
        <v>1996</v>
      </c>
      <c r="K30" s="604" t="s">
        <v>453</v>
      </c>
      <c r="L30" s="604" t="s">
        <v>63</v>
      </c>
      <c r="M30" s="604">
        <v>1</v>
      </c>
      <c r="N30" s="604">
        <v>1</v>
      </c>
      <c r="O30" s="604" t="s">
        <v>119</v>
      </c>
      <c r="P30" s="604" t="s">
        <v>47</v>
      </c>
      <c r="Q30" s="499"/>
      <c r="R30" s="502" t="str">
        <f t="shared" si="2"/>
        <v>1999birthsbwtUnknown</v>
      </c>
      <c r="S30" s="604">
        <v>1999</v>
      </c>
      <c r="T30" s="604" t="s">
        <v>445</v>
      </c>
      <c r="U30" s="604" t="s">
        <v>447</v>
      </c>
      <c r="V30" s="604" t="s">
        <v>63</v>
      </c>
      <c r="W30" s="604">
        <v>46</v>
      </c>
      <c r="Y30" s="535" t="str">
        <f t="shared" si="3"/>
        <v>2016sexageFemale20-24fetal</v>
      </c>
      <c r="Z30" s="604">
        <v>2016</v>
      </c>
      <c r="AA30" s="604" t="s">
        <v>451</v>
      </c>
      <c r="AB30" s="604" t="s">
        <v>453</v>
      </c>
      <c r="AC30" s="604" t="s">
        <v>71</v>
      </c>
      <c r="AD30" s="604" t="s">
        <v>130</v>
      </c>
      <c r="AE30" s="604">
        <v>32</v>
      </c>
      <c r="AF30" s="604">
        <v>4804</v>
      </c>
      <c r="AG30" s="604">
        <v>6.6</v>
      </c>
      <c r="AH30" s="604" t="s">
        <v>420</v>
      </c>
      <c r="AJ30" s="535" t="str">
        <f t="shared" si="4"/>
        <v>2016sexageFemale20-24</v>
      </c>
      <c r="AK30" s="604">
        <v>2016</v>
      </c>
      <c r="AL30" s="604" t="s">
        <v>451</v>
      </c>
      <c r="AM30" s="604" t="s">
        <v>453</v>
      </c>
      <c r="AN30" s="604" t="s">
        <v>71</v>
      </c>
      <c r="AO30" s="604" t="s">
        <v>130</v>
      </c>
      <c r="AP30" s="604">
        <v>4804</v>
      </c>
      <c r="AR30" s="538" t="str">
        <f t="shared" si="5"/>
        <v>40+agefetalNorthland</v>
      </c>
      <c r="AS30" s="604">
        <v>2016</v>
      </c>
      <c r="AT30" s="604" t="s">
        <v>134</v>
      </c>
      <c r="AU30" s="604" t="s">
        <v>453</v>
      </c>
      <c r="AV30" s="604" t="s">
        <v>85</v>
      </c>
      <c r="AW30" s="604">
        <v>1</v>
      </c>
      <c r="AX30" s="604">
        <v>99</v>
      </c>
      <c r="AY30" s="606">
        <v>10.1</v>
      </c>
      <c r="AZ30" s="604" t="s">
        <v>420</v>
      </c>
      <c r="BB30" s="536" t="str">
        <f t="shared" si="6"/>
        <v>40+agebirthsNorthland</v>
      </c>
      <c r="BC30" s="604">
        <v>2016</v>
      </c>
      <c r="BD30" s="604" t="s">
        <v>134</v>
      </c>
      <c r="BE30" s="604" t="s">
        <v>453</v>
      </c>
      <c r="BF30" s="604" t="s">
        <v>85</v>
      </c>
      <c r="BG30" s="604">
        <v>98</v>
      </c>
      <c r="BH30" s="604" t="s">
        <v>445</v>
      </c>
      <c r="BJ30" s="542" t="str">
        <f t="shared" si="7"/>
        <v>20-24ageinfant</v>
      </c>
      <c r="BK30" s="604" t="s">
        <v>130</v>
      </c>
      <c r="BL30" s="604" t="s">
        <v>453</v>
      </c>
      <c r="BM30" s="604">
        <v>351</v>
      </c>
      <c r="BN30" s="604">
        <v>55147</v>
      </c>
      <c r="BO30" s="604">
        <v>6.4</v>
      </c>
      <c r="BP30" s="604" t="s">
        <v>437</v>
      </c>
      <c r="BR30" s="547" t="str">
        <f t="shared" si="8"/>
        <v>1-6 daysMalesex</v>
      </c>
      <c r="BS30" s="604">
        <v>2016</v>
      </c>
      <c r="BT30" s="604" t="s">
        <v>470</v>
      </c>
      <c r="BU30" s="604" t="s">
        <v>70</v>
      </c>
      <c r="BV30" s="604" t="s">
        <v>451</v>
      </c>
      <c r="BW30" s="604">
        <v>15</v>
      </c>
      <c r="BY30" s="553" t="str">
        <f t="shared" si="9"/>
        <v>2003UnknownageSIDS</v>
      </c>
      <c r="BZ30" s="604">
        <v>2003</v>
      </c>
      <c r="CA30" s="604" t="s">
        <v>63</v>
      </c>
      <c r="CB30" s="604" t="s">
        <v>453</v>
      </c>
      <c r="CC30" s="604">
        <v>0</v>
      </c>
      <c r="CD30" s="604" t="s">
        <v>32</v>
      </c>
      <c r="CF30" s="554" t="str">
        <f t="shared" si="10"/>
        <v>2016MaoriMalesexSIDS</v>
      </c>
      <c r="CG30" s="604">
        <v>2016</v>
      </c>
      <c r="CH30" s="604" t="s">
        <v>129</v>
      </c>
      <c r="CI30" s="604" t="s">
        <v>70</v>
      </c>
      <c r="CJ30" s="604" t="s">
        <v>451</v>
      </c>
      <c r="CK30" s="604">
        <v>9</v>
      </c>
      <c r="CL30" s="604" t="s">
        <v>32</v>
      </c>
      <c r="CN30" s="575" t="str">
        <f t="shared" si="11"/>
        <v>2012C00–D48fetal</v>
      </c>
      <c r="CO30" s="604">
        <v>2012</v>
      </c>
      <c r="CP30" s="604" t="s">
        <v>499</v>
      </c>
      <c r="CQ30" s="604">
        <v>5</v>
      </c>
      <c r="CR30" s="604">
        <v>1.1000000000000001</v>
      </c>
      <c r="CS30" s="604">
        <v>0.08</v>
      </c>
      <c r="CT30" s="604" t="s">
        <v>420</v>
      </c>
      <c r="CV30" s="575"/>
    </row>
    <row r="31" spans="1:100">
      <c r="A31" s="502" t="str">
        <f t="shared" si="0"/>
        <v>2003deathsFetal</v>
      </c>
      <c r="B31" s="604">
        <v>2003</v>
      </c>
      <c r="C31" s="604" t="s">
        <v>496</v>
      </c>
      <c r="D31" s="604" t="s">
        <v>47</v>
      </c>
      <c r="E31" s="604">
        <v>393</v>
      </c>
      <c r="F31" s="604">
        <v>56969</v>
      </c>
      <c r="G31" s="604">
        <v>6.9</v>
      </c>
      <c r="I31" s="578" t="str">
        <f t="shared" si="1"/>
        <v>1997age&lt;20Fetal</v>
      </c>
      <c r="J31" s="604">
        <v>1997</v>
      </c>
      <c r="K31" s="604" t="s">
        <v>453</v>
      </c>
      <c r="L31" s="604" t="s">
        <v>339</v>
      </c>
      <c r="M31" s="604">
        <v>36</v>
      </c>
      <c r="N31" s="604">
        <v>4439</v>
      </c>
      <c r="O31" s="604">
        <v>8.1</v>
      </c>
      <c r="P31" s="604" t="s">
        <v>47</v>
      </c>
      <c r="Q31" s="499"/>
      <c r="R31" s="502" t="str">
        <f t="shared" si="2"/>
        <v>2000birthsbwt&lt;500</v>
      </c>
      <c r="S31" s="604">
        <v>2000</v>
      </c>
      <c r="T31" s="604" t="s">
        <v>445</v>
      </c>
      <c r="U31" s="604" t="s">
        <v>447</v>
      </c>
      <c r="V31" s="604" t="s">
        <v>427</v>
      </c>
      <c r="W31" s="604">
        <v>65</v>
      </c>
      <c r="Y31" s="535" t="str">
        <f t="shared" si="3"/>
        <v>2016sexageMale25-29fetal</v>
      </c>
      <c r="Z31" s="604">
        <v>2016</v>
      </c>
      <c r="AA31" s="604" t="s">
        <v>451</v>
      </c>
      <c r="AB31" s="604" t="s">
        <v>453</v>
      </c>
      <c r="AC31" s="604" t="s">
        <v>70</v>
      </c>
      <c r="AD31" s="604" t="s">
        <v>131</v>
      </c>
      <c r="AE31" s="604">
        <v>46</v>
      </c>
      <c r="AF31" s="604">
        <v>8428</v>
      </c>
      <c r="AG31" s="604">
        <v>5.4</v>
      </c>
      <c r="AH31" s="604" t="s">
        <v>420</v>
      </c>
      <c r="AJ31" s="535" t="str">
        <f t="shared" si="4"/>
        <v>2016sexageMale25-29</v>
      </c>
      <c r="AK31" s="604">
        <v>2016</v>
      </c>
      <c r="AL31" s="604" t="s">
        <v>451</v>
      </c>
      <c r="AM31" s="604" t="s">
        <v>453</v>
      </c>
      <c r="AN31" s="604" t="s">
        <v>70</v>
      </c>
      <c r="AO31" s="604" t="s">
        <v>131</v>
      </c>
      <c r="AP31" s="604">
        <v>8428</v>
      </c>
      <c r="AR31" s="538" t="str">
        <f t="shared" si="5"/>
        <v>&lt;20agefetalWaitemata</v>
      </c>
      <c r="AS31" s="604">
        <v>2016</v>
      </c>
      <c r="AT31" s="604" t="s">
        <v>339</v>
      </c>
      <c r="AU31" s="604" t="s">
        <v>453</v>
      </c>
      <c r="AV31" s="604" t="s">
        <v>86</v>
      </c>
      <c r="AW31" s="604">
        <v>3</v>
      </c>
      <c r="AX31" s="604">
        <v>195</v>
      </c>
      <c r="AY31" s="606">
        <v>15.4</v>
      </c>
      <c r="AZ31" s="604" t="s">
        <v>420</v>
      </c>
      <c r="BB31" s="536" t="str">
        <f t="shared" si="6"/>
        <v>&lt;20agebirthsWaitemata</v>
      </c>
      <c r="BC31" s="604">
        <v>2016</v>
      </c>
      <c r="BD31" s="604" t="s">
        <v>339</v>
      </c>
      <c r="BE31" s="604" t="s">
        <v>453</v>
      </c>
      <c r="BF31" s="604" t="s">
        <v>86</v>
      </c>
      <c r="BG31" s="604">
        <v>192</v>
      </c>
      <c r="BH31" s="604" t="s">
        <v>445</v>
      </c>
      <c r="BJ31" s="542" t="str">
        <f t="shared" si="7"/>
        <v>25-29ageinfant</v>
      </c>
      <c r="BK31" s="604" t="s">
        <v>131</v>
      </c>
      <c r="BL31" s="604" t="s">
        <v>453</v>
      </c>
      <c r="BM31" s="604">
        <v>348</v>
      </c>
      <c r="BN31" s="604">
        <v>79165</v>
      </c>
      <c r="BO31" s="604">
        <v>4.4000000000000004</v>
      </c>
      <c r="BP31" s="604" t="s">
        <v>437</v>
      </c>
      <c r="BR31" s="547" t="str">
        <f t="shared" si="8"/>
        <v>1-6 daysFemalesex</v>
      </c>
      <c r="BS31" s="604">
        <v>2016</v>
      </c>
      <c r="BT31" s="604" t="s">
        <v>470</v>
      </c>
      <c r="BU31" s="604" t="s">
        <v>71</v>
      </c>
      <c r="BV31" s="604" t="s">
        <v>451</v>
      </c>
      <c r="BW31" s="604">
        <v>18</v>
      </c>
      <c r="BY31" s="553" t="str">
        <f t="shared" si="9"/>
        <v>2004&lt;20ageSIDS</v>
      </c>
      <c r="BZ31" s="604">
        <v>2004</v>
      </c>
      <c r="CA31" s="604" t="s">
        <v>339</v>
      </c>
      <c r="CB31" s="604" t="s">
        <v>453</v>
      </c>
      <c r="CC31" s="604">
        <v>8</v>
      </c>
      <c r="CD31" s="604" t="s">
        <v>32</v>
      </c>
      <c r="CF31" s="554" t="str">
        <f t="shared" si="10"/>
        <v>2016Pacific peoplesMalesexSIDS</v>
      </c>
      <c r="CG31" s="604">
        <v>2016</v>
      </c>
      <c r="CH31" s="604" t="s">
        <v>320</v>
      </c>
      <c r="CI31" s="604" t="s">
        <v>70</v>
      </c>
      <c r="CJ31" s="604" t="s">
        <v>451</v>
      </c>
      <c r="CK31" s="604">
        <v>1</v>
      </c>
      <c r="CL31" s="604" t="s">
        <v>32</v>
      </c>
      <c r="CN31" s="575" t="str">
        <f t="shared" si="11"/>
        <v>2012D50–D89fetal</v>
      </c>
      <c r="CO31" s="604">
        <v>2012</v>
      </c>
      <c r="CP31" s="604" t="s">
        <v>500</v>
      </c>
      <c r="CQ31" s="604">
        <v>1</v>
      </c>
      <c r="CR31" s="604">
        <v>0.2</v>
      </c>
      <c r="CS31" s="604">
        <v>0.02</v>
      </c>
      <c r="CT31" s="604" t="s">
        <v>420</v>
      </c>
      <c r="CV31" s="575"/>
    </row>
    <row r="32" spans="1:100">
      <c r="A32" s="502" t="str">
        <f t="shared" si="0"/>
        <v>2003deathsEarly neonatal</v>
      </c>
      <c r="B32" s="604">
        <v>2003</v>
      </c>
      <c r="C32" s="604" t="s">
        <v>496</v>
      </c>
      <c r="D32" s="604" t="s">
        <v>41</v>
      </c>
      <c r="E32" s="604">
        <v>141</v>
      </c>
      <c r="F32" s="604">
        <v>56576</v>
      </c>
      <c r="G32" s="604" t="s">
        <v>119</v>
      </c>
      <c r="I32" s="578" t="str">
        <f t="shared" si="1"/>
        <v>1997age20-24Fetal</v>
      </c>
      <c r="J32" s="604">
        <v>1997</v>
      </c>
      <c r="K32" s="604" t="s">
        <v>453</v>
      </c>
      <c r="L32" s="604" t="s">
        <v>130</v>
      </c>
      <c r="M32" s="604">
        <v>91</v>
      </c>
      <c r="N32" s="604">
        <v>10924</v>
      </c>
      <c r="O32" s="604">
        <v>8.3000000000000007</v>
      </c>
      <c r="P32" s="604" t="s">
        <v>47</v>
      </c>
      <c r="Q32" s="499"/>
      <c r="R32" s="502" t="str">
        <f t="shared" si="2"/>
        <v>2000birthsbwt500-999</v>
      </c>
      <c r="S32" s="604">
        <v>2000</v>
      </c>
      <c r="T32" s="604" t="s">
        <v>445</v>
      </c>
      <c r="U32" s="604" t="s">
        <v>447</v>
      </c>
      <c r="V32" s="604" t="s">
        <v>428</v>
      </c>
      <c r="W32" s="604">
        <v>235</v>
      </c>
      <c r="Y32" s="535" t="str">
        <f t="shared" si="3"/>
        <v>2016sexageFemale25-29fetal</v>
      </c>
      <c r="Z32" s="604">
        <v>2016</v>
      </c>
      <c r="AA32" s="604" t="s">
        <v>451</v>
      </c>
      <c r="AB32" s="604" t="s">
        <v>453</v>
      </c>
      <c r="AC32" s="604" t="s">
        <v>71</v>
      </c>
      <c r="AD32" s="604" t="s">
        <v>131</v>
      </c>
      <c r="AE32" s="604">
        <v>56</v>
      </c>
      <c r="AF32" s="604">
        <v>8236</v>
      </c>
      <c r="AG32" s="604">
        <v>6.8</v>
      </c>
      <c r="AH32" s="604" t="s">
        <v>420</v>
      </c>
      <c r="AJ32" s="535" t="str">
        <f t="shared" si="4"/>
        <v>2016sexageFemale25-29</v>
      </c>
      <c r="AK32" s="604">
        <v>2016</v>
      </c>
      <c r="AL32" s="604" t="s">
        <v>451</v>
      </c>
      <c r="AM32" s="604" t="s">
        <v>453</v>
      </c>
      <c r="AN32" s="604" t="s">
        <v>71</v>
      </c>
      <c r="AO32" s="604" t="s">
        <v>131</v>
      </c>
      <c r="AP32" s="604">
        <v>8236</v>
      </c>
      <c r="AR32" s="538" t="str">
        <f t="shared" si="5"/>
        <v>20-24agefetalWaitemata</v>
      </c>
      <c r="AS32" s="604">
        <v>2016</v>
      </c>
      <c r="AT32" s="604" t="s">
        <v>130</v>
      </c>
      <c r="AU32" s="604" t="s">
        <v>453</v>
      </c>
      <c r="AV32" s="604" t="s">
        <v>86</v>
      </c>
      <c r="AW32" s="604">
        <v>3</v>
      </c>
      <c r="AX32" s="604">
        <v>865</v>
      </c>
      <c r="AY32" s="606">
        <v>3.5</v>
      </c>
      <c r="AZ32" s="604" t="s">
        <v>420</v>
      </c>
      <c r="BB32" s="536" t="str">
        <f t="shared" si="6"/>
        <v>20-24agebirthsWaitemata</v>
      </c>
      <c r="BC32" s="604">
        <v>2016</v>
      </c>
      <c r="BD32" s="604" t="s">
        <v>130</v>
      </c>
      <c r="BE32" s="604" t="s">
        <v>453</v>
      </c>
      <c r="BF32" s="604" t="s">
        <v>86</v>
      </c>
      <c r="BG32" s="604">
        <v>862</v>
      </c>
      <c r="BH32" s="604" t="s">
        <v>445</v>
      </c>
      <c r="BJ32" s="542" t="str">
        <f t="shared" si="7"/>
        <v>30-34ageinfant</v>
      </c>
      <c r="BK32" s="604" t="s">
        <v>132</v>
      </c>
      <c r="BL32" s="604" t="s">
        <v>453</v>
      </c>
      <c r="BM32" s="604">
        <v>329</v>
      </c>
      <c r="BN32" s="604">
        <v>88132</v>
      </c>
      <c r="BO32" s="604">
        <v>3.7</v>
      </c>
      <c r="BP32" s="604" t="s">
        <v>437</v>
      </c>
      <c r="BR32" s="547" t="str">
        <f t="shared" si="8"/>
        <v>28+ daysMalesex</v>
      </c>
      <c r="BS32" s="604">
        <v>2016</v>
      </c>
      <c r="BT32" s="604" t="s">
        <v>117</v>
      </c>
      <c r="BU32" s="604" t="s">
        <v>70</v>
      </c>
      <c r="BV32" s="604" t="s">
        <v>451</v>
      </c>
      <c r="BW32" s="604">
        <v>47</v>
      </c>
      <c r="BY32" s="553" t="str">
        <f t="shared" si="9"/>
        <v>200420-24ageSIDS</v>
      </c>
      <c r="BZ32" s="604">
        <v>2004</v>
      </c>
      <c r="CA32" s="604" t="s">
        <v>130</v>
      </c>
      <c r="CB32" s="604" t="s">
        <v>453</v>
      </c>
      <c r="CC32" s="604">
        <v>13</v>
      </c>
      <c r="CD32" s="604" t="s">
        <v>32</v>
      </c>
      <c r="CF32" s="554" t="str">
        <f t="shared" si="10"/>
        <v>2016AsianFemalesexSIDS</v>
      </c>
      <c r="CG32" s="604">
        <v>2016</v>
      </c>
      <c r="CH32" s="604" t="s">
        <v>355</v>
      </c>
      <c r="CI32" s="604" t="s">
        <v>71</v>
      </c>
      <c r="CJ32" s="604" t="s">
        <v>451</v>
      </c>
      <c r="CK32" s="604">
        <v>0</v>
      </c>
      <c r="CL32" s="604" t="s">
        <v>32</v>
      </c>
      <c r="CN32" s="575" t="str">
        <f t="shared" si="11"/>
        <v>2012E00–E89fetal</v>
      </c>
      <c r="CO32" s="604">
        <v>2012</v>
      </c>
      <c r="CP32" s="604" t="s">
        <v>501</v>
      </c>
      <c r="CQ32" s="604">
        <v>0</v>
      </c>
      <c r="CR32" s="604">
        <v>0</v>
      </c>
      <c r="CS32" s="604">
        <v>0</v>
      </c>
      <c r="CT32" s="604" t="s">
        <v>420</v>
      </c>
      <c r="CV32" s="575"/>
    </row>
    <row r="33" spans="1:100">
      <c r="A33" s="502" t="str">
        <f t="shared" si="0"/>
        <v>2003deathsLate neonatal</v>
      </c>
      <c r="B33" s="604">
        <v>2003</v>
      </c>
      <c r="C33" s="604" t="s">
        <v>496</v>
      </c>
      <c r="D33" s="604" t="s">
        <v>42</v>
      </c>
      <c r="E33" s="604">
        <v>43</v>
      </c>
      <c r="F33" s="604">
        <v>56576</v>
      </c>
      <c r="G33" s="604" t="s">
        <v>119</v>
      </c>
      <c r="I33" s="578" t="str">
        <f t="shared" si="1"/>
        <v>1997age25-29Fetal</v>
      </c>
      <c r="J33" s="604">
        <v>1997</v>
      </c>
      <c r="K33" s="604" t="s">
        <v>453</v>
      </c>
      <c r="L33" s="604" t="s">
        <v>131</v>
      </c>
      <c r="M33" s="604">
        <v>101</v>
      </c>
      <c r="N33" s="604">
        <v>17257</v>
      </c>
      <c r="O33" s="604">
        <v>5.9</v>
      </c>
      <c r="P33" s="604" t="s">
        <v>47</v>
      </c>
      <c r="Q33" s="499"/>
      <c r="R33" s="502" t="str">
        <f t="shared" si="2"/>
        <v>2000birthsbwt1000-1499</v>
      </c>
      <c r="S33" s="604">
        <v>2000</v>
      </c>
      <c r="T33" s="604" t="s">
        <v>445</v>
      </c>
      <c r="U33" s="604" t="s">
        <v>447</v>
      </c>
      <c r="V33" s="604" t="s">
        <v>429</v>
      </c>
      <c r="W33" s="604">
        <v>365</v>
      </c>
      <c r="Y33" s="535" t="str">
        <f t="shared" si="3"/>
        <v>2016sexageMale30-34fetal</v>
      </c>
      <c r="Z33" s="604">
        <v>2016</v>
      </c>
      <c r="AA33" s="604" t="s">
        <v>451</v>
      </c>
      <c r="AB33" s="604" t="s">
        <v>453</v>
      </c>
      <c r="AC33" s="604" t="s">
        <v>70</v>
      </c>
      <c r="AD33" s="604" t="s">
        <v>132</v>
      </c>
      <c r="AE33" s="604">
        <v>65</v>
      </c>
      <c r="AF33" s="604">
        <v>9738</v>
      </c>
      <c r="AG33" s="604">
        <v>6.6</v>
      </c>
      <c r="AH33" s="604" t="s">
        <v>420</v>
      </c>
      <c r="AJ33" s="535" t="str">
        <f t="shared" si="4"/>
        <v>2016sexageMale30-34</v>
      </c>
      <c r="AK33" s="604">
        <v>2016</v>
      </c>
      <c r="AL33" s="604" t="s">
        <v>451</v>
      </c>
      <c r="AM33" s="604" t="s">
        <v>453</v>
      </c>
      <c r="AN33" s="604" t="s">
        <v>70</v>
      </c>
      <c r="AO33" s="604" t="s">
        <v>132</v>
      </c>
      <c r="AP33" s="604">
        <v>9738</v>
      </c>
      <c r="AR33" s="538" t="str">
        <f t="shared" si="5"/>
        <v>25-29agefetalWaitemata</v>
      </c>
      <c r="AS33" s="604">
        <v>2016</v>
      </c>
      <c r="AT33" s="604" t="s">
        <v>131</v>
      </c>
      <c r="AU33" s="604" t="s">
        <v>453</v>
      </c>
      <c r="AV33" s="604" t="s">
        <v>86</v>
      </c>
      <c r="AW33" s="604">
        <v>11</v>
      </c>
      <c r="AX33" s="604">
        <v>2123</v>
      </c>
      <c r="AY33" s="606">
        <v>5.2</v>
      </c>
      <c r="AZ33" s="604" t="s">
        <v>420</v>
      </c>
      <c r="BB33" s="536" t="str">
        <f t="shared" si="6"/>
        <v>25-29agebirthsWaitemata</v>
      </c>
      <c r="BC33" s="604">
        <v>2016</v>
      </c>
      <c r="BD33" s="604" t="s">
        <v>131</v>
      </c>
      <c r="BE33" s="604" t="s">
        <v>453</v>
      </c>
      <c r="BF33" s="604" t="s">
        <v>86</v>
      </c>
      <c r="BG33" s="604">
        <v>2112</v>
      </c>
      <c r="BH33" s="604" t="s">
        <v>445</v>
      </c>
      <c r="BJ33" s="542" t="str">
        <f t="shared" si="7"/>
        <v>35-39ageinfant</v>
      </c>
      <c r="BK33" s="604" t="s">
        <v>133</v>
      </c>
      <c r="BL33" s="604" t="s">
        <v>453</v>
      </c>
      <c r="BM33" s="604">
        <v>217</v>
      </c>
      <c r="BN33" s="604">
        <v>51595</v>
      </c>
      <c r="BO33" s="604">
        <v>4.2</v>
      </c>
      <c r="BP33" s="604" t="s">
        <v>437</v>
      </c>
      <c r="BR33" s="547" t="str">
        <f t="shared" si="8"/>
        <v>28+ daysFemalesex</v>
      </c>
      <c r="BS33" s="604">
        <v>2016</v>
      </c>
      <c r="BT33" s="604" t="s">
        <v>117</v>
      </c>
      <c r="BU33" s="604" t="s">
        <v>71</v>
      </c>
      <c r="BV33" s="604" t="s">
        <v>451</v>
      </c>
      <c r="BW33" s="604">
        <v>33</v>
      </c>
      <c r="BY33" s="553" t="str">
        <f t="shared" si="9"/>
        <v>200425-29ageSIDS</v>
      </c>
      <c r="BZ33" s="604">
        <v>2004</v>
      </c>
      <c r="CA33" s="604" t="s">
        <v>131</v>
      </c>
      <c r="CB33" s="604" t="s">
        <v>453</v>
      </c>
      <c r="CC33" s="604">
        <v>10</v>
      </c>
      <c r="CD33" s="604" t="s">
        <v>32</v>
      </c>
      <c r="CF33" s="554" t="str">
        <f t="shared" si="10"/>
        <v>2016European or OtherFemalesexSIDS</v>
      </c>
      <c r="CG33" s="604">
        <v>2016</v>
      </c>
      <c r="CH33" s="604" t="s">
        <v>356</v>
      </c>
      <c r="CI33" s="604" t="s">
        <v>71</v>
      </c>
      <c r="CJ33" s="604" t="s">
        <v>451</v>
      </c>
      <c r="CK33" s="604">
        <v>2</v>
      </c>
      <c r="CL33" s="604" t="s">
        <v>32</v>
      </c>
      <c r="CN33" s="575" t="str">
        <f t="shared" si="11"/>
        <v>2012G00–G99fetal</v>
      </c>
      <c r="CO33" s="604">
        <v>2012</v>
      </c>
      <c r="CP33" s="604" t="s">
        <v>503</v>
      </c>
      <c r="CQ33" s="604">
        <v>0</v>
      </c>
      <c r="CR33" s="604">
        <v>0</v>
      </c>
      <c r="CS33" s="604">
        <v>0</v>
      </c>
      <c r="CT33" s="604" t="s">
        <v>420</v>
      </c>
      <c r="CV33" s="575"/>
    </row>
    <row r="34" spans="1:100">
      <c r="A34" s="502" t="str">
        <f t="shared" si="0"/>
        <v>2003deathsPost-neonatal</v>
      </c>
      <c r="B34" s="604">
        <v>2003</v>
      </c>
      <c r="C34" s="604" t="s">
        <v>496</v>
      </c>
      <c r="D34" s="604" t="s">
        <v>43</v>
      </c>
      <c r="E34" s="604">
        <v>120</v>
      </c>
      <c r="F34" s="604">
        <v>56576</v>
      </c>
      <c r="G34" s="604">
        <v>2.1</v>
      </c>
      <c r="I34" s="578" t="str">
        <f t="shared" si="1"/>
        <v>1997age30-34Fetal</v>
      </c>
      <c r="J34" s="604">
        <v>1997</v>
      </c>
      <c r="K34" s="604" t="s">
        <v>453</v>
      </c>
      <c r="L34" s="604" t="s">
        <v>132</v>
      </c>
      <c r="M34" s="604">
        <v>109</v>
      </c>
      <c r="N34" s="604">
        <v>16797</v>
      </c>
      <c r="O34" s="604">
        <v>6.5</v>
      </c>
      <c r="P34" s="604" t="s">
        <v>47</v>
      </c>
      <c r="Q34" s="499"/>
      <c r="R34" s="502" t="str">
        <f t="shared" si="2"/>
        <v>2000birthsbwt1500-2499</v>
      </c>
      <c r="S34" s="604">
        <v>2000</v>
      </c>
      <c r="T34" s="604" t="s">
        <v>445</v>
      </c>
      <c r="U34" s="604" t="s">
        <v>447</v>
      </c>
      <c r="V34" s="604" t="s">
        <v>430</v>
      </c>
      <c r="W34" s="604">
        <v>2949</v>
      </c>
      <c r="Y34" s="535" t="str">
        <f t="shared" si="3"/>
        <v>2016sexageFemale30-34fetal</v>
      </c>
      <c r="Z34" s="604">
        <v>2016</v>
      </c>
      <c r="AA34" s="604" t="s">
        <v>451</v>
      </c>
      <c r="AB34" s="604" t="s">
        <v>453</v>
      </c>
      <c r="AC34" s="604" t="s">
        <v>71</v>
      </c>
      <c r="AD34" s="604" t="s">
        <v>132</v>
      </c>
      <c r="AE34" s="604">
        <v>48</v>
      </c>
      <c r="AF34" s="604">
        <v>8982</v>
      </c>
      <c r="AG34" s="604">
        <v>5.3</v>
      </c>
      <c r="AH34" s="604" t="s">
        <v>420</v>
      </c>
      <c r="AJ34" s="535" t="str">
        <f t="shared" si="4"/>
        <v>2016sexageFemale30-34</v>
      </c>
      <c r="AK34" s="604">
        <v>2016</v>
      </c>
      <c r="AL34" s="604" t="s">
        <v>451</v>
      </c>
      <c r="AM34" s="604" t="s">
        <v>453</v>
      </c>
      <c r="AN34" s="604" t="s">
        <v>71</v>
      </c>
      <c r="AO34" s="604" t="s">
        <v>132</v>
      </c>
      <c r="AP34" s="604">
        <v>8982</v>
      </c>
      <c r="AR34" s="538" t="str">
        <f t="shared" si="5"/>
        <v>30-34agefetalWaitemata</v>
      </c>
      <c r="AS34" s="604">
        <v>2016</v>
      </c>
      <c r="AT34" s="604" t="s">
        <v>132</v>
      </c>
      <c r="AU34" s="604" t="s">
        <v>453</v>
      </c>
      <c r="AV34" s="604" t="s">
        <v>86</v>
      </c>
      <c r="AW34" s="604">
        <v>12</v>
      </c>
      <c r="AX34" s="604">
        <v>2944</v>
      </c>
      <c r="AY34" s="606">
        <v>4.0999999999999996</v>
      </c>
      <c r="AZ34" s="604" t="s">
        <v>420</v>
      </c>
      <c r="BB34" s="536" t="str">
        <f t="shared" si="6"/>
        <v>30-34agebirthsWaitemata</v>
      </c>
      <c r="BC34" s="604">
        <v>2016</v>
      </c>
      <c r="BD34" s="604" t="s">
        <v>132</v>
      </c>
      <c r="BE34" s="604" t="s">
        <v>453</v>
      </c>
      <c r="BF34" s="604" t="s">
        <v>86</v>
      </c>
      <c r="BG34" s="604">
        <v>2932</v>
      </c>
      <c r="BH34" s="604" t="s">
        <v>445</v>
      </c>
      <c r="BJ34" s="542" t="str">
        <f t="shared" si="7"/>
        <v>40+ageinfant</v>
      </c>
      <c r="BK34" s="604" t="s">
        <v>134</v>
      </c>
      <c r="BL34" s="604" t="s">
        <v>453</v>
      </c>
      <c r="BM34" s="604">
        <v>69</v>
      </c>
      <c r="BN34" s="604">
        <v>12929</v>
      </c>
      <c r="BO34" s="604">
        <v>5.3</v>
      </c>
      <c r="BP34" s="604" t="s">
        <v>437</v>
      </c>
      <c r="BR34" s="547" t="str">
        <f t="shared" si="8"/>
        <v>7-27 daysMalesex</v>
      </c>
      <c r="BS34" s="604">
        <v>2016</v>
      </c>
      <c r="BT34" s="604" t="s">
        <v>471</v>
      </c>
      <c r="BU34" s="604" t="s">
        <v>70</v>
      </c>
      <c r="BV34" s="604" t="s">
        <v>451</v>
      </c>
      <c r="BW34" s="604">
        <v>13</v>
      </c>
      <c r="BY34" s="553" t="str">
        <f t="shared" si="9"/>
        <v>200430-34ageSIDS</v>
      </c>
      <c r="BZ34" s="604">
        <v>2004</v>
      </c>
      <c r="CA34" s="604" t="s">
        <v>132</v>
      </c>
      <c r="CB34" s="604" t="s">
        <v>453</v>
      </c>
      <c r="CC34" s="604">
        <v>9</v>
      </c>
      <c r="CD34" s="604" t="s">
        <v>32</v>
      </c>
      <c r="CF34" s="554" t="str">
        <f t="shared" si="10"/>
        <v>2016MaoriFemalesexSIDS</v>
      </c>
      <c r="CG34" s="604">
        <v>2016</v>
      </c>
      <c r="CH34" s="604" t="s">
        <v>129</v>
      </c>
      <c r="CI34" s="604" t="s">
        <v>71</v>
      </c>
      <c r="CJ34" s="604" t="s">
        <v>451</v>
      </c>
      <c r="CK34" s="604">
        <v>6</v>
      </c>
      <c r="CL34" s="604" t="s">
        <v>32</v>
      </c>
      <c r="CN34" s="575" t="str">
        <f t="shared" si="11"/>
        <v>2012I00–I99fetal</v>
      </c>
      <c r="CO34" s="604">
        <v>2012</v>
      </c>
      <c r="CP34" s="604" t="s">
        <v>506</v>
      </c>
      <c r="CQ34" s="604">
        <v>1</v>
      </c>
      <c r="CR34" s="604">
        <v>0.2</v>
      </c>
      <c r="CS34" s="604">
        <v>0.02</v>
      </c>
      <c r="CT34" s="604" t="s">
        <v>420</v>
      </c>
      <c r="CV34" s="575"/>
    </row>
    <row r="35" spans="1:100">
      <c r="A35" s="502" t="str">
        <f t="shared" si="0"/>
        <v>2004deathsFetal</v>
      </c>
      <c r="B35" s="604">
        <v>2004</v>
      </c>
      <c r="C35" s="604" t="s">
        <v>496</v>
      </c>
      <c r="D35" s="604" t="s">
        <v>47</v>
      </c>
      <c r="E35" s="604">
        <v>506</v>
      </c>
      <c r="F35" s="604">
        <v>59229</v>
      </c>
      <c r="G35" s="604">
        <v>8.5</v>
      </c>
      <c r="I35" s="578" t="str">
        <f t="shared" si="1"/>
        <v>1997age35-39Fetal</v>
      </c>
      <c r="J35" s="604">
        <v>1997</v>
      </c>
      <c r="K35" s="604" t="s">
        <v>453</v>
      </c>
      <c r="L35" s="604" t="s">
        <v>133</v>
      </c>
      <c r="M35" s="604">
        <v>63</v>
      </c>
      <c r="N35" s="604">
        <v>7460</v>
      </c>
      <c r="O35" s="604">
        <v>8.4</v>
      </c>
      <c r="P35" s="604" t="s">
        <v>47</v>
      </c>
      <c r="Q35" s="499"/>
      <c r="R35" s="502" t="str">
        <f t="shared" si="2"/>
        <v>2000birthsbwt2500-4499</v>
      </c>
      <c r="S35" s="604">
        <v>2000</v>
      </c>
      <c r="T35" s="604" t="s">
        <v>445</v>
      </c>
      <c r="U35" s="604" t="s">
        <v>447</v>
      </c>
      <c r="V35" s="604" t="s">
        <v>431</v>
      </c>
      <c r="W35" s="604">
        <v>51817</v>
      </c>
      <c r="Y35" s="535" t="str">
        <f t="shared" si="3"/>
        <v>2016sexageMale35-39fetal</v>
      </c>
      <c r="Z35" s="604">
        <v>2016</v>
      </c>
      <c r="AA35" s="604" t="s">
        <v>451</v>
      </c>
      <c r="AB35" s="604" t="s">
        <v>453</v>
      </c>
      <c r="AC35" s="604" t="s">
        <v>70</v>
      </c>
      <c r="AD35" s="604" t="s">
        <v>133</v>
      </c>
      <c r="AE35" s="604">
        <v>38</v>
      </c>
      <c r="AF35" s="604">
        <v>5153</v>
      </c>
      <c r="AG35" s="604">
        <v>7.3</v>
      </c>
      <c r="AH35" s="604" t="s">
        <v>420</v>
      </c>
      <c r="AJ35" s="535" t="str">
        <f t="shared" si="4"/>
        <v>2016sexageMale35-39</v>
      </c>
      <c r="AK35" s="604">
        <v>2016</v>
      </c>
      <c r="AL35" s="604" t="s">
        <v>451</v>
      </c>
      <c r="AM35" s="604" t="s">
        <v>453</v>
      </c>
      <c r="AN35" s="604" t="s">
        <v>70</v>
      </c>
      <c r="AO35" s="604" t="s">
        <v>133</v>
      </c>
      <c r="AP35" s="604">
        <v>5153</v>
      </c>
      <c r="AR35" s="538" t="str">
        <f t="shared" si="5"/>
        <v>35-39agefetalWaitemata</v>
      </c>
      <c r="AS35" s="604">
        <v>2016</v>
      </c>
      <c r="AT35" s="604" t="s">
        <v>133</v>
      </c>
      <c r="AU35" s="604" t="s">
        <v>453</v>
      </c>
      <c r="AV35" s="604" t="s">
        <v>86</v>
      </c>
      <c r="AW35" s="604">
        <v>11</v>
      </c>
      <c r="AX35" s="604">
        <v>1629</v>
      </c>
      <c r="AY35" s="606">
        <v>6.8</v>
      </c>
      <c r="AZ35" s="604" t="s">
        <v>420</v>
      </c>
      <c r="BB35" s="536" t="str">
        <f t="shared" si="6"/>
        <v>35-39agebirthsWaitemata</v>
      </c>
      <c r="BC35" s="604">
        <v>2016</v>
      </c>
      <c r="BD35" s="604" t="s">
        <v>133</v>
      </c>
      <c r="BE35" s="604" t="s">
        <v>453</v>
      </c>
      <c r="BF35" s="604" t="s">
        <v>86</v>
      </c>
      <c r="BG35" s="604">
        <v>1618</v>
      </c>
      <c r="BH35" s="604" t="s">
        <v>445</v>
      </c>
      <c r="BJ35" s="542" t="str">
        <f t="shared" si="7"/>
        <v>Unknownageinfant</v>
      </c>
      <c r="BK35" s="604" t="s">
        <v>63</v>
      </c>
      <c r="BL35" s="604" t="s">
        <v>453</v>
      </c>
      <c r="BM35" s="604">
        <v>23</v>
      </c>
      <c r="BN35" s="604">
        <v>0</v>
      </c>
      <c r="BO35" s="604" t="s">
        <v>119</v>
      </c>
      <c r="BP35" s="604" t="s">
        <v>437</v>
      </c>
      <c r="BR35" s="547" t="str">
        <f t="shared" si="8"/>
        <v>7-27 daysFemalesex</v>
      </c>
      <c r="BS35" s="604">
        <v>2016</v>
      </c>
      <c r="BT35" s="604" t="s">
        <v>471</v>
      </c>
      <c r="BU35" s="604" t="s">
        <v>71</v>
      </c>
      <c r="BV35" s="604" t="s">
        <v>451</v>
      </c>
      <c r="BW35" s="604">
        <v>15</v>
      </c>
      <c r="BY35" s="553" t="str">
        <f t="shared" si="9"/>
        <v>200435-39ageSIDS</v>
      </c>
      <c r="BZ35" s="604">
        <v>2004</v>
      </c>
      <c r="CA35" s="604" t="s">
        <v>133</v>
      </c>
      <c r="CB35" s="604" t="s">
        <v>453</v>
      </c>
      <c r="CC35" s="604">
        <v>5</v>
      </c>
      <c r="CD35" s="604" t="s">
        <v>32</v>
      </c>
      <c r="CF35" s="554" t="str">
        <f t="shared" si="10"/>
        <v>2016Pacific peoplesFemalesexSIDS</v>
      </c>
      <c r="CG35" s="604">
        <v>2016</v>
      </c>
      <c r="CH35" s="604" t="s">
        <v>320</v>
      </c>
      <c r="CI35" s="604" t="s">
        <v>71</v>
      </c>
      <c r="CJ35" s="604" t="s">
        <v>451</v>
      </c>
      <c r="CK35" s="604">
        <v>2</v>
      </c>
      <c r="CL35" s="604" t="s">
        <v>32</v>
      </c>
      <c r="CN35" s="575" t="str">
        <f t="shared" si="11"/>
        <v>2012J00–J99fetal</v>
      </c>
      <c r="CO35" s="604">
        <v>2012</v>
      </c>
      <c r="CP35" s="604" t="s">
        <v>507</v>
      </c>
      <c r="CQ35" s="604">
        <v>0</v>
      </c>
      <c r="CR35" s="604">
        <v>0</v>
      </c>
      <c r="CS35" s="604">
        <v>0</v>
      </c>
      <c r="CT35" s="604" t="s">
        <v>420</v>
      </c>
      <c r="CV35" s="575"/>
    </row>
    <row r="36" spans="1:100">
      <c r="A36" s="502" t="str">
        <f t="shared" si="0"/>
        <v>2004deathsEarly neonatal</v>
      </c>
      <c r="B36" s="604">
        <v>2004</v>
      </c>
      <c r="C36" s="604" t="s">
        <v>496</v>
      </c>
      <c r="D36" s="604" t="s">
        <v>41</v>
      </c>
      <c r="E36" s="604">
        <v>160</v>
      </c>
      <c r="F36" s="604">
        <v>58723</v>
      </c>
      <c r="G36" s="604" t="s">
        <v>119</v>
      </c>
      <c r="I36" s="578" t="str">
        <f t="shared" si="1"/>
        <v>1997age40+Fetal</v>
      </c>
      <c r="J36" s="604">
        <v>1997</v>
      </c>
      <c r="K36" s="604" t="s">
        <v>453</v>
      </c>
      <c r="L36" s="604" t="s">
        <v>134</v>
      </c>
      <c r="M36" s="604">
        <v>14</v>
      </c>
      <c r="N36" s="604">
        <v>1271</v>
      </c>
      <c r="O36" s="604">
        <v>11</v>
      </c>
      <c r="P36" s="604" t="s">
        <v>47</v>
      </c>
      <c r="Q36" s="499"/>
      <c r="R36" s="502" t="str">
        <f t="shared" si="2"/>
        <v>2000birthsbwt4500+</v>
      </c>
      <c r="S36" s="604">
        <v>2000</v>
      </c>
      <c r="T36" s="604" t="s">
        <v>445</v>
      </c>
      <c r="U36" s="604" t="s">
        <v>447</v>
      </c>
      <c r="V36" s="604" t="s">
        <v>432</v>
      </c>
      <c r="W36" s="604">
        <v>1521</v>
      </c>
      <c r="Y36" s="535" t="str">
        <f t="shared" si="3"/>
        <v>2016sexageFemale35-39fetal</v>
      </c>
      <c r="Z36" s="604">
        <v>2016</v>
      </c>
      <c r="AA36" s="604" t="s">
        <v>451</v>
      </c>
      <c r="AB36" s="604" t="s">
        <v>453</v>
      </c>
      <c r="AC36" s="604" t="s">
        <v>71</v>
      </c>
      <c r="AD36" s="604" t="s">
        <v>133</v>
      </c>
      <c r="AE36" s="604">
        <v>31</v>
      </c>
      <c r="AF36" s="604">
        <v>4952</v>
      </c>
      <c r="AG36" s="604">
        <v>6.2</v>
      </c>
      <c r="AH36" s="604" t="s">
        <v>420</v>
      </c>
      <c r="AJ36" s="535" t="str">
        <f t="shared" si="4"/>
        <v>2016sexageFemale35-39</v>
      </c>
      <c r="AK36" s="604">
        <v>2016</v>
      </c>
      <c r="AL36" s="604" t="s">
        <v>451</v>
      </c>
      <c r="AM36" s="604" t="s">
        <v>453</v>
      </c>
      <c r="AN36" s="604" t="s">
        <v>71</v>
      </c>
      <c r="AO36" s="604" t="s">
        <v>133</v>
      </c>
      <c r="AP36" s="604">
        <v>4952</v>
      </c>
      <c r="AR36" s="538" t="str">
        <f t="shared" si="5"/>
        <v>40+agefetalWaitemata</v>
      </c>
      <c r="AS36" s="604">
        <v>2016</v>
      </c>
      <c r="AT36" s="604" t="s">
        <v>134</v>
      </c>
      <c r="AU36" s="604" t="s">
        <v>453</v>
      </c>
      <c r="AV36" s="604" t="s">
        <v>86</v>
      </c>
      <c r="AW36" s="604">
        <v>2</v>
      </c>
      <c r="AX36" s="604">
        <v>337</v>
      </c>
      <c r="AY36" s="606">
        <v>5.9</v>
      </c>
      <c r="AZ36" s="604" t="s">
        <v>420</v>
      </c>
      <c r="BB36" s="536" t="str">
        <f t="shared" si="6"/>
        <v>40+agebirthsWaitemata</v>
      </c>
      <c r="BC36" s="604">
        <v>2016</v>
      </c>
      <c r="BD36" s="604" t="s">
        <v>134</v>
      </c>
      <c r="BE36" s="604" t="s">
        <v>453</v>
      </c>
      <c r="BF36" s="604" t="s">
        <v>86</v>
      </c>
      <c r="BG36" s="604">
        <v>335</v>
      </c>
      <c r="BH36" s="604" t="s">
        <v>445</v>
      </c>
      <c r="BR36" s="547" t="str">
        <f t="shared" si="8"/>
        <v>&lt;1 dayAsianeth</v>
      </c>
      <c r="BS36" s="604">
        <v>2016</v>
      </c>
      <c r="BT36" s="604" t="s">
        <v>469</v>
      </c>
      <c r="BU36" s="604" t="s">
        <v>355</v>
      </c>
      <c r="BV36" s="604" t="s">
        <v>449</v>
      </c>
      <c r="BW36" s="604">
        <v>18</v>
      </c>
      <c r="BY36" s="553" t="str">
        <f t="shared" si="9"/>
        <v>200440+ageSIDS</v>
      </c>
      <c r="BZ36" s="604">
        <v>2004</v>
      </c>
      <c r="CA36" s="604" t="s">
        <v>134</v>
      </c>
      <c r="CB36" s="604" t="s">
        <v>453</v>
      </c>
      <c r="CC36" s="604">
        <v>0</v>
      </c>
      <c r="CD36" s="604" t="s">
        <v>32</v>
      </c>
      <c r="CF36" s="554" t="str">
        <f t="shared" si="10"/>
        <v>2016European or OtherInd/UnksexSIDS</v>
      </c>
      <c r="CG36" s="604">
        <v>2016</v>
      </c>
      <c r="CH36" s="604" t="s">
        <v>356</v>
      </c>
      <c r="CI36" s="604" t="s">
        <v>458</v>
      </c>
      <c r="CJ36" s="604" t="s">
        <v>451</v>
      </c>
      <c r="CK36" s="604">
        <v>0</v>
      </c>
      <c r="CL36" s="604" t="s">
        <v>32</v>
      </c>
      <c r="CN36" s="575" t="str">
        <f t="shared" si="11"/>
        <v>2012P00–P96fetal</v>
      </c>
      <c r="CO36" s="604">
        <v>2012</v>
      </c>
      <c r="CP36" s="604" t="s">
        <v>513</v>
      </c>
      <c r="CQ36" s="604">
        <v>313</v>
      </c>
      <c r="CR36" s="604">
        <v>69.900000000000006</v>
      </c>
      <c r="CS36" s="604">
        <v>5.01</v>
      </c>
      <c r="CT36" s="604" t="s">
        <v>420</v>
      </c>
      <c r="CV36" s="575"/>
    </row>
    <row r="37" spans="1:100">
      <c r="A37" s="502" t="str">
        <f t="shared" si="0"/>
        <v>2004deathsLate neonatal</v>
      </c>
      <c r="B37" s="604">
        <v>2004</v>
      </c>
      <c r="C37" s="604" t="s">
        <v>496</v>
      </c>
      <c r="D37" s="604" t="s">
        <v>42</v>
      </c>
      <c r="E37" s="604">
        <v>37</v>
      </c>
      <c r="F37" s="604">
        <v>58723</v>
      </c>
      <c r="G37" s="604" t="s">
        <v>119</v>
      </c>
      <c r="I37" s="578" t="str">
        <f t="shared" si="1"/>
        <v>1997ageUnknownFetal</v>
      </c>
      <c r="J37" s="604">
        <v>1997</v>
      </c>
      <c r="K37" s="604" t="s">
        <v>453</v>
      </c>
      <c r="L37" s="604" t="s">
        <v>63</v>
      </c>
      <c r="M37" s="604">
        <v>3</v>
      </c>
      <c r="N37" s="604">
        <v>3</v>
      </c>
      <c r="O37" s="604" t="s">
        <v>119</v>
      </c>
      <c r="P37" s="604" t="s">
        <v>47</v>
      </c>
      <c r="Q37" s="499"/>
      <c r="R37" s="502" t="str">
        <f t="shared" si="2"/>
        <v>2000birthsbwtUnknown</v>
      </c>
      <c r="S37" s="604">
        <v>2000</v>
      </c>
      <c r="T37" s="604" t="s">
        <v>445</v>
      </c>
      <c r="U37" s="604" t="s">
        <v>447</v>
      </c>
      <c r="V37" s="604" t="s">
        <v>63</v>
      </c>
      <c r="W37" s="604">
        <v>42</v>
      </c>
      <c r="Y37" s="535" t="str">
        <f t="shared" si="3"/>
        <v>2016sexageMale40+fetal</v>
      </c>
      <c r="Z37" s="604">
        <v>2016</v>
      </c>
      <c r="AA37" s="604" t="s">
        <v>451</v>
      </c>
      <c r="AB37" s="604" t="s">
        <v>453</v>
      </c>
      <c r="AC37" s="604" t="s">
        <v>70</v>
      </c>
      <c r="AD37" s="604" t="s">
        <v>134</v>
      </c>
      <c r="AE37" s="604">
        <v>9</v>
      </c>
      <c r="AF37" s="604">
        <v>1258</v>
      </c>
      <c r="AG37" s="604">
        <v>7.1</v>
      </c>
      <c r="AH37" s="604" t="s">
        <v>420</v>
      </c>
      <c r="AJ37" s="535" t="str">
        <f t="shared" si="4"/>
        <v>2016sexageMale40+</v>
      </c>
      <c r="AK37" s="604">
        <v>2016</v>
      </c>
      <c r="AL37" s="604" t="s">
        <v>451</v>
      </c>
      <c r="AM37" s="604" t="s">
        <v>453</v>
      </c>
      <c r="AN37" s="604" t="s">
        <v>70</v>
      </c>
      <c r="AO37" s="604" t="s">
        <v>134</v>
      </c>
      <c r="AP37" s="604">
        <v>1258</v>
      </c>
      <c r="AR37" s="538" t="str">
        <f t="shared" si="5"/>
        <v>&lt;20agefetalAuckland</v>
      </c>
      <c r="AS37" s="604">
        <v>2016</v>
      </c>
      <c r="AT37" s="604" t="s">
        <v>339</v>
      </c>
      <c r="AU37" s="604" t="s">
        <v>453</v>
      </c>
      <c r="AV37" s="604" t="s">
        <v>87</v>
      </c>
      <c r="AW37" s="604">
        <v>1</v>
      </c>
      <c r="AX37" s="604">
        <v>130</v>
      </c>
      <c r="AY37" s="606">
        <v>7.7</v>
      </c>
      <c r="AZ37" s="604" t="s">
        <v>420</v>
      </c>
      <c r="BB37" s="536" t="str">
        <f t="shared" si="6"/>
        <v>&lt;20agebirthsAuckland</v>
      </c>
      <c r="BC37" s="604">
        <v>2016</v>
      </c>
      <c r="BD37" s="604" t="s">
        <v>339</v>
      </c>
      <c r="BE37" s="604" t="s">
        <v>453</v>
      </c>
      <c r="BF37" s="604" t="s">
        <v>87</v>
      </c>
      <c r="BG37" s="604">
        <v>129</v>
      </c>
      <c r="BH37" s="604" t="s">
        <v>445</v>
      </c>
      <c r="BR37" s="547" t="str">
        <f t="shared" si="8"/>
        <v>&lt;1 dayEuropean or Othereth</v>
      </c>
      <c r="BS37" s="604">
        <v>2016</v>
      </c>
      <c r="BT37" s="604" t="s">
        <v>469</v>
      </c>
      <c r="BU37" s="604" t="s">
        <v>356</v>
      </c>
      <c r="BV37" s="604" t="s">
        <v>449</v>
      </c>
      <c r="BW37" s="604">
        <v>31</v>
      </c>
      <c r="BY37" s="553" t="str">
        <f t="shared" si="9"/>
        <v>2004UnknownageSIDS</v>
      </c>
      <c r="BZ37" s="604">
        <v>2004</v>
      </c>
      <c r="CA37" s="604" t="s">
        <v>63</v>
      </c>
      <c r="CB37" s="604" t="s">
        <v>453</v>
      </c>
      <c r="CC37" s="604">
        <v>0</v>
      </c>
      <c r="CD37" s="604" t="s">
        <v>32</v>
      </c>
      <c r="CF37" s="554" t="str">
        <f t="shared" si="10"/>
        <v>2016MaoriInd/UnksexSIDS</v>
      </c>
      <c r="CG37" s="604">
        <v>2016</v>
      </c>
      <c r="CH37" s="604" t="s">
        <v>129</v>
      </c>
      <c r="CI37" s="604" t="s">
        <v>458</v>
      </c>
      <c r="CJ37" s="604" t="s">
        <v>451</v>
      </c>
      <c r="CK37" s="604">
        <v>0</v>
      </c>
      <c r="CL37" s="604" t="s">
        <v>32</v>
      </c>
      <c r="CN37" s="575" t="str">
        <f t="shared" si="11"/>
        <v>2012Q00–Q99fetal</v>
      </c>
      <c r="CO37" s="604">
        <v>2012</v>
      </c>
      <c r="CP37" s="604" t="s">
        <v>514</v>
      </c>
      <c r="CQ37" s="604">
        <v>128</v>
      </c>
      <c r="CR37" s="604">
        <v>28.6</v>
      </c>
      <c r="CS37" s="604">
        <v>2.0499999999999998</v>
      </c>
      <c r="CT37" s="604" t="s">
        <v>420</v>
      </c>
      <c r="CV37" s="575"/>
    </row>
    <row r="38" spans="1:100">
      <c r="A38" s="502" t="str">
        <f t="shared" si="0"/>
        <v>2004deathsPost-neonatal</v>
      </c>
      <c r="B38" s="604">
        <v>2004</v>
      </c>
      <c r="C38" s="604" t="s">
        <v>496</v>
      </c>
      <c r="D38" s="604" t="s">
        <v>43</v>
      </c>
      <c r="E38" s="604">
        <v>149</v>
      </c>
      <c r="F38" s="604">
        <v>58723</v>
      </c>
      <c r="G38" s="604">
        <v>2.5</v>
      </c>
      <c r="I38" s="578" t="str">
        <f t="shared" si="1"/>
        <v>1998age&lt;20Fetal</v>
      </c>
      <c r="J38" s="604">
        <v>1998</v>
      </c>
      <c r="K38" s="604" t="s">
        <v>453</v>
      </c>
      <c r="L38" s="604" t="s">
        <v>339</v>
      </c>
      <c r="M38" s="604">
        <v>26</v>
      </c>
      <c r="N38" s="604">
        <v>4429</v>
      </c>
      <c r="O38" s="604">
        <v>5.9</v>
      </c>
      <c r="P38" s="604" t="s">
        <v>47</v>
      </c>
      <c r="Q38" s="499"/>
      <c r="R38" s="502" t="str">
        <f t="shared" si="2"/>
        <v>2001birthsbwt&lt;500</v>
      </c>
      <c r="S38" s="604">
        <v>2001</v>
      </c>
      <c r="T38" s="604" t="s">
        <v>445</v>
      </c>
      <c r="U38" s="604" t="s">
        <v>447</v>
      </c>
      <c r="V38" s="604" t="s">
        <v>427</v>
      </c>
      <c r="W38" s="604">
        <v>46</v>
      </c>
      <c r="Y38" s="535" t="str">
        <f t="shared" si="3"/>
        <v>2016sexageFemale40+fetal</v>
      </c>
      <c r="Z38" s="604">
        <v>2016</v>
      </c>
      <c r="AA38" s="604" t="s">
        <v>451</v>
      </c>
      <c r="AB38" s="604" t="s">
        <v>453</v>
      </c>
      <c r="AC38" s="604" t="s">
        <v>71</v>
      </c>
      <c r="AD38" s="604" t="s">
        <v>134</v>
      </c>
      <c r="AE38" s="604">
        <v>7</v>
      </c>
      <c r="AF38" s="604">
        <v>1196</v>
      </c>
      <c r="AG38" s="604">
        <v>5.8</v>
      </c>
      <c r="AH38" s="604" t="s">
        <v>420</v>
      </c>
      <c r="AJ38" s="535" t="str">
        <f t="shared" si="4"/>
        <v>2016sexageFemale40+</v>
      </c>
      <c r="AK38" s="604">
        <v>2016</v>
      </c>
      <c r="AL38" s="604" t="s">
        <v>451</v>
      </c>
      <c r="AM38" s="604" t="s">
        <v>453</v>
      </c>
      <c r="AN38" s="604" t="s">
        <v>71</v>
      </c>
      <c r="AO38" s="604" t="s">
        <v>134</v>
      </c>
      <c r="AP38" s="604">
        <v>1196</v>
      </c>
      <c r="AR38" s="538" t="str">
        <f t="shared" si="5"/>
        <v>20-24agefetalAuckland</v>
      </c>
      <c r="AS38" s="604">
        <v>2016</v>
      </c>
      <c r="AT38" s="604" t="s">
        <v>130</v>
      </c>
      <c r="AU38" s="604" t="s">
        <v>453</v>
      </c>
      <c r="AV38" s="604" t="s">
        <v>87</v>
      </c>
      <c r="AW38" s="604">
        <v>2</v>
      </c>
      <c r="AX38" s="604">
        <v>619</v>
      </c>
      <c r="AY38" s="606">
        <v>3.2</v>
      </c>
      <c r="AZ38" s="604" t="s">
        <v>420</v>
      </c>
      <c r="BB38" s="536" t="str">
        <f t="shared" si="6"/>
        <v>20-24agebirthsAuckland</v>
      </c>
      <c r="BC38" s="604">
        <v>2016</v>
      </c>
      <c r="BD38" s="604" t="s">
        <v>130</v>
      </c>
      <c r="BE38" s="604" t="s">
        <v>453</v>
      </c>
      <c r="BF38" s="604" t="s">
        <v>87</v>
      </c>
      <c r="BG38" s="604">
        <v>617</v>
      </c>
      <c r="BH38" s="604" t="s">
        <v>445</v>
      </c>
      <c r="BR38" s="547" t="str">
        <f t="shared" si="8"/>
        <v>&lt;1 dayMaorieth</v>
      </c>
      <c r="BS38" s="604">
        <v>2016</v>
      </c>
      <c r="BT38" s="604" t="s">
        <v>469</v>
      </c>
      <c r="BU38" s="604" t="s">
        <v>129</v>
      </c>
      <c r="BV38" s="604" t="s">
        <v>449</v>
      </c>
      <c r="BW38" s="604">
        <v>38</v>
      </c>
      <c r="BY38" s="553" t="str">
        <f t="shared" si="9"/>
        <v>2005&lt;20ageSIDS</v>
      </c>
      <c r="BZ38" s="604">
        <v>2005</v>
      </c>
      <c r="CA38" s="604" t="s">
        <v>339</v>
      </c>
      <c r="CB38" s="604" t="s">
        <v>453</v>
      </c>
      <c r="CC38" s="604">
        <v>9</v>
      </c>
      <c r="CD38" s="604" t="s">
        <v>32</v>
      </c>
      <c r="CF38" s="554" t="str">
        <f t="shared" si="10"/>
        <v>2016Pacific peoplesInd/UnksexSIDS</v>
      </c>
      <c r="CG38" s="604">
        <v>2016</v>
      </c>
      <c r="CH38" s="604" t="s">
        <v>320</v>
      </c>
      <c r="CI38" s="604" t="s">
        <v>458</v>
      </c>
      <c r="CJ38" s="604" t="s">
        <v>451</v>
      </c>
      <c r="CK38" s="604">
        <v>0</v>
      </c>
      <c r="CL38" s="604" t="s">
        <v>32</v>
      </c>
      <c r="CN38" s="575" t="str">
        <f t="shared" si="11"/>
        <v>2012R00–R99fetal</v>
      </c>
      <c r="CO38" s="604">
        <v>2012</v>
      </c>
      <c r="CP38" s="604" t="s">
        <v>515</v>
      </c>
      <c r="CQ38" s="604">
        <v>0</v>
      </c>
      <c r="CR38" s="604">
        <v>0</v>
      </c>
      <c r="CS38" s="604">
        <v>0</v>
      </c>
      <c r="CT38" s="604" t="s">
        <v>420</v>
      </c>
      <c r="CV38" s="575"/>
    </row>
    <row r="39" spans="1:100">
      <c r="A39" s="502" t="str">
        <f t="shared" si="0"/>
        <v>2005deathsFetal</v>
      </c>
      <c r="B39" s="604">
        <v>2005</v>
      </c>
      <c r="C39" s="604" t="s">
        <v>496</v>
      </c>
      <c r="D39" s="604" t="s">
        <v>47</v>
      </c>
      <c r="E39" s="604">
        <v>403</v>
      </c>
      <c r="F39" s="604">
        <v>59130</v>
      </c>
      <c r="G39" s="604">
        <v>6.8</v>
      </c>
      <c r="I39" s="578" t="str">
        <f t="shared" si="1"/>
        <v>1998age20-24Fetal</v>
      </c>
      <c r="J39" s="604">
        <v>1998</v>
      </c>
      <c r="K39" s="604" t="s">
        <v>453</v>
      </c>
      <c r="L39" s="604" t="s">
        <v>130</v>
      </c>
      <c r="M39" s="604">
        <v>71</v>
      </c>
      <c r="N39" s="604">
        <v>10904</v>
      </c>
      <c r="O39" s="604">
        <v>6.5</v>
      </c>
      <c r="P39" s="604" t="s">
        <v>47</v>
      </c>
      <c r="Q39" s="499"/>
      <c r="R39" s="502" t="str">
        <f t="shared" si="2"/>
        <v>2001birthsbwt500-999</v>
      </c>
      <c r="S39" s="604">
        <v>2001</v>
      </c>
      <c r="T39" s="604" t="s">
        <v>445</v>
      </c>
      <c r="U39" s="604" t="s">
        <v>447</v>
      </c>
      <c r="V39" s="604" t="s">
        <v>428</v>
      </c>
      <c r="W39" s="604">
        <v>221</v>
      </c>
      <c r="Y39" s="535" t="str">
        <f t="shared" si="3"/>
        <v>2016bwtage&lt;500&lt;20fetal</v>
      </c>
      <c r="Z39" s="604">
        <v>2016</v>
      </c>
      <c r="AA39" s="604" t="s">
        <v>447</v>
      </c>
      <c r="AB39" s="604" t="s">
        <v>453</v>
      </c>
      <c r="AC39" s="604" t="s">
        <v>427</v>
      </c>
      <c r="AD39" s="604" t="s">
        <v>339</v>
      </c>
      <c r="AE39" s="604">
        <v>11</v>
      </c>
      <c r="AF39" s="604">
        <v>2</v>
      </c>
      <c r="AG39" s="604" t="s">
        <v>119</v>
      </c>
      <c r="AH39" s="604" t="s">
        <v>420</v>
      </c>
      <c r="AJ39" s="535" t="str">
        <f t="shared" si="4"/>
        <v>2016bwtage&lt;500&lt;20</v>
      </c>
      <c r="AK39" s="604">
        <v>2016</v>
      </c>
      <c r="AL39" s="604" t="s">
        <v>447</v>
      </c>
      <c r="AM39" s="604" t="s">
        <v>453</v>
      </c>
      <c r="AN39" s="604" t="s">
        <v>427</v>
      </c>
      <c r="AO39" s="604" t="s">
        <v>339</v>
      </c>
      <c r="AP39" s="604">
        <v>2</v>
      </c>
      <c r="AR39" s="538" t="str">
        <f t="shared" si="5"/>
        <v>25-29agefetalAuckland</v>
      </c>
      <c r="AS39" s="604">
        <v>2016</v>
      </c>
      <c r="AT39" s="604" t="s">
        <v>131</v>
      </c>
      <c r="AU39" s="604" t="s">
        <v>453</v>
      </c>
      <c r="AV39" s="604" t="s">
        <v>87</v>
      </c>
      <c r="AW39" s="604">
        <v>7</v>
      </c>
      <c r="AX39" s="604">
        <v>1324</v>
      </c>
      <c r="AY39" s="606">
        <v>5.3</v>
      </c>
      <c r="AZ39" s="604" t="s">
        <v>420</v>
      </c>
      <c r="BB39" s="536" t="str">
        <f t="shared" si="6"/>
        <v>25-29agebirthsAuckland</v>
      </c>
      <c r="BC39" s="604">
        <v>2016</v>
      </c>
      <c r="BD39" s="604" t="s">
        <v>131</v>
      </c>
      <c r="BE39" s="604" t="s">
        <v>453</v>
      </c>
      <c r="BF39" s="604" t="s">
        <v>87</v>
      </c>
      <c r="BG39" s="604">
        <v>1317</v>
      </c>
      <c r="BH39" s="604" t="s">
        <v>445</v>
      </c>
      <c r="BR39" s="547" t="str">
        <f t="shared" si="8"/>
        <v>&lt;1 dayPacific peopleseth</v>
      </c>
      <c r="BS39" s="604">
        <v>2016</v>
      </c>
      <c r="BT39" s="604" t="s">
        <v>469</v>
      </c>
      <c r="BU39" s="604" t="s">
        <v>320</v>
      </c>
      <c r="BV39" s="604" t="s">
        <v>449</v>
      </c>
      <c r="BW39" s="604">
        <v>13</v>
      </c>
      <c r="BY39" s="553" t="str">
        <f t="shared" si="9"/>
        <v>200520-24ageSIDS</v>
      </c>
      <c r="BZ39" s="604">
        <v>2005</v>
      </c>
      <c r="CA39" s="604" t="s">
        <v>130</v>
      </c>
      <c r="CB39" s="604" t="s">
        <v>453</v>
      </c>
      <c r="CC39" s="604">
        <v>12</v>
      </c>
      <c r="CD39" s="604" t="s">
        <v>32</v>
      </c>
      <c r="CF39" s="554" t="str">
        <f t="shared" si="10"/>
        <v>2016AsianQuin 1depSIDS</v>
      </c>
      <c r="CG39" s="604">
        <v>2016</v>
      </c>
      <c r="CH39" s="604" t="s">
        <v>355</v>
      </c>
      <c r="CI39" s="604" t="s">
        <v>421</v>
      </c>
      <c r="CJ39" s="604" t="s">
        <v>454</v>
      </c>
      <c r="CK39" s="604">
        <v>0</v>
      </c>
      <c r="CL39" s="604" t="s">
        <v>32</v>
      </c>
      <c r="CN39" s="575" t="str">
        <f t="shared" si="11"/>
        <v>2012V00–Y98fetal</v>
      </c>
      <c r="CO39" s="604">
        <v>2012</v>
      </c>
      <c r="CP39" s="604" t="s">
        <v>523</v>
      </c>
      <c r="CQ39" s="604">
        <v>0</v>
      </c>
      <c r="CR39" s="604">
        <v>0</v>
      </c>
      <c r="CS39" s="604">
        <v>0</v>
      </c>
      <c r="CT39" s="604" t="s">
        <v>420</v>
      </c>
      <c r="CV39" s="575"/>
    </row>
    <row r="40" spans="1:100">
      <c r="A40" s="502" t="str">
        <f t="shared" si="0"/>
        <v>2005deathsEarly neonatal</v>
      </c>
      <c r="B40" s="604">
        <v>2005</v>
      </c>
      <c r="C40" s="604" t="s">
        <v>496</v>
      </c>
      <c r="D40" s="604" t="s">
        <v>41</v>
      </c>
      <c r="E40" s="604">
        <v>148</v>
      </c>
      <c r="F40" s="604">
        <v>58727</v>
      </c>
      <c r="G40" s="604" t="s">
        <v>119</v>
      </c>
      <c r="I40" s="578" t="str">
        <f t="shared" si="1"/>
        <v>1998age25-29Fetal</v>
      </c>
      <c r="J40" s="604">
        <v>1998</v>
      </c>
      <c r="K40" s="604" t="s">
        <v>453</v>
      </c>
      <c r="L40" s="604" t="s">
        <v>131</v>
      </c>
      <c r="M40" s="604">
        <v>85</v>
      </c>
      <c r="N40" s="604">
        <v>17241</v>
      </c>
      <c r="O40" s="604">
        <v>4.9000000000000004</v>
      </c>
      <c r="P40" s="604" t="s">
        <v>47</v>
      </c>
      <c r="Q40" s="499"/>
      <c r="R40" s="502" t="str">
        <f t="shared" si="2"/>
        <v>2001birthsbwt1000-1499</v>
      </c>
      <c r="S40" s="604">
        <v>2001</v>
      </c>
      <c r="T40" s="604" t="s">
        <v>445</v>
      </c>
      <c r="U40" s="604" t="s">
        <v>447</v>
      </c>
      <c r="V40" s="604" t="s">
        <v>429</v>
      </c>
      <c r="W40" s="604">
        <v>387</v>
      </c>
      <c r="Y40" s="535" t="str">
        <f t="shared" si="3"/>
        <v>2016bwtage500-999&lt;20fetal</v>
      </c>
      <c r="Z40" s="604">
        <v>2016</v>
      </c>
      <c r="AA40" s="604" t="s">
        <v>447</v>
      </c>
      <c r="AB40" s="604" t="s">
        <v>453</v>
      </c>
      <c r="AC40" s="604" t="s">
        <v>428</v>
      </c>
      <c r="AD40" s="604" t="s">
        <v>339</v>
      </c>
      <c r="AE40" s="604">
        <v>8</v>
      </c>
      <c r="AF40" s="604">
        <v>19</v>
      </c>
      <c r="AG40" s="604">
        <v>296.3</v>
      </c>
      <c r="AH40" s="604" t="s">
        <v>420</v>
      </c>
      <c r="AJ40" s="535" t="str">
        <f t="shared" si="4"/>
        <v>2016bwtage500-999&lt;20</v>
      </c>
      <c r="AK40" s="604">
        <v>2016</v>
      </c>
      <c r="AL40" s="604" t="s">
        <v>447</v>
      </c>
      <c r="AM40" s="604" t="s">
        <v>453</v>
      </c>
      <c r="AN40" s="604" t="s">
        <v>428</v>
      </c>
      <c r="AO40" s="604" t="s">
        <v>339</v>
      </c>
      <c r="AP40" s="604">
        <v>19</v>
      </c>
      <c r="AR40" s="538" t="str">
        <f t="shared" si="5"/>
        <v>30-34agefetalAuckland</v>
      </c>
      <c r="AS40" s="604">
        <v>2016</v>
      </c>
      <c r="AT40" s="604" t="s">
        <v>132</v>
      </c>
      <c r="AU40" s="604" t="s">
        <v>453</v>
      </c>
      <c r="AV40" s="604" t="s">
        <v>87</v>
      </c>
      <c r="AW40" s="604">
        <v>20</v>
      </c>
      <c r="AX40" s="604">
        <v>2158</v>
      </c>
      <c r="AY40" s="606">
        <v>9.3000000000000007</v>
      </c>
      <c r="AZ40" s="604" t="s">
        <v>420</v>
      </c>
      <c r="BB40" s="536" t="str">
        <f t="shared" si="6"/>
        <v>30-34agebirthsAuckland</v>
      </c>
      <c r="BC40" s="604">
        <v>2016</v>
      </c>
      <c r="BD40" s="604" t="s">
        <v>132</v>
      </c>
      <c r="BE40" s="604" t="s">
        <v>453</v>
      </c>
      <c r="BF40" s="604" t="s">
        <v>87</v>
      </c>
      <c r="BG40" s="604">
        <v>2138</v>
      </c>
      <c r="BH40" s="604" t="s">
        <v>445</v>
      </c>
      <c r="BR40" s="547" t="str">
        <f t="shared" si="8"/>
        <v>1-6 daysAsianeth</v>
      </c>
      <c r="BS40" s="604">
        <v>2016</v>
      </c>
      <c r="BT40" s="604" t="s">
        <v>470</v>
      </c>
      <c r="BU40" s="604" t="s">
        <v>355</v>
      </c>
      <c r="BV40" s="604" t="s">
        <v>449</v>
      </c>
      <c r="BW40" s="604">
        <v>3</v>
      </c>
      <c r="BY40" s="553" t="str">
        <f t="shared" si="9"/>
        <v>200525-29ageSIDS</v>
      </c>
      <c r="BZ40" s="604">
        <v>2005</v>
      </c>
      <c r="CA40" s="604" t="s">
        <v>131</v>
      </c>
      <c r="CB40" s="604" t="s">
        <v>453</v>
      </c>
      <c r="CC40" s="604">
        <v>6</v>
      </c>
      <c r="CD40" s="604" t="s">
        <v>32</v>
      </c>
      <c r="CF40" s="554" t="str">
        <f t="shared" si="10"/>
        <v>2016European or OtherQuin 1depSIDS</v>
      </c>
      <c r="CG40" s="604">
        <v>2016</v>
      </c>
      <c r="CH40" s="604" t="s">
        <v>356</v>
      </c>
      <c r="CI40" s="604" t="s">
        <v>421</v>
      </c>
      <c r="CJ40" s="604" t="s">
        <v>454</v>
      </c>
      <c r="CK40" s="604">
        <v>0</v>
      </c>
      <c r="CL40" s="604" t="s">
        <v>32</v>
      </c>
      <c r="CN40" s="575" t="str">
        <f t="shared" si="11"/>
        <v>2013A00–B99fetal</v>
      </c>
      <c r="CO40" s="604">
        <v>2013</v>
      </c>
      <c r="CP40" s="604" t="s">
        <v>498</v>
      </c>
      <c r="CQ40" s="604">
        <v>0</v>
      </c>
      <c r="CR40" s="604">
        <v>0</v>
      </c>
      <c r="CS40" s="604">
        <v>0</v>
      </c>
      <c r="CT40" s="604" t="s">
        <v>420</v>
      </c>
      <c r="CV40" s="575"/>
    </row>
    <row r="41" spans="1:100">
      <c r="A41" s="502" t="str">
        <f t="shared" si="0"/>
        <v>2005deathsLate neonatal</v>
      </c>
      <c r="B41" s="604">
        <v>2005</v>
      </c>
      <c r="C41" s="604" t="s">
        <v>496</v>
      </c>
      <c r="D41" s="604" t="s">
        <v>42</v>
      </c>
      <c r="E41" s="604">
        <v>35</v>
      </c>
      <c r="F41" s="604">
        <v>58727</v>
      </c>
      <c r="G41" s="604" t="s">
        <v>119</v>
      </c>
      <c r="I41" s="578" t="str">
        <f t="shared" si="1"/>
        <v>1998age30-34Fetal</v>
      </c>
      <c r="J41" s="604">
        <v>1998</v>
      </c>
      <c r="K41" s="604" t="s">
        <v>453</v>
      </c>
      <c r="L41" s="604" t="s">
        <v>132</v>
      </c>
      <c r="M41" s="604">
        <v>99</v>
      </c>
      <c r="N41" s="604">
        <v>16787</v>
      </c>
      <c r="O41" s="604">
        <v>5.9</v>
      </c>
      <c r="P41" s="604" t="s">
        <v>47</v>
      </c>
      <c r="Q41" s="499"/>
      <c r="R41" s="502" t="str">
        <f t="shared" si="2"/>
        <v>2001birthsbwt1500-2499</v>
      </c>
      <c r="S41" s="604">
        <v>2001</v>
      </c>
      <c r="T41" s="604" t="s">
        <v>445</v>
      </c>
      <c r="U41" s="604" t="s">
        <v>447</v>
      </c>
      <c r="V41" s="604" t="s">
        <v>430</v>
      </c>
      <c r="W41" s="604">
        <v>2989</v>
      </c>
      <c r="Y41" s="535" t="str">
        <f t="shared" si="3"/>
        <v>2016bwtage1000-1499&lt;20fetal</v>
      </c>
      <c r="Z41" s="604">
        <v>2016</v>
      </c>
      <c r="AA41" s="604" t="s">
        <v>447</v>
      </c>
      <c r="AB41" s="604" t="s">
        <v>453</v>
      </c>
      <c r="AC41" s="604" t="s">
        <v>429</v>
      </c>
      <c r="AD41" s="604" t="s">
        <v>339</v>
      </c>
      <c r="AE41" s="604">
        <v>3</v>
      </c>
      <c r="AF41" s="604">
        <v>21</v>
      </c>
      <c r="AG41" s="604">
        <v>125</v>
      </c>
      <c r="AH41" s="604" t="s">
        <v>420</v>
      </c>
      <c r="AJ41" s="535" t="str">
        <f t="shared" si="4"/>
        <v>2016bwtage1000-1499&lt;20</v>
      </c>
      <c r="AK41" s="604">
        <v>2016</v>
      </c>
      <c r="AL41" s="604" t="s">
        <v>447</v>
      </c>
      <c r="AM41" s="604" t="s">
        <v>453</v>
      </c>
      <c r="AN41" s="604" t="s">
        <v>429</v>
      </c>
      <c r="AO41" s="604" t="s">
        <v>339</v>
      </c>
      <c r="AP41" s="604">
        <v>21</v>
      </c>
      <c r="AR41" s="538" t="str">
        <f t="shared" si="5"/>
        <v>35-39agefetalAuckland</v>
      </c>
      <c r="AS41" s="604">
        <v>2016</v>
      </c>
      <c r="AT41" s="604" t="s">
        <v>133</v>
      </c>
      <c r="AU41" s="604" t="s">
        <v>453</v>
      </c>
      <c r="AV41" s="604" t="s">
        <v>87</v>
      </c>
      <c r="AW41" s="604">
        <v>9</v>
      </c>
      <c r="AX41" s="604">
        <v>1364</v>
      </c>
      <c r="AY41" s="606">
        <v>6.6</v>
      </c>
      <c r="AZ41" s="604" t="s">
        <v>420</v>
      </c>
      <c r="BB41" s="536" t="str">
        <f t="shared" si="6"/>
        <v>35-39agebirthsAuckland</v>
      </c>
      <c r="BC41" s="604">
        <v>2016</v>
      </c>
      <c r="BD41" s="604" t="s">
        <v>133</v>
      </c>
      <c r="BE41" s="604" t="s">
        <v>453</v>
      </c>
      <c r="BF41" s="604" t="s">
        <v>87</v>
      </c>
      <c r="BG41" s="604">
        <v>1355</v>
      </c>
      <c r="BH41" s="604" t="s">
        <v>445</v>
      </c>
      <c r="BR41" s="547" t="str">
        <f t="shared" si="8"/>
        <v>1-6 daysEuropean or Othereth</v>
      </c>
      <c r="BS41" s="604">
        <v>2016</v>
      </c>
      <c r="BT41" s="604" t="s">
        <v>470</v>
      </c>
      <c r="BU41" s="604" t="s">
        <v>356</v>
      </c>
      <c r="BV41" s="604" t="s">
        <v>449</v>
      </c>
      <c r="BW41" s="604">
        <v>12</v>
      </c>
      <c r="BY41" s="553" t="str">
        <f t="shared" si="9"/>
        <v>200530-34ageSIDS</v>
      </c>
      <c r="BZ41" s="604">
        <v>2005</v>
      </c>
      <c r="CA41" s="604" t="s">
        <v>132</v>
      </c>
      <c r="CB41" s="604" t="s">
        <v>453</v>
      </c>
      <c r="CC41" s="604">
        <v>9</v>
      </c>
      <c r="CD41" s="604" t="s">
        <v>32</v>
      </c>
      <c r="CF41" s="554" t="str">
        <f t="shared" si="10"/>
        <v>2016MaoriQuin 1depSIDS</v>
      </c>
      <c r="CG41" s="604">
        <v>2016</v>
      </c>
      <c r="CH41" s="604" t="s">
        <v>129</v>
      </c>
      <c r="CI41" s="604" t="s">
        <v>421</v>
      </c>
      <c r="CJ41" s="604" t="s">
        <v>454</v>
      </c>
      <c r="CK41" s="604">
        <v>0</v>
      </c>
      <c r="CL41" s="604" t="s">
        <v>32</v>
      </c>
      <c r="CN41" s="575" t="str">
        <f t="shared" si="11"/>
        <v>2013C00–D48fetal</v>
      </c>
      <c r="CO41" s="604">
        <v>2013</v>
      </c>
      <c r="CP41" s="604" t="s">
        <v>499</v>
      </c>
      <c r="CQ41" s="604">
        <v>1</v>
      </c>
      <c r="CR41" s="604">
        <v>0.3</v>
      </c>
      <c r="CS41" s="604">
        <v>0.02</v>
      </c>
      <c r="CT41" s="604" t="s">
        <v>420</v>
      </c>
      <c r="CV41" s="575"/>
    </row>
    <row r="42" spans="1:100">
      <c r="A42" s="502" t="str">
        <f t="shared" si="0"/>
        <v>2005deathsPost-neonatal</v>
      </c>
      <c r="B42" s="604">
        <v>2005</v>
      </c>
      <c r="C42" s="604" t="s">
        <v>496</v>
      </c>
      <c r="D42" s="604" t="s">
        <v>43</v>
      </c>
      <c r="E42" s="604">
        <v>111</v>
      </c>
      <c r="F42" s="604">
        <v>58727</v>
      </c>
      <c r="G42" s="604">
        <v>1.9</v>
      </c>
      <c r="I42" s="578" t="str">
        <f t="shared" si="1"/>
        <v>1998age35-39Fetal</v>
      </c>
      <c r="J42" s="604">
        <v>1998</v>
      </c>
      <c r="K42" s="604" t="s">
        <v>453</v>
      </c>
      <c r="L42" s="604" t="s">
        <v>133</v>
      </c>
      <c r="M42" s="604">
        <v>47</v>
      </c>
      <c r="N42" s="604">
        <v>7444</v>
      </c>
      <c r="O42" s="604">
        <v>6.3</v>
      </c>
      <c r="P42" s="604" t="s">
        <v>47</v>
      </c>
      <c r="Q42" s="499"/>
      <c r="R42" s="502" t="str">
        <f t="shared" si="2"/>
        <v>2001birthsbwt2500-4499</v>
      </c>
      <c r="S42" s="604">
        <v>2001</v>
      </c>
      <c r="T42" s="604" t="s">
        <v>445</v>
      </c>
      <c r="U42" s="604" t="s">
        <v>447</v>
      </c>
      <c r="V42" s="604" t="s">
        <v>431</v>
      </c>
      <c r="W42" s="604">
        <v>51068</v>
      </c>
      <c r="Y42" s="535" t="str">
        <f t="shared" si="3"/>
        <v>2016bwtage1500-2499&lt;20fetal</v>
      </c>
      <c r="Z42" s="604">
        <v>2016</v>
      </c>
      <c r="AA42" s="604" t="s">
        <v>447</v>
      </c>
      <c r="AB42" s="604" t="s">
        <v>453</v>
      </c>
      <c r="AC42" s="604" t="s">
        <v>430</v>
      </c>
      <c r="AD42" s="604" t="s">
        <v>339</v>
      </c>
      <c r="AE42" s="604">
        <v>7</v>
      </c>
      <c r="AF42" s="604">
        <v>164</v>
      </c>
      <c r="AG42" s="604">
        <v>40.9</v>
      </c>
      <c r="AH42" s="604" t="s">
        <v>420</v>
      </c>
      <c r="AJ42" s="535" t="str">
        <f t="shared" si="4"/>
        <v>2016bwtage1500-2499&lt;20</v>
      </c>
      <c r="AK42" s="604">
        <v>2016</v>
      </c>
      <c r="AL42" s="604" t="s">
        <v>447</v>
      </c>
      <c r="AM42" s="604" t="s">
        <v>453</v>
      </c>
      <c r="AN42" s="604" t="s">
        <v>430</v>
      </c>
      <c r="AO42" s="604" t="s">
        <v>339</v>
      </c>
      <c r="AP42" s="604">
        <v>164</v>
      </c>
      <c r="AR42" s="538" t="str">
        <f t="shared" si="5"/>
        <v>&lt;20agefetalCounties Manukau</v>
      </c>
      <c r="AS42" s="604">
        <v>2016</v>
      </c>
      <c r="AT42" s="604" t="s">
        <v>339</v>
      </c>
      <c r="AU42" s="604" t="s">
        <v>453</v>
      </c>
      <c r="AV42" s="604" t="s">
        <v>88</v>
      </c>
      <c r="AW42" s="604">
        <v>8</v>
      </c>
      <c r="AX42" s="604">
        <v>451</v>
      </c>
      <c r="AY42" s="606">
        <v>17.7</v>
      </c>
      <c r="AZ42" s="604" t="s">
        <v>420</v>
      </c>
      <c r="BB42" s="536" t="str">
        <f t="shared" si="6"/>
        <v>40+agebirthsAuckland</v>
      </c>
      <c r="BC42" s="604">
        <v>2016</v>
      </c>
      <c r="BD42" s="604" t="s">
        <v>134</v>
      </c>
      <c r="BE42" s="604" t="s">
        <v>453</v>
      </c>
      <c r="BF42" s="604" t="s">
        <v>87</v>
      </c>
      <c r="BG42" s="604">
        <v>349</v>
      </c>
      <c r="BH42" s="604" t="s">
        <v>445</v>
      </c>
      <c r="BR42" s="547" t="str">
        <f t="shared" si="8"/>
        <v>1-6 daysMaorieth</v>
      </c>
      <c r="BS42" s="604">
        <v>2016</v>
      </c>
      <c r="BT42" s="604" t="s">
        <v>470</v>
      </c>
      <c r="BU42" s="604" t="s">
        <v>129</v>
      </c>
      <c r="BV42" s="604" t="s">
        <v>449</v>
      </c>
      <c r="BW42" s="604">
        <v>14</v>
      </c>
      <c r="BY42" s="553" t="str">
        <f t="shared" si="9"/>
        <v>200535-39ageSIDS</v>
      </c>
      <c r="BZ42" s="604">
        <v>2005</v>
      </c>
      <c r="CA42" s="604" t="s">
        <v>133</v>
      </c>
      <c r="CB42" s="604" t="s">
        <v>453</v>
      </c>
      <c r="CC42" s="604">
        <v>4</v>
      </c>
      <c r="CD42" s="604" t="s">
        <v>32</v>
      </c>
      <c r="CF42" s="554" t="str">
        <f t="shared" si="10"/>
        <v>2016Pacific peoplesQuin 1depSIDS</v>
      </c>
      <c r="CG42" s="604">
        <v>2016</v>
      </c>
      <c r="CH42" s="604" t="s">
        <v>320</v>
      </c>
      <c r="CI42" s="604" t="s">
        <v>421</v>
      </c>
      <c r="CJ42" s="604" t="s">
        <v>454</v>
      </c>
      <c r="CK42" s="604">
        <v>0</v>
      </c>
      <c r="CL42" s="604" t="s">
        <v>32</v>
      </c>
      <c r="CN42" s="575" t="str">
        <f t="shared" si="11"/>
        <v>2013D50–D89fetal</v>
      </c>
      <c r="CO42" s="604">
        <v>2013</v>
      </c>
      <c r="CP42" s="604" t="s">
        <v>500</v>
      </c>
      <c r="CQ42" s="604">
        <v>0</v>
      </c>
      <c r="CR42" s="604">
        <v>0</v>
      </c>
      <c r="CS42" s="604">
        <v>0</v>
      </c>
      <c r="CT42" s="604" t="s">
        <v>420</v>
      </c>
      <c r="CV42" s="575"/>
    </row>
    <row r="43" spans="1:100">
      <c r="A43" s="502" t="str">
        <f t="shared" si="0"/>
        <v>2006deathsFetal</v>
      </c>
      <c r="B43" s="604">
        <v>2006</v>
      </c>
      <c r="C43" s="604" t="s">
        <v>496</v>
      </c>
      <c r="D43" s="604" t="s">
        <v>47</v>
      </c>
      <c r="E43" s="604">
        <v>409</v>
      </c>
      <c r="F43" s="604">
        <v>60683</v>
      </c>
      <c r="G43" s="604">
        <v>6.7</v>
      </c>
      <c r="I43" s="578" t="str">
        <f t="shared" si="1"/>
        <v>1998age40+Fetal</v>
      </c>
      <c r="J43" s="604">
        <v>1998</v>
      </c>
      <c r="K43" s="604" t="s">
        <v>453</v>
      </c>
      <c r="L43" s="604" t="s">
        <v>134</v>
      </c>
      <c r="M43" s="604">
        <v>20</v>
      </c>
      <c r="N43" s="604">
        <v>1277</v>
      </c>
      <c r="O43" s="604">
        <v>15.7</v>
      </c>
      <c r="P43" s="604" t="s">
        <v>47</v>
      </c>
      <c r="Q43" s="499"/>
      <c r="R43" s="502" t="str">
        <f t="shared" si="2"/>
        <v>2001birthsbwt4500+</v>
      </c>
      <c r="S43" s="604">
        <v>2001</v>
      </c>
      <c r="T43" s="604" t="s">
        <v>445</v>
      </c>
      <c r="U43" s="604" t="s">
        <v>447</v>
      </c>
      <c r="V43" s="604" t="s">
        <v>432</v>
      </c>
      <c r="W43" s="604">
        <v>1410</v>
      </c>
      <c r="Y43" s="535" t="str">
        <f t="shared" si="3"/>
        <v>2016bwtage2500-4499&lt;20fetal</v>
      </c>
      <c r="Z43" s="604">
        <v>2016</v>
      </c>
      <c r="AA43" s="604" t="s">
        <v>447</v>
      </c>
      <c r="AB43" s="604" t="s">
        <v>453</v>
      </c>
      <c r="AC43" s="604" t="s">
        <v>431</v>
      </c>
      <c r="AD43" s="604" t="s">
        <v>339</v>
      </c>
      <c r="AE43" s="604">
        <v>6</v>
      </c>
      <c r="AF43" s="604">
        <v>2320</v>
      </c>
      <c r="AG43" s="604">
        <v>2.6</v>
      </c>
      <c r="AH43" s="604" t="s">
        <v>420</v>
      </c>
      <c r="AJ43" s="535" t="str">
        <f t="shared" si="4"/>
        <v>2016bwtage2500-4499&lt;20</v>
      </c>
      <c r="AK43" s="604">
        <v>2016</v>
      </c>
      <c r="AL43" s="604" t="s">
        <v>447</v>
      </c>
      <c r="AM43" s="604" t="s">
        <v>453</v>
      </c>
      <c r="AN43" s="604" t="s">
        <v>431</v>
      </c>
      <c r="AO43" s="604" t="s">
        <v>339</v>
      </c>
      <c r="AP43" s="604">
        <v>2320</v>
      </c>
      <c r="AR43" s="538" t="str">
        <f t="shared" si="5"/>
        <v>20-24agefetalCounties Manukau</v>
      </c>
      <c r="AS43" s="604">
        <v>2016</v>
      </c>
      <c r="AT43" s="604" t="s">
        <v>130</v>
      </c>
      <c r="AU43" s="604" t="s">
        <v>453</v>
      </c>
      <c r="AV43" s="604" t="s">
        <v>88</v>
      </c>
      <c r="AW43" s="604">
        <v>15</v>
      </c>
      <c r="AX43" s="604">
        <v>1649</v>
      </c>
      <c r="AY43" s="606">
        <v>9.1</v>
      </c>
      <c r="AZ43" s="604" t="s">
        <v>420</v>
      </c>
      <c r="BB43" s="536" t="str">
        <f t="shared" si="6"/>
        <v>&lt;20agebirthsCounties Manukau</v>
      </c>
      <c r="BC43" s="604">
        <v>2016</v>
      </c>
      <c r="BD43" s="604" t="s">
        <v>339</v>
      </c>
      <c r="BE43" s="604" t="s">
        <v>453</v>
      </c>
      <c r="BF43" s="604" t="s">
        <v>88</v>
      </c>
      <c r="BG43" s="604">
        <v>443</v>
      </c>
      <c r="BH43" s="604" t="s">
        <v>445</v>
      </c>
      <c r="BR43" s="547" t="str">
        <f t="shared" si="8"/>
        <v>1-6 daysPacific peopleseth</v>
      </c>
      <c r="BS43" s="604">
        <v>2016</v>
      </c>
      <c r="BT43" s="604" t="s">
        <v>470</v>
      </c>
      <c r="BU43" s="604" t="s">
        <v>320</v>
      </c>
      <c r="BV43" s="604" t="s">
        <v>449</v>
      </c>
      <c r="BW43" s="604">
        <v>4</v>
      </c>
      <c r="BY43" s="553" t="str">
        <f t="shared" si="9"/>
        <v>200540+ageSIDS</v>
      </c>
      <c r="BZ43" s="604">
        <v>2005</v>
      </c>
      <c r="CA43" s="604" t="s">
        <v>134</v>
      </c>
      <c r="CB43" s="604" t="s">
        <v>453</v>
      </c>
      <c r="CC43" s="604">
        <v>0</v>
      </c>
      <c r="CD43" s="604" t="s">
        <v>32</v>
      </c>
      <c r="CF43" s="554" t="str">
        <f t="shared" si="10"/>
        <v>2016AsianQuin 2depSIDS</v>
      </c>
      <c r="CG43" s="604">
        <v>2016</v>
      </c>
      <c r="CH43" s="604" t="s">
        <v>355</v>
      </c>
      <c r="CI43" s="604" t="s">
        <v>422</v>
      </c>
      <c r="CJ43" s="604" t="s">
        <v>454</v>
      </c>
      <c r="CK43" s="604">
        <v>0</v>
      </c>
      <c r="CL43" s="604" t="s">
        <v>32</v>
      </c>
      <c r="CN43" s="575" t="str">
        <f t="shared" si="11"/>
        <v>2013E00–E89fetal</v>
      </c>
      <c r="CO43" s="604">
        <v>2013</v>
      </c>
      <c r="CP43" s="604" t="s">
        <v>501</v>
      </c>
      <c r="CQ43" s="604">
        <v>0</v>
      </c>
      <c r="CR43" s="604">
        <v>0</v>
      </c>
      <c r="CS43" s="604">
        <v>0</v>
      </c>
      <c r="CT43" s="604" t="s">
        <v>420</v>
      </c>
      <c r="CV43" s="575"/>
    </row>
    <row r="44" spans="1:100">
      <c r="A44" s="502" t="str">
        <f t="shared" si="0"/>
        <v>2006deathsEarly neonatal</v>
      </c>
      <c r="B44" s="604">
        <v>2006</v>
      </c>
      <c r="C44" s="604" t="s">
        <v>496</v>
      </c>
      <c r="D44" s="604" t="s">
        <v>41</v>
      </c>
      <c r="E44" s="604">
        <v>137</v>
      </c>
      <c r="F44" s="604">
        <v>60274</v>
      </c>
      <c r="G44" s="604" t="s">
        <v>119</v>
      </c>
      <c r="I44" s="578" t="str">
        <f t="shared" si="1"/>
        <v>1998ageUnknownFetal</v>
      </c>
      <c r="J44" s="604">
        <v>1998</v>
      </c>
      <c r="K44" s="604" t="s">
        <v>453</v>
      </c>
      <c r="L44" s="604" t="s">
        <v>63</v>
      </c>
      <c r="M44" s="604">
        <v>0</v>
      </c>
      <c r="N44" s="604">
        <v>0</v>
      </c>
      <c r="O44" s="604" t="s">
        <v>119</v>
      </c>
      <c r="P44" s="604" t="s">
        <v>47</v>
      </c>
      <c r="Q44" s="499"/>
      <c r="R44" s="502" t="str">
        <f t="shared" si="2"/>
        <v>2001birthsbwtUnknown</v>
      </c>
      <c r="S44" s="604">
        <v>2001</v>
      </c>
      <c r="T44" s="604" t="s">
        <v>445</v>
      </c>
      <c r="U44" s="604" t="s">
        <v>447</v>
      </c>
      <c r="V44" s="604" t="s">
        <v>63</v>
      </c>
      <c r="W44" s="604">
        <v>103</v>
      </c>
      <c r="Y44" s="535" t="str">
        <f t="shared" si="3"/>
        <v>2016bwtage4500+&lt;20fetal</v>
      </c>
      <c r="Z44" s="604">
        <v>2016</v>
      </c>
      <c r="AA44" s="604" t="s">
        <v>447</v>
      </c>
      <c r="AB44" s="604" t="s">
        <v>453</v>
      </c>
      <c r="AC44" s="604" t="s">
        <v>432</v>
      </c>
      <c r="AD44" s="604" t="s">
        <v>339</v>
      </c>
      <c r="AE44" s="604">
        <v>0</v>
      </c>
      <c r="AF44" s="604">
        <v>31</v>
      </c>
      <c r="AG44" s="604">
        <v>0</v>
      </c>
      <c r="AH44" s="604" t="s">
        <v>420</v>
      </c>
      <c r="AJ44" s="535" t="str">
        <f t="shared" si="4"/>
        <v>2016bwtage4500+&lt;20</v>
      </c>
      <c r="AK44" s="604">
        <v>2016</v>
      </c>
      <c r="AL44" s="604" t="s">
        <v>447</v>
      </c>
      <c r="AM44" s="604" t="s">
        <v>453</v>
      </c>
      <c r="AN44" s="604" t="s">
        <v>432</v>
      </c>
      <c r="AO44" s="604" t="s">
        <v>339</v>
      </c>
      <c r="AP44" s="604">
        <v>31</v>
      </c>
      <c r="AR44" s="538" t="str">
        <f t="shared" si="5"/>
        <v>25-29agefetalCounties Manukau</v>
      </c>
      <c r="AS44" s="604">
        <v>2016</v>
      </c>
      <c r="AT44" s="604" t="s">
        <v>131</v>
      </c>
      <c r="AU44" s="604" t="s">
        <v>453</v>
      </c>
      <c r="AV44" s="604" t="s">
        <v>88</v>
      </c>
      <c r="AW44" s="604">
        <v>16</v>
      </c>
      <c r="AX44" s="604">
        <v>2450</v>
      </c>
      <c r="AY44" s="606">
        <v>6.5</v>
      </c>
      <c r="AZ44" s="604" t="s">
        <v>420</v>
      </c>
      <c r="BB44" s="536" t="str">
        <f t="shared" si="6"/>
        <v>20-24agebirthsCounties Manukau</v>
      </c>
      <c r="BC44" s="604">
        <v>2016</v>
      </c>
      <c r="BD44" s="604" t="s">
        <v>130</v>
      </c>
      <c r="BE44" s="604" t="s">
        <v>453</v>
      </c>
      <c r="BF44" s="604" t="s">
        <v>88</v>
      </c>
      <c r="BG44" s="604">
        <v>1634</v>
      </c>
      <c r="BH44" s="604" t="s">
        <v>445</v>
      </c>
      <c r="BR44" s="547" t="str">
        <f t="shared" si="8"/>
        <v>28+ daysAsianeth</v>
      </c>
      <c r="BS44" s="604">
        <v>2016</v>
      </c>
      <c r="BT44" s="604" t="s">
        <v>117</v>
      </c>
      <c r="BU44" s="604" t="s">
        <v>355</v>
      </c>
      <c r="BV44" s="604" t="s">
        <v>449</v>
      </c>
      <c r="BW44" s="604">
        <v>3</v>
      </c>
      <c r="BY44" s="553" t="str">
        <f t="shared" si="9"/>
        <v>2005UnknownageSIDS</v>
      </c>
      <c r="BZ44" s="604">
        <v>2005</v>
      </c>
      <c r="CA44" s="604" t="s">
        <v>63</v>
      </c>
      <c r="CB44" s="604" t="s">
        <v>453</v>
      </c>
      <c r="CC44" s="604">
        <v>0</v>
      </c>
      <c r="CD44" s="604" t="s">
        <v>32</v>
      </c>
      <c r="CF44" s="554" t="str">
        <f t="shared" si="10"/>
        <v>2016European or OtherQuin 2depSIDS</v>
      </c>
      <c r="CG44" s="604">
        <v>2016</v>
      </c>
      <c r="CH44" s="604" t="s">
        <v>356</v>
      </c>
      <c r="CI44" s="604" t="s">
        <v>422</v>
      </c>
      <c r="CJ44" s="604" t="s">
        <v>454</v>
      </c>
      <c r="CK44" s="604">
        <v>2</v>
      </c>
      <c r="CL44" s="604" t="s">
        <v>32</v>
      </c>
      <c r="CN44" s="575" t="str">
        <f t="shared" si="11"/>
        <v>2013G00–G99fetal</v>
      </c>
      <c r="CO44" s="604">
        <v>2013</v>
      </c>
      <c r="CP44" s="604" t="s">
        <v>503</v>
      </c>
      <c r="CQ44" s="604">
        <v>0</v>
      </c>
      <c r="CR44" s="604">
        <v>0</v>
      </c>
      <c r="CS44" s="604">
        <v>0</v>
      </c>
      <c r="CT44" s="604" t="s">
        <v>420</v>
      </c>
      <c r="CV44" s="575"/>
    </row>
    <row r="45" spans="1:100">
      <c r="A45" s="502" t="str">
        <f t="shared" si="0"/>
        <v>2006deathsLate neonatal</v>
      </c>
      <c r="B45" s="604">
        <v>2006</v>
      </c>
      <c r="C45" s="604" t="s">
        <v>496</v>
      </c>
      <c r="D45" s="604" t="s">
        <v>42</v>
      </c>
      <c r="E45" s="604">
        <v>28</v>
      </c>
      <c r="F45" s="604">
        <v>60274</v>
      </c>
      <c r="G45" s="604" t="s">
        <v>119</v>
      </c>
      <c r="I45" s="578" t="str">
        <f t="shared" si="1"/>
        <v>1999age&lt;20Fetal</v>
      </c>
      <c r="J45" s="604">
        <v>1999</v>
      </c>
      <c r="K45" s="604" t="s">
        <v>453</v>
      </c>
      <c r="L45" s="604" t="s">
        <v>339</v>
      </c>
      <c r="M45" s="604">
        <v>38</v>
      </c>
      <c r="N45" s="604">
        <v>3927</v>
      </c>
      <c r="O45" s="604">
        <v>9.6999999999999993</v>
      </c>
      <c r="P45" s="604" t="s">
        <v>47</v>
      </c>
      <c r="Q45" s="499"/>
      <c r="R45" s="502" t="str">
        <f t="shared" si="2"/>
        <v>2002birthsbwt&lt;500</v>
      </c>
      <c r="S45" s="604">
        <v>2002</v>
      </c>
      <c r="T45" s="604" t="s">
        <v>445</v>
      </c>
      <c r="U45" s="604" t="s">
        <v>447</v>
      </c>
      <c r="V45" s="604" t="s">
        <v>427</v>
      </c>
      <c r="W45" s="604">
        <v>67</v>
      </c>
      <c r="Y45" s="535" t="str">
        <f t="shared" si="3"/>
        <v>2016bwtageUnknown&lt;20fetal</v>
      </c>
      <c r="Z45" s="604">
        <v>2016</v>
      </c>
      <c r="AA45" s="604" t="s">
        <v>447</v>
      </c>
      <c r="AB45" s="604" t="s">
        <v>453</v>
      </c>
      <c r="AC45" s="604" t="s">
        <v>63</v>
      </c>
      <c r="AD45" s="604" t="s">
        <v>339</v>
      </c>
      <c r="AE45" s="604">
        <v>1</v>
      </c>
      <c r="AF45" s="604">
        <v>2</v>
      </c>
      <c r="AG45" s="604" t="s">
        <v>119</v>
      </c>
      <c r="AH45" s="604" t="s">
        <v>420</v>
      </c>
      <c r="AJ45" s="535" t="str">
        <f t="shared" si="4"/>
        <v>2016bwtageUnknown&lt;20</v>
      </c>
      <c r="AK45" s="604">
        <v>2016</v>
      </c>
      <c r="AL45" s="604" t="s">
        <v>447</v>
      </c>
      <c r="AM45" s="604" t="s">
        <v>453</v>
      </c>
      <c r="AN45" s="604" t="s">
        <v>63</v>
      </c>
      <c r="AO45" s="604" t="s">
        <v>339</v>
      </c>
      <c r="AP45" s="604">
        <v>2</v>
      </c>
      <c r="AR45" s="538" t="str">
        <f t="shared" si="5"/>
        <v>30-34agefetalCounties Manukau</v>
      </c>
      <c r="AS45" s="604">
        <v>2016</v>
      </c>
      <c r="AT45" s="604" t="s">
        <v>132</v>
      </c>
      <c r="AU45" s="604" t="s">
        <v>453</v>
      </c>
      <c r="AV45" s="604" t="s">
        <v>88</v>
      </c>
      <c r="AW45" s="604">
        <v>14</v>
      </c>
      <c r="AX45" s="604">
        <v>2393</v>
      </c>
      <c r="AY45" s="606">
        <v>5.9</v>
      </c>
      <c r="AZ45" s="604" t="s">
        <v>420</v>
      </c>
      <c r="BB45" s="536" t="str">
        <f t="shared" si="6"/>
        <v>25-29agebirthsCounties Manukau</v>
      </c>
      <c r="BC45" s="604">
        <v>2016</v>
      </c>
      <c r="BD45" s="604" t="s">
        <v>131</v>
      </c>
      <c r="BE45" s="604" t="s">
        <v>453</v>
      </c>
      <c r="BF45" s="604" t="s">
        <v>88</v>
      </c>
      <c r="BG45" s="604">
        <v>2434</v>
      </c>
      <c r="BH45" s="604" t="s">
        <v>445</v>
      </c>
      <c r="BR45" s="547" t="str">
        <f t="shared" si="8"/>
        <v>28+ daysEuropean or Othereth</v>
      </c>
      <c r="BS45" s="604">
        <v>2016</v>
      </c>
      <c r="BT45" s="604" t="s">
        <v>117</v>
      </c>
      <c r="BU45" s="604" t="s">
        <v>356</v>
      </c>
      <c r="BV45" s="604" t="s">
        <v>449</v>
      </c>
      <c r="BW45" s="604">
        <v>26</v>
      </c>
      <c r="BY45" s="553" t="str">
        <f t="shared" si="9"/>
        <v>2006&lt;20ageSIDS</v>
      </c>
      <c r="BZ45" s="604">
        <v>2006</v>
      </c>
      <c r="CA45" s="604" t="s">
        <v>339</v>
      </c>
      <c r="CB45" s="604" t="s">
        <v>453</v>
      </c>
      <c r="CC45" s="604">
        <v>8</v>
      </c>
      <c r="CD45" s="604" t="s">
        <v>32</v>
      </c>
      <c r="CF45" s="554" t="str">
        <f t="shared" si="10"/>
        <v>2016MaoriQuin 2depSIDS</v>
      </c>
      <c r="CG45" s="604">
        <v>2016</v>
      </c>
      <c r="CH45" s="604" t="s">
        <v>129</v>
      </c>
      <c r="CI45" s="604" t="s">
        <v>422</v>
      </c>
      <c r="CJ45" s="604" t="s">
        <v>454</v>
      </c>
      <c r="CK45" s="604">
        <v>0</v>
      </c>
      <c r="CL45" s="604" t="s">
        <v>32</v>
      </c>
      <c r="CN45" s="575" t="str">
        <f t="shared" si="11"/>
        <v>2013I00–I99fetal</v>
      </c>
      <c r="CO45" s="604">
        <v>2013</v>
      </c>
      <c r="CP45" s="604" t="s">
        <v>506</v>
      </c>
      <c r="CQ45" s="604">
        <v>0</v>
      </c>
      <c r="CR45" s="604">
        <v>0</v>
      </c>
      <c r="CS45" s="604">
        <v>0</v>
      </c>
      <c r="CT45" s="604" t="s">
        <v>420</v>
      </c>
      <c r="CV45" s="575"/>
    </row>
    <row r="46" spans="1:100">
      <c r="A46" s="502" t="str">
        <f t="shared" si="0"/>
        <v>2006deathsPost-neonatal</v>
      </c>
      <c r="B46" s="604">
        <v>2006</v>
      </c>
      <c r="C46" s="604" t="s">
        <v>496</v>
      </c>
      <c r="D46" s="604" t="s">
        <v>43</v>
      </c>
      <c r="E46" s="604">
        <v>143</v>
      </c>
      <c r="F46" s="604">
        <v>60274</v>
      </c>
      <c r="G46" s="604">
        <v>2.4</v>
      </c>
      <c r="I46" s="578" t="str">
        <f t="shared" si="1"/>
        <v>1999age20-24Fetal</v>
      </c>
      <c r="J46" s="604">
        <v>1999</v>
      </c>
      <c r="K46" s="604" t="s">
        <v>453</v>
      </c>
      <c r="L46" s="604" t="s">
        <v>130</v>
      </c>
      <c r="M46" s="604">
        <v>78</v>
      </c>
      <c r="N46" s="604">
        <v>10148</v>
      </c>
      <c r="O46" s="604">
        <v>7.7</v>
      </c>
      <c r="P46" s="604" t="s">
        <v>47</v>
      </c>
      <c r="Q46" s="499"/>
      <c r="R46" s="502" t="str">
        <f t="shared" si="2"/>
        <v>2002birthsbwt500-999</v>
      </c>
      <c r="S46" s="604">
        <v>2002</v>
      </c>
      <c r="T46" s="604" t="s">
        <v>445</v>
      </c>
      <c r="U46" s="604" t="s">
        <v>447</v>
      </c>
      <c r="V46" s="604" t="s">
        <v>428</v>
      </c>
      <c r="W46" s="604">
        <v>271</v>
      </c>
      <c r="Y46" s="535" t="str">
        <f t="shared" si="3"/>
        <v>2016bwtage&lt;50020-24fetal</v>
      </c>
      <c r="Z46" s="604">
        <v>2016</v>
      </c>
      <c r="AA46" s="604" t="s">
        <v>447</v>
      </c>
      <c r="AB46" s="604" t="s">
        <v>453</v>
      </c>
      <c r="AC46" s="604" t="s">
        <v>427</v>
      </c>
      <c r="AD46" s="604" t="s">
        <v>130</v>
      </c>
      <c r="AE46" s="604">
        <v>23</v>
      </c>
      <c r="AF46" s="604">
        <v>11</v>
      </c>
      <c r="AG46" s="604" t="s">
        <v>119</v>
      </c>
      <c r="AH46" s="604" t="s">
        <v>420</v>
      </c>
      <c r="AJ46" s="535" t="str">
        <f t="shared" si="4"/>
        <v>2016bwtage&lt;50020-24</v>
      </c>
      <c r="AK46" s="604">
        <v>2016</v>
      </c>
      <c r="AL46" s="604" t="s">
        <v>447</v>
      </c>
      <c r="AM46" s="604" t="s">
        <v>453</v>
      </c>
      <c r="AN46" s="604" t="s">
        <v>427</v>
      </c>
      <c r="AO46" s="604" t="s">
        <v>130</v>
      </c>
      <c r="AP46" s="604">
        <v>11</v>
      </c>
      <c r="AR46" s="538" t="str">
        <f t="shared" si="5"/>
        <v>35-39agefetalCounties Manukau</v>
      </c>
      <c r="AS46" s="604">
        <v>2016</v>
      </c>
      <c r="AT46" s="604" t="s">
        <v>133</v>
      </c>
      <c r="AU46" s="604" t="s">
        <v>453</v>
      </c>
      <c r="AV46" s="604" t="s">
        <v>88</v>
      </c>
      <c r="AW46" s="604">
        <v>12</v>
      </c>
      <c r="AX46" s="604">
        <v>1179</v>
      </c>
      <c r="AY46" s="606">
        <v>10.199999999999999</v>
      </c>
      <c r="AZ46" s="604" t="s">
        <v>420</v>
      </c>
      <c r="BB46" s="536" t="str">
        <f t="shared" si="6"/>
        <v>30-34agebirthsCounties Manukau</v>
      </c>
      <c r="BC46" s="604">
        <v>2016</v>
      </c>
      <c r="BD46" s="604" t="s">
        <v>132</v>
      </c>
      <c r="BE46" s="604" t="s">
        <v>453</v>
      </c>
      <c r="BF46" s="604" t="s">
        <v>88</v>
      </c>
      <c r="BG46" s="604">
        <v>2379</v>
      </c>
      <c r="BH46" s="604" t="s">
        <v>445</v>
      </c>
      <c r="BR46" s="547" t="str">
        <f t="shared" si="8"/>
        <v>28+ daysMaorieth</v>
      </c>
      <c r="BS46" s="604">
        <v>2016</v>
      </c>
      <c r="BT46" s="604" t="s">
        <v>117</v>
      </c>
      <c r="BU46" s="604" t="s">
        <v>129</v>
      </c>
      <c r="BV46" s="604" t="s">
        <v>449</v>
      </c>
      <c r="BW46" s="604">
        <v>39</v>
      </c>
      <c r="BY46" s="553" t="str">
        <f t="shared" si="9"/>
        <v>200620-24ageSIDS</v>
      </c>
      <c r="BZ46" s="604">
        <v>2006</v>
      </c>
      <c r="CA46" s="604" t="s">
        <v>130</v>
      </c>
      <c r="CB46" s="604" t="s">
        <v>453</v>
      </c>
      <c r="CC46" s="604">
        <v>17</v>
      </c>
      <c r="CD46" s="604" t="s">
        <v>32</v>
      </c>
      <c r="CF46" s="554" t="str">
        <f t="shared" si="10"/>
        <v>2016Pacific peoplesQuin 2depSIDS</v>
      </c>
      <c r="CG46" s="604">
        <v>2016</v>
      </c>
      <c r="CH46" s="604" t="s">
        <v>320</v>
      </c>
      <c r="CI46" s="604" t="s">
        <v>422</v>
      </c>
      <c r="CJ46" s="604" t="s">
        <v>454</v>
      </c>
      <c r="CK46" s="604">
        <v>0</v>
      </c>
      <c r="CL46" s="604" t="s">
        <v>32</v>
      </c>
      <c r="CN46" s="575" t="str">
        <f t="shared" si="11"/>
        <v>2013J00–J99fetal</v>
      </c>
      <c r="CO46" s="604">
        <v>2013</v>
      </c>
      <c r="CP46" s="604" t="s">
        <v>507</v>
      </c>
      <c r="CQ46" s="604">
        <v>0</v>
      </c>
      <c r="CR46" s="604">
        <v>0</v>
      </c>
      <c r="CS46" s="604">
        <v>0</v>
      </c>
      <c r="CT46" s="604" t="s">
        <v>420</v>
      </c>
      <c r="CV46" s="575"/>
    </row>
    <row r="47" spans="1:100">
      <c r="A47" s="502" t="str">
        <f t="shared" si="0"/>
        <v>2007deathsFetal</v>
      </c>
      <c r="B47" s="604">
        <v>2007</v>
      </c>
      <c r="C47" s="604" t="s">
        <v>496</v>
      </c>
      <c r="D47" s="604" t="s">
        <v>47</v>
      </c>
      <c r="E47" s="604">
        <v>470</v>
      </c>
      <c r="F47" s="604">
        <v>65591</v>
      </c>
      <c r="G47" s="604">
        <v>7.2</v>
      </c>
      <c r="I47" s="578" t="str">
        <f t="shared" si="1"/>
        <v>1999age25-29Fetal</v>
      </c>
      <c r="J47" s="604">
        <v>1999</v>
      </c>
      <c r="K47" s="604" t="s">
        <v>453</v>
      </c>
      <c r="L47" s="604" t="s">
        <v>131</v>
      </c>
      <c r="M47" s="604">
        <v>121</v>
      </c>
      <c r="N47" s="604">
        <v>16669</v>
      </c>
      <c r="O47" s="604">
        <v>7.3</v>
      </c>
      <c r="P47" s="604" t="s">
        <v>47</v>
      </c>
      <c r="Q47" s="499"/>
      <c r="R47" s="502" t="str">
        <f t="shared" si="2"/>
        <v>2002birthsbwt1000-1499</v>
      </c>
      <c r="S47" s="604">
        <v>2002</v>
      </c>
      <c r="T47" s="604" t="s">
        <v>445</v>
      </c>
      <c r="U47" s="604" t="s">
        <v>447</v>
      </c>
      <c r="V47" s="604" t="s">
        <v>429</v>
      </c>
      <c r="W47" s="604">
        <v>357</v>
      </c>
      <c r="Y47" s="535" t="str">
        <f t="shared" si="3"/>
        <v>2016bwtage500-99920-24fetal</v>
      </c>
      <c r="Z47" s="604">
        <v>2016</v>
      </c>
      <c r="AA47" s="604" t="s">
        <v>447</v>
      </c>
      <c r="AB47" s="604" t="s">
        <v>453</v>
      </c>
      <c r="AC47" s="604" t="s">
        <v>428</v>
      </c>
      <c r="AD47" s="604" t="s">
        <v>130</v>
      </c>
      <c r="AE47" s="604">
        <v>15</v>
      </c>
      <c r="AF47" s="604">
        <v>30</v>
      </c>
      <c r="AG47" s="604">
        <v>333.3</v>
      </c>
      <c r="AH47" s="604" t="s">
        <v>420</v>
      </c>
      <c r="AJ47" s="535" t="str">
        <f t="shared" si="4"/>
        <v>2016bwtage500-99920-24</v>
      </c>
      <c r="AK47" s="604">
        <v>2016</v>
      </c>
      <c r="AL47" s="604" t="s">
        <v>447</v>
      </c>
      <c r="AM47" s="604" t="s">
        <v>453</v>
      </c>
      <c r="AN47" s="604" t="s">
        <v>428</v>
      </c>
      <c r="AO47" s="604" t="s">
        <v>130</v>
      </c>
      <c r="AP47" s="604">
        <v>30</v>
      </c>
      <c r="AR47" s="538" t="str">
        <f t="shared" si="5"/>
        <v>40+agefetalCounties Manukau</v>
      </c>
      <c r="AS47" s="604">
        <v>2016</v>
      </c>
      <c r="AT47" s="604" t="s">
        <v>134</v>
      </c>
      <c r="AU47" s="604" t="s">
        <v>453</v>
      </c>
      <c r="AV47" s="604" t="s">
        <v>88</v>
      </c>
      <c r="AW47" s="604">
        <v>1</v>
      </c>
      <c r="AX47" s="604">
        <v>319</v>
      </c>
      <c r="AY47" s="606">
        <v>3.1</v>
      </c>
      <c r="AZ47" s="604" t="s">
        <v>420</v>
      </c>
      <c r="BB47" s="536" t="str">
        <f t="shared" si="6"/>
        <v>35-39agebirthsCounties Manukau</v>
      </c>
      <c r="BC47" s="604">
        <v>2016</v>
      </c>
      <c r="BD47" s="604" t="s">
        <v>133</v>
      </c>
      <c r="BE47" s="604" t="s">
        <v>453</v>
      </c>
      <c r="BF47" s="604" t="s">
        <v>88</v>
      </c>
      <c r="BG47" s="604">
        <v>1167</v>
      </c>
      <c r="BH47" s="604" t="s">
        <v>445</v>
      </c>
      <c r="BR47" s="547" t="str">
        <f t="shared" si="8"/>
        <v>28+ daysPacific peopleseth</v>
      </c>
      <c r="BS47" s="604">
        <v>2016</v>
      </c>
      <c r="BT47" s="604" t="s">
        <v>117</v>
      </c>
      <c r="BU47" s="604" t="s">
        <v>320</v>
      </c>
      <c r="BV47" s="604" t="s">
        <v>449</v>
      </c>
      <c r="BW47" s="604">
        <v>12</v>
      </c>
      <c r="BY47" s="553" t="str">
        <f t="shared" si="9"/>
        <v>200625-29ageSIDS</v>
      </c>
      <c r="BZ47" s="604">
        <v>2006</v>
      </c>
      <c r="CA47" s="604" t="s">
        <v>131</v>
      </c>
      <c r="CB47" s="604" t="s">
        <v>453</v>
      </c>
      <c r="CC47" s="604">
        <v>12</v>
      </c>
      <c r="CD47" s="604" t="s">
        <v>32</v>
      </c>
      <c r="CF47" s="554" t="str">
        <f t="shared" si="10"/>
        <v>2016AsianQuin 3depSIDS</v>
      </c>
      <c r="CG47" s="604">
        <v>2016</v>
      </c>
      <c r="CH47" s="604" t="s">
        <v>355</v>
      </c>
      <c r="CI47" s="604" t="s">
        <v>423</v>
      </c>
      <c r="CJ47" s="604" t="s">
        <v>454</v>
      </c>
      <c r="CK47" s="604">
        <v>0</v>
      </c>
      <c r="CL47" s="604" t="s">
        <v>32</v>
      </c>
      <c r="CN47" s="575" t="str">
        <f t="shared" si="11"/>
        <v>2013K00–K93fetal</v>
      </c>
      <c r="CO47" s="604">
        <v>2013</v>
      </c>
      <c r="CP47" s="604" t="s">
        <v>508</v>
      </c>
      <c r="CQ47" s="604">
        <v>0</v>
      </c>
      <c r="CR47" s="604">
        <v>0</v>
      </c>
      <c r="CS47" s="604">
        <v>0</v>
      </c>
      <c r="CT47" s="604" t="s">
        <v>420</v>
      </c>
      <c r="CV47" s="575"/>
    </row>
    <row r="48" spans="1:100">
      <c r="A48" s="502" t="str">
        <f t="shared" si="0"/>
        <v>2007deathsEarly neonatal</v>
      </c>
      <c r="B48" s="604">
        <v>2007</v>
      </c>
      <c r="C48" s="604" t="s">
        <v>496</v>
      </c>
      <c r="D48" s="604" t="s">
        <v>41</v>
      </c>
      <c r="E48" s="604">
        <v>134</v>
      </c>
      <c r="F48" s="604">
        <v>65121</v>
      </c>
      <c r="G48" s="604" t="s">
        <v>119</v>
      </c>
      <c r="I48" s="578" t="str">
        <f t="shared" si="1"/>
        <v>1999age30-34Fetal</v>
      </c>
      <c r="J48" s="604">
        <v>1999</v>
      </c>
      <c r="K48" s="604" t="s">
        <v>453</v>
      </c>
      <c r="L48" s="604" t="s">
        <v>132</v>
      </c>
      <c r="M48" s="604">
        <v>107</v>
      </c>
      <c r="N48" s="604">
        <v>17294</v>
      </c>
      <c r="O48" s="604">
        <v>6.2</v>
      </c>
      <c r="P48" s="604" t="s">
        <v>47</v>
      </c>
      <c r="Q48" s="499"/>
      <c r="R48" s="502" t="str">
        <f t="shared" si="2"/>
        <v>2002birthsbwt1500-2499</v>
      </c>
      <c r="S48" s="604">
        <v>2002</v>
      </c>
      <c r="T48" s="604" t="s">
        <v>445</v>
      </c>
      <c r="U48" s="604" t="s">
        <v>447</v>
      </c>
      <c r="V48" s="604" t="s">
        <v>430</v>
      </c>
      <c r="W48" s="604">
        <v>2842</v>
      </c>
      <c r="Y48" s="535" t="str">
        <f t="shared" si="3"/>
        <v>2016bwtage1000-149920-24fetal</v>
      </c>
      <c r="Z48" s="604">
        <v>2016</v>
      </c>
      <c r="AA48" s="604" t="s">
        <v>447</v>
      </c>
      <c r="AB48" s="604" t="s">
        <v>453</v>
      </c>
      <c r="AC48" s="604" t="s">
        <v>429</v>
      </c>
      <c r="AD48" s="604" t="s">
        <v>130</v>
      </c>
      <c r="AE48" s="604">
        <v>1</v>
      </c>
      <c r="AF48" s="604">
        <v>51</v>
      </c>
      <c r="AG48" s="604">
        <v>19.2</v>
      </c>
      <c r="AH48" s="604" t="s">
        <v>420</v>
      </c>
      <c r="AJ48" s="535" t="str">
        <f t="shared" si="4"/>
        <v>2016bwtage1000-149920-24</v>
      </c>
      <c r="AK48" s="604">
        <v>2016</v>
      </c>
      <c r="AL48" s="604" t="s">
        <v>447</v>
      </c>
      <c r="AM48" s="604" t="s">
        <v>453</v>
      </c>
      <c r="AN48" s="604" t="s">
        <v>429</v>
      </c>
      <c r="AO48" s="604" t="s">
        <v>130</v>
      </c>
      <c r="AP48" s="604">
        <v>51</v>
      </c>
      <c r="AR48" s="538" t="str">
        <f t="shared" si="5"/>
        <v>&lt;20agefetalWaikato</v>
      </c>
      <c r="AS48" s="604">
        <v>2016</v>
      </c>
      <c r="AT48" s="604" t="s">
        <v>339</v>
      </c>
      <c r="AU48" s="604" t="s">
        <v>453</v>
      </c>
      <c r="AV48" s="604" t="s">
        <v>89</v>
      </c>
      <c r="AW48" s="604">
        <v>2</v>
      </c>
      <c r="AX48" s="604">
        <v>319</v>
      </c>
      <c r="AY48" s="606">
        <v>6.3</v>
      </c>
      <c r="AZ48" s="604" t="s">
        <v>420</v>
      </c>
      <c r="BB48" s="536" t="str">
        <f t="shared" si="6"/>
        <v>40+agebirthsCounties Manukau</v>
      </c>
      <c r="BC48" s="604">
        <v>2016</v>
      </c>
      <c r="BD48" s="604" t="s">
        <v>134</v>
      </c>
      <c r="BE48" s="604" t="s">
        <v>453</v>
      </c>
      <c r="BF48" s="604" t="s">
        <v>88</v>
      </c>
      <c r="BG48" s="604">
        <v>318</v>
      </c>
      <c r="BH48" s="604" t="s">
        <v>445</v>
      </c>
      <c r="BR48" s="547" t="str">
        <f t="shared" si="8"/>
        <v>7-27 daysAsianeth</v>
      </c>
      <c r="BS48" s="604">
        <v>2016</v>
      </c>
      <c r="BT48" s="604" t="s">
        <v>471</v>
      </c>
      <c r="BU48" s="604" t="s">
        <v>355</v>
      </c>
      <c r="BV48" s="604" t="s">
        <v>449</v>
      </c>
      <c r="BW48" s="604">
        <v>3</v>
      </c>
      <c r="BY48" s="553" t="str">
        <f t="shared" si="9"/>
        <v>200630-34ageSIDS</v>
      </c>
      <c r="BZ48" s="604">
        <v>2006</v>
      </c>
      <c r="CA48" s="604" t="s">
        <v>132</v>
      </c>
      <c r="CB48" s="604" t="s">
        <v>453</v>
      </c>
      <c r="CC48" s="604">
        <v>6</v>
      </c>
      <c r="CD48" s="604" t="s">
        <v>32</v>
      </c>
      <c r="CF48" s="554" t="str">
        <f t="shared" si="10"/>
        <v>2016European or OtherQuin 3depSIDS</v>
      </c>
      <c r="CG48" s="604">
        <v>2016</v>
      </c>
      <c r="CH48" s="604" t="s">
        <v>356</v>
      </c>
      <c r="CI48" s="604" t="s">
        <v>423</v>
      </c>
      <c r="CJ48" s="604" t="s">
        <v>454</v>
      </c>
      <c r="CK48" s="604">
        <v>1</v>
      </c>
      <c r="CL48" s="604" t="s">
        <v>32</v>
      </c>
      <c r="CN48" s="575" t="str">
        <f t="shared" si="11"/>
        <v>2013P00–P96fetal</v>
      </c>
      <c r="CO48" s="604">
        <v>2013</v>
      </c>
      <c r="CP48" s="604" t="s">
        <v>513</v>
      </c>
      <c r="CQ48" s="604">
        <v>298</v>
      </c>
      <c r="CR48" s="604">
        <v>75.8</v>
      </c>
      <c r="CS48" s="604">
        <v>4.96</v>
      </c>
      <c r="CT48" s="604" t="s">
        <v>420</v>
      </c>
      <c r="CV48" s="575"/>
    </row>
    <row r="49" spans="1:100">
      <c r="A49" s="502" t="str">
        <f t="shared" si="0"/>
        <v>2007deathsLate neonatal</v>
      </c>
      <c r="B49" s="604">
        <v>2007</v>
      </c>
      <c r="C49" s="604" t="s">
        <v>496</v>
      </c>
      <c r="D49" s="604" t="s">
        <v>42</v>
      </c>
      <c r="E49" s="604">
        <v>32</v>
      </c>
      <c r="F49" s="604">
        <v>65121</v>
      </c>
      <c r="G49" s="604" t="s">
        <v>119</v>
      </c>
      <c r="I49" s="578" t="str">
        <f t="shared" si="1"/>
        <v>1999age35-39Fetal</v>
      </c>
      <c r="J49" s="604">
        <v>1999</v>
      </c>
      <c r="K49" s="604" t="s">
        <v>453</v>
      </c>
      <c r="L49" s="604" t="s">
        <v>133</v>
      </c>
      <c r="M49" s="604">
        <v>61</v>
      </c>
      <c r="N49" s="604">
        <v>8327</v>
      </c>
      <c r="O49" s="604">
        <v>7.3</v>
      </c>
      <c r="P49" s="604" t="s">
        <v>47</v>
      </c>
      <c r="Q49" s="499"/>
      <c r="R49" s="502" t="str">
        <f t="shared" si="2"/>
        <v>2002birthsbwt2500-4499</v>
      </c>
      <c r="S49" s="604">
        <v>2002</v>
      </c>
      <c r="T49" s="604" t="s">
        <v>445</v>
      </c>
      <c r="U49" s="604" t="s">
        <v>447</v>
      </c>
      <c r="V49" s="604" t="s">
        <v>431</v>
      </c>
      <c r="W49" s="604">
        <v>49477</v>
      </c>
      <c r="Y49" s="535" t="str">
        <f t="shared" si="3"/>
        <v>2016bwtage1500-249920-24fetal</v>
      </c>
      <c r="Z49" s="604">
        <v>2016</v>
      </c>
      <c r="AA49" s="604" t="s">
        <v>447</v>
      </c>
      <c r="AB49" s="604" t="s">
        <v>453</v>
      </c>
      <c r="AC49" s="604" t="s">
        <v>430</v>
      </c>
      <c r="AD49" s="604" t="s">
        <v>130</v>
      </c>
      <c r="AE49" s="604">
        <v>11</v>
      </c>
      <c r="AF49" s="604">
        <v>500</v>
      </c>
      <c r="AG49" s="604">
        <v>21.5</v>
      </c>
      <c r="AH49" s="604" t="s">
        <v>420</v>
      </c>
      <c r="AJ49" s="535" t="str">
        <f t="shared" si="4"/>
        <v>2016bwtage1500-249920-24</v>
      </c>
      <c r="AK49" s="604">
        <v>2016</v>
      </c>
      <c r="AL49" s="604" t="s">
        <v>447</v>
      </c>
      <c r="AM49" s="604" t="s">
        <v>453</v>
      </c>
      <c r="AN49" s="604" t="s">
        <v>430</v>
      </c>
      <c r="AO49" s="604" t="s">
        <v>130</v>
      </c>
      <c r="AP49" s="604">
        <v>500</v>
      </c>
      <c r="AR49" s="538" t="str">
        <f t="shared" si="5"/>
        <v>20-24agefetalWaikato</v>
      </c>
      <c r="AS49" s="604">
        <v>2016</v>
      </c>
      <c r="AT49" s="604" t="s">
        <v>130</v>
      </c>
      <c r="AU49" s="604" t="s">
        <v>453</v>
      </c>
      <c r="AV49" s="604" t="s">
        <v>89</v>
      </c>
      <c r="AW49" s="604">
        <v>14</v>
      </c>
      <c r="AX49" s="604">
        <v>1114</v>
      </c>
      <c r="AY49" s="606">
        <v>12.6</v>
      </c>
      <c r="AZ49" s="604" t="s">
        <v>420</v>
      </c>
      <c r="BB49" s="536" t="str">
        <f t="shared" si="6"/>
        <v>&lt;20agebirthsWaikato</v>
      </c>
      <c r="BC49" s="604">
        <v>2016</v>
      </c>
      <c r="BD49" s="604" t="s">
        <v>339</v>
      </c>
      <c r="BE49" s="604" t="s">
        <v>453</v>
      </c>
      <c r="BF49" s="604" t="s">
        <v>89</v>
      </c>
      <c r="BG49" s="604">
        <v>317</v>
      </c>
      <c r="BH49" s="604" t="s">
        <v>445</v>
      </c>
      <c r="BR49" s="547" t="str">
        <f t="shared" si="8"/>
        <v>7-27 daysEuropean or Othereth</v>
      </c>
      <c r="BS49" s="604">
        <v>2016</v>
      </c>
      <c r="BT49" s="604" t="s">
        <v>471</v>
      </c>
      <c r="BU49" s="604" t="s">
        <v>356</v>
      </c>
      <c r="BV49" s="604" t="s">
        <v>449</v>
      </c>
      <c r="BW49" s="604">
        <v>5</v>
      </c>
      <c r="BY49" s="553" t="str">
        <f t="shared" si="9"/>
        <v>200635-39ageSIDS</v>
      </c>
      <c r="BZ49" s="604">
        <v>2006</v>
      </c>
      <c r="CA49" s="604" t="s">
        <v>133</v>
      </c>
      <c r="CB49" s="604" t="s">
        <v>453</v>
      </c>
      <c r="CC49" s="604">
        <v>5</v>
      </c>
      <c r="CD49" s="604" t="s">
        <v>32</v>
      </c>
      <c r="CF49" s="554" t="str">
        <f t="shared" si="10"/>
        <v>2016MaoriQuin 3depSIDS</v>
      </c>
      <c r="CG49" s="604">
        <v>2016</v>
      </c>
      <c r="CH49" s="604" t="s">
        <v>129</v>
      </c>
      <c r="CI49" s="604" t="s">
        <v>423</v>
      </c>
      <c r="CJ49" s="604" t="s">
        <v>454</v>
      </c>
      <c r="CK49" s="604">
        <v>1</v>
      </c>
      <c r="CL49" s="604" t="s">
        <v>32</v>
      </c>
      <c r="CN49" s="575" t="str">
        <f t="shared" si="11"/>
        <v>2013Q00–Q99fetal</v>
      </c>
      <c r="CO49" s="604">
        <v>2013</v>
      </c>
      <c r="CP49" s="604" t="s">
        <v>514</v>
      </c>
      <c r="CQ49" s="604">
        <v>94</v>
      </c>
      <c r="CR49" s="604">
        <v>23.9</v>
      </c>
      <c r="CS49" s="604">
        <v>1.56</v>
      </c>
      <c r="CT49" s="604" t="s">
        <v>420</v>
      </c>
      <c r="CV49" s="575"/>
    </row>
    <row r="50" spans="1:100">
      <c r="A50" s="502" t="str">
        <f t="shared" si="0"/>
        <v>2007deathsPost-neonatal</v>
      </c>
      <c r="B50" s="604">
        <v>2007</v>
      </c>
      <c r="C50" s="604" t="s">
        <v>496</v>
      </c>
      <c r="D50" s="604" t="s">
        <v>43</v>
      </c>
      <c r="E50" s="604">
        <v>146</v>
      </c>
      <c r="F50" s="604">
        <v>65121</v>
      </c>
      <c r="G50" s="604">
        <v>2.2000000000000002</v>
      </c>
      <c r="I50" s="578" t="str">
        <f t="shared" si="1"/>
        <v>1999age40+Fetal</v>
      </c>
      <c r="J50" s="604">
        <v>1999</v>
      </c>
      <c r="K50" s="604" t="s">
        <v>453</v>
      </c>
      <c r="L50" s="604" t="s">
        <v>134</v>
      </c>
      <c r="M50" s="604">
        <v>21</v>
      </c>
      <c r="N50" s="604">
        <v>1479</v>
      </c>
      <c r="O50" s="604">
        <v>14.2</v>
      </c>
      <c r="P50" s="604" t="s">
        <v>47</v>
      </c>
      <c r="Q50" s="499"/>
      <c r="R50" s="502" t="str">
        <f t="shared" si="2"/>
        <v>2002birthsbwt4500+</v>
      </c>
      <c r="S50" s="604">
        <v>2002</v>
      </c>
      <c r="T50" s="604" t="s">
        <v>445</v>
      </c>
      <c r="U50" s="604" t="s">
        <v>447</v>
      </c>
      <c r="V50" s="604" t="s">
        <v>432</v>
      </c>
      <c r="W50" s="604">
        <v>1360</v>
      </c>
      <c r="Y50" s="535" t="str">
        <f t="shared" si="3"/>
        <v>2016bwtage2500-449920-24fetal</v>
      </c>
      <c r="Z50" s="604">
        <v>2016</v>
      </c>
      <c r="AA50" s="604" t="s">
        <v>447</v>
      </c>
      <c r="AB50" s="604" t="s">
        <v>453</v>
      </c>
      <c r="AC50" s="604" t="s">
        <v>431</v>
      </c>
      <c r="AD50" s="604" t="s">
        <v>130</v>
      </c>
      <c r="AE50" s="604">
        <v>18</v>
      </c>
      <c r="AF50" s="604">
        <v>9130</v>
      </c>
      <c r="AG50" s="604">
        <v>2</v>
      </c>
      <c r="AH50" s="604" t="s">
        <v>420</v>
      </c>
      <c r="AJ50" s="535" t="str">
        <f t="shared" si="4"/>
        <v>2016bwtage2500-449920-24</v>
      </c>
      <c r="AK50" s="604">
        <v>2016</v>
      </c>
      <c r="AL50" s="604" t="s">
        <v>447</v>
      </c>
      <c r="AM50" s="604" t="s">
        <v>453</v>
      </c>
      <c r="AN50" s="604" t="s">
        <v>431</v>
      </c>
      <c r="AO50" s="604" t="s">
        <v>130</v>
      </c>
      <c r="AP50" s="604">
        <v>9130</v>
      </c>
      <c r="AR50" s="538" t="str">
        <f t="shared" si="5"/>
        <v>25-29agefetalWaikato</v>
      </c>
      <c r="AS50" s="604">
        <v>2016</v>
      </c>
      <c r="AT50" s="604" t="s">
        <v>131</v>
      </c>
      <c r="AU50" s="604" t="s">
        <v>453</v>
      </c>
      <c r="AV50" s="604" t="s">
        <v>89</v>
      </c>
      <c r="AW50" s="604">
        <v>11</v>
      </c>
      <c r="AX50" s="604">
        <v>1664</v>
      </c>
      <c r="AY50" s="606">
        <v>6.6</v>
      </c>
      <c r="AZ50" s="604" t="s">
        <v>420</v>
      </c>
      <c r="BB50" s="536" t="str">
        <f t="shared" si="6"/>
        <v>20-24agebirthsWaikato</v>
      </c>
      <c r="BC50" s="604">
        <v>2016</v>
      </c>
      <c r="BD50" s="604" t="s">
        <v>130</v>
      </c>
      <c r="BE50" s="604" t="s">
        <v>453</v>
      </c>
      <c r="BF50" s="604" t="s">
        <v>89</v>
      </c>
      <c r="BG50" s="604">
        <v>1100</v>
      </c>
      <c r="BH50" s="604" t="s">
        <v>445</v>
      </c>
      <c r="BR50" s="547" t="str">
        <f t="shared" si="8"/>
        <v>7-27 daysMaorieth</v>
      </c>
      <c r="BS50" s="604">
        <v>2016</v>
      </c>
      <c r="BT50" s="604" t="s">
        <v>471</v>
      </c>
      <c r="BU50" s="604" t="s">
        <v>129</v>
      </c>
      <c r="BV50" s="604" t="s">
        <v>449</v>
      </c>
      <c r="BW50" s="604">
        <v>12</v>
      </c>
      <c r="BY50" s="553" t="str">
        <f t="shared" si="9"/>
        <v>200640+ageSIDS</v>
      </c>
      <c r="BZ50" s="604">
        <v>2006</v>
      </c>
      <c r="CA50" s="604" t="s">
        <v>134</v>
      </c>
      <c r="CB50" s="604" t="s">
        <v>453</v>
      </c>
      <c r="CC50" s="604">
        <v>0</v>
      </c>
      <c r="CD50" s="604" t="s">
        <v>32</v>
      </c>
      <c r="CF50" s="554" t="str">
        <f t="shared" si="10"/>
        <v>2016Pacific peoplesQuin 3depSIDS</v>
      </c>
      <c r="CG50" s="604">
        <v>2016</v>
      </c>
      <c r="CH50" s="604" t="s">
        <v>320</v>
      </c>
      <c r="CI50" s="604" t="s">
        <v>423</v>
      </c>
      <c r="CJ50" s="604" t="s">
        <v>454</v>
      </c>
      <c r="CK50" s="604">
        <v>0</v>
      </c>
      <c r="CL50" s="604" t="s">
        <v>32</v>
      </c>
      <c r="CN50" s="575" t="str">
        <f t="shared" si="11"/>
        <v>2013R00–R99fetal</v>
      </c>
      <c r="CO50" s="604">
        <v>2013</v>
      </c>
      <c r="CP50" s="604" t="s">
        <v>515</v>
      </c>
      <c r="CQ50" s="604">
        <v>0</v>
      </c>
      <c r="CR50" s="604">
        <v>0</v>
      </c>
      <c r="CS50" s="604">
        <v>0</v>
      </c>
      <c r="CT50" s="604" t="s">
        <v>420</v>
      </c>
      <c r="CV50" s="575"/>
    </row>
    <row r="51" spans="1:100">
      <c r="A51" s="502" t="str">
        <f t="shared" si="0"/>
        <v>2008deathsFetal</v>
      </c>
      <c r="B51" s="604">
        <v>2008</v>
      </c>
      <c r="C51" s="604" t="s">
        <v>496</v>
      </c>
      <c r="D51" s="604" t="s">
        <v>47</v>
      </c>
      <c r="E51" s="604">
        <v>556</v>
      </c>
      <c r="F51" s="604">
        <v>65889</v>
      </c>
      <c r="G51" s="604">
        <v>8.4</v>
      </c>
      <c r="I51" s="578" t="str">
        <f t="shared" si="1"/>
        <v>1999ageUnknownFetal</v>
      </c>
      <c r="J51" s="604">
        <v>1999</v>
      </c>
      <c r="K51" s="604" t="s">
        <v>453</v>
      </c>
      <c r="L51" s="604" t="s">
        <v>63</v>
      </c>
      <c r="M51" s="604">
        <v>0</v>
      </c>
      <c r="N51" s="604">
        <v>3</v>
      </c>
      <c r="O51" s="604" t="s">
        <v>119</v>
      </c>
      <c r="P51" s="604" t="s">
        <v>47</v>
      </c>
      <c r="Q51" s="499"/>
      <c r="R51" s="502" t="str">
        <f t="shared" si="2"/>
        <v>2002birthsbwtUnknown</v>
      </c>
      <c r="S51" s="604">
        <v>2002</v>
      </c>
      <c r="T51" s="604" t="s">
        <v>445</v>
      </c>
      <c r="U51" s="604" t="s">
        <v>447</v>
      </c>
      <c r="V51" s="604" t="s">
        <v>63</v>
      </c>
      <c r="W51" s="604">
        <v>141</v>
      </c>
      <c r="Y51" s="535" t="str">
        <f t="shared" si="3"/>
        <v>2016bwtage4500+20-24fetal</v>
      </c>
      <c r="Z51" s="604">
        <v>2016</v>
      </c>
      <c r="AA51" s="604" t="s">
        <v>447</v>
      </c>
      <c r="AB51" s="604" t="s">
        <v>453</v>
      </c>
      <c r="AC51" s="604" t="s">
        <v>432</v>
      </c>
      <c r="AD51" s="604" t="s">
        <v>130</v>
      </c>
      <c r="AE51" s="604">
        <v>0</v>
      </c>
      <c r="AF51" s="604">
        <v>208</v>
      </c>
      <c r="AG51" s="604">
        <v>0</v>
      </c>
      <c r="AH51" s="604" t="s">
        <v>420</v>
      </c>
      <c r="AJ51" s="535" t="str">
        <f t="shared" si="4"/>
        <v>2016bwtage4500+20-24</v>
      </c>
      <c r="AK51" s="604">
        <v>2016</v>
      </c>
      <c r="AL51" s="604" t="s">
        <v>447</v>
      </c>
      <c r="AM51" s="604" t="s">
        <v>453</v>
      </c>
      <c r="AN51" s="604" t="s">
        <v>432</v>
      </c>
      <c r="AO51" s="604" t="s">
        <v>130</v>
      </c>
      <c r="AP51" s="604">
        <v>208</v>
      </c>
      <c r="AR51" s="538" t="str">
        <f t="shared" si="5"/>
        <v>30-34agefetalWaikato</v>
      </c>
      <c r="AS51" s="604">
        <v>2016</v>
      </c>
      <c r="AT51" s="604" t="s">
        <v>132</v>
      </c>
      <c r="AU51" s="604" t="s">
        <v>453</v>
      </c>
      <c r="AV51" s="604" t="s">
        <v>89</v>
      </c>
      <c r="AW51" s="604">
        <v>15</v>
      </c>
      <c r="AX51" s="604">
        <v>1552</v>
      </c>
      <c r="AY51" s="606">
        <v>9.6999999999999993</v>
      </c>
      <c r="AZ51" s="604" t="s">
        <v>420</v>
      </c>
      <c r="BB51" s="536" t="str">
        <f t="shared" si="6"/>
        <v>25-29agebirthsWaikato</v>
      </c>
      <c r="BC51" s="604">
        <v>2016</v>
      </c>
      <c r="BD51" s="604" t="s">
        <v>131</v>
      </c>
      <c r="BE51" s="604" t="s">
        <v>453</v>
      </c>
      <c r="BF51" s="604" t="s">
        <v>89</v>
      </c>
      <c r="BG51" s="604">
        <v>1653</v>
      </c>
      <c r="BH51" s="604" t="s">
        <v>445</v>
      </c>
      <c r="BR51" s="547" t="str">
        <f t="shared" si="8"/>
        <v>7-27 daysPacific peopleseth</v>
      </c>
      <c r="BS51" s="604">
        <v>2016</v>
      </c>
      <c r="BT51" s="604" t="s">
        <v>471</v>
      </c>
      <c r="BU51" s="604" t="s">
        <v>320</v>
      </c>
      <c r="BV51" s="604" t="s">
        <v>449</v>
      </c>
      <c r="BW51" s="604">
        <v>8</v>
      </c>
      <c r="BY51" s="553" t="str">
        <f t="shared" si="9"/>
        <v>2006UnknownageSIDS</v>
      </c>
      <c r="BZ51" s="604">
        <v>2006</v>
      </c>
      <c r="CA51" s="604" t="s">
        <v>63</v>
      </c>
      <c r="CB51" s="604" t="s">
        <v>453</v>
      </c>
      <c r="CC51" s="604">
        <v>1</v>
      </c>
      <c r="CD51" s="604" t="s">
        <v>32</v>
      </c>
      <c r="CF51" s="554" t="str">
        <f t="shared" si="10"/>
        <v>2016AsianQuin 4depSIDS</v>
      </c>
      <c r="CG51" s="604">
        <v>2016</v>
      </c>
      <c r="CH51" s="604" t="s">
        <v>355</v>
      </c>
      <c r="CI51" s="604" t="s">
        <v>424</v>
      </c>
      <c r="CJ51" s="604" t="s">
        <v>454</v>
      </c>
      <c r="CK51" s="604">
        <v>0</v>
      </c>
      <c r="CL51" s="604" t="s">
        <v>32</v>
      </c>
      <c r="CN51" s="575" t="str">
        <f t="shared" si="11"/>
        <v>2013V00–Y98fetal</v>
      </c>
      <c r="CO51" s="604">
        <v>2013</v>
      </c>
      <c r="CP51" s="604" t="s">
        <v>523</v>
      </c>
      <c r="CQ51" s="604">
        <v>0</v>
      </c>
      <c r="CR51" s="604">
        <v>0</v>
      </c>
      <c r="CS51" s="604">
        <v>0</v>
      </c>
      <c r="CT51" s="604" t="s">
        <v>420</v>
      </c>
      <c r="CV51" s="575"/>
    </row>
    <row r="52" spans="1:100">
      <c r="A52" s="502" t="str">
        <f t="shared" si="0"/>
        <v>2008deathsEarly neonatal</v>
      </c>
      <c r="B52" s="604">
        <v>2008</v>
      </c>
      <c r="C52" s="604" t="s">
        <v>496</v>
      </c>
      <c r="D52" s="604" t="s">
        <v>41</v>
      </c>
      <c r="E52" s="604">
        <v>145</v>
      </c>
      <c r="F52" s="604">
        <v>65333</v>
      </c>
      <c r="G52" s="604" t="s">
        <v>119</v>
      </c>
      <c r="I52" s="578" t="str">
        <f t="shared" si="1"/>
        <v>2000age&lt;20Fetal</v>
      </c>
      <c r="J52" s="604">
        <v>2000</v>
      </c>
      <c r="K52" s="604" t="s">
        <v>453</v>
      </c>
      <c r="L52" s="604" t="s">
        <v>339</v>
      </c>
      <c r="M52" s="604">
        <v>28</v>
      </c>
      <c r="N52" s="604">
        <v>3851</v>
      </c>
      <c r="O52" s="604">
        <v>7.3</v>
      </c>
      <c r="P52" s="604" t="s">
        <v>47</v>
      </c>
      <c r="Q52" s="499"/>
      <c r="R52" s="502" t="str">
        <f t="shared" si="2"/>
        <v>2003birthsbwt&lt;500</v>
      </c>
      <c r="S52" s="604">
        <v>2003</v>
      </c>
      <c r="T52" s="604" t="s">
        <v>445</v>
      </c>
      <c r="U52" s="604" t="s">
        <v>447</v>
      </c>
      <c r="V52" s="604" t="s">
        <v>427</v>
      </c>
      <c r="W52" s="604">
        <v>48</v>
      </c>
      <c r="Y52" s="535" t="str">
        <f t="shared" si="3"/>
        <v>2016bwtageUnknown20-24fetal</v>
      </c>
      <c r="Z52" s="604">
        <v>2016</v>
      </c>
      <c r="AA52" s="604" t="s">
        <v>447</v>
      </c>
      <c r="AB52" s="604" t="s">
        <v>453</v>
      </c>
      <c r="AC52" s="604" t="s">
        <v>63</v>
      </c>
      <c r="AD52" s="604" t="s">
        <v>130</v>
      </c>
      <c r="AE52" s="604">
        <v>5</v>
      </c>
      <c r="AF52" s="604">
        <v>4</v>
      </c>
      <c r="AG52" s="604" t="s">
        <v>119</v>
      </c>
      <c r="AH52" s="604" t="s">
        <v>420</v>
      </c>
      <c r="AJ52" s="535" t="str">
        <f t="shared" si="4"/>
        <v>2016bwtageUnknown20-24</v>
      </c>
      <c r="AK52" s="604">
        <v>2016</v>
      </c>
      <c r="AL52" s="604" t="s">
        <v>447</v>
      </c>
      <c r="AM52" s="604" t="s">
        <v>453</v>
      </c>
      <c r="AN52" s="604" t="s">
        <v>63</v>
      </c>
      <c r="AO52" s="604" t="s">
        <v>130</v>
      </c>
      <c r="AP52" s="604">
        <v>4</v>
      </c>
      <c r="AR52" s="538" t="str">
        <f t="shared" si="5"/>
        <v>35-39agefetalWaikato</v>
      </c>
      <c r="AS52" s="604">
        <v>2016</v>
      </c>
      <c r="AT52" s="604" t="s">
        <v>133</v>
      </c>
      <c r="AU52" s="604" t="s">
        <v>453</v>
      </c>
      <c r="AV52" s="604" t="s">
        <v>89</v>
      </c>
      <c r="AW52" s="604">
        <v>11</v>
      </c>
      <c r="AX52" s="604">
        <v>752</v>
      </c>
      <c r="AY52" s="606">
        <v>14.6</v>
      </c>
      <c r="AZ52" s="604" t="s">
        <v>420</v>
      </c>
      <c r="BB52" s="536" t="str">
        <f t="shared" si="6"/>
        <v>30-34agebirthsWaikato</v>
      </c>
      <c r="BC52" s="604">
        <v>2016</v>
      </c>
      <c r="BD52" s="604" t="s">
        <v>132</v>
      </c>
      <c r="BE52" s="604" t="s">
        <v>453</v>
      </c>
      <c r="BF52" s="604" t="s">
        <v>89</v>
      </c>
      <c r="BG52" s="604">
        <v>1537</v>
      </c>
      <c r="BH52" s="604" t="s">
        <v>445</v>
      </c>
      <c r="BR52" s="547" t="str">
        <f t="shared" si="8"/>
        <v>&lt;1 day&lt;28gest</v>
      </c>
      <c r="BS52" s="604">
        <v>2016</v>
      </c>
      <c r="BT52" s="604" t="s">
        <v>469</v>
      </c>
      <c r="BU52" s="604" t="s">
        <v>375</v>
      </c>
      <c r="BV52" s="604" t="s">
        <v>450</v>
      </c>
      <c r="BW52" s="604">
        <v>70</v>
      </c>
      <c r="BY52" s="553" t="str">
        <f t="shared" si="9"/>
        <v>2007&lt;20ageSIDS</v>
      </c>
      <c r="BZ52" s="604">
        <v>2007</v>
      </c>
      <c r="CA52" s="604" t="s">
        <v>339</v>
      </c>
      <c r="CB52" s="604" t="s">
        <v>453</v>
      </c>
      <c r="CC52" s="604">
        <v>8</v>
      </c>
      <c r="CD52" s="604" t="s">
        <v>32</v>
      </c>
      <c r="CF52" s="554" t="str">
        <f t="shared" si="10"/>
        <v>2016European or OtherQuin 4depSIDS</v>
      </c>
      <c r="CG52" s="604">
        <v>2016</v>
      </c>
      <c r="CH52" s="604" t="s">
        <v>356</v>
      </c>
      <c r="CI52" s="604" t="s">
        <v>424</v>
      </c>
      <c r="CJ52" s="604" t="s">
        <v>454</v>
      </c>
      <c r="CK52" s="604">
        <v>1</v>
      </c>
      <c r="CL52" s="604" t="s">
        <v>32</v>
      </c>
      <c r="CN52" s="575" t="str">
        <f t="shared" si="11"/>
        <v>2014A00–B99fetal</v>
      </c>
      <c r="CO52" s="604">
        <v>2014</v>
      </c>
      <c r="CP52" s="604" t="s">
        <v>498</v>
      </c>
      <c r="CQ52" s="604">
        <v>0</v>
      </c>
      <c r="CR52" s="604">
        <v>0</v>
      </c>
      <c r="CS52" s="604">
        <v>0</v>
      </c>
      <c r="CT52" s="604" t="s">
        <v>420</v>
      </c>
      <c r="CV52" s="575"/>
    </row>
    <row r="53" spans="1:100">
      <c r="A53" s="502" t="str">
        <f t="shared" si="0"/>
        <v>2008deathsLate neonatal</v>
      </c>
      <c r="B53" s="604">
        <v>2008</v>
      </c>
      <c r="C53" s="604" t="s">
        <v>496</v>
      </c>
      <c r="D53" s="604" t="s">
        <v>42</v>
      </c>
      <c r="E53" s="604">
        <v>42</v>
      </c>
      <c r="F53" s="604">
        <v>65333</v>
      </c>
      <c r="G53" s="604" t="s">
        <v>119</v>
      </c>
      <c r="I53" s="578" t="str">
        <f t="shared" si="1"/>
        <v>2000age20-24Fetal</v>
      </c>
      <c r="J53" s="604">
        <v>2000</v>
      </c>
      <c r="K53" s="604" t="s">
        <v>453</v>
      </c>
      <c r="L53" s="604" t="s">
        <v>130</v>
      </c>
      <c r="M53" s="604">
        <v>58</v>
      </c>
      <c r="N53" s="604">
        <v>9995</v>
      </c>
      <c r="O53" s="604">
        <v>5.8</v>
      </c>
      <c r="P53" s="604" t="s">
        <v>47</v>
      </c>
      <c r="Q53" s="499"/>
      <c r="R53" s="502" t="str">
        <f t="shared" si="2"/>
        <v>2003birthsbwt500-999</v>
      </c>
      <c r="S53" s="604">
        <v>2003</v>
      </c>
      <c r="T53" s="604" t="s">
        <v>445</v>
      </c>
      <c r="U53" s="604" t="s">
        <v>447</v>
      </c>
      <c r="V53" s="604" t="s">
        <v>428</v>
      </c>
      <c r="W53" s="604">
        <v>237</v>
      </c>
      <c r="Y53" s="535" t="str">
        <f t="shared" si="3"/>
        <v>2016bwtage&lt;50025-29fetal</v>
      </c>
      <c r="Z53" s="604">
        <v>2016</v>
      </c>
      <c r="AA53" s="604" t="s">
        <v>447</v>
      </c>
      <c r="AB53" s="604" t="s">
        <v>453</v>
      </c>
      <c r="AC53" s="604" t="s">
        <v>427</v>
      </c>
      <c r="AD53" s="604" t="s">
        <v>131</v>
      </c>
      <c r="AE53" s="604">
        <v>40</v>
      </c>
      <c r="AF53" s="604">
        <v>13</v>
      </c>
      <c r="AG53" s="604" t="s">
        <v>119</v>
      </c>
      <c r="AH53" s="604" t="s">
        <v>420</v>
      </c>
      <c r="AJ53" s="535" t="str">
        <f t="shared" si="4"/>
        <v>2016bwtage&lt;50025-29</v>
      </c>
      <c r="AK53" s="604">
        <v>2016</v>
      </c>
      <c r="AL53" s="604" t="s">
        <v>447</v>
      </c>
      <c r="AM53" s="604" t="s">
        <v>453</v>
      </c>
      <c r="AN53" s="604" t="s">
        <v>427</v>
      </c>
      <c r="AO53" s="604" t="s">
        <v>131</v>
      </c>
      <c r="AP53" s="604">
        <v>13</v>
      </c>
      <c r="AR53" s="538" t="str">
        <f t="shared" si="5"/>
        <v>40+agefetalWaikato</v>
      </c>
      <c r="AS53" s="604">
        <v>2016</v>
      </c>
      <c r="AT53" s="604" t="s">
        <v>134</v>
      </c>
      <c r="AU53" s="604" t="s">
        <v>453</v>
      </c>
      <c r="AV53" s="604" t="s">
        <v>89</v>
      </c>
      <c r="AW53" s="604">
        <v>5</v>
      </c>
      <c r="AX53" s="604">
        <v>164</v>
      </c>
      <c r="AY53" s="606">
        <v>30.5</v>
      </c>
      <c r="AZ53" s="604" t="s">
        <v>420</v>
      </c>
      <c r="BB53" s="536" t="str">
        <f t="shared" si="6"/>
        <v>35-39agebirthsWaikato</v>
      </c>
      <c r="BC53" s="604">
        <v>2016</v>
      </c>
      <c r="BD53" s="604" t="s">
        <v>133</v>
      </c>
      <c r="BE53" s="604" t="s">
        <v>453</v>
      </c>
      <c r="BF53" s="604" t="s">
        <v>89</v>
      </c>
      <c r="BG53" s="604">
        <v>741</v>
      </c>
      <c r="BH53" s="604" t="s">
        <v>445</v>
      </c>
      <c r="BR53" s="547" t="str">
        <f t="shared" si="8"/>
        <v>&lt;1 day28-31gest</v>
      </c>
      <c r="BS53" s="604">
        <v>2016</v>
      </c>
      <c r="BT53" s="604" t="s">
        <v>469</v>
      </c>
      <c r="BU53" s="604" t="s">
        <v>395</v>
      </c>
      <c r="BV53" s="604" t="s">
        <v>450</v>
      </c>
      <c r="BW53" s="604">
        <v>4</v>
      </c>
      <c r="BY53" s="553" t="str">
        <f t="shared" si="9"/>
        <v>200720-24ageSIDS</v>
      </c>
      <c r="BZ53" s="604">
        <v>2007</v>
      </c>
      <c r="CA53" s="604" t="s">
        <v>130</v>
      </c>
      <c r="CB53" s="604" t="s">
        <v>453</v>
      </c>
      <c r="CC53" s="604">
        <v>17</v>
      </c>
      <c r="CD53" s="604" t="s">
        <v>32</v>
      </c>
      <c r="CF53" s="554" t="str">
        <f t="shared" si="10"/>
        <v>2016MaoriQuin 4depSIDS</v>
      </c>
      <c r="CG53" s="604">
        <v>2016</v>
      </c>
      <c r="CH53" s="604" t="s">
        <v>129</v>
      </c>
      <c r="CI53" s="604" t="s">
        <v>424</v>
      </c>
      <c r="CJ53" s="604" t="s">
        <v>454</v>
      </c>
      <c r="CK53" s="604">
        <v>5</v>
      </c>
      <c r="CL53" s="604" t="s">
        <v>32</v>
      </c>
      <c r="CN53" s="575" t="str">
        <f t="shared" si="11"/>
        <v>2014C00–D48fetal</v>
      </c>
      <c r="CO53" s="604">
        <v>2014</v>
      </c>
      <c r="CP53" s="604" t="s">
        <v>499</v>
      </c>
      <c r="CQ53" s="604">
        <v>2</v>
      </c>
      <c r="CR53" s="604">
        <v>0.4</v>
      </c>
      <c r="CS53" s="604">
        <v>0.03</v>
      </c>
      <c r="CT53" s="604" t="s">
        <v>420</v>
      </c>
      <c r="CV53" s="575"/>
    </row>
    <row r="54" spans="1:100">
      <c r="A54" s="502" t="str">
        <f t="shared" si="0"/>
        <v>2008deathsPost-neonatal</v>
      </c>
      <c r="B54" s="604">
        <v>2008</v>
      </c>
      <c r="C54" s="604" t="s">
        <v>496</v>
      </c>
      <c r="D54" s="604" t="s">
        <v>43</v>
      </c>
      <c r="E54" s="604">
        <v>136</v>
      </c>
      <c r="F54" s="604">
        <v>65333</v>
      </c>
      <c r="G54" s="604">
        <v>2.1</v>
      </c>
      <c r="I54" s="578" t="str">
        <f t="shared" si="1"/>
        <v>2000age25-29Fetal</v>
      </c>
      <c r="J54" s="604">
        <v>2000</v>
      </c>
      <c r="K54" s="604" t="s">
        <v>453</v>
      </c>
      <c r="L54" s="604" t="s">
        <v>131</v>
      </c>
      <c r="M54" s="604">
        <v>91</v>
      </c>
      <c r="N54" s="604">
        <v>15983</v>
      </c>
      <c r="O54" s="604">
        <v>5.7</v>
      </c>
      <c r="P54" s="604" t="s">
        <v>47</v>
      </c>
      <c r="Q54" s="499"/>
      <c r="R54" s="502" t="str">
        <f t="shared" si="2"/>
        <v>2003birthsbwt1000-1499</v>
      </c>
      <c r="S54" s="604">
        <v>2003</v>
      </c>
      <c r="T54" s="604" t="s">
        <v>445</v>
      </c>
      <c r="U54" s="604" t="s">
        <v>447</v>
      </c>
      <c r="V54" s="604" t="s">
        <v>429</v>
      </c>
      <c r="W54" s="604">
        <v>380</v>
      </c>
      <c r="Y54" s="535" t="str">
        <f t="shared" si="3"/>
        <v>2016bwtage500-99925-29fetal</v>
      </c>
      <c r="Z54" s="604">
        <v>2016</v>
      </c>
      <c r="AA54" s="604" t="s">
        <v>447</v>
      </c>
      <c r="AB54" s="604" t="s">
        <v>453</v>
      </c>
      <c r="AC54" s="604" t="s">
        <v>428</v>
      </c>
      <c r="AD54" s="604" t="s">
        <v>131</v>
      </c>
      <c r="AE54" s="604">
        <v>23</v>
      </c>
      <c r="AF54" s="604">
        <v>48</v>
      </c>
      <c r="AG54" s="604">
        <v>323.89999999999998</v>
      </c>
      <c r="AH54" s="604" t="s">
        <v>420</v>
      </c>
      <c r="AJ54" s="535" t="str">
        <f t="shared" si="4"/>
        <v>2016bwtage500-99925-29</v>
      </c>
      <c r="AK54" s="604">
        <v>2016</v>
      </c>
      <c r="AL54" s="604" t="s">
        <v>447</v>
      </c>
      <c r="AM54" s="604" t="s">
        <v>453</v>
      </c>
      <c r="AN54" s="604" t="s">
        <v>428</v>
      </c>
      <c r="AO54" s="604" t="s">
        <v>131</v>
      </c>
      <c r="AP54" s="604">
        <v>48</v>
      </c>
      <c r="AR54" s="538" t="str">
        <f t="shared" si="5"/>
        <v>&lt;20agefetalLakes</v>
      </c>
      <c r="AS54" s="604">
        <v>2016</v>
      </c>
      <c r="AT54" s="604" t="s">
        <v>339</v>
      </c>
      <c r="AU54" s="604" t="s">
        <v>453</v>
      </c>
      <c r="AV54" s="604" t="s">
        <v>90</v>
      </c>
      <c r="AW54" s="604">
        <v>3</v>
      </c>
      <c r="AX54" s="604">
        <v>104</v>
      </c>
      <c r="AY54" s="606">
        <v>28.8</v>
      </c>
      <c r="AZ54" s="604" t="s">
        <v>420</v>
      </c>
      <c r="BB54" s="536" t="str">
        <f t="shared" si="6"/>
        <v>40+agebirthsWaikato</v>
      </c>
      <c r="BC54" s="604">
        <v>2016</v>
      </c>
      <c r="BD54" s="604" t="s">
        <v>134</v>
      </c>
      <c r="BE54" s="604" t="s">
        <v>453</v>
      </c>
      <c r="BF54" s="604" t="s">
        <v>89</v>
      </c>
      <c r="BG54" s="604">
        <v>159</v>
      </c>
      <c r="BH54" s="604" t="s">
        <v>445</v>
      </c>
      <c r="BR54" s="547" t="str">
        <f t="shared" si="8"/>
        <v>&lt;1 day32-36gest</v>
      </c>
      <c r="BS54" s="604">
        <v>2016</v>
      </c>
      <c r="BT54" s="604" t="s">
        <v>469</v>
      </c>
      <c r="BU54" s="604" t="s">
        <v>136</v>
      </c>
      <c r="BV54" s="604" t="s">
        <v>450</v>
      </c>
      <c r="BW54" s="604">
        <v>6</v>
      </c>
      <c r="BY54" s="553" t="str">
        <f t="shared" si="9"/>
        <v>200725-29ageSIDS</v>
      </c>
      <c r="BZ54" s="604">
        <v>2007</v>
      </c>
      <c r="CA54" s="604" t="s">
        <v>131</v>
      </c>
      <c r="CB54" s="604" t="s">
        <v>453</v>
      </c>
      <c r="CC54" s="604">
        <v>11</v>
      </c>
      <c r="CD54" s="604" t="s">
        <v>32</v>
      </c>
      <c r="CF54" s="554" t="str">
        <f t="shared" si="10"/>
        <v>2016Pacific peoplesQuin 4depSIDS</v>
      </c>
      <c r="CG54" s="604">
        <v>2016</v>
      </c>
      <c r="CH54" s="604" t="s">
        <v>320</v>
      </c>
      <c r="CI54" s="604" t="s">
        <v>424</v>
      </c>
      <c r="CJ54" s="604" t="s">
        <v>454</v>
      </c>
      <c r="CK54" s="604">
        <v>0</v>
      </c>
      <c r="CL54" s="604" t="s">
        <v>32</v>
      </c>
      <c r="CN54" s="575" t="str">
        <f t="shared" si="11"/>
        <v>2014D50–D89fetal</v>
      </c>
      <c r="CO54" s="604">
        <v>2014</v>
      </c>
      <c r="CP54" s="604" t="s">
        <v>500</v>
      </c>
      <c r="CQ54" s="604">
        <v>1</v>
      </c>
      <c r="CR54" s="604">
        <v>0.2</v>
      </c>
      <c r="CS54" s="604">
        <v>0.02</v>
      </c>
      <c r="CT54" s="604" t="s">
        <v>420</v>
      </c>
      <c r="CV54" s="575"/>
    </row>
    <row r="55" spans="1:100">
      <c r="A55" s="502" t="str">
        <f t="shared" si="0"/>
        <v>2009deathsFetal</v>
      </c>
      <c r="B55" s="604">
        <v>2009</v>
      </c>
      <c r="C55" s="604" t="s">
        <v>496</v>
      </c>
      <c r="D55" s="604" t="s">
        <v>47</v>
      </c>
      <c r="E55" s="604">
        <v>482</v>
      </c>
      <c r="F55" s="604">
        <v>63767</v>
      </c>
      <c r="G55" s="604">
        <v>7.6</v>
      </c>
      <c r="I55" s="578" t="str">
        <f t="shared" si="1"/>
        <v>2000age30-34Fetal</v>
      </c>
      <c r="J55" s="604">
        <v>2000</v>
      </c>
      <c r="K55" s="604" t="s">
        <v>453</v>
      </c>
      <c r="L55" s="604" t="s">
        <v>132</v>
      </c>
      <c r="M55" s="604">
        <v>110</v>
      </c>
      <c r="N55" s="604">
        <v>17392</v>
      </c>
      <c r="O55" s="604">
        <v>6.3</v>
      </c>
      <c r="P55" s="604" t="s">
        <v>47</v>
      </c>
      <c r="Q55" s="499"/>
      <c r="R55" s="502" t="str">
        <f t="shared" si="2"/>
        <v>2003birthsbwt1500-2499</v>
      </c>
      <c r="S55" s="604">
        <v>2003</v>
      </c>
      <c r="T55" s="604" t="s">
        <v>445</v>
      </c>
      <c r="U55" s="604" t="s">
        <v>447</v>
      </c>
      <c r="V55" s="604" t="s">
        <v>430</v>
      </c>
      <c r="W55" s="604">
        <v>2777</v>
      </c>
      <c r="Y55" s="535" t="str">
        <f t="shared" si="3"/>
        <v>2016bwtage1000-149925-29fetal</v>
      </c>
      <c r="Z55" s="604">
        <v>2016</v>
      </c>
      <c r="AA55" s="604" t="s">
        <v>447</v>
      </c>
      <c r="AB55" s="604" t="s">
        <v>453</v>
      </c>
      <c r="AC55" s="604" t="s">
        <v>429</v>
      </c>
      <c r="AD55" s="604" t="s">
        <v>131</v>
      </c>
      <c r="AE55" s="604">
        <v>11</v>
      </c>
      <c r="AF55" s="604">
        <v>95</v>
      </c>
      <c r="AG55" s="604">
        <v>103.8</v>
      </c>
      <c r="AH55" s="604" t="s">
        <v>420</v>
      </c>
      <c r="AJ55" s="535" t="str">
        <f t="shared" si="4"/>
        <v>2016bwtage1000-149925-29</v>
      </c>
      <c r="AK55" s="604">
        <v>2016</v>
      </c>
      <c r="AL55" s="604" t="s">
        <v>447</v>
      </c>
      <c r="AM55" s="604" t="s">
        <v>453</v>
      </c>
      <c r="AN55" s="604" t="s">
        <v>429</v>
      </c>
      <c r="AO55" s="604" t="s">
        <v>131</v>
      </c>
      <c r="AP55" s="604">
        <v>95</v>
      </c>
      <c r="AR55" s="538" t="str">
        <f t="shared" si="5"/>
        <v>20-24agefetalLakes</v>
      </c>
      <c r="AS55" s="604">
        <v>2016</v>
      </c>
      <c r="AT55" s="604" t="s">
        <v>130</v>
      </c>
      <c r="AU55" s="604" t="s">
        <v>453</v>
      </c>
      <c r="AV55" s="604" t="s">
        <v>90</v>
      </c>
      <c r="AW55" s="604">
        <v>6</v>
      </c>
      <c r="AX55" s="604">
        <v>364</v>
      </c>
      <c r="AY55" s="606">
        <v>16.5</v>
      </c>
      <c r="AZ55" s="604" t="s">
        <v>420</v>
      </c>
      <c r="BB55" s="536" t="str">
        <f t="shared" si="6"/>
        <v>&lt;20agebirthsLakes</v>
      </c>
      <c r="BC55" s="604">
        <v>2016</v>
      </c>
      <c r="BD55" s="604" t="s">
        <v>339</v>
      </c>
      <c r="BE55" s="604" t="s">
        <v>453</v>
      </c>
      <c r="BF55" s="604" t="s">
        <v>90</v>
      </c>
      <c r="BG55" s="604">
        <v>101</v>
      </c>
      <c r="BH55" s="604" t="s">
        <v>445</v>
      </c>
      <c r="BR55" s="547" t="str">
        <f t="shared" si="8"/>
        <v>&lt;1 day37-41gest</v>
      </c>
      <c r="BS55" s="604">
        <v>2016</v>
      </c>
      <c r="BT55" s="604" t="s">
        <v>469</v>
      </c>
      <c r="BU55" s="604" t="s">
        <v>137</v>
      </c>
      <c r="BV55" s="604" t="s">
        <v>450</v>
      </c>
      <c r="BW55" s="604">
        <v>14</v>
      </c>
      <c r="BY55" s="553" t="str">
        <f t="shared" si="9"/>
        <v>200730-34ageSIDS</v>
      </c>
      <c r="BZ55" s="604">
        <v>2007</v>
      </c>
      <c r="CA55" s="604" t="s">
        <v>132</v>
      </c>
      <c r="CB55" s="604" t="s">
        <v>453</v>
      </c>
      <c r="CC55" s="604">
        <v>10</v>
      </c>
      <c r="CD55" s="604" t="s">
        <v>32</v>
      </c>
      <c r="CF55" s="554" t="str">
        <f t="shared" si="10"/>
        <v>2016AsianQuin 5depSIDS</v>
      </c>
      <c r="CG55" s="604">
        <v>2016</v>
      </c>
      <c r="CH55" s="604" t="s">
        <v>355</v>
      </c>
      <c r="CI55" s="604" t="s">
        <v>425</v>
      </c>
      <c r="CJ55" s="604" t="s">
        <v>454</v>
      </c>
      <c r="CK55" s="604">
        <v>1</v>
      </c>
      <c r="CL55" s="604" t="s">
        <v>32</v>
      </c>
      <c r="CN55" s="575" t="str">
        <f t="shared" si="11"/>
        <v>2014E00–E89fetal</v>
      </c>
      <c r="CO55" s="604">
        <v>2014</v>
      </c>
      <c r="CP55" s="604" t="s">
        <v>501</v>
      </c>
      <c r="CQ55" s="604">
        <v>1</v>
      </c>
      <c r="CR55" s="604">
        <v>0.2</v>
      </c>
      <c r="CS55" s="604">
        <v>0.02</v>
      </c>
      <c r="CT55" s="604" t="s">
        <v>420</v>
      </c>
      <c r="CV55" s="575"/>
    </row>
    <row r="56" spans="1:100">
      <c r="A56" s="502" t="str">
        <f t="shared" si="0"/>
        <v>2009deathsEarly neonatal</v>
      </c>
      <c r="B56" s="604">
        <v>2009</v>
      </c>
      <c r="C56" s="604" t="s">
        <v>496</v>
      </c>
      <c r="D56" s="604" t="s">
        <v>41</v>
      </c>
      <c r="E56" s="604">
        <v>152</v>
      </c>
      <c r="F56" s="604">
        <v>63285</v>
      </c>
      <c r="G56" s="604" t="s">
        <v>119</v>
      </c>
      <c r="I56" s="578" t="str">
        <f t="shared" si="1"/>
        <v>2000age35-39Fetal</v>
      </c>
      <c r="J56" s="604">
        <v>2000</v>
      </c>
      <c r="K56" s="604" t="s">
        <v>453</v>
      </c>
      <c r="L56" s="604" t="s">
        <v>133</v>
      </c>
      <c r="M56" s="604">
        <v>67</v>
      </c>
      <c r="N56" s="604">
        <v>8560</v>
      </c>
      <c r="O56" s="604">
        <v>7.8</v>
      </c>
      <c r="P56" s="604" t="s">
        <v>47</v>
      </c>
      <c r="Q56" s="499"/>
      <c r="R56" s="502" t="str">
        <f t="shared" si="2"/>
        <v>2003birthsbwt2500-4499</v>
      </c>
      <c r="S56" s="604">
        <v>2003</v>
      </c>
      <c r="T56" s="604" t="s">
        <v>445</v>
      </c>
      <c r="U56" s="604" t="s">
        <v>447</v>
      </c>
      <c r="V56" s="604" t="s">
        <v>431</v>
      </c>
      <c r="W56" s="604">
        <v>51534</v>
      </c>
      <c r="Y56" s="535" t="str">
        <f t="shared" si="3"/>
        <v>2016bwtage1500-249925-29fetal</v>
      </c>
      <c r="Z56" s="604">
        <v>2016</v>
      </c>
      <c r="AA56" s="604" t="s">
        <v>447</v>
      </c>
      <c r="AB56" s="604" t="s">
        <v>453</v>
      </c>
      <c r="AC56" s="604" t="s">
        <v>430</v>
      </c>
      <c r="AD56" s="604" t="s">
        <v>131</v>
      </c>
      <c r="AE56" s="604">
        <v>5</v>
      </c>
      <c r="AF56" s="604">
        <v>755</v>
      </c>
      <c r="AG56" s="604">
        <v>6.6</v>
      </c>
      <c r="AH56" s="604" t="s">
        <v>420</v>
      </c>
      <c r="AJ56" s="535" t="str">
        <f t="shared" si="4"/>
        <v>2016bwtage1500-249925-29</v>
      </c>
      <c r="AK56" s="604">
        <v>2016</v>
      </c>
      <c r="AL56" s="604" t="s">
        <v>447</v>
      </c>
      <c r="AM56" s="604" t="s">
        <v>453</v>
      </c>
      <c r="AN56" s="604" t="s">
        <v>430</v>
      </c>
      <c r="AO56" s="604" t="s">
        <v>131</v>
      </c>
      <c r="AP56" s="604">
        <v>755</v>
      </c>
      <c r="AR56" s="538" t="str">
        <f t="shared" si="5"/>
        <v>25-29agefetalLakes</v>
      </c>
      <c r="AS56" s="604">
        <v>2016</v>
      </c>
      <c r="AT56" s="604" t="s">
        <v>131</v>
      </c>
      <c r="AU56" s="604" t="s">
        <v>453</v>
      </c>
      <c r="AV56" s="604" t="s">
        <v>90</v>
      </c>
      <c r="AW56" s="604">
        <v>4</v>
      </c>
      <c r="AX56" s="604">
        <v>495</v>
      </c>
      <c r="AY56" s="606">
        <v>8.1</v>
      </c>
      <c r="AZ56" s="604" t="s">
        <v>420</v>
      </c>
      <c r="BB56" s="536" t="str">
        <f t="shared" si="6"/>
        <v>20-24agebirthsLakes</v>
      </c>
      <c r="BC56" s="604">
        <v>2016</v>
      </c>
      <c r="BD56" s="604" t="s">
        <v>130</v>
      </c>
      <c r="BE56" s="604" t="s">
        <v>453</v>
      </c>
      <c r="BF56" s="604" t="s">
        <v>90</v>
      </c>
      <c r="BG56" s="604">
        <v>358</v>
      </c>
      <c r="BH56" s="604" t="s">
        <v>445</v>
      </c>
      <c r="BR56" s="547" t="str">
        <f t="shared" si="8"/>
        <v>&lt;1 day42+gest</v>
      </c>
      <c r="BS56" s="604">
        <v>2016</v>
      </c>
      <c r="BT56" s="604" t="s">
        <v>469</v>
      </c>
      <c r="BU56" s="604" t="s">
        <v>138</v>
      </c>
      <c r="BV56" s="604" t="s">
        <v>450</v>
      </c>
      <c r="BW56" s="604">
        <v>1</v>
      </c>
      <c r="BY56" s="553" t="str">
        <f t="shared" si="9"/>
        <v>200735-39ageSIDS</v>
      </c>
      <c r="BZ56" s="604">
        <v>2007</v>
      </c>
      <c r="CA56" s="604" t="s">
        <v>133</v>
      </c>
      <c r="CB56" s="604" t="s">
        <v>453</v>
      </c>
      <c r="CC56" s="604">
        <v>6</v>
      </c>
      <c r="CD56" s="604" t="s">
        <v>32</v>
      </c>
      <c r="CF56" s="554" t="str">
        <f t="shared" si="10"/>
        <v>2016European or OtherQuin 5depSIDS</v>
      </c>
      <c r="CG56" s="604">
        <v>2016</v>
      </c>
      <c r="CH56" s="604" t="s">
        <v>356</v>
      </c>
      <c r="CI56" s="604" t="s">
        <v>425</v>
      </c>
      <c r="CJ56" s="604" t="s">
        <v>454</v>
      </c>
      <c r="CK56" s="604">
        <v>0</v>
      </c>
      <c r="CL56" s="604" t="s">
        <v>32</v>
      </c>
      <c r="CN56" s="575" t="str">
        <f t="shared" si="11"/>
        <v>2014G00–G99fetal</v>
      </c>
      <c r="CO56" s="604">
        <v>2014</v>
      </c>
      <c r="CP56" s="604" t="s">
        <v>503</v>
      </c>
      <c r="CQ56" s="604">
        <v>0</v>
      </c>
      <c r="CR56" s="604">
        <v>0</v>
      </c>
      <c r="CS56" s="604">
        <v>0</v>
      </c>
      <c r="CT56" s="604" t="s">
        <v>420</v>
      </c>
      <c r="CV56" s="575"/>
    </row>
    <row r="57" spans="1:100">
      <c r="A57" s="502" t="str">
        <f t="shared" si="0"/>
        <v>2009deathsLate neonatal</v>
      </c>
      <c r="B57" s="604">
        <v>2009</v>
      </c>
      <c r="C57" s="604" t="s">
        <v>496</v>
      </c>
      <c r="D57" s="604" t="s">
        <v>42</v>
      </c>
      <c r="E57" s="604">
        <v>45</v>
      </c>
      <c r="F57" s="604">
        <v>63285</v>
      </c>
      <c r="G57" s="604" t="s">
        <v>119</v>
      </c>
      <c r="I57" s="578" t="str">
        <f t="shared" si="1"/>
        <v>2000age40+Fetal</v>
      </c>
      <c r="J57" s="604">
        <v>2000</v>
      </c>
      <c r="K57" s="604" t="s">
        <v>453</v>
      </c>
      <c r="L57" s="604" t="s">
        <v>134</v>
      </c>
      <c r="M57" s="604">
        <v>15</v>
      </c>
      <c r="N57" s="604">
        <v>1582</v>
      </c>
      <c r="O57" s="604">
        <v>9.5</v>
      </c>
      <c r="P57" s="604" t="s">
        <v>47</v>
      </c>
      <c r="Q57" s="499"/>
      <c r="R57" s="502" t="str">
        <f t="shared" si="2"/>
        <v>2003birthsbwt4500+</v>
      </c>
      <c r="S57" s="604">
        <v>2003</v>
      </c>
      <c r="T57" s="604" t="s">
        <v>445</v>
      </c>
      <c r="U57" s="604" t="s">
        <v>447</v>
      </c>
      <c r="V57" s="604" t="s">
        <v>432</v>
      </c>
      <c r="W57" s="604">
        <v>1557</v>
      </c>
      <c r="Y57" s="535" t="str">
        <f t="shared" si="3"/>
        <v>2016bwtage2500-449925-29fetal</v>
      </c>
      <c r="Z57" s="604">
        <v>2016</v>
      </c>
      <c r="AA57" s="604" t="s">
        <v>447</v>
      </c>
      <c r="AB57" s="604" t="s">
        <v>453</v>
      </c>
      <c r="AC57" s="604" t="s">
        <v>431</v>
      </c>
      <c r="AD57" s="604" t="s">
        <v>131</v>
      </c>
      <c r="AE57" s="604">
        <v>17</v>
      </c>
      <c r="AF57" s="604">
        <v>15332</v>
      </c>
      <c r="AG57" s="604">
        <v>1.1000000000000001</v>
      </c>
      <c r="AH57" s="604" t="s">
        <v>420</v>
      </c>
      <c r="AJ57" s="535" t="str">
        <f t="shared" si="4"/>
        <v>2016bwtage2500-449925-29</v>
      </c>
      <c r="AK57" s="604">
        <v>2016</v>
      </c>
      <c r="AL57" s="604" t="s">
        <v>447</v>
      </c>
      <c r="AM57" s="604" t="s">
        <v>453</v>
      </c>
      <c r="AN57" s="604" t="s">
        <v>431</v>
      </c>
      <c r="AO57" s="604" t="s">
        <v>131</v>
      </c>
      <c r="AP57" s="604">
        <v>15332</v>
      </c>
      <c r="AR57" s="538" t="str">
        <f t="shared" si="5"/>
        <v>&lt;20agefetalBay of Plenty</v>
      </c>
      <c r="AS57" s="604">
        <v>2016</v>
      </c>
      <c r="AT57" s="604" t="s">
        <v>339</v>
      </c>
      <c r="AU57" s="604" t="s">
        <v>453</v>
      </c>
      <c r="AV57" s="604" t="s">
        <v>91</v>
      </c>
      <c r="AW57" s="604">
        <v>2</v>
      </c>
      <c r="AX57" s="604">
        <v>151</v>
      </c>
      <c r="AY57" s="606">
        <v>13.2</v>
      </c>
      <c r="AZ57" s="604" t="s">
        <v>420</v>
      </c>
      <c r="BB57" s="536" t="str">
        <f t="shared" si="6"/>
        <v>25-29agebirthsLakes</v>
      </c>
      <c r="BC57" s="604">
        <v>2016</v>
      </c>
      <c r="BD57" s="604" t="s">
        <v>131</v>
      </c>
      <c r="BE57" s="604" t="s">
        <v>453</v>
      </c>
      <c r="BF57" s="604" t="s">
        <v>90</v>
      </c>
      <c r="BG57" s="604">
        <v>491</v>
      </c>
      <c r="BH57" s="604" t="s">
        <v>445</v>
      </c>
      <c r="BR57" s="547" t="str">
        <f t="shared" si="8"/>
        <v>&lt;1 dayUnknowngest</v>
      </c>
      <c r="BS57" s="604">
        <v>2016</v>
      </c>
      <c r="BT57" s="604" t="s">
        <v>469</v>
      </c>
      <c r="BU57" s="604" t="s">
        <v>63</v>
      </c>
      <c r="BV57" s="604" t="s">
        <v>450</v>
      </c>
      <c r="BW57" s="604">
        <v>5</v>
      </c>
      <c r="BY57" s="553" t="str">
        <f t="shared" si="9"/>
        <v>200740+ageSIDS</v>
      </c>
      <c r="BZ57" s="604">
        <v>2007</v>
      </c>
      <c r="CA57" s="604" t="s">
        <v>134</v>
      </c>
      <c r="CB57" s="604" t="s">
        <v>453</v>
      </c>
      <c r="CC57" s="604">
        <v>2</v>
      </c>
      <c r="CD57" s="604" t="s">
        <v>32</v>
      </c>
      <c r="CF57" s="554" t="str">
        <f t="shared" si="10"/>
        <v>2016MaoriQuin 5depSIDS</v>
      </c>
      <c r="CG57" s="604">
        <v>2016</v>
      </c>
      <c r="CH57" s="604" t="s">
        <v>129</v>
      </c>
      <c r="CI57" s="604" t="s">
        <v>425</v>
      </c>
      <c r="CJ57" s="604" t="s">
        <v>454</v>
      </c>
      <c r="CK57" s="604">
        <v>9</v>
      </c>
      <c r="CL57" s="604" t="s">
        <v>32</v>
      </c>
      <c r="CN57" s="575" t="str">
        <f t="shared" si="11"/>
        <v>2014I00–I99fetal</v>
      </c>
      <c r="CO57" s="604">
        <v>2014</v>
      </c>
      <c r="CP57" s="604" t="s">
        <v>506</v>
      </c>
      <c r="CQ57" s="604">
        <v>0</v>
      </c>
      <c r="CR57" s="604">
        <v>0</v>
      </c>
      <c r="CS57" s="604">
        <v>0</v>
      </c>
      <c r="CT57" s="604" t="s">
        <v>420</v>
      </c>
      <c r="CV57" s="575"/>
    </row>
    <row r="58" spans="1:100">
      <c r="A58" s="502" t="str">
        <f t="shared" si="0"/>
        <v>2009deathsPost-neonatal</v>
      </c>
      <c r="B58" s="604">
        <v>2009</v>
      </c>
      <c r="C58" s="604" t="s">
        <v>496</v>
      </c>
      <c r="D58" s="604" t="s">
        <v>43</v>
      </c>
      <c r="E58" s="604">
        <v>135</v>
      </c>
      <c r="F58" s="604">
        <v>63285</v>
      </c>
      <c r="G58" s="604">
        <v>2.1</v>
      </c>
      <c r="I58" s="578" t="str">
        <f t="shared" si="1"/>
        <v>2000ageUnknownFetal</v>
      </c>
      <c r="J58" s="604">
        <v>2000</v>
      </c>
      <c r="K58" s="604" t="s">
        <v>453</v>
      </c>
      <c r="L58" s="604" t="s">
        <v>63</v>
      </c>
      <c r="M58" s="604">
        <v>0</v>
      </c>
      <c r="N58" s="604">
        <v>0</v>
      </c>
      <c r="O58" s="604" t="s">
        <v>119</v>
      </c>
      <c r="P58" s="604" t="s">
        <v>47</v>
      </c>
      <c r="Q58" s="499"/>
      <c r="R58" s="502" t="str">
        <f t="shared" si="2"/>
        <v>2003birthsbwtUnknown</v>
      </c>
      <c r="S58" s="604">
        <v>2003</v>
      </c>
      <c r="T58" s="604" t="s">
        <v>445</v>
      </c>
      <c r="U58" s="604" t="s">
        <v>447</v>
      </c>
      <c r="V58" s="604" t="s">
        <v>63</v>
      </c>
      <c r="W58" s="604">
        <v>43</v>
      </c>
      <c r="Y58" s="535" t="str">
        <f t="shared" si="3"/>
        <v>2016bwtage4500+25-29fetal</v>
      </c>
      <c r="Z58" s="604">
        <v>2016</v>
      </c>
      <c r="AA58" s="604" t="s">
        <v>447</v>
      </c>
      <c r="AB58" s="604" t="s">
        <v>453</v>
      </c>
      <c r="AC58" s="604" t="s">
        <v>432</v>
      </c>
      <c r="AD58" s="604" t="s">
        <v>131</v>
      </c>
      <c r="AE58" s="604">
        <v>2</v>
      </c>
      <c r="AF58" s="604">
        <v>410</v>
      </c>
      <c r="AG58" s="604">
        <v>4.9000000000000004</v>
      </c>
      <c r="AH58" s="604" t="s">
        <v>420</v>
      </c>
      <c r="AJ58" s="535" t="str">
        <f t="shared" si="4"/>
        <v>2016bwtage4500+25-29</v>
      </c>
      <c r="AK58" s="604">
        <v>2016</v>
      </c>
      <c r="AL58" s="604" t="s">
        <v>447</v>
      </c>
      <c r="AM58" s="604" t="s">
        <v>453</v>
      </c>
      <c r="AN58" s="604" t="s">
        <v>432</v>
      </c>
      <c r="AO58" s="604" t="s">
        <v>131</v>
      </c>
      <c r="AP58" s="604">
        <v>410</v>
      </c>
      <c r="AR58" s="538" t="str">
        <f t="shared" si="5"/>
        <v>20-24agefetalBay of Plenty</v>
      </c>
      <c r="AS58" s="604">
        <v>2016</v>
      </c>
      <c r="AT58" s="604" t="s">
        <v>130</v>
      </c>
      <c r="AU58" s="604" t="s">
        <v>453</v>
      </c>
      <c r="AV58" s="604" t="s">
        <v>91</v>
      </c>
      <c r="AW58" s="604">
        <v>5</v>
      </c>
      <c r="AX58" s="604">
        <v>622</v>
      </c>
      <c r="AY58" s="606">
        <v>8</v>
      </c>
      <c r="AZ58" s="604" t="s">
        <v>420</v>
      </c>
      <c r="BB58" s="536" t="str">
        <f t="shared" si="6"/>
        <v>30-34agebirthsLakes</v>
      </c>
      <c r="BC58" s="604">
        <v>2016</v>
      </c>
      <c r="BD58" s="604" t="s">
        <v>132</v>
      </c>
      <c r="BE58" s="604" t="s">
        <v>453</v>
      </c>
      <c r="BF58" s="604" t="s">
        <v>90</v>
      </c>
      <c r="BG58" s="604">
        <v>372</v>
      </c>
      <c r="BH58" s="604" t="s">
        <v>445</v>
      </c>
      <c r="BR58" s="547" t="str">
        <f t="shared" si="8"/>
        <v>1-6 days&lt;28gest</v>
      </c>
      <c r="BS58" s="604">
        <v>2016</v>
      </c>
      <c r="BT58" s="604" t="s">
        <v>470</v>
      </c>
      <c r="BU58" s="604" t="s">
        <v>375</v>
      </c>
      <c r="BV58" s="604" t="s">
        <v>450</v>
      </c>
      <c r="BW58" s="604">
        <v>8</v>
      </c>
      <c r="BY58" s="553" t="str">
        <f t="shared" si="9"/>
        <v>2007UnknownageSIDS</v>
      </c>
      <c r="BZ58" s="604">
        <v>2007</v>
      </c>
      <c r="CA58" s="604" t="s">
        <v>63</v>
      </c>
      <c r="CB58" s="604" t="s">
        <v>453</v>
      </c>
      <c r="CC58" s="604">
        <v>0</v>
      </c>
      <c r="CD58" s="604" t="s">
        <v>32</v>
      </c>
      <c r="CF58" s="554" t="str">
        <f t="shared" si="10"/>
        <v>2016Pacific peoplesQuin 5depSIDS</v>
      </c>
      <c r="CG58" s="604">
        <v>2016</v>
      </c>
      <c r="CH58" s="604" t="s">
        <v>320</v>
      </c>
      <c r="CI58" s="604" t="s">
        <v>425</v>
      </c>
      <c r="CJ58" s="604" t="s">
        <v>454</v>
      </c>
      <c r="CK58" s="604">
        <v>3</v>
      </c>
      <c r="CL58" s="604" t="s">
        <v>32</v>
      </c>
      <c r="CN58" s="575" t="str">
        <f t="shared" si="11"/>
        <v>2014J00–J99fetal</v>
      </c>
      <c r="CO58" s="604">
        <v>2014</v>
      </c>
      <c r="CP58" s="604" t="s">
        <v>507</v>
      </c>
      <c r="CQ58" s="604">
        <v>0</v>
      </c>
      <c r="CR58" s="604">
        <v>0</v>
      </c>
      <c r="CS58" s="604">
        <v>0</v>
      </c>
      <c r="CT58" s="604" t="s">
        <v>420</v>
      </c>
      <c r="CV58" s="575"/>
    </row>
    <row r="59" spans="1:100">
      <c r="A59" s="502" t="str">
        <f t="shared" si="0"/>
        <v>2010deathsFetal</v>
      </c>
      <c r="B59" s="604">
        <v>2010</v>
      </c>
      <c r="C59" s="604" t="s">
        <v>496</v>
      </c>
      <c r="D59" s="604" t="s">
        <v>47</v>
      </c>
      <c r="E59" s="604">
        <v>469</v>
      </c>
      <c r="F59" s="604">
        <v>65168</v>
      </c>
      <c r="G59" s="604">
        <v>7.2</v>
      </c>
      <c r="I59" s="578" t="str">
        <f t="shared" si="1"/>
        <v>2001age&lt;20Fetal</v>
      </c>
      <c r="J59" s="604">
        <v>2001</v>
      </c>
      <c r="K59" s="604" t="s">
        <v>453</v>
      </c>
      <c r="L59" s="604" t="s">
        <v>339</v>
      </c>
      <c r="M59" s="604">
        <v>29</v>
      </c>
      <c r="N59" s="604">
        <v>3812</v>
      </c>
      <c r="O59" s="604">
        <v>7.6</v>
      </c>
      <c r="P59" s="604" t="s">
        <v>47</v>
      </c>
      <c r="Q59" s="499"/>
      <c r="R59" s="502" t="str">
        <f t="shared" si="2"/>
        <v>2004birthsbwt&lt;500</v>
      </c>
      <c r="S59" s="604">
        <v>2004</v>
      </c>
      <c r="T59" s="604" t="s">
        <v>445</v>
      </c>
      <c r="U59" s="604" t="s">
        <v>447</v>
      </c>
      <c r="V59" s="604" t="s">
        <v>427</v>
      </c>
      <c r="W59" s="604">
        <v>60</v>
      </c>
      <c r="Y59" s="535" t="str">
        <f t="shared" si="3"/>
        <v>2016bwtageUnknown25-29fetal</v>
      </c>
      <c r="Z59" s="604">
        <v>2016</v>
      </c>
      <c r="AA59" s="604" t="s">
        <v>447</v>
      </c>
      <c r="AB59" s="604" t="s">
        <v>453</v>
      </c>
      <c r="AC59" s="604" t="s">
        <v>63</v>
      </c>
      <c r="AD59" s="604" t="s">
        <v>131</v>
      </c>
      <c r="AE59" s="604">
        <v>5</v>
      </c>
      <c r="AF59" s="604">
        <v>11</v>
      </c>
      <c r="AG59" s="604" t="s">
        <v>119</v>
      </c>
      <c r="AH59" s="604" t="s">
        <v>420</v>
      </c>
      <c r="AJ59" s="535" t="str">
        <f t="shared" si="4"/>
        <v>2016bwtageUnknown25-29</v>
      </c>
      <c r="AK59" s="604">
        <v>2016</v>
      </c>
      <c r="AL59" s="604" t="s">
        <v>447</v>
      </c>
      <c r="AM59" s="604" t="s">
        <v>453</v>
      </c>
      <c r="AN59" s="604" t="s">
        <v>63</v>
      </c>
      <c r="AO59" s="604" t="s">
        <v>131</v>
      </c>
      <c r="AP59" s="604">
        <v>11</v>
      </c>
      <c r="AR59" s="538" t="str">
        <f t="shared" si="5"/>
        <v>25-29agefetalBay of Plenty</v>
      </c>
      <c r="AS59" s="604">
        <v>2016</v>
      </c>
      <c r="AT59" s="604" t="s">
        <v>131</v>
      </c>
      <c r="AU59" s="604" t="s">
        <v>453</v>
      </c>
      <c r="AV59" s="604" t="s">
        <v>91</v>
      </c>
      <c r="AW59" s="604">
        <v>3</v>
      </c>
      <c r="AX59" s="604">
        <v>811</v>
      </c>
      <c r="AY59" s="606">
        <v>3.7</v>
      </c>
      <c r="AZ59" s="604" t="s">
        <v>420</v>
      </c>
      <c r="BB59" s="536" t="str">
        <f t="shared" si="6"/>
        <v>35-39agebirthsLakes</v>
      </c>
      <c r="BC59" s="604">
        <v>2016</v>
      </c>
      <c r="BD59" s="604" t="s">
        <v>133</v>
      </c>
      <c r="BE59" s="604" t="s">
        <v>453</v>
      </c>
      <c r="BF59" s="604" t="s">
        <v>90</v>
      </c>
      <c r="BG59" s="604">
        <v>196</v>
      </c>
      <c r="BH59" s="604" t="s">
        <v>445</v>
      </c>
      <c r="BR59" s="547" t="str">
        <f t="shared" si="8"/>
        <v>1-6 days28-31gest</v>
      </c>
      <c r="BS59" s="604">
        <v>2016</v>
      </c>
      <c r="BT59" s="604" t="s">
        <v>470</v>
      </c>
      <c r="BU59" s="604" t="s">
        <v>395</v>
      </c>
      <c r="BV59" s="604" t="s">
        <v>450</v>
      </c>
      <c r="BW59" s="604">
        <v>4</v>
      </c>
      <c r="BY59" s="553" t="str">
        <f t="shared" si="9"/>
        <v>2008&lt;20ageSIDS</v>
      </c>
      <c r="BZ59" s="604">
        <v>2008</v>
      </c>
      <c r="CA59" s="604" t="s">
        <v>339</v>
      </c>
      <c r="CB59" s="604" t="s">
        <v>453</v>
      </c>
      <c r="CC59" s="604">
        <v>14</v>
      </c>
      <c r="CD59" s="604" t="s">
        <v>32</v>
      </c>
      <c r="CF59" s="554" t="str">
        <f t="shared" si="10"/>
        <v>2016AsianQuin 9depSIDS</v>
      </c>
      <c r="CG59" s="604">
        <v>2016</v>
      </c>
      <c r="CH59" s="604" t="s">
        <v>355</v>
      </c>
      <c r="CI59" s="604" t="s">
        <v>426</v>
      </c>
      <c r="CJ59" s="604" t="s">
        <v>454</v>
      </c>
      <c r="CK59" s="604">
        <v>0</v>
      </c>
      <c r="CL59" s="604" t="s">
        <v>32</v>
      </c>
      <c r="CN59" s="575" t="str">
        <f t="shared" si="11"/>
        <v>2014P00–P96fetal</v>
      </c>
      <c r="CO59" s="604">
        <v>2014</v>
      </c>
      <c r="CP59" s="604" t="s">
        <v>513</v>
      </c>
      <c r="CQ59" s="604">
        <v>320</v>
      </c>
      <c r="CR59" s="604">
        <v>71.599999999999994</v>
      </c>
      <c r="CS59" s="604">
        <v>5.45</v>
      </c>
      <c r="CT59" s="604" t="s">
        <v>420</v>
      </c>
      <c r="CV59" s="575"/>
    </row>
    <row r="60" spans="1:100">
      <c r="A60" s="502" t="str">
        <f t="shared" si="0"/>
        <v>2010deathsEarly neonatal</v>
      </c>
      <c r="B60" s="604">
        <v>2010</v>
      </c>
      <c r="C60" s="604" t="s">
        <v>496</v>
      </c>
      <c r="D60" s="604" t="s">
        <v>41</v>
      </c>
      <c r="E60" s="604">
        <v>192</v>
      </c>
      <c r="F60" s="604">
        <v>64699</v>
      </c>
      <c r="G60" s="604" t="s">
        <v>119</v>
      </c>
      <c r="I60" s="578" t="str">
        <f t="shared" si="1"/>
        <v>2001age20-24Fetal</v>
      </c>
      <c r="J60" s="604">
        <v>2001</v>
      </c>
      <c r="K60" s="604" t="s">
        <v>453</v>
      </c>
      <c r="L60" s="604" t="s">
        <v>130</v>
      </c>
      <c r="M60" s="604">
        <v>67</v>
      </c>
      <c r="N60" s="604">
        <v>9892</v>
      </c>
      <c r="O60" s="604">
        <v>6.8</v>
      </c>
      <c r="P60" s="604" t="s">
        <v>47</v>
      </c>
      <c r="Q60" s="499"/>
      <c r="R60" s="502" t="str">
        <f t="shared" si="2"/>
        <v>2004birthsbwt500-999</v>
      </c>
      <c r="S60" s="604">
        <v>2004</v>
      </c>
      <c r="T60" s="604" t="s">
        <v>445</v>
      </c>
      <c r="U60" s="604" t="s">
        <v>447</v>
      </c>
      <c r="V60" s="604" t="s">
        <v>428</v>
      </c>
      <c r="W60" s="604">
        <v>218</v>
      </c>
      <c r="Y60" s="535" t="str">
        <f t="shared" si="3"/>
        <v>2016bwtage&lt;50030-34fetal</v>
      </c>
      <c r="Z60" s="604">
        <v>2016</v>
      </c>
      <c r="AA60" s="604" t="s">
        <v>447</v>
      </c>
      <c r="AB60" s="604" t="s">
        <v>453</v>
      </c>
      <c r="AC60" s="604" t="s">
        <v>427</v>
      </c>
      <c r="AD60" s="604" t="s">
        <v>132</v>
      </c>
      <c r="AE60" s="604">
        <v>43</v>
      </c>
      <c r="AF60" s="604">
        <v>19</v>
      </c>
      <c r="AG60" s="604" t="s">
        <v>119</v>
      </c>
      <c r="AH60" s="604" t="s">
        <v>420</v>
      </c>
      <c r="AJ60" s="535" t="str">
        <f t="shared" si="4"/>
        <v>2016bwtage&lt;50030-34</v>
      </c>
      <c r="AK60" s="604">
        <v>2016</v>
      </c>
      <c r="AL60" s="604" t="s">
        <v>447</v>
      </c>
      <c r="AM60" s="604" t="s">
        <v>453</v>
      </c>
      <c r="AN60" s="604" t="s">
        <v>427</v>
      </c>
      <c r="AO60" s="604" t="s">
        <v>132</v>
      </c>
      <c r="AP60" s="604">
        <v>19</v>
      </c>
      <c r="AR60" s="538" t="str">
        <f t="shared" si="5"/>
        <v>30-34agefetalBay of Plenty</v>
      </c>
      <c r="AS60" s="604">
        <v>2016</v>
      </c>
      <c r="AT60" s="604" t="s">
        <v>132</v>
      </c>
      <c r="AU60" s="604" t="s">
        <v>453</v>
      </c>
      <c r="AV60" s="604" t="s">
        <v>91</v>
      </c>
      <c r="AW60" s="604">
        <v>6</v>
      </c>
      <c r="AX60" s="604">
        <v>821</v>
      </c>
      <c r="AY60" s="606">
        <v>7.3</v>
      </c>
      <c r="AZ60" s="604" t="s">
        <v>420</v>
      </c>
      <c r="BB60" s="536" t="str">
        <f t="shared" si="6"/>
        <v>40+agebirthsLakes</v>
      </c>
      <c r="BC60" s="604">
        <v>2016</v>
      </c>
      <c r="BD60" s="604" t="s">
        <v>134</v>
      </c>
      <c r="BE60" s="604" t="s">
        <v>453</v>
      </c>
      <c r="BF60" s="604" t="s">
        <v>90</v>
      </c>
      <c r="BG60" s="604">
        <v>51</v>
      </c>
      <c r="BH60" s="604" t="s">
        <v>445</v>
      </c>
      <c r="BR60" s="547" t="str">
        <f t="shared" si="8"/>
        <v>1-6 days32-36gest</v>
      </c>
      <c r="BS60" s="604">
        <v>2016</v>
      </c>
      <c r="BT60" s="604" t="s">
        <v>470</v>
      </c>
      <c r="BU60" s="604" t="s">
        <v>136</v>
      </c>
      <c r="BV60" s="604" t="s">
        <v>450</v>
      </c>
      <c r="BW60" s="604">
        <v>4</v>
      </c>
      <c r="BY60" s="553" t="str">
        <f t="shared" si="9"/>
        <v>200820-24ageSIDS</v>
      </c>
      <c r="BZ60" s="604">
        <v>2008</v>
      </c>
      <c r="CA60" s="604" t="s">
        <v>130</v>
      </c>
      <c r="CB60" s="604" t="s">
        <v>453</v>
      </c>
      <c r="CC60" s="604">
        <v>15</v>
      </c>
      <c r="CD60" s="604" t="s">
        <v>32</v>
      </c>
      <c r="CF60" s="554" t="str">
        <f t="shared" si="10"/>
        <v>2016European or OtherQuin 9depSIDS</v>
      </c>
      <c r="CG60" s="604">
        <v>2016</v>
      </c>
      <c r="CH60" s="604" t="s">
        <v>356</v>
      </c>
      <c r="CI60" s="604" t="s">
        <v>426</v>
      </c>
      <c r="CJ60" s="604" t="s">
        <v>454</v>
      </c>
      <c r="CK60" s="604">
        <v>0</v>
      </c>
      <c r="CL60" s="604" t="s">
        <v>32</v>
      </c>
      <c r="CN60" s="575" t="str">
        <f t="shared" si="11"/>
        <v>2014Q00–Q99fetal</v>
      </c>
      <c r="CO60" s="604">
        <v>2014</v>
      </c>
      <c r="CP60" s="604" t="s">
        <v>514</v>
      </c>
      <c r="CQ60" s="604">
        <v>123</v>
      </c>
      <c r="CR60" s="604">
        <v>27.5</v>
      </c>
      <c r="CS60" s="604">
        <v>2.09</v>
      </c>
      <c r="CT60" s="604" t="s">
        <v>420</v>
      </c>
      <c r="CV60" s="575"/>
    </row>
    <row r="61" spans="1:100">
      <c r="A61" s="502" t="str">
        <f t="shared" si="0"/>
        <v>2010deathsLate neonatal</v>
      </c>
      <c r="B61" s="604">
        <v>2010</v>
      </c>
      <c r="C61" s="604" t="s">
        <v>496</v>
      </c>
      <c r="D61" s="604" t="s">
        <v>42</v>
      </c>
      <c r="E61" s="604">
        <v>42</v>
      </c>
      <c r="F61" s="604">
        <v>64699</v>
      </c>
      <c r="G61" s="604" t="s">
        <v>119</v>
      </c>
      <c r="I61" s="578" t="str">
        <f t="shared" si="1"/>
        <v>2001age25-29Fetal</v>
      </c>
      <c r="J61" s="604">
        <v>2001</v>
      </c>
      <c r="K61" s="604" t="s">
        <v>453</v>
      </c>
      <c r="L61" s="604" t="s">
        <v>131</v>
      </c>
      <c r="M61" s="604">
        <v>104</v>
      </c>
      <c r="N61" s="604">
        <v>15312</v>
      </c>
      <c r="O61" s="604">
        <v>6.8</v>
      </c>
      <c r="P61" s="604" t="s">
        <v>47</v>
      </c>
      <c r="Q61" s="499"/>
      <c r="R61" s="502" t="str">
        <f t="shared" si="2"/>
        <v>2004birthsbwt1000-1499</v>
      </c>
      <c r="S61" s="604">
        <v>2004</v>
      </c>
      <c r="T61" s="604" t="s">
        <v>445</v>
      </c>
      <c r="U61" s="604" t="s">
        <v>447</v>
      </c>
      <c r="V61" s="604" t="s">
        <v>429</v>
      </c>
      <c r="W61" s="604">
        <v>360</v>
      </c>
      <c r="Y61" s="535" t="str">
        <f t="shared" si="3"/>
        <v>2016bwtage500-99930-34fetal</v>
      </c>
      <c r="Z61" s="604">
        <v>2016</v>
      </c>
      <c r="AA61" s="604" t="s">
        <v>447</v>
      </c>
      <c r="AB61" s="604" t="s">
        <v>453</v>
      </c>
      <c r="AC61" s="604" t="s">
        <v>428</v>
      </c>
      <c r="AD61" s="604" t="s">
        <v>132</v>
      </c>
      <c r="AE61" s="604">
        <v>25</v>
      </c>
      <c r="AF61" s="604">
        <v>44</v>
      </c>
      <c r="AG61" s="604">
        <v>362.3</v>
      </c>
      <c r="AH61" s="604" t="s">
        <v>420</v>
      </c>
      <c r="AJ61" s="535" t="str">
        <f t="shared" si="4"/>
        <v>2016bwtage500-99930-34</v>
      </c>
      <c r="AK61" s="604">
        <v>2016</v>
      </c>
      <c r="AL61" s="604" t="s">
        <v>447</v>
      </c>
      <c r="AM61" s="604" t="s">
        <v>453</v>
      </c>
      <c r="AN61" s="604" t="s">
        <v>428</v>
      </c>
      <c r="AO61" s="604" t="s">
        <v>132</v>
      </c>
      <c r="AP61" s="604">
        <v>44</v>
      </c>
      <c r="AR61" s="538" t="str">
        <f t="shared" si="5"/>
        <v>35-39agefetalBay of Plenty</v>
      </c>
      <c r="AS61" s="604">
        <v>2016</v>
      </c>
      <c r="AT61" s="604" t="s">
        <v>133</v>
      </c>
      <c r="AU61" s="604" t="s">
        <v>453</v>
      </c>
      <c r="AV61" s="604" t="s">
        <v>91</v>
      </c>
      <c r="AW61" s="604">
        <v>3</v>
      </c>
      <c r="AX61" s="604">
        <v>441</v>
      </c>
      <c r="AY61" s="606">
        <v>6.8</v>
      </c>
      <c r="AZ61" s="604" t="s">
        <v>420</v>
      </c>
      <c r="BB61" s="536" t="str">
        <f t="shared" si="6"/>
        <v>&lt;20agebirthsBay of Plenty</v>
      </c>
      <c r="BC61" s="604">
        <v>2016</v>
      </c>
      <c r="BD61" s="604" t="s">
        <v>339</v>
      </c>
      <c r="BE61" s="604" t="s">
        <v>453</v>
      </c>
      <c r="BF61" s="604" t="s">
        <v>91</v>
      </c>
      <c r="BG61" s="604">
        <v>149</v>
      </c>
      <c r="BH61" s="604" t="s">
        <v>445</v>
      </c>
      <c r="BR61" s="547" t="str">
        <f t="shared" si="8"/>
        <v>1-6 days37-41gest</v>
      </c>
      <c r="BS61" s="604">
        <v>2016</v>
      </c>
      <c r="BT61" s="604" t="s">
        <v>470</v>
      </c>
      <c r="BU61" s="604" t="s">
        <v>137</v>
      </c>
      <c r="BV61" s="604" t="s">
        <v>450</v>
      </c>
      <c r="BW61" s="604">
        <v>11</v>
      </c>
      <c r="BY61" s="553" t="str">
        <f t="shared" si="9"/>
        <v>200825-29ageSIDS</v>
      </c>
      <c r="BZ61" s="604">
        <v>2008</v>
      </c>
      <c r="CA61" s="604" t="s">
        <v>131</v>
      </c>
      <c r="CB61" s="604" t="s">
        <v>453</v>
      </c>
      <c r="CC61" s="604">
        <v>12</v>
      </c>
      <c r="CD61" s="604" t="s">
        <v>32</v>
      </c>
      <c r="CF61" s="554" t="str">
        <f t="shared" si="10"/>
        <v>2016MaoriQuin 9depSIDS</v>
      </c>
      <c r="CG61" s="604">
        <v>2016</v>
      </c>
      <c r="CH61" s="604" t="s">
        <v>129</v>
      </c>
      <c r="CI61" s="604" t="s">
        <v>426</v>
      </c>
      <c r="CJ61" s="604" t="s">
        <v>454</v>
      </c>
      <c r="CK61" s="604">
        <v>0</v>
      </c>
      <c r="CL61" s="604" t="s">
        <v>32</v>
      </c>
      <c r="CN61" s="575" t="str">
        <f t="shared" si="11"/>
        <v>2014R00–R99fetal</v>
      </c>
      <c r="CO61" s="604">
        <v>2014</v>
      </c>
      <c r="CP61" s="604" t="s">
        <v>515</v>
      </c>
      <c r="CQ61" s="604">
        <v>0</v>
      </c>
      <c r="CR61" s="604">
        <v>0</v>
      </c>
      <c r="CS61" s="604">
        <v>0</v>
      </c>
      <c r="CT61" s="604" t="s">
        <v>420</v>
      </c>
      <c r="CV61" s="575"/>
    </row>
    <row r="62" spans="1:100">
      <c r="A62" s="502" t="str">
        <f t="shared" si="0"/>
        <v>2010deathsPost-neonatal</v>
      </c>
      <c r="B62" s="604">
        <v>2010</v>
      </c>
      <c r="C62" s="604" t="s">
        <v>496</v>
      </c>
      <c r="D62" s="604" t="s">
        <v>43</v>
      </c>
      <c r="E62" s="604">
        <v>127</v>
      </c>
      <c r="F62" s="604">
        <v>64699</v>
      </c>
      <c r="G62" s="604">
        <v>2</v>
      </c>
      <c r="I62" s="578" t="str">
        <f t="shared" si="1"/>
        <v>2001age30-34Fetal</v>
      </c>
      <c r="J62" s="604">
        <v>2001</v>
      </c>
      <c r="K62" s="604" t="s">
        <v>453</v>
      </c>
      <c r="L62" s="604" t="s">
        <v>132</v>
      </c>
      <c r="M62" s="604">
        <v>97</v>
      </c>
      <c r="N62" s="604">
        <v>17255</v>
      </c>
      <c r="O62" s="604">
        <v>5.6</v>
      </c>
      <c r="P62" s="604" t="s">
        <v>47</v>
      </c>
      <c r="Q62" s="499"/>
      <c r="R62" s="502" t="str">
        <f t="shared" si="2"/>
        <v>2004birthsbwt1500-2499</v>
      </c>
      <c r="S62" s="604">
        <v>2004</v>
      </c>
      <c r="T62" s="604" t="s">
        <v>445</v>
      </c>
      <c r="U62" s="604" t="s">
        <v>447</v>
      </c>
      <c r="V62" s="604" t="s">
        <v>430</v>
      </c>
      <c r="W62" s="604">
        <v>2964</v>
      </c>
      <c r="Y62" s="535" t="str">
        <f t="shared" si="3"/>
        <v>2016bwtage1000-149930-34fetal</v>
      </c>
      <c r="Z62" s="604">
        <v>2016</v>
      </c>
      <c r="AA62" s="604" t="s">
        <v>447</v>
      </c>
      <c r="AB62" s="604" t="s">
        <v>453</v>
      </c>
      <c r="AC62" s="604" t="s">
        <v>429</v>
      </c>
      <c r="AD62" s="604" t="s">
        <v>132</v>
      </c>
      <c r="AE62" s="604">
        <v>6</v>
      </c>
      <c r="AF62" s="604">
        <v>101</v>
      </c>
      <c r="AG62" s="604">
        <v>56.1</v>
      </c>
      <c r="AH62" s="604" t="s">
        <v>420</v>
      </c>
      <c r="AJ62" s="535" t="str">
        <f t="shared" si="4"/>
        <v>2016bwtage1000-149930-34</v>
      </c>
      <c r="AK62" s="604">
        <v>2016</v>
      </c>
      <c r="AL62" s="604" t="s">
        <v>447</v>
      </c>
      <c r="AM62" s="604" t="s">
        <v>453</v>
      </c>
      <c r="AN62" s="604" t="s">
        <v>429</v>
      </c>
      <c r="AO62" s="604" t="s">
        <v>132</v>
      </c>
      <c r="AP62" s="604">
        <v>101</v>
      </c>
      <c r="AR62" s="538" t="str">
        <f t="shared" si="5"/>
        <v>25-29agefetalTairawhiti</v>
      </c>
      <c r="AS62" s="604">
        <v>2016</v>
      </c>
      <c r="AT62" s="604" t="s">
        <v>131</v>
      </c>
      <c r="AU62" s="604" t="s">
        <v>453</v>
      </c>
      <c r="AV62" s="604" t="s">
        <v>433</v>
      </c>
      <c r="AW62" s="604">
        <v>1</v>
      </c>
      <c r="AX62" s="604">
        <v>233</v>
      </c>
      <c r="AY62" s="606">
        <v>4.3</v>
      </c>
      <c r="AZ62" s="604" t="s">
        <v>420</v>
      </c>
      <c r="BB62" s="536" t="str">
        <f t="shared" si="6"/>
        <v>20-24agebirthsBay of Plenty</v>
      </c>
      <c r="BC62" s="604">
        <v>2016</v>
      </c>
      <c r="BD62" s="604" t="s">
        <v>130</v>
      </c>
      <c r="BE62" s="604" t="s">
        <v>453</v>
      </c>
      <c r="BF62" s="604" t="s">
        <v>91</v>
      </c>
      <c r="BG62" s="604">
        <v>617</v>
      </c>
      <c r="BH62" s="604" t="s">
        <v>445</v>
      </c>
      <c r="BR62" s="547" t="str">
        <f t="shared" si="8"/>
        <v>1-6 days42+gest</v>
      </c>
      <c r="BS62" s="604">
        <v>2016</v>
      </c>
      <c r="BT62" s="604" t="s">
        <v>470</v>
      </c>
      <c r="BU62" s="604" t="s">
        <v>138</v>
      </c>
      <c r="BV62" s="604" t="s">
        <v>450</v>
      </c>
      <c r="BW62" s="604">
        <v>2</v>
      </c>
      <c r="BY62" s="553" t="str">
        <f t="shared" si="9"/>
        <v>200830-34ageSIDS</v>
      </c>
      <c r="BZ62" s="604">
        <v>2008</v>
      </c>
      <c r="CA62" s="604" t="s">
        <v>132</v>
      </c>
      <c r="CB62" s="604" t="s">
        <v>453</v>
      </c>
      <c r="CC62" s="604">
        <v>6</v>
      </c>
      <c r="CD62" s="604" t="s">
        <v>32</v>
      </c>
      <c r="CF62" s="554" t="str">
        <f t="shared" si="10"/>
        <v>2016Pacific peoplesQuin 9depSIDS</v>
      </c>
      <c r="CG62" s="604">
        <v>2016</v>
      </c>
      <c r="CH62" s="604" t="s">
        <v>320</v>
      </c>
      <c r="CI62" s="604" t="s">
        <v>426</v>
      </c>
      <c r="CJ62" s="604" t="s">
        <v>454</v>
      </c>
      <c r="CK62" s="604">
        <v>0</v>
      </c>
      <c r="CL62" s="604" t="s">
        <v>32</v>
      </c>
      <c r="CN62" s="575" t="str">
        <f t="shared" si="11"/>
        <v>2014V00–Y98fetal</v>
      </c>
      <c r="CO62" s="604">
        <v>2014</v>
      </c>
      <c r="CP62" s="604" t="s">
        <v>523</v>
      </c>
      <c r="CQ62" s="604">
        <v>0</v>
      </c>
      <c r="CR62" s="604">
        <v>0</v>
      </c>
      <c r="CS62" s="604">
        <v>0</v>
      </c>
      <c r="CT62" s="604" t="s">
        <v>420</v>
      </c>
      <c r="CV62" s="575"/>
    </row>
    <row r="63" spans="1:100">
      <c r="A63" s="502" t="str">
        <f t="shared" si="0"/>
        <v>2011deathsFetal</v>
      </c>
      <c r="B63" s="604">
        <v>2011</v>
      </c>
      <c r="C63" s="604" t="s">
        <v>496</v>
      </c>
      <c r="D63" s="604" t="s">
        <v>47</v>
      </c>
      <c r="E63" s="604">
        <v>451</v>
      </c>
      <c r="F63" s="604">
        <v>62625</v>
      </c>
      <c r="G63" s="604">
        <v>7.2</v>
      </c>
      <c r="I63" s="578" t="str">
        <f t="shared" si="1"/>
        <v>2001age35-39Fetal</v>
      </c>
      <c r="J63" s="604">
        <v>2001</v>
      </c>
      <c r="K63" s="604" t="s">
        <v>453</v>
      </c>
      <c r="L63" s="604" t="s">
        <v>133</v>
      </c>
      <c r="M63" s="604">
        <v>72</v>
      </c>
      <c r="N63" s="604">
        <v>8658</v>
      </c>
      <c r="O63" s="604">
        <v>8.3000000000000007</v>
      </c>
      <c r="P63" s="604" t="s">
        <v>47</v>
      </c>
      <c r="Q63" s="499"/>
      <c r="R63" s="502" t="str">
        <f t="shared" si="2"/>
        <v>2004birthsbwt2500-4499</v>
      </c>
      <c r="S63" s="604">
        <v>2004</v>
      </c>
      <c r="T63" s="604" t="s">
        <v>445</v>
      </c>
      <c r="U63" s="604" t="s">
        <v>447</v>
      </c>
      <c r="V63" s="604" t="s">
        <v>431</v>
      </c>
      <c r="W63" s="604">
        <v>53449</v>
      </c>
      <c r="Y63" s="535" t="str">
        <f t="shared" si="3"/>
        <v>2016bwtage1500-249930-34fetal</v>
      </c>
      <c r="Z63" s="604">
        <v>2016</v>
      </c>
      <c r="AA63" s="604" t="s">
        <v>447</v>
      </c>
      <c r="AB63" s="604" t="s">
        <v>453</v>
      </c>
      <c r="AC63" s="604" t="s">
        <v>430</v>
      </c>
      <c r="AD63" s="604" t="s">
        <v>132</v>
      </c>
      <c r="AE63" s="604">
        <v>13</v>
      </c>
      <c r="AF63" s="604">
        <v>903</v>
      </c>
      <c r="AG63" s="604">
        <v>14.2</v>
      </c>
      <c r="AH63" s="604" t="s">
        <v>420</v>
      </c>
      <c r="AJ63" s="535" t="str">
        <f t="shared" si="4"/>
        <v>2016bwtage1500-249930-34</v>
      </c>
      <c r="AK63" s="604">
        <v>2016</v>
      </c>
      <c r="AL63" s="604" t="s">
        <v>447</v>
      </c>
      <c r="AM63" s="604" t="s">
        <v>453</v>
      </c>
      <c r="AN63" s="604" t="s">
        <v>430</v>
      </c>
      <c r="AO63" s="604" t="s">
        <v>132</v>
      </c>
      <c r="AP63" s="604">
        <v>903</v>
      </c>
      <c r="AR63" s="538" t="str">
        <f t="shared" si="5"/>
        <v>30-34agefetalTairawhiti</v>
      </c>
      <c r="AS63" s="604">
        <v>2016</v>
      </c>
      <c r="AT63" s="604" t="s">
        <v>132</v>
      </c>
      <c r="AU63" s="604" t="s">
        <v>453</v>
      </c>
      <c r="AV63" s="604" t="s">
        <v>433</v>
      </c>
      <c r="AW63" s="604">
        <v>1</v>
      </c>
      <c r="AX63" s="604">
        <v>171</v>
      </c>
      <c r="AY63" s="606">
        <v>5.8</v>
      </c>
      <c r="AZ63" s="604" t="s">
        <v>420</v>
      </c>
      <c r="BB63" s="536" t="str">
        <f t="shared" si="6"/>
        <v>25-29agebirthsBay of Plenty</v>
      </c>
      <c r="BC63" s="604">
        <v>2016</v>
      </c>
      <c r="BD63" s="604" t="s">
        <v>131</v>
      </c>
      <c r="BE63" s="604" t="s">
        <v>453</v>
      </c>
      <c r="BF63" s="604" t="s">
        <v>91</v>
      </c>
      <c r="BG63" s="604">
        <v>808</v>
      </c>
      <c r="BH63" s="604" t="s">
        <v>445</v>
      </c>
      <c r="BR63" s="547" t="str">
        <f t="shared" si="8"/>
        <v>1-6 daysUnknowngest</v>
      </c>
      <c r="BS63" s="604">
        <v>2016</v>
      </c>
      <c r="BT63" s="604" t="s">
        <v>470</v>
      </c>
      <c r="BU63" s="604" t="s">
        <v>63</v>
      </c>
      <c r="BV63" s="604" t="s">
        <v>450</v>
      </c>
      <c r="BW63" s="604">
        <v>4</v>
      </c>
      <c r="BY63" s="553" t="str">
        <f t="shared" si="9"/>
        <v>200835-39ageSIDS</v>
      </c>
      <c r="BZ63" s="604">
        <v>2008</v>
      </c>
      <c r="CA63" s="604" t="s">
        <v>133</v>
      </c>
      <c r="CB63" s="604" t="s">
        <v>453</v>
      </c>
      <c r="CC63" s="604">
        <v>2</v>
      </c>
      <c r="CD63" s="604" t="s">
        <v>32</v>
      </c>
      <c r="CF63" s="554" t="str">
        <f t="shared" si="10"/>
        <v>2016AsianNorthlanddhbSIDS</v>
      </c>
      <c r="CG63" s="604">
        <v>2016</v>
      </c>
      <c r="CH63" s="604" t="s">
        <v>355</v>
      </c>
      <c r="CI63" s="604" t="s">
        <v>85</v>
      </c>
      <c r="CJ63" s="604" t="s">
        <v>448</v>
      </c>
      <c r="CK63" s="604">
        <v>0</v>
      </c>
      <c r="CL63" s="604" t="s">
        <v>32</v>
      </c>
      <c r="CN63" s="575" t="str">
        <f t="shared" si="11"/>
        <v>2015A00–B99fetal</v>
      </c>
      <c r="CO63" s="604">
        <v>2015</v>
      </c>
      <c r="CP63" s="604" t="s">
        <v>498</v>
      </c>
      <c r="CQ63" s="604">
        <v>0</v>
      </c>
      <c r="CR63" s="604">
        <v>0</v>
      </c>
      <c r="CS63" s="604">
        <v>0</v>
      </c>
      <c r="CT63" s="604" t="s">
        <v>420</v>
      </c>
      <c r="CV63" s="575"/>
    </row>
    <row r="64" spans="1:100">
      <c r="A64" s="502" t="str">
        <f t="shared" si="0"/>
        <v>2011deathsEarly neonatal</v>
      </c>
      <c r="B64" s="604">
        <v>2011</v>
      </c>
      <c r="C64" s="604" t="s">
        <v>496</v>
      </c>
      <c r="D64" s="604" t="s">
        <v>41</v>
      </c>
      <c r="E64" s="604">
        <v>171</v>
      </c>
      <c r="F64" s="604">
        <v>62174</v>
      </c>
      <c r="G64" s="604" t="s">
        <v>119</v>
      </c>
      <c r="I64" s="578" t="str">
        <f t="shared" si="1"/>
        <v>2001age40+Fetal</v>
      </c>
      <c r="J64" s="604">
        <v>2001</v>
      </c>
      <c r="K64" s="604" t="s">
        <v>453</v>
      </c>
      <c r="L64" s="604" t="s">
        <v>134</v>
      </c>
      <c r="M64" s="604">
        <v>17</v>
      </c>
      <c r="N64" s="604">
        <v>1681</v>
      </c>
      <c r="O64" s="604">
        <v>10.1</v>
      </c>
      <c r="P64" s="604" t="s">
        <v>47</v>
      </c>
      <c r="Q64" s="499"/>
      <c r="R64" s="502" t="str">
        <f t="shared" si="2"/>
        <v>2004birthsbwt4500+</v>
      </c>
      <c r="S64" s="604">
        <v>2004</v>
      </c>
      <c r="T64" s="604" t="s">
        <v>445</v>
      </c>
      <c r="U64" s="604" t="s">
        <v>447</v>
      </c>
      <c r="V64" s="604" t="s">
        <v>432</v>
      </c>
      <c r="W64" s="604">
        <v>1613</v>
      </c>
      <c r="Y64" s="535" t="str">
        <f t="shared" si="3"/>
        <v>2016bwtage2500-449930-34fetal</v>
      </c>
      <c r="Z64" s="604">
        <v>2016</v>
      </c>
      <c r="AA64" s="604" t="s">
        <v>447</v>
      </c>
      <c r="AB64" s="604" t="s">
        <v>453</v>
      </c>
      <c r="AC64" s="604" t="s">
        <v>431</v>
      </c>
      <c r="AD64" s="604" t="s">
        <v>132</v>
      </c>
      <c r="AE64" s="604">
        <v>25</v>
      </c>
      <c r="AF64" s="604">
        <v>17196</v>
      </c>
      <c r="AG64" s="604">
        <v>1.5</v>
      </c>
      <c r="AH64" s="604" t="s">
        <v>420</v>
      </c>
      <c r="AJ64" s="535" t="str">
        <f t="shared" si="4"/>
        <v>2016bwtage2500-449930-34</v>
      </c>
      <c r="AK64" s="604">
        <v>2016</v>
      </c>
      <c r="AL64" s="604" t="s">
        <v>447</v>
      </c>
      <c r="AM64" s="604" t="s">
        <v>453</v>
      </c>
      <c r="AN64" s="604" t="s">
        <v>431</v>
      </c>
      <c r="AO64" s="604" t="s">
        <v>132</v>
      </c>
      <c r="AP64" s="604">
        <v>17196</v>
      </c>
      <c r="AR64" s="538" t="str">
        <f t="shared" si="5"/>
        <v>25-29agefetalHawke's Bay</v>
      </c>
      <c r="AS64" s="604">
        <v>2016</v>
      </c>
      <c r="AT64" s="604" t="s">
        <v>131</v>
      </c>
      <c r="AU64" s="604" t="s">
        <v>453</v>
      </c>
      <c r="AV64" s="604" t="s">
        <v>92</v>
      </c>
      <c r="AW64" s="604">
        <v>4</v>
      </c>
      <c r="AX64" s="604">
        <v>597</v>
      </c>
      <c r="AY64" s="606">
        <v>6.7</v>
      </c>
      <c r="AZ64" s="604" t="s">
        <v>420</v>
      </c>
      <c r="BB64" s="536" t="str">
        <f t="shared" si="6"/>
        <v>30-34agebirthsBay of Plenty</v>
      </c>
      <c r="BC64" s="604">
        <v>2016</v>
      </c>
      <c r="BD64" s="604" t="s">
        <v>132</v>
      </c>
      <c r="BE64" s="604" t="s">
        <v>453</v>
      </c>
      <c r="BF64" s="604" t="s">
        <v>91</v>
      </c>
      <c r="BG64" s="604">
        <v>815</v>
      </c>
      <c r="BH64" s="604" t="s">
        <v>445</v>
      </c>
      <c r="BR64" s="547" t="str">
        <f t="shared" si="8"/>
        <v>28+ days&lt;28gest</v>
      </c>
      <c r="BS64" s="604">
        <v>2016</v>
      </c>
      <c r="BT64" s="604" t="s">
        <v>117</v>
      </c>
      <c r="BU64" s="604" t="s">
        <v>375</v>
      </c>
      <c r="BV64" s="604" t="s">
        <v>450</v>
      </c>
      <c r="BW64" s="604">
        <v>10</v>
      </c>
      <c r="BY64" s="553" t="str">
        <f t="shared" si="9"/>
        <v>200840+ageSIDS</v>
      </c>
      <c r="BZ64" s="604">
        <v>2008</v>
      </c>
      <c r="CA64" s="604" t="s">
        <v>134</v>
      </c>
      <c r="CB64" s="604" t="s">
        <v>453</v>
      </c>
      <c r="CC64" s="604">
        <v>0</v>
      </c>
      <c r="CD64" s="604" t="s">
        <v>32</v>
      </c>
      <c r="CF64" s="554" t="str">
        <f t="shared" si="10"/>
        <v>2016European or OtherNorthlanddhbSIDS</v>
      </c>
      <c r="CG64" s="604">
        <v>2016</v>
      </c>
      <c r="CH64" s="604" t="s">
        <v>356</v>
      </c>
      <c r="CI64" s="604" t="s">
        <v>85</v>
      </c>
      <c r="CJ64" s="604" t="s">
        <v>448</v>
      </c>
      <c r="CK64" s="604">
        <v>0</v>
      </c>
      <c r="CL64" s="604" t="s">
        <v>32</v>
      </c>
      <c r="CN64" s="575" t="str">
        <f t="shared" si="11"/>
        <v>2015C00–D48fetal</v>
      </c>
      <c r="CO64" s="604">
        <v>2015</v>
      </c>
      <c r="CP64" s="604" t="s">
        <v>499</v>
      </c>
      <c r="CQ64" s="604">
        <v>2</v>
      </c>
      <c r="CR64" s="604">
        <v>0.5</v>
      </c>
      <c r="CS64" s="604">
        <v>0.03</v>
      </c>
      <c r="CT64" s="604" t="s">
        <v>420</v>
      </c>
      <c r="CV64" s="575"/>
    </row>
    <row r="65" spans="1:100">
      <c r="A65" s="502" t="str">
        <f t="shared" si="0"/>
        <v>2011deathsLate neonatal</v>
      </c>
      <c r="B65" s="604">
        <v>2011</v>
      </c>
      <c r="C65" s="604" t="s">
        <v>496</v>
      </c>
      <c r="D65" s="604" t="s">
        <v>42</v>
      </c>
      <c r="E65" s="604">
        <v>26</v>
      </c>
      <c r="F65" s="604">
        <v>62174</v>
      </c>
      <c r="G65" s="604" t="s">
        <v>119</v>
      </c>
      <c r="I65" s="578" t="str">
        <f t="shared" si="1"/>
        <v>2001ageUnknownFetal</v>
      </c>
      <c r="J65" s="604">
        <v>2001</v>
      </c>
      <c r="K65" s="604" t="s">
        <v>453</v>
      </c>
      <c r="L65" s="604" t="s">
        <v>63</v>
      </c>
      <c r="M65" s="604">
        <v>0</v>
      </c>
      <c r="N65" s="604">
        <v>0</v>
      </c>
      <c r="O65" s="604" t="s">
        <v>119</v>
      </c>
      <c r="P65" s="604" t="s">
        <v>47</v>
      </c>
      <c r="Q65" s="499"/>
      <c r="R65" s="502" t="str">
        <f t="shared" si="2"/>
        <v>2004birthsbwtUnknown</v>
      </c>
      <c r="S65" s="604">
        <v>2004</v>
      </c>
      <c r="T65" s="604" t="s">
        <v>445</v>
      </c>
      <c r="U65" s="604" t="s">
        <v>447</v>
      </c>
      <c r="V65" s="604" t="s">
        <v>63</v>
      </c>
      <c r="W65" s="604">
        <v>59</v>
      </c>
      <c r="Y65" s="535" t="str">
        <f t="shared" si="3"/>
        <v>2016bwtage4500+30-34fetal</v>
      </c>
      <c r="Z65" s="604">
        <v>2016</v>
      </c>
      <c r="AA65" s="604" t="s">
        <v>447</v>
      </c>
      <c r="AB65" s="604" t="s">
        <v>453</v>
      </c>
      <c r="AC65" s="604" t="s">
        <v>432</v>
      </c>
      <c r="AD65" s="604" t="s">
        <v>132</v>
      </c>
      <c r="AE65" s="604">
        <v>0</v>
      </c>
      <c r="AF65" s="604">
        <v>449</v>
      </c>
      <c r="AG65" s="604">
        <v>0</v>
      </c>
      <c r="AH65" s="604" t="s">
        <v>420</v>
      </c>
      <c r="AJ65" s="535" t="str">
        <f t="shared" si="4"/>
        <v>2016bwtage4500+30-34</v>
      </c>
      <c r="AK65" s="604">
        <v>2016</v>
      </c>
      <c r="AL65" s="604" t="s">
        <v>447</v>
      </c>
      <c r="AM65" s="604" t="s">
        <v>453</v>
      </c>
      <c r="AN65" s="604" t="s">
        <v>432</v>
      </c>
      <c r="AO65" s="604" t="s">
        <v>132</v>
      </c>
      <c r="AP65" s="604">
        <v>449</v>
      </c>
      <c r="AR65" s="538" t="str">
        <f t="shared" si="5"/>
        <v>30-34agefetalHawke's Bay</v>
      </c>
      <c r="AS65" s="604">
        <v>2016</v>
      </c>
      <c r="AT65" s="604" t="s">
        <v>132</v>
      </c>
      <c r="AU65" s="604" t="s">
        <v>453</v>
      </c>
      <c r="AV65" s="604" t="s">
        <v>92</v>
      </c>
      <c r="AW65" s="604">
        <v>2</v>
      </c>
      <c r="AX65" s="604">
        <v>561</v>
      </c>
      <c r="AY65" s="606">
        <v>3.6</v>
      </c>
      <c r="AZ65" s="604" t="s">
        <v>420</v>
      </c>
      <c r="BB65" s="536" t="str">
        <f t="shared" si="6"/>
        <v>35-39agebirthsBay of Plenty</v>
      </c>
      <c r="BC65" s="604">
        <v>2016</v>
      </c>
      <c r="BD65" s="604" t="s">
        <v>133</v>
      </c>
      <c r="BE65" s="604" t="s">
        <v>453</v>
      </c>
      <c r="BF65" s="604" t="s">
        <v>91</v>
      </c>
      <c r="BG65" s="604">
        <v>438</v>
      </c>
      <c r="BH65" s="604" t="s">
        <v>445</v>
      </c>
      <c r="BR65" s="547" t="str">
        <f t="shared" si="8"/>
        <v>28+ days28-31gest</v>
      </c>
      <c r="BS65" s="604">
        <v>2016</v>
      </c>
      <c r="BT65" s="604" t="s">
        <v>117</v>
      </c>
      <c r="BU65" s="604" t="s">
        <v>395</v>
      </c>
      <c r="BV65" s="604" t="s">
        <v>450</v>
      </c>
      <c r="BW65" s="604">
        <v>3</v>
      </c>
      <c r="BY65" s="553" t="str">
        <f t="shared" si="9"/>
        <v>2008UnknownageSIDS</v>
      </c>
      <c r="BZ65" s="604">
        <v>2008</v>
      </c>
      <c r="CA65" s="604" t="s">
        <v>63</v>
      </c>
      <c r="CB65" s="604" t="s">
        <v>453</v>
      </c>
      <c r="CC65" s="604">
        <v>2</v>
      </c>
      <c r="CD65" s="604" t="s">
        <v>32</v>
      </c>
      <c r="CF65" s="554" t="str">
        <f t="shared" si="10"/>
        <v>2016MaoriNorthlanddhbSIDS</v>
      </c>
      <c r="CG65" s="604">
        <v>2016</v>
      </c>
      <c r="CH65" s="604" t="s">
        <v>129</v>
      </c>
      <c r="CI65" s="604" t="s">
        <v>85</v>
      </c>
      <c r="CJ65" s="604" t="s">
        <v>448</v>
      </c>
      <c r="CK65" s="604">
        <v>0</v>
      </c>
      <c r="CL65" s="604" t="s">
        <v>32</v>
      </c>
      <c r="CN65" s="575" t="str">
        <f t="shared" si="11"/>
        <v>2015D50–D89fetal</v>
      </c>
      <c r="CO65" s="604">
        <v>2015</v>
      </c>
      <c r="CP65" s="604" t="s">
        <v>500</v>
      </c>
      <c r="CQ65" s="604">
        <v>0</v>
      </c>
      <c r="CR65" s="604">
        <v>0</v>
      </c>
      <c r="CS65" s="604">
        <v>0</v>
      </c>
      <c r="CT65" s="604" t="s">
        <v>420</v>
      </c>
      <c r="CV65" s="575"/>
    </row>
    <row r="66" spans="1:100">
      <c r="A66" s="502" t="str">
        <f t="shared" si="0"/>
        <v>2011deathsPost-neonatal</v>
      </c>
      <c r="B66" s="604">
        <v>2011</v>
      </c>
      <c r="C66" s="604" t="s">
        <v>496</v>
      </c>
      <c r="D66" s="604" t="s">
        <v>43</v>
      </c>
      <c r="E66" s="604">
        <v>125</v>
      </c>
      <c r="F66" s="604">
        <v>62174</v>
      </c>
      <c r="G66" s="604">
        <v>2</v>
      </c>
      <c r="I66" s="578" t="str">
        <f t="shared" si="1"/>
        <v>2002age&lt;20Fetal</v>
      </c>
      <c r="J66" s="604">
        <v>2002</v>
      </c>
      <c r="K66" s="604" t="s">
        <v>453</v>
      </c>
      <c r="L66" s="604" t="s">
        <v>339</v>
      </c>
      <c r="M66" s="604">
        <v>29</v>
      </c>
      <c r="N66" s="604">
        <v>3666</v>
      </c>
      <c r="O66" s="604">
        <v>7.9</v>
      </c>
      <c r="P66" s="604" t="s">
        <v>47</v>
      </c>
      <c r="Q66" s="499"/>
      <c r="R66" s="502" t="str">
        <f t="shared" si="2"/>
        <v>2005birthsbwt&lt;500</v>
      </c>
      <c r="S66" s="604">
        <v>2005</v>
      </c>
      <c r="T66" s="604" t="s">
        <v>445</v>
      </c>
      <c r="U66" s="604" t="s">
        <v>447</v>
      </c>
      <c r="V66" s="604" t="s">
        <v>427</v>
      </c>
      <c r="W66" s="604">
        <v>46</v>
      </c>
      <c r="Y66" s="535" t="str">
        <f t="shared" si="3"/>
        <v>2016bwtageUnknown30-34fetal</v>
      </c>
      <c r="Z66" s="604">
        <v>2016</v>
      </c>
      <c r="AA66" s="604" t="s">
        <v>447</v>
      </c>
      <c r="AB66" s="604" t="s">
        <v>453</v>
      </c>
      <c r="AC66" s="604" t="s">
        <v>63</v>
      </c>
      <c r="AD66" s="604" t="s">
        <v>132</v>
      </c>
      <c r="AE66" s="604">
        <v>3</v>
      </c>
      <c r="AF66" s="604">
        <v>8</v>
      </c>
      <c r="AG66" s="604" t="s">
        <v>119</v>
      </c>
      <c r="AH66" s="604" t="s">
        <v>420</v>
      </c>
      <c r="AJ66" s="535" t="str">
        <f t="shared" si="4"/>
        <v>2016bwtageUnknown30-34</v>
      </c>
      <c r="AK66" s="604">
        <v>2016</v>
      </c>
      <c r="AL66" s="604" t="s">
        <v>447</v>
      </c>
      <c r="AM66" s="604" t="s">
        <v>453</v>
      </c>
      <c r="AN66" s="604" t="s">
        <v>63</v>
      </c>
      <c r="AO66" s="604" t="s">
        <v>132</v>
      </c>
      <c r="AP66" s="604">
        <v>8</v>
      </c>
      <c r="AR66" s="538" t="str">
        <f t="shared" si="5"/>
        <v>35-39agefetalHawke's Bay</v>
      </c>
      <c r="AS66" s="604">
        <v>2016</v>
      </c>
      <c r="AT66" s="604" t="s">
        <v>133</v>
      </c>
      <c r="AU66" s="604" t="s">
        <v>453</v>
      </c>
      <c r="AV66" s="604" t="s">
        <v>92</v>
      </c>
      <c r="AW66" s="604">
        <v>1</v>
      </c>
      <c r="AX66" s="604">
        <v>275</v>
      </c>
      <c r="AY66" s="606">
        <v>3.6</v>
      </c>
      <c r="AZ66" s="604" t="s">
        <v>420</v>
      </c>
      <c r="BB66" s="536" t="str">
        <f t="shared" si="6"/>
        <v>40+agebirthsBay of Plenty</v>
      </c>
      <c r="BC66" s="604">
        <v>2016</v>
      </c>
      <c r="BD66" s="604" t="s">
        <v>134</v>
      </c>
      <c r="BE66" s="604" t="s">
        <v>453</v>
      </c>
      <c r="BF66" s="604" t="s">
        <v>91</v>
      </c>
      <c r="BG66" s="604">
        <v>113</v>
      </c>
      <c r="BH66" s="604" t="s">
        <v>445</v>
      </c>
      <c r="BR66" s="547" t="str">
        <f t="shared" si="8"/>
        <v>28+ days32-36gest</v>
      </c>
      <c r="BS66" s="604">
        <v>2016</v>
      </c>
      <c r="BT66" s="604" t="s">
        <v>117</v>
      </c>
      <c r="BU66" s="604" t="s">
        <v>136</v>
      </c>
      <c r="BV66" s="604" t="s">
        <v>450</v>
      </c>
      <c r="BW66" s="604">
        <v>10</v>
      </c>
      <c r="BY66" s="553" t="str">
        <f t="shared" si="9"/>
        <v>2009&lt;20ageSIDS</v>
      </c>
      <c r="BZ66" s="604">
        <v>2009</v>
      </c>
      <c r="CA66" s="604" t="s">
        <v>339</v>
      </c>
      <c r="CB66" s="604" t="s">
        <v>453</v>
      </c>
      <c r="CC66" s="604">
        <v>12</v>
      </c>
      <c r="CD66" s="604" t="s">
        <v>32</v>
      </c>
      <c r="CF66" s="554" t="str">
        <f t="shared" si="10"/>
        <v>2016Pacific peoplesNorthlanddhbSIDS</v>
      </c>
      <c r="CG66" s="604">
        <v>2016</v>
      </c>
      <c r="CH66" s="604" t="s">
        <v>320</v>
      </c>
      <c r="CI66" s="604" t="s">
        <v>85</v>
      </c>
      <c r="CJ66" s="604" t="s">
        <v>448</v>
      </c>
      <c r="CK66" s="604">
        <v>0</v>
      </c>
      <c r="CL66" s="604" t="s">
        <v>32</v>
      </c>
      <c r="CN66" s="575" t="str">
        <f t="shared" si="11"/>
        <v>2015E00–E89fetal</v>
      </c>
      <c r="CO66" s="604">
        <v>2015</v>
      </c>
      <c r="CP66" s="604" t="s">
        <v>501</v>
      </c>
      <c r="CQ66" s="604">
        <v>0</v>
      </c>
      <c r="CR66" s="604">
        <v>0</v>
      </c>
      <c r="CS66" s="604">
        <v>0</v>
      </c>
      <c r="CT66" s="604" t="s">
        <v>420</v>
      </c>
      <c r="CV66" s="575"/>
    </row>
    <row r="67" spans="1:100">
      <c r="A67" s="502" t="str">
        <f t="shared" si="0"/>
        <v>2012deathsFetal</v>
      </c>
      <c r="B67" s="604">
        <v>2012</v>
      </c>
      <c r="C67" s="604" t="s">
        <v>496</v>
      </c>
      <c r="D67" s="604" t="s">
        <v>47</v>
      </c>
      <c r="E67" s="604">
        <v>448</v>
      </c>
      <c r="F67" s="604">
        <v>62483</v>
      </c>
      <c r="G67" s="604">
        <v>7.2</v>
      </c>
      <c r="I67" s="578" t="str">
        <f t="shared" si="1"/>
        <v>2002age20-24Fetal</v>
      </c>
      <c r="J67" s="604">
        <v>2002</v>
      </c>
      <c r="K67" s="604" t="s">
        <v>453</v>
      </c>
      <c r="L67" s="604" t="s">
        <v>130</v>
      </c>
      <c r="M67" s="604">
        <v>58</v>
      </c>
      <c r="N67" s="604">
        <v>9395</v>
      </c>
      <c r="O67" s="604">
        <v>6.2</v>
      </c>
      <c r="P67" s="604" t="s">
        <v>47</v>
      </c>
      <c r="Q67" s="499"/>
      <c r="R67" s="502" t="str">
        <f t="shared" si="2"/>
        <v>2005birthsbwt500-999</v>
      </c>
      <c r="S67" s="604">
        <v>2005</v>
      </c>
      <c r="T67" s="604" t="s">
        <v>445</v>
      </c>
      <c r="U67" s="604" t="s">
        <v>447</v>
      </c>
      <c r="V67" s="604" t="s">
        <v>428</v>
      </c>
      <c r="W67" s="604">
        <v>232</v>
      </c>
      <c r="Y67" s="535" t="str">
        <f t="shared" si="3"/>
        <v>2016bwtage&lt;50035-39fetal</v>
      </c>
      <c r="Z67" s="604">
        <v>2016</v>
      </c>
      <c r="AA67" s="604" t="s">
        <v>447</v>
      </c>
      <c r="AB67" s="604" t="s">
        <v>453</v>
      </c>
      <c r="AC67" s="604" t="s">
        <v>427</v>
      </c>
      <c r="AD67" s="604" t="s">
        <v>133</v>
      </c>
      <c r="AE67" s="604">
        <v>20</v>
      </c>
      <c r="AF67" s="604">
        <v>7</v>
      </c>
      <c r="AG67" s="604" t="s">
        <v>119</v>
      </c>
      <c r="AH67" s="604" t="s">
        <v>420</v>
      </c>
      <c r="AJ67" s="535" t="str">
        <f t="shared" si="4"/>
        <v>2016bwtage&lt;50035-39</v>
      </c>
      <c r="AK67" s="604">
        <v>2016</v>
      </c>
      <c r="AL67" s="604" t="s">
        <v>447</v>
      </c>
      <c r="AM67" s="604" t="s">
        <v>453</v>
      </c>
      <c r="AN67" s="604" t="s">
        <v>427</v>
      </c>
      <c r="AO67" s="604" t="s">
        <v>133</v>
      </c>
      <c r="AP67" s="604">
        <v>7</v>
      </c>
      <c r="AR67" s="538" t="str">
        <f t="shared" si="5"/>
        <v>&lt;20agefetalTaranaki</v>
      </c>
      <c r="AS67" s="604">
        <v>2016</v>
      </c>
      <c r="AT67" s="604" t="s">
        <v>339</v>
      </c>
      <c r="AU67" s="604" t="s">
        <v>453</v>
      </c>
      <c r="AV67" s="604" t="s">
        <v>93</v>
      </c>
      <c r="AW67" s="604">
        <v>3</v>
      </c>
      <c r="AX67" s="604">
        <v>62</v>
      </c>
      <c r="AY67" s="606">
        <v>48.4</v>
      </c>
      <c r="AZ67" s="604" t="s">
        <v>420</v>
      </c>
      <c r="BB67" s="536" t="str">
        <f t="shared" si="6"/>
        <v>&lt;20agebirthsTairawhiti</v>
      </c>
      <c r="BC67" s="604">
        <v>2016</v>
      </c>
      <c r="BD67" s="604" t="s">
        <v>339</v>
      </c>
      <c r="BE67" s="604" t="s">
        <v>453</v>
      </c>
      <c r="BF67" s="604" t="s">
        <v>433</v>
      </c>
      <c r="BG67" s="604">
        <v>77</v>
      </c>
      <c r="BH67" s="604" t="s">
        <v>445</v>
      </c>
      <c r="BR67" s="547" t="str">
        <f t="shared" si="8"/>
        <v>28+ days37-41gest</v>
      </c>
      <c r="BS67" s="604">
        <v>2016</v>
      </c>
      <c r="BT67" s="604" t="s">
        <v>117</v>
      </c>
      <c r="BU67" s="604" t="s">
        <v>137</v>
      </c>
      <c r="BV67" s="604" t="s">
        <v>450</v>
      </c>
      <c r="BW67" s="604">
        <v>53</v>
      </c>
      <c r="BY67" s="553" t="str">
        <f t="shared" si="9"/>
        <v>200920-24ageSIDS</v>
      </c>
      <c r="BZ67" s="604">
        <v>2009</v>
      </c>
      <c r="CA67" s="604" t="s">
        <v>130</v>
      </c>
      <c r="CB67" s="604" t="s">
        <v>453</v>
      </c>
      <c r="CC67" s="604">
        <v>19</v>
      </c>
      <c r="CD67" s="604" t="s">
        <v>32</v>
      </c>
      <c r="CF67" s="554" t="str">
        <f t="shared" si="10"/>
        <v>2016AsianWaitematadhbSIDS</v>
      </c>
      <c r="CG67" s="604">
        <v>2016</v>
      </c>
      <c r="CH67" s="604" t="s">
        <v>355</v>
      </c>
      <c r="CI67" s="604" t="s">
        <v>86</v>
      </c>
      <c r="CJ67" s="604" t="s">
        <v>448</v>
      </c>
      <c r="CK67" s="604">
        <v>0</v>
      </c>
      <c r="CL67" s="604" t="s">
        <v>32</v>
      </c>
      <c r="CN67" s="575" t="str">
        <f t="shared" si="11"/>
        <v>2015G00–G99fetal</v>
      </c>
      <c r="CO67" s="604">
        <v>2015</v>
      </c>
      <c r="CP67" s="604" t="s">
        <v>503</v>
      </c>
      <c r="CQ67" s="604">
        <v>0</v>
      </c>
      <c r="CR67" s="604">
        <v>0</v>
      </c>
      <c r="CS67" s="604">
        <v>0</v>
      </c>
      <c r="CT67" s="604" t="s">
        <v>420</v>
      </c>
      <c r="CV67" s="575"/>
    </row>
    <row r="68" spans="1:100">
      <c r="A68" s="502" t="str">
        <f t="shared" ref="A68:A131" si="12">B68&amp;C68&amp;D68</f>
        <v>2012deathsEarly neonatal</v>
      </c>
      <c r="B68" s="604">
        <v>2012</v>
      </c>
      <c r="C68" s="604" t="s">
        <v>496</v>
      </c>
      <c r="D68" s="604" t="s">
        <v>41</v>
      </c>
      <c r="E68" s="604">
        <v>160</v>
      </c>
      <c r="F68" s="604">
        <v>62035</v>
      </c>
      <c r="G68" s="604" t="s">
        <v>119</v>
      </c>
      <c r="I68" s="578" t="str">
        <f t="shared" ref="I68:I131" si="13">J68&amp;K68&amp;L68&amp;P68</f>
        <v>2002age25-29Fetal</v>
      </c>
      <c r="J68" s="604">
        <v>2002</v>
      </c>
      <c r="K68" s="604" t="s">
        <v>453</v>
      </c>
      <c r="L68" s="604" t="s">
        <v>131</v>
      </c>
      <c r="M68" s="604">
        <v>89</v>
      </c>
      <c r="N68" s="604">
        <v>13995</v>
      </c>
      <c r="O68" s="604">
        <v>6.4</v>
      </c>
      <c r="P68" s="604" t="s">
        <v>47</v>
      </c>
      <c r="Q68" s="499"/>
      <c r="R68" s="502" t="str">
        <f t="shared" ref="R68:R131" si="14">S68&amp;T68&amp;U68&amp;V68</f>
        <v>2005birthsbwt1000-1499</v>
      </c>
      <c r="S68" s="604">
        <v>2005</v>
      </c>
      <c r="T68" s="604" t="s">
        <v>445</v>
      </c>
      <c r="U68" s="604" t="s">
        <v>447</v>
      </c>
      <c r="V68" s="604" t="s">
        <v>429</v>
      </c>
      <c r="W68" s="604">
        <v>361</v>
      </c>
      <c r="Y68" s="535" t="str">
        <f t="shared" ref="Y68:Y131" si="15">Z68&amp;AA68&amp;AB68&amp;AC68&amp;AD68&amp;AH68</f>
        <v>2016bwtage500-99935-39fetal</v>
      </c>
      <c r="Z68" s="604">
        <v>2016</v>
      </c>
      <c r="AA68" s="604" t="s">
        <v>447</v>
      </c>
      <c r="AB68" s="604" t="s">
        <v>453</v>
      </c>
      <c r="AC68" s="604" t="s">
        <v>428</v>
      </c>
      <c r="AD68" s="604" t="s">
        <v>133</v>
      </c>
      <c r="AE68" s="604">
        <v>20</v>
      </c>
      <c r="AF68" s="604">
        <v>41</v>
      </c>
      <c r="AG68" s="604">
        <v>327.9</v>
      </c>
      <c r="AH68" s="604" t="s">
        <v>420</v>
      </c>
      <c r="AJ68" s="535" t="str">
        <f t="shared" ref="AJ68:AJ131" si="16">AK68&amp;AL68&amp;AM68&amp;AN68&amp;AO68</f>
        <v>2016bwtage500-99935-39</v>
      </c>
      <c r="AK68" s="604">
        <v>2016</v>
      </c>
      <c r="AL68" s="604" t="s">
        <v>447</v>
      </c>
      <c r="AM68" s="604" t="s">
        <v>453</v>
      </c>
      <c r="AN68" s="604" t="s">
        <v>428</v>
      </c>
      <c r="AO68" s="604" t="s">
        <v>133</v>
      </c>
      <c r="AP68" s="604">
        <v>41</v>
      </c>
      <c r="AR68" s="538" t="str">
        <f t="shared" ref="AR68:AR131" si="17">AT68&amp;AU68&amp;AZ68&amp;AV68</f>
        <v>20-24agefetalTaranaki</v>
      </c>
      <c r="AS68" s="604">
        <v>2016</v>
      </c>
      <c r="AT68" s="604" t="s">
        <v>130</v>
      </c>
      <c r="AU68" s="604" t="s">
        <v>453</v>
      </c>
      <c r="AV68" s="604" t="s">
        <v>93</v>
      </c>
      <c r="AW68" s="604">
        <v>3</v>
      </c>
      <c r="AX68" s="604">
        <v>304</v>
      </c>
      <c r="AY68" s="606">
        <v>9.9</v>
      </c>
      <c r="AZ68" s="604" t="s">
        <v>420</v>
      </c>
      <c r="BB68" s="536" t="str">
        <f t="shared" ref="BB68:BB131" si="18">BD68&amp;BE68&amp;BH68&amp;BF68</f>
        <v>20-24agebirthsTairawhiti</v>
      </c>
      <c r="BC68" s="604">
        <v>2016</v>
      </c>
      <c r="BD68" s="604" t="s">
        <v>130</v>
      </c>
      <c r="BE68" s="604" t="s">
        <v>453</v>
      </c>
      <c r="BF68" s="604" t="s">
        <v>433</v>
      </c>
      <c r="BG68" s="604">
        <v>177</v>
      </c>
      <c r="BH68" s="604" t="s">
        <v>445</v>
      </c>
      <c r="BR68" s="547" t="str">
        <f t="shared" ref="BR68:BR131" si="19">BT68&amp;BU68&amp;BV68</f>
        <v>28+ days42+gest</v>
      </c>
      <c r="BS68" s="604">
        <v>2016</v>
      </c>
      <c r="BT68" s="604" t="s">
        <v>117</v>
      </c>
      <c r="BU68" s="604" t="s">
        <v>138</v>
      </c>
      <c r="BV68" s="604" t="s">
        <v>450</v>
      </c>
      <c r="BW68" s="604">
        <v>1</v>
      </c>
      <c r="BY68" s="553" t="str">
        <f t="shared" ref="BY68:BY131" si="20">BZ68&amp;CA68&amp;CB68&amp;CD68</f>
        <v>200925-29ageSIDS</v>
      </c>
      <c r="BZ68" s="604">
        <v>2009</v>
      </c>
      <c r="CA68" s="604" t="s">
        <v>131</v>
      </c>
      <c r="CB68" s="604" t="s">
        <v>453</v>
      </c>
      <c r="CC68" s="604">
        <v>6</v>
      </c>
      <c r="CD68" s="604" t="s">
        <v>32</v>
      </c>
      <c r="CF68" s="554" t="str">
        <f t="shared" ref="CF68:CF131" si="21">CG68&amp;CH68&amp;CI68&amp;CJ68&amp;CL68</f>
        <v>2016European or OtherWaitematadhbSIDS</v>
      </c>
      <c r="CG68" s="604">
        <v>2016</v>
      </c>
      <c r="CH68" s="604" t="s">
        <v>356</v>
      </c>
      <c r="CI68" s="604" t="s">
        <v>86</v>
      </c>
      <c r="CJ68" s="604" t="s">
        <v>448</v>
      </c>
      <c r="CK68" s="604">
        <v>0</v>
      </c>
      <c r="CL68" s="604" t="s">
        <v>32</v>
      </c>
      <c r="CN68" s="575" t="str">
        <f t="shared" ref="CN68:CN128" si="22">CO68&amp;CP68&amp;CT68</f>
        <v>2015I00–I99fetal</v>
      </c>
      <c r="CO68" s="604">
        <v>2015</v>
      </c>
      <c r="CP68" s="604" t="s">
        <v>506</v>
      </c>
      <c r="CQ68" s="604">
        <v>0</v>
      </c>
      <c r="CR68" s="604">
        <v>0</v>
      </c>
      <c r="CS68" s="604">
        <v>0</v>
      </c>
      <c r="CT68" s="604" t="s">
        <v>420</v>
      </c>
      <c r="CV68" s="575"/>
    </row>
    <row r="69" spans="1:100">
      <c r="A69" s="502" t="str">
        <f t="shared" si="12"/>
        <v>2012deathsLate neonatal</v>
      </c>
      <c r="B69" s="604">
        <v>2012</v>
      </c>
      <c r="C69" s="604" t="s">
        <v>496</v>
      </c>
      <c r="D69" s="604" t="s">
        <v>42</v>
      </c>
      <c r="E69" s="604">
        <v>34</v>
      </c>
      <c r="F69" s="604">
        <v>62035</v>
      </c>
      <c r="G69" s="604" t="s">
        <v>119</v>
      </c>
      <c r="I69" s="578" t="str">
        <f t="shared" si="13"/>
        <v>2002age30-34Fetal</v>
      </c>
      <c r="J69" s="604">
        <v>2002</v>
      </c>
      <c r="K69" s="604" t="s">
        <v>453</v>
      </c>
      <c r="L69" s="604" t="s">
        <v>132</v>
      </c>
      <c r="M69" s="604">
        <v>113</v>
      </c>
      <c r="N69" s="604">
        <v>17180</v>
      </c>
      <c r="O69" s="604">
        <v>6.6</v>
      </c>
      <c r="P69" s="604" t="s">
        <v>47</v>
      </c>
      <c r="Q69" s="499"/>
      <c r="R69" s="502" t="str">
        <f t="shared" si="14"/>
        <v>2005birthsbwt1500-2499</v>
      </c>
      <c r="S69" s="604">
        <v>2005</v>
      </c>
      <c r="T69" s="604" t="s">
        <v>445</v>
      </c>
      <c r="U69" s="604" t="s">
        <v>447</v>
      </c>
      <c r="V69" s="604" t="s">
        <v>430</v>
      </c>
      <c r="W69" s="604">
        <v>2861</v>
      </c>
      <c r="Y69" s="535" t="str">
        <f t="shared" si="15"/>
        <v>2016bwtage1000-149935-39fetal</v>
      </c>
      <c r="Z69" s="604">
        <v>2016</v>
      </c>
      <c r="AA69" s="604" t="s">
        <v>447</v>
      </c>
      <c r="AB69" s="604" t="s">
        <v>453</v>
      </c>
      <c r="AC69" s="604" t="s">
        <v>429</v>
      </c>
      <c r="AD69" s="604" t="s">
        <v>133</v>
      </c>
      <c r="AE69" s="604">
        <v>6</v>
      </c>
      <c r="AF69" s="604">
        <v>47</v>
      </c>
      <c r="AG69" s="604">
        <v>113.2</v>
      </c>
      <c r="AH69" s="604" t="s">
        <v>420</v>
      </c>
      <c r="AJ69" s="535" t="str">
        <f t="shared" si="16"/>
        <v>2016bwtage1000-149935-39</v>
      </c>
      <c r="AK69" s="604">
        <v>2016</v>
      </c>
      <c r="AL69" s="604" t="s">
        <v>447</v>
      </c>
      <c r="AM69" s="604" t="s">
        <v>453</v>
      </c>
      <c r="AN69" s="604" t="s">
        <v>429</v>
      </c>
      <c r="AO69" s="604" t="s">
        <v>133</v>
      </c>
      <c r="AP69" s="604">
        <v>47</v>
      </c>
      <c r="AR69" s="538" t="str">
        <f t="shared" si="17"/>
        <v>25-29agefetalTaranaki</v>
      </c>
      <c r="AS69" s="604">
        <v>2016</v>
      </c>
      <c r="AT69" s="604" t="s">
        <v>131</v>
      </c>
      <c r="AU69" s="604" t="s">
        <v>453</v>
      </c>
      <c r="AV69" s="604" t="s">
        <v>93</v>
      </c>
      <c r="AW69" s="604">
        <v>2</v>
      </c>
      <c r="AX69" s="604">
        <v>453</v>
      </c>
      <c r="AY69" s="606">
        <v>4.4000000000000004</v>
      </c>
      <c r="AZ69" s="604" t="s">
        <v>420</v>
      </c>
      <c r="BB69" s="536" t="str">
        <f t="shared" si="18"/>
        <v>25-29agebirthsTairawhiti</v>
      </c>
      <c r="BC69" s="604">
        <v>2016</v>
      </c>
      <c r="BD69" s="604" t="s">
        <v>131</v>
      </c>
      <c r="BE69" s="604" t="s">
        <v>453</v>
      </c>
      <c r="BF69" s="604" t="s">
        <v>433</v>
      </c>
      <c r="BG69" s="604">
        <v>232</v>
      </c>
      <c r="BH69" s="604" t="s">
        <v>445</v>
      </c>
      <c r="BR69" s="547" t="str">
        <f t="shared" si="19"/>
        <v>28+ daysUnknowngest</v>
      </c>
      <c r="BS69" s="604">
        <v>2016</v>
      </c>
      <c r="BT69" s="604" t="s">
        <v>117</v>
      </c>
      <c r="BU69" s="604" t="s">
        <v>63</v>
      </c>
      <c r="BV69" s="604" t="s">
        <v>450</v>
      </c>
      <c r="BW69" s="604">
        <v>3</v>
      </c>
      <c r="BY69" s="553" t="str">
        <f t="shared" si="20"/>
        <v>200930-34ageSIDS</v>
      </c>
      <c r="BZ69" s="604">
        <v>2009</v>
      </c>
      <c r="CA69" s="604" t="s">
        <v>132</v>
      </c>
      <c r="CB69" s="604" t="s">
        <v>453</v>
      </c>
      <c r="CC69" s="604">
        <v>6</v>
      </c>
      <c r="CD69" s="604" t="s">
        <v>32</v>
      </c>
      <c r="CF69" s="554" t="str">
        <f t="shared" si="21"/>
        <v>2016MaoriWaitematadhbSIDS</v>
      </c>
      <c r="CG69" s="604">
        <v>2016</v>
      </c>
      <c r="CH69" s="604" t="s">
        <v>129</v>
      </c>
      <c r="CI69" s="604" t="s">
        <v>86</v>
      </c>
      <c r="CJ69" s="604" t="s">
        <v>448</v>
      </c>
      <c r="CK69" s="604">
        <v>0</v>
      </c>
      <c r="CL69" s="604" t="s">
        <v>32</v>
      </c>
      <c r="CN69" s="575" t="str">
        <f t="shared" si="22"/>
        <v>2015J00–J99fetal</v>
      </c>
      <c r="CO69" s="604">
        <v>2015</v>
      </c>
      <c r="CP69" s="604" t="s">
        <v>507</v>
      </c>
      <c r="CQ69" s="604">
        <v>0</v>
      </c>
      <c r="CR69" s="604">
        <v>0</v>
      </c>
      <c r="CS69" s="604">
        <v>0</v>
      </c>
      <c r="CT69" s="604" t="s">
        <v>420</v>
      </c>
      <c r="CV69" s="575"/>
    </row>
    <row r="70" spans="1:100">
      <c r="A70" s="502" t="str">
        <f t="shared" si="12"/>
        <v>2012deathsPost-neonatal</v>
      </c>
      <c r="B70" s="604">
        <v>2012</v>
      </c>
      <c r="C70" s="604" t="s">
        <v>496</v>
      </c>
      <c r="D70" s="604" t="s">
        <v>43</v>
      </c>
      <c r="E70" s="604">
        <v>100</v>
      </c>
      <c r="F70" s="604">
        <v>62035</v>
      </c>
      <c r="G70" s="604">
        <v>1.6</v>
      </c>
      <c r="I70" s="578" t="str">
        <f t="shared" si="13"/>
        <v>2002age35-39Fetal</v>
      </c>
      <c r="J70" s="604">
        <v>2002</v>
      </c>
      <c r="K70" s="604" t="s">
        <v>453</v>
      </c>
      <c r="L70" s="604" t="s">
        <v>133</v>
      </c>
      <c r="M70" s="604">
        <v>81</v>
      </c>
      <c r="N70" s="604">
        <v>8819</v>
      </c>
      <c r="O70" s="604">
        <v>9.1999999999999993</v>
      </c>
      <c r="P70" s="604" t="s">
        <v>47</v>
      </c>
      <c r="Q70" s="499"/>
      <c r="R70" s="502" t="str">
        <f t="shared" si="14"/>
        <v>2005birthsbwt2500-4499</v>
      </c>
      <c r="S70" s="604">
        <v>2005</v>
      </c>
      <c r="T70" s="604" t="s">
        <v>445</v>
      </c>
      <c r="U70" s="604" t="s">
        <v>447</v>
      </c>
      <c r="V70" s="604" t="s">
        <v>431</v>
      </c>
      <c r="W70" s="604">
        <v>53572</v>
      </c>
      <c r="Y70" s="535" t="str">
        <f t="shared" si="15"/>
        <v>2016bwtage1500-249935-39fetal</v>
      </c>
      <c r="Z70" s="604">
        <v>2016</v>
      </c>
      <c r="AA70" s="604" t="s">
        <v>447</v>
      </c>
      <c r="AB70" s="604" t="s">
        <v>453</v>
      </c>
      <c r="AC70" s="604" t="s">
        <v>430</v>
      </c>
      <c r="AD70" s="604" t="s">
        <v>133</v>
      </c>
      <c r="AE70" s="604">
        <v>8</v>
      </c>
      <c r="AF70" s="604">
        <v>504</v>
      </c>
      <c r="AG70" s="604">
        <v>15.6</v>
      </c>
      <c r="AH70" s="604" t="s">
        <v>420</v>
      </c>
      <c r="AJ70" s="535" t="str">
        <f t="shared" si="16"/>
        <v>2016bwtage1500-249935-39</v>
      </c>
      <c r="AK70" s="604">
        <v>2016</v>
      </c>
      <c r="AL70" s="604" t="s">
        <v>447</v>
      </c>
      <c r="AM70" s="604" t="s">
        <v>453</v>
      </c>
      <c r="AN70" s="604" t="s">
        <v>430</v>
      </c>
      <c r="AO70" s="604" t="s">
        <v>133</v>
      </c>
      <c r="AP70" s="604">
        <v>504</v>
      </c>
      <c r="AR70" s="538" t="str">
        <f t="shared" si="17"/>
        <v>30-34agefetalTaranaki</v>
      </c>
      <c r="AS70" s="604">
        <v>2016</v>
      </c>
      <c r="AT70" s="604" t="s">
        <v>132</v>
      </c>
      <c r="AU70" s="604" t="s">
        <v>453</v>
      </c>
      <c r="AV70" s="604" t="s">
        <v>93</v>
      </c>
      <c r="AW70" s="604">
        <v>4</v>
      </c>
      <c r="AX70" s="604">
        <v>432</v>
      </c>
      <c r="AY70" s="606">
        <v>9.3000000000000007</v>
      </c>
      <c r="AZ70" s="604" t="s">
        <v>420</v>
      </c>
      <c r="BB70" s="536" t="str">
        <f t="shared" si="18"/>
        <v>30-34agebirthsTairawhiti</v>
      </c>
      <c r="BC70" s="604">
        <v>2016</v>
      </c>
      <c r="BD70" s="604" t="s">
        <v>132</v>
      </c>
      <c r="BE70" s="604" t="s">
        <v>453</v>
      </c>
      <c r="BF70" s="604" t="s">
        <v>433</v>
      </c>
      <c r="BG70" s="604">
        <v>170</v>
      </c>
      <c r="BH70" s="604" t="s">
        <v>445</v>
      </c>
      <c r="BR70" s="547" t="str">
        <f t="shared" si="19"/>
        <v>7-27 days&lt;28gest</v>
      </c>
      <c r="BS70" s="604">
        <v>2016</v>
      </c>
      <c r="BT70" s="604" t="s">
        <v>471</v>
      </c>
      <c r="BU70" s="604" t="s">
        <v>375</v>
      </c>
      <c r="BV70" s="604" t="s">
        <v>450</v>
      </c>
      <c r="BW70" s="604">
        <v>8</v>
      </c>
      <c r="BY70" s="553" t="str">
        <f t="shared" si="20"/>
        <v>200935-39ageSIDS</v>
      </c>
      <c r="BZ70" s="604">
        <v>2009</v>
      </c>
      <c r="CA70" s="604" t="s">
        <v>133</v>
      </c>
      <c r="CB70" s="604" t="s">
        <v>453</v>
      </c>
      <c r="CC70" s="604">
        <v>2</v>
      </c>
      <c r="CD70" s="604" t="s">
        <v>32</v>
      </c>
      <c r="CF70" s="554" t="str">
        <f t="shared" si="21"/>
        <v>2016Pacific peoplesWaitematadhbSIDS</v>
      </c>
      <c r="CG70" s="604">
        <v>2016</v>
      </c>
      <c r="CH70" s="604" t="s">
        <v>320</v>
      </c>
      <c r="CI70" s="604" t="s">
        <v>86</v>
      </c>
      <c r="CJ70" s="604" t="s">
        <v>448</v>
      </c>
      <c r="CK70" s="604">
        <v>0</v>
      </c>
      <c r="CL70" s="604" t="s">
        <v>32</v>
      </c>
      <c r="CN70" s="575" t="str">
        <f t="shared" si="22"/>
        <v>2015K00–K93fetal</v>
      </c>
      <c r="CO70" s="604">
        <v>2015</v>
      </c>
      <c r="CP70" s="604" t="s">
        <v>508</v>
      </c>
      <c r="CQ70" s="604">
        <v>0</v>
      </c>
      <c r="CR70" s="604">
        <v>0</v>
      </c>
      <c r="CS70" s="604">
        <v>0</v>
      </c>
      <c r="CT70" s="604" t="s">
        <v>420</v>
      </c>
      <c r="CV70" s="575"/>
    </row>
    <row r="71" spans="1:100">
      <c r="A71" s="502" t="str">
        <f t="shared" si="12"/>
        <v>2013deathsFetal</v>
      </c>
      <c r="B71" s="604">
        <v>2013</v>
      </c>
      <c r="C71" s="604" t="s">
        <v>496</v>
      </c>
      <c r="D71" s="604" t="s">
        <v>47</v>
      </c>
      <c r="E71" s="604">
        <v>393</v>
      </c>
      <c r="F71" s="604">
        <v>60094</v>
      </c>
      <c r="G71" s="604">
        <v>6.5</v>
      </c>
      <c r="I71" s="578" t="str">
        <f t="shared" si="13"/>
        <v>2002age40+Fetal</v>
      </c>
      <c r="J71" s="604">
        <v>2002</v>
      </c>
      <c r="K71" s="604" t="s">
        <v>453</v>
      </c>
      <c r="L71" s="604" t="s">
        <v>134</v>
      </c>
      <c r="M71" s="604">
        <v>20</v>
      </c>
      <c r="N71" s="604">
        <v>1850</v>
      </c>
      <c r="O71" s="604">
        <v>10.8</v>
      </c>
      <c r="P71" s="604" t="s">
        <v>47</v>
      </c>
      <c r="Q71" s="499"/>
      <c r="R71" s="502" t="str">
        <f t="shared" si="14"/>
        <v>2005birthsbwt4500+</v>
      </c>
      <c r="S71" s="604">
        <v>2005</v>
      </c>
      <c r="T71" s="604" t="s">
        <v>445</v>
      </c>
      <c r="U71" s="604" t="s">
        <v>447</v>
      </c>
      <c r="V71" s="604" t="s">
        <v>432</v>
      </c>
      <c r="W71" s="604">
        <v>1607</v>
      </c>
      <c r="Y71" s="535" t="str">
        <f t="shared" si="15"/>
        <v>2016bwtage2500-449935-39fetal</v>
      </c>
      <c r="Z71" s="604">
        <v>2016</v>
      </c>
      <c r="AA71" s="604" t="s">
        <v>447</v>
      </c>
      <c r="AB71" s="604" t="s">
        <v>453</v>
      </c>
      <c r="AC71" s="604" t="s">
        <v>431</v>
      </c>
      <c r="AD71" s="604" t="s">
        <v>133</v>
      </c>
      <c r="AE71" s="604">
        <v>12</v>
      </c>
      <c r="AF71" s="604">
        <v>9239</v>
      </c>
      <c r="AG71" s="604">
        <v>1.3</v>
      </c>
      <c r="AH71" s="604" t="s">
        <v>420</v>
      </c>
      <c r="AJ71" s="535" t="str">
        <f t="shared" si="16"/>
        <v>2016bwtage2500-449935-39</v>
      </c>
      <c r="AK71" s="604">
        <v>2016</v>
      </c>
      <c r="AL71" s="604" t="s">
        <v>447</v>
      </c>
      <c r="AM71" s="604" t="s">
        <v>453</v>
      </c>
      <c r="AN71" s="604" t="s">
        <v>431</v>
      </c>
      <c r="AO71" s="604" t="s">
        <v>133</v>
      </c>
      <c r="AP71" s="604">
        <v>9239</v>
      </c>
      <c r="AR71" s="538" t="str">
        <f t="shared" si="17"/>
        <v>35-39agefetalTaranaki</v>
      </c>
      <c r="AS71" s="604">
        <v>2016</v>
      </c>
      <c r="AT71" s="604" t="s">
        <v>133</v>
      </c>
      <c r="AU71" s="604" t="s">
        <v>453</v>
      </c>
      <c r="AV71" s="604" t="s">
        <v>93</v>
      </c>
      <c r="AW71" s="604">
        <v>1</v>
      </c>
      <c r="AX71" s="604">
        <v>208</v>
      </c>
      <c r="AY71" s="606">
        <v>4.8</v>
      </c>
      <c r="AZ71" s="604" t="s">
        <v>420</v>
      </c>
      <c r="BB71" s="536" t="str">
        <f t="shared" si="18"/>
        <v>35-39agebirthsTairawhiti</v>
      </c>
      <c r="BC71" s="604">
        <v>2016</v>
      </c>
      <c r="BD71" s="604" t="s">
        <v>133</v>
      </c>
      <c r="BE71" s="604" t="s">
        <v>453</v>
      </c>
      <c r="BF71" s="604" t="s">
        <v>433</v>
      </c>
      <c r="BG71" s="604">
        <v>93</v>
      </c>
      <c r="BH71" s="604" t="s">
        <v>445</v>
      </c>
      <c r="BR71" s="547" t="str">
        <f t="shared" si="19"/>
        <v>7-27 days28-31gest</v>
      </c>
      <c r="BS71" s="604">
        <v>2016</v>
      </c>
      <c r="BT71" s="604" t="s">
        <v>471</v>
      </c>
      <c r="BU71" s="604" t="s">
        <v>395</v>
      </c>
      <c r="BV71" s="604" t="s">
        <v>450</v>
      </c>
      <c r="BW71" s="604">
        <v>3</v>
      </c>
      <c r="BY71" s="553" t="str">
        <f t="shared" si="20"/>
        <v>200940+ageSIDS</v>
      </c>
      <c r="BZ71" s="604">
        <v>2009</v>
      </c>
      <c r="CA71" s="604" t="s">
        <v>134</v>
      </c>
      <c r="CB71" s="604" t="s">
        <v>453</v>
      </c>
      <c r="CC71" s="604">
        <v>0</v>
      </c>
      <c r="CD71" s="604" t="s">
        <v>32</v>
      </c>
      <c r="CF71" s="554" t="str">
        <f t="shared" si="21"/>
        <v>2016AsianAucklanddhbSIDS</v>
      </c>
      <c r="CG71" s="604">
        <v>2016</v>
      </c>
      <c r="CH71" s="604" t="s">
        <v>355</v>
      </c>
      <c r="CI71" s="604" t="s">
        <v>87</v>
      </c>
      <c r="CJ71" s="604" t="s">
        <v>448</v>
      </c>
      <c r="CK71" s="604">
        <v>0</v>
      </c>
      <c r="CL71" s="604" t="s">
        <v>32</v>
      </c>
      <c r="CN71" s="575" t="str">
        <f t="shared" si="22"/>
        <v>2015P00–P96fetal</v>
      </c>
      <c r="CO71" s="604">
        <v>2015</v>
      </c>
      <c r="CP71" s="604" t="s">
        <v>513</v>
      </c>
      <c r="CQ71" s="604">
        <v>286</v>
      </c>
      <c r="CR71" s="604">
        <v>74.5</v>
      </c>
      <c r="CS71" s="604">
        <v>4.58</v>
      </c>
      <c r="CT71" s="604" t="s">
        <v>420</v>
      </c>
      <c r="CV71" s="575"/>
    </row>
    <row r="72" spans="1:100">
      <c r="A72" s="502" t="str">
        <f t="shared" si="12"/>
        <v>2013deathsEarly neonatal</v>
      </c>
      <c r="B72" s="604">
        <v>2013</v>
      </c>
      <c r="C72" s="604" t="s">
        <v>496</v>
      </c>
      <c r="D72" s="604" t="s">
        <v>41</v>
      </c>
      <c r="E72" s="604">
        <v>166</v>
      </c>
      <c r="F72" s="604">
        <v>59701</v>
      </c>
      <c r="G72" s="604" t="s">
        <v>119</v>
      </c>
      <c r="I72" s="578" t="str">
        <f t="shared" si="13"/>
        <v>2002ageUnknownFetal</v>
      </c>
      <c r="J72" s="604">
        <v>2002</v>
      </c>
      <c r="K72" s="604" t="s">
        <v>453</v>
      </c>
      <c r="L72" s="604" t="s">
        <v>63</v>
      </c>
      <c r="M72" s="604">
        <v>0</v>
      </c>
      <c r="N72" s="604">
        <v>0</v>
      </c>
      <c r="O72" s="604" t="s">
        <v>119</v>
      </c>
      <c r="P72" s="604" t="s">
        <v>47</v>
      </c>
      <c r="Q72" s="499"/>
      <c r="R72" s="502" t="str">
        <f t="shared" si="14"/>
        <v>2005birthsbwtUnknown</v>
      </c>
      <c r="S72" s="604">
        <v>2005</v>
      </c>
      <c r="T72" s="604" t="s">
        <v>445</v>
      </c>
      <c r="U72" s="604" t="s">
        <v>447</v>
      </c>
      <c r="V72" s="604" t="s">
        <v>63</v>
      </c>
      <c r="W72" s="604">
        <v>48</v>
      </c>
      <c r="Y72" s="535" t="str">
        <f t="shared" si="15"/>
        <v>2016bwtage4500+35-39fetal</v>
      </c>
      <c r="Z72" s="604">
        <v>2016</v>
      </c>
      <c r="AA72" s="604" t="s">
        <v>447</v>
      </c>
      <c r="AB72" s="604" t="s">
        <v>453</v>
      </c>
      <c r="AC72" s="604" t="s">
        <v>432</v>
      </c>
      <c r="AD72" s="604" t="s">
        <v>133</v>
      </c>
      <c r="AE72" s="604">
        <v>2</v>
      </c>
      <c r="AF72" s="604">
        <v>260</v>
      </c>
      <c r="AG72" s="604">
        <v>7.6</v>
      </c>
      <c r="AH72" s="604" t="s">
        <v>420</v>
      </c>
      <c r="AJ72" s="535" t="str">
        <f t="shared" si="16"/>
        <v>2016bwtage4500+35-39</v>
      </c>
      <c r="AK72" s="604">
        <v>2016</v>
      </c>
      <c r="AL72" s="604" t="s">
        <v>447</v>
      </c>
      <c r="AM72" s="604" t="s">
        <v>453</v>
      </c>
      <c r="AN72" s="604" t="s">
        <v>432</v>
      </c>
      <c r="AO72" s="604" t="s">
        <v>133</v>
      </c>
      <c r="AP72" s="604">
        <v>260</v>
      </c>
      <c r="AR72" s="538" t="str">
        <f t="shared" si="17"/>
        <v>&lt;20agefetalMidCentral</v>
      </c>
      <c r="AS72" s="604">
        <v>2016</v>
      </c>
      <c r="AT72" s="604" t="s">
        <v>339</v>
      </c>
      <c r="AU72" s="604" t="s">
        <v>453</v>
      </c>
      <c r="AV72" s="604" t="s">
        <v>94</v>
      </c>
      <c r="AW72" s="604">
        <v>1</v>
      </c>
      <c r="AX72" s="604">
        <v>111</v>
      </c>
      <c r="AY72" s="606">
        <v>9</v>
      </c>
      <c r="AZ72" s="604" t="s">
        <v>420</v>
      </c>
      <c r="BB72" s="536" t="str">
        <f t="shared" si="18"/>
        <v>40+agebirthsTairawhiti</v>
      </c>
      <c r="BC72" s="604">
        <v>2016</v>
      </c>
      <c r="BD72" s="604" t="s">
        <v>134</v>
      </c>
      <c r="BE72" s="604" t="s">
        <v>453</v>
      </c>
      <c r="BF72" s="604" t="s">
        <v>433</v>
      </c>
      <c r="BG72" s="604">
        <v>20</v>
      </c>
      <c r="BH72" s="604" t="s">
        <v>445</v>
      </c>
      <c r="BR72" s="547" t="str">
        <f t="shared" si="19"/>
        <v>7-27 days32-36gest</v>
      </c>
      <c r="BS72" s="604">
        <v>2016</v>
      </c>
      <c r="BT72" s="604" t="s">
        <v>471</v>
      </c>
      <c r="BU72" s="604" t="s">
        <v>136</v>
      </c>
      <c r="BV72" s="604" t="s">
        <v>450</v>
      </c>
      <c r="BW72" s="604">
        <v>3</v>
      </c>
      <c r="BY72" s="553" t="str">
        <f t="shared" si="20"/>
        <v>2009UnknownageSIDS</v>
      </c>
      <c r="BZ72" s="604">
        <v>2009</v>
      </c>
      <c r="CA72" s="604" t="s">
        <v>63</v>
      </c>
      <c r="CB72" s="604" t="s">
        <v>453</v>
      </c>
      <c r="CC72" s="604">
        <v>0</v>
      </c>
      <c r="CD72" s="604" t="s">
        <v>32</v>
      </c>
      <c r="CF72" s="554" t="str">
        <f t="shared" si="21"/>
        <v>2016European or OtherAucklanddhbSIDS</v>
      </c>
      <c r="CG72" s="604">
        <v>2016</v>
      </c>
      <c r="CH72" s="604" t="s">
        <v>356</v>
      </c>
      <c r="CI72" s="604" t="s">
        <v>87</v>
      </c>
      <c r="CJ72" s="604" t="s">
        <v>448</v>
      </c>
      <c r="CK72" s="604">
        <v>0</v>
      </c>
      <c r="CL72" s="604" t="s">
        <v>32</v>
      </c>
      <c r="CN72" s="575" t="str">
        <f t="shared" si="22"/>
        <v>2015Q00–Q99fetal</v>
      </c>
      <c r="CO72" s="604">
        <v>2015</v>
      </c>
      <c r="CP72" s="604" t="s">
        <v>514</v>
      </c>
      <c r="CQ72" s="604">
        <v>96</v>
      </c>
      <c r="CR72" s="604">
        <v>25</v>
      </c>
      <c r="CS72" s="604">
        <v>1.54</v>
      </c>
      <c r="CT72" s="604" t="s">
        <v>420</v>
      </c>
      <c r="CV72" s="575"/>
    </row>
    <row r="73" spans="1:100">
      <c r="A73" s="502" t="str">
        <f t="shared" si="12"/>
        <v>2013deathsLate neonatal</v>
      </c>
      <c r="B73" s="604">
        <v>2013</v>
      </c>
      <c r="C73" s="604" t="s">
        <v>496</v>
      </c>
      <c r="D73" s="604" t="s">
        <v>42</v>
      </c>
      <c r="E73" s="604">
        <v>32</v>
      </c>
      <c r="F73" s="604">
        <v>59701</v>
      </c>
      <c r="G73" s="604" t="s">
        <v>119</v>
      </c>
      <c r="I73" s="578" t="str">
        <f t="shared" si="13"/>
        <v>2003age&lt;20Fetal</v>
      </c>
      <c r="J73" s="604">
        <v>2003</v>
      </c>
      <c r="K73" s="604" t="s">
        <v>453</v>
      </c>
      <c r="L73" s="604" t="s">
        <v>339</v>
      </c>
      <c r="M73" s="604">
        <v>36</v>
      </c>
      <c r="N73" s="604">
        <v>3831</v>
      </c>
      <c r="O73" s="604">
        <v>9.4</v>
      </c>
      <c r="P73" s="604" t="s">
        <v>47</v>
      </c>
      <c r="Q73" s="499"/>
      <c r="R73" s="502" t="str">
        <f t="shared" si="14"/>
        <v>2006birthsbwt&lt;500</v>
      </c>
      <c r="S73" s="604">
        <v>2006</v>
      </c>
      <c r="T73" s="604" t="s">
        <v>445</v>
      </c>
      <c r="U73" s="604" t="s">
        <v>447</v>
      </c>
      <c r="V73" s="604" t="s">
        <v>427</v>
      </c>
      <c r="W73" s="604">
        <v>52</v>
      </c>
      <c r="Y73" s="535" t="str">
        <f t="shared" si="15"/>
        <v>2016bwtageUnknown35-39fetal</v>
      </c>
      <c r="Z73" s="604">
        <v>2016</v>
      </c>
      <c r="AA73" s="604" t="s">
        <v>447</v>
      </c>
      <c r="AB73" s="604" t="s">
        <v>453</v>
      </c>
      <c r="AC73" s="604" t="s">
        <v>63</v>
      </c>
      <c r="AD73" s="604" t="s">
        <v>133</v>
      </c>
      <c r="AE73" s="604">
        <v>2</v>
      </c>
      <c r="AF73" s="604">
        <v>7</v>
      </c>
      <c r="AG73" s="604" t="s">
        <v>119</v>
      </c>
      <c r="AH73" s="604" t="s">
        <v>420</v>
      </c>
      <c r="AJ73" s="535" t="str">
        <f t="shared" si="16"/>
        <v>2016bwtageUnknown35-39</v>
      </c>
      <c r="AK73" s="604">
        <v>2016</v>
      </c>
      <c r="AL73" s="604" t="s">
        <v>447</v>
      </c>
      <c r="AM73" s="604" t="s">
        <v>453</v>
      </c>
      <c r="AN73" s="604" t="s">
        <v>63</v>
      </c>
      <c r="AO73" s="604" t="s">
        <v>133</v>
      </c>
      <c r="AP73" s="604">
        <v>7</v>
      </c>
      <c r="AR73" s="538" t="str">
        <f t="shared" si="17"/>
        <v>25-29agefetalMidCentral</v>
      </c>
      <c r="AS73" s="604">
        <v>2016</v>
      </c>
      <c r="AT73" s="604" t="s">
        <v>131</v>
      </c>
      <c r="AU73" s="604" t="s">
        <v>453</v>
      </c>
      <c r="AV73" s="604" t="s">
        <v>94</v>
      </c>
      <c r="AW73" s="604">
        <v>6</v>
      </c>
      <c r="AX73" s="604">
        <v>681</v>
      </c>
      <c r="AY73" s="606">
        <v>8.8000000000000007</v>
      </c>
      <c r="AZ73" s="604" t="s">
        <v>420</v>
      </c>
      <c r="BB73" s="536" t="str">
        <f t="shared" si="18"/>
        <v>&lt;20agebirthsHawke's Bay</v>
      </c>
      <c r="BC73" s="604">
        <v>2016</v>
      </c>
      <c r="BD73" s="604" t="s">
        <v>339</v>
      </c>
      <c r="BE73" s="604" t="s">
        <v>453</v>
      </c>
      <c r="BF73" s="604" t="s">
        <v>92</v>
      </c>
      <c r="BG73" s="604">
        <v>148</v>
      </c>
      <c r="BH73" s="604" t="s">
        <v>445</v>
      </c>
      <c r="BR73" s="547" t="str">
        <f t="shared" si="19"/>
        <v>7-27 days37-41gest</v>
      </c>
      <c r="BS73" s="604">
        <v>2016</v>
      </c>
      <c r="BT73" s="604" t="s">
        <v>471</v>
      </c>
      <c r="BU73" s="604" t="s">
        <v>137</v>
      </c>
      <c r="BV73" s="604" t="s">
        <v>450</v>
      </c>
      <c r="BW73" s="604">
        <v>13</v>
      </c>
      <c r="BY73" s="553" t="str">
        <f t="shared" si="20"/>
        <v>2010&lt;20ageSIDS</v>
      </c>
      <c r="BZ73" s="604">
        <v>2010</v>
      </c>
      <c r="CA73" s="604" t="s">
        <v>339</v>
      </c>
      <c r="CB73" s="604" t="s">
        <v>453</v>
      </c>
      <c r="CC73" s="604">
        <v>8</v>
      </c>
      <c r="CD73" s="604" t="s">
        <v>32</v>
      </c>
      <c r="CF73" s="554" t="str">
        <f t="shared" si="21"/>
        <v>2016MaoriAucklanddhbSIDS</v>
      </c>
      <c r="CG73" s="604">
        <v>2016</v>
      </c>
      <c r="CH73" s="604" t="s">
        <v>129</v>
      </c>
      <c r="CI73" s="604" t="s">
        <v>87</v>
      </c>
      <c r="CJ73" s="604" t="s">
        <v>448</v>
      </c>
      <c r="CK73" s="604">
        <v>0</v>
      </c>
      <c r="CL73" s="604" t="s">
        <v>32</v>
      </c>
      <c r="CN73" s="575" t="str">
        <f t="shared" si="22"/>
        <v>2015R00–R99fetal</v>
      </c>
      <c r="CO73" s="604">
        <v>2015</v>
      </c>
      <c r="CP73" s="604" t="s">
        <v>515</v>
      </c>
      <c r="CQ73" s="604">
        <v>0</v>
      </c>
      <c r="CR73" s="604">
        <v>0</v>
      </c>
      <c r="CS73" s="604">
        <v>0</v>
      </c>
      <c r="CT73" s="604" t="s">
        <v>420</v>
      </c>
      <c r="CV73" s="575"/>
    </row>
    <row r="74" spans="1:100">
      <c r="A74" s="502" t="str">
        <f t="shared" si="12"/>
        <v>2013deathsPost-neonatal</v>
      </c>
      <c r="B74" s="604">
        <v>2013</v>
      </c>
      <c r="C74" s="604" t="s">
        <v>496</v>
      </c>
      <c r="D74" s="604" t="s">
        <v>43</v>
      </c>
      <c r="E74" s="604">
        <v>98</v>
      </c>
      <c r="F74" s="604">
        <v>59701</v>
      </c>
      <c r="G74" s="604">
        <v>1.6</v>
      </c>
      <c r="I74" s="578" t="str">
        <f t="shared" si="13"/>
        <v>2003age20-24Fetal</v>
      </c>
      <c r="J74" s="604">
        <v>2003</v>
      </c>
      <c r="K74" s="604" t="s">
        <v>453</v>
      </c>
      <c r="L74" s="604" t="s">
        <v>130</v>
      </c>
      <c r="M74" s="604">
        <v>78</v>
      </c>
      <c r="N74" s="604">
        <v>9626</v>
      </c>
      <c r="O74" s="604">
        <v>8.1</v>
      </c>
      <c r="P74" s="604" t="s">
        <v>47</v>
      </c>
      <c r="Q74" s="499"/>
      <c r="R74" s="502" t="str">
        <f t="shared" si="14"/>
        <v>2006birthsbwt500-999</v>
      </c>
      <c r="S74" s="604">
        <v>2006</v>
      </c>
      <c r="T74" s="604" t="s">
        <v>445</v>
      </c>
      <c r="U74" s="604" t="s">
        <v>447</v>
      </c>
      <c r="V74" s="604" t="s">
        <v>428</v>
      </c>
      <c r="W74" s="604">
        <v>194</v>
      </c>
      <c r="Y74" s="535" t="str">
        <f t="shared" si="15"/>
        <v>2016bwtage&lt;50040+fetal</v>
      </c>
      <c r="Z74" s="604">
        <v>2016</v>
      </c>
      <c r="AA74" s="604" t="s">
        <v>447</v>
      </c>
      <c r="AB74" s="604" t="s">
        <v>453</v>
      </c>
      <c r="AC74" s="604" t="s">
        <v>427</v>
      </c>
      <c r="AD74" s="604" t="s">
        <v>134</v>
      </c>
      <c r="AE74" s="604">
        <v>4</v>
      </c>
      <c r="AF74" s="604">
        <v>1</v>
      </c>
      <c r="AG74" s="604" t="s">
        <v>119</v>
      </c>
      <c r="AH74" s="604" t="s">
        <v>420</v>
      </c>
      <c r="AJ74" s="535" t="str">
        <f t="shared" si="16"/>
        <v>2016bwtage&lt;50040+</v>
      </c>
      <c r="AK74" s="604">
        <v>2016</v>
      </c>
      <c r="AL74" s="604" t="s">
        <v>447</v>
      </c>
      <c r="AM74" s="604" t="s">
        <v>453</v>
      </c>
      <c r="AN74" s="604" t="s">
        <v>427</v>
      </c>
      <c r="AO74" s="604" t="s">
        <v>134</v>
      </c>
      <c r="AP74" s="604">
        <v>1</v>
      </c>
      <c r="AR74" s="538" t="str">
        <f t="shared" si="17"/>
        <v>30-34agefetalMidCentral</v>
      </c>
      <c r="AS74" s="604">
        <v>2016</v>
      </c>
      <c r="AT74" s="604" t="s">
        <v>132</v>
      </c>
      <c r="AU74" s="604" t="s">
        <v>453</v>
      </c>
      <c r="AV74" s="604" t="s">
        <v>94</v>
      </c>
      <c r="AW74" s="604">
        <v>2</v>
      </c>
      <c r="AX74" s="604">
        <v>566</v>
      </c>
      <c r="AY74" s="606">
        <v>3.5</v>
      </c>
      <c r="AZ74" s="604" t="s">
        <v>420</v>
      </c>
      <c r="BB74" s="536" t="str">
        <f t="shared" si="18"/>
        <v>20-24agebirthsHawke's Bay</v>
      </c>
      <c r="BC74" s="604">
        <v>2016</v>
      </c>
      <c r="BD74" s="604" t="s">
        <v>130</v>
      </c>
      <c r="BE74" s="604" t="s">
        <v>453</v>
      </c>
      <c r="BF74" s="604" t="s">
        <v>92</v>
      </c>
      <c r="BG74" s="604">
        <v>472</v>
      </c>
      <c r="BH74" s="604" t="s">
        <v>445</v>
      </c>
      <c r="BR74" s="547" t="str">
        <f t="shared" si="19"/>
        <v>7-27 daysUnknowngest</v>
      </c>
      <c r="BS74" s="604">
        <v>2016</v>
      </c>
      <c r="BT74" s="604" t="s">
        <v>471</v>
      </c>
      <c r="BU74" s="604" t="s">
        <v>63</v>
      </c>
      <c r="BV74" s="604" t="s">
        <v>450</v>
      </c>
      <c r="BW74" s="604">
        <v>1</v>
      </c>
      <c r="BY74" s="553" t="str">
        <f t="shared" si="20"/>
        <v>201020-24ageSIDS</v>
      </c>
      <c r="BZ74" s="604">
        <v>2010</v>
      </c>
      <c r="CA74" s="604" t="s">
        <v>130</v>
      </c>
      <c r="CB74" s="604" t="s">
        <v>453</v>
      </c>
      <c r="CC74" s="604">
        <v>9</v>
      </c>
      <c r="CD74" s="604" t="s">
        <v>32</v>
      </c>
      <c r="CF74" s="554" t="str">
        <f t="shared" si="21"/>
        <v>2016Pacific peoplesAucklanddhbSIDS</v>
      </c>
      <c r="CG74" s="604">
        <v>2016</v>
      </c>
      <c r="CH74" s="604" t="s">
        <v>320</v>
      </c>
      <c r="CI74" s="604" t="s">
        <v>87</v>
      </c>
      <c r="CJ74" s="604" t="s">
        <v>448</v>
      </c>
      <c r="CK74" s="604">
        <v>0</v>
      </c>
      <c r="CL74" s="604" t="s">
        <v>32</v>
      </c>
      <c r="CN74" s="575" t="str">
        <f t="shared" si="22"/>
        <v>2015V00–Y98fetal</v>
      </c>
      <c r="CO74" s="604">
        <v>2015</v>
      </c>
      <c r="CP74" s="604" t="s">
        <v>523</v>
      </c>
      <c r="CQ74" s="604">
        <v>0</v>
      </c>
      <c r="CR74" s="604">
        <v>0</v>
      </c>
      <c r="CS74" s="604">
        <v>0</v>
      </c>
      <c r="CT74" s="604" t="s">
        <v>420</v>
      </c>
      <c r="CV74" s="575"/>
    </row>
    <row r="75" spans="1:100">
      <c r="A75" s="502" t="str">
        <f t="shared" si="12"/>
        <v>2014deathsFetal</v>
      </c>
      <c r="B75" s="604">
        <v>2014</v>
      </c>
      <c r="C75" s="604" t="s">
        <v>496</v>
      </c>
      <c r="D75" s="604" t="s">
        <v>47</v>
      </c>
      <c r="E75" s="604">
        <v>447</v>
      </c>
      <c r="F75" s="604">
        <v>58732</v>
      </c>
      <c r="G75" s="604">
        <v>7.6</v>
      </c>
      <c r="I75" s="578" t="str">
        <f t="shared" si="13"/>
        <v>2003age25-29Fetal</v>
      </c>
      <c r="J75" s="604">
        <v>2003</v>
      </c>
      <c r="K75" s="604" t="s">
        <v>453</v>
      </c>
      <c r="L75" s="604" t="s">
        <v>131</v>
      </c>
      <c r="M75" s="604">
        <v>95</v>
      </c>
      <c r="N75" s="604">
        <v>14199</v>
      </c>
      <c r="O75" s="604">
        <v>6.7</v>
      </c>
      <c r="P75" s="604" t="s">
        <v>47</v>
      </c>
      <c r="Q75" s="499"/>
      <c r="R75" s="502" t="str">
        <f t="shared" si="14"/>
        <v>2006birthsbwt1000-1499</v>
      </c>
      <c r="S75" s="604">
        <v>2006</v>
      </c>
      <c r="T75" s="604" t="s">
        <v>445</v>
      </c>
      <c r="U75" s="604" t="s">
        <v>447</v>
      </c>
      <c r="V75" s="604" t="s">
        <v>429</v>
      </c>
      <c r="W75" s="604">
        <v>388</v>
      </c>
      <c r="Y75" s="535" t="str">
        <f t="shared" si="15"/>
        <v>2016bwtage500-99940+fetal</v>
      </c>
      <c r="Z75" s="604">
        <v>2016</v>
      </c>
      <c r="AA75" s="604" t="s">
        <v>447</v>
      </c>
      <c r="AB75" s="604" t="s">
        <v>453</v>
      </c>
      <c r="AC75" s="604" t="s">
        <v>428</v>
      </c>
      <c r="AD75" s="604" t="s">
        <v>134</v>
      </c>
      <c r="AE75" s="604">
        <v>6</v>
      </c>
      <c r="AF75" s="604">
        <v>14</v>
      </c>
      <c r="AG75" s="604">
        <v>300</v>
      </c>
      <c r="AH75" s="604" t="s">
        <v>420</v>
      </c>
      <c r="AJ75" s="535" t="str">
        <f t="shared" si="16"/>
        <v>2016bwtage500-99940+</v>
      </c>
      <c r="AK75" s="604">
        <v>2016</v>
      </c>
      <c r="AL75" s="604" t="s">
        <v>447</v>
      </c>
      <c r="AM75" s="604" t="s">
        <v>453</v>
      </c>
      <c r="AN75" s="604" t="s">
        <v>428</v>
      </c>
      <c r="AO75" s="604" t="s">
        <v>134</v>
      </c>
      <c r="AP75" s="604">
        <v>14</v>
      </c>
      <c r="AR75" s="538" t="str">
        <f t="shared" si="17"/>
        <v>35-39agefetalMidCentral</v>
      </c>
      <c r="AS75" s="604">
        <v>2016</v>
      </c>
      <c r="AT75" s="604" t="s">
        <v>133</v>
      </c>
      <c r="AU75" s="604" t="s">
        <v>453</v>
      </c>
      <c r="AV75" s="604" t="s">
        <v>94</v>
      </c>
      <c r="AW75" s="604">
        <v>2</v>
      </c>
      <c r="AX75" s="604">
        <v>282</v>
      </c>
      <c r="AY75" s="606">
        <v>7.1</v>
      </c>
      <c r="AZ75" s="604" t="s">
        <v>420</v>
      </c>
      <c r="BB75" s="536" t="str">
        <f t="shared" si="18"/>
        <v>25-29agebirthsHawke's Bay</v>
      </c>
      <c r="BC75" s="604">
        <v>2016</v>
      </c>
      <c r="BD75" s="604" t="s">
        <v>131</v>
      </c>
      <c r="BE75" s="604" t="s">
        <v>453</v>
      </c>
      <c r="BF75" s="604" t="s">
        <v>92</v>
      </c>
      <c r="BG75" s="604">
        <v>593</v>
      </c>
      <c r="BH75" s="604" t="s">
        <v>445</v>
      </c>
      <c r="BR75" s="547" t="str">
        <f t="shared" si="19"/>
        <v>&lt;1 day&lt;500bwt</v>
      </c>
      <c r="BS75" s="604">
        <v>2016</v>
      </c>
      <c r="BT75" s="604" t="s">
        <v>469</v>
      </c>
      <c r="BU75" s="604" t="s">
        <v>427</v>
      </c>
      <c r="BV75" s="604" t="s">
        <v>447</v>
      </c>
      <c r="BW75" s="604">
        <v>36</v>
      </c>
      <c r="BY75" s="553" t="str">
        <f t="shared" si="20"/>
        <v>201025-29ageSIDS</v>
      </c>
      <c r="BZ75" s="604">
        <v>2010</v>
      </c>
      <c r="CA75" s="604" t="s">
        <v>131</v>
      </c>
      <c r="CB75" s="604" t="s">
        <v>453</v>
      </c>
      <c r="CC75" s="604">
        <v>6</v>
      </c>
      <c r="CD75" s="604" t="s">
        <v>32</v>
      </c>
      <c r="CF75" s="554" t="str">
        <f t="shared" si="21"/>
        <v>2016AsianCounties ManukaudhbSIDS</v>
      </c>
      <c r="CG75" s="604">
        <v>2016</v>
      </c>
      <c r="CH75" s="604" t="s">
        <v>355</v>
      </c>
      <c r="CI75" s="604" t="s">
        <v>88</v>
      </c>
      <c r="CJ75" s="604" t="s">
        <v>448</v>
      </c>
      <c r="CK75" s="604">
        <v>1</v>
      </c>
      <c r="CL75" s="604" t="s">
        <v>32</v>
      </c>
      <c r="CN75" s="575" t="str">
        <f t="shared" si="22"/>
        <v>2012AllChptrsfetal</v>
      </c>
      <c r="CO75" s="604">
        <v>2012</v>
      </c>
      <c r="CP75" s="604" t="s">
        <v>518</v>
      </c>
      <c r="CQ75" s="604">
        <v>448</v>
      </c>
      <c r="CR75" s="604">
        <v>100</v>
      </c>
      <c r="CS75" s="604">
        <v>7.17</v>
      </c>
      <c r="CT75" s="604" t="s">
        <v>420</v>
      </c>
      <c r="CV75" s="575"/>
    </row>
    <row r="76" spans="1:100">
      <c r="A76" s="502" t="str">
        <f t="shared" si="12"/>
        <v>2014deathsEarly neonatal</v>
      </c>
      <c r="B76" s="604">
        <v>2014</v>
      </c>
      <c r="C76" s="604" t="s">
        <v>496</v>
      </c>
      <c r="D76" s="604" t="s">
        <v>41</v>
      </c>
      <c r="E76" s="604">
        <v>208</v>
      </c>
      <c r="F76" s="604">
        <v>58285</v>
      </c>
      <c r="G76" s="604" t="s">
        <v>119</v>
      </c>
      <c r="I76" s="578" t="str">
        <f t="shared" si="13"/>
        <v>2003age30-34Fetal</v>
      </c>
      <c r="J76" s="604">
        <v>2003</v>
      </c>
      <c r="K76" s="604" t="s">
        <v>453</v>
      </c>
      <c r="L76" s="604" t="s">
        <v>132</v>
      </c>
      <c r="M76" s="604">
        <v>97</v>
      </c>
      <c r="N76" s="604">
        <v>17761</v>
      </c>
      <c r="O76" s="604">
        <v>5.5</v>
      </c>
      <c r="P76" s="604" t="s">
        <v>47</v>
      </c>
      <c r="Q76" s="499"/>
      <c r="R76" s="502" t="str">
        <f t="shared" si="14"/>
        <v>2006birthsbwt1500-2499</v>
      </c>
      <c r="S76" s="604">
        <v>2006</v>
      </c>
      <c r="T76" s="604" t="s">
        <v>445</v>
      </c>
      <c r="U76" s="604" t="s">
        <v>447</v>
      </c>
      <c r="V76" s="604" t="s">
        <v>430</v>
      </c>
      <c r="W76" s="604">
        <v>2871</v>
      </c>
      <c r="Y76" s="535" t="str">
        <f t="shared" si="15"/>
        <v>2016bwtage1000-149940+fetal</v>
      </c>
      <c r="Z76" s="604">
        <v>2016</v>
      </c>
      <c r="AA76" s="604" t="s">
        <v>447</v>
      </c>
      <c r="AB76" s="604" t="s">
        <v>453</v>
      </c>
      <c r="AC76" s="604" t="s">
        <v>429</v>
      </c>
      <c r="AD76" s="604" t="s">
        <v>134</v>
      </c>
      <c r="AE76" s="604">
        <v>0</v>
      </c>
      <c r="AF76" s="604">
        <v>16</v>
      </c>
      <c r="AG76" s="604">
        <v>0</v>
      </c>
      <c r="AH76" s="604" t="s">
        <v>420</v>
      </c>
      <c r="AJ76" s="535" t="str">
        <f t="shared" si="16"/>
        <v>2016bwtage1000-149940+</v>
      </c>
      <c r="AK76" s="604">
        <v>2016</v>
      </c>
      <c r="AL76" s="604" t="s">
        <v>447</v>
      </c>
      <c r="AM76" s="604" t="s">
        <v>453</v>
      </c>
      <c r="AN76" s="604" t="s">
        <v>429</v>
      </c>
      <c r="AO76" s="604" t="s">
        <v>134</v>
      </c>
      <c r="AP76" s="604">
        <v>16</v>
      </c>
      <c r="AR76" s="538" t="str">
        <f t="shared" si="17"/>
        <v>&lt;20agefetalWhanganui</v>
      </c>
      <c r="AS76" s="604">
        <v>2016</v>
      </c>
      <c r="AT76" s="604" t="s">
        <v>339</v>
      </c>
      <c r="AU76" s="604" t="s">
        <v>453</v>
      </c>
      <c r="AV76" s="604" t="s">
        <v>95</v>
      </c>
      <c r="AW76" s="604">
        <v>1</v>
      </c>
      <c r="AX76" s="604">
        <v>60</v>
      </c>
      <c r="AY76" s="606">
        <v>16.7</v>
      </c>
      <c r="AZ76" s="604" t="s">
        <v>420</v>
      </c>
      <c r="BB76" s="536" t="str">
        <f t="shared" si="18"/>
        <v>30-34agebirthsHawke's Bay</v>
      </c>
      <c r="BC76" s="604">
        <v>2016</v>
      </c>
      <c r="BD76" s="604" t="s">
        <v>132</v>
      </c>
      <c r="BE76" s="604" t="s">
        <v>453</v>
      </c>
      <c r="BF76" s="604" t="s">
        <v>92</v>
      </c>
      <c r="BG76" s="604">
        <v>559</v>
      </c>
      <c r="BH76" s="604" t="s">
        <v>445</v>
      </c>
      <c r="BR76" s="547" t="str">
        <f t="shared" si="19"/>
        <v>&lt;1 day500-999bwt</v>
      </c>
      <c r="BS76" s="604">
        <v>2016</v>
      </c>
      <c r="BT76" s="604" t="s">
        <v>469</v>
      </c>
      <c r="BU76" s="604" t="s">
        <v>428</v>
      </c>
      <c r="BV76" s="604" t="s">
        <v>447</v>
      </c>
      <c r="BW76" s="604">
        <v>34</v>
      </c>
      <c r="BY76" s="553" t="str">
        <f t="shared" si="20"/>
        <v>201030-34ageSIDS</v>
      </c>
      <c r="BZ76" s="604">
        <v>2010</v>
      </c>
      <c r="CA76" s="604" t="s">
        <v>132</v>
      </c>
      <c r="CB76" s="604" t="s">
        <v>453</v>
      </c>
      <c r="CC76" s="604">
        <v>1</v>
      </c>
      <c r="CD76" s="604" t="s">
        <v>32</v>
      </c>
      <c r="CF76" s="554" t="str">
        <f t="shared" si="21"/>
        <v>2016European or OtherCounties ManukaudhbSIDS</v>
      </c>
      <c r="CG76" s="604">
        <v>2016</v>
      </c>
      <c r="CH76" s="604" t="s">
        <v>356</v>
      </c>
      <c r="CI76" s="604" t="s">
        <v>88</v>
      </c>
      <c r="CJ76" s="604" t="s">
        <v>448</v>
      </c>
      <c r="CK76" s="604">
        <v>0</v>
      </c>
      <c r="CL76" s="604" t="s">
        <v>32</v>
      </c>
      <c r="CN76" s="575" t="str">
        <f t="shared" si="22"/>
        <v>2013AllChptrsfetal</v>
      </c>
      <c r="CO76" s="604">
        <v>2013</v>
      </c>
      <c r="CP76" s="604" t="s">
        <v>518</v>
      </c>
      <c r="CQ76" s="604">
        <v>393</v>
      </c>
      <c r="CR76" s="604">
        <v>100</v>
      </c>
      <c r="CS76" s="604">
        <v>6.54</v>
      </c>
      <c r="CT76" s="604" t="s">
        <v>420</v>
      </c>
      <c r="CV76" s="575"/>
    </row>
    <row r="77" spans="1:100">
      <c r="A77" s="502" t="str">
        <f t="shared" si="12"/>
        <v>2014deathsLate neonatal</v>
      </c>
      <c r="B77" s="604">
        <v>2014</v>
      </c>
      <c r="C77" s="604" t="s">
        <v>496</v>
      </c>
      <c r="D77" s="604" t="s">
        <v>42</v>
      </c>
      <c r="E77" s="604">
        <v>32</v>
      </c>
      <c r="F77" s="604">
        <v>58285</v>
      </c>
      <c r="G77" s="604" t="s">
        <v>119</v>
      </c>
      <c r="I77" s="578" t="str">
        <f t="shared" si="13"/>
        <v>2003age35-39Fetal</v>
      </c>
      <c r="J77" s="604">
        <v>2003</v>
      </c>
      <c r="K77" s="604" t="s">
        <v>453</v>
      </c>
      <c r="L77" s="604" t="s">
        <v>133</v>
      </c>
      <c r="M77" s="604">
        <v>67</v>
      </c>
      <c r="N77" s="604">
        <v>9451</v>
      </c>
      <c r="O77" s="604">
        <v>7.1</v>
      </c>
      <c r="P77" s="604" t="s">
        <v>47</v>
      </c>
      <c r="Q77" s="499"/>
      <c r="R77" s="502" t="str">
        <f t="shared" si="14"/>
        <v>2006birthsbwt2500-4499</v>
      </c>
      <c r="S77" s="604">
        <v>2006</v>
      </c>
      <c r="T77" s="604" t="s">
        <v>445</v>
      </c>
      <c r="U77" s="604" t="s">
        <v>447</v>
      </c>
      <c r="V77" s="604" t="s">
        <v>431</v>
      </c>
      <c r="W77" s="604">
        <v>55053</v>
      </c>
      <c r="Y77" s="535" t="str">
        <f t="shared" si="15"/>
        <v>2016bwtage1500-249940+fetal</v>
      </c>
      <c r="Z77" s="604">
        <v>2016</v>
      </c>
      <c r="AA77" s="604" t="s">
        <v>447</v>
      </c>
      <c r="AB77" s="604" t="s">
        <v>453</v>
      </c>
      <c r="AC77" s="604" t="s">
        <v>430</v>
      </c>
      <c r="AD77" s="604" t="s">
        <v>134</v>
      </c>
      <c r="AE77" s="604">
        <v>1</v>
      </c>
      <c r="AF77" s="604">
        <v>165</v>
      </c>
      <c r="AG77" s="604">
        <v>6</v>
      </c>
      <c r="AH77" s="604" t="s">
        <v>420</v>
      </c>
      <c r="AJ77" s="535" t="str">
        <f t="shared" si="16"/>
        <v>2016bwtage1500-249940+</v>
      </c>
      <c r="AK77" s="604">
        <v>2016</v>
      </c>
      <c r="AL77" s="604" t="s">
        <v>447</v>
      </c>
      <c r="AM77" s="604" t="s">
        <v>453</v>
      </c>
      <c r="AN77" s="604" t="s">
        <v>430</v>
      </c>
      <c r="AO77" s="604" t="s">
        <v>134</v>
      </c>
      <c r="AP77" s="604">
        <v>165</v>
      </c>
      <c r="AR77" s="538" t="str">
        <f t="shared" si="17"/>
        <v>20-24agefetalWhanganui</v>
      </c>
      <c r="AS77" s="604">
        <v>2016</v>
      </c>
      <c r="AT77" s="604" t="s">
        <v>130</v>
      </c>
      <c r="AU77" s="604" t="s">
        <v>453</v>
      </c>
      <c r="AV77" s="604" t="s">
        <v>95</v>
      </c>
      <c r="AW77" s="604">
        <v>2</v>
      </c>
      <c r="AX77" s="604">
        <v>209</v>
      </c>
      <c r="AY77" s="606">
        <v>9.6</v>
      </c>
      <c r="AZ77" s="604" t="s">
        <v>420</v>
      </c>
      <c r="BB77" s="536" t="str">
        <f t="shared" si="18"/>
        <v>35-39agebirthsHawke's Bay</v>
      </c>
      <c r="BC77" s="604">
        <v>2016</v>
      </c>
      <c r="BD77" s="604" t="s">
        <v>133</v>
      </c>
      <c r="BE77" s="604" t="s">
        <v>453</v>
      </c>
      <c r="BF77" s="604" t="s">
        <v>92</v>
      </c>
      <c r="BG77" s="604">
        <v>274</v>
      </c>
      <c r="BH77" s="604" t="s">
        <v>445</v>
      </c>
      <c r="BR77" s="547" t="str">
        <f t="shared" si="19"/>
        <v>&lt;1 day1000-1499bwt</v>
      </c>
      <c r="BS77" s="604">
        <v>2016</v>
      </c>
      <c r="BT77" s="604" t="s">
        <v>469</v>
      </c>
      <c r="BU77" s="604" t="s">
        <v>429</v>
      </c>
      <c r="BV77" s="604" t="s">
        <v>447</v>
      </c>
      <c r="BW77" s="604">
        <v>2</v>
      </c>
      <c r="BY77" s="553" t="str">
        <f t="shared" si="20"/>
        <v>201035-39ageSIDS</v>
      </c>
      <c r="BZ77" s="604">
        <v>2010</v>
      </c>
      <c r="CA77" s="604" t="s">
        <v>133</v>
      </c>
      <c r="CB77" s="604" t="s">
        <v>453</v>
      </c>
      <c r="CC77" s="604">
        <v>2</v>
      </c>
      <c r="CD77" s="604" t="s">
        <v>32</v>
      </c>
      <c r="CF77" s="554" t="str">
        <f t="shared" si="21"/>
        <v>2016MaoriCounties ManukaudhbSIDS</v>
      </c>
      <c r="CG77" s="604">
        <v>2016</v>
      </c>
      <c r="CH77" s="604" t="s">
        <v>129</v>
      </c>
      <c r="CI77" s="604" t="s">
        <v>88</v>
      </c>
      <c r="CJ77" s="604" t="s">
        <v>448</v>
      </c>
      <c r="CK77" s="604">
        <v>1</v>
      </c>
      <c r="CL77" s="604" t="s">
        <v>32</v>
      </c>
      <c r="CN77" s="575" t="str">
        <f t="shared" si="22"/>
        <v>2014AllChptrsfetal</v>
      </c>
      <c r="CO77" s="604">
        <v>2014</v>
      </c>
      <c r="CP77" s="604" t="s">
        <v>518</v>
      </c>
      <c r="CQ77" s="604">
        <v>447</v>
      </c>
      <c r="CR77" s="604">
        <v>100</v>
      </c>
      <c r="CS77" s="604">
        <v>7.61</v>
      </c>
      <c r="CT77" s="604" t="s">
        <v>420</v>
      </c>
      <c r="CV77" s="575"/>
    </row>
    <row r="78" spans="1:100">
      <c r="A78" s="502" t="str">
        <f t="shared" si="12"/>
        <v>2014deathsPost-neonatal</v>
      </c>
      <c r="B78" s="604">
        <v>2014</v>
      </c>
      <c r="C78" s="604" t="s">
        <v>496</v>
      </c>
      <c r="D78" s="604" t="s">
        <v>43</v>
      </c>
      <c r="E78" s="604">
        <v>93</v>
      </c>
      <c r="F78" s="604">
        <v>58285</v>
      </c>
      <c r="G78" s="604">
        <v>1.6</v>
      </c>
      <c r="I78" s="578" t="str">
        <f t="shared" si="13"/>
        <v>2003age40+Fetal</v>
      </c>
      <c r="J78" s="604">
        <v>2003</v>
      </c>
      <c r="K78" s="604" t="s">
        <v>453</v>
      </c>
      <c r="L78" s="604" t="s">
        <v>134</v>
      </c>
      <c r="M78" s="604">
        <v>20</v>
      </c>
      <c r="N78" s="604">
        <v>2101</v>
      </c>
      <c r="O78" s="604">
        <v>9.5</v>
      </c>
      <c r="P78" s="604" t="s">
        <v>47</v>
      </c>
      <c r="Q78" s="499"/>
      <c r="R78" s="502" t="str">
        <f t="shared" si="14"/>
        <v>2006birthsbwt4500+</v>
      </c>
      <c r="S78" s="604">
        <v>2006</v>
      </c>
      <c r="T78" s="604" t="s">
        <v>445</v>
      </c>
      <c r="U78" s="604" t="s">
        <v>447</v>
      </c>
      <c r="V78" s="604" t="s">
        <v>432</v>
      </c>
      <c r="W78" s="604">
        <v>1645</v>
      </c>
      <c r="Y78" s="535" t="str">
        <f t="shared" si="15"/>
        <v>2016bwtage2500-449940+fetal</v>
      </c>
      <c r="Z78" s="604">
        <v>2016</v>
      </c>
      <c r="AA78" s="604" t="s">
        <v>447</v>
      </c>
      <c r="AB78" s="604" t="s">
        <v>453</v>
      </c>
      <c r="AC78" s="604" t="s">
        <v>431</v>
      </c>
      <c r="AD78" s="604" t="s">
        <v>134</v>
      </c>
      <c r="AE78" s="604">
        <v>3</v>
      </c>
      <c r="AF78" s="604">
        <v>2190</v>
      </c>
      <c r="AG78" s="604">
        <v>1.4</v>
      </c>
      <c r="AH78" s="604" t="s">
        <v>420</v>
      </c>
      <c r="AJ78" s="535" t="str">
        <f t="shared" si="16"/>
        <v>2016bwtage2500-449940+</v>
      </c>
      <c r="AK78" s="604">
        <v>2016</v>
      </c>
      <c r="AL78" s="604" t="s">
        <v>447</v>
      </c>
      <c r="AM78" s="604" t="s">
        <v>453</v>
      </c>
      <c r="AN78" s="604" t="s">
        <v>431</v>
      </c>
      <c r="AO78" s="604" t="s">
        <v>134</v>
      </c>
      <c r="AP78" s="604">
        <v>2190</v>
      </c>
      <c r="AR78" s="538" t="str">
        <f t="shared" si="17"/>
        <v>30-34agefetalWhanganui</v>
      </c>
      <c r="AS78" s="604">
        <v>2016</v>
      </c>
      <c r="AT78" s="604" t="s">
        <v>132</v>
      </c>
      <c r="AU78" s="604" t="s">
        <v>453</v>
      </c>
      <c r="AV78" s="604" t="s">
        <v>95</v>
      </c>
      <c r="AW78" s="604">
        <v>1</v>
      </c>
      <c r="AX78" s="604">
        <v>195</v>
      </c>
      <c r="AY78" s="606">
        <v>5.0999999999999996</v>
      </c>
      <c r="AZ78" s="604" t="s">
        <v>420</v>
      </c>
      <c r="BB78" s="536" t="str">
        <f t="shared" si="18"/>
        <v>40+agebirthsHawke's Bay</v>
      </c>
      <c r="BC78" s="604">
        <v>2016</v>
      </c>
      <c r="BD78" s="604" t="s">
        <v>134</v>
      </c>
      <c r="BE78" s="604" t="s">
        <v>453</v>
      </c>
      <c r="BF78" s="604" t="s">
        <v>92</v>
      </c>
      <c r="BG78" s="604">
        <v>52</v>
      </c>
      <c r="BH78" s="604" t="s">
        <v>445</v>
      </c>
      <c r="BR78" s="547" t="str">
        <f t="shared" si="19"/>
        <v>&lt;1 day1500-2499bwt</v>
      </c>
      <c r="BS78" s="604">
        <v>2016</v>
      </c>
      <c r="BT78" s="604" t="s">
        <v>469</v>
      </c>
      <c r="BU78" s="604" t="s">
        <v>430</v>
      </c>
      <c r="BV78" s="604" t="s">
        <v>447</v>
      </c>
      <c r="BW78" s="604">
        <v>12</v>
      </c>
      <c r="BY78" s="553" t="str">
        <f t="shared" si="20"/>
        <v>201040+ageSIDS</v>
      </c>
      <c r="BZ78" s="604">
        <v>2010</v>
      </c>
      <c r="CA78" s="604" t="s">
        <v>134</v>
      </c>
      <c r="CB78" s="604" t="s">
        <v>453</v>
      </c>
      <c r="CC78" s="604">
        <v>1</v>
      </c>
      <c r="CD78" s="604" t="s">
        <v>32</v>
      </c>
      <c r="CF78" s="554" t="str">
        <f t="shared" si="21"/>
        <v>2016Pacific peoplesCounties ManukaudhbSIDS</v>
      </c>
      <c r="CG78" s="604">
        <v>2016</v>
      </c>
      <c r="CH78" s="604" t="s">
        <v>320</v>
      </c>
      <c r="CI78" s="604" t="s">
        <v>88</v>
      </c>
      <c r="CJ78" s="604" t="s">
        <v>448</v>
      </c>
      <c r="CK78" s="604">
        <v>2</v>
      </c>
      <c r="CL78" s="604" t="s">
        <v>32</v>
      </c>
      <c r="CN78" s="575" t="str">
        <f t="shared" si="22"/>
        <v>2015AllChptrsfetal</v>
      </c>
      <c r="CO78" s="604">
        <v>2015</v>
      </c>
      <c r="CP78" s="604" t="s">
        <v>518</v>
      </c>
      <c r="CQ78" s="604">
        <v>384</v>
      </c>
      <c r="CR78" s="604">
        <v>100</v>
      </c>
      <c r="CS78" s="604">
        <v>6.14</v>
      </c>
      <c r="CT78" s="604" t="s">
        <v>420</v>
      </c>
      <c r="CV78" s="575"/>
    </row>
    <row r="79" spans="1:100">
      <c r="A79" s="502" t="str">
        <f t="shared" si="12"/>
        <v>2015deathsFetal</v>
      </c>
      <c r="B79" s="604">
        <v>2015</v>
      </c>
      <c r="C79" s="604" t="s">
        <v>496</v>
      </c>
      <c r="D79" s="604" t="s">
        <v>47</v>
      </c>
      <c r="E79" s="604">
        <v>384</v>
      </c>
      <c r="F79" s="604">
        <v>62506</v>
      </c>
      <c r="G79" s="604">
        <v>6.1</v>
      </c>
      <c r="I79" s="578" t="str">
        <f t="shared" si="13"/>
        <v>2003ageUnknownFetal</v>
      </c>
      <c r="J79" s="604">
        <v>2003</v>
      </c>
      <c r="K79" s="604" t="s">
        <v>453</v>
      </c>
      <c r="L79" s="604" t="s">
        <v>63</v>
      </c>
      <c r="M79" s="604">
        <v>0</v>
      </c>
      <c r="N79" s="604">
        <v>0</v>
      </c>
      <c r="O79" s="604" t="s">
        <v>119</v>
      </c>
      <c r="P79" s="604" t="s">
        <v>47</v>
      </c>
      <c r="Q79" s="499"/>
      <c r="R79" s="502" t="str">
        <f t="shared" si="14"/>
        <v>2006birthsbwtUnknown</v>
      </c>
      <c r="S79" s="604">
        <v>2006</v>
      </c>
      <c r="T79" s="604" t="s">
        <v>445</v>
      </c>
      <c r="U79" s="604" t="s">
        <v>447</v>
      </c>
      <c r="V79" s="604" t="s">
        <v>63</v>
      </c>
      <c r="W79" s="604">
        <v>71</v>
      </c>
      <c r="Y79" s="535" t="str">
        <f t="shared" si="15"/>
        <v>2016bwtage4500+40+fetal</v>
      </c>
      <c r="Z79" s="604">
        <v>2016</v>
      </c>
      <c r="AA79" s="604" t="s">
        <v>447</v>
      </c>
      <c r="AB79" s="604" t="s">
        <v>453</v>
      </c>
      <c r="AC79" s="604" t="s">
        <v>432</v>
      </c>
      <c r="AD79" s="604" t="s">
        <v>134</v>
      </c>
      <c r="AE79" s="604">
        <v>0</v>
      </c>
      <c r="AF79" s="604">
        <v>65</v>
      </c>
      <c r="AG79" s="604">
        <v>0</v>
      </c>
      <c r="AH79" s="604" t="s">
        <v>420</v>
      </c>
      <c r="AJ79" s="535" t="str">
        <f t="shared" si="16"/>
        <v>2016bwtage4500+40+</v>
      </c>
      <c r="AK79" s="604">
        <v>2016</v>
      </c>
      <c r="AL79" s="604" t="s">
        <v>447</v>
      </c>
      <c r="AM79" s="604" t="s">
        <v>453</v>
      </c>
      <c r="AN79" s="604" t="s">
        <v>432</v>
      </c>
      <c r="AO79" s="604" t="s">
        <v>134</v>
      </c>
      <c r="AP79" s="604">
        <v>65</v>
      </c>
      <c r="AR79" s="538" t="str">
        <f t="shared" si="17"/>
        <v>20-24agefetalCapital &amp; Coast</v>
      </c>
      <c r="AS79" s="604">
        <v>2016</v>
      </c>
      <c r="AT79" s="604" t="s">
        <v>130</v>
      </c>
      <c r="AU79" s="604" t="s">
        <v>453</v>
      </c>
      <c r="AV79" s="604" t="s">
        <v>96</v>
      </c>
      <c r="AW79" s="604">
        <v>2</v>
      </c>
      <c r="AX79" s="604">
        <v>368</v>
      </c>
      <c r="AY79" s="606">
        <v>5.4</v>
      </c>
      <c r="AZ79" s="604" t="s">
        <v>420</v>
      </c>
      <c r="BB79" s="536" t="str">
        <f t="shared" si="18"/>
        <v>&lt;20agebirthsTaranaki</v>
      </c>
      <c r="BC79" s="604">
        <v>2016</v>
      </c>
      <c r="BD79" s="604" t="s">
        <v>339</v>
      </c>
      <c r="BE79" s="604" t="s">
        <v>453</v>
      </c>
      <c r="BF79" s="604" t="s">
        <v>93</v>
      </c>
      <c r="BG79" s="604">
        <v>59</v>
      </c>
      <c r="BH79" s="604" t="s">
        <v>445</v>
      </c>
      <c r="BR79" s="547" t="str">
        <f t="shared" si="19"/>
        <v>&lt;1 day2500-4499bwt</v>
      </c>
      <c r="BS79" s="604">
        <v>2016</v>
      </c>
      <c r="BT79" s="604" t="s">
        <v>469</v>
      </c>
      <c r="BU79" s="604" t="s">
        <v>431</v>
      </c>
      <c r="BV79" s="604" t="s">
        <v>447</v>
      </c>
      <c r="BW79" s="604">
        <v>12</v>
      </c>
      <c r="BY79" s="553" t="str">
        <f t="shared" si="20"/>
        <v>2010UnknownageSIDS</v>
      </c>
      <c r="BZ79" s="604">
        <v>2010</v>
      </c>
      <c r="CA79" s="604" t="s">
        <v>63</v>
      </c>
      <c r="CB79" s="604" t="s">
        <v>453</v>
      </c>
      <c r="CC79" s="604">
        <v>0</v>
      </c>
      <c r="CD79" s="604" t="s">
        <v>32</v>
      </c>
      <c r="CF79" s="554" t="str">
        <f t="shared" si="21"/>
        <v>2016AsianWaikatodhbSIDS</v>
      </c>
      <c r="CG79" s="604">
        <v>2016</v>
      </c>
      <c r="CH79" s="604" t="s">
        <v>355</v>
      </c>
      <c r="CI79" s="604" t="s">
        <v>89</v>
      </c>
      <c r="CJ79" s="604" t="s">
        <v>448</v>
      </c>
      <c r="CK79" s="604">
        <v>0</v>
      </c>
      <c r="CL79" s="604" t="s">
        <v>32</v>
      </c>
      <c r="CN79" s="575" t="str">
        <f t="shared" si="22"/>
        <v>2012A00–B99infant</v>
      </c>
      <c r="CO79" s="604">
        <v>2012</v>
      </c>
      <c r="CP79" s="604" t="s">
        <v>498</v>
      </c>
      <c r="CQ79" s="604">
        <v>4</v>
      </c>
      <c r="CR79" s="604">
        <v>1.4</v>
      </c>
      <c r="CS79" s="604">
        <v>0.06</v>
      </c>
      <c r="CT79" s="604" t="s">
        <v>437</v>
      </c>
      <c r="CV79" s="575"/>
    </row>
    <row r="80" spans="1:100">
      <c r="A80" s="502" t="str">
        <f t="shared" si="12"/>
        <v>2015deathsEarly neonatal</v>
      </c>
      <c r="B80" s="604">
        <v>2015</v>
      </c>
      <c r="C80" s="604" t="s">
        <v>496</v>
      </c>
      <c r="D80" s="604" t="s">
        <v>41</v>
      </c>
      <c r="E80" s="604">
        <v>144</v>
      </c>
      <c r="F80" s="604">
        <v>62122</v>
      </c>
      <c r="G80" s="604" t="s">
        <v>119</v>
      </c>
      <c r="I80" s="578" t="str">
        <f t="shared" si="13"/>
        <v>2004age&lt;20Fetal</v>
      </c>
      <c r="J80" s="604">
        <v>2004</v>
      </c>
      <c r="K80" s="604" t="s">
        <v>453</v>
      </c>
      <c r="L80" s="604" t="s">
        <v>339</v>
      </c>
      <c r="M80" s="604">
        <v>48</v>
      </c>
      <c r="N80" s="604">
        <v>4143</v>
      </c>
      <c r="O80" s="604">
        <v>11.6</v>
      </c>
      <c r="P80" s="604" t="s">
        <v>47</v>
      </c>
      <c r="Q80" s="499"/>
      <c r="R80" s="502" t="str">
        <f t="shared" si="14"/>
        <v>2007birthsbwt&lt;500</v>
      </c>
      <c r="S80" s="604">
        <v>2007</v>
      </c>
      <c r="T80" s="604" t="s">
        <v>445</v>
      </c>
      <c r="U80" s="604" t="s">
        <v>447</v>
      </c>
      <c r="V80" s="604" t="s">
        <v>427</v>
      </c>
      <c r="W80" s="604">
        <v>49</v>
      </c>
      <c r="Y80" s="535" t="str">
        <f t="shared" si="15"/>
        <v>2016bwtageUnknown40+fetal</v>
      </c>
      <c r="Z80" s="604">
        <v>2016</v>
      </c>
      <c r="AA80" s="604" t="s">
        <v>447</v>
      </c>
      <c r="AB80" s="604" t="s">
        <v>453</v>
      </c>
      <c r="AC80" s="604" t="s">
        <v>63</v>
      </c>
      <c r="AD80" s="604" t="s">
        <v>134</v>
      </c>
      <c r="AE80" s="604">
        <v>2</v>
      </c>
      <c r="AF80" s="604">
        <v>3</v>
      </c>
      <c r="AG80" s="604" t="s">
        <v>119</v>
      </c>
      <c r="AH80" s="604" t="s">
        <v>420</v>
      </c>
      <c r="AJ80" s="535" t="str">
        <f t="shared" si="16"/>
        <v>2016bwtageUnknown40+</v>
      </c>
      <c r="AK80" s="604">
        <v>2016</v>
      </c>
      <c r="AL80" s="604" t="s">
        <v>447</v>
      </c>
      <c r="AM80" s="604" t="s">
        <v>453</v>
      </c>
      <c r="AN80" s="604" t="s">
        <v>63</v>
      </c>
      <c r="AO80" s="604" t="s">
        <v>134</v>
      </c>
      <c r="AP80" s="604">
        <v>3</v>
      </c>
      <c r="AR80" s="538" t="str">
        <f t="shared" si="17"/>
        <v>25-29agefetalCapital &amp; Coast</v>
      </c>
      <c r="AS80" s="604">
        <v>2016</v>
      </c>
      <c r="AT80" s="604" t="s">
        <v>131</v>
      </c>
      <c r="AU80" s="604" t="s">
        <v>453</v>
      </c>
      <c r="AV80" s="604" t="s">
        <v>96</v>
      </c>
      <c r="AW80" s="604">
        <v>4</v>
      </c>
      <c r="AX80" s="604">
        <v>758</v>
      </c>
      <c r="AY80" s="606">
        <v>5.3</v>
      </c>
      <c r="AZ80" s="604" t="s">
        <v>420</v>
      </c>
      <c r="BB80" s="536" t="str">
        <f t="shared" si="18"/>
        <v>20-24agebirthsTaranaki</v>
      </c>
      <c r="BC80" s="604">
        <v>2016</v>
      </c>
      <c r="BD80" s="604" t="s">
        <v>130</v>
      </c>
      <c r="BE80" s="604" t="s">
        <v>453</v>
      </c>
      <c r="BF80" s="604" t="s">
        <v>93</v>
      </c>
      <c r="BG80" s="604">
        <v>301</v>
      </c>
      <c r="BH80" s="604" t="s">
        <v>445</v>
      </c>
      <c r="BR80" s="547" t="str">
        <f t="shared" si="19"/>
        <v>&lt;1 dayUnknownbwt</v>
      </c>
      <c r="BS80" s="604">
        <v>2016</v>
      </c>
      <c r="BT80" s="604" t="s">
        <v>469</v>
      </c>
      <c r="BU80" s="604" t="s">
        <v>63</v>
      </c>
      <c r="BV80" s="604" t="s">
        <v>447</v>
      </c>
      <c r="BW80" s="604">
        <v>4</v>
      </c>
      <c r="BY80" s="553" t="str">
        <f t="shared" si="20"/>
        <v>2011&lt;20ageSIDS</v>
      </c>
      <c r="BZ80" s="604">
        <v>2011</v>
      </c>
      <c r="CA80" s="604" t="s">
        <v>339</v>
      </c>
      <c r="CB80" s="604" t="s">
        <v>453</v>
      </c>
      <c r="CC80" s="604">
        <v>4</v>
      </c>
      <c r="CD80" s="604" t="s">
        <v>32</v>
      </c>
      <c r="CF80" s="554" t="str">
        <f t="shared" si="21"/>
        <v>2016European or OtherWaikatodhbSIDS</v>
      </c>
      <c r="CG80" s="604">
        <v>2016</v>
      </c>
      <c r="CH80" s="604" t="s">
        <v>356</v>
      </c>
      <c r="CI80" s="604" t="s">
        <v>89</v>
      </c>
      <c r="CJ80" s="604" t="s">
        <v>448</v>
      </c>
      <c r="CK80" s="604">
        <v>1</v>
      </c>
      <c r="CL80" s="604" t="s">
        <v>32</v>
      </c>
      <c r="CN80" s="575" t="str">
        <f t="shared" si="22"/>
        <v>2012C00–D48infant</v>
      </c>
      <c r="CO80" s="604">
        <v>2012</v>
      </c>
      <c r="CP80" s="604" t="s">
        <v>499</v>
      </c>
      <c r="CQ80" s="604">
        <v>3</v>
      </c>
      <c r="CR80" s="604">
        <v>1</v>
      </c>
      <c r="CS80" s="604">
        <v>0.05</v>
      </c>
      <c r="CT80" s="604" t="s">
        <v>437</v>
      </c>
      <c r="CV80" s="575"/>
    </row>
    <row r="81" spans="1:100">
      <c r="A81" s="502" t="str">
        <f t="shared" si="12"/>
        <v>2015deathsLate neonatal</v>
      </c>
      <c r="B81" s="604">
        <v>2015</v>
      </c>
      <c r="C81" s="604" t="s">
        <v>496</v>
      </c>
      <c r="D81" s="604" t="s">
        <v>42</v>
      </c>
      <c r="E81" s="604">
        <v>31</v>
      </c>
      <c r="F81" s="604">
        <v>62122</v>
      </c>
      <c r="G81" s="604" t="s">
        <v>119</v>
      </c>
      <c r="I81" s="578" t="str">
        <f t="shared" si="13"/>
        <v>2004age20-24Fetal</v>
      </c>
      <c r="J81" s="604">
        <v>2004</v>
      </c>
      <c r="K81" s="604" t="s">
        <v>453</v>
      </c>
      <c r="L81" s="604" t="s">
        <v>130</v>
      </c>
      <c r="M81" s="604">
        <v>93</v>
      </c>
      <c r="N81" s="604">
        <v>10246</v>
      </c>
      <c r="O81" s="604">
        <v>9.1</v>
      </c>
      <c r="P81" s="604" t="s">
        <v>47</v>
      </c>
      <c r="Q81" s="499"/>
      <c r="R81" s="502" t="str">
        <f t="shared" si="14"/>
        <v>2007birthsbwt500-999</v>
      </c>
      <c r="S81" s="604">
        <v>2007</v>
      </c>
      <c r="T81" s="604" t="s">
        <v>445</v>
      </c>
      <c r="U81" s="604" t="s">
        <v>447</v>
      </c>
      <c r="V81" s="604" t="s">
        <v>428</v>
      </c>
      <c r="W81" s="604">
        <v>239</v>
      </c>
      <c r="Y81" s="535" t="str">
        <f t="shared" si="15"/>
        <v>2016depageQuin 1&lt;20fetal</v>
      </c>
      <c r="Z81" s="604">
        <v>2016</v>
      </c>
      <c r="AA81" s="604" t="s">
        <v>454</v>
      </c>
      <c r="AB81" s="604" t="s">
        <v>453</v>
      </c>
      <c r="AC81" s="604" t="s">
        <v>421</v>
      </c>
      <c r="AD81" s="604" t="s">
        <v>339</v>
      </c>
      <c r="AE81" s="604">
        <v>3</v>
      </c>
      <c r="AF81" s="604">
        <v>118</v>
      </c>
      <c r="AG81" s="604">
        <v>24.8</v>
      </c>
      <c r="AH81" s="604" t="s">
        <v>420</v>
      </c>
      <c r="AJ81" s="535" t="str">
        <f t="shared" si="16"/>
        <v>2016depageQuin 1&lt;20</v>
      </c>
      <c r="AK81" s="604">
        <v>2016</v>
      </c>
      <c r="AL81" s="604" t="s">
        <v>454</v>
      </c>
      <c r="AM81" s="604" t="s">
        <v>453</v>
      </c>
      <c r="AN81" s="604" t="s">
        <v>421</v>
      </c>
      <c r="AO81" s="604" t="s">
        <v>339</v>
      </c>
      <c r="AP81" s="604">
        <v>118</v>
      </c>
      <c r="AR81" s="538" t="str">
        <f t="shared" si="17"/>
        <v>30-34agefetalCapital &amp; Coast</v>
      </c>
      <c r="AS81" s="604">
        <v>2016</v>
      </c>
      <c r="AT81" s="604" t="s">
        <v>132</v>
      </c>
      <c r="AU81" s="604" t="s">
        <v>453</v>
      </c>
      <c r="AV81" s="604" t="s">
        <v>96</v>
      </c>
      <c r="AW81" s="604">
        <v>6</v>
      </c>
      <c r="AX81" s="604">
        <v>1252</v>
      </c>
      <c r="AY81" s="606">
        <v>4.8</v>
      </c>
      <c r="AZ81" s="604" t="s">
        <v>420</v>
      </c>
      <c r="BB81" s="536" t="str">
        <f t="shared" si="18"/>
        <v>25-29agebirthsTaranaki</v>
      </c>
      <c r="BC81" s="604">
        <v>2016</v>
      </c>
      <c r="BD81" s="604" t="s">
        <v>131</v>
      </c>
      <c r="BE81" s="604" t="s">
        <v>453</v>
      </c>
      <c r="BF81" s="604" t="s">
        <v>93</v>
      </c>
      <c r="BG81" s="604">
        <v>451</v>
      </c>
      <c r="BH81" s="604" t="s">
        <v>445</v>
      </c>
      <c r="BR81" s="547" t="str">
        <f t="shared" si="19"/>
        <v>1-6 days&lt;500bwt</v>
      </c>
      <c r="BS81" s="604">
        <v>2016</v>
      </c>
      <c r="BT81" s="604" t="s">
        <v>470</v>
      </c>
      <c r="BU81" s="604" t="s">
        <v>427</v>
      </c>
      <c r="BV81" s="604" t="s">
        <v>447</v>
      </c>
      <c r="BW81" s="604">
        <v>1</v>
      </c>
      <c r="BY81" s="553" t="str">
        <f t="shared" si="20"/>
        <v>201120-24ageSIDS</v>
      </c>
      <c r="BZ81" s="604">
        <v>2011</v>
      </c>
      <c r="CA81" s="604" t="s">
        <v>130</v>
      </c>
      <c r="CB81" s="604" t="s">
        <v>453</v>
      </c>
      <c r="CC81" s="604">
        <v>11</v>
      </c>
      <c r="CD81" s="604" t="s">
        <v>32</v>
      </c>
      <c r="CF81" s="554" t="str">
        <f t="shared" si="21"/>
        <v>2016MaoriWaikatodhbSIDS</v>
      </c>
      <c r="CG81" s="604">
        <v>2016</v>
      </c>
      <c r="CH81" s="604" t="s">
        <v>129</v>
      </c>
      <c r="CI81" s="604" t="s">
        <v>89</v>
      </c>
      <c r="CJ81" s="604" t="s">
        <v>448</v>
      </c>
      <c r="CK81" s="604">
        <v>2</v>
      </c>
      <c r="CL81" s="604" t="s">
        <v>32</v>
      </c>
      <c r="CN81" s="575" t="str">
        <f t="shared" si="22"/>
        <v>2012D50–D89infant</v>
      </c>
      <c r="CO81" s="604">
        <v>2012</v>
      </c>
      <c r="CP81" s="604" t="s">
        <v>500</v>
      </c>
      <c r="CQ81" s="604">
        <v>0</v>
      </c>
      <c r="CR81" s="604">
        <v>0</v>
      </c>
      <c r="CS81" s="604">
        <v>0</v>
      </c>
      <c r="CT81" s="604" t="s">
        <v>437</v>
      </c>
      <c r="CV81" s="575"/>
    </row>
    <row r="82" spans="1:100">
      <c r="A82" s="502" t="str">
        <f t="shared" si="12"/>
        <v>2015deathsPost-neonatal</v>
      </c>
      <c r="B82" s="604">
        <v>2015</v>
      </c>
      <c r="C82" s="604" t="s">
        <v>496</v>
      </c>
      <c r="D82" s="604" t="s">
        <v>43</v>
      </c>
      <c r="E82" s="604">
        <v>91</v>
      </c>
      <c r="F82" s="604">
        <v>62122</v>
      </c>
      <c r="G82" s="604">
        <v>1.5</v>
      </c>
      <c r="I82" s="578" t="str">
        <f t="shared" si="13"/>
        <v>2004age25-29Fetal</v>
      </c>
      <c r="J82" s="604">
        <v>2004</v>
      </c>
      <c r="K82" s="604" t="s">
        <v>453</v>
      </c>
      <c r="L82" s="604" t="s">
        <v>131</v>
      </c>
      <c r="M82" s="604">
        <v>104</v>
      </c>
      <c r="N82" s="604">
        <v>14358</v>
      </c>
      <c r="O82" s="604">
        <v>7.2</v>
      </c>
      <c r="P82" s="604" t="s">
        <v>47</v>
      </c>
      <c r="Q82" s="499"/>
      <c r="R82" s="502" t="str">
        <f t="shared" si="14"/>
        <v>2007birthsbwt1000-1499</v>
      </c>
      <c r="S82" s="604">
        <v>2007</v>
      </c>
      <c r="T82" s="604" t="s">
        <v>445</v>
      </c>
      <c r="U82" s="604" t="s">
        <v>447</v>
      </c>
      <c r="V82" s="604" t="s">
        <v>429</v>
      </c>
      <c r="W82" s="604">
        <v>396</v>
      </c>
      <c r="Y82" s="535" t="str">
        <f t="shared" si="15"/>
        <v>2016depageQuin 2&lt;20fetal</v>
      </c>
      <c r="Z82" s="604">
        <v>2016</v>
      </c>
      <c r="AA82" s="604" t="s">
        <v>454</v>
      </c>
      <c r="AB82" s="604" t="s">
        <v>453</v>
      </c>
      <c r="AC82" s="604" t="s">
        <v>422</v>
      </c>
      <c r="AD82" s="604" t="s">
        <v>339</v>
      </c>
      <c r="AE82" s="604">
        <v>3</v>
      </c>
      <c r="AF82" s="604">
        <v>232</v>
      </c>
      <c r="AG82" s="604">
        <v>12.8</v>
      </c>
      <c r="AH82" s="604" t="s">
        <v>420</v>
      </c>
      <c r="AJ82" s="535" t="str">
        <f t="shared" si="16"/>
        <v>2016depageQuin 2&lt;20</v>
      </c>
      <c r="AK82" s="604">
        <v>2016</v>
      </c>
      <c r="AL82" s="604" t="s">
        <v>454</v>
      </c>
      <c r="AM82" s="604" t="s">
        <v>453</v>
      </c>
      <c r="AN82" s="604" t="s">
        <v>422</v>
      </c>
      <c r="AO82" s="604" t="s">
        <v>339</v>
      </c>
      <c r="AP82" s="604">
        <v>232</v>
      </c>
      <c r="AR82" s="538" t="str">
        <f t="shared" si="17"/>
        <v>35-39agefetalCapital &amp; Coast</v>
      </c>
      <c r="AS82" s="604">
        <v>2016</v>
      </c>
      <c r="AT82" s="604" t="s">
        <v>133</v>
      </c>
      <c r="AU82" s="604" t="s">
        <v>453</v>
      </c>
      <c r="AV82" s="604" t="s">
        <v>96</v>
      </c>
      <c r="AW82" s="604">
        <v>4</v>
      </c>
      <c r="AX82" s="604">
        <v>867</v>
      </c>
      <c r="AY82" s="606">
        <v>4.5999999999999996</v>
      </c>
      <c r="AZ82" s="604" t="s">
        <v>420</v>
      </c>
      <c r="BB82" s="536" t="str">
        <f t="shared" si="18"/>
        <v>30-34agebirthsTaranaki</v>
      </c>
      <c r="BC82" s="604">
        <v>2016</v>
      </c>
      <c r="BD82" s="604" t="s">
        <v>132</v>
      </c>
      <c r="BE82" s="604" t="s">
        <v>453</v>
      </c>
      <c r="BF82" s="604" t="s">
        <v>93</v>
      </c>
      <c r="BG82" s="604">
        <v>428</v>
      </c>
      <c r="BH82" s="604" t="s">
        <v>445</v>
      </c>
      <c r="BR82" s="547" t="str">
        <f t="shared" si="19"/>
        <v>1-6 days500-999bwt</v>
      </c>
      <c r="BS82" s="604">
        <v>2016</v>
      </c>
      <c r="BT82" s="604" t="s">
        <v>470</v>
      </c>
      <c r="BU82" s="604" t="s">
        <v>428</v>
      </c>
      <c r="BV82" s="604" t="s">
        <v>447</v>
      </c>
      <c r="BW82" s="604">
        <v>7</v>
      </c>
      <c r="BY82" s="553" t="str">
        <f t="shared" si="20"/>
        <v>201125-29ageSIDS</v>
      </c>
      <c r="BZ82" s="604">
        <v>2011</v>
      </c>
      <c r="CA82" s="604" t="s">
        <v>131</v>
      </c>
      <c r="CB82" s="604" t="s">
        <v>453</v>
      </c>
      <c r="CC82" s="604">
        <v>4</v>
      </c>
      <c r="CD82" s="604" t="s">
        <v>32</v>
      </c>
      <c r="CF82" s="554" t="str">
        <f t="shared" si="21"/>
        <v>2016Pacific peoplesWaikatodhbSIDS</v>
      </c>
      <c r="CG82" s="604">
        <v>2016</v>
      </c>
      <c r="CH82" s="604" t="s">
        <v>320</v>
      </c>
      <c r="CI82" s="604" t="s">
        <v>89</v>
      </c>
      <c r="CJ82" s="604" t="s">
        <v>448</v>
      </c>
      <c r="CK82" s="604">
        <v>0</v>
      </c>
      <c r="CL82" s="604" t="s">
        <v>32</v>
      </c>
      <c r="CN82" s="575" t="str">
        <f t="shared" si="22"/>
        <v>2012E00–E89infant</v>
      </c>
      <c r="CO82" s="604">
        <v>2012</v>
      </c>
      <c r="CP82" s="604" t="s">
        <v>501</v>
      </c>
      <c r="CQ82" s="604">
        <v>3</v>
      </c>
      <c r="CR82" s="604">
        <v>1</v>
      </c>
      <c r="CS82" s="604">
        <v>0.05</v>
      </c>
      <c r="CT82" s="604" t="s">
        <v>437</v>
      </c>
      <c r="CV82" s="575"/>
    </row>
    <row r="83" spans="1:100">
      <c r="A83" s="502" t="str">
        <f t="shared" si="12"/>
        <v>2016deathsFetal</v>
      </c>
      <c r="B83" s="604">
        <v>2016</v>
      </c>
      <c r="C83" s="604" t="s">
        <v>496</v>
      </c>
      <c r="D83" s="604" t="s">
        <v>47</v>
      </c>
      <c r="E83" s="604">
        <v>413</v>
      </c>
      <c r="F83" s="604">
        <v>60849</v>
      </c>
      <c r="G83" s="604">
        <v>6.8</v>
      </c>
      <c r="I83" s="578" t="str">
        <f t="shared" si="13"/>
        <v>2004age30-34Fetal</v>
      </c>
      <c r="J83" s="604">
        <v>2004</v>
      </c>
      <c r="K83" s="604" t="s">
        <v>453</v>
      </c>
      <c r="L83" s="604" t="s">
        <v>132</v>
      </c>
      <c r="M83" s="604">
        <v>135</v>
      </c>
      <c r="N83" s="604">
        <v>18552</v>
      </c>
      <c r="O83" s="604">
        <v>7.3</v>
      </c>
      <c r="P83" s="604" t="s">
        <v>47</v>
      </c>
      <c r="Q83" s="499"/>
      <c r="R83" s="502" t="str">
        <f t="shared" si="14"/>
        <v>2007birthsbwt1500-2499</v>
      </c>
      <c r="S83" s="604">
        <v>2007</v>
      </c>
      <c r="T83" s="604" t="s">
        <v>445</v>
      </c>
      <c r="U83" s="604" t="s">
        <v>447</v>
      </c>
      <c r="V83" s="604" t="s">
        <v>430</v>
      </c>
      <c r="W83" s="604">
        <v>3138</v>
      </c>
      <c r="Y83" s="535" t="str">
        <f t="shared" si="15"/>
        <v>2016depageQuin 3&lt;20fetal</v>
      </c>
      <c r="Z83" s="604">
        <v>2016</v>
      </c>
      <c r="AA83" s="604" t="s">
        <v>454</v>
      </c>
      <c r="AB83" s="604" t="s">
        <v>453</v>
      </c>
      <c r="AC83" s="604" t="s">
        <v>423</v>
      </c>
      <c r="AD83" s="604" t="s">
        <v>339</v>
      </c>
      <c r="AE83" s="604">
        <v>3</v>
      </c>
      <c r="AF83" s="604">
        <v>325</v>
      </c>
      <c r="AG83" s="604">
        <v>9.1</v>
      </c>
      <c r="AH83" s="604" t="s">
        <v>420</v>
      </c>
      <c r="AJ83" s="535" t="str">
        <f t="shared" si="16"/>
        <v>2016depageQuin 3&lt;20</v>
      </c>
      <c r="AK83" s="604">
        <v>2016</v>
      </c>
      <c r="AL83" s="604" t="s">
        <v>454</v>
      </c>
      <c r="AM83" s="604" t="s">
        <v>453</v>
      </c>
      <c r="AN83" s="604" t="s">
        <v>423</v>
      </c>
      <c r="AO83" s="604" t="s">
        <v>339</v>
      </c>
      <c r="AP83" s="604">
        <v>325</v>
      </c>
      <c r="AR83" s="538" t="str">
        <f t="shared" si="17"/>
        <v>40+agefetalCapital &amp; Coast</v>
      </c>
      <c r="AS83" s="604">
        <v>2016</v>
      </c>
      <c r="AT83" s="604" t="s">
        <v>134</v>
      </c>
      <c r="AU83" s="604" t="s">
        <v>453</v>
      </c>
      <c r="AV83" s="604" t="s">
        <v>96</v>
      </c>
      <c r="AW83" s="604">
        <v>2</v>
      </c>
      <c r="AX83" s="604">
        <v>217</v>
      </c>
      <c r="AY83" s="606">
        <v>9.1999999999999993</v>
      </c>
      <c r="AZ83" s="604" t="s">
        <v>420</v>
      </c>
      <c r="BB83" s="536" t="str">
        <f t="shared" si="18"/>
        <v>35-39agebirthsTaranaki</v>
      </c>
      <c r="BC83" s="604">
        <v>2016</v>
      </c>
      <c r="BD83" s="604" t="s">
        <v>133</v>
      </c>
      <c r="BE83" s="604" t="s">
        <v>453</v>
      </c>
      <c r="BF83" s="604" t="s">
        <v>93</v>
      </c>
      <c r="BG83" s="604">
        <v>207</v>
      </c>
      <c r="BH83" s="604" t="s">
        <v>445</v>
      </c>
      <c r="BR83" s="547" t="str">
        <f t="shared" si="19"/>
        <v>1-6 days1000-1499bwt</v>
      </c>
      <c r="BS83" s="604">
        <v>2016</v>
      </c>
      <c r="BT83" s="604" t="s">
        <v>470</v>
      </c>
      <c r="BU83" s="604" t="s">
        <v>429</v>
      </c>
      <c r="BV83" s="604" t="s">
        <v>447</v>
      </c>
      <c r="BW83" s="604">
        <v>2</v>
      </c>
      <c r="BY83" s="553" t="str">
        <f t="shared" si="20"/>
        <v>201130-34ageSIDS</v>
      </c>
      <c r="BZ83" s="604">
        <v>2011</v>
      </c>
      <c r="CA83" s="604" t="s">
        <v>132</v>
      </c>
      <c r="CB83" s="604" t="s">
        <v>453</v>
      </c>
      <c r="CC83" s="604">
        <v>3</v>
      </c>
      <c r="CD83" s="604" t="s">
        <v>32</v>
      </c>
      <c r="CF83" s="554" t="str">
        <f t="shared" si="21"/>
        <v>2016AsianLakesdhbSIDS</v>
      </c>
      <c r="CG83" s="604">
        <v>2016</v>
      </c>
      <c r="CH83" s="604" t="s">
        <v>355</v>
      </c>
      <c r="CI83" s="604" t="s">
        <v>90</v>
      </c>
      <c r="CJ83" s="604" t="s">
        <v>448</v>
      </c>
      <c r="CK83" s="604">
        <v>0</v>
      </c>
      <c r="CL83" s="604" t="s">
        <v>32</v>
      </c>
      <c r="CN83" s="575" t="str">
        <f t="shared" si="22"/>
        <v>2012G00–G99infant</v>
      </c>
      <c r="CO83" s="604">
        <v>2012</v>
      </c>
      <c r="CP83" s="604" t="s">
        <v>503</v>
      </c>
      <c r="CQ83" s="604">
        <v>7</v>
      </c>
      <c r="CR83" s="604">
        <v>2.4</v>
      </c>
      <c r="CS83" s="604">
        <v>0.11</v>
      </c>
      <c r="CT83" s="604" t="s">
        <v>437</v>
      </c>
      <c r="CV83" s="575"/>
    </row>
    <row r="84" spans="1:100">
      <c r="A84" s="502" t="str">
        <f t="shared" si="12"/>
        <v>2016deathsEarly neonatal</v>
      </c>
      <c r="B84" s="604">
        <v>2016</v>
      </c>
      <c r="C84" s="604" t="s">
        <v>496</v>
      </c>
      <c r="D84" s="604" t="s">
        <v>41</v>
      </c>
      <c r="E84" s="604">
        <v>133</v>
      </c>
      <c r="F84" s="604">
        <v>60436</v>
      </c>
      <c r="G84" s="604" t="s">
        <v>119</v>
      </c>
      <c r="I84" s="578" t="str">
        <f t="shared" si="13"/>
        <v>2004age35-39Fetal</v>
      </c>
      <c r="J84" s="604">
        <v>2004</v>
      </c>
      <c r="K84" s="604" t="s">
        <v>453</v>
      </c>
      <c r="L84" s="604" t="s">
        <v>133</v>
      </c>
      <c r="M84" s="604">
        <v>93</v>
      </c>
      <c r="N84" s="604">
        <v>9768</v>
      </c>
      <c r="O84" s="604">
        <v>9.5</v>
      </c>
      <c r="P84" s="604" t="s">
        <v>47</v>
      </c>
      <c r="Q84" s="499"/>
      <c r="R84" s="502" t="str">
        <f t="shared" si="14"/>
        <v>2007birthsbwt2500-4499</v>
      </c>
      <c r="S84" s="604">
        <v>2007</v>
      </c>
      <c r="T84" s="604" t="s">
        <v>445</v>
      </c>
      <c r="U84" s="604" t="s">
        <v>447</v>
      </c>
      <c r="V84" s="604" t="s">
        <v>431</v>
      </c>
      <c r="W84" s="604">
        <v>59406</v>
      </c>
      <c r="Y84" s="535" t="str">
        <f t="shared" si="15"/>
        <v>2016depageQuin 4&lt;20fetal</v>
      </c>
      <c r="Z84" s="604">
        <v>2016</v>
      </c>
      <c r="AA84" s="604" t="s">
        <v>454</v>
      </c>
      <c r="AB84" s="604" t="s">
        <v>453</v>
      </c>
      <c r="AC84" s="604" t="s">
        <v>424</v>
      </c>
      <c r="AD84" s="604" t="s">
        <v>339</v>
      </c>
      <c r="AE84" s="604">
        <v>10</v>
      </c>
      <c r="AF84" s="604">
        <v>591</v>
      </c>
      <c r="AG84" s="604">
        <v>16.600000000000001</v>
      </c>
      <c r="AH84" s="604" t="s">
        <v>420</v>
      </c>
      <c r="AJ84" s="535" t="str">
        <f t="shared" si="16"/>
        <v>2016depageQuin 4&lt;20</v>
      </c>
      <c r="AK84" s="604">
        <v>2016</v>
      </c>
      <c r="AL84" s="604" t="s">
        <v>454</v>
      </c>
      <c r="AM84" s="604" t="s">
        <v>453</v>
      </c>
      <c r="AN84" s="604" t="s">
        <v>424</v>
      </c>
      <c r="AO84" s="604" t="s">
        <v>339</v>
      </c>
      <c r="AP84" s="604">
        <v>591</v>
      </c>
      <c r="AR84" s="538" t="str">
        <f t="shared" si="17"/>
        <v>&lt;20agefetalHutt Valley</v>
      </c>
      <c r="AS84" s="604">
        <v>2016</v>
      </c>
      <c r="AT84" s="604" t="s">
        <v>339</v>
      </c>
      <c r="AU84" s="604" t="s">
        <v>453</v>
      </c>
      <c r="AV84" s="604" t="s">
        <v>97</v>
      </c>
      <c r="AW84" s="604">
        <v>1</v>
      </c>
      <c r="AX84" s="604">
        <v>104</v>
      </c>
      <c r="AY84" s="606">
        <v>9.6</v>
      </c>
      <c r="AZ84" s="604" t="s">
        <v>420</v>
      </c>
      <c r="BB84" s="536" t="str">
        <f t="shared" si="18"/>
        <v>40+agebirthsTaranaki</v>
      </c>
      <c r="BC84" s="604">
        <v>2016</v>
      </c>
      <c r="BD84" s="604" t="s">
        <v>134</v>
      </c>
      <c r="BE84" s="604" t="s">
        <v>453</v>
      </c>
      <c r="BF84" s="604" t="s">
        <v>93</v>
      </c>
      <c r="BG84" s="604">
        <v>45</v>
      </c>
      <c r="BH84" s="604" t="s">
        <v>445</v>
      </c>
      <c r="BR84" s="547" t="str">
        <f t="shared" si="19"/>
        <v>1-6 days1500-2499bwt</v>
      </c>
      <c r="BS84" s="604">
        <v>2016</v>
      </c>
      <c r="BT84" s="604" t="s">
        <v>470</v>
      </c>
      <c r="BU84" s="604" t="s">
        <v>430</v>
      </c>
      <c r="BV84" s="604" t="s">
        <v>447</v>
      </c>
      <c r="BW84" s="604">
        <v>8</v>
      </c>
      <c r="BY84" s="553" t="str">
        <f t="shared" si="20"/>
        <v>201135-39ageSIDS</v>
      </c>
      <c r="BZ84" s="604">
        <v>2011</v>
      </c>
      <c r="CA84" s="604" t="s">
        <v>133</v>
      </c>
      <c r="CB84" s="604" t="s">
        <v>453</v>
      </c>
      <c r="CC84" s="604">
        <v>2</v>
      </c>
      <c r="CD84" s="604" t="s">
        <v>32</v>
      </c>
      <c r="CF84" s="554" t="str">
        <f t="shared" si="21"/>
        <v>2016European or OtherLakesdhbSIDS</v>
      </c>
      <c r="CG84" s="604">
        <v>2016</v>
      </c>
      <c r="CH84" s="604" t="s">
        <v>356</v>
      </c>
      <c r="CI84" s="604" t="s">
        <v>90</v>
      </c>
      <c r="CJ84" s="604" t="s">
        <v>448</v>
      </c>
      <c r="CK84" s="604">
        <v>0</v>
      </c>
      <c r="CL84" s="604" t="s">
        <v>32</v>
      </c>
      <c r="CN84" s="575" t="str">
        <f t="shared" si="22"/>
        <v>2012I00–I99infant</v>
      </c>
      <c r="CO84" s="604">
        <v>2012</v>
      </c>
      <c r="CP84" s="604" t="s">
        <v>506</v>
      </c>
      <c r="CQ84" s="604">
        <v>3</v>
      </c>
      <c r="CR84" s="604">
        <v>1</v>
      </c>
      <c r="CS84" s="604">
        <v>0.05</v>
      </c>
      <c r="CT84" s="604" t="s">
        <v>437</v>
      </c>
      <c r="CV84" s="575"/>
    </row>
    <row r="85" spans="1:100">
      <c r="A85" s="502" t="str">
        <f t="shared" si="12"/>
        <v>2016deathsLate neonatal</v>
      </c>
      <c r="B85" s="604">
        <v>2016</v>
      </c>
      <c r="C85" s="604" t="s">
        <v>496</v>
      </c>
      <c r="D85" s="604" t="s">
        <v>42</v>
      </c>
      <c r="E85" s="604">
        <v>28</v>
      </c>
      <c r="F85" s="604">
        <v>60436</v>
      </c>
      <c r="G85" s="604" t="s">
        <v>119</v>
      </c>
      <c r="I85" s="578" t="str">
        <f t="shared" si="13"/>
        <v>2004age40+Fetal</v>
      </c>
      <c r="J85" s="604">
        <v>2004</v>
      </c>
      <c r="K85" s="604" t="s">
        <v>453</v>
      </c>
      <c r="L85" s="604" t="s">
        <v>134</v>
      </c>
      <c r="M85" s="604">
        <v>33</v>
      </c>
      <c r="N85" s="604">
        <v>2162</v>
      </c>
      <c r="O85" s="604">
        <v>15.3</v>
      </c>
      <c r="P85" s="604" t="s">
        <v>47</v>
      </c>
      <c r="Q85" s="499"/>
      <c r="R85" s="502" t="str">
        <f t="shared" si="14"/>
        <v>2007birthsbwt4500+</v>
      </c>
      <c r="S85" s="604">
        <v>2007</v>
      </c>
      <c r="T85" s="604" t="s">
        <v>445</v>
      </c>
      <c r="U85" s="604" t="s">
        <v>447</v>
      </c>
      <c r="V85" s="604" t="s">
        <v>432</v>
      </c>
      <c r="W85" s="604">
        <v>1833</v>
      </c>
      <c r="Y85" s="535" t="str">
        <f t="shared" si="15"/>
        <v>2016depageQuin 5&lt;20fetal</v>
      </c>
      <c r="Z85" s="604">
        <v>2016</v>
      </c>
      <c r="AA85" s="604" t="s">
        <v>454</v>
      </c>
      <c r="AB85" s="604" t="s">
        <v>453</v>
      </c>
      <c r="AC85" s="604" t="s">
        <v>425</v>
      </c>
      <c r="AD85" s="604" t="s">
        <v>339</v>
      </c>
      <c r="AE85" s="604">
        <v>15</v>
      </c>
      <c r="AF85" s="604">
        <v>1291</v>
      </c>
      <c r="AG85" s="604">
        <v>11.5</v>
      </c>
      <c r="AH85" s="604" t="s">
        <v>420</v>
      </c>
      <c r="AJ85" s="535" t="str">
        <f t="shared" si="16"/>
        <v>2016depageQuin 5&lt;20</v>
      </c>
      <c r="AK85" s="604">
        <v>2016</v>
      </c>
      <c r="AL85" s="604" t="s">
        <v>454</v>
      </c>
      <c r="AM85" s="604" t="s">
        <v>453</v>
      </c>
      <c r="AN85" s="604" t="s">
        <v>425</v>
      </c>
      <c r="AO85" s="604" t="s">
        <v>339</v>
      </c>
      <c r="AP85" s="604">
        <v>1291</v>
      </c>
      <c r="AR85" s="538" t="str">
        <f t="shared" si="17"/>
        <v>20-24agefetalHutt Valley</v>
      </c>
      <c r="AS85" s="604">
        <v>2016</v>
      </c>
      <c r="AT85" s="604" t="s">
        <v>130</v>
      </c>
      <c r="AU85" s="604" t="s">
        <v>453</v>
      </c>
      <c r="AV85" s="604" t="s">
        <v>97</v>
      </c>
      <c r="AW85" s="604">
        <v>1</v>
      </c>
      <c r="AX85" s="604">
        <v>329</v>
      </c>
      <c r="AY85" s="606">
        <v>3</v>
      </c>
      <c r="AZ85" s="604" t="s">
        <v>420</v>
      </c>
      <c r="BB85" s="536" t="str">
        <f t="shared" si="18"/>
        <v>&lt;20agebirthsMidCentral</v>
      </c>
      <c r="BC85" s="604">
        <v>2016</v>
      </c>
      <c r="BD85" s="604" t="s">
        <v>339</v>
      </c>
      <c r="BE85" s="604" t="s">
        <v>453</v>
      </c>
      <c r="BF85" s="604" t="s">
        <v>94</v>
      </c>
      <c r="BG85" s="604">
        <v>110</v>
      </c>
      <c r="BH85" s="604" t="s">
        <v>445</v>
      </c>
      <c r="BR85" s="547" t="str">
        <f t="shared" si="19"/>
        <v>1-6 days2500-4499bwt</v>
      </c>
      <c r="BS85" s="604">
        <v>2016</v>
      </c>
      <c r="BT85" s="604" t="s">
        <v>470</v>
      </c>
      <c r="BU85" s="604" t="s">
        <v>431</v>
      </c>
      <c r="BV85" s="604" t="s">
        <v>447</v>
      </c>
      <c r="BW85" s="604">
        <v>14</v>
      </c>
      <c r="BY85" s="553" t="str">
        <f t="shared" si="20"/>
        <v>201140+ageSIDS</v>
      </c>
      <c r="BZ85" s="604">
        <v>2011</v>
      </c>
      <c r="CA85" s="604" t="s">
        <v>134</v>
      </c>
      <c r="CB85" s="604" t="s">
        <v>453</v>
      </c>
      <c r="CC85" s="604">
        <v>0</v>
      </c>
      <c r="CD85" s="604" t="s">
        <v>32</v>
      </c>
      <c r="CF85" s="554" t="str">
        <f t="shared" si="21"/>
        <v>2016MaoriLakesdhbSIDS</v>
      </c>
      <c r="CG85" s="604">
        <v>2016</v>
      </c>
      <c r="CH85" s="604" t="s">
        <v>129</v>
      </c>
      <c r="CI85" s="604" t="s">
        <v>90</v>
      </c>
      <c r="CJ85" s="604" t="s">
        <v>448</v>
      </c>
      <c r="CK85" s="604">
        <v>0</v>
      </c>
      <c r="CL85" s="604" t="s">
        <v>32</v>
      </c>
      <c r="CN85" s="575" t="str">
        <f t="shared" si="22"/>
        <v>2012J00–J99infant</v>
      </c>
      <c r="CO85" s="604">
        <v>2012</v>
      </c>
      <c r="CP85" s="604" t="s">
        <v>507</v>
      </c>
      <c r="CQ85" s="604">
        <v>12</v>
      </c>
      <c r="CR85" s="604">
        <v>4.0999999999999996</v>
      </c>
      <c r="CS85" s="604">
        <v>0.19</v>
      </c>
      <c r="CT85" s="604" t="s">
        <v>437</v>
      </c>
      <c r="CV85" s="575"/>
    </row>
    <row r="86" spans="1:100">
      <c r="A86" s="502" t="str">
        <f t="shared" si="12"/>
        <v>2016deathsPost-neonatal</v>
      </c>
      <c r="B86" s="604">
        <v>2016</v>
      </c>
      <c r="C86" s="604" t="s">
        <v>496</v>
      </c>
      <c r="D86" s="604" t="s">
        <v>43</v>
      </c>
      <c r="E86" s="604">
        <v>80</v>
      </c>
      <c r="F86" s="604">
        <v>60436</v>
      </c>
      <c r="G86" s="604">
        <v>1.3</v>
      </c>
      <c r="I86" s="578" t="str">
        <f t="shared" si="13"/>
        <v>2004ageUnknownFetal</v>
      </c>
      <c r="J86" s="604">
        <v>2004</v>
      </c>
      <c r="K86" s="604" t="s">
        <v>453</v>
      </c>
      <c r="L86" s="604" t="s">
        <v>63</v>
      </c>
      <c r="M86" s="604">
        <v>0</v>
      </c>
      <c r="N86" s="604">
        <v>0</v>
      </c>
      <c r="O86" s="604" t="s">
        <v>119</v>
      </c>
      <c r="P86" s="604" t="s">
        <v>47</v>
      </c>
      <c r="Q86" s="499"/>
      <c r="R86" s="502" t="str">
        <f t="shared" si="14"/>
        <v>2007birthsbwtUnknown</v>
      </c>
      <c r="S86" s="604">
        <v>2007</v>
      </c>
      <c r="T86" s="604" t="s">
        <v>445</v>
      </c>
      <c r="U86" s="604" t="s">
        <v>447</v>
      </c>
      <c r="V86" s="604" t="s">
        <v>63</v>
      </c>
      <c r="W86" s="604">
        <v>60</v>
      </c>
      <c r="Y86" s="535" t="str">
        <f t="shared" si="15"/>
        <v>2016depageQuin 9&lt;20fetal</v>
      </c>
      <c r="Z86" s="604">
        <v>2016</v>
      </c>
      <c r="AA86" s="604" t="s">
        <v>454</v>
      </c>
      <c r="AB86" s="604" t="s">
        <v>453</v>
      </c>
      <c r="AC86" s="604" t="s">
        <v>426</v>
      </c>
      <c r="AD86" s="604" t="s">
        <v>339</v>
      </c>
      <c r="AE86" s="604">
        <v>2</v>
      </c>
      <c r="AF86" s="604">
        <v>2</v>
      </c>
      <c r="AG86" s="604" t="s">
        <v>119</v>
      </c>
      <c r="AH86" s="604" t="s">
        <v>420</v>
      </c>
      <c r="AJ86" s="535" t="str">
        <f t="shared" si="16"/>
        <v>2016depageQuin 9&lt;20</v>
      </c>
      <c r="AK86" s="604">
        <v>2016</v>
      </c>
      <c r="AL86" s="604" t="s">
        <v>454</v>
      </c>
      <c r="AM86" s="604" t="s">
        <v>453</v>
      </c>
      <c r="AN86" s="604" t="s">
        <v>426</v>
      </c>
      <c r="AO86" s="604" t="s">
        <v>339</v>
      </c>
      <c r="AP86" s="604">
        <v>2</v>
      </c>
      <c r="AR86" s="538" t="str">
        <f t="shared" si="17"/>
        <v>25-29agefetalHutt Valley</v>
      </c>
      <c r="AS86" s="604">
        <v>2016</v>
      </c>
      <c r="AT86" s="604" t="s">
        <v>131</v>
      </c>
      <c r="AU86" s="604" t="s">
        <v>453</v>
      </c>
      <c r="AV86" s="604" t="s">
        <v>97</v>
      </c>
      <c r="AW86" s="604">
        <v>2</v>
      </c>
      <c r="AX86" s="604">
        <v>558</v>
      </c>
      <c r="AY86" s="606">
        <v>3.6</v>
      </c>
      <c r="AZ86" s="604" t="s">
        <v>420</v>
      </c>
      <c r="BB86" s="536" t="str">
        <f t="shared" si="18"/>
        <v>20-24agebirthsMidCentral</v>
      </c>
      <c r="BC86" s="604">
        <v>2016</v>
      </c>
      <c r="BD86" s="604" t="s">
        <v>130</v>
      </c>
      <c r="BE86" s="604" t="s">
        <v>453</v>
      </c>
      <c r="BF86" s="604" t="s">
        <v>94</v>
      </c>
      <c r="BG86" s="604">
        <v>409</v>
      </c>
      <c r="BH86" s="604" t="s">
        <v>445</v>
      </c>
      <c r="BR86" s="547" t="str">
        <f t="shared" si="19"/>
        <v>1-6 daysUnknownbwt</v>
      </c>
      <c r="BS86" s="604">
        <v>2016</v>
      </c>
      <c r="BT86" s="604" t="s">
        <v>470</v>
      </c>
      <c r="BU86" s="604" t="s">
        <v>63</v>
      </c>
      <c r="BV86" s="604" t="s">
        <v>447</v>
      </c>
      <c r="BW86" s="604">
        <v>1</v>
      </c>
      <c r="BY86" s="553" t="str">
        <f t="shared" si="20"/>
        <v>2011UnknownageSIDS</v>
      </c>
      <c r="BZ86" s="604">
        <v>2011</v>
      </c>
      <c r="CA86" s="604" t="s">
        <v>63</v>
      </c>
      <c r="CB86" s="604" t="s">
        <v>453</v>
      </c>
      <c r="CC86" s="604">
        <v>2</v>
      </c>
      <c r="CD86" s="604" t="s">
        <v>32</v>
      </c>
      <c r="CF86" s="554" t="str">
        <f t="shared" si="21"/>
        <v>2016AsianBay of PlentydhbSIDS</v>
      </c>
      <c r="CG86" s="604">
        <v>2016</v>
      </c>
      <c r="CH86" s="604" t="s">
        <v>355</v>
      </c>
      <c r="CI86" s="604" t="s">
        <v>91</v>
      </c>
      <c r="CJ86" s="604" t="s">
        <v>448</v>
      </c>
      <c r="CK86" s="604">
        <v>0</v>
      </c>
      <c r="CL86" s="604" t="s">
        <v>32</v>
      </c>
      <c r="CN86" s="575" t="str">
        <f t="shared" si="22"/>
        <v>2012P00–P96infant</v>
      </c>
      <c r="CO86" s="604">
        <v>2012</v>
      </c>
      <c r="CP86" s="604" t="s">
        <v>513</v>
      </c>
      <c r="CQ86" s="604">
        <v>146</v>
      </c>
      <c r="CR86" s="604">
        <v>49.7</v>
      </c>
      <c r="CS86" s="604">
        <v>2.35</v>
      </c>
      <c r="CT86" s="604" t="s">
        <v>437</v>
      </c>
      <c r="CV86" s="575"/>
    </row>
    <row r="87" spans="1:100">
      <c r="A87" s="502" t="str">
        <f t="shared" si="12"/>
        <v>1996deathsPerinatal</v>
      </c>
      <c r="B87" s="604">
        <v>1996</v>
      </c>
      <c r="C87" s="604" t="s">
        <v>496</v>
      </c>
      <c r="D87" s="604" t="s">
        <v>49</v>
      </c>
      <c r="E87" s="604">
        <v>582</v>
      </c>
      <c r="F87" s="604">
        <v>57843</v>
      </c>
      <c r="G87" s="604">
        <v>10.1</v>
      </c>
      <c r="I87" s="578" t="str">
        <f t="shared" si="13"/>
        <v>2005age&lt;20Fetal</v>
      </c>
      <c r="J87" s="604">
        <v>2005</v>
      </c>
      <c r="K87" s="604" t="s">
        <v>453</v>
      </c>
      <c r="L87" s="604" t="s">
        <v>339</v>
      </c>
      <c r="M87" s="604">
        <v>37</v>
      </c>
      <c r="N87" s="604">
        <v>4282</v>
      </c>
      <c r="O87" s="604">
        <v>8.6</v>
      </c>
      <c r="P87" s="604" t="s">
        <v>47</v>
      </c>
      <c r="Q87" s="499"/>
      <c r="R87" s="502" t="str">
        <f t="shared" si="14"/>
        <v>2008birthsbwt&lt;500</v>
      </c>
      <c r="S87" s="604">
        <v>2008</v>
      </c>
      <c r="T87" s="604" t="s">
        <v>445</v>
      </c>
      <c r="U87" s="604" t="s">
        <v>447</v>
      </c>
      <c r="V87" s="604" t="s">
        <v>427</v>
      </c>
      <c r="W87" s="604">
        <v>65</v>
      </c>
      <c r="Y87" s="535" t="str">
        <f t="shared" si="15"/>
        <v>2016depageQuin 120-24fetal</v>
      </c>
      <c r="Z87" s="604">
        <v>2016</v>
      </c>
      <c r="AA87" s="604" t="s">
        <v>454</v>
      </c>
      <c r="AB87" s="604" t="s">
        <v>453</v>
      </c>
      <c r="AC87" s="604" t="s">
        <v>421</v>
      </c>
      <c r="AD87" s="604" t="s">
        <v>130</v>
      </c>
      <c r="AE87" s="604">
        <v>2</v>
      </c>
      <c r="AF87" s="604">
        <v>662</v>
      </c>
      <c r="AG87" s="604">
        <v>3</v>
      </c>
      <c r="AH87" s="604" t="s">
        <v>420</v>
      </c>
      <c r="AJ87" s="535" t="str">
        <f t="shared" si="16"/>
        <v>2016depageQuin 120-24</v>
      </c>
      <c r="AK87" s="604">
        <v>2016</v>
      </c>
      <c r="AL87" s="604" t="s">
        <v>454</v>
      </c>
      <c r="AM87" s="604" t="s">
        <v>453</v>
      </c>
      <c r="AN87" s="604" t="s">
        <v>421</v>
      </c>
      <c r="AO87" s="604" t="s">
        <v>130</v>
      </c>
      <c r="AP87" s="604">
        <v>662</v>
      </c>
      <c r="AR87" s="538" t="str">
        <f t="shared" si="17"/>
        <v>30-34agefetalHutt Valley</v>
      </c>
      <c r="AS87" s="604">
        <v>2016</v>
      </c>
      <c r="AT87" s="604" t="s">
        <v>132</v>
      </c>
      <c r="AU87" s="604" t="s">
        <v>453</v>
      </c>
      <c r="AV87" s="604" t="s">
        <v>97</v>
      </c>
      <c r="AW87" s="604">
        <v>2</v>
      </c>
      <c r="AX87" s="604">
        <v>618</v>
      </c>
      <c r="AY87" s="606">
        <v>3.2</v>
      </c>
      <c r="AZ87" s="604" t="s">
        <v>420</v>
      </c>
      <c r="BB87" s="536" t="str">
        <f t="shared" si="18"/>
        <v>25-29agebirthsMidCentral</v>
      </c>
      <c r="BC87" s="604">
        <v>2016</v>
      </c>
      <c r="BD87" s="604" t="s">
        <v>131</v>
      </c>
      <c r="BE87" s="604" t="s">
        <v>453</v>
      </c>
      <c r="BF87" s="604" t="s">
        <v>94</v>
      </c>
      <c r="BG87" s="604">
        <v>675</v>
      </c>
      <c r="BH87" s="604" t="s">
        <v>445</v>
      </c>
      <c r="BR87" s="547" t="str">
        <f t="shared" si="19"/>
        <v>28+ days500-999bwt</v>
      </c>
      <c r="BS87" s="604">
        <v>2016</v>
      </c>
      <c r="BT87" s="604" t="s">
        <v>117</v>
      </c>
      <c r="BU87" s="604" t="s">
        <v>428</v>
      </c>
      <c r="BV87" s="604" t="s">
        <v>447</v>
      </c>
      <c r="BW87" s="604">
        <v>9</v>
      </c>
      <c r="BY87" s="553" t="str">
        <f t="shared" si="20"/>
        <v>2012&lt;20ageSIDS</v>
      </c>
      <c r="BZ87" s="604">
        <v>2012</v>
      </c>
      <c r="CA87" s="604" t="s">
        <v>339</v>
      </c>
      <c r="CB87" s="604" t="s">
        <v>453</v>
      </c>
      <c r="CC87" s="604">
        <v>2</v>
      </c>
      <c r="CD87" s="604" t="s">
        <v>32</v>
      </c>
      <c r="CF87" s="554" t="str">
        <f t="shared" si="21"/>
        <v>2016European or OtherBay of PlentydhbSIDS</v>
      </c>
      <c r="CG87" s="604">
        <v>2016</v>
      </c>
      <c r="CH87" s="604" t="s">
        <v>356</v>
      </c>
      <c r="CI87" s="604" t="s">
        <v>91</v>
      </c>
      <c r="CJ87" s="604" t="s">
        <v>448</v>
      </c>
      <c r="CK87" s="604">
        <v>0</v>
      </c>
      <c r="CL87" s="604" t="s">
        <v>32</v>
      </c>
      <c r="CN87" s="575" t="str">
        <f t="shared" si="22"/>
        <v>2012Q00–Q99infant</v>
      </c>
      <c r="CO87" s="604">
        <v>2012</v>
      </c>
      <c r="CP87" s="604" t="s">
        <v>514</v>
      </c>
      <c r="CQ87" s="604">
        <v>72</v>
      </c>
      <c r="CR87" s="604">
        <v>24.5</v>
      </c>
      <c r="CS87" s="604">
        <v>1.1599999999999999</v>
      </c>
      <c r="CT87" s="604" t="s">
        <v>437</v>
      </c>
      <c r="CV87" s="575"/>
    </row>
    <row r="88" spans="1:100">
      <c r="A88" s="502" t="str">
        <f t="shared" si="12"/>
        <v>1997deathsPerinatal</v>
      </c>
      <c r="B88" s="604">
        <v>1997</v>
      </c>
      <c r="C88" s="604" t="s">
        <v>496</v>
      </c>
      <c r="D88" s="604" t="s">
        <v>49</v>
      </c>
      <c r="E88" s="604">
        <v>588</v>
      </c>
      <c r="F88" s="604">
        <v>58151</v>
      </c>
      <c r="G88" s="604">
        <v>10.1</v>
      </c>
      <c r="I88" s="578" t="str">
        <f t="shared" si="13"/>
        <v>2005age20-24Fetal</v>
      </c>
      <c r="J88" s="604">
        <v>2005</v>
      </c>
      <c r="K88" s="604" t="s">
        <v>453</v>
      </c>
      <c r="L88" s="604" t="s">
        <v>130</v>
      </c>
      <c r="M88" s="604">
        <v>68</v>
      </c>
      <c r="N88" s="604">
        <v>10090</v>
      </c>
      <c r="O88" s="604">
        <v>6.7</v>
      </c>
      <c r="P88" s="604" t="s">
        <v>47</v>
      </c>
      <c r="Q88" s="499"/>
      <c r="R88" s="502" t="str">
        <f t="shared" si="14"/>
        <v>2008birthsbwt500-999</v>
      </c>
      <c r="S88" s="604">
        <v>2008</v>
      </c>
      <c r="T88" s="604" t="s">
        <v>445</v>
      </c>
      <c r="U88" s="604" t="s">
        <v>447</v>
      </c>
      <c r="V88" s="604" t="s">
        <v>428</v>
      </c>
      <c r="W88" s="604">
        <v>208</v>
      </c>
      <c r="Y88" s="535" t="str">
        <f t="shared" si="15"/>
        <v>2016depageQuin 220-24fetal</v>
      </c>
      <c r="Z88" s="604">
        <v>2016</v>
      </c>
      <c r="AA88" s="604" t="s">
        <v>454</v>
      </c>
      <c r="AB88" s="604" t="s">
        <v>453</v>
      </c>
      <c r="AC88" s="604" t="s">
        <v>422</v>
      </c>
      <c r="AD88" s="604" t="s">
        <v>130</v>
      </c>
      <c r="AE88" s="604">
        <v>8</v>
      </c>
      <c r="AF88" s="604">
        <v>1044</v>
      </c>
      <c r="AG88" s="604">
        <v>7.6</v>
      </c>
      <c r="AH88" s="604" t="s">
        <v>420</v>
      </c>
      <c r="AJ88" s="535" t="str">
        <f t="shared" si="16"/>
        <v>2016depageQuin 220-24</v>
      </c>
      <c r="AK88" s="604">
        <v>2016</v>
      </c>
      <c r="AL88" s="604" t="s">
        <v>454</v>
      </c>
      <c r="AM88" s="604" t="s">
        <v>453</v>
      </c>
      <c r="AN88" s="604" t="s">
        <v>422</v>
      </c>
      <c r="AO88" s="604" t="s">
        <v>130</v>
      </c>
      <c r="AP88" s="604">
        <v>1044</v>
      </c>
      <c r="AR88" s="538" t="str">
        <f t="shared" si="17"/>
        <v>35-39agefetalHutt Valley</v>
      </c>
      <c r="AS88" s="604">
        <v>2016</v>
      </c>
      <c r="AT88" s="604" t="s">
        <v>133</v>
      </c>
      <c r="AU88" s="604" t="s">
        <v>453</v>
      </c>
      <c r="AV88" s="604" t="s">
        <v>97</v>
      </c>
      <c r="AW88" s="604">
        <v>1</v>
      </c>
      <c r="AX88" s="604">
        <v>315</v>
      </c>
      <c r="AY88" s="606">
        <v>3.2</v>
      </c>
      <c r="AZ88" s="604" t="s">
        <v>420</v>
      </c>
      <c r="BB88" s="536" t="str">
        <f t="shared" si="18"/>
        <v>30-34agebirthsMidCentral</v>
      </c>
      <c r="BC88" s="604">
        <v>2016</v>
      </c>
      <c r="BD88" s="604" t="s">
        <v>132</v>
      </c>
      <c r="BE88" s="604" t="s">
        <v>453</v>
      </c>
      <c r="BF88" s="604" t="s">
        <v>94</v>
      </c>
      <c r="BG88" s="604">
        <v>564</v>
      </c>
      <c r="BH88" s="604" t="s">
        <v>445</v>
      </c>
      <c r="BR88" s="547" t="str">
        <f t="shared" si="19"/>
        <v>28+ days1000-1499bwt</v>
      </c>
      <c r="BS88" s="604">
        <v>2016</v>
      </c>
      <c r="BT88" s="604" t="s">
        <v>117</v>
      </c>
      <c r="BU88" s="604" t="s">
        <v>429</v>
      </c>
      <c r="BV88" s="604" t="s">
        <v>447</v>
      </c>
      <c r="BW88" s="604">
        <v>2</v>
      </c>
      <c r="BY88" s="553" t="str">
        <f t="shared" si="20"/>
        <v>201220-24ageSIDS</v>
      </c>
      <c r="BZ88" s="604">
        <v>2012</v>
      </c>
      <c r="CA88" s="604" t="s">
        <v>130</v>
      </c>
      <c r="CB88" s="604" t="s">
        <v>453</v>
      </c>
      <c r="CC88" s="604">
        <v>7</v>
      </c>
      <c r="CD88" s="604" t="s">
        <v>32</v>
      </c>
      <c r="CF88" s="554" t="str">
        <f t="shared" si="21"/>
        <v>2016MaoriBay of PlentydhbSIDS</v>
      </c>
      <c r="CG88" s="604">
        <v>2016</v>
      </c>
      <c r="CH88" s="604" t="s">
        <v>129</v>
      </c>
      <c r="CI88" s="604" t="s">
        <v>91</v>
      </c>
      <c r="CJ88" s="604" t="s">
        <v>448</v>
      </c>
      <c r="CK88" s="604">
        <v>0</v>
      </c>
      <c r="CL88" s="604" t="s">
        <v>32</v>
      </c>
      <c r="CN88" s="575" t="str">
        <f t="shared" si="22"/>
        <v>2012R00–R99infant</v>
      </c>
      <c r="CO88" s="604">
        <v>2012</v>
      </c>
      <c r="CP88" s="604" t="s">
        <v>515</v>
      </c>
      <c r="CQ88" s="604">
        <v>20</v>
      </c>
      <c r="CR88" s="604">
        <v>6.8</v>
      </c>
      <c r="CS88" s="604">
        <v>0.32</v>
      </c>
      <c r="CT88" s="604" t="s">
        <v>437</v>
      </c>
      <c r="CV88" s="575"/>
    </row>
    <row r="89" spans="1:100">
      <c r="A89" s="502" t="str">
        <f t="shared" si="12"/>
        <v>1998deathsPerinatal</v>
      </c>
      <c r="B89" s="604">
        <v>1998</v>
      </c>
      <c r="C89" s="604" t="s">
        <v>496</v>
      </c>
      <c r="D89" s="604" t="s">
        <v>49</v>
      </c>
      <c r="E89" s="604">
        <v>484</v>
      </c>
      <c r="F89" s="604">
        <v>58082</v>
      </c>
      <c r="G89" s="604">
        <v>8.3000000000000007</v>
      </c>
      <c r="I89" s="578" t="str">
        <f t="shared" si="13"/>
        <v>2005age25-29Fetal</v>
      </c>
      <c r="J89" s="604">
        <v>2005</v>
      </c>
      <c r="K89" s="604" t="s">
        <v>453</v>
      </c>
      <c r="L89" s="604" t="s">
        <v>131</v>
      </c>
      <c r="M89" s="604">
        <v>81</v>
      </c>
      <c r="N89" s="604">
        <v>14138</v>
      </c>
      <c r="O89" s="604">
        <v>5.7</v>
      </c>
      <c r="P89" s="604" t="s">
        <v>47</v>
      </c>
      <c r="Q89" s="499"/>
      <c r="R89" s="502" t="str">
        <f t="shared" si="14"/>
        <v>2008birthsbwt1000-1499</v>
      </c>
      <c r="S89" s="604">
        <v>2008</v>
      </c>
      <c r="T89" s="604" t="s">
        <v>445</v>
      </c>
      <c r="U89" s="604" t="s">
        <v>447</v>
      </c>
      <c r="V89" s="604" t="s">
        <v>429</v>
      </c>
      <c r="W89" s="604">
        <v>390</v>
      </c>
      <c r="Y89" s="535" t="str">
        <f t="shared" si="15"/>
        <v>2016depageQuin 320-24fetal</v>
      </c>
      <c r="Z89" s="604">
        <v>2016</v>
      </c>
      <c r="AA89" s="604" t="s">
        <v>454</v>
      </c>
      <c r="AB89" s="604" t="s">
        <v>453</v>
      </c>
      <c r="AC89" s="604" t="s">
        <v>423</v>
      </c>
      <c r="AD89" s="604" t="s">
        <v>130</v>
      </c>
      <c r="AE89" s="604">
        <v>13</v>
      </c>
      <c r="AF89" s="604">
        <v>1564</v>
      </c>
      <c r="AG89" s="604">
        <v>8.1999999999999993</v>
      </c>
      <c r="AH89" s="604" t="s">
        <v>420</v>
      </c>
      <c r="AJ89" s="535" t="str">
        <f t="shared" si="16"/>
        <v>2016depageQuin 320-24</v>
      </c>
      <c r="AK89" s="604">
        <v>2016</v>
      </c>
      <c r="AL89" s="604" t="s">
        <v>454</v>
      </c>
      <c r="AM89" s="604" t="s">
        <v>453</v>
      </c>
      <c r="AN89" s="604" t="s">
        <v>423</v>
      </c>
      <c r="AO89" s="604" t="s">
        <v>130</v>
      </c>
      <c r="AP89" s="604">
        <v>1564</v>
      </c>
      <c r="AR89" s="538" t="str">
        <f t="shared" si="17"/>
        <v>&lt;20agefetalWairarapa</v>
      </c>
      <c r="AS89" s="604">
        <v>2016</v>
      </c>
      <c r="AT89" s="604" t="s">
        <v>339</v>
      </c>
      <c r="AU89" s="604" t="s">
        <v>453</v>
      </c>
      <c r="AV89" s="604" t="s">
        <v>98</v>
      </c>
      <c r="AW89" s="604">
        <v>2</v>
      </c>
      <c r="AX89" s="604">
        <v>29</v>
      </c>
      <c r="AY89" s="606">
        <v>69</v>
      </c>
      <c r="AZ89" s="604" t="s">
        <v>420</v>
      </c>
      <c r="BB89" s="536" t="str">
        <f t="shared" si="18"/>
        <v>35-39agebirthsMidCentral</v>
      </c>
      <c r="BC89" s="604">
        <v>2016</v>
      </c>
      <c r="BD89" s="604" t="s">
        <v>133</v>
      </c>
      <c r="BE89" s="604" t="s">
        <v>453</v>
      </c>
      <c r="BF89" s="604" t="s">
        <v>94</v>
      </c>
      <c r="BG89" s="604">
        <v>280</v>
      </c>
      <c r="BH89" s="604" t="s">
        <v>445</v>
      </c>
      <c r="BR89" s="547" t="str">
        <f t="shared" si="19"/>
        <v>28+ days1500-2499bwt</v>
      </c>
      <c r="BS89" s="604">
        <v>2016</v>
      </c>
      <c r="BT89" s="604" t="s">
        <v>117</v>
      </c>
      <c r="BU89" s="604" t="s">
        <v>430</v>
      </c>
      <c r="BV89" s="604" t="s">
        <v>447</v>
      </c>
      <c r="BW89" s="604">
        <v>9</v>
      </c>
      <c r="BY89" s="553" t="str">
        <f t="shared" si="20"/>
        <v>201225-29ageSIDS</v>
      </c>
      <c r="BZ89" s="604">
        <v>2012</v>
      </c>
      <c r="CA89" s="604" t="s">
        <v>131</v>
      </c>
      <c r="CB89" s="604" t="s">
        <v>453</v>
      </c>
      <c r="CC89" s="604">
        <v>6</v>
      </c>
      <c r="CD89" s="604" t="s">
        <v>32</v>
      </c>
      <c r="CF89" s="554" t="str">
        <f t="shared" si="21"/>
        <v>2016Pacific peoplesBay of PlentydhbSIDS</v>
      </c>
      <c r="CG89" s="604">
        <v>2016</v>
      </c>
      <c r="CH89" s="604" t="s">
        <v>320</v>
      </c>
      <c r="CI89" s="604" t="s">
        <v>91</v>
      </c>
      <c r="CJ89" s="604" t="s">
        <v>448</v>
      </c>
      <c r="CK89" s="604">
        <v>0</v>
      </c>
      <c r="CL89" s="604" t="s">
        <v>32</v>
      </c>
      <c r="CN89" s="575" t="str">
        <f t="shared" si="22"/>
        <v>2012V00–Y98infant</v>
      </c>
      <c r="CO89" s="604">
        <v>2012</v>
      </c>
      <c r="CP89" s="604" t="s">
        <v>523</v>
      </c>
      <c r="CQ89" s="604">
        <v>24</v>
      </c>
      <c r="CR89" s="604">
        <v>8.1999999999999993</v>
      </c>
      <c r="CS89" s="604">
        <v>0.39</v>
      </c>
      <c r="CT89" s="604" t="s">
        <v>437</v>
      </c>
      <c r="CV89" s="575"/>
    </row>
    <row r="90" spans="1:100">
      <c r="A90" s="502" t="str">
        <f t="shared" si="12"/>
        <v>1999deathsPerinatal</v>
      </c>
      <c r="B90" s="604">
        <v>1999</v>
      </c>
      <c r="C90" s="604" t="s">
        <v>496</v>
      </c>
      <c r="D90" s="604" t="s">
        <v>49</v>
      </c>
      <c r="E90" s="604">
        <v>582</v>
      </c>
      <c r="F90" s="604">
        <v>57847</v>
      </c>
      <c r="G90" s="604">
        <v>10.1</v>
      </c>
      <c r="I90" s="578" t="str">
        <f t="shared" si="13"/>
        <v>2005age30-34Fetal</v>
      </c>
      <c r="J90" s="604">
        <v>2005</v>
      </c>
      <c r="K90" s="604" t="s">
        <v>453</v>
      </c>
      <c r="L90" s="604" t="s">
        <v>132</v>
      </c>
      <c r="M90" s="604">
        <v>122</v>
      </c>
      <c r="N90" s="604">
        <v>18277</v>
      </c>
      <c r="O90" s="604">
        <v>6.7</v>
      </c>
      <c r="P90" s="604" t="s">
        <v>47</v>
      </c>
      <c r="Q90" s="499"/>
      <c r="R90" s="502" t="str">
        <f t="shared" si="14"/>
        <v>2008birthsbwt1500-2499</v>
      </c>
      <c r="S90" s="604">
        <v>2008</v>
      </c>
      <c r="T90" s="604" t="s">
        <v>445</v>
      </c>
      <c r="U90" s="604" t="s">
        <v>447</v>
      </c>
      <c r="V90" s="604" t="s">
        <v>430</v>
      </c>
      <c r="W90" s="604">
        <v>3187</v>
      </c>
      <c r="Y90" s="535" t="str">
        <f t="shared" si="15"/>
        <v>2016depageQuin 420-24fetal</v>
      </c>
      <c r="Z90" s="604">
        <v>2016</v>
      </c>
      <c r="AA90" s="604" t="s">
        <v>454</v>
      </c>
      <c r="AB90" s="604" t="s">
        <v>453</v>
      </c>
      <c r="AC90" s="604" t="s">
        <v>424</v>
      </c>
      <c r="AD90" s="604" t="s">
        <v>130</v>
      </c>
      <c r="AE90" s="604">
        <v>8</v>
      </c>
      <c r="AF90" s="604">
        <v>2364</v>
      </c>
      <c r="AG90" s="604">
        <v>3.4</v>
      </c>
      <c r="AH90" s="604" t="s">
        <v>420</v>
      </c>
      <c r="AJ90" s="535" t="str">
        <f t="shared" si="16"/>
        <v>2016depageQuin 420-24</v>
      </c>
      <c r="AK90" s="604">
        <v>2016</v>
      </c>
      <c r="AL90" s="604" t="s">
        <v>454</v>
      </c>
      <c r="AM90" s="604" t="s">
        <v>453</v>
      </c>
      <c r="AN90" s="604" t="s">
        <v>424</v>
      </c>
      <c r="AO90" s="604" t="s">
        <v>130</v>
      </c>
      <c r="AP90" s="604">
        <v>2364</v>
      </c>
      <c r="AR90" s="538" t="str">
        <f t="shared" si="17"/>
        <v>20-24agefetalWairarapa</v>
      </c>
      <c r="AS90" s="604">
        <v>2016</v>
      </c>
      <c r="AT90" s="604" t="s">
        <v>130</v>
      </c>
      <c r="AU90" s="604" t="s">
        <v>453</v>
      </c>
      <c r="AV90" s="604" t="s">
        <v>98</v>
      </c>
      <c r="AW90" s="604">
        <v>1</v>
      </c>
      <c r="AX90" s="604">
        <v>101</v>
      </c>
      <c r="AY90" s="606">
        <v>9.9</v>
      </c>
      <c r="AZ90" s="604" t="s">
        <v>420</v>
      </c>
      <c r="BB90" s="536" t="str">
        <f t="shared" si="18"/>
        <v>40+agebirthsMidCentral</v>
      </c>
      <c r="BC90" s="604">
        <v>2016</v>
      </c>
      <c r="BD90" s="604" t="s">
        <v>134</v>
      </c>
      <c r="BE90" s="604" t="s">
        <v>453</v>
      </c>
      <c r="BF90" s="604" t="s">
        <v>94</v>
      </c>
      <c r="BG90" s="604">
        <v>68</v>
      </c>
      <c r="BH90" s="604" t="s">
        <v>445</v>
      </c>
      <c r="BR90" s="547" t="str">
        <f t="shared" si="19"/>
        <v>28+ days2500-4499bwt</v>
      </c>
      <c r="BS90" s="604">
        <v>2016</v>
      </c>
      <c r="BT90" s="604" t="s">
        <v>117</v>
      </c>
      <c r="BU90" s="604" t="s">
        <v>431</v>
      </c>
      <c r="BV90" s="604" t="s">
        <v>447</v>
      </c>
      <c r="BW90" s="604">
        <v>57</v>
      </c>
      <c r="BY90" s="553" t="str">
        <f t="shared" si="20"/>
        <v>201230-34ageSIDS</v>
      </c>
      <c r="BZ90" s="604">
        <v>2012</v>
      </c>
      <c r="CA90" s="604" t="s">
        <v>132</v>
      </c>
      <c r="CB90" s="604" t="s">
        <v>453</v>
      </c>
      <c r="CC90" s="604">
        <v>1</v>
      </c>
      <c r="CD90" s="604" t="s">
        <v>32</v>
      </c>
      <c r="CF90" s="554" t="str">
        <f t="shared" si="21"/>
        <v>2016European or OtherTairawhitidhbSIDS</v>
      </c>
      <c r="CG90" s="604">
        <v>2016</v>
      </c>
      <c r="CH90" s="604" t="s">
        <v>356</v>
      </c>
      <c r="CI90" s="604" t="s">
        <v>433</v>
      </c>
      <c r="CJ90" s="604" t="s">
        <v>448</v>
      </c>
      <c r="CK90" s="604">
        <v>0</v>
      </c>
      <c r="CL90" s="604" t="s">
        <v>32</v>
      </c>
      <c r="CN90" s="575" t="str">
        <f t="shared" si="22"/>
        <v>2013A00–B99infant</v>
      </c>
      <c r="CO90" s="604">
        <v>2013</v>
      </c>
      <c r="CP90" s="604" t="s">
        <v>498</v>
      </c>
      <c r="CQ90" s="604">
        <v>7</v>
      </c>
      <c r="CR90" s="604">
        <v>2.4</v>
      </c>
      <c r="CS90" s="604">
        <v>0.12</v>
      </c>
      <c r="CT90" s="604" t="s">
        <v>437</v>
      </c>
      <c r="CV90" s="575"/>
    </row>
    <row r="91" spans="1:100">
      <c r="A91" s="502" t="str">
        <f t="shared" si="12"/>
        <v>2000deathsPerinatal</v>
      </c>
      <c r="B91" s="604">
        <v>2000</v>
      </c>
      <c r="C91" s="604" t="s">
        <v>496</v>
      </c>
      <c r="D91" s="604" t="s">
        <v>49</v>
      </c>
      <c r="E91" s="604">
        <v>543</v>
      </c>
      <c r="F91" s="604">
        <v>57363</v>
      </c>
      <c r="G91" s="604">
        <v>9.5</v>
      </c>
      <c r="I91" s="578" t="str">
        <f t="shared" si="13"/>
        <v>2005age35-39Fetal</v>
      </c>
      <c r="J91" s="604">
        <v>2005</v>
      </c>
      <c r="K91" s="604" t="s">
        <v>453</v>
      </c>
      <c r="L91" s="604" t="s">
        <v>133</v>
      </c>
      <c r="M91" s="604">
        <v>72</v>
      </c>
      <c r="N91" s="604">
        <v>10192</v>
      </c>
      <c r="O91" s="604">
        <v>7.1</v>
      </c>
      <c r="P91" s="604" t="s">
        <v>47</v>
      </c>
      <c r="Q91" s="499"/>
      <c r="R91" s="502" t="str">
        <f t="shared" si="14"/>
        <v>2008birthsbwt2500-4499</v>
      </c>
      <c r="S91" s="604">
        <v>2008</v>
      </c>
      <c r="T91" s="604" t="s">
        <v>445</v>
      </c>
      <c r="U91" s="604" t="s">
        <v>447</v>
      </c>
      <c r="V91" s="604" t="s">
        <v>431</v>
      </c>
      <c r="W91" s="604">
        <v>59536</v>
      </c>
      <c r="Y91" s="535" t="str">
        <f t="shared" si="15"/>
        <v>2016depageQuin 520-24fetal</v>
      </c>
      <c r="Z91" s="604">
        <v>2016</v>
      </c>
      <c r="AA91" s="604" t="s">
        <v>454</v>
      </c>
      <c r="AB91" s="604" t="s">
        <v>453</v>
      </c>
      <c r="AC91" s="604" t="s">
        <v>425</v>
      </c>
      <c r="AD91" s="604" t="s">
        <v>130</v>
      </c>
      <c r="AE91" s="604">
        <v>38</v>
      </c>
      <c r="AF91" s="604">
        <v>4284</v>
      </c>
      <c r="AG91" s="604">
        <v>8.8000000000000007</v>
      </c>
      <c r="AH91" s="604" t="s">
        <v>420</v>
      </c>
      <c r="AJ91" s="535" t="str">
        <f t="shared" si="16"/>
        <v>2016depageQuin 520-24</v>
      </c>
      <c r="AK91" s="604">
        <v>2016</v>
      </c>
      <c r="AL91" s="604" t="s">
        <v>454</v>
      </c>
      <c r="AM91" s="604" t="s">
        <v>453</v>
      </c>
      <c r="AN91" s="604" t="s">
        <v>425</v>
      </c>
      <c r="AO91" s="604" t="s">
        <v>130</v>
      </c>
      <c r="AP91" s="604">
        <v>4284</v>
      </c>
      <c r="AR91" s="538" t="str">
        <f t="shared" si="17"/>
        <v>25-29agefetalWairarapa</v>
      </c>
      <c r="AS91" s="604">
        <v>2016</v>
      </c>
      <c r="AT91" s="604" t="s">
        <v>131</v>
      </c>
      <c r="AU91" s="604" t="s">
        <v>453</v>
      </c>
      <c r="AV91" s="604" t="s">
        <v>98</v>
      </c>
      <c r="AW91" s="604">
        <v>1</v>
      </c>
      <c r="AX91" s="604">
        <v>140</v>
      </c>
      <c r="AY91" s="606">
        <v>7.1</v>
      </c>
      <c r="AZ91" s="604" t="s">
        <v>420</v>
      </c>
      <c r="BB91" s="536" t="str">
        <f t="shared" si="18"/>
        <v>&lt;20agebirthsWhanganui</v>
      </c>
      <c r="BC91" s="604">
        <v>2016</v>
      </c>
      <c r="BD91" s="604" t="s">
        <v>339</v>
      </c>
      <c r="BE91" s="604" t="s">
        <v>453</v>
      </c>
      <c r="BF91" s="604" t="s">
        <v>95</v>
      </c>
      <c r="BG91" s="604">
        <v>59</v>
      </c>
      <c r="BH91" s="604" t="s">
        <v>445</v>
      </c>
      <c r="BR91" s="547" t="str">
        <f t="shared" si="19"/>
        <v>28+ daysUnknownbwt</v>
      </c>
      <c r="BS91" s="604">
        <v>2016</v>
      </c>
      <c r="BT91" s="604" t="s">
        <v>117</v>
      </c>
      <c r="BU91" s="604" t="s">
        <v>63</v>
      </c>
      <c r="BV91" s="604" t="s">
        <v>447</v>
      </c>
      <c r="BW91" s="604">
        <v>3</v>
      </c>
      <c r="BY91" s="553" t="str">
        <f t="shared" si="20"/>
        <v>201235-39ageSIDS</v>
      </c>
      <c r="BZ91" s="604">
        <v>2012</v>
      </c>
      <c r="CA91" s="604" t="s">
        <v>133</v>
      </c>
      <c r="CB91" s="604" t="s">
        <v>453</v>
      </c>
      <c r="CC91" s="604">
        <v>2</v>
      </c>
      <c r="CD91" s="604" t="s">
        <v>32</v>
      </c>
      <c r="CF91" s="554" t="str">
        <f t="shared" si="21"/>
        <v>2016MaoriTairawhitidhbSIDS</v>
      </c>
      <c r="CG91" s="604">
        <v>2016</v>
      </c>
      <c r="CH91" s="604" t="s">
        <v>129</v>
      </c>
      <c r="CI91" s="604" t="s">
        <v>433</v>
      </c>
      <c r="CJ91" s="604" t="s">
        <v>448</v>
      </c>
      <c r="CK91" s="604">
        <v>1</v>
      </c>
      <c r="CL91" s="604" t="s">
        <v>32</v>
      </c>
      <c r="CN91" s="575" t="str">
        <f t="shared" si="22"/>
        <v>2013C00–D48infant</v>
      </c>
      <c r="CO91" s="604">
        <v>2013</v>
      </c>
      <c r="CP91" s="604" t="s">
        <v>499</v>
      </c>
      <c r="CQ91" s="604">
        <v>5</v>
      </c>
      <c r="CR91" s="604">
        <v>1.7</v>
      </c>
      <c r="CS91" s="604">
        <v>0.08</v>
      </c>
      <c r="CT91" s="604" t="s">
        <v>437</v>
      </c>
      <c r="CV91" s="575"/>
    </row>
    <row r="92" spans="1:100">
      <c r="A92" s="502" t="str">
        <f t="shared" si="12"/>
        <v>2001deathsPerinatal</v>
      </c>
      <c r="B92" s="604">
        <v>2001</v>
      </c>
      <c r="C92" s="604" t="s">
        <v>496</v>
      </c>
      <c r="D92" s="604" t="s">
        <v>49</v>
      </c>
      <c r="E92" s="604">
        <v>529</v>
      </c>
      <c r="F92" s="604">
        <v>56610</v>
      </c>
      <c r="G92" s="604">
        <v>9.3000000000000007</v>
      </c>
      <c r="I92" s="578" t="str">
        <f t="shared" si="13"/>
        <v>2005age40+Fetal</v>
      </c>
      <c r="J92" s="604">
        <v>2005</v>
      </c>
      <c r="K92" s="604" t="s">
        <v>453</v>
      </c>
      <c r="L92" s="604" t="s">
        <v>134</v>
      </c>
      <c r="M92" s="604">
        <v>22</v>
      </c>
      <c r="N92" s="604">
        <v>2150</v>
      </c>
      <c r="O92" s="604">
        <v>10.199999999999999</v>
      </c>
      <c r="P92" s="604" t="s">
        <v>47</v>
      </c>
      <c r="Q92" s="499"/>
      <c r="R92" s="502" t="str">
        <f t="shared" si="14"/>
        <v>2008birthsbwt4500+</v>
      </c>
      <c r="S92" s="604">
        <v>2008</v>
      </c>
      <c r="T92" s="604" t="s">
        <v>445</v>
      </c>
      <c r="U92" s="604" t="s">
        <v>447</v>
      </c>
      <c r="V92" s="604" t="s">
        <v>432</v>
      </c>
      <c r="W92" s="604">
        <v>1862</v>
      </c>
      <c r="Y92" s="535" t="str">
        <f t="shared" si="15"/>
        <v>2016depageQuin 920-24fetal</v>
      </c>
      <c r="Z92" s="604">
        <v>2016</v>
      </c>
      <c r="AA92" s="604" t="s">
        <v>454</v>
      </c>
      <c r="AB92" s="604" t="s">
        <v>453</v>
      </c>
      <c r="AC92" s="604" t="s">
        <v>426</v>
      </c>
      <c r="AD92" s="604" t="s">
        <v>130</v>
      </c>
      <c r="AE92" s="604">
        <v>4</v>
      </c>
      <c r="AF92" s="604">
        <v>16</v>
      </c>
      <c r="AG92" s="604" t="s">
        <v>119</v>
      </c>
      <c r="AH92" s="604" t="s">
        <v>420</v>
      </c>
      <c r="AJ92" s="535" t="str">
        <f t="shared" si="16"/>
        <v>2016depageQuin 920-24</v>
      </c>
      <c r="AK92" s="604">
        <v>2016</v>
      </c>
      <c r="AL92" s="604" t="s">
        <v>454</v>
      </c>
      <c r="AM92" s="604" t="s">
        <v>453</v>
      </c>
      <c r="AN92" s="604" t="s">
        <v>426</v>
      </c>
      <c r="AO92" s="604" t="s">
        <v>130</v>
      </c>
      <c r="AP92" s="604">
        <v>16</v>
      </c>
      <c r="AR92" s="538" t="str">
        <f t="shared" si="17"/>
        <v>30-34agefetalWairarapa</v>
      </c>
      <c r="AS92" s="604">
        <v>2016</v>
      </c>
      <c r="AT92" s="604" t="s">
        <v>132</v>
      </c>
      <c r="AU92" s="604" t="s">
        <v>453</v>
      </c>
      <c r="AV92" s="604" t="s">
        <v>98</v>
      </c>
      <c r="AW92" s="604">
        <v>1</v>
      </c>
      <c r="AX92" s="604">
        <v>121</v>
      </c>
      <c r="AY92" s="606">
        <v>8.3000000000000007</v>
      </c>
      <c r="AZ92" s="604" t="s">
        <v>420</v>
      </c>
      <c r="BB92" s="536" t="str">
        <f t="shared" si="18"/>
        <v>20-24agebirthsWhanganui</v>
      </c>
      <c r="BC92" s="604">
        <v>2016</v>
      </c>
      <c r="BD92" s="604" t="s">
        <v>130</v>
      </c>
      <c r="BE92" s="604" t="s">
        <v>453</v>
      </c>
      <c r="BF92" s="604" t="s">
        <v>95</v>
      </c>
      <c r="BG92" s="604">
        <v>207</v>
      </c>
      <c r="BH92" s="604" t="s">
        <v>445</v>
      </c>
      <c r="BR92" s="547" t="str">
        <f t="shared" si="19"/>
        <v>7-27 days500-999bwt</v>
      </c>
      <c r="BS92" s="604">
        <v>2016</v>
      </c>
      <c r="BT92" s="604" t="s">
        <v>471</v>
      </c>
      <c r="BU92" s="604" t="s">
        <v>428</v>
      </c>
      <c r="BV92" s="604" t="s">
        <v>447</v>
      </c>
      <c r="BW92" s="604">
        <v>7</v>
      </c>
      <c r="BY92" s="553" t="str">
        <f t="shared" si="20"/>
        <v>201240+ageSIDS</v>
      </c>
      <c r="BZ92" s="604">
        <v>2012</v>
      </c>
      <c r="CA92" s="604" t="s">
        <v>134</v>
      </c>
      <c r="CB92" s="604" t="s">
        <v>453</v>
      </c>
      <c r="CC92" s="604">
        <v>0</v>
      </c>
      <c r="CD92" s="604" t="s">
        <v>32</v>
      </c>
      <c r="CF92" s="554" t="str">
        <f t="shared" si="21"/>
        <v>2016AsianHawke's BaydhbSIDS</v>
      </c>
      <c r="CG92" s="604">
        <v>2016</v>
      </c>
      <c r="CH92" s="604" t="s">
        <v>355</v>
      </c>
      <c r="CI92" s="604" t="s">
        <v>92</v>
      </c>
      <c r="CJ92" s="604" t="s">
        <v>448</v>
      </c>
      <c r="CK92" s="604">
        <v>0</v>
      </c>
      <c r="CL92" s="604" t="s">
        <v>32</v>
      </c>
      <c r="CN92" s="575" t="str">
        <f t="shared" si="22"/>
        <v>2013D50–D89infant</v>
      </c>
      <c r="CO92" s="604">
        <v>2013</v>
      </c>
      <c r="CP92" s="604" t="s">
        <v>500</v>
      </c>
      <c r="CQ92" s="604">
        <v>2</v>
      </c>
      <c r="CR92" s="604">
        <v>0.7</v>
      </c>
      <c r="CS92" s="604">
        <v>0.03</v>
      </c>
      <c r="CT92" s="604" t="s">
        <v>437</v>
      </c>
      <c r="CV92" s="575"/>
    </row>
    <row r="93" spans="1:100">
      <c r="A93" s="502" t="str">
        <f t="shared" si="12"/>
        <v>2002deathsPerinatal</v>
      </c>
      <c r="B93" s="604">
        <v>2002</v>
      </c>
      <c r="C93" s="604" t="s">
        <v>496</v>
      </c>
      <c r="D93" s="604" t="s">
        <v>49</v>
      </c>
      <c r="E93" s="604">
        <v>575</v>
      </c>
      <c r="F93" s="604">
        <v>54905</v>
      </c>
      <c r="G93" s="604">
        <v>10.5</v>
      </c>
      <c r="I93" s="578" t="str">
        <f t="shared" si="13"/>
        <v>2005ageUnknownFetal</v>
      </c>
      <c r="J93" s="604">
        <v>2005</v>
      </c>
      <c r="K93" s="604" t="s">
        <v>453</v>
      </c>
      <c r="L93" s="604" t="s">
        <v>63</v>
      </c>
      <c r="M93" s="604">
        <v>1</v>
      </c>
      <c r="N93" s="604">
        <v>1</v>
      </c>
      <c r="O93" s="604" t="s">
        <v>119</v>
      </c>
      <c r="P93" s="604" t="s">
        <v>47</v>
      </c>
      <c r="Q93" s="499"/>
      <c r="R93" s="502" t="str">
        <f t="shared" si="14"/>
        <v>2008birthsbwtUnknown</v>
      </c>
      <c r="S93" s="604">
        <v>2008</v>
      </c>
      <c r="T93" s="604" t="s">
        <v>445</v>
      </c>
      <c r="U93" s="604" t="s">
        <v>447</v>
      </c>
      <c r="V93" s="604" t="s">
        <v>63</v>
      </c>
      <c r="W93" s="604">
        <v>85</v>
      </c>
      <c r="Y93" s="535" t="str">
        <f t="shared" si="15"/>
        <v>2016depageQuin 125-29fetal</v>
      </c>
      <c r="Z93" s="604">
        <v>2016</v>
      </c>
      <c r="AA93" s="604" t="s">
        <v>454</v>
      </c>
      <c r="AB93" s="604" t="s">
        <v>453</v>
      </c>
      <c r="AC93" s="604" t="s">
        <v>421</v>
      </c>
      <c r="AD93" s="604" t="s">
        <v>131</v>
      </c>
      <c r="AE93" s="604">
        <v>13</v>
      </c>
      <c r="AF93" s="604">
        <v>2066</v>
      </c>
      <c r="AG93" s="604">
        <v>6.3</v>
      </c>
      <c r="AH93" s="604" t="s">
        <v>420</v>
      </c>
      <c r="AJ93" s="535" t="str">
        <f t="shared" si="16"/>
        <v>2016depageQuin 125-29</v>
      </c>
      <c r="AK93" s="604">
        <v>2016</v>
      </c>
      <c r="AL93" s="604" t="s">
        <v>454</v>
      </c>
      <c r="AM93" s="604" t="s">
        <v>453</v>
      </c>
      <c r="AN93" s="604" t="s">
        <v>421</v>
      </c>
      <c r="AO93" s="604" t="s">
        <v>131</v>
      </c>
      <c r="AP93" s="604">
        <v>2066</v>
      </c>
      <c r="AR93" s="538" t="str">
        <f t="shared" si="17"/>
        <v>30-34agefetalNelson Marlborough</v>
      </c>
      <c r="AS93" s="604">
        <v>2016</v>
      </c>
      <c r="AT93" s="604" t="s">
        <v>132</v>
      </c>
      <c r="AU93" s="604" t="s">
        <v>453</v>
      </c>
      <c r="AV93" s="604" t="s">
        <v>99</v>
      </c>
      <c r="AW93" s="604">
        <v>2</v>
      </c>
      <c r="AX93" s="604">
        <v>474</v>
      </c>
      <c r="AY93" s="606">
        <v>4.2</v>
      </c>
      <c r="AZ93" s="604" t="s">
        <v>420</v>
      </c>
      <c r="BB93" s="536" t="str">
        <f t="shared" si="18"/>
        <v>25-29agebirthsWhanganui</v>
      </c>
      <c r="BC93" s="604">
        <v>2016</v>
      </c>
      <c r="BD93" s="604" t="s">
        <v>131</v>
      </c>
      <c r="BE93" s="604" t="s">
        <v>453</v>
      </c>
      <c r="BF93" s="604" t="s">
        <v>95</v>
      </c>
      <c r="BG93" s="604">
        <v>273</v>
      </c>
      <c r="BH93" s="604" t="s">
        <v>445</v>
      </c>
      <c r="BR93" s="547" t="str">
        <f t="shared" si="19"/>
        <v>7-27 days1000-1499bwt</v>
      </c>
      <c r="BS93" s="604">
        <v>2016</v>
      </c>
      <c r="BT93" s="604" t="s">
        <v>471</v>
      </c>
      <c r="BU93" s="604" t="s">
        <v>429</v>
      </c>
      <c r="BV93" s="604" t="s">
        <v>447</v>
      </c>
      <c r="BW93" s="604">
        <v>2</v>
      </c>
      <c r="BY93" s="553" t="str">
        <f t="shared" si="20"/>
        <v>2012UnknownageSIDS</v>
      </c>
      <c r="BZ93" s="604">
        <v>2012</v>
      </c>
      <c r="CA93" s="604" t="s">
        <v>63</v>
      </c>
      <c r="CB93" s="604" t="s">
        <v>453</v>
      </c>
      <c r="CC93" s="604">
        <v>0</v>
      </c>
      <c r="CD93" s="604" t="s">
        <v>32</v>
      </c>
      <c r="CF93" s="554" t="str">
        <f t="shared" si="21"/>
        <v>2016European or OtherHawke's BaydhbSIDS</v>
      </c>
      <c r="CG93" s="604">
        <v>2016</v>
      </c>
      <c r="CH93" s="604" t="s">
        <v>356</v>
      </c>
      <c r="CI93" s="604" t="s">
        <v>92</v>
      </c>
      <c r="CJ93" s="604" t="s">
        <v>448</v>
      </c>
      <c r="CK93" s="604">
        <v>0</v>
      </c>
      <c r="CL93" s="604" t="s">
        <v>32</v>
      </c>
      <c r="CN93" s="575" t="str">
        <f t="shared" si="22"/>
        <v>2013E00–E89infant</v>
      </c>
      <c r="CO93" s="604">
        <v>2013</v>
      </c>
      <c r="CP93" s="604" t="s">
        <v>501</v>
      </c>
      <c r="CQ93" s="604">
        <v>3</v>
      </c>
      <c r="CR93" s="604">
        <v>1</v>
      </c>
      <c r="CS93" s="604">
        <v>0.05</v>
      </c>
      <c r="CT93" s="604" t="s">
        <v>437</v>
      </c>
      <c r="CV93" s="575"/>
    </row>
    <row r="94" spans="1:100">
      <c r="A94" s="502" t="str">
        <f t="shared" si="12"/>
        <v>2003deathsPerinatal</v>
      </c>
      <c r="B94" s="604">
        <v>2003</v>
      </c>
      <c r="C94" s="604" t="s">
        <v>496</v>
      </c>
      <c r="D94" s="604" t="s">
        <v>49</v>
      </c>
      <c r="E94" s="604">
        <v>534</v>
      </c>
      <c r="F94" s="604">
        <v>56969</v>
      </c>
      <c r="G94" s="604">
        <v>9.4</v>
      </c>
      <c r="I94" s="578" t="str">
        <f t="shared" si="13"/>
        <v>2006age&lt;20Fetal</v>
      </c>
      <c r="J94" s="604">
        <v>2006</v>
      </c>
      <c r="K94" s="604" t="s">
        <v>453</v>
      </c>
      <c r="L94" s="604" t="s">
        <v>339</v>
      </c>
      <c r="M94" s="604">
        <v>28</v>
      </c>
      <c r="N94" s="604">
        <v>4483</v>
      </c>
      <c r="O94" s="604">
        <v>6.2</v>
      </c>
      <c r="P94" s="604" t="s">
        <v>47</v>
      </c>
      <c r="Q94" s="499"/>
      <c r="R94" s="502" t="str">
        <f t="shared" si="14"/>
        <v>2009birthsbwt&lt;500</v>
      </c>
      <c r="S94" s="604">
        <v>2009</v>
      </c>
      <c r="T94" s="604" t="s">
        <v>445</v>
      </c>
      <c r="U94" s="604" t="s">
        <v>447</v>
      </c>
      <c r="V94" s="604" t="s">
        <v>427</v>
      </c>
      <c r="W94" s="604">
        <v>60</v>
      </c>
      <c r="Y94" s="535" t="str">
        <f t="shared" si="15"/>
        <v>2016depageQuin 225-29fetal</v>
      </c>
      <c r="Z94" s="604">
        <v>2016</v>
      </c>
      <c r="AA94" s="604" t="s">
        <v>454</v>
      </c>
      <c r="AB94" s="604" t="s">
        <v>453</v>
      </c>
      <c r="AC94" s="604" t="s">
        <v>422</v>
      </c>
      <c r="AD94" s="604" t="s">
        <v>131</v>
      </c>
      <c r="AE94" s="604">
        <v>17</v>
      </c>
      <c r="AF94" s="604">
        <v>2592</v>
      </c>
      <c r="AG94" s="604">
        <v>6.5</v>
      </c>
      <c r="AH94" s="604" t="s">
        <v>420</v>
      </c>
      <c r="AJ94" s="535" t="str">
        <f t="shared" si="16"/>
        <v>2016depageQuin 225-29</v>
      </c>
      <c r="AK94" s="604">
        <v>2016</v>
      </c>
      <c r="AL94" s="604" t="s">
        <v>454</v>
      </c>
      <c r="AM94" s="604" t="s">
        <v>453</v>
      </c>
      <c r="AN94" s="604" t="s">
        <v>422</v>
      </c>
      <c r="AO94" s="604" t="s">
        <v>131</v>
      </c>
      <c r="AP94" s="604">
        <v>2592</v>
      </c>
      <c r="AR94" s="538" t="str">
        <f t="shared" si="17"/>
        <v>40+agefetalNelson Marlborough</v>
      </c>
      <c r="AS94" s="604">
        <v>2016</v>
      </c>
      <c r="AT94" s="604" t="s">
        <v>134</v>
      </c>
      <c r="AU94" s="604" t="s">
        <v>453</v>
      </c>
      <c r="AV94" s="604" t="s">
        <v>99</v>
      </c>
      <c r="AW94" s="604">
        <v>2</v>
      </c>
      <c r="AX94" s="604">
        <v>65</v>
      </c>
      <c r="AY94" s="606">
        <v>30.8</v>
      </c>
      <c r="AZ94" s="604" t="s">
        <v>420</v>
      </c>
      <c r="BB94" s="536" t="str">
        <f t="shared" si="18"/>
        <v>30-34agebirthsWhanganui</v>
      </c>
      <c r="BC94" s="604">
        <v>2016</v>
      </c>
      <c r="BD94" s="604" t="s">
        <v>132</v>
      </c>
      <c r="BE94" s="604" t="s">
        <v>453</v>
      </c>
      <c r="BF94" s="604" t="s">
        <v>95</v>
      </c>
      <c r="BG94" s="604">
        <v>194</v>
      </c>
      <c r="BH94" s="604" t="s">
        <v>445</v>
      </c>
      <c r="BR94" s="547" t="str">
        <f t="shared" si="19"/>
        <v>7-27 days1500-2499bwt</v>
      </c>
      <c r="BS94" s="604">
        <v>2016</v>
      </c>
      <c r="BT94" s="604" t="s">
        <v>471</v>
      </c>
      <c r="BU94" s="604" t="s">
        <v>430</v>
      </c>
      <c r="BV94" s="604" t="s">
        <v>447</v>
      </c>
      <c r="BW94" s="604">
        <v>6</v>
      </c>
      <c r="BY94" s="553" t="str">
        <f t="shared" si="20"/>
        <v>2013&lt;20ageSIDS</v>
      </c>
      <c r="BZ94" s="604">
        <v>2013</v>
      </c>
      <c r="CA94" s="604" t="s">
        <v>339</v>
      </c>
      <c r="CB94" s="604" t="s">
        <v>453</v>
      </c>
      <c r="CC94" s="604">
        <v>5</v>
      </c>
      <c r="CD94" s="604" t="s">
        <v>32</v>
      </c>
      <c r="CF94" s="554" t="str">
        <f t="shared" si="21"/>
        <v>2016MaoriHawke's BaydhbSIDS</v>
      </c>
      <c r="CG94" s="604">
        <v>2016</v>
      </c>
      <c r="CH94" s="604" t="s">
        <v>129</v>
      </c>
      <c r="CI94" s="604" t="s">
        <v>92</v>
      </c>
      <c r="CJ94" s="604" t="s">
        <v>448</v>
      </c>
      <c r="CK94" s="604">
        <v>3</v>
      </c>
      <c r="CL94" s="604" t="s">
        <v>32</v>
      </c>
      <c r="CN94" s="575" t="str">
        <f t="shared" si="22"/>
        <v>2013G00–G99infant</v>
      </c>
      <c r="CO94" s="604">
        <v>2013</v>
      </c>
      <c r="CP94" s="604" t="s">
        <v>503</v>
      </c>
      <c r="CQ94" s="604">
        <v>3</v>
      </c>
      <c r="CR94" s="604">
        <v>1</v>
      </c>
      <c r="CS94" s="604">
        <v>0.05</v>
      </c>
      <c r="CT94" s="604" t="s">
        <v>437</v>
      </c>
      <c r="CV94" s="575"/>
    </row>
    <row r="95" spans="1:100">
      <c r="A95" s="502" t="str">
        <f t="shared" si="12"/>
        <v>2004deathsPerinatal</v>
      </c>
      <c r="B95" s="604">
        <v>2004</v>
      </c>
      <c r="C95" s="604" t="s">
        <v>496</v>
      </c>
      <c r="D95" s="604" t="s">
        <v>49</v>
      </c>
      <c r="E95" s="604">
        <v>666</v>
      </c>
      <c r="F95" s="604">
        <v>59229</v>
      </c>
      <c r="G95" s="604">
        <v>11.2</v>
      </c>
      <c r="I95" s="578" t="str">
        <f t="shared" si="13"/>
        <v>2006age20-24Fetal</v>
      </c>
      <c r="J95" s="604">
        <v>2006</v>
      </c>
      <c r="K95" s="604" t="s">
        <v>453</v>
      </c>
      <c r="L95" s="604" t="s">
        <v>130</v>
      </c>
      <c r="M95" s="604">
        <v>73</v>
      </c>
      <c r="N95" s="604">
        <v>10720</v>
      </c>
      <c r="O95" s="604">
        <v>6.8</v>
      </c>
      <c r="P95" s="604" t="s">
        <v>47</v>
      </c>
      <c r="Q95" s="499"/>
      <c r="R95" s="502" t="str">
        <f t="shared" si="14"/>
        <v>2009birthsbwt500-999</v>
      </c>
      <c r="S95" s="604">
        <v>2009</v>
      </c>
      <c r="T95" s="604" t="s">
        <v>445</v>
      </c>
      <c r="U95" s="604" t="s">
        <v>447</v>
      </c>
      <c r="V95" s="604" t="s">
        <v>428</v>
      </c>
      <c r="W95" s="604">
        <v>233</v>
      </c>
      <c r="Y95" s="535" t="str">
        <f t="shared" si="15"/>
        <v>2016depageQuin 325-29fetal</v>
      </c>
      <c r="Z95" s="604">
        <v>2016</v>
      </c>
      <c r="AA95" s="604" t="s">
        <v>454</v>
      </c>
      <c r="AB95" s="604" t="s">
        <v>453</v>
      </c>
      <c r="AC95" s="604" t="s">
        <v>423</v>
      </c>
      <c r="AD95" s="604" t="s">
        <v>131</v>
      </c>
      <c r="AE95" s="604">
        <v>13</v>
      </c>
      <c r="AF95" s="604">
        <v>3067</v>
      </c>
      <c r="AG95" s="604">
        <v>4.2</v>
      </c>
      <c r="AH95" s="604" t="s">
        <v>420</v>
      </c>
      <c r="AJ95" s="535" t="str">
        <f t="shared" si="16"/>
        <v>2016depageQuin 325-29</v>
      </c>
      <c r="AK95" s="604">
        <v>2016</v>
      </c>
      <c r="AL95" s="604" t="s">
        <v>454</v>
      </c>
      <c r="AM95" s="604" t="s">
        <v>453</v>
      </c>
      <c r="AN95" s="604" t="s">
        <v>423</v>
      </c>
      <c r="AO95" s="604" t="s">
        <v>131</v>
      </c>
      <c r="AP95" s="604">
        <v>3067</v>
      </c>
      <c r="AR95" s="538" t="str">
        <f t="shared" si="17"/>
        <v>&lt;20agefetalWest Coast</v>
      </c>
      <c r="AS95" s="604">
        <v>2016</v>
      </c>
      <c r="AT95" s="604" t="s">
        <v>339</v>
      </c>
      <c r="AU95" s="604" t="s">
        <v>453</v>
      </c>
      <c r="AV95" s="604" t="s">
        <v>100</v>
      </c>
      <c r="AW95" s="604">
        <v>1</v>
      </c>
      <c r="AX95" s="604">
        <v>18</v>
      </c>
      <c r="AY95" s="606">
        <v>55.6</v>
      </c>
      <c r="AZ95" s="604" t="s">
        <v>420</v>
      </c>
      <c r="BB95" s="536" t="str">
        <f t="shared" si="18"/>
        <v>35-39agebirthsWhanganui</v>
      </c>
      <c r="BC95" s="604">
        <v>2016</v>
      </c>
      <c r="BD95" s="604" t="s">
        <v>133</v>
      </c>
      <c r="BE95" s="604" t="s">
        <v>453</v>
      </c>
      <c r="BF95" s="604" t="s">
        <v>95</v>
      </c>
      <c r="BG95" s="604">
        <v>95</v>
      </c>
      <c r="BH95" s="604" t="s">
        <v>445</v>
      </c>
      <c r="BR95" s="547" t="str">
        <f t="shared" si="19"/>
        <v>7-27 days2500-4499bwt</v>
      </c>
      <c r="BS95" s="604">
        <v>2016</v>
      </c>
      <c r="BT95" s="604" t="s">
        <v>471</v>
      </c>
      <c r="BU95" s="604" t="s">
        <v>431</v>
      </c>
      <c r="BV95" s="604" t="s">
        <v>447</v>
      </c>
      <c r="BW95" s="604">
        <v>12</v>
      </c>
      <c r="BY95" s="553" t="str">
        <f t="shared" si="20"/>
        <v>201320-24ageSIDS</v>
      </c>
      <c r="BZ95" s="604">
        <v>2013</v>
      </c>
      <c r="CA95" s="604" t="s">
        <v>130</v>
      </c>
      <c r="CB95" s="604" t="s">
        <v>453</v>
      </c>
      <c r="CC95" s="604">
        <v>10</v>
      </c>
      <c r="CD95" s="604" t="s">
        <v>32</v>
      </c>
      <c r="CF95" s="554" t="str">
        <f t="shared" si="21"/>
        <v>2016Pacific peoplesHawke's BaydhbSIDS</v>
      </c>
      <c r="CG95" s="604">
        <v>2016</v>
      </c>
      <c r="CH95" s="604" t="s">
        <v>320</v>
      </c>
      <c r="CI95" s="604" t="s">
        <v>92</v>
      </c>
      <c r="CJ95" s="604" t="s">
        <v>448</v>
      </c>
      <c r="CK95" s="604">
        <v>0</v>
      </c>
      <c r="CL95" s="604" t="s">
        <v>32</v>
      </c>
      <c r="CN95" s="575" t="str">
        <f t="shared" si="22"/>
        <v>2013I00–I99infant</v>
      </c>
      <c r="CO95" s="604">
        <v>2013</v>
      </c>
      <c r="CP95" s="604" t="s">
        <v>506</v>
      </c>
      <c r="CQ95" s="604">
        <v>4</v>
      </c>
      <c r="CR95" s="604">
        <v>1.4</v>
      </c>
      <c r="CS95" s="604">
        <v>7.0000000000000007E-2</v>
      </c>
      <c r="CT95" s="604" t="s">
        <v>437</v>
      </c>
      <c r="CV95" s="575"/>
    </row>
    <row r="96" spans="1:100">
      <c r="A96" s="502" t="str">
        <f t="shared" si="12"/>
        <v>2005deathsPerinatal</v>
      </c>
      <c r="B96" s="604">
        <v>2005</v>
      </c>
      <c r="C96" s="604" t="s">
        <v>496</v>
      </c>
      <c r="D96" s="604" t="s">
        <v>49</v>
      </c>
      <c r="E96" s="604">
        <v>551</v>
      </c>
      <c r="F96" s="604">
        <v>59130</v>
      </c>
      <c r="G96" s="604">
        <v>9.3000000000000007</v>
      </c>
      <c r="I96" s="578" t="str">
        <f t="shared" si="13"/>
        <v>2006age25-29Fetal</v>
      </c>
      <c r="J96" s="604">
        <v>2006</v>
      </c>
      <c r="K96" s="604" t="s">
        <v>453</v>
      </c>
      <c r="L96" s="604" t="s">
        <v>131</v>
      </c>
      <c r="M96" s="604">
        <v>94</v>
      </c>
      <c r="N96" s="604">
        <v>14480</v>
      </c>
      <c r="O96" s="604">
        <v>6.5</v>
      </c>
      <c r="P96" s="604" t="s">
        <v>47</v>
      </c>
      <c r="Q96" s="499"/>
      <c r="R96" s="502" t="str">
        <f t="shared" si="14"/>
        <v>2009birthsbwt1000-1499</v>
      </c>
      <c r="S96" s="604">
        <v>2009</v>
      </c>
      <c r="T96" s="604" t="s">
        <v>445</v>
      </c>
      <c r="U96" s="604" t="s">
        <v>447</v>
      </c>
      <c r="V96" s="604" t="s">
        <v>429</v>
      </c>
      <c r="W96" s="604">
        <v>379</v>
      </c>
      <c r="Y96" s="535" t="str">
        <f t="shared" si="15"/>
        <v>2016depageQuin 425-29fetal</v>
      </c>
      <c r="Z96" s="604">
        <v>2016</v>
      </c>
      <c r="AA96" s="604" t="s">
        <v>454</v>
      </c>
      <c r="AB96" s="604" t="s">
        <v>453</v>
      </c>
      <c r="AC96" s="604" t="s">
        <v>424</v>
      </c>
      <c r="AD96" s="604" t="s">
        <v>131</v>
      </c>
      <c r="AE96" s="604">
        <v>21</v>
      </c>
      <c r="AF96" s="604">
        <v>3866</v>
      </c>
      <c r="AG96" s="604">
        <v>5.4</v>
      </c>
      <c r="AH96" s="604" t="s">
        <v>420</v>
      </c>
      <c r="AJ96" s="535" t="str">
        <f t="shared" si="16"/>
        <v>2016depageQuin 425-29</v>
      </c>
      <c r="AK96" s="604">
        <v>2016</v>
      </c>
      <c r="AL96" s="604" t="s">
        <v>454</v>
      </c>
      <c r="AM96" s="604" t="s">
        <v>453</v>
      </c>
      <c r="AN96" s="604" t="s">
        <v>424</v>
      </c>
      <c r="AO96" s="604" t="s">
        <v>131</v>
      </c>
      <c r="AP96" s="604">
        <v>3866</v>
      </c>
      <c r="AR96" s="538" t="str">
        <f t="shared" si="17"/>
        <v>25-29agefetalWest Coast</v>
      </c>
      <c r="AS96" s="604">
        <v>2016</v>
      </c>
      <c r="AT96" s="604" t="s">
        <v>131</v>
      </c>
      <c r="AU96" s="604" t="s">
        <v>453</v>
      </c>
      <c r="AV96" s="604" t="s">
        <v>100</v>
      </c>
      <c r="AW96" s="604">
        <v>3</v>
      </c>
      <c r="AX96" s="604">
        <v>103</v>
      </c>
      <c r="AY96" s="606">
        <v>29.1</v>
      </c>
      <c r="AZ96" s="604" t="s">
        <v>420</v>
      </c>
      <c r="BB96" s="536" t="str">
        <f t="shared" si="18"/>
        <v>40+agebirthsWhanganui</v>
      </c>
      <c r="BC96" s="604">
        <v>2016</v>
      </c>
      <c r="BD96" s="604" t="s">
        <v>134</v>
      </c>
      <c r="BE96" s="604" t="s">
        <v>453</v>
      </c>
      <c r="BF96" s="604" t="s">
        <v>95</v>
      </c>
      <c r="BG96" s="604">
        <v>15</v>
      </c>
      <c r="BH96" s="604" t="s">
        <v>445</v>
      </c>
      <c r="BR96" s="547" t="str">
        <f t="shared" si="19"/>
        <v>7-27 daysUnknownbwt</v>
      </c>
      <c r="BS96" s="604">
        <v>2016</v>
      </c>
      <c r="BT96" s="604" t="s">
        <v>471</v>
      </c>
      <c r="BU96" s="604" t="s">
        <v>63</v>
      </c>
      <c r="BV96" s="604" t="s">
        <v>447</v>
      </c>
      <c r="BW96" s="604">
        <v>1</v>
      </c>
      <c r="BY96" s="553" t="str">
        <f t="shared" si="20"/>
        <v>201325-29ageSIDS</v>
      </c>
      <c r="BZ96" s="604">
        <v>2013</v>
      </c>
      <c r="CA96" s="604" t="s">
        <v>131</v>
      </c>
      <c r="CB96" s="604" t="s">
        <v>453</v>
      </c>
      <c r="CC96" s="604">
        <v>2</v>
      </c>
      <c r="CD96" s="604" t="s">
        <v>32</v>
      </c>
      <c r="CF96" s="554" t="str">
        <f t="shared" si="21"/>
        <v>2016European or OtherTaranakidhbSIDS</v>
      </c>
      <c r="CG96" s="604">
        <v>2016</v>
      </c>
      <c r="CH96" s="604" t="s">
        <v>356</v>
      </c>
      <c r="CI96" s="604" t="s">
        <v>93</v>
      </c>
      <c r="CJ96" s="604" t="s">
        <v>448</v>
      </c>
      <c r="CK96" s="604">
        <v>1</v>
      </c>
      <c r="CL96" s="604" t="s">
        <v>32</v>
      </c>
      <c r="CN96" s="575" t="str">
        <f t="shared" si="22"/>
        <v>2013J00–J99infant</v>
      </c>
      <c r="CO96" s="604">
        <v>2013</v>
      </c>
      <c r="CP96" s="604" t="s">
        <v>507</v>
      </c>
      <c r="CQ96" s="604">
        <v>3</v>
      </c>
      <c r="CR96" s="604">
        <v>1</v>
      </c>
      <c r="CS96" s="604">
        <v>0.05</v>
      </c>
      <c r="CT96" s="604" t="s">
        <v>437</v>
      </c>
      <c r="CV96" s="575"/>
    </row>
    <row r="97" spans="1:100">
      <c r="A97" s="502" t="str">
        <f t="shared" si="12"/>
        <v>2006deathsPerinatal</v>
      </c>
      <c r="B97" s="604">
        <v>2006</v>
      </c>
      <c r="C97" s="604" t="s">
        <v>496</v>
      </c>
      <c r="D97" s="604" t="s">
        <v>49</v>
      </c>
      <c r="E97" s="604">
        <v>546</v>
      </c>
      <c r="F97" s="604">
        <v>60683</v>
      </c>
      <c r="G97" s="604">
        <v>9</v>
      </c>
      <c r="I97" s="578" t="str">
        <f t="shared" si="13"/>
        <v>2006age30-34Fetal</v>
      </c>
      <c r="J97" s="604">
        <v>2006</v>
      </c>
      <c r="K97" s="604" t="s">
        <v>453</v>
      </c>
      <c r="L97" s="604" t="s">
        <v>132</v>
      </c>
      <c r="M97" s="604">
        <v>116</v>
      </c>
      <c r="N97" s="604">
        <v>18206</v>
      </c>
      <c r="O97" s="604">
        <v>6.4</v>
      </c>
      <c r="P97" s="604" t="s">
        <v>47</v>
      </c>
      <c r="Q97" s="499"/>
      <c r="R97" s="502" t="str">
        <f t="shared" si="14"/>
        <v>2009birthsbwt1500-2499</v>
      </c>
      <c r="S97" s="604">
        <v>2009</v>
      </c>
      <c r="T97" s="604" t="s">
        <v>445</v>
      </c>
      <c r="U97" s="604" t="s">
        <v>447</v>
      </c>
      <c r="V97" s="604" t="s">
        <v>430</v>
      </c>
      <c r="W97" s="604">
        <v>3050</v>
      </c>
      <c r="Y97" s="535" t="str">
        <f t="shared" si="15"/>
        <v>2016depageQuin 525-29fetal</v>
      </c>
      <c r="Z97" s="604">
        <v>2016</v>
      </c>
      <c r="AA97" s="604" t="s">
        <v>454</v>
      </c>
      <c r="AB97" s="604" t="s">
        <v>453</v>
      </c>
      <c r="AC97" s="604" t="s">
        <v>425</v>
      </c>
      <c r="AD97" s="604" t="s">
        <v>131</v>
      </c>
      <c r="AE97" s="604">
        <v>32</v>
      </c>
      <c r="AF97" s="604">
        <v>5031</v>
      </c>
      <c r="AG97" s="604">
        <v>6.3</v>
      </c>
      <c r="AH97" s="604" t="s">
        <v>420</v>
      </c>
      <c r="AJ97" s="535" t="str">
        <f t="shared" si="16"/>
        <v>2016depageQuin 525-29</v>
      </c>
      <c r="AK97" s="604">
        <v>2016</v>
      </c>
      <c r="AL97" s="604" t="s">
        <v>454</v>
      </c>
      <c r="AM97" s="604" t="s">
        <v>453</v>
      </c>
      <c r="AN97" s="604" t="s">
        <v>425</v>
      </c>
      <c r="AO97" s="604" t="s">
        <v>131</v>
      </c>
      <c r="AP97" s="604">
        <v>5031</v>
      </c>
      <c r="AR97" s="538" t="str">
        <f t="shared" si="17"/>
        <v>30-34agefetalWest Coast</v>
      </c>
      <c r="AS97" s="604">
        <v>2016</v>
      </c>
      <c r="AT97" s="604" t="s">
        <v>132</v>
      </c>
      <c r="AU97" s="604" t="s">
        <v>453</v>
      </c>
      <c r="AV97" s="604" t="s">
        <v>100</v>
      </c>
      <c r="AW97" s="604">
        <v>2</v>
      </c>
      <c r="AX97" s="604">
        <v>90</v>
      </c>
      <c r="AY97" s="606">
        <v>22.2</v>
      </c>
      <c r="AZ97" s="604" t="s">
        <v>420</v>
      </c>
      <c r="BB97" s="536" t="str">
        <f t="shared" si="18"/>
        <v>&lt;20agebirthsCapital &amp; Coast</v>
      </c>
      <c r="BC97" s="604">
        <v>2016</v>
      </c>
      <c r="BD97" s="604" t="s">
        <v>339</v>
      </c>
      <c r="BE97" s="604" t="s">
        <v>453</v>
      </c>
      <c r="BF97" s="604" t="s">
        <v>96</v>
      </c>
      <c r="BG97" s="604">
        <v>83</v>
      </c>
      <c r="BH97" s="604" t="s">
        <v>445</v>
      </c>
      <c r="BR97" s="547" t="str">
        <f t="shared" si="19"/>
        <v>&lt;1 dayQuin 1dep</v>
      </c>
      <c r="BS97" s="604">
        <v>2016</v>
      </c>
      <c r="BT97" s="604" t="s">
        <v>469</v>
      </c>
      <c r="BU97" s="604" t="s">
        <v>421</v>
      </c>
      <c r="BV97" s="604" t="s">
        <v>454</v>
      </c>
      <c r="BW97" s="604">
        <v>11</v>
      </c>
      <c r="BY97" s="553" t="str">
        <f t="shared" si="20"/>
        <v>201330-34ageSIDS</v>
      </c>
      <c r="BZ97" s="604">
        <v>2013</v>
      </c>
      <c r="CA97" s="604" t="s">
        <v>132</v>
      </c>
      <c r="CB97" s="604" t="s">
        <v>453</v>
      </c>
      <c r="CC97" s="604">
        <v>2</v>
      </c>
      <c r="CD97" s="604" t="s">
        <v>32</v>
      </c>
      <c r="CF97" s="554" t="str">
        <f t="shared" si="21"/>
        <v>2016MaoriTaranakidhbSIDS</v>
      </c>
      <c r="CG97" s="604">
        <v>2016</v>
      </c>
      <c r="CH97" s="604" t="s">
        <v>129</v>
      </c>
      <c r="CI97" s="604" t="s">
        <v>93</v>
      </c>
      <c r="CJ97" s="604" t="s">
        <v>448</v>
      </c>
      <c r="CK97" s="604">
        <v>2</v>
      </c>
      <c r="CL97" s="604" t="s">
        <v>32</v>
      </c>
      <c r="CN97" s="575" t="str">
        <f t="shared" si="22"/>
        <v>2013K00–K93infant</v>
      </c>
      <c r="CO97" s="604">
        <v>2013</v>
      </c>
      <c r="CP97" s="604" t="s">
        <v>508</v>
      </c>
      <c r="CQ97" s="604">
        <v>2</v>
      </c>
      <c r="CR97" s="604">
        <v>0.7</v>
      </c>
      <c r="CS97" s="604">
        <v>0.03</v>
      </c>
      <c r="CT97" s="604" t="s">
        <v>437</v>
      </c>
      <c r="CV97" s="575"/>
    </row>
    <row r="98" spans="1:100">
      <c r="A98" s="502" t="str">
        <f t="shared" si="12"/>
        <v>2007deathsPerinatal</v>
      </c>
      <c r="B98" s="604">
        <v>2007</v>
      </c>
      <c r="C98" s="604" t="s">
        <v>496</v>
      </c>
      <c r="D98" s="604" t="s">
        <v>49</v>
      </c>
      <c r="E98" s="604">
        <v>604</v>
      </c>
      <c r="F98" s="604">
        <v>65591</v>
      </c>
      <c r="G98" s="604">
        <v>9.1999999999999993</v>
      </c>
      <c r="I98" s="578" t="str">
        <f t="shared" si="13"/>
        <v>2006age35-39Fetal</v>
      </c>
      <c r="J98" s="604">
        <v>2006</v>
      </c>
      <c r="K98" s="604" t="s">
        <v>453</v>
      </c>
      <c r="L98" s="604" t="s">
        <v>133</v>
      </c>
      <c r="M98" s="604">
        <v>72</v>
      </c>
      <c r="N98" s="604">
        <v>10571</v>
      </c>
      <c r="O98" s="604">
        <v>6.8</v>
      </c>
      <c r="P98" s="604" t="s">
        <v>47</v>
      </c>
      <c r="Q98" s="499"/>
      <c r="R98" s="502" t="str">
        <f t="shared" si="14"/>
        <v>2009birthsbwt2500-4499</v>
      </c>
      <c r="S98" s="604">
        <v>2009</v>
      </c>
      <c r="T98" s="604" t="s">
        <v>445</v>
      </c>
      <c r="U98" s="604" t="s">
        <v>447</v>
      </c>
      <c r="V98" s="604" t="s">
        <v>431</v>
      </c>
      <c r="W98" s="604">
        <v>57781</v>
      </c>
      <c r="Y98" s="535" t="str">
        <f t="shared" si="15"/>
        <v>2016depageQuin 925-29fetal</v>
      </c>
      <c r="Z98" s="604">
        <v>2016</v>
      </c>
      <c r="AA98" s="604" t="s">
        <v>454</v>
      </c>
      <c r="AB98" s="604" t="s">
        <v>453</v>
      </c>
      <c r="AC98" s="604" t="s">
        <v>426</v>
      </c>
      <c r="AD98" s="604" t="s">
        <v>131</v>
      </c>
      <c r="AE98" s="604">
        <v>7</v>
      </c>
      <c r="AF98" s="604">
        <v>42</v>
      </c>
      <c r="AG98" s="604" t="s">
        <v>119</v>
      </c>
      <c r="AH98" s="604" t="s">
        <v>420</v>
      </c>
      <c r="AJ98" s="535" t="str">
        <f t="shared" si="16"/>
        <v>2016depageQuin 925-29</v>
      </c>
      <c r="AK98" s="604">
        <v>2016</v>
      </c>
      <c r="AL98" s="604" t="s">
        <v>454</v>
      </c>
      <c r="AM98" s="604" t="s">
        <v>453</v>
      </c>
      <c r="AN98" s="604" t="s">
        <v>426</v>
      </c>
      <c r="AO98" s="604" t="s">
        <v>131</v>
      </c>
      <c r="AP98" s="604">
        <v>42</v>
      </c>
      <c r="AR98" s="538" t="str">
        <f t="shared" si="17"/>
        <v>35-39agefetalWest Coast</v>
      </c>
      <c r="AS98" s="604">
        <v>2016</v>
      </c>
      <c r="AT98" s="604" t="s">
        <v>133</v>
      </c>
      <c r="AU98" s="604" t="s">
        <v>453</v>
      </c>
      <c r="AV98" s="604" t="s">
        <v>100</v>
      </c>
      <c r="AW98" s="604">
        <v>2</v>
      </c>
      <c r="AX98" s="604">
        <v>46</v>
      </c>
      <c r="AY98" s="606">
        <v>43.5</v>
      </c>
      <c r="AZ98" s="604" t="s">
        <v>420</v>
      </c>
      <c r="BB98" s="536" t="str">
        <f t="shared" si="18"/>
        <v>20-24agebirthsCapital &amp; Coast</v>
      </c>
      <c r="BC98" s="604">
        <v>2016</v>
      </c>
      <c r="BD98" s="604" t="s">
        <v>130</v>
      </c>
      <c r="BE98" s="604" t="s">
        <v>453</v>
      </c>
      <c r="BF98" s="604" t="s">
        <v>96</v>
      </c>
      <c r="BG98" s="604">
        <v>366</v>
      </c>
      <c r="BH98" s="604" t="s">
        <v>445</v>
      </c>
      <c r="BR98" s="547" t="str">
        <f t="shared" si="19"/>
        <v>&lt;1 dayQuin 2dep</v>
      </c>
      <c r="BS98" s="604">
        <v>2016</v>
      </c>
      <c r="BT98" s="604" t="s">
        <v>469</v>
      </c>
      <c r="BU98" s="604" t="s">
        <v>422</v>
      </c>
      <c r="BV98" s="604" t="s">
        <v>454</v>
      </c>
      <c r="BW98" s="604">
        <v>13</v>
      </c>
      <c r="BY98" s="553" t="str">
        <f t="shared" si="20"/>
        <v>201335-39ageSIDS</v>
      </c>
      <c r="BZ98" s="604">
        <v>2013</v>
      </c>
      <c r="CA98" s="604" t="s">
        <v>133</v>
      </c>
      <c r="CB98" s="604" t="s">
        <v>453</v>
      </c>
      <c r="CC98" s="604">
        <v>1</v>
      </c>
      <c r="CD98" s="604" t="s">
        <v>32</v>
      </c>
      <c r="CF98" s="554" t="str">
        <f t="shared" si="21"/>
        <v>2016AsianMidCentraldhbSIDS</v>
      </c>
      <c r="CG98" s="604">
        <v>2016</v>
      </c>
      <c r="CH98" s="604" t="s">
        <v>355</v>
      </c>
      <c r="CI98" s="604" t="s">
        <v>94</v>
      </c>
      <c r="CJ98" s="604" t="s">
        <v>448</v>
      </c>
      <c r="CK98" s="604">
        <v>0</v>
      </c>
      <c r="CL98" s="604" t="s">
        <v>32</v>
      </c>
      <c r="CN98" s="575" t="str">
        <f t="shared" si="22"/>
        <v>2013P00–P96infant</v>
      </c>
      <c r="CO98" s="604">
        <v>2013</v>
      </c>
      <c r="CP98" s="604" t="s">
        <v>513</v>
      </c>
      <c r="CQ98" s="604">
        <v>152</v>
      </c>
      <c r="CR98" s="604">
        <v>51.4</v>
      </c>
      <c r="CS98" s="604">
        <v>2.5499999999999998</v>
      </c>
      <c r="CT98" s="604" t="s">
        <v>437</v>
      </c>
      <c r="CV98" s="575"/>
    </row>
    <row r="99" spans="1:100">
      <c r="A99" s="502" t="str">
        <f t="shared" si="12"/>
        <v>2008deathsPerinatal</v>
      </c>
      <c r="B99" s="604">
        <v>2008</v>
      </c>
      <c r="C99" s="604" t="s">
        <v>496</v>
      </c>
      <c r="D99" s="604" t="s">
        <v>49</v>
      </c>
      <c r="E99" s="604">
        <v>701</v>
      </c>
      <c r="F99" s="604">
        <v>65889</v>
      </c>
      <c r="G99" s="604">
        <v>10.6</v>
      </c>
      <c r="I99" s="578" t="str">
        <f t="shared" si="13"/>
        <v>2006age40+Fetal</v>
      </c>
      <c r="J99" s="604">
        <v>2006</v>
      </c>
      <c r="K99" s="604" t="s">
        <v>453</v>
      </c>
      <c r="L99" s="604" t="s">
        <v>134</v>
      </c>
      <c r="M99" s="604">
        <v>26</v>
      </c>
      <c r="N99" s="604">
        <v>2223</v>
      </c>
      <c r="O99" s="604">
        <v>11.7</v>
      </c>
      <c r="P99" s="604" t="s">
        <v>47</v>
      </c>
      <c r="Q99" s="499"/>
      <c r="R99" s="502" t="str">
        <f t="shared" si="14"/>
        <v>2009birthsbwt4500+</v>
      </c>
      <c r="S99" s="604">
        <v>2009</v>
      </c>
      <c r="T99" s="604" t="s">
        <v>445</v>
      </c>
      <c r="U99" s="604" t="s">
        <v>447</v>
      </c>
      <c r="V99" s="604" t="s">
        <v>432</v>
      </c>
      <c r="W99" s="604">
        <v>1693</v>
      </c>
      <c r="Y99" s="535" t="str">
        <f t="shared" si="15"/>
        <v>2016depageQuin 130-34fetal</v>
      </c>
      <c r="Z99" s="604">
        <v>2016</v>
      </c>
      <c r="AA99" s="604" t="s">
        <v>454</v>
      </c>
      <c r="AB99" s="604" t="s">
        <v>453</v>
      </c>
      <c r="AC99" s="604" t="s">
        <v>421</v>
      </c>
      <c r="AD99" s="604" t="s">
        <v>132</v>
      </c>
      <c r="AE99" s="604">
        <v>15</v>
      </c>
      <c r="AF99" s="604">
        <v>3536</v>
      </c>
      <c r="AG99" s="604">
        <v>4.2</v>
      </c>
      <c r="AH99" s="604" t="s">
        <v>420</v>
      </c>
      <c r="AJ99" s="535" t="str">
        <f t="shared" si="16"/>
        <v>2016depageQuin 130-34</v>
      </c>
      <c r="AK99" s="604">
        <v>2016</v>
      </c>
      <c r="AL99" s="604" t="s">
        <v>454</v>
      </c>
      <c r="AM99" s="604" t="s">
        <v>453</v>
      </c>
      <c r="AN99" s="604" t="s">
        <v>421</v>
      </c>
      <c r="AO99" s="604" t="s">
        <v>132</v>
      </c>
      <c r="AP99" s="604">
        <v>3536</v>
      </c>
      <c r="AR99" s="538" t="str">
        <f t="shared" si="17"/>
        <v>&lt;20agefetalCanterbury</v>
      </c>
      <c r="AS99" s="604">
        <v>2016</v>
      </c>
      <c r="AT99" s="604" t="s">
        <v>339</v>
      </c>
      <c r="AU99" s="604" t="s">
        <v>453</v>
      </c>
      <c r="AV99" s="604" t="s">
        <v>101</v>
      </c>
      <c r="AW99" s="604">
        <v>4</v>
      </c>
      <c r="AX99" s="604">
        <v>196</v>
      </c>
      <c r="AY99" s="606">
        <v>20.399999999999999</v>
      </c>
      <c r="AZ99" s="604" t="s">
        <v>420</v>
      </c>
      <c r="BB99" s="536" t="str">
        <f t="shared" si="18"/>
        <v>25-29agebirthsCapital &amp; Coast</v>
      </c>
      <c r="BC99" s="604">
        <v>2016</v>
      </c>
      <c r="BD99" s="604" t="s">
        <v>131</v>
      </c>
      <c r="BE99" s="604" t="s">
        <v>453</v>
      </c>
      <c r="BF99" s="604" t="s">
        <v>96</v>
      </c>
      <c r="BG99" s="604">
        <v>754</v>
      </c>
      <c r="BH99" s="604" t="s">
        <v>445</v>
      </c>
      <c r="BR99" s="547" t="str">
        <f t="shared" si="19"/>
        <v>&lt;1 dayQuin 3dep</v>
      </c>
      <c r="BS99" s="604">
        <v>2016</v>
      </c>
      <c r="BT99" s="604" t="s">
        <v>469</v>
      </c>
      <c r="BU99" s="604" t="s">
        <v>423</v>
      </c>
      <c r="BV99" s="604" t="s">
        <v>454</v>
      </c>
      <c r="BW99" s="604">
        <v>16</v>
      </c>
      <c r="BY99" s="553" t="str">
        <f t="shared" si="20"/>
        <v>201340+ageSIDS</v>
      </c>
      <c r="BZ99" s="604">
        <v>2013</v>
      </c>
      <c r="CA99" s="604" t="s">
        <v>134</v>
      </c>
      <c r="CB99" s="604" t="s">
        <v>453</v>
      </c>
      <c r="CC99" s="604">
        <v>1</v>
      </c>
      <c r="CD99" s="604" t="s">
        <v>32</v>
      </c>
      <c r="CF99" s="554" t="str">
        <f t="shared" si="21"/>
        <v>2016European or OtherMidCentraldhbSIDS</v>
      </c>
      <c r="CG99" s="604">
        <v>2016</v>
      </c>
      <c r="CH99" s="604" t="s">
        <v>356</v>
      </c>
      <c r="CI99" s="604" t="s">
        <v>94</v>
      </c>
      <c r="CJ99" s="604" t="s">
        <v>448</v>
      </c>
      <c r="CK99" s="604">
        <v>1</v>
      </c>
      <c r="CL99" s="604" t="s">
        <v>32</v>
      </c>
      <c r="CN99" s="575" t="str">
        <f t="shared" si="22"/>
        <v>2013Q00–Q99infant</v>
      </c>
      <c r="CO99" s="604">
        <v>2013</v>
      </c>
      <c r="CP99" s="604" t="s">
        <v>514</v>
      </c>
      <c r="CQ99" s="604">
        <v>70</v>
      </c>
      <c r="CR99" s="604">
        <v>23.6</v>
      </c>
      <c r="CS99" s="604">
        <v>1.17</v>
      </c>
      <c r="CT99" s="604" t="s">
        <v>437</v>
      </c>
      <c r="CV99" s="575"/>
    </row>
    <row r="100" spans="1:100">
      <c r="A100" s="502" t="str">
        <f t="shared" si="12"/>
        <v>2009deathsPerinatal</v>
      </c>
      <c r="B100" s="604">
        <v>2009</v>
      </c>
      <c r="C100" s="604" t="s">
        <v>496</v>
      </c>
      <c r="D100" s="604" t="s">
        <v>49</v>
      </c>
      <c r="E100" s="604">
        <v>634</v>
      </c>
      <c r="F100" s="604">
        <v>63767</v>
      </c>
      <c r="G100" s="604">
        <v>9.9</v>
      </c>
      <c r="I100" s="578" t="str">
        <f t="shared" si="13"/>
        <v>2006ageUnknownFetal</v>
      </c>
      <c r="J100" s="604">
        <v>2006</v>
      </c>
      <c r="K100" s="604" t="s">
        <v>453</v>
      </c>
      <c r="L100" s="604" t="s">
        <v>63</v>
      </c>
      <c r="M100" s="604">
        <v>0</v>
      </c>
      <c r="N100" s="604">
        <v>0</v>
      </c>
      <c r="O100" s="604" t="s">
        <v>119</v>
      </c>
      <c r="P100" s="604" t="s">
        <v>47</v>
      </c>
      <c r="Q100" s="499"/>
      <c r="R100" s="502" t="str">
        <f t="shared" si="14"/>
        <v>2009birthsbwtUnknown</v>
      </c>
      <c r="S100" s="604">
        <v>2009</v>
      </c>
      <c r="T100" s="604" t="s">
        <v>445</v>
      </c>
      <c r="U100" s="604" t="s">
        <v>447</v>
      </c>
      <c r="V100" s="604" t="s">
        <v>63</v>
      </c>
      <c r="W100" s="604">
        <v>89</v>
      </c>
      <c r="Y100" s="535" t="str">
        <f t="shared" si="15"/>
        <v>2016depageQuin 230-34fetal</v>
      </c>
      <c r="Z100" s="604">
        <v>2016</v>
      </c>
      <c r="AA100" s="604" t="s">
        <v>454</v>
      </c>
      <c r="AB100" s="604" t="s">
        <v>453</v>
      </c>
      <c r="AC100" s="604" t="s">
        <v>422</v>
      </c>
      <c r="AD100" s="604" t="s">
        <v>132</v>
      </c>
      <c r="AE100" s="604">
        <v>24</v>
      </c>
      <c r="AF100" s="604">
        <v>3702</v>
      </c>
      <c r="AG100" s="604">
        <v>6.4</v>
      </c>
      <c r="AH100" s="604" t="s">
        <v>420</v>
      </c>
      <c r="AJ100" s="535" t="str">
        <f t="shared" si="16"/>
        <v>2016depageQuin 230-34</v>
      </c>
      <c r="AK100" s="604">
        <v>2016</v>
      </c>
      <c r="AL100" s="604" t="s">
        <v>454</v>
      </c>
      <c r="AM100" s="604" t="s">
        <v>453</v>
      </c>
      <c r="AN100" s="604" t="s">
        <v>422</v>
      </c>
      <c r="AO100" s="604" t="s">
        <v>132</v>
      </c>
      <c r="AP100" s="604">
        <v>3702</v>
      </c>
      <c r="AR100" s="538" t="str">
        <f t="shared" si="17"/>
        <v>20-24agefetalCanterbury</v>
      </c>
      <c r="AS100" s="604">
        <v>2016</v>
      </c>
      <c r="AT100" s="604" t="s">
        <v>130</v>
      </c>
      <c r="AU100" s="604" t="s">
        <v>453</v>
      </c>
      <c r="AV100" s="604" t="s">
        <v>101</v>
      </c>
      <c r="AW100" s="604">
        <v>5</v>
      </c>
      <c r="AX100" s="604">
        <v>863</v>
      </c>
      <c r="AY100" s="606">
        <v>5.8</v>
      </c>
      <c r="AZ100" s="604" t="s">
        <v>420</v>
      </c>
      <c r="BB100" s="536" t="str">
        <f t="shared" si="18"/>
        <v>30-34agebirthsCapital &amp; Coast</v>
      </c>
      <c r="BC100" s="604">
        <v>2016</v>
      </c>
      <c r="BD100" s="604" t="s">
        <v>132</v>
      </c>
      <c r="BE100" s="604" t="s">
        <v>453</v>
      </c>
      <c r="BF100" s="604" t="s">
        <v>96</v>
      </c>
      <c r="BG100" s="604">
        <v>1246</v>
      </c>
      <c r="BH100" s="604" t="s">
        <v>445</v>
      </c>
      <c r="BR100" s="547" t="str">
        <f t="shared" si="19"/>
        <v>&lt;1 dayQuin 4dep</v>
      </c>
      <c r="BS100" s="604">
        <v>2016</v>
      </c>
      <c r="BT100" s="604" t="s">
        <v>469</v>
      </c>
      <c r="BU100" s="604" t="s">
        <v>424</v>
      </c>
      <c r="BV100" s="604" t="s">
        <v>454</v>
      </c>
      <c r="BW100" s="604">
        <v>20</v>
      </c>
      <c r="BY100" s="553" t="str">
        <f t="shared" si="20"/>
        <v>2013UnknownageSIDS</v>
      </c>
      <c r="BZ100" s="604">
        <v>2013</v>
      </c>
      <c r="CA100" s="604" t="s">
        <v>63</v>
      </c>
      <c r="CB100" s="604" t="s">
        <v>453</v>
      </c>
      <c r="CC100" s="604">
        <v>0</v>
      </c>
      <c r="CD100" s="604" t="s">
        <v>32</v>
      </c>
      <c r="CF100" s="554" t="str">
        <f t="shared" si="21"/>
        <v>2016MaoriMidCentraldhbSIDS</v>
      </c>
      <c r="CG100" s="604">
        <v>2016</v>
      </c>
      <c r="CH100" s="604" t="s">
        <v>129</v>
      </c>
      <c r="CI100" s="604" t="s">
        <v>94</v>
      </c>
      <c r="CJ100" s="604" t="s">
        <v>448</v>
      </c>
      <c r="CK100" s="604">
        <v>2</v>
      </c>
      <c r="CL100" s="604" t="s">
        <v>32</v>
      </c>
      <c r="CN100" s="575" t="str">
        <f t="shared" si="22"/>
        <v>2013R00–R99infant</v>
      </c>
      <c r="CO100" s="604">
        <v>2013</v>
      </c>
      <c r="CP100" s="604" t="s">
        <v>515</v>
      </c>
      <c r="CQ100" s="604">
        <v>24</v>
      </c>
      <c r="CR100" s="604">
        <v>8.1</v>
      </c>
      <c r="CS100" s="604">
        <v>0.4</v>
      </c>
      <c r="CT100" s="604" t="s">
        <v>437</v>
      </c>
      <c r="CV100" s="575"/>
    </row>
    <row r="101" spans="1:100">
      <c r="A101" s="502" t="str">
        <f t="shared" si="12"/>
        <v>2010deathsPerinatal</v>
      </c>
      <c r="B101" s="604">
        <v>2010</v>
      </c>
      <c r="C101" s="604" t="s">
        <v>496</v>
      </c>
      <c r="D101" s="604" t="s">
        <v>49</v>
      </c>
      <c r="E101" s="604">
        <v>661</v>
      </c>
      <c r="F101" s="604">
        <v>65168</v>
      </c>
      <c r="G101" s="604">
        <v>10.1</v>
      </c>
      <c r="I101" s="578" t="str">
        <f t="shared" si="13"/>
        <v>2007age&lt;20Fetal</v>
      </c>
      <c r="J101" s="604">
        <v>2007</v>
      </c>
      <c r="K101" s="604" t="s">
        <v>453</v>
      </c>
      <c r="L101" s="604" t="s">
        <v>339</v>
      </c>
      <c r="M101" s="604">
        <v>38</v>
      </c>
      <c r="N101" s="604">
        <v>5089</v>
      </c>
      <c r="O101" s="604">
        <v>7.5</v>
      </c>
      <c r="P101" s="604" t="s">
        <v>47</v>
      </c>
      <c r="Q101" s="499"/>
      <c r="R101" s="502" t="str">
        <f t="shared" si="14"/>
        <v>2010birthsbwt&lt;500</v>
      </c>
      <c r="S101" s="604">
        <v>2010</v>
      </c>
      <c r="T101" s="604" t="s">
        <v>445</v>
      </c>
      <c r="U101" s="604" t="s">
        <v>447</v>
      </c>
      <c r="V101" s="604" t="s">
        <v>427</v>
      </c>
      <c r="W101" s="604">
        <v>69</v>
      </c>
      <c r="Y101" s="535" t="str">
        <f t="shared" si="15"/>
        <v>2016depageQuin 330-34fetal</v>
      </c>
      <c r="Z101" s="604">
        <v>2016</v>
      </c>
      <c r="AA101" s="604" t="s">
        <v>454</v>
      </c>
      <c r="AB101" s="604" t="s">
        <v>453</v>
      </c>
      <c r="AC101" s="604" t="s">
        <v>423</v>
      </c>
      <c r="AD101" s="604" t="s">
        <v>132</v>
      </c>
      <c r="AE101" s="604">
        <v>24</v>
      </c>
      <c r="AF101" s="604">
        <v>3667</v>
      </c>
      <c r="AG101" s="604">
        <v>6.5</v>
      </c>
      <c r="AH101" s="604" t="s">
        <v>420</v>
      </c>
      <c r="AJ101" s="535" t="str">
        <f t="shared" si="16"/>
        <v>2016depageQuin 330-34</v>
      </c>
      <c r="AK101" s="604">
        <v>2016</v>
      </c>
      <c r="AL101" s="604" t="s">
        <v>454</v>
      </c>
      <c r="AM101" s="604" t="s">
        <v>453</v>
      </c>
      <c r="AN101" s="604" t="s">
        <v>423</v>
      </c>
      <c r="AO101" s="604" t="s">
        <v>132</v>
      </c>
      <c r="AP101" s="604">
        <v>3667</v>
      </c>
      <c r="AR101" s="538" t="str">
        <f t="shared" si="17"/>
        <v>25-29agefetalCanterbury</v>
      </c>
      <c r="AS101" s="604">
        <v>2016</v>
      </c>
      <c r="AT101" s="604" t="s">
        <v>131</v>
      </c>
      <c r="AU101" s="604" t="s">
        <v>453</v>
      </c>
      <c r="AV101" s="604" t="s">
        <v>101</v>
      </c>
      <c r="AW101" s="604">
        <v>13</v>
      </c>
      <c r="AX101" s="604">
        <v>1824</v>
      </c>
      <c r="AY101" s="606">
        <v>7.1</v>
      </c>
      <c r="AZ101" s="604" t="s">
        <v>420</v>
      </c>
      <c r="BB101" s="536" t="str">
        <f t="shared" si="18"/>
        <v>35-39agebirthsCapital &amp; Coast</v>
      </c>
      <c r="BC101" s="604">
        <v>2016</v>
      </c>
      <c r="BD101" s="604" t="s">
        <v>133</v>
      </c>
      <c r="BE101" s="604" t="s">
        <v>453</v>
      </c>
      <c r="BF101" s="604" t="s">
        <v>96</v>
      </c>
      <c r="BG101" s="604">
        <v>863</v>
      </c>
      <c r="BH101" s="604" t="s">
        <v>445</v>
      </c>
      <c r="BR101" s="547" t="str">
        <f t="shared" si="19"/>
        <v>&lt;1 dayQuin 5dep</v>
      </c>
      <c r="BS101" s="604">
        <v>2016</v>
      </c>
      <c r="BT101" s="604" t="s">
        <v>469</v>
      </c>
      <c r="BU101" s="604" t="s">
        <v>425</v>
      </c>
      <c r="BV101" s="604" t="s">
        <v>454</v>
      </c>
      <c r="BW101" s="604">
        <v>39</v>
      </c>
      <c r="BY101" s="553" t="str">
        <f t="shared" si="20"/>
        <v>2014&lt;20ageSIDS</v>
      </c>
      <c r="BZ101" s="604">
        <v>2014</v>
      </c>
      <c r="CA101" s="604" t="s">
        <v>339</v>
      </c>
      <c r="CB101" s="604" t="s">
        <v>453</v>
      </c>
      <c r="CC101" s="604">
        <v>3</v>
      </c>
      <c r="CD101" s="604" t="s">
        <v>32</v>
      </c>
      <c r="CF101" s="554" t="str">
        <f t="shared" si="21"/>
        <v>2016Pacific peoplesMidCentraldhbSIDS</v>
      </c>
      <c r="CG101" s="604">
        <v>2016</v>
      </c>
      <c r="CH101" s="604" t="s">
        <v>320</v>
      </c>
      <c r="CI101" s="604" t="s">
        <v>94</v>
      </c>
      <c r="CJ101" s="604" t="s">
        <v>448</v>
      </c>
      <c r="CK101" s="604">
        <v>0</v>
      </c>
      <c r="CL101" s="604" t="s">
        <v>32</v>
      </c>
      <c r="CN101" s="575" t="str">
        <f t="shared" si="22"/>
        <v>2013V00–Y98infant</v>
      </c>
      <c r="CO101" s="604">
        <v>2013</v>
      </c>
      <c r="CP101" s="604" t="s">
        <v>523</v>
      </c>
      <c r="CQ101" s="604">
        <v>21</v>
      </c>
      <c r="CR101" s="604">
        <v>7.1</v>
      </c>
      <c r="CS101" s="604">
        <v>0.35</v>
      </c>
      <c r="CT101" s="604" t="s">
        <v>437</v>
      </c>
      <c r="CV101" s="575"/>
    </row>
    <row r="102" spans="1:100">
      <c r="A102" s="502" t="str">
        <f t="shared" si="12"/>
        <v>2011deathsPerinatal</v>
      </c>
      <c r="B102" s="604">
        <v>2011</v>
      </c>
      <c r="C102" s="604" t="s">
        <v>496</v>
      </c>
      <c r="D102" s="604" t="s">
        <v>49</v>
      </c>
      <c r="E102" s="604">
        <v>622</v>
      </c>
      <c r="F102" s="604">
        <v>62625</v>
      </c>
      <c r="G102" s="604">
        <v>9.9</v>
      </c>
      <c r="I102" s="578" t="str">
        <f t="shared" si="13"/>
        <v>2007age20-24Fetal</v>
      </c>
      <c r="J102" s="604">
        <v>2007</v>
      </c>
      <c r="K102" s="604" t="s">
        <v>453</v>
      </c>
      <c r="L102" s="604" t="s">
        <v>130</v>
      </c>
      <c r="M102" s="604">
        <v>87</v>
      </c>
      <c r="N102" s="604">
        <v>11510</v>
      </c>
      <c r="O102" s="604">
        <v>7.6</v>
      </c>
      <c r="P102" s="604" t="s">
        <v>47</v>
      </c>
      <c r="Q102" s="499"/>
      <c r="R102" s="502" t="str">
        <f t="shared" si="14"/>
        <v>2010birthsbwt500-999</v>
      </c>
      <c r="S102" s="604">
        <v>2010</v>
      </c>
      <c r="T102" s="604" t="s">
        <v>445</v>
      </c>
      <c r="U102" s="604" t="s">
        <v>447</v>
      </c>
      <c r="V102" s="604" t="s">
        <v>428</v>
      </c>
      <c r="W102" s="604">
        <v>230</v>
      </c>
      <c r="Y102" s="535" t="str">
        <f t="shared" si="15"/>
        <v>2016depageQuin 430-34fetal</v>
      </c>
      <c r="Z102" s="604">
        <v>2016</v>
      </c>
      <c r="AA102" s="604" t="s">
        <v>454</v>
      </c>
      <c r="AB102" s="604" t="s">
        <v>453</v>
      </c>
      <c r="AC102" s="604" t="s">
        <v>424</v>
      </c>
      <c r="AD102" s="604" t="s">
        <v>132</v>
      </c>
      <c r="AE102" s="604">
        <v>29</v>
      </c>
      <c r="AF102" s="604">
        <v>3942</v>
      </c>
      <c r="AG102" s="604">
        <v>7.3</v>
      </c>
      <c r="AH102" s="604" t="s">
        <v>420</v>
      </c>
      <c r="AJ102" s="535" t="str">
        <f t="shared" si="16"/>
        <v>2016depageQuin 430-34</v>
      </c>
      <c r="AK102" s="604">
        <v>2016</v>
      </c>
      <c r="AL102" s="604" t="s">
        <v>454</v>
      </c>
      <c r="AM102" s="604" t="s">
        <v>453</v>
      </c>
      <c r="AN102" s="604" t="s">
        <v>424</v>
      </c>
      <c r="AO102" s="604" t="s">
        <v>132</v>
      </c>
      <c r="AP102" s="604">
        <v>3942</v>
      </c>
      <c r="AR102" s="538" t="str">
        <f t="shared" si="17"/>
        <v>30-34agefetalCanterbury</v>
      </c>
      <c r="AS102" s="604">
        <v>2016</v>
      </c>
      <c r="AT102" s="604" t="s">
        <v>132</v>
      </c>
      <c r="AU102" s="604" t="s">
        <v>453</v>
      </c>
      <c r="AV102" s="604" t="s">
        <v>101</v>
      </c>
      <c r="AW102" s="604">
        <v>12</v>
      </c>
      <c r="AX102" s="604">
        <v>2160</v>
      </c>
      <c r="AY102" s="606">
        <v>5.6</v>
      </c>
      <c r="AZ102" s="604" t="s">
        <v>420</v>
      </c>
      <c r="BB102" s="536" t="str">
        <f t="shared" si="18"/>
        <v>40+agebirthsCapital &amp; Coast</v>
      </c>
      <c r="BC102" s="604">
        <v>2016</v>
      </c>
      <c r="BD102" s="604" t="s">
        <v>134</v>
      </c>
      <c r="BE102" s="604" t="s">
        <v>453</v>
      </c>
      <c r="BF102" s="604" t="s">
        <v>96</v>
      </c>
      <c r="BG102" s="604">
        <v>215</v>
      </c>
      <c r="BH102" s="604" t="s">
        <v>445</v>
      </c>
      <c r="BR102" s="547" t="str">
        <f t="shared" si="19"/>
        <v>&lt;1 dayQuin 9dep</v>
      </c>
      <c r="BS102" s="604">
        <v>2016</v>
      </c>
      <c r="BT102" s="604" t="s">
        <v>469</v>
      </c>
      <c r="BU102" s="604" t="s">
        <v>426</v>
      </c>
      <c r="BV102" s="604" t="s">
        <v>454</v>
      </c>
      <c r="BW102" s="604">
        <v>1</v>
      </c>
      <c r="BY102" s="553" t="str">
        <f t="shared" si="20"/>
        <v>201420-24ageSIDS</v>
      </c>
      <c r="BZ102" s="604">
        <v>2014</v>
      </c>
      <c r="CA102" s="604" t="s">
        <v>130</v>
      </c>
      <c r="CB102" s="604" t="s">
        <v>453</v>
      </c>
      <c r="CC102" s="604">
        <v>2</v>
      </c>
      <c r="CD102" s="604" t="s">
        <v>32</v>
      </c>
      <c r="CF102" s="554" t="str">
        <f t="shared" si="21"/>
        <v>2016AsianWhanganuidhbSIDS</v>
      </c>
      <c r="CG102" s="604">
        <v>2016</v>
      </c>
      <c r="CH102" s="604" t="s">
        <v>355</v>
      </c>
      <c r="CI102" s="604" t="s">
        <v>95</v>
      </c>
      <c r="CJ102" s="604" t="s">
        <v>448</v>
      </c>
      <c r="CK102" s="604">
        <v>0</v>
      </c>
      <c r="CL102" s="604" t="s">
        <v>32</v>
      </c>
      <c r="CN102" s="575" t="str">
        <f t="shared" si="22"/>
        <v>2014A00–B99infant</v>
      </c>
      <c r="CO102" s="604">
        <v>2014</v>
      </c>
      <c r="CP102" s="604" t="s">
        <v>498</v>
      </c>
      <c r="CQ102" s="604">
        <v>6</v>
      </c>
      <c r="CR102" s="604">
        <v>1.8</v>
      </c>
      <c r="CS102" s="604">
        <v>0.1</v>
      </c>
      <c r="CT102" s="604" t="s">
        <v>437</v>
      </c>
      <c r="CV102" s="575"/>
    </row>
    <row r="103" spans="1:100">
      <c r="A103" s="502" t="str">
        <f t="shared" si="12"/>
        <v>2012deathsPerinatal</v>
      </c>
      <c r="B103" s="604">
        <v>2012</v>
      </c>
      <c r="C103" s="604" t="s">
        <v>496</v>
      </c>
      <c r="D103" s="604" t="s">
        <v>49</v>
      </c>
      <c r="E103" s="604">
        <v>608</v>
      </c>
      <c r="F103" s="604">
        <v>62483</v>
      </c>
      <c r="G103" s="604">
        <v>9.6999999999999993</v>
      </c>
      <c r="I103" s="578" t="str">
        <f t="shared" si="13"/>
        <v>2007age25-29Fetal</v>
      </c>
      <c r="J103" s="604">
        <v>2007</v>
      </c>
      <c r="K103" s="604" t="s">
        <v>453</v>
      </c>
      <c r="L103" s="604" t="s">
        <v>131</v>
      </c>
      <c r="M103" s="604">
        <v>110</v>
      </c>
      <c r="N103" s="604">
        <v>15925</v>
      </c>
      <c r="O103" s="604">
        <v>6.9</v>
      </c>
      <c r="P103" s="604" t="s">
        <v>47</v>
      </c>
      <c r="Q103" s="499"/>
      <c r="R103" s="502" t="str">
        <f t="shared" si="14"/>
        <v>2010birthsbwt1000-1499</v>
      </c>
      <c r="S103" s="604">
        <v>2010</v>
      </c>
      <c r="T103" s="604" t="s">
        <v>445</v>
      </c>
      <c r="U103" s="604" t="s">
        <v>447</v>
      </c>
      <c r="V103" s="604" t="s">
        <v>429</v>
      </c>
      <c r="W103" s="604">
        <v>377</v>
      </c>
      <c r="Y103" s="535" t="str">
        <f t="shared" si="15"/>
        <v>2016depageQuin 530-34fetal</v>
      </c>
      <c r="Z103" s="604">
        <v>2016</v>
      </c>
      <c r="AA103" s="604" t="s">
        <v>454</v>
      </c>
      <c r="AB103" s="604" t="s">
        <v>453</v>
      </c>
      <c r="AC103" s="604" t="s">
        <v>425</v>
      </c>
      <c r="AD103" s="604" t="s">
        <v>132</v>
      </c>
      <c r="AE103" s="604">
        <v>20</v>
      </c>
      <c r="AF103" s="604">
        <v>3829</v>
      </c>
      <c r="AG103" s="604">
        <v>5.2</v>
      </c>
      <c r="AH103" s="604" t="s">
        <v>420</v>
      </c>
      <c r="AJ103" s="535" t="str">
        <f t="shared" si="16"/>
        <v>2016depageQuin 530-34</v>
      </c>
      <c r="AK103" s="604">
        <v>2016</v>
      </c>
      <c r="AL103" s="604" t="s">
        <v>454</v>
      </c>
      <c r="AM103" s="604" t="s">
        <v>453</v>
      </c>
      <c r="AN103" s="604" t="s">
        <v>425</v>
      </c>
      <c r="AO103" s="604" t="s">
        <v>132</v>
      </c>
      <c r="AP103" s="604">
        <v>3829</v>
      </c>
      <c r="AR103" s="538" t="str">
        <f t="shared" si="17"/>
        <v>35-39agefetalCanterbury</v>
      </c>
      <c r="AS103" s="604">
        <v>2016</v>
      </c>
      <c r="AT103" s="604" t="s">
        <v>133</v>
      </c>
      <c r="AU103" s="604" t="s">
        <v>453</v>
      </c>
      <c r="AV103" s="604" t="s">
        <v>101</v>
      </c>
      <c r="AW103" s="604">
        <v>7</v>
      </c>
      <c r="AX103" s="604">
        <v>1131</v>
      </c>
      <c r="AY103" s="606">
        <v>6.2</v>
      </c>
      <c r="AZ103" s="604" t="s">
        <v>420</v>
      </c>
      <c r="BB103" s="536" t="str">
        <f t="shared" si="18"/>
        <v>&lt;20agebirthsHutt Valley</v>
      </c>
      <c r="BC103" s="604">
        <v>2016</v>
      </c>
      <c r="BD103" s="604" t="s">
        <v>339</v>
      </c>
      <c r="BE103" s="604" t="s">
        <v>453</v>
      </c>
      <c r="BF103" s="604" t="s">
        <v>97</v>
      </c>
      <c r="BG103" s="604">
        <v>103</v>
      </c>
      <c r="BH103" s="604" t="s">
        <v>445</v>
      </c>
      <c r="BR103" s="547" t="str">
        <f t="shared" si="19"/>
        <v>1-6 daysQuin 1dep</v>
      </c>
      <c r="BS103" s="604">
        <v>2016</v>
      </c>
      <c r="BT103" s="604" t="s">
        <v>470</v>
      </c>
      <c r="BU103" s="604" t="s">
        <v>421</v>
      </c>
      <c r="BV103" s="604" t="s">
        <v>454</v>
      </c>
      <c r="BW103" s="604">
        <v>5</v>
      </c>
      <c r="BY103" s="553" t="str">
        <f t="shared" si="20"/>
        <v>201425-29ageSIDS</v>
      </c>
      <c r="BZ103" s="604">
        <v>2014</v>
      </c>
      <c r="CA103" s="604" t="s">
        <v>131</v>
      </c>
      <c r="CB103" s="604" t="s">
        <v>453</v>
      </c>
      <c r="CC103" s="604">
        <v>5</v>
      </c>
      <c r="CD103" s="604" t="s">
        <v>32</v>
      </c>
      <c r="CF103" s="554" t="str">
        <f t="shared" si="21"/>
        <v>2016European or OtherWhanganuidhbSIDS</v>
      </c>
      <c r="CG103" s="604">
        <v>2016</v>
      </c>
      <c r="CH103" s="604" t="s">
        <v>356</v>
      </c>
      <c r="CI103" s="604" t="s">
        <v>95</v>
      </c>
      <c r="CJ103" s="604" t="s">
        <v>448</v>
      </c>
      <c r="CK103" s="604">
        <v>0</v>
      </c>
      <c r="CL103" s="604" t="s">
        <v>32</v>
      </c>
      <c r="CN103" s="575" t="str">
        <f t="shared" si="22"/>
        <v>2014C00–D48infant</v>
      </c>
      <c r="CO103" s="604">
        <v>2014</v>
      </c>
      <c r="CP103" s="604" t="s">
        <v>499</v>
      </c>
      <c r="CQ103" s="604">
        <v>3</v>
      </c>
      <c r="CR103" s="604">
        <v>0.9</v>
      </c>
      <c r="CS103" s="604">
        <v>0.05</v>
      </c>
      <c r="CT103" s="604" t="s">
        <v>437</v>
      </c>
      <c r="CV103" s="575"/>
    </row>
    <row r="104" spans="1:100">
      <c r="A104" s="502" t="str">
        <f t="shared" si="12"/>
        <v>2013deathsPerinatal</v>
      </c>
      <c r="B104" s="604">
        <v>2013</v>
      </c>
      <c r="C104" s="604" t="s">
        <v>496</v>
      </c>
      <c r="D104" s="604" t="s">
        <v>49</v>
      </c>
      <c r="E104" s="604">
        <v>559</v>
      </c>
      <c r="F104" s="604">
        <v>60094</v>
      </c>
      <c r="G104" s="604">
        <v>9.3000000000000007</v>
      </c>
      <c r="I104" s="578" t="str">
        <f t="shared" si="13"/>
        <v>2007age30-34Fetal</v>
      </c>
      <c r="J104" s="604">
        <v>2007</v>
      </c>
      <c r="K104" s="604" t="s">
        <v>453</v>
      </c>
      <c r="L104" s="604" t="s">
        <v>132</v>
      </c>
      <c r="M104" s="604">
        <v>118</v>
      </c>
      <c r="N104" s="604">
        <v>18834</v>
      </c>
      <c r="O104" s="604">
        <v>6.3</v>
      </c>
      <c r="P104" s="604" t="s">
        <v>47</v>
      </c>
      <c r="Q104" s="499"/>
      <c r="R104" s="502" t="str">
        <f t="shared" si="14"/>
        <v>2010birthsbwt1500-2499</v>
      </c>
      <c r="S104" s="604">
        <v>2010</v>
      </c>
      <c r="T104" s="604" t="s">
        <v>445</v>
      </c>
      <c r="U104" s="604" t="s">
        <v>447</v>
      </c>
      <c r="V104" s="604" t="s">
        <v>430</v>
      </c>
      <c r="W104" s="604">
        <v>3104</v>
      </c>
      <c r="Y104" s="535" t="str">
        <f t="shared" si="15"/>
        <v>2016depageQuin 930-34fetal</v>
      </c>
      <c r="Z104" s="604">
        <v>2016</v>
      </c>
      <c r="AA104" s="604" t="s">
        <v>454</v>
      </c>
      <c r="AB104" s="604" t="s">
        <v>453</v>
      </c>
      <c r="AC104" s="604" t="s">
        <v>426</v>
      </c>
      <c r="AD104" s="604" t="s">
        <v>132</v>
      </c>
      <c r="AE104" s="604">
        <v>3</v>
      </c>
      <c r="AF104" s="604">
        <v>44</v>
      </c>
      <c r="AG104" s="604" t="s">
        <v>119</v>
      </c>
      <c r="AH104" s="604" t="s">
        <v>420</v>
      </c>
      <c r="AJ104" s="535" t="str">
        <f t="shared" si="16"/>
        <v>2016depageQuin 930-34</v>
      </c>
      <c r="AK104" s="604">
        <v>2016</v>
      </c>
      <c r="AL104" s="604" t="s">
        <v>454</v>
      </c>
      <c r="AM104" s="604" t="s">
        <v>453</v>
      </c>
      <c r="AN104" s="604" t="s">
        <v>426</v>
      </c>
      <c r="AO104" s="604" t="s">
        <v>132</v>
      </c>
      <c r="AP104" s="604">
        <v>44</v>
      </c>
      <c r="AR104" s="538" t="str">
        <f t="shared" si="17"/>
        <v>40+agefetalCanterbury</v>
      </c>
      <c r="AS104" s="604">
        <v>2016</v>
      </c>
      <c r="AT104" s="604" t="s">
        <v>134</v>
      </c>
      <c r="AU104" s="604" t="s">
        <v>453</v>
      </c>
      <c r="AV104" s="604" t="s">
        <v>101</v>
      </c>
      <c r="AW104" s="604">
        <v>3</v>
      </c>
      <c r="AX104" s="604">
        <v>269</v>
      </c>
      <c r="AY104" s="606">
        <v>11.2</v>
      </c>
      <c r="AZ104" s="604" t="s">
        <v>420</v>
      </c>
      <c r="BB104" s="536" t="str">
        <f t="shared" si="18"/>
        <v>20-24agebirthsHutt Valley</v>
      </c>
      <c r="BC104" s="604">
        <v>2016</v>
      </c>
      <c r="BD104" s="604" t="s">
        <v>130</v>
      </c>
      <c r="BE104" s="604" t="s">
        <v>453</v>
      </c>
      <c r="BF104" s="604" t="s">
        <v>97</v>
      </c>
      <c r="BG104" s="604">
        <v>328</v>
      </c>
      <c r="BH104" s="604" t="s">
        <v>445</v>
      </c>
      <c r="BR104" s="547" t="str">
        <f t="shared" si="19"/>
        <v>1-6 daysQuin 2dep</v>
      </c>
      <c r="BS104" s="604">
        <v>2016</v>
      </c>
      <c r="BT104" s="604" t="s">
        <v>470</v>
      </c>
      <c r="BU104" s="604" t="s">
        <v>422</v>
      </c>
      <c r="BV104" s="604" t="s">
        <v>454</v>
      </c>
      <c r="BW104" s="604">
        <v>1</v>
      </c>
      <c r="BY104" s="553" t="str">
        <f t="shared" si="20"/>
        <v>201430-34ageSIDS</v>
      </c>
      <c r="BZ104" s="604">
        <v>2014</v>
      </c>
      <c r="CA104" s="604" t="s">
        <v>132</v>
      </c>
      <c r="CB104" s="604" t="s">
        <v>453</v>
      </c>
      <c r="CC104" s="604">
        <v>3</v>
      </c>
      <c r="CD104" s="604" t="s">
        <v>32</v>
      </c>
      <c r="CF104" s="554" t="str">
        <f t="shared" si="21"/>
        <v>2016MaoriWhanganuidhbSIDS</v>
      </c>
      <c r="CG104" s="604">
        <v>2016</v>
      </c>
      <c r="CH104" s="604" t="s">
        <v>129</v>
      </c>
      <c r="CI104" s="604" t="s">
        <v>95</v>
      </c>
      <c r="CJ104" s="604" t="s">
        <v>448</v>
      </c>
      <c r="CK104" s="604">
        <v>0</v>
      </c>
      <c r="CL104" s="604" t="s">
        <v>32</v>
      </c>
      <c r="CN104" s="575" t="str">
        <f t="shared" si="22"/>
        <v>2014D50–D89infant</v>
      </c>
      <c r="CO104" s="604">
        <v>2014</v>
      </c>
      <c r="CP104" s="604" t="s">
        <v>500</v>
      </c>
      <c r="CQ104" s="604">
        <v>3</v>
      </c>
      <c r="CR104" s="604">
        <v>0.9</v>
      </c>
      <c r="CS104" s="604">
        <v>0.05</v>
      </c>
      <c r="CT104" s="604" t="s">
        <v>437</v>
      </c>
      <c r="CV104" s="575"/>
    </row>
    <row r="105" spans="1:100">
      <c r="A105" s="502" t="str">
        <f t="shared" si="12"/>
        <v>2014deathsPerinatal</v>
      </c>
      <c r="B105" s="604">
        <v>2014</v>
      </c>
      <c r="C105" s="604" t="s">
        <v>496</v>
      </c>
      <c r="D105" s="604" t="s">
        <v>49</v>
      </c>
      <c r="E105" s="604">
        <v>655</v>
      </c>
      <c r="F105" s="604">
        <v>58732</v>
      </c>
      <c r="G105" s="604">
        <v>11.2</v>
      </c>
      <c r="I105" s="578" t="str">
        <f t="shared" si="13"/>
        <v>2007age35-39Fetal</v>
      </c>
      <c r="J105" s="604">
        <v>2007</v>
      </c>
      <c r="K105" s="604" t="s">
        <v>453</v>
      </c>
      <c r="L105" s="604" t="s">
        <v>133</v>
      </c>
      <c r="M105" s="604">
        <v>93</v>
      </c>
      <c r="N105" s="604">
        <v>11797</v>
      </c>
      <c r="O105" s="604">
        <v>7.9</v>
      </c>
      <c r="P105" s="604" t="s">
        <v>47</v>
      </c>
      <c r="Q105" s="499"/>
      <c r="R105" s="502" t="str">
        <f t="shared" si="14"/>
        <v>2010birthsbwt2500-4499</v>
      </c>
      <c r="S105" s="604">
        <v>2010</v>
      </c>
      <c r="T105" s="604" t="s">
        <v>445</v>
      </c>
      <c r="U105" s="604" t="s">
        <v>447</v>
      </c>
      <c r="V105" s="604" t="s">
        <v>431</v>
      </c>
      <c r="W105" s="604">
        <v>59190</v>
      </c>
      <c r="Y105" s="535" t="str">
        <f t="shared" si="15"/>
        <v>2016depageQuin 135-39fetal</v>
      </c>
      <c r="Z105" s="604">
        <v>2016</v>
      </c>
      <c r="AA105" s="604" t="s">
        <v>454</v>
      </c>
      <c r="AB105" s="604" t="s">
        <v>453</v>
      </c>
      <c r="AC105" s="604" t="s">
        <v>421</v>
      </c>
      <c r="AD105" s="604" t="s">
        <v>133</v>
      </c>
      <c r="AE105" s="604">
        <v>7</v>
      </c>
      <c r="AF105" s="604">
        <v>2263</v>
      </c>
      <c r="AG105" s="604">
        <v>3.1</v>
      </c>
      <c r="AH105" s="604" t="s">
        <v>420</v>
      </c>
      <c r="AJ105" s="535" t="str">
        <f t="shared" si="16"/>
        <v>2016depageQuin 135-39</v>
      </c>
      <c r="AK105" s="604">
        <v>2016</v>
      </c>
      <c r="AL105" s="604" t="s">
        <v>454</v>
      </c>
      <c r="AM105" s="604" t="s">
        <v>453</v>
      </c>
      <c r="AN105" s="604" t="s">
        <v>421</v>
      </c>
      <c r="AO105" s="604" t="s">
        <v>133</v>
      </c>
      <c r="AP105" s="604">
        <v>2263</v>
      </c>
      <c r="AR105" s="538" t="str">
        <f t="shared" si="17"/>
        <v>20-24agefetalSouth Canterbury</v>
      </c>
      <c r="AS105" s="604">
        <v>2016</v>
      </c>
      <c r="AT105" s="604" t="s">
        <v>130</v>
      </c>
      <c r="AU105" s="604" t="s">
        <v>453</v>
      </c>
      <c r="AV105" s="604" t="s">
        <v>102</v>
      </c>
      <c r="AW105" s="604">
        <v>3</v>
      </c>
      <c r="AX105" s="604">
        <v>124</v>
      </c>
      <c r="AY105" s="606">
        <v>24.2</v>
      </c>
      <c r="AZ105" s="604" t="s">
        <v>420</v>
      </c>
      <c r="BB105" s="536" t="str">
        <f t="shared" si="18"/>
        <v>25-29agebirthsHutt Valley</v>
      </c>
      <c r="BC105" s="604">
        <v>2016</v>
      </c>
      <c r="BD105" s="604" t="s">
        <v>131</v>
      </c>
      <c r="BE105" s="604" t="s">
        <v>453</v>
      </c>
      <c r="BF105" s="604" t="s">
        <v>97</v>
      </c>
      <c r="BG105" s="604">
        <v>556</v>
      </c>
      <c r="BH105" s="604" t="s">
        <v>445</v>
      </c>
      <c r="BR105" s="547" t="str">
        <f t="shared" si="19"/>
        <v>1-6 daysQuin 3dep</v>
      </c>
      <c r="BS105" s="604">
        <v>2016</v>
      </c>
      <c r="BT105" s="604" t="s">
        <v>470</v>
      </c>
      <c r="BU105" s="604" t="s">
        <v>423</v>
      </c>
      <c r="BV105" s="604" t="s">
        <v>454</v>
      </c>
      <c r="BW105" s="604">
        <v>6</v>
      </c>
      <c r="BY105" s="553" t="str">
        <f t="shared" si="20"/>
        <v>201435-39ageSIDS</v>
      </c>
      <c r="BZ105" s="604">
        <v>2014</v>
      </c>
      <c r="CA105" s="604" t="s">
        <v>133</v>
      </c>
      <c r="CB105" s="604" t="s">
        <v>453</v>
      </c>
      <c r="CC105" s="604">
        <v>1</v>
      </c>
      <c r="CD105" s="604" t="s">
        <v>32</v>
      </c>
      <c r="CF105" s="554" t="str">
        <f t="shared" si="21"/>
        <v>2016Pacific peoplesWhanganuidhbSIDS</v>
      </c>
      <c r="CG105" s="604">
        <v>2016</v>
      </c>
      <c r="CH105" s="604" t="s">
        <v>320</v>
      </c>
      <c r="CI105" s="604" t="s">
        <v>95</v>
      </c>
      <c r="CJ105" s="604" t="s">
        <v>448</v>
      </c>
      <c r="CK105" s="604">
        <v>1</v>
      </c>
      <c r="CL105" s="604" t="s">
        <v>32</v>
      </c>
      <c r="CN105" s="575" t="str">
        <f t="shared" si="22"/>
        <v>2014E00–E89infant</v>
      </c>
      <c r="CO105" s="604">
        <v>2014</v>
      </c>
      <c r="CP105" s="604" t="s">
        <v>501</v>
      </c>
      <c r="CQ105" s="604">
        <v>3</v>
      </c>
      <c r="CR105" s="604">
        <v>0.9</v>
      </c>
      <c r="CS105" s="604">
        <v>0.05</v>
      </c>
      <c r="CT105" s="604" t="s">
        <v>437</v>
      </c>
      <c r="CV105" s="575"/>
    </row>
    <row r="106" spans="1:100">
      <c r="A106" s="502" t="str">
        <f t="shared" si="12"/>
        <v>2015deathsPerinatal</v>
      </c>
      <c r="B106" s="604">
        <v>2015</v>
      </c>
      <c r="C106" s="604" t="s">
        <v>496</v>
      </c>
      <c r="D106" s="604" t="s">
        <v>49</v>
      </c>
      <c r="E106" s="604">
        <v>528</v>
      </c>
      <c r="F106" s="604">
        <v>62506</v>
      </c>
      <c r="G106" s="604">
        <v>8.4</v>
      </c>
      <c r="I106" s="578" t="str">
        <f t="shared" si="13"/>
        <v>2007age40+Fetal</v>
      </c>
      <c r="J106" s="604">
        <v>2007</v>
      </c>
      <c r="K106" s="604" t="s">
        <v>453</v>
      </c>
      <c r="L106" s="604" t="s">
        <v>134</v>
      </c>
      <c r="M106" s="604">
        <v>24</v>
      </c>
      <c r="N106" s="604">
        <v>2436</v>
      </c>
      <c r="O106" s="604">
        <v>9.9</v>
      </c>
      <c r="P106" s="604" t="s">
        <v>47</v>
      </c>
      <c r="Q106" s="499"/>
      <c r="R106" s="502" t="str">
        <f t="shared" si="14"/>
        <v>2010birthsbwt4500+</v>
      </c>
      <c r="S106" s="604">
        <v>2010</v>
      </c>
      <c r="T106" s="604" t="s">
        <v>445</v>
      </c>
      <c r="U106" s="604" t="s">
        <v>447</v>
      </c>
      <c r="V106" s="604" t="s">
        <v>432</v>
      </c>
      <c r="W106" s="604">
        <v>1673</v>
      </c>
      <c r="Y106" s="535" t="str">
        <f t="shared" si="15"/>
        <v>2016depageQuin 235-39fetal</v>
      </c>
      <c r="Z106" s="604">
        <v>2016</v>
      </c>
      <c r="AA106" s="604" t="s">
        <v>454</v>
      </c>
      <c r="AB106" s="604" t="s">
        <v>453</v>
      </c>
      <c r="AC106" s="604" t="s">
        <v>422</v>
      </c>
      <c r="AD106" s="604" t="s">
        <v>133</v>
      </c>
      <c r="AE106" s="604">
        <v>9</v>
      </c>
      <c r="AF106" s="604">
        <v>2080</v>
      </c>
      <c r="AG106" s="604">
        <v>4.3</v>
      </c>
      <c r="AH106" s="604" t="s">
        <v>420</v>
      </c>
      <c r="AJ106" s="535" t="str">
        <f t="shared" si="16"/>
        <v>2016depageQuin 235-39</v>
      </c>
      <c r="AK106" s="604">
        <v>2016</v>
      </c>
      <c r="AL106" s="604" t="s">
        <v>454</v>
      </c>
      <c r="AM106" s="604" t="s">
        <v>453</v>
      </c>
      <c r="AN106" s="604" t="s">
        <v>422</v>
      </c>
      <c r="AO106" s="604" t="s">
        <v>133</v>
      </c>
      <c r="AP106" s="604">
        <v>2080</v>
      </c>
      <c r="AR106" s="538" t="str">
        <f t="shared" si="17"/>
        <v>&lt;20agefetalSouthern</v>
      </c>
      <c r="AS106" s="604">
        <v>2016</v>
      </c>
      <c r="AT106" s="604" t="s">
        <v>339</v>
      </c>
      <c r="AU106" s="604" t="s">
        <v>453</v>
      </c>
      <c r="AV106" s="604" t="s">
        <v>103</v>
      </c>
      <c r="AW106" s="604">
        <v>3</v>
      </c>
      <c r="AX106" s="604">
        <v>118</v>
      </c>
      <c r="AY106" s="606">
        <v>25.4</v>
      </c>
      <c r="AZ106" s="604" t="s">
        <v>420</v>
      </c>
      <c r="BB106" s="536" t="str">
        <f t="shared" si="18"/>
        <v>30-34agebirthsHutt Valley</v>
      </c>
      <c r="BC106" s="604">
        <v>2016</v>
      </c>
      <c r="BD106" s="604" t="s">
        <v>132</v>
      </c>
      <c r="BE106" s="604" t="s">
        <v>453</v>
      </c>
      <c r="BF106" s="604" t="s">
        <v>97</v>
      </c>
      <c r="BG106" s="604">
        <v>616</v>
      </c>
      <c r="BH106" s="604" t="s">
        <v>445</v>
      </c>
      <c r="BR106" s="547" t="str">
        <f t="shared" si="19"/>
        <v>1-6 daysQuin 4dep</v>
      </c>
      <c r="BS106" s="604">
        <v>2016</v>
      </c>
      <c r="BT106" s="604" t="s">
        <v>470</v>
      </c>
      <c r="BU106" s="604" t="s">
        <v>424</v>
      </c>
      <c r="BV106" s="604" t="s">
        <v>454</v>
      </c>
      <c r="BW106" s="604">
        <v>5</v>
      </c>
      <c r="BY106" s="553" t="str">
        <f t="shared" si="20"/>
        <v>201440+ageSIDS</v>
      </c>
      <c r="BZ106" s="604">
        <v>2014</v>
      </c>
      <c r="CA106" s="604" t="s">
        <v>134</v>
      </c>
      <c r="CB106" s="604" t="s">
        <v>453</v>
      </c>
      <c r="CC106" s="604">
        <v>0</v>
      </c>
      <c r="CD106" s="604" t="s">
        <v>32</v>
      </c>
      <c r="CF106" s="554" t="str">
        <f t="shared" si="21"/>
        <v>2016AsianCapital &amp; CoastdhbSIDS</v>
      </c>
      <c r="CG106" s="604">
        <v>2016</v>
      </c>
      <c r="CH106" s="604" t="s">
        <v>355</v>
      </c>
      <c r="CI106" s="604" t="s">
        <v>96</v>
      </c>
      <c r="CJ106" s="604" t="s">
        <v>448</v>
      </c>
      <c r="CK106" s="604">
        <v>0</v>
      </c>
      <c r="CL106" s="604" t="s">
        <v>32</v>
      </c>
      <c r="CN106" s="575" t="str">
        <f t="shared" si="22"/>
        <v>2014G00–G99infant</v>
      </c>
      <c r="CO106" s="604">
        <v>2014</v>
      </c>
      <c r="CP106" s="604" t="s">
        <v>503</v>
      </c>
      <c r="CQ106" s="604">
        <v>5</v>
      </c>
      <c r="CR106" s="604">
        <v>1.5</v>
      </c>
      <c r="CS106" s="604">
        <v>0.09</v>
      </c>
      <c r="CT106" s="604" t="s">
        <v>437</v>
      </c>
      <c r="CV106" s="575"/>
    </row>
    <row r="107" spans="1:100">
      <c r="A107" s="502" t="str">
        <f t="shared" si="12"/>
        <v>2016deathsPerinatal</v>
      </c>
      <c r="B107" s="604">
        <v>2016</v>
      </c>
      <c r="C107" s="604" t="s">
        <v>496</v>
      </c>
      <c r="D107" s="604" t="s">
        <v>49</v>
      </c>
      <c r="E107" s="604">
        <v>546</v>
      </c>
      <c r="F107" s="604">
        <v>60849</v>
      </c>
      <c r="G107" s="604">
        <v>9</v>
      </c>
      <c r="I107" s="578" t="str">
        <f t="shared" si="13"/>
        <v>2007ageUnknownFetal</v>
      </c>
      <c r="J107" s="604">
        <v>2007</v>
      </c>
      <c r="K107" s="604" t="s">
        <v>453</v>
      </c>
      <c r="L107" s="604" t="s">
        <v>63</v>
      </c>
      <c r="M107" s="604">
        <v>0</v>
      </c>
      <c r="N107" s="604">
        <v>0</v>
      </c>
      <c r="O107" s="604" t="s">
        <v>119</v>
      </c>
      <c r="P107" s="604" t="s">
        <v>47</v>
      </c>
      <c r="Q107" s="499"/>
      <c r="R107" s="502" t="str">
        <f t="shared" si="14"/>
        <v>2010birthsbwtUnknown</v>
      </c>
      <c r="S107" s="604">
        <v>2010</v>
      </c>
      <c r="T107" s="604" t="s">
        <v>445</v>
      </c>
      <c r="U107" s="604" t="s">
        <v>447</v>
      </c>
      <c r="V107" s="604" t="s">
        <v>63</v>
      </c>
      <c r="W107" s="604">
        <v>56</v>
      </c>
      <c r="Y107" s="535" t="str">
        <f t="shared" si="15"/>
        <v>2016depageQuin 335-39fetal</v>
      </c>
      <c r="Z107" s="604">
        <v>2016</v>
      </c>
      <c r="AA107" s="604" t="s">
        <v>454</v>
      </c>
      <c r="AB107" s="604" t="s">
        <v>453</v>
      </c>
      <c r="AC107" s="604" t="s">
        <v>423</v>
      </c>
      <c r="AD107" s="604" t="s">
        <v>133</v>
      </c>
      <c r="AE107" s="604">
        <v>13</v>
      </c>
      <c r="AF107" s="604">
        <v>1919</v>
      </c>
      <c r="AG107" s="604">
        <v>6.7</v>
      </c>
      <c r="AH107" s="604" t="s">
        <v>420</v>
      </c>
      <c r="AJ107" s="535" t="str">
        <f t="shared" si="16"/>
        <v>2016depageQuin 335-39</v>
      </c>
      <c r="AK107" s="604">
        <v>2016</v>
      </c>
      <c r="AL107" s="604" t="s">
        <v>454</v>
      </c>
      <c r="AM107" s="604" t="s">
        <v>453</v>
      </c>
      <c r="AN107" s="604" t="s">
        <v>423</v>
      </c>
      <c r="AO107" s="604" t="s">
        <v>133</v>
      </c>
      <c r="AP107" s="604">
        <v>1919</v>
      </c>
      <c r="AR107" s="538" t="str">
        <f t="shared" si="17"/>
        <v>20-24agefetalSouthern</v>
      </c>
      <c r="AS107" s="604">
        <v>2016</v>
      </c>
      <c r="AT107" s="604" t="s">
        <v>130</v>
      </c>
      <c r="AU107" s="604" t="s">
        <v>453</v>
      </c>
      <c r="AV107" s="604" t="s">
        <v>103</v>
      </c>
      <c r="AW107" s="604">
        <v>4</v>
      </c>
      <c r="AX107" s="604">
        <v>535</v>
      </c>
      <c r="AY107" s="606">
        <v>7.5</v>
      </c>
      <c r="AZ107" s="604" t="s">
        <v>420</v>
      </c>
      <c r="BB107" s="536" t="str">
        <f t="shared" si="18"/>
        <v>35-39agebirthsHutt Valley</v>
      </c>
      <c r="BC107" s="604">
        <v>2016</v>
      </c>
      <c r="BD107" s="604" t="s">
        <v>133</v>
      </c>
      <c r="BE107" s="604" t="s">
        <v>453</v>
      </c>
      <c r="BF107" s="604" t="s">
        <v>97</v>
      </c>
      <c r="BG107" s="604">
        <v>314</v>
      </c>
      <c r="BH107" s="604" t="s">
        <v>445</v>
      </c>
      <c r="BR107" s="547" t="str">
        <f t="shared" si="19"/>
        <v>1-6 daysQuin 5dep</v>
      </c>
      <c r="BS107" s="604">
        <v>2016</v>
      </c>
      <c r="BT107" s="604" t="s">
        <v>470</v>
      </c>
      <c r="BU107" s="604" t="s">
        <v>425</v>
      </c>
      <c r="BV107" s="604" t="s">
        <v>454</v>
      </c>
      <c r="BW107" s="604">
        <v>16</v>
      </c>
      <c r="BY107" s="553" t="str">
        <f t="shared" si="20"/>
        <v>2014UnknownageSIDS</v>
      </c>
      <c r="BZ107" s="604">
        <v>2014</v>
      </c>
      <c r="CA107" s="604" t="s">
        <v>63</v>
      </c>
      <c r="CB107" s="604" t="s">
        <v>453</v>
      </c>
      <c r="CC107" s="604">
        <v>0</v>
      </c>
      <c r="CD107" s="604" t="s">
        <v>32</v>
      </c>
      <c r="CF107" s="554" t="str">
        <f t="shared" si="21"/>
        <v>2016European or OtherCapital &amp; CoastdhbSIDS</v>
      </c>
      <c r="CG107" s="604">
        <v>2016</v>
      </c>
      <c r="CH107" s="604" t="s">
        <v>356</v>
      </c>
      <c r="CI107" s="604" t="s">
        <v>96</v>
      </c>
      <c r="CJ107" s="604" t="s">
        <v>448</v>
      </c>
      <c r="CK107" s="604">
        <v>0</v>
      </c>
      <c r="CL107" s="604" t="s">
        <v>32</v>
      </c>
      <c r="CN107" s="575" t="str">
        <f t="shared" si="22"/>
        <v>2014I00–I99infant</v>
      </c>
      <c r="CO107" s="604">
        <v>2014</v>
      </c>
      <c r="CP107" s="604" t="s">
        <v>506</v>
      </c>
      <c r="CQ107" s="604">
        <v>6</v>
      </c>
      <c r="CR107" s="604">
        <v>1.8</v>
      </c>
      <c r="CS107" s="604">
        <v>0.1</v>
      </c>
      <c r="CT107" s="604" t="s">
        <v>437</v>
      </c>
      <c r="CV107" s="575"/>
    </row>
    <row r="108" spans="1:100">
      <c r="A108" s="502" t="str">
        <f t="shared" si="12"/>
        <v>1996deathsNeonatal</v>
      </c>
      <c r="B108" s="604">
        <v>1996</v>
      </c>
      <c r="C108" s="604" t="s">
        <v>496</v>
      </c>
      <c r="D108" s="604" t="s">
        <v>50</v>
      </c>
      <c r="E108" s="604">
        <v>223</v>
      </c>
      <c r="F108" s="604">
        <v>57434</v>
      </c>
      <c r="G108" s="604">
        <v>3.9</v>
      </c>
      <c r="I108" s="578" t="str">
        <f t="shared" si="13"/>
        <v>2008age&lt;20Fetal</v>
      </c>
      <c r="J108" s="604">
        <v>2008</v>
      </c>
      <c r="K108" s="604" t="s">
        <v>453</v>
      </c>
      <c r="L108" s="604" t="s">
        <v>339</v>
      </c>
      <c r="M108" s="604">
        <v>62</v>
      </c>
      <c r="N108" s="604">
        <v>5372</v>
      </c>
      <c r="O108" s="604">
        <v>11.5</v>
      </c>
      <c r="P108" s="604" t="s">
        <v>47</v>
      </c>
      <c r="Q108" s="499"/>
      <c r="R108" s="502" t="str">
        <f t="shared" si="14"/>
        <v>2011birthsbwt&lt;500</v>
      </c>
      <c r="S108" s="604">
        <v>2011</v>
      </c>
      <c r="T108" s="604" t="s">
        <v>445</v>
      </c>
      <c r="U108" s="604" t="s">
        <v>447</v>
      </c>
      <c r="V108" s="604" t="s">
        <v>427</v>
      </c>
      <c r="W108" s="604">
        <v>63</v>
      </c>
      <c r="Y108" s="535" t="str">
        <f t="shared" si="15"/>
        <v>2016depageQuin 435-39fetal</v>
      </c>
      <c r="Z108" s="604">
        <v>2016</v>
      </c>
      <c r="AA108" s="604" t="s">
        <v>454</v>
      </c>
      <c r="AB108" s="604" t="s">
        <v>453</v>
      </c>
      <c r="AC108" s="604" t="s">
        <v>424</v>
      </c>
      <c r="AD108" s="604" t="s">
        <v>133</v>
      </c>
      <c r="AE108" s="604">
        <v>20</v>
      </c>
      <c r="AF108" s="604">
        <v>1934</v>
      </c>
      <c r="AG108" s="604">
        <v>10.199999999999999</v>
      </c>
      <c r="AH108" s="604" t="s">
        <v>420</v>
      </c>
      <c r="AJ108" s="535" t="str">
        <f t="shared" si="16"/>
        <v>2016depageQuin 435-39</v>
      </c>
      <c r="AK108" s="604">
        <v>2016</v>
      </c>
      <c r="AL108" s="604" t="s">
        <v>454</v>
      </c>
      <c r="AM108" s="604" t="s">
        <v>453</v>
      </c>
      <c r="AN108" s="604" t="s">
        <v>424</v>
      </c>
      <c r="AO108" s="604" t="s">
        <v>133</v>
      </c>
      <c r="AP108" s="604">
        <v>1934</v>
      </c>
      <c r="AR108" s="538" t="str">
        <f t="shared" si="17"/>
        <v>25-29agefetalSouthern</v>
      </c>
      <c r="AS108" s="604">
        <v>2016</v>
      </c>
      <c r="AT108" s="604" t="s">
        <v>131</v>
      </c>
      <c r="AU108" s="604" t="s">
        <v>453</v>
      </c>
      <c r="AV108" s="604" t="s">
        <v>103</v>
      </c>
      <c r="AW108" s="604">
        <v>9</v>
      </c>
      <c r="AX108" s="604">
        <v>908</v>
      </c>
      <c r="AY108" s="606">
        <v>9.9</v>
      </c>
      <c r="AZ108" s="604" t="s">
        <v>420</v>
      </c>
      <c r="BB108" s="536" t="str">
        <f t="shared" si="18"/>
        <v>40+agebirthsHutt Valley</v>
      </c>
      <c r="BC108" s="604">
        <v>2016</v>
      </c>
      <c r="BD108" s="604" t="s">
        <v>134</v>
      </c>
      <c r="BE108" s="604" t="s">
        <v>453</v>
      </c>
      <c r="BF108" s="604" t="s">
        <v>97</v>
      </c>
      <c r="BG108" s="604">
        <v>87</v>
      </c>
      <c r="BH108" s="604" t="s">
        <v>445</v>
      </c>
      <c r="BR108" s="547" t="str">
        <f t="shared" si="19"/>
        <v>28+ daysQuin 1dep</v>
      </c>
      <c r="BS108" s="604">
        <v>2016</v>
      </c>
      <c r="BT108" s="604" t="s">
        <v>117</v>
      </c>
      <c r="BU108" s="604" t="s">
        <v>421</v>
      </c>
      <c r="BV108" s="604" t="s">
        <v>454</v>
      </c>
      <c r="BW108" s="604">
        <v>5</v>
      </c>
      <c r="BY108" s="553" t="str">
        <f t="shared" si="20"/>
        <v>2015&lt;20ageSIDS</v>
      </c>
      <c r="BZ108" s="604">
        <v>2015</v>
      </c>
      <c r="CA108" s="604" t="s">
        <v>339</v>
      </c>
      <c r="CB108" s="604" t="s">
        <v>453</v>
      </c>
      <c r="CC108" s="604">
        <v>4</v>
      </c>
      <c r="CD108" s="604" t="s">
        <v>32</v>
      </c>
      <c r="CF108" s="554" t="str">
        <f t="shared" si="21"/>
        <v>2016MaoriCapital &amp; CoastdhbSIDS</v>
      </c>
      <c r="CG108" s="604">
        <v>2016</v>
      </c>
      <c r="CH108" s="604" t="s">
        <v>129</v>
      </c>
      <c r="CI108" s="604" t="s">
        <v>96</v>
      </c>
      <c r="CJ108" s="604" t="s">
        <v>448</v>
      </c>
      <c r="CK108" s="604">
        <v>0</v>
      </c>
      <c r="CL108" s="604" t="s">
        <v>32</v>
      </c>
      <c r="CN108" s="575" t="str">
        <f t="shared" si="22"/>
        <v>2014J00–J99infant</v>
      </c>
      <c r="CO108" s="604">
        <v>2014</v>
      </c>
      <c r="CP108" s="604" t="s">
        <v>507</v>
      </c>
      <c r="CQ108" s="604">
        <v>7</v>
      </c>
      <c r="CR108" s="604">
        <v>2.1</v>
      </c>
      <c r="CS108" s="604">
        <v>0.12</v>
      </c>
      <c r="CT108" s="604" t="s">
        <v>437</v>
      </c>
      <c r="CV108" s="575"/>
    </row>
    <row r="109" spans="1:100">
      <c r="A109" s="502" t="str">
        <f t="shared" si="12"/>
        <v>1997deathsNeonatal</v>
      </c>
      <c r="B109" s="604">
        <v>1997</v>
      </c>
      <c r="C109" s="604" t="s">
        <v>496</v>
      </c>
      <c r="D109" s="604" t="s">
        <v>50</v>
      </c>
      <c r="E109" s="604">
        <v>209</v>
      </c>
      <c r="F109" s="604">
        <v>57734</v>
      </c>
      <c r="G109" s="604">
        <v>3.6</v>
      </c>
      <c r="I109" s="578" t="str">
        <f t="shared" si="13"/>
        <v>2008age20-24Fetal</v>
      </c>
      <c r="J109" s="604">
        <v>2008</v>
      </c>
      <c r="K109" s="604" t="s">
        <v>453</v>
      </c>
      <c r="L109" s="604" t="s">
        <v>130</v>
      </c>
      <c r="M109" s="604">
        <v>103</v>
      </c>
      <c r="N109" s="604">
        <v>11898</v>
      </c>
      <c r="O109" s="604">
        <v>8.6999999999999993</v>
      </c>
      <c r="P109" s="604" t="s">
        <v>47</v>
      </c>
      <c r="Q109" s="499"/>
      <c r="R109" s="502" t="str">
        <f t="shared" si="14"/>
        <v>2011birthsbwt500-999</v>
      </c>
      <c r="S109" s="604">
        <v>2011</v>
      </c>
      <c r="T109" s="604" t="s">
        <v>445</v>
      </c>
      <c r="U109" s="604" t="s">
        <v>447</v>
      </c>
      <c r="V109" s="604" t="s">
        <v>428</v>
      </c>
      <c r="W109" s="604">
        <v>209</v>
      </c>
      <c r="Y109" s="535" t="str">
        <f t="shared" si="15"/>
        <v>2016depageQuin 535-39fetal</v>
      </c>
      <c r="Z109" s="604">
        <v>2016</v>
      </c>
      <c r="AA109" s="604" t="s">
        <v>454</v>
      </c>
      <c r="AB109" s="604" t="s">
        <v>453</v>
      </c>
      <c r="AC109" s="604" t="s">
        <v>425</v>
      </c>
      <c r="AD109" s="604" t="s">
        <v>133</v>
      </c>
      <c r="AE109" s="604">
        <v>17</v>
      </c>
      <c r="AF109" s="604">
        <v>1887</v>
      </c>
      <c r="AG109" s="604">
        <v>8.9</v>
      </c>
      <c r="AH109" s="604" t="s">
        <v>420</v>
      </c>
      <c r="AJ109" s="535" t="str">
        <f t="shared" si="16"/>
        <v>2016depageQuin 535-39</v>
      </c>
      <c r="AK109" s="604">
        <v>2016</v>
      </c>
      <c r="AL109" s="604" t="s">
        <v>454</v>
      </c>
      <c r="AM109" s="604" t="s">
        <v>453</v>
      </c>
      <c r="AN109" s="604" t="s">
        <v>425</v>
      </c>
      <c r="AO109" s="604" t="s">
        <v>133</v>
      </c>
      <c r="AP109" s="604">
        <v>1887</v>
      </c>
      <c r="AR109" s="538" t="str">
        <f t="shared" si="17"/>
        <v>30-34agefetalSouthern</v>
      </c>
      <c r="AS109" s="604">
        <v>2016</v>
      </c>
      <c r="AT109" s="604" t="s">
        <v>132</v>
      </c>
      <c r="AU109" s="604" t="s">
        <v>453</v>
      </c>
      <c r="AV109" s="604" t="s">
        <v>103</v>
      </c>
      <c r="AW109" s="604">
        <v>7</v>
      </c>
      <c r="AX109" s="604">
        <v>1138</v>
      </c>
      <c r="AY109" s="606">
        <v>6.2</v>
      </c>
      <c r="AZ109" s="604" t="s">
        <v>420</v>
      </c>
      <c r="BB109" s="536" t="str">
        <f t="shared" si="18"/>
        <v>&lt;20agebirthsWairarapa</v>
      </c>
      <c r="BC109" s="604">
        <v>2016</v>
      </c>
      <c r="BD109" s="604" t="s">
        <v>339</v>
      </c>
      <c r="BE109" s="604" t="s">
        <v>453</v>
      </c>
      <c r="BF109" s="604" t="s">
        <v>98</v>
      </c>
      <c r="BG109" s="604">
        <v>27</v>
      </c>
      <c r="BH109" s="604" t="s">
        <v>445</v>
      </c>
      <c r="BR109" s="547" t="str">
        <f t="shared" si="19"/>
        <v>28+ daysQuin 2dep</v>
      </c>
      <c r="BS109" s="604">
        <v>2016</v>
      </c>
      <c r="BT109" s="604" t="s">
        <v>117</v>
      </c>
      <c r="BU109" s="604" t="s">
        <v>422</v>
      </c>
      <c r="BV109" s="604" t="s">
        <v>454</v>
      </c>
      <c r="BW109" s="604">
        <v>9</v>
      </c>
      <c r="BY109" s="553" t="str">
        <f t="shared" si="20"/>
        <v>201520-24ageSIDS</v>
      </c>
      <c r="BZ109" s="604">
        <v>2015</v>
      </c>
      <c r="CA109" s="604" t="s">
        <v>130</v>
      </c>
      <c r="CB109" s="604" t="s">
        <v>453</v>
      </c>
      <c r="CC109" s="604">
        <v>8</v>
      </c>
      <c r="CD109" s="604" t="s">
        <v>32</v>
      </c>
      <c r="CF109" s="554" t="str">
        <f t="shared" si="21"/>
        <v>2016Pacific peoplesCapital &amp; CoastdhbSIDS</v>
      </c>
      <c r="CG109" s="604">
        <v>2016</v>
      </c>
      <c r="CH109" s="604" t="s">
        <v>320</v>
      </c>
      <c r="CI109" s="604" t="s">
        <v>96</v>
      </c>
      <c r="CJ109" s="604" t="s">
        <v>448</v>
      </c>
      <c r="CK109" s="604">
        <v>0</v>
      </c>
      <c r="CL109" s="604" t="s">
        <v>32</v>
      </c>
      <c r="CN109" s="575" t="str">
        <f t="shared" si="22"/>
        <v>2014P00–P96infant</v>
      </c>
      <c r="CO109" s="604">
        <v>2014</v>
      </c>
      <c r="CP109" s="604" t="s">
        <v>513</v>
      </c>
      <c r="CQ109" s="604">
        <v>175</v>
      </c>
      <c r="CR109" s="604">
        <v>52.6</v>
      </c>
      <c r="CS109" s="604">
        <v>3</v>
      </c>
      <c r="CT109" s="604" t="s">
        <v>437</v>
      </c>
      <c r="CV109" s="575"/>
    </row>
    <row r="110" spans="1:100">
      <c r="A110" s="502" t="str">
        <f t="shared" si="12"/>
        <v>1998deathsNeonatal</v>
      </c>
      <c r="B110" s="604">
        <v>1998</v>
      </c>
      <c r="C110" s="604" t="s">
        <v>496</v>
      </c>
      <c r="D110" s="604" t="s">
        <v>50</v>
      </c>
      <c r="E110" s="604">
        <v>171</v>
      </c>
      <c r="F110" s="604">
        <v>57734</v>
      </c>
      <c r="G110" s="604">
        <v>3</v>
      </c>
      <c r="I110" s="578" t="str">
        <f t="shared" si="13"/>
        <v>2008age25-29Fetal</v>
      </c>
      <c r="J110" s="604">
        <v>2008</v>
      </c>
      <c r="K110" s="604" t="s">
        <v>453</v>
      </c>
      <c r="L110" s="604" t="s">
        <v>131</v>
      </c>
      <c r="M110" s="604">
        <v>120</v>
      </c>
      <c r="N110" s="604">
        <v>16021</v>
      </c>
      <c r="O110" s="604">
        <v>7.5</v>
      </c>
      <c r="P110" s="604" t="s">
        <v>47</v>
      </c>
      <c r="Q110" s="499"/>
      <c r="R110" s="502" t="str">
        <f t="shared" si="14"/>
        <v>2011birthsbwt1000-1499</v>
      </c>
      <c r="S110" s="604">
        <v>2011</v>
      </c>
      <c r="T110" s="604" t="s">
        <v>445</v>
      </c>
      <c r="U110" s="604" t="s">
        <v>447</v>
      </c>
      <c r="V110" s="604" t="s">
        <v>429</v>
      </c>
      <c r="W110" s="604">
        <v>327</v>
      </c>
      <c r="Y110" s="535" t="str">
        <f t="shared" si="15"/>
        <v>2016depageQuin 935-39fetal</v>
      </c>
      <c r="Z110" s="604">
        <v>2016</v>
      </c>
      <c r="AA110" s="604" t="s">
        <v>454</v>
      </c>
      <c r="AB110" s="604" t="s">
        <v>453</v>
      </c>
      <c r="AC110" s="604" t="s">
        <v>426</v>
      </c>
      <c r="AD110" s="604" t="s">
        <v>133</v>
      </c>
      <c r="AE110" s="604">
        <v>4</v>
      </c>
      <c r="AF110" s="604">
        <v>22</v>
      </c>
      <c r="AG110" s="604" t="s">
        <v>119</v>
      </c>
      <c r="AH110" s="604" t="s">
        <v>420</v>
      </c>
      <c r="AJ110" s="535" t="str">
        <f t="shared" si="16"/>
        <v>2016depageQuin 935-39</v>
      </c>
      <c r="AK110" s="604">
        <v>2016</v>
      </c>
      <c r="AL110" s="604" t="s">
        <v>454</v>
      </c>
      <c r="AM110" s="604" t="s">
        <v>453</v>
      </c>
      <c r="AN110" s="604" t="s">
        <v>426</v>
      </c>
      <c r="AO110" s="604" t="s">
        <v>133</v>
      </c>
      <c r="AP110" s="604">
        <v>22</v>
      </c>
      <c r="AR110" s="538" t="str">
        <f t="shared" si="17"/>
        <v>35-39agefetalSouthern</v>
      </c>
      <c r="AS110" s="604">
        <v>2016</v>
      </c>
      <c r="AT110" s="604" t="s">
        <v>133</v>
      </c>
      <c r="AU110" s="604" t="s">
        <v>453</v>
      </c>
      <c r="AV110" s="604" t="s">
        <v>103</v>
      </c>
      <c r="AW110" s="604">
        <v>5</v>
      </c>
      <c r="AX110" s="604">
        <v>598</v>
      </c>
      <c r="AY110" s="606">
        <v>8.4</v>
      </c>
      <c r="AZ110" s="604" t="s">
        <v>420</v>
      </c>
      <c r="BB110" s="536" t="str">
        <f t="shared" si="18"/>
        <v>20-24agebirthsWairarapa</v>
      </c>
      <c r="BC110" s="604">
        <v>2016</v>
      </c>
      <c r="BD110" s="604" t="s">
        <v>130</v>
      </c>
      <c r="BE110" s="604" t="s">
        <v>453</v>
      </c>
      <c r="BF110" s="604" t="s">
        <v>98</v>
      </c>
      <c r="BG110" s="604">
        <v>100</v>
      </c>
      <c r="BH110" s="604" t="s">
        <v>445</v>
      </c>
      <c r="BR110" s="547" t="str">
        <f t="shared" si="19"/>
        <v>28+ daysQuin 3dep</v>
      </c>
      <c r="BS110" s="604">
        <v>2016</v>
      </c>
      <c r="BT110" s="604" t="s">
        <v>117</v>
      </c>
      <c r="BU110" s="604" t="s">
        <v>423</v>
      </c>
      <c r="BV110" s="604" t="s">
        <v>454</v>
      </c>
      <c r="BW110" s="604">
        <v>9</v>
      </c>
      <c r="BY110" s="553" t="str">
        <f t="shared" si="20"/>
        <v>201525-29ageSIDS</v>
      </c>
      <c r="BZ110" s="604">
        <v>2015</v>
      </c>
      <c r="CA110" s="604" t="s">
        <v>131</v>
      </c>
      <c r="CB110" s="604" t="s">
        <v>453</v>
      </c>
      <c r="CC110" s="604">
        <v>2</v>
      </c>
      <c r="CD110" s="604" t="s">
        <v>32</v>
      </c>
      <c r="CF110" s="554" t="str">
        <f t="shared" si="21"/>
        <v>2016AsianHutt ValleydhbSIDS</v>
      </c>
      <c r="CG110" s="604">
        <v>2016</v>
      </c>
      <c r="CH110" s="604" t="s">
        <v>355</v>
      </c>
      <c r="CI110" s="604" t="s">
        <v>97</v>
      </c>
      <c r="CJ110" s="604" t="s">
        <v>448</v>
      </c>
      <c r="CK110" s="604">
        <v>0</v>
      </c>
      <c r="CL110" s="604" t="s">
        <v>32</v>
      </c>
      <c r="CN110" s="575" t="str">
        <f t="shared" si="22"/>
        <v>2014Q00–Q99infant</v>
      </c>
      <c r="CO110" s="604">
        <v>2014</v>
      </c>
      <c r="CP110" s="604" t="s">
        <v>514</v>
      </c>
      <c r="CQ110" s="604">
        <v>70</v>
      </c>
      <c r="CR110" s="604">
        <v>21</v>
      </c>
      <c r="CS110" s="604">
        <v>1.2</v>
      </c>
      <c r="CT110" s="604" t="s">
        <v>437</v>
      </c>
      <c r="CV110" s="575"/>
    </row>
    <row r="111" spans="1:100">
      <c r="A111" s="502" t="str">
        <f t="shared" si="12"/>
        <v>1999deathsNeonatal</v>
      </c>
      <c r="B111" s="604">
        <v>1999</v>
      </c>
      <c r="C111" s="604" t="s">
        <v>496</v>
      </c>
      <c r="D111" s="604" t="s">
        <v>50</v>
      </c>
      <c r="E111" s="604">
        <v>182</v>
      </c>
      <c r="F111" s="604">
        <v>57421</v>
      </c>
      <c r="G111" s="604">
        <v>3.2</v>
      </c>
      <c r="I111" s="578" t="str">
        <f t="shared" si="13"/>
        <v>2008age30-34Fetal</v>
      </c>
      <c r="J111" s="604">
        <v>2008</v>
      </c>
      <c r="K111" s="604" t="s">
        <v>453</v>
      </c>
      <c r="L111" s="604" t="s">
        <v>132</v>
      </c>
      <c r="M111" s="604">
        <v>144</v>
      </c>
      <c r="N111" s="604">
        <v>18153</v>
      </c>
      <c r="O111" s="604">
        <v>7.9</v>
      </c>
      <c r="P111" s="604" t="s">
        <v>47</v>
      </c>
      <c r="Q111" s="499"/>
      <c r="R111" s="502" t="str">
        <f t="shared" si="14"/>
        <v>2011birthsbwt1500-2499</v>
      </c>
      <c r="S111" s="604">
        <v>2011</v>
      </c>
      <c r="T111" s="604" t="s">
        <v>445</v>
      </c>
      <c r="U111" s="604" t="s">
        <v>447</v>
      </c>
      <c r="V111" s="604" t="s">
        <v>430</v>
      </c>
      <c r="W111" s="604">
        <v>3086</v>
      </c>
      <c r="Y111" s="535" t="str">
        <f t="shared" si="15"/>
        <v>2016depageQuin 140+fetal</v>
      </c>
      <c r="Z111" s="604">
        <v>2016</v>
      </c>
      <c r="AA111" s="604" t="s">
        <v>454</v>
      </c>
      <c r="AB111" s="604" t="s">
        <v>453</v>
      </c>
      <c r="AC111" s="604" t="s">
        <v>421</v>
      </c>
      <c r="AD111" s="604" t="s">
        <v>134</v>
      </c>
      <c r="AE111" s="604">
        <v>3</v>
      </c>
      <c r="AF111" s="604">
        <v>549</v>
      </c>
      <c r="AG111" s="604">
        <v>5.4</v>
      </c>
      <c r="AH111" s="604" t="s">
        <v>420</v>
      </c>
      <c r="AJ111" s="535" t="str">
        <f t="shared" si="16"/>
        <v>2016depageQuin 140+</v>
      </c>
      <c r="AK111" s="604">
        <v>2016</v>
      </c>
      <c r="AL111" s="604" t="s">
        <v>454</v>
      </c>
      <c r="AM111" s="604" t="s">
        <v>453</v>
      </c>
      <c r="AN111" s="604" t="s">
        <v>421</v>
      </c>
      <c r="AO111" s="604" t="s">
        <v>134</v>
      </c>
      <c r="AP111" s="604">
        <v>549</v>
      </c>
      <c r="AR111" s="538" t="str">
        <f t="shared" si="17"/>
        <v>25-29agefetalUnknown</v>
      </c>
      <c r="AS111" s="604">
        <v>2016</v>
      </c>
      <c r="AT111" s="604" t="s">
        <v>131</v>
      </c>
      <c r="AU111" s="604" t="s">
        <v>453</v>
      </c>
      <c r="AV111" s="604" t="s">
        <v>63</v>
      </c>
      <c r="AW111" s="604">
        <v>1</v>
      </c>
      <c r="AX111" s="604">
        <v>43</v>
      </c>
      <c r="AY111" s="606" t="s">
        <v>119</v>
      </c>
      <c r="AZ111" s="604" t="s">
        <v>420</v>
      </c>
      <c r="BB111" s="536" t="str">
        <f t="shared" si="18"/>
        <v>25-29agebirthsWairarapa</v>
      </c>
      <c r="BC111" s="604">
        <v>2016</v>
      </c>
      <c r="BD111" s="604" t="s">
        <v>131</v>
      </c>
      <c r="BE111" s="604" t="s">
        <v>453</v>
      </c>
      <c r="BF111" s="604" t="s">
        <v>98</v>
      </c>
      <c r="BG111" s="604">
        <v>139</v>
      </c>
      <c r="BH111" s="604" t="s">
        <v>445</v>
      </c>
      <c r="BR111" s="547" t="str">
        <f t="shared" si="19"/>
        <v>28+ daysQuin 4dep</v>
      </c>
      <c r="BS111" s="604">
        <v>2016</v>
      </c>
      <c r="BT111" s="604" t="s">
        <v>117</v>
      </c>
      <c r="BU111" s="604" t="s">
        <v>424</v>
      </c>
      <c r="BV111" s="604" t="s">
        <v>454</v>
      </c>
      <c r="BW111" s="604">
        <v>19</v>
      </c>
      <c r="BY111" s="553" t="str">
        <f t="shared" si="20"/>
        <v>201530-34ageSIDS</v>
      </c>
      <c r="BZ111" s="604">
        <v>2015</v>
      </c>
      <c r="CA111" s="604" t="s">
        <v>132</v>
      </c>
      <c r="CB111" s="604" t="s">
        <v>453</v>
      </c>
      <c r="CC111" s="604">
        <v>7</v>
      </c>
      <c r="CD111" s="604" t="s">
        <v>32</v>
      </c>
      <c r="CF111" s="554" t="str">
        <f t="shared" si="21"/>
        <v>2016European or OtherHutt ValleydhbSIDS</v>
      </c>
      <c r="CG111" s="604">
        <v>2016</v>
      </c>
      <c r="CH111" s="604" t="s">
        <v>356</v>
      </c>
      <c r="CI111" s="604" t="s">
        <v>97</v>
      </c>
      <c r="CJ111" s="604" t="s">
        <v>448</v>
      </c>
      <c r="CK111" s="604">
        <v>0</v>
      </c>
      <c r="CL111" s="604" t="s">
        <v>32</v>
      </c>
      <c r="CN111" s="575" t="str">
        <f t="shared" si="22"/>
        <v>2014R00–R99infant</v>
      </c>
      <c r="CO111" s="604">
        <v>2014</v>
      </c>
      <c r="CP111" s="604" t="s">
        <v>515</v>
      </c>
      <c r="CQ111" s="604">
        <v>15</v>
      </c>
      <c r="CR111" s="604">
        <v>4.5</v>
      </c>
      <c r="CS111" s="604">
        <v>0.26</v>
      </c>
      <c r="CT111" s="604" t="s">
        <v>437</v>
      </c>
      <c r="CV111" s="575"/>
    </row>
    <row r="112" spans="1:100">
      <c r="A112" s="502" t="str">
        <f t="shared" si="12"/>
        <v>2000deathsNeonatal</v>
      </c>
      <c r="B112" s="604">
        <v>2000</v>
      </c>
      <c r="C112" s="604" t="s">
        <v>496</v>
      </c>
      <c r="D112" s="604" t="s">
        <v>50</v>
      </c>
      <c r="E112" s="604">
        <v>216</v>
      </c>
      <c r="F112" s="604">
        <v>56994</v>
      </c>
      <c r="G112" s="604">
        <v>3.8</v>
      </c>
      <c r="I112" s="578" t="str">
        <f t="shared" si="13"/>
        <v>2008age35-39Fetal</v>
      </c>
      <c r="J112" s="604">
        <v>2008</v>
      </c>
      <c r="K112" s="604" t="s">
        <v>453</v>
      </c>
      <c r="L112" s="604" t="s">
        <v>133</v>
      </c>
      <c r="M112" s="604">
        <v>95</v>
      </c>
      <c r="N112" s="604">
        <v>11995</v>
      </c>
      <c r="O112" s="604">
        <v>7.9</v>
      </c>
      <c r="P112" s="604" t="s">
        <v>47</v>
      </c>
      <c r="Q112" s="499"/>
      <c r="R112" s="502" t="str">
        <f t="shared" si="14"/>
        <v>2011birthsbwt2500-4499</v>
      </c>
      <c r="S112" s="604">
        <v>2011</v>
      </c>
      <c r="T112" s="604" t="s">
        <v>445</v>
      </c>
      <c r="U112" s="604" t="s">
        <v>447</v>
      </c>
      <c r="V112" s="604" t="s">
        <v>431</v>
      </c>
      <c r="W112" s="604">
        <v>56859</v>
      </c>
      <c r="Y112" s="535" t="str">
        <f t="shared" si="15"/>
        <v>2016depageQuin 240+fetal</v>
      </c>
      <c r="Z112" s="604">
        <v>2016</v>
      </c>
      <c r="AA112" s="604" t="s">
        <v>454</v>
      </c>
      <c r="AB112" s="604" t="s">
        <v>453</v>
      </c>
      <c r="AC112" s="604" t="s">
        <v>422</v>
      </c>
      <c r="AD112" s="604" t="s">
        <v>134</v>
      </c>
      <c r="AE112" s="604">
        <v>3</v>
      </c>
      <c r="AF112" s="604">
        <v>473</v>
      </c>
      <c r="AG112" s="604">
        <v>6.3</v>
      </c>
      <c r="AH112" s="604" t="s">
        <v>420</v>
      </c>
      <c r="AJ112" s="535" t="str">
        <f t="shared" si="16"/>
        <v>2016depageQuin 240+</v>
      </c>
      <c r="AK112" s="604">
        <v>2016</v>
      </c>
      <c r="AL112" s="604" t="s">
        <v>454</v>
      </c>
      <c r="AM112" s="604" t="s">
        <v>453</v>
      </c>
      <c r="AN112" s="604" t="s">
        <v>422</v>
      </c>
      <c r="AO112" s="604" t="s">
        <v>134</v>
      </c>
      <c r="AP112" s="604">
        <v>473</v>
      </c>
      <c r="AR112" s="538" t="str">
        <f t="shared" si="17"/>
        <v>30-34agefetalUnknown</v>
      </c>
      <c r="AS112" s="604">
        <v>2016</v>
      </c>
      <c r="AT112" s="604" t="s">
        <v>132</v>
      </c>
      <c r="AU112" s="604" t="s">
        <v>453</v>
      </c>
      <c r="AV112" s="604" t="s">
        <v>63</v>
      </c>
      <c r="AW112" s="604">
        <v>1</v>
      </c>
      <c r="AX112" s="604">
        <v>44</v>
      </c>
      <c r="AY112" s="606" t="s">
        <v>119</v>
      </c>
      <c r="AZ112" s="604" t="s">
        <v>420</v>
      </c>
      <c r="BB112" s="536" t="str">
        <f t="shared" si="18"/>
        <v>30-34agebirthsWairarapa</v>
      </c>
      <c r="BC112" s="604">
        <v>2016</v>
      </c>
      <c r="BD112" s="604" t="s">
        <v>132</v>
      </c>
      <c r="BE112" s="604" t="s">
        <v>453</v>
      </c>
      <c r="BF112" s="604" t="s">
        <v>98</v>
      </c>
      <c r="BG112" s="604">
        <v>120</v>
      </c>
      <c r="BH112" s="604" t="s">
        <v>445</v>
      </c>
      <c r="BR112" s="547" t="str">
        <f t="shared" si="19"/>
        <v>28+ daysQuin 5dep</v>
      </c>
      <c r="BS112" s="604">
        <v>2016</v>
      </c>
      <c r="BT112" s="604" t="s">
        <v>117</v>
      </c>
      <c r="BU112" s="604" t="s">
        <v>425</v>
      </c>
      <c r="BV112" s="604" t="s">
        <v>454</v>
      </c>
      <c r="BW112" s="604">
        <v>37</v>
      </c>
      <c r="BY112" s="553" t="str">
        <f t="shared" si="20"/>
        <v>201535-39ageSIDS</v>
      </c>
      <c r="BZ112" s="604">
        <v>2015</v>
      </c>
      <c r="CA112" s="604" t="s">
        <v>133</v>
      </c>
      <c r="CB112" s="604" t="s">
        <v>453</v>
      </c>
      <c r="CC112" s="604">
        <v>1</v>
      </c>
      <c r="CD112" s="604" t="s">
        <v>32</v>
      </c>
      <c r="CF112" s="554" t="str">
        <f t="shared" si="21"/>
        <v>2016MaoriHutt ValleydhbSIDS</v>
      </c>
      <c r="CG112" s="604">
        <v>2016</v>
      </c>
      <c r="CH112" s="604" t="s">
        <v>129</v>
      </c>
      <c r="CI112" s="604" t="s">
        <v>97</v>
      </c>
      <c r="CJ112" s="604" t="s">
        <v>448</v>
      </c>
      <c r="CK112" s="604">
        <v>1</v>
      </c>
      <c r="CL112" s="604" t="s">
        <v>32</v>
      </c>
      <c r="CN112" s="575" t="str">
        <f t="shared" si="22"/>
        <v>2014V00–Y98infant</v>
      </c>
      <c r="CO112" s="604">
        <v>2014</v>
      </c>
      <c r="CP112" s="604" t="s">
        <v>523</v>
      </c>
      <c r="CQ112" s="604">
        <v>40</v>
      </c>
      <c r="CR112" s="604">
        <v>12</v>
      </c>
      <c r="CS112" s="604">
        <v>0.69</v>
      </c>
      <c r="CT112" s="604" t="s">
        <v>437</v>
      </c>
      <c r="CV112" s="575"/>
    </row>
    <row r="113" spans="1:100">
      <c r="A113" s="502" t="str">
        <f t="shared" si="12"/>
        <v>2001deathsNeonatal</v>
      </c>
      <c r="B113" s="604">
        <v>2001</v>
      </c>
      <c r="C113" s="604" t="s">
        <v>496</v>
      </c>
      <c r="D113" s="604" t="s">
        <v>50</v>
      </c>
      <c r="E113" s="604">
        <v>170</v>
      </c>
      <c r="F113" s="604">
        <v>56224</v>
      </c>
      <c r="G113" s="604">
        <v>3</v>
      </c>
      <c r="I113" s="578" t="str">
        <f t="shared" si="13"/>
        <v>2008age40+Fetal</v>
      </c>
      <c r="J113" s="604">
        <v>2008</v>
      </c>
      <c r="K113" s="604" t="s">
        <v>453</v>
      </c>
      <c r="L113" s="604" t="s">
        <v>134</v>
      </c>
      <c r="M113" s="604">
        <v>32</v>
      </c>
      <c r="N113" s="604">
        <v>2450</v>
      </c>
      <c r="O113" s="604">
        <v>13.1</v>
      </c>
      <c r="P113" s="604" t="s">
        <v>47</v>
      </c>
      <c r="Q113" s="499"/>
      <c r="R113" s="502" t="str">
        <f t="shared" si="14"/>
        <v>2011birthsbwt4500+</v>
      </c>
      <c r="S113" s="604">
        <v>2011</v>
      </c>
      <c r="T113" s="604" t="s">
        <v>445</v>
      </c>
      <c r="U113" s="604" t="s">
        <v>447</v>
      </c>
      <c r="V113" s="604" t="s">
        <v>432</v>
      </c>
      <c r="W113" s="604">
        <v>1597</v>
      </c>
      <c r="Y113" s="535" t="str">
        <f t="shared" si="15"/>
        <v>2016depageQuin 340+fetal</v>
      </c>
      <c r="Z113" s="604">
        <v>2016</v>
      </c>
      <c r="AA113" s="604" t="s">
        <v>454</v>
      </c>
      <c r="AB113" s="604" t="s">
        <v>453</v>
      </c>
      <c r="AC113" s="604" t="s">
        <v>423</v>
      </c>
      <c r="AD113" s="604" t="s">
        <v>134</v>
      </c>
      <c r="AE113" s="604">
        <v>2</v>
      </c>
      <c r="AF113" s="604">
        <v>429</v>
      </c>
      <c r="AG113" s="604">
        <v>4.5999999999999996</v>
      </c>
      <c r="AH113" s="604" t="s">
        <v>420</v>
      </c>
      <c r="AJ113" s="535" t="str">
        <f t="shared" si="16"/>
        <v>2016depageQuin 340+</v>
      </c>
      <c r="AK113" s="604">
        <v>2016</v>
      </c>
      <c r="AL113" s="604" t="s">
        <v>454</v>
      </c>
      <c r="AM113" s="604" t="s">
        <v>453</v>
      </c>
      <c r="AN113" s="604" t="s">
        <v>423</v>
      </c>
      <c r="AO113" s="604" t="s">
        <v>134</v>
      </c>
      <c r="AP113" s="604">
        <v>429</v>
      </c>
      <c r="AR113" s="538" t="str">
        <f t="shared" si="17"/>
        <v>AsianethfetalNorthland</v>
      </c>
      <c r="AS113" s="604">
        <v>2016</v>
      </c>
      <c r="AT113" s="604" t="s">
        <v>355</v>
      </c>
      <c r="AU113" s="604" t="s">
        <v>449</v>
      </c>
      <c r="AV113" s="604" t="s">
        <v>85</v>
      </c>
      <c r="AW113" s="604">
        <v>1</v>
      </c>
      <c r="AX113" s="604">
        <v>127</v>
      </c>
      <c r="AY113" s="606">
        <v>7.9</v>
      </c>
      <c r="AZ113" s="604" t="s">
        <v>420</v>
      </c>
      <c r="BB113" s="536" t="str">
        <f t="shared" si="18"/>
        <v>35-39agebirthsWairarapa</v>
      </c>
      <c r="BC113" s="604">
        <v>2016</v>
      </c>
      <c r="BD113" s="604" t="s">
        <v>133</v>
      </c>
      <c r="BE113" s="604" t="s">
        <v>453</v>
      </c>
      <c r="BF113" s="604" t="s">
        <v>98</v>
      </c>
      <c r="BG113" s="604">
        <v>73</v>
      </c>
      <c r="BH113" s="604" t="s">
        <v>445</v>
      </c>
      <c r="BR113" s="547" t="str">
        <f t="shared" si="19"/>
        <v>28+ daysQuin 9dep</v>
      </c>
      <c r="BS113" s="604">
        <v>2016</v>
      </c>
      <c r="BT113" s="604" t="s">
        <v>117</v>
      </c>
      <c r="BU113" s="604" t="s">
        <v>426</v>
      </c>
      <c r="BV113" s="604" t="s">
        <v>454</v>
      </c>
      <c r="BW113" s="604">
        <v>1</v>
      </c>
      <c r="BY113" s="553" t="str">
        <f t="shared" si="20"/>
        <v>201540+ageSIDS</v>
      </c>
      <c r="BZ113" s="604">
        <v>2015</v>
      </c>
      <c r="CA113" s="604" t="s">
        <v>134</v>
      </c>
      <c r="CB113" s="604" t="s">
        <v>453</v>
      </c>
      <c r="CC113" s="604">
        <v>0</v>
      </c>
      <c r="CD113" s="604" t="s">
        <v>32</v>
      </c>
      <c r="CF113" s="554" t="str">
        <f t="shared" si="21"/>
        <v>2016Pacific peoplesHutt ValleydhbSIDS</v>
      </c>
      <c r="CG113" s="604">
        <v>2016</v>
      </c>
      <c r="CH113" s="604" t="s">
        <v>320</v>
      </c>
      <c r="CI113" s="604" t="s">
        <v>97</v>
      </c>
      <c r="CJ113" s="604" t="s">
        <v>448</v>
      </c>
      <c r="CK113" s="604">
        <v>0</v>
      </c>
      <c r="CL113" s="604" t="s">
        <v>32</v>
      </c>
      <c r="CN113" s="575" t="str">
        <f t="shared" si="22"/>
        <v>2015A00–B99infant</v>
      </c>
      <c r="CO113" s="604">
        <v>2015</v>
      </c>
      <c r="CP113" s="604" t="s">
        <v>498</v>
      </c>
      <c r="CQ113" s="604">
        <v>4</v>
      </c>
      <c r="CR113" s="604">
        <v>1.5</v>
      </c>
      <c r="CS113" s="604">
        <v>0.06</v>
      </c>
      <c r="CT113" s="604" t="s">
        <v>437</v>
      </c>
      <c r="CV113" s="575"/>
    </row>
    <row r="114" spans="1:100">
      <c r="A114" s="502" t="str">
        <f t="shared" si="12"/>
        <v>2002deathsNeonatal</v>
      </c>
      <c r="B114" s="604">
        <v>2002</v>
      </c>
      <c r="C114" s="604" t="s">
        <v>496</v>
      </c>
      <c r="D114" s="604" t="s">
        <v>50</v>
      </c>
      <c r="E114" s="604">
        <v>221</v>
      </c>
      <c r="F114" s="604">
        <v>54515</v>
      </c>
      <c r="G114" s="604">
        <v>4.0999999999999996</v>
      </c>
      <c r="I114" s="578" t="str">
        <f t="shared" si="13"/>
        <v>2008ageUnknownFetal</v>
      </c>
      <c r="J114" s="604">
        <v>2008</v>
      </c>
      <c r="K114" s="604" t="s">
        <v>453</v>
      </c>
      <c r="L114" s="604" t="s">
        <v>63</v>
      </c>
      <c r="M114" s="604">
        <v>0</v>
      </c>
      <c r="N114" s="604">
        <v>0</v>
      </c>
      <c r="O114" s="604" t="s">
        <v>119</v>
      </c>
      <c r="P114" s="604" t="s">
        <v>47</v>
      </c>
      <c r="Q114" s="499"/>
      <c r="R114" s="502" t="str">
        <f t="shared" si="14"/>
        <v>2011birthsbwtUnknown</v>
      </c>
      <c r="S114" s="604">
        <v>2011</v>
      </c>
      <c r="T114" s="604" t="s">
        <v>445</v>
      </c>
      <c r="U114" s="604" t="s">
        <v>447</v>
      </c>
      <c r="V114" s="604" t="s">
        <v>63</v>
      </c>
      <c r="W114" s="604">
        <v>33</v>
      </c>
      <c r="Y114" s="535" t="str">
        <f t="shared" si="15"/>
        <v>2016depageQuin 440+fetal</v>
      </c>
      <c r="Z114" s="604">
        <v>2016</v>
      </c>
      <c r="AA114" s="604" t="s">
        <v>454</v>
      </c>
      <c r="AB114" s="604" t="s">
        <v>453</v>
      </c>
      <c r="AC114" s="604" t="s">
        <v>424</v>
      </c>
      <c r="AD114" s="604" t="s">
        <v>134</v>
      </c>
      <c r="AE114" s="604">
        <v>2</v>
      </c>
      <c r="AF114" s="604">
        <v>434</v>
      </c>
      <c r="AG114" s="604">
        <v>4.5999999999999996</v>
      </c>
      <c r="AH114" s="604" t="s">
        <v>420</v>
      </c>
      <c r="AJ114" s="535" t="str">
        <f t="shared" si="16"/>
        <v>2016depageQuin 440+</v>
      </c>
      <c r="AK114" s="604">
        <v>2016</v>
      </c>
      <c r="AL114" s="604" t="s">
        <v>454</v>
      </c>
      <c r="AM114" s="604" t="s">
        <v>453</v>
      </c>
      <c r="AN114" s="604" t="s">
        <v>424</v>
      </c>
      <c r="AO114" s="604" t="s">
        <v>134</v>
      </c>
      <c r="AP114" s="604">
        <v>434</v>
      </c>
      <c r="AR114" s="538" t="str">
        <f t="shared" si="17"/>
        <v>European or OtherethfetalNorthland</v>
      </c>
      <c r="AS114" s="604">
        <v>2016</v>
      </c>
      <c r="AT114" s="604" t="s">
        <v>356</v>
      </c>
      <c r="AU114" s="604" t="s">
        <v>449</v>
      </c>
      <c r="AV114" s="604" t="s">
        <v>85</v>
      </c>
      <c r="AW114" s="604">
        <v>8</v>
      </c>
      <c r="AX114" s="604">
        <v>823</v>
      </c>
      <c r="AY114" s="606">
        <v>9.6999999999999993</v>
      </c>
      <c r="AZ114" s="604" t="s">
        <v>420</v>
      </c>
      <c r="BB114" s="536" t="str">
        <f t="shared" si="18"/>
        <v>40+agebirthsWairarapa</v>
      </c>
      <c r="BC114" s="604">
        <v>2016</v>
      </c>
      <c r="BD114" s="604" t="s">
        <v>134</v>
      </c>
      <c r="BE114" s="604" t="s">
        <v>453</v>
      </c>
      <c r="BF114" s="604" t="s">
        <v>98</v>
      </c>
      <c r="BG114" s="604">
        <v>22</v>
      </c>
      <c r="BH114" s="604" t="s">
        <v>445</v>
      </c>
      <c r="BR114" s="547" t="str">
        <f t="shared" si="19"/>
        <v>7-27 daysQuin 1dep</v>
      </c>
      <c r="BS114" s="604">
        <v>2016</v>
      </c>
      <c r="BT114" s="604" t="s">
        <v>471</v>
      </c>
      <c r="BU114" s="604" t="s">
        <v>421</v>
      </c>
      <c r="BV114" s="604" t="s">
        <v>454</v>
      </c>
      <c r="BW114" s="604">
        <v>3</v>
      </c>
      <c r="BY114" s="553" t="str">
        <f t="shared" si="20"/>
        <v>2015UnknownageSIDS</v>
      </c>
      <c r="BZ114" s="604">
        <v>2015</v>
      </c>
      <c r="CA114" s="604" t="s">
        <v>63</v>
      </c>
      <c r="CB114" s="604" t="s">
        <v>453</v>
      </c>
      <c r="CC114" s="604">
        <v>3</v>
      </c>
      <c r="CD114" s="604" t="s">
        <v>32</v>
      </c>
      <c r="CF114" s="554" t="str">
        <f t="shared" si="21"/>
        <v>2016European or OtherWairarapadhbSIDS</v>
      </c>
      <c r="CG114" s="604">
        <v>2016</v>
      </c>
      <c r="CH114" s="604" t="s">
        <v>356</v>
      </c>
      <c r="CI114" s="604" t="s">
        <v>98</v>
      </c>
      <c r="CJ114" s="604" t="s">
        <v>448</v>
      </c>
      <c r="CK114" s="604">
        <v>0</v>
      </c>
      <c r="CL114" s="604" t="s">
        <v>32</v>
      </c>
      <c r="CN114" s="575" t="str">
        <f t="shared" si="22"/>
        <v>2015C00–D48infant</v>
      </c>
      <c r="CO114" s="604">
        <v>2015</v>
      </c>
      <c r="CP114" s="604" t="s">
        <v>499</v>
      </c>
      <c r="CQ114" s="604">
        <v>5</v>
      </c>
      <c r="CR114" s="604">
        <v>1.9</v>
      </c>
      <c r="CS114" s="604">
        <v>0.08</v>
      </c>
      <c r="CT114" s="604" t="s">
        <v>437</v>
      </c>
      <c r="CV114" s="575"/>
    </row>
    <row r="115" spans="1:100">
      <c r="A115" s="502" t="str">
        <f t="shared" si="12"/>
        <v>2003deathsNeonatal</v>
      </c>
      <c r="B115" s="604">
        <v>2003</v>
      </c>
      <c r="C115" s="604" t="s">
        <v>496</v>
      </c>
      <c r="D115" s="604" t="s">
        <v>50</v>
      </c>
      <c r="E115" s="604">
        <v>184</v>
      </c>
      <c r="F115" s="604">
        <v>56576</v>
      </c>
      <c r="G115" s="604">
        <v>3.3</v>
      </c>
      <c r="I115" s="578" t="str">
        <f t="shared" si="13"/>
        <v>2009age&lt;20Fetal</v>
      </c>
      <c r="J115" s="604">
        <v>2009</v>
      </c>
      <c r="K115" s="604" t="s">
        <v>453</v>
      </c>
      <c r="L115" s="604" t="s">
        <v>339</v>
      </c>
      <c r="M115" s="604">
        <v>52</v>
      </c>
      <c r="N115" s="604">
        <v>4787</v>
      </c>
      <c r="O115" s="604">
        <v>10.9</v>
      </c>
      <c r="P115" s="604" t="s">
        <v>47</v>
      </c>
      <c r="Q115" s="499"/>
      <c r="R115" s="502" t="str">
        <f t="shared" si="14"/>
        <v>2012birthsbwt&lt;500</v>
      </c>
      <c r="S115" s="604">
        <v>2012</v>
      </c>
      <c r="T115" s="604" t="s">
        <v>445</v>
      </c>
      <c r="U115" s="604" t="s">
        <v>447</v>
      </c>
      <c r="V115" s="604" t="s">
        <v>427</v>
      </c>
      <c r="W115" s="604">
        <v>72</v>
      </c>
      <c r="Y115" s="535" t="str">
        <f t="shared" si="15"/>
        <v>2016depageQuin 540+fetal</v>
      </c>
      <c r="Z115" s="604">
        <v>2016</v>
      </c>
      <c r="AA115" s="604" t="s">
        <v>454</v>
      </c>
      <c r="AB115" s="604" t="s">
        <v>453</v>
      </c>
      <c r="AC115" s="604" t="s">
        <v>425</v>
      </c>
      <c r="AD115" s="604" t="s">
        <v>134</v>
      </c>
      <c r="AE115" s="604">
        <v>4</v>
      </c>
      <c r="AF115" s="604">
        <v>564</v>
      </c>
      <c r="AG115" s="604">
        <v>7</v>
      </c>
      <c r="AH115" s="604" t="s">
        <v>420</v>
      </c>
      <c r="AJ115" s="535" t="str">
        <f t="shared" si="16"/>
        <v>2016depageQuin 540+</v>
      </c>
      <c r="AK115" s="604">
        <v>2016</v>
      </c>
      <c r="AL115" s="604" t="s">
        <v>454</v>
      </c>
      <c r="AM115" s="604" t="s">
        <v>453</v>
      </c>
      <c r="AN115" s="604" t="s">
        <v>425</v>
      </c>
      <c r="AO115" s="604" t="s">
        <v>134</v>
      </c>
      <c r="AP115" s="604">
        <v>564</v>
      </c>
      <c r="AR115" s="538" t="str">
        <f t="shared" si="17"/>
        <v>MaoriethfetalNorthland</v>
      </c>
      <c r="AS115" s="604">
        <v>2016</v>
      </c>
      <c r="AT115" s="604" t="s">
        <v>129</v>
      </c>
      <c r="AU115" s="604" t="s">
        <v>449</v>
      </c>
      <c r="AV115" s="604" t="s">
        <v>85</v>
      </c>
      <c r="AW115" s="604">
        <v>10</v>
      </c>
      <c r="AX115" s="604">
        <v>1328</v>
      </c>
      <c r="AY115" s="606">
        <v>7.5</v>
      </c>
      <c r="AZ115" s="604" t="s">
        <v>420</v>
      </c>
      <c r="BB115" s="536" t="str">
        <f t="shared" si="18"/>
        <v>&lt;20agebirthsNelson Marlborough</v>
      </c>
      <c r="BC115" s="604">
        <v>2016</v>
      </c>
      <c r="BD115" s="604" t="s">
        <v>339</v>
      </c>
      <c r="BE115" s="604" t="s">
        <v>453</v>
      </c>
      <c r="BF115" s="604" t="s">
        <v>99</v>
      </c>
      <c r="BG115" s="604">
        <v>65</v>
      </c>
      <c r="BH115" s="604" t="s">
        <v>445</v>
      </c>
      <c r="BR115" s="547" t="str">
        <f t="shared" si="19"/>
        <v>7-27 daysQuin 2dep</v>
      </c>
      <c r="BS115" s="604">
        <v>2016</v>
      </c>
      <c r="BT115" s="604" t="s">
        <v>471</v>
      </c>
      <c r="BU115" s="604" t="s">
        <v>422</v>
      </c>
      <c r="BV115" s="604" t="s">
        <v>454</v>
      </c>
      <c r="BW115" s="604">
        <v>1</v>
      </c>
      <c r="BY115" s="553" t="str">
        <f t="shared" si="20"/>
        <v>2016&lt;20ageSIDS</v>
      </c>
      <c r="BZ115" s="604">
        <v>2016</v>
      </c>
      <c r="CA115" s="604" t="s">
        <v>339</v>
      </c>
      <c r="CB115" s="604" t="s">
        <v>453</v>
      </c>
      <c r="CC115" s="604">
        <v>3</v>
      </c>
      <c r="CD115" s="604" t="s">
        <v>32</v>
      </c>
      <c r="CF115" s="554" t="str">
        <f t="shared" si="21"/>
        <v>2016MaoriWairarapadhbSIDS</v>
      </c>
      <c r="CG115" s="604">
        <v>2016</v>
      </c>
      <c r="CH115" s="604" t="s">
        <v>129</v>
      </c>
      <c r="CI115" s="604" t="s">
        <v>98</v>
      </c>
      <c r="CJ115" s="604" t="s">
        <v>448</v>
      </c>
      <c r="CK115" s="604">
        <v>0</v>
      </c>
      <c r="CL115" s="604" t="s">
        <v>32</v>
      </c>
      <c r="CN115" s="575" t="str">
        <f t="shared" si="22"/>
        <v>2015D50–D89infant</v>
      </c>
      <c r="CO115" s="604">
        <v>2015</v>
      </c>
      <c r="CP115" s="604" t="s">
        <v>500</v>
      </c>
      <c r="CQ115" s="604">
        <v>1</v>
      </c>
      <c r="CR115" s="604">
        <v>0.4</v>
      </c>
      <c r="CS115" s="604">
        <v>0.02</v>
      </c>
      <c r="CT115" s="604" t="s">
        <v>437</v>
      </c>
      <c r="CV115" s="575"/>
    </row>
    <row r="116" spans="1:100">
      <c r="A116" s="502" t="str">
        <f t="shared" si="12"/>
        <v>2004deathsNeonatal</v>
      </c>
      <c r="B116" s="604">
        <v>2004</v>
      </c>
      <c r="C116" s="604" t="s">
        <v>496</v>
      </c>
      <c r="D116" s="604" t="s">
        <v>50</v>
      </c>
      <c r="E116" s="604">
        <v>197</v>
      </c>
      <c r="F116" s="604">
        <v>58723</v>
      </c>
      <c r="G116" s="604">
        <v>3.4</v>
      </c>
      <c r="I116" s="578" t="str">
        <f t="shared" si="13"/>
        <v>2009age20-24Fetal</v>
      </c>
      <c r="J116" s="604">
        <v>2009</v>
      </c>
      <c r="K116" s="604" t="s">
        <v>453</v>
      </c>
      <c r="L116" s="604" t="s">
        <v>130</v>
      </c>
      <c r="M116" s="604">
        <v>78</v>
      </c>
      <c r="N116" s="604">
        <v>11777</v>
      </c>
      <c r="O116" s="604">
        <v>6.6</v>
      </c>
      <c r="P116" s="604" t="s">
        <v>47</v>
      </c>
      <c r="Q116" s="499"/>
      <c r="R116" s="502" t="str">
        <f t="shared" si="14"/>
        <v>2012birthsbwt500-999</v>
      </c>
      <c r="S116" s="604">
        <v>2012</v>
      </c>
      <c r="T116" s="604" t="s">
        <v>445</v>
      </c>
      <c r="U116" s="604" t="s">
        <v>447</v>
      </c>
      <c r="V116" s="604" t="s">
        <v>428</v>
      </c>
      <c r="W116" s="604">
        <v>219</v>
      </c>
      <c r="Y116" s="535" t="str">
        <f t="shared" si="15"/>
        <v>2016depageQuin 940+fetal</v>
      </c>
      <c r="Z116" s="604">
        <v>2016</v>
      </c>
      <c r="AA116" s="604" t="s">
        <v>454</v>
      </c>
      <c r="AB116" s="604" t="s">
        <v>453</v>
      </c>
      <c r="AC116" s="604" t="s">
        <v>426</v>
      </c>
      <c r="AD116" s="604" t="s">
        <v>134</v>
      </c>
      <c r="AE116" s="604">
        <v>2</v>
      </c>
      <c r="AF116" s="604">
        <v>5</v>
      </c>
      <c r="AG116" s="604" t="s">
        <v>119</v>
      </c>
      <c r="AH116" s="604" t="s">
        <v>420</v>
      </c>
      <c r="AJ116" s="535" t="str">
        <f t="shared" si="16"/>
        <v>2016depageQuin 940+</v>
      </c>
      <c r="AK116" s="604">
        <v>2016</v>
      </c>
      <c r="AL116" s="604" t="s">
        <v>454</v>
      </c>
      <c r="AM116" s="604" t="s">
        <v>453</v>
      </c>
      <c r="AN116" s="604" t="s">
        <v>426</v>
      </c>
      <c r="AO116" s="604" t="s">
        <v>134</v>
      </c>
      <c r="AP116" s="604">
        <v>5</v>
      </c>
      <c r="AR116" s="538" t="str">
        <f t="shared" si="17"/>
        <v>Pacific peoplesethfetalNorthland</v>
      </c>
      <c r="AS116" s="604">
        <v>2016</v>
      </c>
      <c r="AT116" s="604" t="s">
        <v>320</v>
      </c>
      <c r="AU116" s="604" t="s">
        <v>449</v>
      </c>
      <c r="AV116" s="604" t="s">
        <v>85</v>
      </c>
      <c r="AW116" s="604">
        <v>1</v>
      </c>
      <c r="AX116" s="604">
        <v>62</v>
      </c>
      <c r="AY116" s="606">
        <v>16.100000000000001</v>
      </c>
      <c r="AZ116" s="604" t="s">
        <v>420</v>
      </c>
      <c r="BB116" s="536" t="str">
        <f t="shared" si="18"/>
        <v>20-24agebirthsNelson Marlborough</v>
      </c>
      <c r="BC116" s="604">
        <v>2016</v>
      </c>
      <c r="BD116" s="604" t="s">
        <v>130</v>
      </c>
      <c r="BE116" s="604" t="s">
        <v>453</v>
      </c>
      <c r="BF116" s="604" t="s">
        <v>99</v>
      </c>
      <c r="BG116" s="604">
        <v>267</v>
      </c>
      <c r="BH116" s="604" t="s">
        <v>445</v>
      </c>
      <c r="BR116" s="547" t="str">
        <f t="shared" si="19"/>
        <v>7-27 daysQuin 3dep</v>
      </c>
      <c r="BS116" s="604">
        <v>2016</v>
      </c>
      <c r="BT116" s="604" t="s">
        <v>471</v>
      </c>
      <c r="BU116" s="604" t="s">
        <v>423</v>
      </c>
      <c r="BV116" s="604" t="s">
        <v>454</v>
      </c>
      <c r="BW116" s="604">
        <v>1</v>
      </c>
      <c r="BY116" s="553" t="str">
        <f t="shared" si="20"/>
        <v>201620-24ageSIDS</v>
      </c>
      <c r="BZ116" s="604">
        <v>2016</v>
      </c>
      <c r="CA116" s="604" t="s">
        <v>130</v>
      </c>
      <c r="CB116" s="604" t="s">
        <v>453</v>
      </c>
      <c r="CC116" s="604">
        <v>9</v>
      </c>
      <c r="CD116" s="604" t="s">
        <v>32</v>
      </c>
      <c r="CF116" s="554" t="str">
        <f t="shared" si="21"/>
        <v>2016European or OtherNelson MarlboroughdhbSIDS</v>
      </c>
      <c r="CG116" s="604">
        <v>2016</v>
      </c>
      <c r="CH116" s="604" t="s">
        <v>356</v>
      </c>
      <c r="CI116" s="604" t="s">
        <v>99</v>
      </c>
      <c r="CJ116" s="604" t="s">
        <v>448</v>
      </c>
      <c r="CK116" s="604">
        <v>0</v>
      </c>
      <c r="CL116" s="604" t="s">
        <v>32</v>
      </c>
      <c r="CN116" s="575" t="str">
        <f t="shared" si="22"/>
        <v>2015E00–E89infant</v>
      </c>
      <c r="CO116" s="604">
        <v>2015</v>
      </c>
      <c r="CP116" s="604" t="s">
        <v>501</v>
      </c>
      <c r="CQ116" s="604">
        <v>6</v>
      </c>
      <c r="CR116" s="604">
        <v>2.2999999999999998</v>
      </c>
      <c r="CS116" s="604">
        <v>0.1</v>
      </c>
      <c r="CT116" s="604" t="s">
        <v>437</v>
      </c>
      <c r="CV116" s="575"/>
    </row>
    <row r="117" spans="1:100">
      <c r="A117" s="502" t="str">
        <f t="shared" si="12"/>
        <v>2005deathsNeonatal</v>
      </c>
      <c r="B117" s="604">
        <v>2005</v>
      </c>
      <c r="C117" s="604" t="s">
        <v>496</v>
      </c>
      <c r="D117" s="604" t="s">
        <v>50</v>
      </c>
      <c r="E117" s="604">
        <v>183</v>
      </c>
      <c r="F117" s="604">
        <v>58727</v>
      </c>
      <c r="G117" s="604">
        <v>3.1</v>
      </c>
      <c r="I117" s="578" t="str">
        <f t="shared" si="13"/>
        <v>2009age25-29Fetal</v>
      </c>
      <c r="J117" s="604">
        <v>2009</v>
      </c>
      <c r="K117" s="604" t="s">
        <v>453</v>
      </c>
      <c r="L117" s="604" t="s">
        <v>131</v>
      </c>
      <c r="M117" s="604">
        <v>109</v>
      </c>
      <c r="N117" s="604">
        <v>15627</v>
      </c>
      <c r="O117" s="604">
        <v>7</v>
      </c>
      <c r="P117" s="604" t="s">
        <v>47</v>
      </c>
      <c r="Q117" s="499"/>
      <c r="R117" s="502" t="str">
        <f t="shared" si="14"/>
        <v>2012birthsbwt1000-1499</v>
      </c>
      <c r="S117" s="604">
        <v>2012</v>
      </c>
      <c r="T117" s="604" t="s">
        <v>445</v>
      </c>
      <c r="U117" s="604" t="s">
        <v>447</v>
      </c>
      <c r="V117" s="604" t="s">
        <v>429</v>
      </c>
      <c r="W117" s="604">
        <v>356</v>
      </c>
      <c r="Y117" s="535" t="str">
        <f t="shared" si="15"/>
        <v>2016gestage&lt;28&lt;20fetal</v>
      </c>
      <c r="Z117" s="604">
        <v>2016</v>
      </c>
      <c r="AA117" s="604" t="s">
        <v>450</v>
      </c>
      <c r="AB117" s="604" t="s">
        <v>453</v>
      </c>
      <c r="AC117" s="604" t="s">
        <v>375</v>
      </c>
      <c r="AD117" s="604" t="s">
        <v>339</v>
      </c>
      <c r="AE117" s="604">
        <v>20</v>
      </c>
      <c r="AF117" s="604">
        <v>22</v>
      </c>
      <c r="AG117" s="604">
        <v>476.2</v>
      </c>
      <c r="AH117" s="604" t="s">
        <v>420</v>
      </c>
      <c r="AJ117" s="535" t="str">
        <f t="shared" si="16"/>
        <v>2016gestage&lt;28&lt;20</v>
      </c>
      <c r="AK117" s="604">
        <v>2016</v>
      </c>
      <c r="AL117" s="604" t="s">
        <v>450</v>
      </c>
      <c r="AM117" s="604" t="s">
        <v>453</v>
      </c>
      <c r="AN117" s="604" t="s">
        <v>375</v>
      </c>
      <c r="AO117" s="604" t="s">
        <v>339</v>
      </c>
      <c r="AP117" s="604">
        <v>22</v>
      </c>
      <c r="AR117" s="538" t="str">
        <f t="shared" si="17"/>
        <v>AsianethfetalWaitemata</v>
      </c>
      <c r="AS117" s="604">
        <v>2016</v>
      </c>
      <c r="AT117" s="604" t="s">
        <v>355</v>
      </c>
      <c r="AU117" s="604" t="s">
        <v>449</v>
      </c>
      <c r="AV117" s="604" t="s">
        <v>86</v>
      </c>
      <c r="AW117" s="604">
        <v>12</v>
      </c>
      <c r="AX117" s="604">
        <v>2354</v>
      </c>
      <c r="AY117" s="606">
        <v>5.0999999999999996</v>
      </c>
      <c r="AZ117" s="604" t="s">
        <v>420</v>
      </c>
      <c r="BB117" s="536" t="str">
        <f t="shared" si="18"/>
        <v>25-29agebirthsNelson Marlborough</v>
      </c>
      <c r="BC117" s="604">
        <v>2016</v>
      </c>
      <c r="BD117" s="604" t="s">
        <v>131</v>
      </c>
      <c r="BE117" s="604" t="s">
        <v>453</v>
      </c>
      <c r="BF117" s="604" t="s">
        <v>99</v>
      </c>
      <c r="BG117" s="604">
        <v>431</v>
      </c>
      <c r="BH117" s="604" t="s">
        <v>445</v>
      </c>
      <c r="BR117" s="547" t="str">
        <f t="shared" si="19"/>
        <v>7-27 daysQuin 4dep</v>
      </c>
      <c r="BS117" s="604">
        <v>2016</v>
      </c>
      <c r="BT117" s="604" t="s">
        <v>471</v>
      </c>
      <c r="BU117" s="604" t="s">
        <v>424</v>
      </c>
      <c r="BV117" s="604" t="s">
        <v>454</v>
      </c>
      <c r="BW117" s="604">
        <v>8</v>
      </c>
      <c r="BY117" s="553" t="str">
        <f t="shared" si="20"/>
        <v>201625-29ageSIDS</v>
      </c>
      <c r="BZ117" s="604">
        <v>2016</v>
      </c>
      <c r="CA117" s="604" t="s">
        <v>131</v>
      </c>
      <c r="CB117" s="604" t="s">
        <v>453</v>
      </c>
      <c r="CC117" s="604">
        <v>6</v>
      </c>
      <c r="CD117" s="604" t="s">
        <v>32</v>
      </c>
      <c r="CF117" s="554" t="str">
        <f t="shared" si="21"/>
        <v>2016Pacific peoplesNelson MarlboroughdhbSIDS</v>
      </c>
      <c r="CG117" s="604">
        <v>2016</v>
      </c>
      <c r="CH117" s="604" t="s">
        <v>320</v>
      </c>
      <c r="CI117" s="604" t="s">
        <v>99</v>
      </c>
      <c r="CJ117" s="604" t="s">
        <v>448</v>
      </c>
      <c r="CK117" s="604">
        <v>0</v>
      </c>
      <c r="CL117" s="604" t="s">
        <v>32</v>
      </c>
      <c r="CN117" s="575" t="str">
        <f t="shared" si="22"/>
        <v>2015G00–G99infant</v>
      </c>
      <c r="CO117" s="604">
        <v>2015</v>
      </c>
      <c r="CP117" s="604" t="s">
        <v>503</v>
      </c>
      <c r="CQ117" s="604">
        <v>4</v>
      </c>
      <c r="CR117" s="604">
        <v>1.5</v>
      </c>
      <c r="CS117" s="604">
        <v>0.06</v>
      </c>
      <c r="CT117" s="604" t="s">
        <v>437</v>
      </c>
      <c r="CV117" s="575"/>
    </row>
    <row r="118" spans="1:100">
      <c r="A118" s="502" t="str">
        <f t="shared" si="12"/>
        <v>2006deathsNeonatal</v>
      </c>
      <c r="B118" s="604">
        <v>2006</v>
      </c>
      <c r="C118" s="604" t="s">
        <v>496</v>
      </c>
      <c r="D118" s="604" t="s">
        <v>50</v>
      </c>
      <c r="E118" s="604">
        <v>165</v>
      </c>
      <c r="F118" s="604">
        <v>60274</v>
      </c>
      <c r="G118" s="604">
        <v>2.7</v>
      </c>
      <c r="I118" s="578" t="str">
        <f t="shared" si="13"/>
        <v>2009age30-34Fetal</v>
      </c>
      <c r="J118" s="604">
        <v>2009</v>
      </c>
      <c r="K118" s="604" t="s">
        <v>453</v>
      </c>
      <c r="L118" s="604" t="s">
        <v>132</v>
      </c>
      <c r="M118" s="604">
        <v>118</v>
      </c>
      <c r="N118" s="604">
        <v>17581</v>
      </c>
      <c r="O118" s="604">
        <v>6.7</v>
      </c>
      <c r="P118" s="604" t="s">
        <v>47</v>
      </c>
      <c r="Q118" s="499"/>
      <c r="R118" s="502" t="str">
        <f t="shared" si="14"/>
        <v>2012birthsbwt1500-2499</v>
      </c>
      <c r="S118" s="604">
        <v>2012</v>
      </c>
      <c r="T118" s="604" t="s">
        <v>445</v>
      </c>
      <c r="U118" s="604" t="s">
        <v>447</v>
      </c>
      <c r="V118" s="604" t="s">
        <v>430</v>
      </c>
      <c r="W118" s="604">
        <v>3144</v>
      </c>
      <c r="Y118" s="535" t="str">
        <f t="shared" si="15"/>
        <v>2016gestage28-31&lt;20fetal</v>
      </c>
      <c r="Z118" s="604">
        <v>2016</v>
      </c>
      <c r="AA118" s="604" t="s">
        <v>450</v>
      </c>
      <c r="AB118" s="604" t="s">
        <v>453</v>
      </c>
      <c r="AC118" s="604" t="s">
        <v>395</v>
      </c>
      <c r="AD118" s="604" t="s">
        <v>339</v>
      </c>
      <c r="AE118" s="604">
        <v>1</v>
      </c>
      <c r="AF118" s="604">
        <v>24</v>
      </c>
      <c r="AG118" s="604">
        <v>40</v>
      </c>
      <c r="AH118" s="604" t="s">
        <v>420</v>
      </c>
      <c r="AJ118" s="535" t="str">
        <f t="shared" si="16"/>
        <v>2016gestage28-31&lt;20</v>
      </c>
      <c r="AK118" s="604">
        <v>2016</v>
      </c>
      <c r="AL118" s="604" t="s">
        <v>450</v>
      </c>
      <c r="AM118" s="604" t="s">
        <v>453</v>
      </c>
      <c r="AN118" s="604" t="s">
        <v>395</v>
      </c>
      <c r="AO118" s="604" t="s">
        <v>339</v>
      </c>
      <c r="AP118" s="604">
        <v>24</v>
      </c>
      <c r="AR118" s="538" t="str">
        <f t="shared" si="17"/>
        <v>European or OtherethfetalWaitemata</v>
      </c>
      <c r="AS118" s="604">
        <v>2016</v>
      </c>
      <c r="AT118" s="604" t="s">
        <v>356</v>
      </c>
      <c r="AU118" s="604" t="s">
        <v>449</v>
      </c>
      <c r="AV118" s="604" t="s">
        <v>86</v>
      </c>
      <c r="AW118" s="604">
        <v>17</v>
      </c>
      <c r="AX118" s="604">
        <v>3495</v>
      </c>
      <c r="AY118" s="606">
        <v>4.9000000000000004</v>
      </c>
      <c r="AZ118" s="604" t="s">
        <v>420</v>
      </c>
      <c r="BB118" s="536" t="str">
        <f t="shared" si="18"/>
        <v>30-34agebirthsNelson Marlborough</v>
      </c>
      <c r="BC118" s="604">
        <v>2016</v>
      </c>
      <c r="BD118" s="604" t="s">
        <v>132</v>
      </c>
      <c r="BE118" s="604" t="s">
        <v>453</v>
      </c>
      <c r="BF118" s="604" t="s">
        <v>99</v>
      </c>
      <c r="BG118" s="604">
        <v>472</v>
      </c>
      <c r="BH118" s="604" t="s">
        <v>445</v>
      </c>
      <c r="BR118" s="547" t="str">
        <f t="shared" si="19"/>
        <v>7-27 daysQuin 5dep</v>
      </c>
      <c r="BS118" s="604">
        <v>2016</v>
      </c>
      <c r="BT118" s="604" t="s">
        <v>471</v>
      </c>
      <c r="BU118" s="604" t="s">
        <v>425</v>
      </c>
      <c r="BV118" s="604" t="s">
        <v>454</v>
      </c>
      <c r="BW118" s="604">
        <v>15</v>
      </c>
      <c r="BY118" s="553" t="str">
        <f t="shared" si="20"/>
        <v>201630-34ageSIDS</v>
      </c>
      <c r="BZ118" s="604">
        <v>2016</v>
      </c>
      <c r="CA118" s="604" t="s">
        <v>132</v>
      </c>
      <c r="CB118" s="604" t="s">
        <v>453</v>
      </c>
      <c r="CC118" s="604">
        <v>4</v>
      </c>
      <c r="CD118" s="604" t="s">
        <v>32</v>
      </c>
      <c r="CF118" s="554" t="str">
        <f t="shared" si="21"/>
        <v>2016European or OtherWest CoastdhbSIDS</v>
      </c>
      <c r="CG118" s="604">
        <v>2016</v>
      </c>
      <c r="CH118" s="604" t="s">
        <v>356</v>
      </c>
      <c r="CI118" s="604" t="s">
        <v>100</v>
      </c>
      <c r="CJ118" s="604" t="s">
        <v>448</v>
      </c>
      <c r="CK118" s="604">
        <v>0</v>
      </c>
      <c r="CL118" s="604" t="s">
        <v>32</v>
      </c>
      <c r="CN118" s="575" t="str">
        <f t="shared" si="22"/>
        <v>2015I00–I99infant</v>
      </c>
      <c r="CO118" s="604">
        <v>2015</v>
      </c>
      <c r="CP118" s="604" t="s">
        <v>506</v>
      </c>
      <c r="CQ118" s="604">
        <v>2</v>
      </c>
      <c r="CR118" s="604">
        <v>0.8</v>
      </c>
      <c r="CS118" s="604">
        <v>0.03</v>
      </c>
      <c r="CT118" s="604" t="s">
        <v>437</v>
      </c>
      <c r="CV118" s="575"/>
    </row>
    <row r="119" spans="1:100">
      <c r="A119" s="502" t="str">
        <f t="shared" si="12"/>
        <v>2007deathsNeonatal</v>
      </c>
      <c r="B119" s="604">
        <v>2007</v>
      </c>
      <c r="C119" s="604" t="s">
        <v>496</v>
      </c>
      <c r="D119" s="604" t="s">
        <v>50</v>
      </c>
      <c r="E119" s="604">
        <v>166</v>
      </c>
      <c r="F119" s="604">
        <v>65121</v>
      </c>
      <c r="G119" s="604">
        <v>2.5</v>
      </c>
      <c r="I119" s="578" t="str">
        <f t="shared" si="13"/>
        <v>2009age35-39Fetal</v>
      </c>
      <c r="J119" s="604">
        <v>2009</v>
      </c>
      <c r="K119" s="604" t="s">
        <v>453</v>
      </c>
      <c r="L119" s="604" t="s">
        <v>133</v>
      </c>
      <c r="M119" s="604">
        <v>106</v>
      </c>
      <c r="N119" s="604">
        <v>11497</v>
      </c>
      <c r="O119" s="604">
        <v>9.1999999999999993</v>
      </c>
      <c r="P119" s="604" t="s">
        <v>47</v>
      </c>
      <c r="Q119" s="499"/>
      <c r="R119" s="502" t="str">
        <f t="shared" si="14"/>
        <v>2012birthsbwt2500-4499</v>
      </c>
      <c r="S119" s="604">
        <v>2012</v>
      </c>
      <c r="T119" s="604" t="s">
        <v>445</v>
      </c>
      <c r="U119" s="604" t="s">
        <v>447</v>
      </c>
      <c r="V119" s="604" t="s">
        <v>431</v>
      </c>
      <c r="W119" s="604">
        <v>56574</v>
      </c>
      <c r="Y119" s="535" t="str">
        <f t="shared" si="15"/>
        <v>2016gestage32-36&lt;20fetal</v>
      </c>
      <c r="Z119" s="604">
        <v>2016</v>
      </c>
      <c r="AA119" s="604" t="s">
        <v>450</v>
      </c>
      <c r="AB119" s="604" t="s">
        <v>453</v>
      </c>
      <c r="AC119" s="604" t="s">
        <v>136</v>
      </c>
      <c r="AD119" s="604" t="s">
        <v>339</v>
      </c>
      <c r="AE119" s="604">
        <v>7</v>
      </c>
      <c r="AF119" s="604">
        <v>189</v>
      </c>
      <c r="AG119" s="604">
        <v>35.700000000000003</v>
      </c>
      <c r="AH119" s="604" t="s">
        <v>420</v>
      </c>
      <c r="AJ119" s="535" t="str">
        <f t="shared" si="16"/>
        <v>2016gestage32-36&lt;20</v>
      </c>
      <c r="AK119" s="604">
        <v>2016</v>
      </c>
      <c r="AL119" s="604" t="s">
        <v>450</v>
      </c>
      <c r="AM119" s="604" t="s">
        <v>453</v>
      </c>
      <c r="AN119" s="604" t="s">
        <v>136</v>
      </c>
      <c r="AO119" s="604" t="s">
        <v>339</v>
      </c>
      <c r="AP119" s="604">
        <v>189</v>
      </c>
      <c r="AR119" s="538" t="str">
        <f t="shared" si="17"/>
        <v>MaoriethfetalWaitemata</v>
      </c>
      <c r="AS119" s="604">
        <v>2016</v>
      </c>
      <c r="AT119" s="604" t="s">
        <v>129</v>
      </c>
      <c r="AU119" s="604" t="s">
        <v>449</v>
      </c>
      <c r="AV119" s="604" t="s">
        <v>86</v>
      </c>
      <c r="AW119" s="604">
        <v>10</v>
      </c>
      <c r="AX119" s="604">
        <v>1460</v>
      </c>
      <c r="AY119" s="606">
        <v>6.8</v>
      </c>
      <c r="AZ119" s="604" t="s">
        <v>420</v>
      </c>
      <c r="BB119" s="536" t="str">
        <f t="shared" si="18"/>
        <v>35-39agebirthsNelson Marlborough</v>
      </c>
      <c r="BC119" s="604">
        <v>2016</v>
      </c>
      <c r="BD119" s="604" t="s">
        <v>133</v>
      </c>
      <c r="BE119" s="604" t="s">
        <v>453</v>
      </c>
      <c r="BF119" s="604" t="s">
        <v>99</v>
      </c>
      <c r="BG119" s="604">
        <v>241</v>
      </c>
      <c r="BH119" s="604" t="s">
        <v>445</v>
      </c>
      <c r="BR119" s="547" t="str">
        <f t="shared" si="19"/>
        <v>&lt;1 dayTotalOverall</v>
      </c>
      <c r="BS119" s="604">
        <v>2016</v>
      </c>
      <c r="BT119" s="604" t="s">
        <v>469</v>
      </c>
      <c r="BU119" s="604" t="s">
        <v>44</v>
      </c>
      <c r="BV119" s="604" t="s">
        <v>104</v>
      </c>
      <c r="BW119" s="604">
        <v>100</v>
      </c>
      <c r="BY119" s="553" t="str">
        <f t="shared" si="20"/>
        <v>201635-39ageSIDS</v>
      </c>
      <c r="BZ119" s="604">
        <v>2016</v>
      </c>
      <c r="CA119" s="604" t="s">
        <v>133</v>
      </c>
      <c r="CB119" s="604" t="s">
        <v>453</v>
      </c>
      <c r="CC119" s="604">
        <v>1</v>
      </c>
      <c r="CD119" s="604" t="s">
        <v>32</v>
      </c>
      <c r="CF119" s="554" t="str">
        <f t="shared" si="21"/>
        <v>2016MaoriWest CoastdhbSIDS</v>
      </c>
      <c r="CG119" s="604">
        <v>2016</v>
      </c>
      <c r="CH119" s="604" t="s">
        <v>129</v>
      </c>
      <c r="CI119" s="604" t="s">
        <v>100</v>
      </c>
      <c r="CJ119" s="604" t="s">
        <v>448</v>
      </c>
      <c r="CK119" s="604">
        <v>0</v>
      </c>
      <c r="CL119" s="604" t="s">
        <v>32</v>
      </c>
      <c r="CN119" s="575" t="str">
        <f t="shared" si="22"/>
        <v>2015J00–J99infant</v>
      </c>
      <c r="CO119" s="604">
        <v>2015</v>
      </c>
      <c r="CP119" s="604" t="s">
        <v>507</v>
      </c>
      <c r="CQ119" s="604">
        <v>3</v>
      </c>
      <c r="CR119" s="604">
        <v>1.1000000000000001</v>
      </c>
      <c r="CS119" s="604">
        <v>0.05</v>
      </c>
      <c r="CT119" s="604" t="s">
        <v>437</v>
      </c>
      <c r="CV119" s="575"/>
    </row>
    <row r="120" spans="1:100">
      <c r="A120" s="502" t="str">
        <f t="shared" si="12"/>
        <v>2008deathsNeonatal</v>
      </c>
      <c r="B120" s="604">
        <v>2008</v>
      </c>
      <c r="C120" s="604" t="s">
        <v>496</v>
      </c>
      <c r="D120" s="604" t="s">
        <v>50</v>
      </c>
      <c r="E120" s="604">
        <v>187</v>
      </c>
      <c r="F120" s="604">
        <v>65333</v>
      </c>
      <c r="G120" s="604">
        <v>2.9</v>
      </c>
      <c r="I120" s="578" t="str">
        <f t="shared" si="13"/>
        <v>2009age40+Fetal</v>
      </c>
      <c r="J120" s="604">
        <v>2009</v>
      </c>
      <c r="K120" s="604" t="s">
        <v>453</v>
      </c>
      <c r="L120" s="604" t="s">
        <v>134</v>
      </c>
      <c r="M120" s="604">
        <v>19</v>
      </c>
      <c r="N120" s="604">
        <v>2498</v>
      </c>
      <c r="O120" s="604">
        <v>7.6</v>
      </c>
      <c r="P120" s="604" t="s">
        <v>47</v>
      </c>
      <c r="Q120" s="499"/>
      <c r="R120" s="502" t="str">
        <f t="shared" si="14"/>
        <v>2012birthsbwt4500+</v>
      </c>
      <c r="S120" s="604">
        <v>2012</v>
      </c>
      <c r="T120" s="604" t="s">
        <v>445</v>
      </c>
      <c r="U120" s="604" t="s">
        <v>447</v>
      </c>
      <c r="V120" s="604" t="s">
        <v>432</v>
      </c>
      <c r="W120" s="604">
        <v>1642</v>
      </c>
      <c r="Y120" s="535" t="str">
        <f t="shared" si="15"/>
        <v>2016gestage37-41&lt;20fetal</v>
      </c>
      <c r="Z120" s="604">
        <v>2016</v>
      </c>
      <c r="AA120" s="604" t="s">
        <v>450</v>
      </c>
      <c r="AB120" s="604" t="s">
        <v>453</v>
      </c>
      <c r="AC120" s="604" t="s">
        <v>137</v>
      </c>
      <c r="AD120" s="604" t="s">
        <v>339</v>
      </c>
      <c r="AE120" s="604">
        <v>7</v>
      </c>
      <c r="AF120" s="604">
        <v>2277</v>
      </c>
      <c r="AG120" s="604">
        <v>3.1</v>
      </c>
      <c r="AH120" s="604" t="s">
        <v>420</v>
      </c>
      <c r="AJ120" s="535" t="str">
        <f t="shared" si="16"/>
        <v>2016gestage37-41&lt;20</v>
      </c>
      <c r="AK120" s="604">
        <v>2016</v>
      </c>
      <c r="AL120" s="604" t="s">
        <v>450</v>
      </c>
      <c r="AM120" s="604" t="s">
        <v>453</v>
      </c>
      <c r="AN120" s="604" t="s">
        <v>137</v>
      </c>
      <c r="AO120" s="604" t="s">
        <v>339</v>
      </c>
      <c r="AP120" s="604">
        <v>2277</v>
      </c>
      <c r="AR120" s="538" t="str">
        <f t="shared" si="17"/>
        <v>Pacific peoplesethfetalWaitemata</v>
      </c>
      <c r="AS120" s="604">
        <v>2016</v>
      </c>
      <c r="AT120" s="604" t="s">
        <v>320</v>
      </c>
      <c r="AU120" s="604" t="s">
        <v>449</v>
      </c>
      <c r="AV120" s="604" t="s">
        <v>86</v>
      </c>
      <c r="AW120" s="604">
        <v>3</v>
      </c>
      <c r="AX120" s="604">
        <v>784</v>
      </c>
      <c r="AY120" s="606">
        <v>3.8</v>
      </c>
      <c r="AZ120" s="604" t="s">
        <v>420</v>
      </c>
      <c r="BB120" s="536" t="str">
        <f t="shared" si="18"/>
        <v>40+agebirthsNelson Marlborough</v>
      </c>
      <c r="BC120" s="604">
        <v>2016</v>
      </c>
      <c r="BD120" s="604" t="s">
        <v>134</v>
      </c>
      <c r="BE120" s="604" t="s">
        <v>453</v>
      </c>
      <c r="BF120" s="604" t="s">
        <v>99</v>
      </c>
      <c r="BG120" s="604">
        <v>63</v>
      </c>
      <c r="BH120" s="604" t="s">
        <v>445</v>
      </c>
      <c r="BR120" s="547" t="str">
        <f t="shared" si="19"/>
        <v>1-6 daysTotalOverall</v>
      </c>
      <c r="BS120" s="604">
        <v>2016</v>
      </c>
      <c r="BT120" s="604" t="s">
        <v>470</v>
      </c>
      <c r="BU120" s="604" t="s">
        <v>44</v>
      </c>
      <c r="BV120" s="604" t="s">
        <v>104</v>
      </c>
      <c r="BW120" s="604">
        <v>33</v>
      </c>
      <c r="BY120" s="553" t="str">
        <f t="shared" si="20"/>
        <v>201640+ageSIDS</v>
      </c>
      <c r="BZ120" s="604">
        <v>2016</v>
      </c>
      <c r="CA120" s="604" t="s">
        <v>134</v>
      </c>
      <c r="CB120" s="604" t="s">
        <v>453</v>
      </c>
      <c r="CC120" s="604">
        <v>0</v>
      </c>
      <c r="CD120" s="604" t="s">
        <v>32</v>
      </c>
      <c r="CF120" s="554" t="str">
        <f t="shared" si="21"/>
        <v>2016AsianCanterburydhbSIDS</v>
      </c>
      <c r="CG120" s="604">
        <v>2016</v>
      </c>
      <c r="CH120" s="604" t="s">
        <v>355</v>
      </c>
      <c r="CI120" s="604" t="s">
        <v>101</v>
      </c>
      <c r="CJ120" s="604" t="s">
        <v>448</v>
      </c>
      <c r="CK120" s="604">
        <v>0</v>
      </c>
      <c r="CL120" s="604" t="s">
        <v>32</v>
      </c>
      <c r="CN120" s="575" t="str">
        <f t="shared" si="22"/>
        <v>2015K00–K93infant</v>
      </c>
      <c r="CO120" s="604">
        <v>2015</v>
      </c>
      <c r="CP120" s="604" t="s">
        <v>508</v>
      </c>
      <c r="CQ120" s="604">
        <v>1</v>
      </c>
      <c r="CR120" s="604">
        <v>0.4</v>
      </c>
      <c r="CS120" s="604">
        <v>0.02</v>
      </c>
      <c r="CT120" s="604" t="s">
        <v>437</v>
      </c>
      <c r="CV120" s="575"/>
    </row>
    <row r="121" spans="1:100">
      <c r="A121" s="502" t="str">
        <f t="shared" si="12"/>
        <v>2009deathsNeonatal</v>
      </c>
      <c r="B121" s="604">
        <v>2009</v>
      </c>
      <c r="C121" s="604" t="s">
        <v>496</v>
      </c>
      <c r="D121" s="604" t="s">
        <v>50</v>
      </c>
      <c r="E121" s="604">
        <v>197</v>
      </c>
      <c r="F121" s="604">
        <v>63285</v>
      </c>
      <c r="G121" s="604">
        <v>3.1</v>
      </c>
      <c r="I121" s="578" t="str">
        <f t="shared" si="13"/>
        <v>2009ageUnknownFetal</v>
      </c>
      <c r="J121" s="604">
        <v>2009</v>
      </c>
      <c r="K121" s="604" t="s">
        <v>453</v>
      </c>
      <c r="L121" s="604" t="s">
        <v>63</v>
      </c>
      <c r="M121" s="604">
        <v>0</v>
      </c>
      <c r="N121" s="604">
        <v>0</v>
      </c>
      <c r="O121" s="604" t="s">
        <v>119</v>
      </c>
      <c r="P121" s="604" t="s">
        <v>47</v>
      </c>
      <c r="Q121" s="499"/>
      <c r="R121" s="502" t="str">
        <f t="shared" si="14"/>
        <v>2012birthsbwtUnknown</v>
      </c>
      <c r="S121" s="604">
        <v>2012</v>
      </c>
      <c r="T121" s="604" t="s">
        <v>445</v>
      </c>
      <c r="U121" s="604" t="s">
        <v>447</v>
      </c>
      <c r="V121" s="604" t="s">
        <v>63</v>
      </c>
      <c r="W121" s="604">
        <v>28</v>
      </c>
      <c r="Y121" s="535" t="str">
        <f t="shared" si="15"/>
        <v>2016gestage42+&lt;20fetal</v>
      </c>
      <c r="Z121" s="604">
        <v>2016</v>
      </c>
      <c r="AA121" s="604" t="s">
        <v>450</v>
      </c>
      <c r="AB121" s="604" t="s">
        <v>453</v>
      </c>
      <c r="AC121" s="604" t="s">
        <v>138</v>
      </c>
      <c r="AD121" s="604" t="s">
        <v>339</v>
      </c>
      <c r="AE121" s="604">
        <v>0</v>
      </c>
      <c r="AF121" s="604">
        <v>45</v>
      </c>
      <c r="AG121" s="604">
        <v>0</v>
      </c>
      <c r="AH121" s="604" t="s">
        <v>420</v>
      </c>
      <c r="AJ121" s="535" t="str">
        <f t="shared" si="16"/>
        <v>2016gestage42+&lt;20</v>
      </c>
      <c r="AK121" s="604">
        <v>2016</v>
      </c>
      <c r="AL121" s="604" t="s">
        <v>450</v>
      </c>
      <c r="AM121" s="604" t="s">
        <v>453</v>
      </c>
      <c r="AN121" s="604" t="s">
        <v>138</v>
      </c>
      <c r="AO121" s="604" t="s">
        <v>339</v>
      </c>
      <c r="AP121" s="604">
        <v>45</v>
      </c>
      <c r="AR121" s="538" t="str">
        <f t="shared" si="17"/>
        <v>AsianethfetalAuckland</v>
      </c>
      <c r="AS121" s="604">
        <v>2016</v>
      </c>
      <c r="AT121" s="604" t="s">
        <v>355</v>
      </c>
      <c r="AU121" s="604" t="s">
        <v>449</v>
      </c>
      <c r="AV121" s="604" t="s">
        <v>87</v>
      </c>
      <c r="AW121" s="604">
        <v>15</v>
      </c>
      <c r="AX121" s="604">
        <v>2076</v>
      </c>
      <c r="AY121" s="606">
        <v>7.2</v>
      </c>
      <c r="AZ121" s="604" t="s">
        <v>420</v>
      </c>
      <c r="BB121" s="536" t="str">
        <f t="shared" si="18"/>
        <v>&lt;20agebirthsWest Coast</v>
      </c>
      <c r="BC121" s="604">
        <v>2016</v>
      </c>
      <c r="BD121" s="604" t="s">
        <v>339</v>
      </c>
      <c r="BE121" s="604" t="s">
        <v>453</v>
      </c>
      <c r="BF121" s="604" t="s">
        <v>100</v>
      </c>
      <c r="BG121" s="604">
        <v>17</v>
      </c>
      <c r="BH121" s="604" t="s">
        <v>445</v>
      </c>
      <c r="BR121" s="547" t="str">
        <f t="shared" si="19"/>
        <v>28+ daysTotalOverall</v>
      </c>
      <c r="BS121" s="604">
        <v>2016</v>
      </c>
      <c r="BT121" s="604" t="s">
        <v>117</v>
      </c>
      <c r="BU121" s="604" t="s">
        <v>44</v>
      </c>
      <c r="BV121" s="604" t="s">
        <v>104</v>
      </c>
      <c r="BW121" s="604">
        <v>80</v>
      </c>
      <c r="BY121" s="553" t="str">
        <f t="shared" si="20"/>
        <v>2016UnknownageSIDS</v>
      </c>
      <c r="BZ121" s="604">
        <v>2016</v>
      </c>
      <c r="CA121" s="604" t="s">
        <v>63</v>
      </c>
      <c r="CB121" s="604" t="s">
        <v>453</v>
      </c>
      <c r="CC121" s="604">
        <v>0</v>
      </c>
      <c r="CD121" s="604" t="s">
        <v>32</v>
      </c>
      <c r="CF121" s="554" t="str">
        <f t="shared" si="21"/>
        <v>2016European or OtherCanterburydhbSIDS</v>
      </c>
      <c r="CG121" s="604">
        <v>2016</v>
      </c>
      <c r="CH121" s="604" t="s">
        <v>356</v>
      </c>
      <c r="CI121" s="604" t="s">
        <v>101</v>
      </c>
      <c r="CJ121" s="604" t="s">
        <v>448</v>
      </c>
      <c r="CK121" s="604">
        <v>1</v>
      </c>
      <c r="CL121" s="604" t="s">
        <v>32</v>
      </c>
      <c r="CN121" s="575" t="str">
        <f t="shared" si="22"/>
        <v>2015P00–P96infant</v>
      </c>
      <c r="CO121" s="604">
        <v>2015</v>
      </c>
      <c r="CP121" s="604" t="s">
        <v>513</v>
      </c>
      <c r="CQ121" s="604">
        <v>123</v>
      </c>
      <c r="CR121" s="604">
        <v>46.2</v>
      </c>
      <c r="CS121" s="604">
        <v>1.98</v>
      </c>
      <c r="CT121" s="604" t="s">
        <v>437</v>
      </c>
      <c r="CV121" s="575"/>
    </row>
    <row r="122" spans="1:100">
      <c r="A122" s="502" t="str">
        <f t="shared" si="12"/>
        <v>2010deathsNeonatal</v>
      </c>
      <c r="B122" s="604">
        <v>2010</v>
      </c>
      <c r="C122" s="604" t="s">
        <v>496</v>
      </c>
      <c r="D122" s="604" t="s">
        <v>50</v>
      </c>
      <c r="E122" s="604">
        <v>234</v>
      </c>
      <c r="F122" s="604">
        <v>64699</v>
      </c>
      <c r="G122" s="604">
        <v>3.6</v>
      </c>
      <c r="I122" s="578" t="str">
        <f t="shared" si="13"/>
        <v>2010age&lt;20Fetal</v>
      </c>
      <c r="J122" s="604">
        <v>2010</v>
      </c>
      <c r="K122" s="604" t="s">
        <v>453</v>
      </c>
      <c r="L122" s="604" t="s">
        <v>339</v>
      </c>
      <c r="M122" s="604">
        <v>33</v>
      </c>
      <c r="N122" s="604">
        <v>4633</v>
      </c>
      <c r="O122" s="604">
        <v>7.1</v>
      </c>
      <c r="P122" s="604" t="s">
        <v>47</v>
      </c>
      <c r="Q122" s="499"/>
      <c r="R122" s="502" t="str">
        <f t="shared" si="14"/>
        <v>2013birthsbwt&lt;500</v>
      </c>
      <c r="S122" s="604">
        <v>2013</v>
      </c>
      <c r="T122" s="604" t="s">
        <v>445</v>
      </c>
      <c r="U122" s="604" t="s">
        <v>447</v>
      </c>
      <c r="V122" s="604" t="s">
        <v>427</v>
      </c>
      <c r="W122" s="604">
        <v>65</v>
      </c>
      <c r="Y122" s="535" t="str">
        <f t="shared" si="15"/>
        <v>2016gestageUnknown&lt;20fetal</v>
      </c>
      <c r="Z122" s="604">
        <v>2016</v>
      </c>
      <c r="AA122" s="604" t="s">
        <v>450</v>
      </c>
      <c r="AB122" s="604" t="s">
        <v>453</v>
      </c>
      <c r="AC122" s="604" t="s">
        <v>63</v>
      </c>
      <c r="AD122" s="604" t="s">
        <v>339</v>
      </c>
      <c r="AE122" s="604">
        <v>1</v>
      </c>
      <c r="AF122" s="604">
        <v>2</v>
      </c>
      <c r="AG122" s="604" t="s">
        <v>119</v>
      </c>
      <c r="AH122" s="604" t="s">
        <v>420</v>
      </c>
      <c r="AJ122" s="535" t="str">
        <f t="shared" si="16"/>
        <v>2016gestageUnknown&lt;20</v>
      </c>
      <c r="AK122" s="604">
        <v>2016</v>
      </c>
      <c r="AL122" s="604" t="s">
        <v>450</v>
      </c>
      <c r="AM122" s="604" t="s">
        <v>453</v>
      </c>
      <c r="AN122" s="604" t="s">
        <v>63</v>
      </c>
      <c r="AO122" s="604" t="s">
        <v>339</v>
      </c>
      <c r="AP122" s="604">
        <v>2</v>
      </c>
      <c r="AR122" s="538" t="str">
        <f t="shared" si="17"/>
        <v>European or OtherethfetalAuckland</v>
      </c>
      <c r="AS122" s="604">
        <v>2016</v>
      </c>
      <c r="AT122" s="604" t="s">
        <v>356</v>
      </c>
      <c r="AU122" s="604" t="s">
        <v>449</v>
      </c>
      <c r="AV122" s="604" t="s">
        <v>87</v>
      </c>
      <c r="AW122" s="604">
        <v>14</v>
      </c>
      <c r="AX122" s="604">
        <v>2148</v>
      </c>
      <c r="AY122" s="606">
        <v>6.5</v>
      </c>
      <c r="AZ122" s="604" t="s">
        <v>420</v>
      </c>
      <c r="BB122" s="536" t="str">
        <f t="shared" si="18"/>
        <v>20-24agebirthsWest Coast</v>
      </c>
      <c r="BC122" s="604">
        <v>2016</v>
      </c>
      <c r="BD122" s="604" t="s">
        <v>130</v>
      </c>
      <c r="BE122" s="604" t="s">
        <v>453</v>
      </c>
      <c r="BF122" s="604" t="s">
        <v>100</v>
      </c>
      <c r="BG122" s="604">
        <v>65</v>
      </c>
      <c r="BH122" s="604" t="s">
        <v>445</v>
      </c>
      <c r="BR122" s="547" t="str">
        <f t="shared" si="19"/>
        <v>7-27 daysTotalOverall</v>
      </c>
      <c r="BS122" s="604">
        <v>2016</v>
      </c>
      <c r="BT122" s="604" t="s">
        <v>471</v>
      </c>
      <c r="BU122" s="604" t="s">
        <v>44</v>
      </c>
      <c r="BV122" s="604" t="s">
        <v>104</v>
      </c>
      <c r="BW122" s="604">
        <v>28</v>
      </c>
      <c r="BY122" s="553" t="str">
        <f t="shared" si="20"/>
        <v>2000&lt;500bwtSIDS</v>
      </c>
      <c r="BZ122" s="604">
        <v>2000</v>
      </c>
      <c r="CA122" s="604" t="s">
        <v>427</v>
      </c>
      <c r="CB122" s="604" t="s">
        <v>447</v>
      </c>
      <c r="CC122" s="604">
        <v>0</v>
      </c>
      <c r="CD122" s="604" t="s">
        <v>32</v>
      </c>
      <c r="CF122" s="554" t="str">
        <f t="shared" si="21"/>
        <v>2016MaoriCanterburydhbSIDS</v>
      </c>
      <c r="CG122" s="604">
        <v>2016</v>
      </c>
      <c r="CH122" s="604" t="s">
        <v>129</v>
      </c>
      <c r="CI122" s="604" t="s">
        <v>101</v>
      </c>
      <c r="CJ122" s="604" t="s">
        <v>448</v>
      </c>
      <c r="CK122" s="604">
        <v>1</v>
      </c>
      <c r="CL122" s="604" t="s">
        <v>32</v>
      </c>
      <c r="CN122" s="575" t="str">
        <f t="shared" si="22"/>
        <v>2015Q00–Q99infant</v>
      </c>
      <c r="CO122" s="604">
        <v>2015</v>
      </c>
      <c r="CP122" s="604" t="s">
        <v>514</v>
      </c>
      <c r="CQ122" s="604">
        <v>70</v>
      </c>
      <c r="CR122" s="604">
        <v>26.3</v>
      </c>
      <c r="CS122" s="604">
        <v>1.1299999999999999</v>
      </c>
      <c r="CT122" s="604" t="s">
        <v>437</v>
      </c>
      <c r="CV122" s="575"/>
    </row>
    <row r="123" spans="1:100">
      <c r="A123" s="502" t="str">
        <f t="shared" si="12"/>
        <v>2011deathsNeonatal</v>
      </c>
      <c r="B123" s="604">
        <v>2011</v>
      </c>
      <c r="C123" s="604" t="s">
        <v>496</v>
      </c>
      <c r="D123" s="604" t="s">
        <v>50</v>
      </c>
      <c r="E123" s="604">
        <v>197</v>
      </c>
      <c r="F123" s="604">
        <v>62174</v>
      </c>
      <c r="G123" s="604">
        <v>3.2</v>
      </c>
      <c r="I123" s="578" t="str">
        <f t="shared" si="13"/>
        <v>2010age20-24Fetal</v>
      </c>
      <c r="J123" s="604">
        <v>2010</v>
      </c>
      <c r="K123" s="604" t="s">
        <v>453</v>
      </c>
      <c r="L123" s="604" t="s">
        <v>130</v>
      </c>
      <c r="M123" s="604">
        <v>113</v>
      </c>
      <c r="N123" s="604">
        <v>12147</v>
      </c>
      <c r="O123" s="604">
        <v>9.3000000000000007</v>
      </c>
      <c r="P123" s="604" t="s">
        <v>47</v>
      </c>
      <c r="Q123" s="499"/>
      <c r="R123" s="502" t="str">
        <f t="shared" si="14"/>
        <v>2013birthsbwt500-999</v>
      </c>
      <c r="S123" s="604">
        <v>2013</v>
      </c>
      <c r="T123" s="604" t="s">
        <v>445</v>
      </c>
      <c r="U123" s="604" t="s">
        <v>447</v>
      </c>
      <c r="V123" s="604" t="s">
        <v>428</v>
      </c>
      <c r="W123" s="604">
        <v>216</v>
      </c>
      <c r="Y123" s="535" t="str">
        <f t="shared" si="15"/>
        <v>2016gestage&lt;2820-24fetal</v>
      </c>
      <c r="Z123" s="604">
        <v>2016</v>
      </c>
      <c r="AA123" s="604" t="s">
        <v>450</v>
      </c>
      <c r="AB123" s="604" t="s">
        <v>453</v>
      </c>
      <c r="AC123" s="604" t="s">
        <v>375</v>
      </c>
      <c r="AD123" s="604" t="s">
        <v>130</v>
      </c>
      <c r="AE123" s="604">
        <v>32</v>
      </c>
      <c r="AF123" s="604">
        <v>51</v>
      </c>
      <c r="AG123" s="604">
        <v>385.5</v>
      </c>
      <c r="AH123" s="604" t="s">
        <v>420</v>
      </c>
      <c r="AJ123" s="535" t="str">
        <f t="shared" si="16"/>
        <v>2016gestage&lt;2820-24</v>
      </c>
      <c r="AK123" s="604">
        <v>2016</v>
      </c>
      <c r="AL123" s="604" t="s">
        <v>450</v>
      </c>
      <c r="AM123" s="604" t="s">
        <v>453</v>
      </c>
      <c r="AN123" s="604" t="s">
        <v>375</v>
      </c>
      <c r="AO123" s="604" t="s">
        <v>130</v>
      </c>
      <c r="AP123" s="604">
        <v>51</v>
      </c>
      <c r="AR123" s="538" t="str">
        <f t="shared" si="17"/>
        <v>MaoriethfetalAuckland</v>
      </c>
      <c r="AS123" s="604">
        <v>2016</v>
      </c>
      <c r="AT123" s="604" t="s">
        <v>129</v>
      </c>
      <c r="AU123" s="604" t="s">
        <v>449</v>
      </c>
      <c r="AV123" s="604" t="s">
        <v>87</v>
      </c>
      <c r="AW123" s="604">
        <v>4</v>
      </c>
      <c r="AX123" s="604">
        <v>776</v>
      </c>
      <c r="AY123" s="606">
        <v>5.2</v>
      </c>
      <c r="AZ123" s="604" t="s">
        <v>420</v>
      </c>
      <c r="BB123" s="536" t="str">
        <f t="shared" si="18"/>
        <v>25-29agebirthsWest Coast</v>
      </c>
      <c r="BC123" s="604">
        <v>2016</v>
      </c>
      <c r="BD123" s="604" t="s">
        <v>131</v>
      </c>
      <c r="BE123" s="604" t="s">
        <v>453</v>
      </c>
      <c r="BF123" s="604" t="s">
        <v>100</v>
      </c>
      <c r="BG123" s="604">
        <v>100</v>
      </c>
      <c r="BH123" s="604" t="s">
        <v>445</v>
      </c>
      <c r="BR123" s="547" t="str">
        <f t="shared" si="19"/>
        <v>TotalTotalOverall</v>
      </c>
      <c r="BS123" s="604">
        <v>2016</v>
      </c>
      <c r="BT123" s="604" t="s">
        <v>44</v>
      </c>
      <c r="BU123" s="604" t="s">
        <v>44</v>
      </c>
      <c r="BV123" s="604" t="s">
        <v>104</v>
      </c>
      <c r="BW123" s="604">
        <v>241</v>
      </c>
      <c r="BY123" s="553" t="str">
        <f t="shared" si="20"/>
        <v>2000500-999bwtSIDS</v>
      </c>
      <c r="BZ123" s="604">
        <v>2000</v>
      </c>
      <c r="CA123" s="604" t="s">
        <v>428</v>
      </c>
      <c r="CB123" s="604" t="s">
        <v>447</v>
      </c>
      <c r="CC123" s="604">
        <v>0</v>
      </c>
      <c r="CD123" s="604" t="s">
        <v>32</v>
      </c>
      <c r="CF123" s="554" t="str">
        <f t="shared" si="21"/>
        <v>2016Pacific peoplesCanterburydhbSIDS</v>
      </c>
      <c r="CG123" s="604">
        <v>2016</v>
      </c>
      <c r="CH123" s="604" t="s">
        <v>320</v>
      </c>
      <c r="CI123" s="604" t="s">
        <v>101</v>
      </c>
      <c r="CJ123" s="604" t="s">
        <v>448</v>
      </c>
      <c r="CK123" s="604">
        <v>0</v>
      </c>
      <c r="CL123" s="604" t="s">
        <v>32</v>
      </c>
      <c r="CN123" s="575" t="str">
        <f t="shared" si="22"/>
        <v>2015R00–R99infant</v>
      </c>
      <c r="CO123" s="604">
        <v>2015</v>
      </c>
      <c r="CP123" s="604" t="s">
        <v>515</v>
      </c>
      <c r="CQ123" s="604">
        <v>19</v>
      </c>
      <c r="CR123" s="604">
        <v>7.1</v>
      </c>
      <c r="CS123" s="604">
        <v>0.31</v>
      </c>
      <c r="CT123" s="604" t="s">
        <v>437</v>
      </c>
      <c r="CV123" s="575"/>
    </row>
    <row r="124" spans="1:100">
      <c r="A124" s="502" t="str">
        <f t="shared" si="12"/>
        <v>2012deathsNeonatal</v>
      </c>
      <c r="B124" s="604">
        <v>2012</v>
      </c>
      <c r="C124" s="604" t="s">
        <v>496</v>
      </c>
      <c r="D124" s="604" t="s">
        <v>50</v>
      </c>
      <c r="E124" s="604">
        <v>194</v>
      </c>
      <c r="F124" s="604">
        <v>62035</v>
      </c>
      <c r="G124" s="604">
        <v>3.1</v>
      </c>
      <c r="I124" s="578" t="str">
        <f t="shared" si="13"/>
        <v>2010age25-29Fetal</v>
      </c>
      <c r="J124" s="604">
        <v>2010</v>
      </c>
      <c r="K124" s="604" t="s">
        <v>453</v>
      </c>
      <c r="L124" s="604" t="s">
        <v>131</v>
      </c>
      <c r="M124" s="604">
        <v>104</v>
      </c>
      <c r="N124" s="604">
        <v>16236</v>
      </c>
      <c r="O124" s="604">
        <v>6.4</v>
      </c>
      <c r="P124" s="604" t="s">
        <v>47</v>
      </c>
      <c r="Q124" s="499"/>
      <c r="R124" s="502" t="str">
        <f t="shared" si="14"/>
        <v>2013birthsbwt1000-1499</v>
      </c>
      <c r="S124" s="604">
        <v>2013</v>
      </c>
      <c r="T124" s="604" t="s">
        <v>445</v>
      </c>
      <c r="U124" s="604" t="s">
        <v>447</v>
      </c>
      <c r="V124" s="604" t="s">
        <v>429</v>
      </c>
      <c r="W124" s="604">
        <v>317</v>
      </c>
      <c r="Y124" s="535" t="str">
        <f t="shared" si="15"/>
        <v>2016gestage28-3120-24fetal</v>
      </c>
      <c r="Z124" s="604">
        <v>2016</v>
      </c>
      <c r="AA124" s="604" t="s">
        <v>450</v>
      </c>
      <c r="AB124" s="604" t="s">
        <v>453</v>
      </c>
      <c r="AC124" s="604" t="s">
        <v>395</v>
      </c>
      <c r="AD124" s="604" t="s">
        <v>130</v>
      </c>
      <c r="AE124" s="604">
        <v>6</v>
      </c>
      <c r="AF124" s="604">
        <v>66</v>
      </c>
      <c r="AG124" s="604">
        <v>83.3</v>
      </c>
      <c r="AH124" s="604" t="s">
        <v>420</v>
      </c>
      <c r="AJ124" s="535" t="str">
        <f t="shared" si="16"/>
        <v>2016gestage28-3120-24</v>
      </c>
      <c r="AK124" s="604">
        <v>2016</v>
      </c>
      <c r="AL124" s="604" t="s">
        <v>450</v>
      </c>
      <c r="AM124" s="604" t="s">
        <v>453</v>
      </c>
      <c r="AN124" s="604" t="s">
        <v>395</v>
      </c>
      <c r="AO124" s="604" t="s">
        <v>130</v>
      </c>
      <c r="AP124" s="604">
        <v>66</v>
      </c>
      <c r="AR124" s="538" t="str">
        <f t="shared" si="17"/>
        <v>Pacific peoplesethfetalAuckland</v>
      </c>
      <c r="AS124" s="604">
        <v>2016</v>
      </c>
      <c r="AT124" s="604" t="s">
        <v>320</v>
      </c>
      <c r="AU124" s="604" t="s">
        <v>449</v>
      </c>
      <c r="AV124" s="604" t="s">
        <v>87</v>
      </c>
      <c r="AW124" s="604">
        <v>6</v>
      </c>
      <c r="AX124" s="604">
        <v>944</v>
      </c>
      <c r="AY124" s="606">
        <v>6.4</v>
      </c>
      <c r="AZ124" s="604" t="s">
        <v>420</v>
      </c>
      <c r="BB124" s="536" t="str">
        <f t="shared" si="18"/>
        <v>30-34agebirthsWest Coast</v>
      </c>
      <c r="BC124" s="604">
        <v>2016</v>
      </c>
      <c r="BD124" s="604" t="s">
        <v>132</v>
      </c>
      <c r="BE124" s="604" t="s">
        <v>453</v>
      </c>
      <c r="BF124" s="604" t="s">
        <v>100</v>
      </c>
      <c r="BG124" s="604">
        <v>88</v>
      </c>
      <c r="BH124" s="604" t="s">
        <v>445</v>
      </c>
      <c r="BR124" s="547" t="str">
        <f t="shared" si="19"/>
        <v>Total&lt;20age</v>
      </c>
      <c r="BS124" s="604">
        <v>2016</v>
      </c>
      <c r="BT124" s="604" t="s">
        <v>44</v>
      </c>
      <c r="BU124" s="604" t="s">
        <v>339</v>
      </c>
      <c r="BV124" s="604" t="s">
        <v>453</v>
      </c>
      <c r="BW124" s="604">
        <v>27</v>
      </c>
      <c r="BY124" s="553" t="str">
        <f t="shared" si="20"/>
        <v>20001000-1499bwtSIDS</v>
      </c>
      <c r="BZ124" s="604">
        <v>2000</v>
      </c>
      <c r="CA124" s="604" t="s">
        <v>429</v>
      </c>
      <c r="CB124" s="604" t="s">
        <v>447</v>
      </c>
      <c r="CC124" s="604">
        <v>0</v>
      </c>
      <c r="CD124" s="604" t="s">
        <v>32</v>
      </c>
      <c r="CF124" s="554" t="str">
        <f t="shared" si="21"/>
        <v>2016European or OtherSouth CanterburydhbSIDS</v>
      </c>
      <c r="CG124" s="604">
        <v>2016</v>
      </c>
      <c r="CH124" s="604" t="s">
        <v>356</v>
      </c>
      <c r="CI124" s="604" t="s">
        <v>102</v>
      </c>
      <c r="CJ124" s="604" t="s">
        <v>448</v>
      </c>
      <c r="CK124" s="604">
        <v>0</v>
      </c>
      <c r="CL124" s="604" t="s">
        <v>32</v>
      </c>
      <c r="CN124" s="575" t="str">
        <f t="shared" si="22"/>
        <v>2015V00–Y98infant</v>
      </c>
      <c r="CO124" s="604">
        <v>2015</v>
      </c>
      <c r="CP124" s="604" t="s">
        <v>523</v>
      </c>
      <c r="CQ124" s="604">
        <v>28</v>
      </c>
      <c r="CR124" s="604">
        <v>10.5</v>
      </c>
      <c r="CS124" s="604">
        <v>0.45</v>
      </c>
      <c r="CT124" s="604" t="s">
        <v>437</v>
      </c>
      <c r="CV124" s="575"/>
    </row>
    <row r="125" spans="1:100">
      <c r="A125" s="502" t="str">
        <f t="shared" si="12"/>
        <v>2013deathsNeonatal</v>
      </c>
      <c r="B125" s="604">
        <v>2013</v>
      </c>
      <c r="C125" s="604" t="s">
        <v>496</v>
      </c>
      <c r="D125" s="604" t="s">
        <v>50</v>
      </c>
      <c r="E125" s="604">
        <v>198</v>
      </c>
      <c r="F125" s="604">
        <v>59701</v>
      </c>
      <c r="G125" s="604">
        <v>3.3</v>
      </c>
      <c r="I125" s="578" t="str">
        <f t="shared" si="13"/>
        <v>2010age30-34Fetal</v>
      </c>
      <c r="J125" s="604">
        <v>2010</v>
      </c>
      <c r="K125" s="604" t="s">
        <v>453</v>
      </c>
      <c r="L125" s="604" t="s">
        <v>132</v>
      </c>
      <c r="M125" s="604">
        <v>105</v>
      </c>
      <c r="N125" s="604">
        <v>17976</v>
      </c>
      <c r="O125" s="604">
        <v>5.8</v>
      </c>
      <c r="P125" s="604" t="s">
        <v>47</v>
      </c>
      <c r="Q125" s="499"/>
      <c r="R125" s="502" t="str">
        <f t="shared" si="14"/>
        <v>2013birthsbwt1500-2499</v>
      </c>
      <c r="S125" s="604">
        <v>2013</v>
      </c>
      <c r="T125" s="604" t="s">
        <v>445</v>
      </c>
      <c r="U125" s="604" t="s">
        <v>447</v>
      </c>
      <c r="V125" s="604" t="s">
        <v>430</v>
      </c>
      <c r="W125" s="604">
        <v>2952</v>
      </c>
      <c r="Y125" s="535" t="str">
        <f t="shared" si="15"/>
        <v>2016gestage32-3620-24fetal</v>
      </c>
      <c r="Z125" s="604">
        <v>2016</v>
      </c>
      <c r="AA125" s="604" t="s">
        <v>450</v>
      </c>
      <c r="AB125" s="604" t="s">
        <v>453</v>
      </c>
      <c r="AC125" s="604" t="s">
        <v>136</v>
      </c>
      <c r="AD125" s="604" t="s">
        <v>130</v>
      </c>
      <c r="AE125" s="604">
        <v>13</v>
      </c>
      <c r="AF125" s="604">
        <v>604</v>
      </c>
      <c r="AG125" s="604">
        <v>21.1</v>
      </c>
      <c r="AH125" s="604" t="s">
        <v>420</v>
      </c>
      <c r="AJ125" s="535" t="str">
        <f t="shared" si="16"/>
        <v>2016gestage32-3620-24</v>
      </c>
      <c r="AK125" s="604">
        <v>2016</v>
      </c>
      <c r="AL125" s="604" t="s">
        <v>450</v>
      </c>
      <c r="AM125" s="604" t="s">
        <v>453</v>
      </c>
      <c r="AN125" s="604" t="s">
        <v>136</v>
      </c>
      <c r="AO125" s="604" t="s">
        <v>130</v>
      </c>
      <c r="AP125" s="604">
        <v>604</v>
      </c>
      <c r="AR125" s="538" t="str">
        <f t="shared" si="17"/>
        <v>AsianethfetalCounties Manukau</v>
      </c>
      <c r="AS125" s="604">
        <v>2016</v>
      </c>
      <c r="AT125" s="604" t="s">
        <v>355</v>
      </c>
      <c r="AU125" s="604" t="s">
        <v>449</v>
      </c>
      <c r="AV125" s="604" t="s">
        <v>88</v>
      </c>
      <c r="AW125" s="604">
        <v>13</v>
      </c>
      <c r="AX125" s="604">
        <v>2247</v>
      </c>
      <c r="AY125" s="606">
        <v>5.8</v>
      </c>
      <c r="AZ125" s="604" t="s">
        <v>420</v>
      </c>
      <c r="BB125" s="536" t="str">
        <f t="shared" si="18"/>
        <v>35-39agebirthsWest Coast</v>
      </c>
      <c r="BC125" s="604">
        <v>2016</v>
      </c>
      <c r="BD125" s="604" t="s">
        <v>133</v>
      </c>
      <c r="BE125" s="604" t="s">
        <v>453</v>
      </c>
      <c r="BF125" s="604" t="s">
        <v>100</v>
      </c>
      <c r="BG125" s="604">
        <v>44</v>
      </c>
      <c r="BH125" s="604" t="s">
        <v>445</v>
      </c>
      <c r="BR125" s="547" t="str">
        <f t="shared" si="19"/>
        <v>Total20-24age</v>
      </c>
      <c r="BS125" s="604">
        <v>2016</v>
      </c>
      <c r="BT125" s="604" t="s">
        <v>44</v>
      </c>
      <c r="BU125" s="604" t="s">
        <v>130</v>
      </c>
      <c r="BV125" s="604" t="s">
        <v>453</v>
      </c>
      <c r="BW125" s="604">
        <v>61</v>
      </c>
      <c r="BY125" s="553" t="str">
        <f t="shared" si="20"/>
        <v>20001500-2499bwtSIDS</v>
      </c>
      <c r="BZ125" s="604">
        <v>2000</v>
      </c>
      <c r="CA125" s="604" t="s">
        <v>430</v>
      </c>
      <c r="CB125" s="604" t="s">
        <v>447</v>
      </c>
      <c r="CC125" s="604">
        <v>15</v>
      </c>
      <c r="CD125" s="604" t="s">
        <v>32</v>
      </c>
      <c r="CF125" s="554" t="str">
        <f t="shared" si="21"/>
        <v>2016MaoriSouth CanterburydhbSIDS</v>
      </c>
      <c r="CG125" s="604">
        <v>2016</v>
      </c>
      <c r="CH125" s="604" t="s">
        <v>129</v>
      </c>
      <c r="CI125" s="604" t="s">
        <v>102</v>
      </c>
      <c r="CJ125" s="604" t="s">
        <v>448</v>
      </c>
      <c r="CK125" s="604">
        <v>0</v>
      </c>
      <c r="CL125" s="604" t="s">
        <v>32</v>
      </c>
      <c r="CN125" s="575" t="str">
        <f t="shared" si="22"/>
        <v>2012AllChptrsinfant</v>
      </c>
      <c r="CO125" s="604">
        <v>2012</v>
      </c>
      <c r="CP125" s="604" t="s">
        <v>518</v>
      </c>
      <c r="CQ125" s="604">
        <v>294</v>
      </c>
      <c r="CR125" s="604">
        <v>100</v>
      </c>
      <c r="CS125" s="604">
        <v>4.74</v>
      </c>
      <c r="CT125" s="604" t="s">
        <v>437</v>
      </c>
      <c r="CV125" s="575"/>
    </row>
    <row r="126" spans="1:100">
      <c r="A126" s="502" t="str">
        <f t="shared" si="12"/>
        <v>2014deathsNeonatal</v>
      </c>
      <c r="B126" s="604">
        <v>2014</v>
      </c>
      <c r="C126" s="604" t="s">
        <v>496</v>
      </c>
      <c r="D126" s="604" t="s">
        <v>50</v>
      </c>
      <c r="E126" s="604">
        <v>240</v>
      </c>
      <c r="F126" s="604">
        <v>58285</v>
      </c>
      <c r="G126" s="604">
        <v>4.0999999999999996</v>
      </c>
      <c r="I126" s="578" t="str">
        <f t="shared" si="13"/>
        <v>2010age35-39Fetal</v>
      </c>
      <c r="J126" s="604">
        <v>2010</v>
      </c>
      <c r="K126" s="604" t="s">
        <v>453</v>
      </c>
      <c r="L126" s="604" t="s">
        <v>133</v>
      </c>
      <c r="M126" s="604">
        <v>88</v>
      </c>
      <c r="N126" s="604">
        <v>11501</v>
      </c>
      <c r="O126" s="604">
        <v>7.7</v>
      </c>
      <c r="P126" s="604" t="s">
        <v>47</v>
      </c>
      <c r="Q126" s="499"/>
      <c r="R126" s="502" t="str">
        <f t="shared" si="14"/>
        <v>2013birthsbwt2500-4499</v>
      </c>
      <c r="S126" s="604">
        <v>2013</v>
      </c>
      <c r="T126" s="604" t="s">
        <v>445</v>
      </c>
      <c r="U126" s="604" t="s">
        <v>447</v>
      </c>
      <c r="V126" s="604" t="s">
        <v>431</v>
      </c>
      <c r="W126" s="604">
        <v>54612</v>
      </c>
      <c r="Y126" s="535" t="str">
        <f t="shared" si="15"/>
        <v>2016gestage37-4120-24fetal</v>
      </c>
      <c r="Z126" s="604">
        <v>2016</v>
      </c>
      <c r="AA126" s="604" t="s">
        <v>450</v>
      </c>
      <c r="AB126" s="604" t="s">
        <v>453</v>
      </c>
      <c r="AC126" s="604" t="s">
        <v>137</v>
      </c>
      <c r="AD126" s="604" t="s">
        <v>130</v>
      </c>
      <c r="AE126" s="604">
        <v>20</v>
      </c>
      <c r="AF126" s="604">
        <v>9027</v>
      </c>
      <c r="AG126" s="604">
        <v>2.2000000000000002</v>
      </c>
      <c r="AH126" s="604" t="s">
        <v>420</v>
      </c>
      <c r="AJ126" s="535" t="str">
        <f t="shared" si="16"/>
        <v>2016gestage37-4120-24</v>
      </c>
      <c r="AK126" s="604">
        <v>2016</v>
      </c>
      <c r="AL126" s="604" t="s">
        <v>450</v>
      </c>
      <c r="AM126" s="604" t="s">
        <v>453</v>
      </c>
      <c r="AN126" s="604" t="s">
        <v>137</v>
      </c>
      <c r="AO126" s="604" t="s">
        <v>130</v>
      </c>
      <c r="AP126" s="604">
        <v>9027</v>
      </c>
      <c r="AR126" s="538" t="str">
        <f t="shared" si="17"/>
        <v>European or OtherethfetalCounties Manukau</v>
      </c>
      <c r="AS126" s="604">
        <v>2016</v>
      </c>
      <c r="AT126" s="604" t="s">
        <v>356</v>
      </c>
      <c r="AU126" s="604" t="s">
        <v>449</v>
      </c>
      <c r="AV126" s="604" t="s">
        <v>88</v>
      </c>
      <c r="AW126" s="604">
        <v>12</v>
      </c>
      <c r="AX126" s="604">
        <v>1706</v>
      </c>
      <c r="AY126" s="606">
        <v>7</v>
      </c>
      <c r="AZ126" s="604" t="s">
        <v>420</v>
      </c>
      <c r="BB126" s="536" t="str">
        <f t="shared" si="18"/>
        <v>40+agebirthsWest Coast</v>
      </c>
      <c r="BC126" s="604">
        <v>2016</v>
      </c>
      <c r="BD126" s="604" t="s">
        <v>134</v>
      </c>
      <c r="BE126" s="604" t="s">
        <v>453</v>
      </c>
      <c r="BF126" s="604" t="s">
        <v>100</v>
      </c>
      <c r="BG126" s="604">
        <v>13</v>
      </c>
      <c r="BH126" s="604" t="s">
        <v>445</v>
      </c>
      <c r="BR126" s="547" t="str">
        <f t="shared" si="19"/>
        <v>Total25-29age</v>
      </c>
      <c r="BS126" s="604">
        <v>2016</v>
      </c>
      <c r="BT126" s="604" t="s">
        <v>44</v>
      </c>
      <c r="BU126" s="604" t="s">
        <v>131</v>
      </c>
      <c r="BV126" s="604" t="s">
        <v>453</v>
      </c>
      <c r="BW126" s="604">
        <v>52</v>
      </c>
      <c r="BY126" s="553" t="str">
        <f t="shared" si="20"/>
        <v>20002500-4499bwtSIDS</v>
      </c>
      <c r="BZ126" s="604">
        <v>2000</v>
      </c>
      <c r="CA126" s="604" t="s">
        <v>431</v>
      </c>
      <c r="CB126" s="604" t="s">
        <v>447</v>
      </c>
      <c r="CC126" s="604">
        <v>48</v>
      </c>
      <c r="CD126" s="604" t="s">
        <v>32</v>
      </c>
      <c r="CF126" s="554" t="str">
        <f t="shared" si="21"/>
        <v>2016AsianSoutherndhbSIDS</v>
      </c>
      <c r="CG126" s="604">
        <v>2016</v>
      </c>
      <c r="CH126" s="604" t="s">
        <v>355</v>
      </c>
      <c r="CI126" s="604" t="s">
        <v>103</v>
      </c>
      <c r="CJ126" s="604" t="s">
        <v>448</v>
      </c>
      <c r="CK126" s="604">
        <v>0</v>
      </c>
      <c r="CL126" s="604" t="s">
        <v>32</v>
      </c>
      <c r="CN126" s="575" t="str">
        <f t="shared" si="22"/>
        <v>2013AllChptrsinfant</v>
      </c>
      <c r="CO126" s="604">
        <v>2013</v>
      </c>
      <c r="CP126" s="604" t="s">
        <v>518</v>
      </c>
      <c r="CQ126" s="604">
        <v>296</v>
      </c>
      <c r="CR126" s="604">
        <v>100</v>
      </c>
      <c r="CS126" s="604">
        <v>4.96</v>
      </c>
      <c r="CT126" s="604" t="s">
        <v>437</v>
      </c>
      <c r="CV126" s="575"/>
    </row>
    <row r="127" spans="1:100">
      <c r="A127" s="502" t="str">
        <f t="shared" si="12"/>
        <v>2015deathsNeonatal</v>
      </c>
      <c r="B127" s="604">
        <v>2015</v>
      </c>
      <c r="C127" s="604" t="s">
        <v>496</v>
      </c>
      <c r="D127" s="604" t="s">
        <v>50</v>
      </c>
      <c r="E127" s="604">
        <v>175</v>
      </c>
      <c r="F127" s="604">
        <v>62122</v>
      </c>
      <c r="G127" s="604">
        <v>2.8</v>
      </c>
      <c r="I127" s="578" t="str">
        <f t="shared" si="13"/>
        <v>2010age40+Fetal</v>
      </c>
      <c r="J127" s="604">
        <v>2010</v>
      </c>
      <c r="K127" s="604" t="s">
        <v>453</v>
      </c>
      <c r="L127" s="604" t="s">
        <v>134</v>
      </c>
      <c r="M127" s="604">
        <v>26</v>
      </c>
      <c r="N127" s="604">
        <v>2675</v>
      </c>
      <c r="O127" s="604">
        <v>9.6999999999999993</v>
      </c>
      <c r="P127" s="604" t="s">
        <v>47</v>
      </c>
      <c r="Q127" s="499"/>
      <c r="R127" s="502" t="str">
        <f t="shared" si="14"/>
        <v>2013birthsbwt4500+</v>
      </c>
      <c r="S127" s="604">
        <v>2013</v>
      </c>
      <c r="T127" s="604" t="s">
        <v>445</v>
      </c>
      <c r="U127" s="604" t="s">
        <v>447</v>
      </c>
      <c r="V127" s="604" t="s">
        <v>432</v>
      </c>
      <c r="W127" s="604">
        <v>1508</v>
      </c>
      <c r="Y127" s="535" t="str">
        <f t="shared" si="15"/>
        <v>2016gestage42+20-24fetal</v>
      </c>
      <c r="Z127" s="604">
        <v>2016</v>
      </c>
      <c r="AA127" s="604" t="s">
        <v>450</v>
      </c>
      <c r="AB127" s="604" t="s">
        <v>453</v>
      </c>
      <c r="AC127" s="604" t="s">
        <v>138</v>
      </c>
      <c r="AD127" s="604" t="s">
        <v>130</v>
      </c>
      <c r="AE127" s="604">
        <v>0</v>
      </c>
      <c r="AF127" s="604">
        <v>180</v>
      </c>
      <c r="AG127" s="604">
        <v>0</v>
      </c>
      <c r="AH127" s="604" t="s">
        <v>420</v>
      </c>
      <c r="AJ127" s="535" t="str">
        <f t="shared" si="16"/>
        <v>2016gestage42+20-24</v>
      </c>
      <c r="AK127" s="604">
        <v>2016</v>
      </c>
      <c r="AL127" s="604" t="s">
        <v>450</v>
      </c>
      <c r="AM127" s="604" t="s">
        <v>453</v>
      </c>
      <c r="AN127" s="604" t="s">
        <v>138</v>
      </c>
      <c r="AO127" s="604" t="s">
        <v>130</v>
      </c>
      <c r="AP127" s="604">
        <v>180</v>
      </c>
      <c r="AR127" s="538" t="str">
        <f t="shared" si="17"/>
        <v>MaoriethfetalCounties Manukau</v>
      </c>
      <c r="AS127" s="604">
        <v>2016</v>
      </c>
      <c r="AT127" s="604" t="s">
        <v>129</v>
      </c>
      <c r="AU127" s="604" t="s">
        <v>449</v>
      </c>
      <c r="AV127" s="604" t="s">
        <v>88</v>
      </c>
      <c r="AW127" s="604">
        <v>16</v>
      </c>
      <c r="AX127" s="604">
        <v>2163</v>
      </c>
      <c r="AY127" s="606">
        <v>7.4</v>
      </c>
      <c r="AZ127" s="604" t="s">
        <v>420</v>
      </c>
      <c r="BB127" s="536" t="str">
        <f t="shared" si="18"/>
        <v>&lt;20agebirthsCanterbury</v>
      </c>
      <c r="BC127" s="604">
        <v>2016</v>
      </c>
      <c r="BD127" s="604" t="s">
        <v>339</v>
      </c>
      <c r="BE127" s="604" t="s">
        <v>453</v>
      </c>
      <c r="BF127" s="604" t="s">
        <v>101</v>
      </c>
      <c r="BG127" s="604">
        <v>192</v>
      </c>
      <c r="BH127" s="604" t="s">
        <v>445</v>
      </c>
      <c r="BR127" s="547" t="str">
        <f t="shared" si="19"/>
        <v>Total30-34age</v>
      </c>
      <c r="BS127" s="604">
        <v>2016</v>
      </c>
      <c r="BT127" s="604" t="s">
        <v>44</v>
      </c>
      <c r="BU127" s="604" t="s">
        <v>132</v>
      </c>
      <c r="BV127" s="604" t="s">
        <v>453</v>
      </c>
      <c r="BW127" s="604">
        <v>59</v>
      </c>
      <c r="BY127" s="553" t="str">
        <f t="shared" si="20"/>
        <v>20004500+bwtSIDS</v>
      </c>
      <c r="BZ127" s="604">
        <v>2000</v>
      </c>
      <c r="CA127" s="604" t="s">
        <v>432</v>
      </c>
      <c r="CB127" s="604" t="s">
        <v>447</v>
      </c>
      <c r="CC127" s="604">
        <v>0</v>
      </c>
      <c r="CD127" s="604" t="s">
        <v>32</v>
      </c>
      <c r="CF127" s="554" t="str">
        <f t="shared" si="21"/>
        <v>2016European or OtherSoutherndhbSIDS</v>
      </c>
      <c r="CG127" s="604">
        <v>2016</v>
      </c>
      <c r="CH127" s="604" t="s">
        <v>356</v>
      </c>
      <c r="CI127" s="604" t="s">
        <v>103</v>
      </c>
      <c r="CJ127" s="604" t="s">
        <v>448</v>
      </c>
      <c r="CK127" s="604">
        <v>0</v>
      </c>
      <c r="CL127" s="604" t="s">
        <v>32</v>
      </c>
      <c r="CN127" s="575" t="str">
        <f t="shared" si="22"/>
        <v>2014AllChptrsinfant</v>
      </c>
      <c r="CO127" s="604">
        <v>2014</v>
      </c>
      <c r="CP127" s="604" t="s">
        <v>518</v>
      </c>
      <c r="CQ127" s="604">
        <v>333</v>
      </c>
      <c r="CR127" s="604">
        <v>100</v>
      </c>
      <c r="CS127" s="604">
        <v>5.71</v>
      </c>
      <c r="CT127" s="604" t="s">
        <v>437</v>
      </c>
      <c r="CV127" s="575"/>
    </row>
    <row r="128" spans="1:100">
      <c r="A128" s="502" t="str">
        <f t="shared" si="12"/>
        <v>2016deathsNeonatal</v>
      </c>
      <c r="B128" s="604">
        <v>2016</v>
      </c>
      <c r="C128" s="604" t="s">
        <v>496</v>
      </c>
      <c r="D128" s="604" t="s">
        <v>50</v>
      </c>
      <c r="E128" s="604">
        <v>161</v>
      </c>
      <c r="F128" s="604">
        <v>60436</v>
      </c>
      <c r="G128" s="604">
        <v>2.7</v>
      </c>
      <c r="I128" s="578" t="str">
        <f t="shared" si="13"/>
        <v>2010ageUnknownFetal</v>
      </c>
      <c r="J128" s="604">
        <v>2010</v>
      </c>
      <c r="K128" s="604" t="s">
        <v>453</v>
      </c>
      <c r="L128" s="604" t="s">
        <v>63</v>
      </c>
      <c r="M128" s="604">
        <v>0</v>
      </c>
      <c r="N128" s="604">
        <v>0</v>
      </c>
      <c r="O128" s="604" t="s">
        <v>119</v>
      </c>
      <c r="P128" s="604" t="s">
        <v>47</v>
      </c>
      <c r="Q128" s="499"/>
      <c r="R128" s="502" t="str">
        <f t="shared" si="14"/>
        <v>2013birthsbwtUnknown</v>
      </c>
      <c r="S128" s="604">
        <v>2013</v>
      </c>
      <c r="T128" s="604" t="s">
        <v>445</v>
      </c>
      <c r="U128" s="604" t="s">
        <v>447</v>
      </c>
      <c r="V128" s="604" t="s">
        <v>63</v>
      </c>
      <c r="W128" s="604">
        <v>31</v>
      </c>
      <c r="Y128" s="535" t="str">
        <f t="shared" si="15"/>
        <v>2016gestageUnknown20-24fetal</v>
      </c>
      <c r="Z128" s="604">
        <v>2016</v>
      </c>
      <c r="AA128" s="604" t="s">
        <v>450</v>
      </c>
      <c r="AB128" s="604" t="s">
        <v>453</v>
      </c>
      <c r="AC128" s="604" t="s">
        <v>63</v>
      </c>
      <c r="AD128" s="604" t="s">
        <v>130</v>
      </c>
      <c r="AE128" s="604">
        <v>2</v>
      </c>
      <c r="AF128" s="604">
        <v>6</v>
      </c>
      <c r="AG128" s="604" t="s">
        <v>119</v>
      </c>
      <c r="AH128" s="604" t="s">
        <v>420</v>
      </c>
      <c r="AJ128" s="535" t="str">
        <f t="shared" si="16"/>
        <v>2016gestageUnknown20-24</v>
      </c>
      <c r="AK128" s="604">
        <v>2016</v>
      </c>
      <c r="AL128" s="604" t="s">
        <v>450</v>
      </c>
      <c r="AM128" s="604" t="s">
        <v>453</v>
      </c>
      <c r="AN128" s="604" t="s">
        <v>63</v>
      </c>
      <c r="AO128" s="604" t="s">
        <v>130</v>
      </c>
      <c r="AP128" s="604">
        <v>6</v>
      </c>
      <c r="AR128" s="538" t="str">
        <f t="shared" si="17"/>
        <v>Pacific peoplesethfetalCounties Manukau</v>
      </c>
      <c r="AS128" s="604">
        <v>2016</v>
      </c>
      <c r="AT128" s="604" t="s">
        <v>320</v>
      </c>
      <c r="AU128" s="604" t="s">
        <v>449</v>
      </c>
      <c r="AV128" s="604" t="s">
        <v>88</v>
      </c>
      <c r="AW128" s="604">
        <v>25</v>
      </c>
      <c r="AX128" s="604">
        <v>2325</v>
      </c>
      <c r="AY128" s="606">
        <v>10.8</v>
      </c>
      <c r="AZ128" s="604" t="s">
        <v>420</v>
      </c>
      <c r="BB128" s="536" t="str">
        <f t="shared" si="18"/>
        <v>20-24agebirthsCanterbury</v>
      </c>
      <c r="BC128" s="604">
        <v>2016</v>
      </c>
      <c r="BD128" s="604" t="s">
        <v>130</v>
      </c>
      <c r="BE128" s="604" t="s">
        <v>453</v>
      </c>
      <c r="BF128" s="604" t="s">
        <v>101</v>
      </c>
      <c r="BG128" s="604">
        <v>858</v>
      </c>
      <c r="BH128" s="604" t="s">
        <v>445</v>
      </c>
      <c r="BR128" s="547" t="str">
        <f t="shared" si="19"/>
        <v>Total35-39age</v>
      </c>
      <c r="BS128" s="604">
        <v>2016</v>
      </c>
      <c r="BT128" s="604" t="s">
        <v>44</v>
      </c>
      <c r="BU128" s="604" t="s">
        <v>133</v>
      </c>
      <c r="BV128" s="604" t="s">
        <v>453</v>
      </c>
      <c r="BW128" s="604">
        <v>26</v>
      </c>
      <c r="BY128" s="553" t="str">
        <f t="shared" si="20"/>
        <v>2000UnknownbwtSIDS</v>
      </c>
      <c r="BZ128" s="604">
        <v>2000</v>
      </c>
      <c r="CA128" s="604" t="s">
        <v>63</v>
      </c>
      <c r="CB128" s="604" t="s">
        <v>447</v>
      </c>
      <c r="CC128" s="604">
        <v>0</v>
      </c>
      <c r="CD128" s="604" t="s">
        <v>32</v>
      </c>
      <c r="CF128" s="554" t="str">
        <f t="shared" si="21"/>
        <v>2016MaoriSoutherndhbSIDS</v>
      </c>
      <c r="CG128" s="604">
        <v>2016</v>
      </c>
      <c r="CH128" s="604" t="s">
        <v>129</v>
      </c>
      <c r="CI128" s="604" t="s">
        <v>103</v>
      </c>
      <c r="CJ128" s="604" t="s">
        <v>448</v>
      </c>
      <c r="CK128" s="604">
        <v>2</v>
      </c>
      <c r="CL128" s="604" t="s">
        <v>32</v>
      </c>
      <c r="CN128" s="575" t="str">
        <f t="shared" si="22"/>
        <v>2015AllChptrsinfant</v>
      </c>
      <c r="CO128" s="604">
        <v>2015</v>
      </c>
      <c r="CP128" s="604" t="s">
        <v>518</v>
      </c>
      <c r="CQ128" s="604">
        <v>266</v>
      </c>
      <c r="CR128" s="604">
        <v>100</v>
      </c>
      <c r="CS128" s="604">
        <v>4.28</v>
      </c>
      <c r="CT128" s="604" t="s">
        <v>437</v>
      </c>
      <c r="CV128" s="575"/>
    </row>
    <row r="129" spans="1:100">
      <c r="A129" s="502" t="str">
        <f t="shared" si="12"/>
        <v>1996deathsInfant</v>
      </c>
      <c r="B129" s="604">
        <v>1996</v>
      </c>
      <c r="C129" s="604" t="s">
        <v>496</v>
      </c>
      <c r="D129" s="604" t="s">
        <v>48</v>
      </c>
      <c r="E129" s="604">
        <v>417</v>
      </c>
      <c r="F129" s="604">
        <v>57434</v>
      </c>
      <c r="G129" s="604">
        <v>7.3</v>
      </c>
      <c r="I129" s="578" t="str">
        <f t="shared" si="13"/>
        <v>2011age&lt;20Fetal</v>
      </c>
      <c r="J129" s="604">
        <v>2011</v>
      </c>
      <c r="K129" s="604" t="s">
        <v>453</v>
      </c>
      <c r="L129" s="604" t="s">
        <v>339</v>
      </c>
      <c r="M129" s="604">
        <v>34</v>
      </c>
      <c r="N129" s="604">
        <v>4099</v>
      </c>
      <c r="O129" s="604">
        <v>8.3000000000000007</v>
      </c>
      <c r="P129" s="604" t="s">
        <v>47</v>
      </c>
      <c r="Q129" s="499"/>
      <c r="R129" s="502" t="str">
        <f t="shared" si="14"/>
        <v>2014birthsbwt&lt;500</v>
      </c>
      <c r="S129" s="604">
        <v>2014</v>
      </c>
      <c r="T129" s="604" t="s">
        <v>445</v>
      </c>
      <c r="U129" s="604" t="s">
        <v>447</v>
      </c>
      <c r="V129" s="604" t="s">
        <v>427</v>
      </c>
      <c r="W129" s="604">
        <v>95</v>
      </c>
      <c r="Y129" s="535" t="str">
        <f t="shared" si="15"/>
        <v>2016gestage&lt;2825-29fetal</v>
      </c>
      <c r="Z129" s="604">
        <v>2016</v>
      </c>
      <c r="AA129" s="604" t="s">
        <v>450</v>
      </c>
      <c r="AB129" s="604" t="s">
        <v>453</v>
      </c>
      <c r="AC129" s="604" t="s">
        <v>375</v>
      </c>
      <c r="AD129" s="604" t="s">
        <v>131</v>
      </c>
      <c r="AE129" s="604">
        <v>66</v>
      </c>
      <c r="AF129" s="604">
        <v>66</v>
      </c>
      <c r="AG129" s="604">
        <v>500</v>
      </c>
      <c r="AH129" s="604" t="s">
        <v>420</v>
      </c>
      <c r="AJ129" s="535" t="str">
        <f t="shared" si="16"/>
        <v>2016gestage&lt;2825-29</v>
      </c>
      <c r="AK129" s="604">
        <v>2016</v>
      </c>
      <c r="AL129" s="604" t="s">
        <v>450</v>
      </c>
      <c r="AM129" s="604" t="s">
        <v>453</v>
      </c>
      <c r="AN129" s="604" t="s">
        <v>375</v>
      </c>
      <c r="AO129" s="604" t="s">
        <v>131</v>
      </c>
      <c r="AP129" s="604">
        <v>66</v>
      </c>
      <c r="AR129" s="538" t="str">
        <f t="shared" si="17"/>
        <v>AsianethfetalWaikato</v>
      </c>
      <c r="AS129" s="604">
        <v>2016</v>
      </c>
      <c r="AT129" s="604" t="s">
        <v>355</v>
      </c>
      <c r="AU129" s="604" t="s">
        <v>449</v>
      </c>
      <c r="AV129" s="604" t="s">
        <v>89</v>
      </c>
      <c r="AW129" s="604">
        <v>8</v>
      </c>
      <c r="AX129" s="604">
        <v>677</v>
      </c>
      <c r="AY129" s="606">
        <v>11.8</v>
      </c>
      <c r="AZ129" s="604" t="s">
        <v>420</v>
      </c>
      <c r="BB129" s="536" t="str">
        <f t="shared" si="18"/>
        <v>25-29agebirthsCanterbury</v>
      </c>
      <c r="BC129" s="604">
        <v>2016</v>
      </c>
      <c r="BD129" s="604" t="s">
        <v>131</v>
      </c>
      <c r="BE129" s="604" t="s">
        <v>453</v>
      </c>
      <c r="BF129" s="604" t="s">
        <v>101</v>
      </c>
      <c r="BG129" s="604">
        <v>1811</v>
      </c>
      <c r="BH129" s="604" t="s">
        <v>445</v>
      </c>
      <c r="BR129" s="547" t="str">
        <f t="shared" si="19"/>
        <v>Total40+age</v>
      </c>
      <c r="BS129" s="604">
        <v>2016</v>
      </c>
      <c r="BT129" s="604" t="s">
        <v>44</v>
      </c>
      <c r="BU129" s="604" t="s">
        <v>134</v>
      </c>
      <c r="BV129" s="604" t="s">
        <v>453</v>
      </c>
      <c r="BW129" s="604">
        <v>15</v>
      </c>
      <c r="BY129" s="553" t="str">
        <f t="shared" si="20"/>
        <v>2001&lt;500bwtSIDS</v>
      </c>
      <c r="BZ129" s="604">
        <v>2001</v>
      </c>
      <c r="CA129" s="604" t="s">
        <v>427</v>
      </c>
      <c r="CB129" s="604" t="s">
        <v>447</v>
      </c>
      <c r="CC129" s="604">
        <v>0</v>
      </c>
      <c r="CD129" s="604" t="s">
        <v>32</v>
      </c>
      <c r="CF129" s="554" t="str">
        <f t="shared" si="21"/>
        <v>2016Pacific peoplesSoutherndhbSIDS</v>
      </c>
      <c r="CG129" s="604">
        <v>2016</v>
      </c>
      <c r="CH129" s="604" t="s">
        <v>320</v>
      </c>
      <c r="CI129" s="604" t="s">
        <v>103</v>
      </c>
      <c r="CJ129" s="604" t="s">
        <v>448</v>
      </c>
      <c r="CK129" s="604">
        <v>0</v>
      </c>
      <c r="CL129" s="604" t="s">
        <v>32</v>
      </c>
      <c r="CV129" s="575"/>
    </row>
    <row r="130" spans="1:100">
      <c r="A130" s="502" t="str">
        <f t="shared" si="12"/>
        <v>1997deathsInfant</v>
      </c>
      <c r="B130" s="604">
        <v>1997</v>
      </c>
      <c r="C130" s="604" t="s">
        <v>496</v>
      </c>
      <c r="D130" s="604" t="s">
        <v>48</v>
      </c>
      <c r="E130" s="604">
        <v>391</v>
      </c>
      <c r="F130" s="604">
        <v>57734</v>
      </c>
      <c r="G130" s="604">
        <v>6.8</v>
      </c>
      <c r="I130" s="578" t="str">
        <f t="shared" si="13"/>
        <v>2011age20-24Fetal</v>
      </c>
      <c r="J130" s="604">
        <v>2011</v>
      </c>
      <c r="K130" s="604" t="s">
        <v>453</v>
      </c>
      <c r="L130" s="604" t="s">
        <v>130</v>
      </c>
      <c r="M130" s="604">
        <v>84</v>
      </c>
      <c r="N130" s="604">
        <v>11688</v>
      </c>
      <c r="O130" s="604">
        <v>7.2</v>
      </c>
      <c r="P130" s="604" t="s">
        <v>47</v>
      </c>
      <c r="Q130" s="499"/>
      <c r="R130" s="502" t="str">
        <f t="shared" si="14"/>
        <v>2014birthsbwt500-999</v>
      </c>
      <c r="S130" s="604">
        <v>2014</v>
      </c>
      <c r="T130" s="604" t="s">
        <v>445</v>
      </c>
      <c r="U130" s="604" t="s">
        <v>447</v>
      </c>
      <c r="V130" s="604" t="s">
        <v>428</v>
      </c>
      <c r="W130" s="604">
        <v>215</v>
      </c>
      <c r="Y130" s="535" t="str">
        <f t="shared" si="15"/>
        <v>2016gestage28-3125-29fetal</v>
      </c>
      <c r="Z130" s="604">
        <v>2016</v>
      </c>
      <c r="AA130" s="604" t="s">
        <v>450</v>
      </c>
      <c r="AB130" s="604" t="s">
        <v>453</v>
      </c>
      <c r="AC130" s="604" t="s">
        <v>395</v>
      </c>
      <c r="AD130" s="604" t="s">
        <v>131</v>
      </c>
      <c r="AE130" s="604">
        <v>10</v>
      </c>
      <c r="AF130" s="604">
        <v>105</v>
      </c>
      <c r="AG130" s="604">
        <v>87</v>
      </c>
      <c r="AH130" s="604" t="s">
        <v>420</v>
      </c>
      <c r="AJ130" s="535" t="str">
        <f t="shared" si="16"/>
        <v>2016gestage28-3125-29</v>
      </c>
      <c r="AK130" s="604">
        <v>2016</v>
      </c>
      <c r="AL130" s="604" t="s">
        <v>450</v>
      </c>
      <c r="AM130" s="604" t="s">
        <v>453</v>
      </c>
      <c r="AN130" s="604" t="s">
        <v>395</v>
      </c>
      <c r="AO130" s="604" t="s">
        <v>131</v>
      </c>
      <c r="AP130" s="604">
        <v>105</v>
      </c>
      <c r="AR130" s="538" t="str">
        <f t="shared" si="17"/>
        <v>European or OtherethfetalWaikato</v>
      </c>
      <c r="AS130" s="604">
        <v>2016</v>
      </c>
      <c r="AT130" s="604" t="s">
        <v>356</v>
      </c>
      <c r="AU130" s="604" t="s">
        <v>449</v>
      </c>
      <c r="AV130" s="604" t="s">
        <v>89</v>
      </c>
      <c r="AW130" s="604">
        <v>28</v>
      </c>
      <c r="AX130" s="604">
        <v>2401</v>
      </c>
      <c r="AY130" s="606">
        <v>11.7</v>
      </c>
      <c r="AZ130" s="604" t="s">
        <v>420</v>
      </c>
      <c r="BB130" s="536" t="str">
        <f t="shared" si="18"/>
        <v>30-34agebirthsCanterbury</v>
      </c>
      <c r="BC130" s="604">
        <v>2016</v>
      </c>
      <c r="BD130" s="604" t="s">
        <v>132</v>
      </c>
      <c r="BE130" s="604" t="s">
        <v>453</v>
      </c>
      <c r="BF130" s="604" t="s">
        <v>101</v>
      </c>
      <c r="BG130" s="604">
        <v>2148</v>
      </c>
      <c r="BH130" s="604" t="s">
        <v>445</v>
      </c>
      <c r="BR130" s="547" t="str">
        <f t="shared" si="19"/>
        <v>TotalUnknownage</v>
      </c>
      <c r="BS130" s="604">
        <v>2016</v>
      </c>
      <c r="BT130" s="604" t="s">
        <v>44</v>
      </c>
      <c r="BU130" s="604" t="s">
        <v>63</v>
      </c>
      <c r="BV130" s="604" t="s">
        <v>453</v>
      </c>
      <c r="BW130" s="604">
        <v>1</v>
      </c>
      <c r="BY130" s="553" t="str">
        <f t="shared" si="20"/>
        <v>2001500-999bwtSIDS</v>
      </c>
      <c r="BZ130" s="604">
        <v>2001</v>
      </c>
      <c r="CA130" s="604" t="s">
        <v>428</v>
      </c>
      <c r="CB130" s="604" t="s">
        <v>447</v>
      </c>
      <c r="CC130" s="604">
        <v>0</v>
      </c>
      <c r="CD130" s="604" t="s">
        <v>32</v>
      </c>
      <c r="CF130" s="554" t="str">
        <f t="shared" si="21"/>
        <v>2016MaoriUnknowndhbSIDS</v>
      </c>
      <c r="CG130" s="604">
        <v>2016</v>
      </c>
      <c r="CH130" s="604" t="s">
        <v>129</v>
      </c>
      <c r="CI130" s="604" t="s">
        <v>63</v>
      </c>
      <c r="CJ130" s="604" t="s">
        <v>448</v>
      </c>
      <c r="CK130" s="604">
        <v>0</v>
      </c>
      <c r="CL130" s="604" t="s">
        <v>32</v>
      </c>
      <c r="CV130" s="575"/>
    </row>
    <row r="131" spans="1:100">
      <c r="A131" s="502" t="str">
        <f t="shared" si="12"/>
        <v>1998deathsInfant</v>
      </c>
      <c r="B131" s="604">
        <v>1998</v>
      </c>
      <c r="C131" s="604" t="s">
        <v>496</v>
      </c>
      <c r="D131" s="604" t="s">
        <v>48</v>
      </c>
      <c r="E131" s="604">
        <v>308</v>
      </c>
      <c r="F131" s="604">
        <v>57734</v>
      </c>
      <c r="G131" s="604">
        <v>5.3</v>
      </c>
      <c r="I131" s="578" t="str">
        <f t="shared" si="13"/>
        <v>2011age25-29Fetal</v>
      </c>
      <c r="J131" s="604">
        <v>2011</v>
      </c>
      <c r="K131" s="604" t="s">
        <v>453</v>
      </c>
      <c r="L131" s="604" t="s">
        <v>131</v>
      </c>
      <c r="M131" s="604">
        <v>103</v>
      </c>
      <c r="N131" s="604">
        <v>15739</v>
      </c>
      <c r="O131" s="604">
        <v>6.5</v>
      </c>
      <c r="P131" s="604" t="s">
        <v>47</v>
      </c>
      <c r="Q131" s="499"/>
      <c r="R131" s="502" t="str">
        <f t="shared" si="14"/>
        <v>2014birthsbwt1000-1499</v>
      </c>
      <c r="S131" s="604">
        <v>2014</v>
      </c>
      <c r="T131" s="604" t="s">
        <v>445</v>
      </c>
      <c r="U131" s="604" t="s">
        <v>447</v>
      </c>
      <c r="V131" s="604" t="s">
        <v>429</v>
      </c>
      <c r="W131" s="604">
        <v>312</v>
      </c>
      <c r="Y131" s="535" t="str">
        <f t="shared" si="15"/>
        <v>2016gestage32-3625-29fetal</v>
      </c>
      <c r="Z131" s="604">
        <v>2016</v>
      </c>
      <c r="AA131" s="604" t="s">
        <v>450</v>
      </c>
      <c r="AB131" s="604" t="s">
        <v>453</v>
      </c>
      <c r="AC131" s="604" t="s">
        <v>136</v>
      </c>
      <c r="AD131" s="604" t="s">
        <v>131</v>
      </c>
      <c r="AE131" s="604">
        <v>8</v>
      </c>
      <c r="AF131" s="604">
        <v>991</v>
      </c>
      <c r="AG131" s="604">
        <v>8</v>
      </c>
      <c r="AH131" s="604" t="s">
        <v>420</v>
      </c>
      <c r="AJ131" s="535" t="str">
        <f t="shared" si="16"/>
        <v>2016gestage32-3625-29</v>
      </c>
      <c r="AK131" s="604">
        <v>2016</v>
      </c>
      <c r="AL131" s="604" t="s">
        <v>450</v>
      </c>
      <c r="AM131" s="604" t="s">
        <v>453</v>
      </c>
      <c r="AN131" s="604" t="s">
        <v>136</v>
      </c>
      <c r="AO131" s="604" t="s">
        <v>131</v>
      </c>
      <c r="AP131" s="604">
        <v>991</v>
      </c>
      <c r="AR131" s="538" t="str">
        <f t="shared" si="17"/>
        <v>MaoriethfetalWaikato</v>
      </c>
      <c r="AS131" s="604">
        <v>2016</v>
      </c>
      <c r="AT131" s="604" t="s">
        <v>129</v>
      </c>
      <c r="AU131" s="604" t="s">
        <v>449</v>
      </c>
      <c r="AV131" s="604" t="s">
        <v>89</v>
      </c>
      <c r="AW131" s="604">
        <v>22</v>
      </c>
      <c r="AX131" s="604">
        <v>2270</v>
      </c>
      <c r="AY131" s="606">
        <v>9.6999999999999993</v>
      </c>
      <c r="AZ131" s="604" t="s">
        <v>420</v>
      </c>
      <c r="BB131" s="536" t="str">
        <f t="shared" si="18"/>
        <v>35-39agebirthsCanterbury</v>
      </c>
      <c r="BC131" s="604">
        <v>2016</v>
      </c>
      <c r="BD131" s="604" t="s">
        <v>133</v>
      </c>
      <c r="BE131" s="604" t="s">
        <v>453</v>
      </c>
      <c r="BF131" s="604" t="s">
        <v>101</v>
      </c>
      <c r="BG131" s="604">
        <v>1124</v>
      </c>
      <c r="BH131" s="604" t="s">
        <v>445</v>
      </c>
      <c r="BR131" s="547" t="str">
        <f t="shared" si="19"/>
        <v>TotalMalesex</v>
      </c>
      <c r="BS131" s="604">
        <v>2016</v>
      </c>
      <c r="BT131" s="604" t="s">
        <v>44</v>
      </c>
      <c r="BU131" s="604" t="s">
        <v>70</v>
      </c>
      <c r="BV131" s="604" t="s">
        <v>451</v>
      </c>
      <c r="BW131" s="604">
        <v>127</v>
      </c>
      <c r="BY131" s="553" t="str">
        <f t="shared" si="20"/>
        <v>20011000-1499bwtSIDS</v>
      </c>
      <c r="BZ131" s="604">
        <v>2001</v>
      </c>
      <c r="CA131" s="604" t="s">
        <v>429</v>
      </c>
      <c r="CB131" s="604" t="s">
        <v>447</v>
      </c>
      <c r="CC131" s="604">
        <v>1</v>
      </c>
      <c r="CD131" s="604" t="s">
        <v>32</v>
      </c>
      <c r="CF131" s="554" t="str">
        <f t="shared" si="21"/>
        <v>2016Pacific peoplesUnknowndhbSIDS</v>
      </c>
      <c r="CG131" s="604">
        <v>2016</v>
      </c>
      <c r="CH131" s="604" t="s">
        <v>320</v>
      </c>
      <c r="CI131" s="604" t="s">
        <v>63</v>
      </c>
      <c r="CJ131" s="604" t="s">
        <v>448</v>
      </c>
      <c r="CK131" s="604">
        <v>0</v>
      </c>
      <c r="CL131" s="604" t="s">
        <v>32</v>
      </c>
      <c r="CV131" s="575"/>
    </row>
    <row r="132" spans="1:100">
      <c r="A132" s="502" t="str">
        <f t="shared" ref="A132:A149" si="23">B132&amp;C132&amp;D132</f>
        <v>1999deathsInfant</v>
      </c>
      <c r="B132" s="604">
        <v>1999</v>
      </c>
      <c r="C132" s="604" t="s">
        <v>496</v>
      </c>
      <c r="D132" s="604" t="s">
        <v>48</v>
      </c>
      <c r="E132" s="604">
        <v>335</v>
      </c>
      <c r="F132" s="604">
        <v>57421</v>
      </c>
      <c r="G132" s="604">
        <v>5.8</v>
      </c>
      <c r="I132" s="578" t="str">
        <f t="shared" ref="I132:I195" si="24">J132&amp;K132&amp;L132&amp;P132</f>
        <v>2011age30-34Fetal</v>
      </c>
      <c r="J132" s="604">
        <v>2011</v>
      </c>
      <c r="K132" s="604" t="s">
        <v>453</v>
      </c>
      <c r="L132" s="604" t="s">
        <v>132</v>
      </c>
      <c r="M132" s="604">
        <v>110</v>
      </c>
      <c r="N132" s="604">
        <v>17469</v>
      </c>
      <c r="O132" s="604">
        <v>6.3</v>
      </c>
      <c r="P132" s="604" t="s">
        <v>47</v>
      </c>
      <c r="Q132" s="499"/>
      <c r="R132" s="502" t="str">
        <f t="shared" ref="R132:R195" si="25">S132&amp;T132&amp;U132&amp;V132</f>
        <v>2014birthsbwt1500-2499</v>
      </c>
      <c r="S132" s="604">
        <v>2014</v>
      </c>
      <c r="T132" s="604" t="s">
        <v>445</v>
      </c>
      <c r="U132" s="604" t="s">
        <v>447</v>
      </c>
      <c r="V132" s="604" t="s">
        <v>430</v>
      </c>
      <c r="W132" s="604">
        <v>2781</v>
      </c>
      <c r="Y132" s="535" t="str">
        <f t="shared" ref="Y132:Y195" si="26">Z132&amp;AA132&amp;AB132&amp;AC132&amp;AD132&amp;AH132</f>
        <v>2016gestage37-4125-29fetal</v>
      </c>
      <c r="Z132" s="604">
        <v>2016</v>
      </c>
      <c r="AA132" s="604" t="s">
        <v>450</v>
      </c>
      <c r="AB132" s="604" t="s">
        <v>453</v>
      </c>
      <c r="AC132" s="604" t="s">
        <v>137</v>
      </c>
      <c r="AD132" s="604" t="s">
        <v>131</v>
      </c>
      <c r="AE132" s="604">
        <v>18</v>
      </c>
      <c r="AF132" s="604">
        <v>15201</v>
      </c>
      <c r="AG132" s="604">
        <v>1.2</v>
      </c>
      <c r="AH132" s="604" t="s">
        <v>420</v>
      </c>
      <c r="AJ132" s="535" t="str">
        <f t="shared" ref="AJ132:AJ195" si="27">AK132&amp;AL132&amp;AM132&amp;AN132&amp;AO132</f>
        <v>2016gestage37-4125-29</v>
      </c>
      <c r="AK132" s="604">
        <v>2016</v>
      </c>
      <c r="AL132" s="604" t="s">
        <v>450</v>
      </c>
      <c r="AM132" s="604" t="s">
        <v>453</v>
      </c>
      <c r="AN132" s="604" t="s">
        <v>137</v>
      </c>
      <c r="AO132" s="604" t="s">
        <v>131</v>
      </c>
      <c r="AP132" s="604">
        <v>15201</v>
      </c>
      <c r="AR132" s="538" t="str">
        <f t="shared" ref="AR132:AR195" si="28">AT132&amp;AU132&amp;AZ132&amp;AV132</f>
        <v>AsianethfetalLakes</v>
      </c>
      <c r="AS132" s="604">
        <v>2016</v>
      </c>
      <c r="AT132" s="604" t="s">
        <v>355</v>
      </c>
      <c r="AU132" s="604" t="s">
        <v>449</v>
      </c>
      <c r="AV132" s="604" t="s">
        <v>90</v>
      </c>
      <c r="AW132" s="604">
        <v>1</v>
      </c>
      <c r="AX132" s="604">
        <v>149</v>
      </c>
      <c r="AY132" s="606">
        <v>6.7</v>
      </c>
      <c r="AZ132" s="604" t="s">
        <v>420</v>
      </c>
      <c r="BB132" s="536" t="str">
        <f t="shared" ref="BB132:BB195" si="29">BD132&amp;BE132&amp;BH132&amp;BF132</f>
        <v>40+agebirthsCanterbury</v>
      </c>
      <c r="BC132" s="604">
        <v>2016</v>
      </c>
      <c r="BD132" s="604" t="s">
        <v>134</v>
      </c>
      <c r="BE132" s="604" t="s">
        <v>453</v>
      </c>
      <c r="BF132" s="604" t="s">
        <v>101</v>
      </c>
      <c r="BG132" s="604">
        <v>266</v>
      </c>
      <c r="BH132" s="604" t="s">
        <v>445</v>
      </c>
      <c r="BR132" s="547" t="str">
        <f t="shared" ref="BR132:BR151" si="30">BT132&amp;BU132&amp;BV132</f>
        <v>TotalFemalesex</v>
      </c>
      <c r="BS132" s="604">
        <v>2016</v>
      </c>
      <c r="BT132" s="604" t="s">
        <v>44</v>
      </c>
      <c r="BU132" s="604" t="s">
        <v>71</v>
      </c>
      <c r="BV132" s="604" t="s">
        <v>451</v>
      </c>
      <c r="BW132" s="604">
        <v>114</v>
      </c>
      <c r="BY132" s="553" t="str">
        <f t="shared" ref="BY132:BY195" si="31">BZ132&amp;CA132&amp;CB132&amp;CD132</f>
        <v>20011500-2499bwtSIDS</v>
      </c>
      <c r="BZ132" s="604">
        <v>2001</v>
      </c>
      <c r="CA132" s="604" t="s">
        <v>430</v>
      </c>
      <c r="CB132" s="604" t="s">
        <v>447</v>
      </c>
      <c r="CC132" s="604">
        <v>9</v>
      </c>
      <c r="CD132" s="604" t="s">
        <v>32</v>
      </c>
      <c r="CF132" s="554" t="str">
        <f t="shared" ref="CF132:CF195" si="32">CG132&amp;CH132&amp;CI132&amp;CJ132&amp;CL132</f>
        <v>2016Asian&lt;500bwtSIDS</v>
      </c>
      <c r="CG132" s="604">
        <v>2016</v>
      </c>
      <c r="CH132" s="604" t="s">
        <v>355</v>
      </c>
      <c r="CI132" s="604" t="s">
        <v>427</v>
      </c>
      <c r="CJ132" s="604" t="s">
        <v>447</v>
      </c>
      <c r="CK132" s="604">
        <v>0</v>
      </c>
      <c r="CL132" s="604" t="s">
        <v>32</v>
      </c>
      <c r="CV132" s="575"/>
    </row>
    <row r="133" spans="1:100">
      <c r="A133" s="502" t="str">
        <f t="shared" si="23"/>
        <v>2000deathsInfant</v>
      </c>
      <c r="B133" s="604">
        <v>2000</v>
      </c>
      <c r="C133" s="604" t="s">
        <v>496</v>
      </c>
      <c r="D133" s="604" t="s">
        <v>48</v>
      </c>
      <c r="E133" s="604">
        <v>359</v>
      </c>
      <c r="F133" s="604">
        <v>56994</v>
      </c>
      <c r="G133" s="604">
        <v>6.3</v>
      </c>
      <c r="I133" s="578" t="str">
        <f t="shared" si="24"/>
        <v>2011age35-39Fetal</v>
      </c>
      <c r="J133" s="604">
        <v>2011</v>
      </c>
      <c r="K133" s="604" t="s">
        <v>453</v>
      </c>
      <c r="L133" s="604" t="s">
        <v>133</v>
      </c>
      <c r="M133" s="604">
        <v>100</v>
      </c>
      <c r="N133" s="604">
        <v>11040</v>
      </c>
      <c r="O133" s="604">
        <v>9.1</v>
      </c>
      <c r="P133" s="604" t="s">
        <v>47</v>
      </c>
      <c r="Q133" s="499"/>
      <c r="R133" s="502" t="str">
        <f t="shared" si="25"/>
        <v>2014birthsbwt2500-4499</v>
      </c>
      <c r="S133" s="604">
        <v>2014</v>
      </c>
      <c r="T133" s="604" t="s">
        <v>445</v>
      </c>
      <c r="U133" s="604" t="s">
        <v>447</v>
      </c>
      <c r="V133" s="604" t="s">
        <v>431</v>
      </c>
      <c r="W133" s="604">
        <v>53374</v>
      </c>
      <c r="Y133" s="535" t="str">
        <f t="shared" si="26"/>
        <v>2016gestage42+25-29fetal</v>
      </c>
      <c r="Z133" s="604">
        <v>2016</v>
      </c>
      <c r="AA133" s="604" t="s">
        <v>450</v>
      </c>
      <c r="AB133" s="604" t="s">
        <v>453</v>
      </c>
      <c r="AC133" s="604" t="s">
        <v>138</v>
      </c>
      <c r="AD133" s="604" t="s">
        <v>131</v>
      </c>
      <c r="AE133" s="604">
        <v>0</v>
      </c>
      <c r="AF133" s="604">
        <v>294</v>
      </c>
      <c r="AG133" s="604">
        <v>0</v>
      </c>
      <c r="AH133" s="604" t="s">
        <v>420</v>
      </c>
      <c r="AJ133" s="535" t="str">
        <f t="shared" si="27"/>
        <v>2016gestage42+25-29</v>
      </c>
      <c r="AK133" s="604">
        <v>2016</v>
      </c>
      <c r="AL133" s="604" t="s">
        <v>450</v>
      </c>
      <c r="AM133" s="604" t="s">
        <v>453</v>
      </c>
      <c r="AN133" s="604" t="s">
        <v>138</v>
      </c>
      <c r="AO133" s="604" t="s">
        <v>131</v>
      </c>
      <c r="AP133" s="604">
        <v>294</v>
      </c>
      <c r="AR133" s="538" t="str">
        <f t="shared" si="28"/>
        <v>European or OtherethfetalLakes</v>
      </c>
      <c r="AS133" s="604">
        <v>2016</v>
      </c>
      <c r="AT133" s="604" t="s">
        <v>356</v>
      </c>
      <c r="AU133" s="604" t="s">
        <v>449</v>
      </c>
      <c r="AV133" s="604" t="s">
        <v>90</v>
      </c>
      <c r="AW133" s="604">
        <v>1</v>
      </c>
      <c r="AX133" s="604">
        <v>501</v>
      </c>
      <c r="AY133" s="606">
        <v>2</v>
      </c>
      <c r="AZ133" s="604" t="s">
        <v>420</v>
      </c>
      <c r="BB133" s="536" t="str">
        <f t="shared" si="29"/>
        <v>&lt;20agebirthsSouth Canterbury</v>
      </c>
      <c r="BC133" s="604">
        <v>2016</v>
      </c>
      <c r="BD133" s="604" t="s">
        <v>339</v>
      </c>
      <c r="BE133" s="604" t="s">
        <v>453</v>
      </c>
      <c r="BF133" s="604" t="s">
        <v>102</v>
      </c>
      <c r="BG133" s="604">
        <v>20</v>
      </c>
      <c r="BH133" s="604" t="s">
        <v>445</v>
      </c>
      <c r="BR133" s="547" t="str">
        <f t="shared" si="30"/>
        <v>TotalAsianeth</v>
      </c>
      <c r="BS133" s="604">
        <v>2016</v>
      </c>
      <c r="BT133" s="604" t="s">
        <v>44</v>
      </c>
      <c r="BU133" s="604" t="s">
        <v>355</v>
      </c>
      <c r="BV133" s="604" t="s">
        <v>449</v>
      </c>
      <c r="BW133" s="604">
        <v>27</v>
      </c>
      <c r="BY133" s="553" t="str">
        <f t="shared" si="31"/>
        <v>20012500-4499bwtSIDS</v>
      </c>
      <c r="BZ133" s="604">
        <v>2001</v>
      </c>
      <c r="CA133" s="604" t="s">
        <v>431</v>
      </c>
      <c r="CB133" s="604" t="s">
        <v>447</v>
      </c>
      <c r="CC133" s="604">
        <v>39</v>
      </c>
      <c r="CD133" s="604" t="s">
        <v>32</v>
      </c>
      <c r="CF133" s="554" t="str">
        <f t="shared" si="32"/>
        <v>2016European or Other&lt;500bwtSIDS</v>
      </c>
      <c r="CG133" s="604">
        <v>2016</v>
      </c>
      <c r="CH133" s="604" t="s">
        <v>356</v>
      </c>
      <c r="CI133" s="604" t="s">
        <v>427</v>
      </c>
      <c r="CJ133" s="604" t="s">
        <v>447</v>
      </c>
      <c r="CK133" s="604">
        <v>0</v>
      </c>
      <c r="CL133" s="604" t="s">
        <v>32</v>
      </c>
      <c r="CV133" s="575"/>
    </row>
    <row r="134" spans="1:100">
      <c r="A134" s="502" t="str">
        <f t="shared" si="23"/>
        <v>2001deathsInfant</v>
      </c>
      <c r="B134" s="604">
        <v>2001</v>
      </c>
      <c r="C134" s="604" t="s">
        <v>496</v>
      </c>
      <c r="D134" s="604" t="s">
        <v>48</v>
      </c>
      <c r="E134" s="604">
        <v>315</v>
      </c>
      <c r="F134" s="604">
        <v>56224</v>
      </c>
      <c r="G134" s="604">
        <v>5.6</v>
      </c>
      <c r="I134" s="578" t="str">
        <f t="shared" si="24"/>
        <v>2011age40+Fetal</v>
      </c>
      <c r="J134" s="604">
        <v>2011</v>
      </c>
      <c r="K134" s="604" t="s">
        <v>453</v>
      </c>
      <c r="L134" s="604" t="s">
        <v>134</v>
      </c>
      <c r="M134" s="604">
        <v>20</v>
      </c>
      <c r="N134" s="604">
        <v>2590</v>
      </c>
      <c r="O134" s="604">
        <v>7.7</v>
      </c>
      <c r="P134" s="604" t="s">
        <v>47</v>
      </c>
      <c r="Q134" s="499"/>
      <c r="R134" s="502" t="str">
        <f t="shared" si="25"/>
        <v>2014birthsbwt4500+</v>
      </c>
      <c r="S134" s="604">
        <v>2014</v>
      </c>
      <c r="T134" s="604" t="s">
        <v>445</v>
      </c>
      <c r="U134" s="604" t="s">
        <v>447</v>
      </c>
      <c r="V134" s="604" t="s">
        <v>432</v>
      </c>
      <c r="W134" s="604">
        <v>1481</v>
      </c>
      <c r="Y134" s="535" t="str">
        <f t="shared" si="26"/>
        <v>2016gestageUnknown25-29fetal</v>
      </c>
      <c r="Z134" s="604">
        <v>2016</v>
      </c>
      <c r="AA134" s="604" t="s">
        <v>450</v>
      </c>
      <c r="AB134" s="604" t="s">
        <v>453</v>
      </c>
      <c r="AC134" s="604" t="s">
        <v>63</v>
      </c>
      <c r="AD134" s="604" t="s">
        <v>131</v>
      </c>
      <c r="AE134" s="604">
        <v>1</v>
      </c>
      <c r="AF134" s="604">
        <v>7</v>
      </c>
      <c r="AG134" s="604" t="s">
        <v>119</v>
      </c>
      <c r="AH134" s="604" t="s">
        <v>420</v>
      </c>
      <c r="AJ134" s="535" t="str">
        <f t="shared" si="27"/>
        <v>2016gestageUnknown25-29</v>
      </c>
      <c r="AK134" s="604">
        <v>2016</v>
      </c>
      <c r="AL134" s="604" t="s">
        <v>450</v>
      </c>
      <c r="AM134" s="604" t="s">
        <v>453</v>
      </c>
      <c r="AN134" s="604" t="s">
        <v>63</v>
      </c>
      <c r="AO134" s="604" t="s">
        <v>131</v>
      </c>
      <c r="AP134" s="604">
        <v>7</v>
      </c>
      <c r="AR134" s="538" t="str">
        <f t="shared" si="28"/>
        <v>MaoriethfetalLakes</v>
      </c>
      <c r="AS134" s="604">
        <v>2016</v>
      </c>
      <c r="AT134" s="604" t="s">
        <v>129</v>
      </c>
      <c r="AU134" s="604" t="s">
        <v>449</v>
      </c>
      <c r="AV134" s="604" t="s">
        <v>90</v>
      </c>
      <c r="AW134" s="604">
        <v>11</v>
      </c>
      <c r="AX134" s="604">
        <v>869</v>
      </c>
      <c r="AY134" s="606">
        <v>12.7</v>
      </c>
      <c r="AZ134" s="604" t="s">
        <v>420</v>
      </c>
      <c r="BB134" s="536" t="str">
        <f t="shared" si="29"/>
        <v>20-24agebirthsSouth Canterbury</v>
      </c>
      <c r="BC134" s="604">
        <v>2016</v>
      </c>
      <c r="BD134" s="604" t="s">
        <v>130</v>
      </c>
      <c r="BE134" s="604" t="s">
        <v>453</v>
      </c>
      <c r="BF134" s="604" t="s">
        <v>102</v>
      </c>
      <c r="BG134" s="604">
        <v>121</v>
      </c>
      <c r="BH134" s="604" t="s">
        <v>445</v>
      </c>
      <c r="BR134" s="547" t="str">
        <f t="shared" si="30"/>
        <v>TotalEuropean or Othereth</v>
      </c>
      <c r="BS134" s="604">
        <v>2016</v>
      </c>
      <c r="BT134" s="604" t="s">
        <v>44</v>
      </c>
      <c r="BU134" s="604" t="s">
        <v>356</v>
      </c>
      <c r="BV134" s="604" t="s">
        <v>449</v>
      </c>
      <c r="BW134" s="604">
        <v>74</v>
      </c>
      <c r="BY134" s="553" t="str">
        <f t="shared" si="31"/>
        <v>20014500+bwtSIDS</v>
      </c>
      <c r="BZ134" s="604">
        <v>2001</v>
      </c>
      <c r="CA134" s="604" t="s">
        <v>432</v>
      </c>
      <c r="CB134" s="604" t="s">
        <v>447</v>
      </c>
      <c r="CC134" s="604">
        <v>0</v>
      </c>
      <c r="CD134" s="604" t="s">
        <v>32</v>
      </c>
      <c r="CF134" s="554" t="str">
        <f t="shared" si="32"/>
        <v>2016Maori&lt;500bwtSIDS</v>
      </c>
      <c r="CG134" s="604">
        <v>2016</v>
      </c>
      <c r="CH134" s="604" t="s">
        <v>129</v>
      </c>
      <c r="CI134" s="604" t="s">
        <v>427</v>
      </c>
      <c r="CJ134" s="604" t="s">
        <v>447</v>
      </c>
      <c r="CK134" s="604">
        <v>0</v>
      </c>
      <c r="CL134" s="604" t="s">
        <v>32</v>
      </c>
      <c r="CV134" s="575"/>
    </row>
    <row r="135" spans="1:100">
      <c r="A135" s="502" t="str">
        <f t="shared" si="23"/>
        <v>2002deathsInfant</v>
      </c>
      <c r="B135" s="604">
        <v>2002</v>
      </c>
      <c r="C135" s="604" t="s">
        <v>496</v>
      </c>
      <c r="D135" s="604" t="s">
        <v>48</v>
      </c>
      <c r="E135" s="604">
        <v>337</v>
      </c>
      <c r="F135" s="604">
        <v>54515</v>
      </c>
      <c r="G135" s="604">
        <v>6.2</v>
      </c>
      <c r="I135" s="578" t="str">
        <f t="shared" si="24"/>
        <v>2011ageUnknownFetal</v>
      </c>
      <c r="J135" s="604">
        <v>2011</v>
      </c>
      <c r="K135" s="604" t="s">
        <v>453</v>
      </c>
      <c r="L135" s="604" t="s">
        <v>63</v>
      </c>
      <c r="M135" s="604">
        <v>0</v>
      </c>
      <c r="N135" s="604">
        <v>0</v>
      </c>
      <c r="O135" s="604" t="s">
        <v>119</v>
      </c>
      <c r="P135" s="604" t="s">
        <v>47</v>
      </c>
      <c r="Q135" s="499"/>
      <c r="R135" s="502" t="str">
        <f t="shared" si="25"/>
        <v>2014birthsbwtUnknown</v>
      </c>
      <c r="S135" s="604">
        <v>2014</v>
      </c>
      <c r="T135" s="604" t="s">
        <v>445</v>
      </c>
      <c r="U135" s="604" t="s">
        <v>447</v>
      </c>
      <c r="V135" s="604" t="s">
        <v>63</v>
      </c>
      <c r="W135" s="604">
        <v>27</v>
      </c>
      <c r="Y135" s="535" t="str">
        <f t="shared" si="26"/>
        <v>2016gestage&lt;2830-34fetal</v>
      </c>
      <c r="Z135" s="604">
        <v>2016</v>
      </c>
      <c r="AA135" s="604" t="s">
        <v>450</v>
      </c>
      <c r="AB135" s="604" t="s">
        <v>453</v>
      </c>
      <c r="AC135" s="604" t="s">
        <v>375</v>
      </c>
      <c r="AD135" s="604" t="s">
        <v>132</v>
      </c>
      <c r="AE135" s="604">
        <v>64</v>
      </c>
      <c r="AF135" s="604">
        <v>61</v>
      </c>
      <c r="AG135" s="604" t="s">
        <v>119</v>
      </c>
      <c r="AH135" s="604" t="s">
        <v>420</v>
      </c>
      <c r="AJ135" s="535" t="str">
        <f t="shared" si="27"/>
        <v>2016gestage&lt;2830-34</v>
      </c>
      <c r="AK135" s="604">
        <v>2016</v>
      </c>
      <c r="AL135" s="604" t="s">
        <v>450</v>
      </c>
      <c r="AM135" s="604" t="s">
        <v>453</v>
      </c>
      <c r="AN135" s="604" t="s">
        <v>375</v>
      </c>
      <c r="AO135" s="604" t="s">
        <v>132</v>
      </c>
      <c r="AP135" s="604">
        <v>61</v>
      </c>
      <c r="AR135" s="538" t="str">
        <f t="shared" si="28"/>
        <v>AsianethfetalBay of Plenty</v>
      </c>
      <c r="AS135" s="604">
        <v>2016</v>
      </c>
      <c r="AT135" s="604" t="s">
        <v>355</v>
      </c>
      <c r="AU135" s="604" t="s">
        <v>449</v>
      </c>
      <c r="AV135" s="604" t="s">
        <v>91</v>
      </c>
      <c r="AW135" s="604">
        <v>2</v>
      </c>
      <c r="AX135" s="604">
        <v>237</v>
      </c>
      <c r="AY135" s="606">
        <v>8.4</v>
      </c>
      <c r="AZ135" s="604" t="s">
        <v>420</v>
      </c>
      <c r="BB135" s="536" t="str">
        <f t="shared" si="29"/>
        <v>25-29agebirthsSouth Canterbury</v>
      </c>
      <c r="BC135" s="604">
        <v>2016</v>
      </c>
      <c r="BD135" s="604" t="s">
        <v>131</v>
      </c>
      <c r="BE135" s="604" t="s">
        <v>453</v>
      </c>
      <c r="BF135" s="604" t="s">
        <v>102</v>
      </c>
      <c r="BG135" s="604">
        <v>217</v>
      </c>
      <c r="BH135" s="604" t="s">
        <v>445</v>
      </c>
      <c r="BR135" s="547" t="str">
        <f t="shared" si="30"/>
        <v>TotalMaorieth</v>
      </c>
      <c r="BS135" s="604">
        <v>2016</v>
      </c>
      <c r="BT135" s="604" t="s">
        <v>44</v>
      </c>
      <c r="BU135" s="604" t="s">
        <v>129</v>
      </c>
      <c r="BV135" s="604" t="s">
        <v>449</v>
      </c>
      <c r="BW135" s="604">
        <v>103</v>
      </c>
      <c r="BY135" s="553" t="str">
        <f t="shared" si="31"/>
        <v>2001UnknownbwtSIDS</v>
      </c>
      <c r="BZ135" s="604">
        <v>2001</v>
      </c>
      <c r="CA135" s="604" t="s">
        <v>63</v>
      </c>
      <c r="CB135" s="604" t="s">
        <v>447</v>
      </c>
      <c r="CC135" s="604">
        <v>0</v>
      </c>
      <c r="CD135" s="604" t="s">
        <v>32</v>
      </c>
      <c r="CF135" s="554" t="str">
        <f t="shared" si="32"/>
        <v>2016Pacific peoples&lt;500bwtSIDS</v>
      </c>
      <c r="CG135" s="604">
        <v>2016</v>
      </c>
      <c r="CH135" s="604" t="s">
        <v>320</v>
      </c>
      <c r="CI135" s="604" t="s">
        <v>427</v>
      </c>
      <c r="CJ135" s="604" t="s">
        <v>447</v>
      </c>
      <c r="CK135" s="604">
        <v>0</v>
      </c>
      <c r="CL135" s="604" t="s">
        <v>32</v>
      </c>
      <c r="CV135" s="575"/>
    </row>
    <row r="136" spans="1:100">
      <c r="A136" s="575" t="str">
        <f t="shared" si="23"/>
        <v>2003deathsInfant</v>
      </c>
      <c r="B136" s="604">
        <v>2003</v>
      </c>
      <c r="C136" s="604" t="s">
        <v>496</v>
      </c>
      <c r="D136" s="604" t="s">
        <v>48</v>
      </c>
      <c r="E136" s="604">
        <v>304</v>
      </c>
      <c r="F136" s="604">
        <v>56576</v>
      </c>
      <c r="G136" s="604">
        <v>5.4</v>
      </c>
      <c r="I136" s="578" t="str">
        <f t="shared" si="24"/>
        <v>2012age&lt;20Fetal</v>
      </c>
      <c r="J136" s="604">
        <v>2012</v>
      </c>
      <c r="K136" s="604" t="s">
        <v>453</v>
      </c>
      <c r="L136" s="604" t="s">
        <v>339</v>
      </c>
      <c r="M136" s="604">
        <v>41</v>
      </c>
      <c r="N136" s="604">
        <v>3922</v>
      </c>
      <c r="O136" s="604">
        <v>10.5</v>
      </c>
      <c r="P136" s="604" t="s">
        <v>47</v>
      </c>
      <c r="Q136" s="499"/>
      <c r="R136" s="502" t="str">
        <f t="shared" si="25"/>
        <v>2015birthsbwt&lt;500</v>
      </c>
      <c r="S136" s="604">
        <v>2015</v>
      </c>
      <c r="T136" s="604" t="s">
        <v>445</v>
      </c>
      <c r="U136" s="604" t="s">
        <v>447</v>
      </c>
      <c r="V136" s="604" t="s">
        <v>427</v>
      </c>
      <c r="W136" s="604">
        <v>58</v>
      </c>
      <c r="Y136" s="535" t="str">
        <f t="shared" si="26"/>
        <v>2016gestage28-3130-34fetal</v>
      </c>
      <c r="Z136" s="604">
        <v>2016</v>
      </c>
      <c r="AA136" s="604" t="s">
        <v>450</v>
      </c>
      <c r="AB136" s="604" t="s">
        <v>453</v>
      </c>
      <c r="AC136" s="604" t="s">
        <v>395</v>
      </c>
      <c r="AD136" s="604" t="s">
        <v>132</v>
      </c>
      <c r="AE136" s="604">
        <v>11</v>
      </c>
      <c r="AF136" s="604">
        <v>132</v>
      </c>
      <c r="AG136" s="604">
        <v>76.900000000000006</v>
      </c>
      <c r="AH136" s="604" t="s">
        <v>420</v>
      </c>
      <c r="AJ136" s="535" t="str">
        <f t="shared" si="27"/>
        <v>2016gestage28-3130-34</v>
      </c>
      <c r="AK136" s="604">
        <v>2016</v>
      </c>
      <c r="AL136" s="604" t="s">
        <v>450</v>
      </c>
      <c r="AM136" s="604" t="s">
        <v>453</v>
      </c>
      <c r="AN136" s="604" t="s">
        <v>395</v>
      </c>
      <c r="AO136" s="604" t="s">
        <v>132</v>
      </c>
      <c r="AP136" s="604">
        <v>132</v>
      </c>
      <c r="AR136" s="538" t="str">
        <f t="shared" si="28"/>
        <v>European or OtherethfetalBay of Plenty</v>
      </c>
      <c r="AS136" s="604">
        <v>2016</v>
      </c>
      <c r="AT136" s="604" t="s">
        <v>356</v>
      </c>
      <c r="AU136" s="604" t="s">
        <v>449</v>
      </c>
      <c r="AV136" s="604" t="s">
        <v>91</v>
      </c>
      <c r="AW136" s="604">
        <v>8</v>
      </c>
      <c r="AX136" s="604">
        <v>1290</v>
      </c>
      <c r="AY136" s="606">
        <v>6.2</v>
      </c>
      <c r="AZ136" s="604" t="s">
        <v>420</v>
      </c>
      <c r="BB136" s="536" t="str">
        <f t="shared" si="29"/>
        <v>30-34agebirthsSouth Canterbury</v>
      </c>
      <c r="BC136" s="604">
        <v>2016</v>
      </c>
      <c r="BD136" s="604" t="s">
        <v>132</v>
      </c>
      <c r="BE136" s="604" t="s">
        <v>453</v>
      </c>
      <c r="BF136" s="604" t="s">
        <v>102</v>
      </c>
      <c r="BG136" s="604">
        <v>189</v>
      </c>
      <c r="BH136" s="604" t="s">
        <v>445</v>
      </c>
      <c r="BR136" s="547" t="str">
        <f t="shared" si="30"/>
        <v>TotalPacific peopleseth</v>
      </c>
      <c r="BS136" s="604">
        <v>2016</v>
      </c>
      <c r="BT136" s="604" t="s">
        <v>44</v>
      </c>
      <c r="BU136" s="604" t="s">
        <v>320</v>
      </c>
      <c r="BV136" s="604" t="s">
        <v>449</v>
      </c>
      <c r="BW136" s="604">
        <v>37</v>
      </c>
      <c r="BY136" s="553" t="str">
        <f t="shared" si="31"/>
        <v>2002&lt;500bwtSIDS</v>
      </c>
      <c r="BZ136" s="604">
        <v>2002</v>
      </c>
      <c r="CA136" s="604" t="s">
        <v>427</v>
      </c>
      <c r="CB136" s="604" t="s">
        <v>447</v>
      </c>
      <c r="CC136" s="604">
        <v>0</v>
      </c>
      <c r="CD136" s="604" t="s">
        <v>32</v>
      </c>
      <c r="CF136" s="554" t="str">
        <f t="shared" si="32"/>
        <v>2016Asian500-999bwtSIDS</v>
      </c>
      <c r="CG136" s="604">
        <v>2016</v>
      </c>
      <c r="CH136" s="604" t="s">
        <v>355</v>
      </c>
      <c r="CI136" s="604" t="s">
        <v>428</v>
      </c>
      <c r="CJ136" s="604" t="s">
        <v>447</v>
      </c>
      <c r="CK136" s="604">
        <v>0</v>
      </c>
      <c r="CL136" s="604" t="s">
        <v>32</v>
      </c>
      <c r="CV136" s="575"/>
    </row>
    <row r="137" spans="1:100">
      <c r="A137" s="575" t="str">
        <f t="shared" si="23"/>
        <v>2004deathsInfant</v>
      </c>
      <c r="B137" s="604">
        <v>2004</v>
      </c>
      <c r="C137" s="604" t="s">
        <v>496</v>
      </c>
      <c r="D137" s="604" t="s">
        <v>48</v>
      </c>
      <c r="E137" s="604">
        <v>346</v>
      </c>
      <c r="F137" s="604">
        <v>58723</v>
      </c>
      <c r="G137" s="604">
        <v>5.9</v>
      </c>
      <c r="I137" s="578" t="str">
        <f t="shared" si="24"/>
        <v>2012age20-24Fetal</v>
      </c>
      <c r="J137" s="604">
        <v>2012</v>
      </c>
      <c r="K137" s="604" t="s">
        <v>453</v>
      </c>
      <c r="L137" s="604" t="s">
        <v>130</v>
      </c>
      <c r="M137" s="604">
        <v>79</v>
      </c>
      <c r="N137" s="604">
        <v>11609</v>
      </c>
      <c r="O137" s="604">
        <v>6.8</v>
      </c>
      <c r="P137" s="604" t="s">
        <v>47</v>
      </c>
      <c r="Q137" s="499"/>
      <c r="R137" s="502" t="str">
        <f t="shared" si="25"/>
        <v>2015birthsbwt500-999</v>
      </c>
      <c r="S137" s="604">
        <v>2015</v>
      </c>
      <c r="T137" s="604" t="s">
        <v>445</v>
      </c>
      <c r="U137" s="604" t="s">
        <v>447</v>
      </c>
      <c r="V137" s="604" t="s">
        <v>428</v>
      </c>
      <c r="W137" s="604">
        <v>195</v>
      </c>
      <c r="Y137" s="535" t="str">
        <f t="shared" si="26"/>
        <v>2016gestage32-3630-34fetal</v>
      </c>
      <c r="Z137" s="604">
        <v>2016</v>
      </c>
      <c r="AA137" s="604" t="s">
        <v>450</v>
      </c>
      <c r="AB137" s="604" t="s">
        <v>453</v>
      </c>
      <c r="AC137" s="604" t="s">
        <v>136</v>
      </c>
      <c r="AD137" s="604" t="s">
        <v>132</v>
      </c>
      <c r="AE137" s="604">
        <v>18</v>
      </c>
      <c r="AF137" s="604">
        <v>1113</v>
      </c>
      <c r="AG137" s="604">
        <v>15.9</v>
      </c>
      <c r="AH137" s="604" t="s">
        <v>420</v>
      </c>
      <c r="AJ137" s="535" t="str">
        <f t="shared" si="27"/>
        <v>2016gestage32-3630-34</v>
      </c>
      <c r="AK137" s="604">
        <v>2016</v>
      </c>
      <c r="AL137" s="604" t="s">
        <v>450</v>
      </c>
      <c r="AM137" s="604" t="s">
        <v>453</v>
      </c>
      <c r="AN137" s="604" t="s">
        <v>136</v>
      </c>
      <c r="AO137" s="604" t="s">
        <v>132</v>
      </c>
      <c r="AP137" s="604">
        <v>1113</v>
      </c>
      <c r="AR137" s="538" t="str">
        <f t="shared" si="28"/>
        <v>MaoriethfetalBay of Plenty</v>
      </c>
      <c r="AS137" s="604">
        <v>2016</v>
      </c>
      <c r="AT137" s="604" t="s">
        <v>129</v>
      </c>
      <c r="AU137" s="604" t="s">
        <v>449</v>
      </c>
      <c r="AV137" s="604" t="s">
        <v>91</v>
      </c>
      <c r="AW137" s="604">
        <v>8</v>
      </c>
      <c r="AX137" s="604">
        <v>1351</v>
      </c>
      <c r="AY137" s="606">
        <v>5.9</v>
      </c>
      <c r="AZ137" s="604" t="s">
        <v>420</v>
      </c>
      <c r="BB137" s="536" t="str">
        <f t="shared" si="29"/>
        <v>35-39agebirthsSouth Canterbury</v>
      </c>
      <c r="BC137" s="604">
        <v>2016</v>
      </c>
      <c r="BD137" s="604" t="s">
        <v>133</v>
      </c>
      <c r="BE137" s="604" t="s">
        <v>453</v>
      </c>
      <c r="BF137" s="604" t="s">
        <v>102</v>
      </c>
      <c r="BG137" s="604">
        <v>79</v>
      </c>
      <c r="BH137" s="604" t="s">
        <v>445</v>
      </c>
      <c r="BR137" s="547" t="str">
        <f t="shared" si="30"/>
        <v>Total&lt;28gest</v>
      </c>
      <c r="BS137" s="604">
        <v>2016</v>
      </c>
      <c r="BT137" s="604" t="s">
        <v>44</v>
      </c>
      <c r="BU137" s="604" t="s">
        <v>375</v>
      </c>
      <c r="BV137" s="604" t="s">
        <v>450</v>
      </c>
      <c r="BW137" s="604">
        <v>96</v>
      </c>
      <c r="BY137" s="553" t="str">
        <f t="shared" si="31"/>
        <v>2002500-999bwtSIDS</v>
      </c>
      <c r="BZ137" s="604">
        <v>2002</v>
      </c>
      <c r="CA137" s="604" t="s">
        <v>428</v>
      </c>
      <c r="CB137" s="604" t="s">
        <v>447</v>
      </c>
      <c r="CC137" s="604">
        <v>0</v>
      </c>
      <c r="CD137" s="604" t="s">
        <v>32</v>
      </c>
      <c r="CF137" s="554" t="str">
        <f t="shared" si="32"/>
        <v>2016European or Other500-999bwtSIDS</v>
      </c>
      <c r="CG137" s="604">
        <v>2016</v>
      </c>
      <c r="CH137" s="604" t="s">
        <v>356</v>
      </c>
      <c r="CI137" s="604" t="s">
        <v>428</v>
      </c>
      <c r="CJ137" s="604" t="s">
        <v>447</v>
      </c>
      <c r="CK137" s="604">
        <v>0</v>
      </c>
      <c r="CL137" s="604" t="s">
        <v>32</v>
      </c>
      <c r="CV137" s="575"/>
    </row>
    <row r="138" spans="1:100">
      <c r="A138" s="575" t="str">
        <f t="shared" si="23"/>
        <v>2005deathsInfant</v>
      </c>
      <c r="B138" s="604">
        <v>2005</v>
      </c>
      <c r="C138" s="604" t="s">
        <v>496</v>
      </c>
      <c r="D138" s="604" t="s">
        <v>48</v>
      </c>
      <c r="E138" s="604">
        <v>294</v>
      </c>
      <c r="F138" s="604">
        <v>58727</v>
      </c>
      <c r="G138" s="604">
        <v>5</v>
      </c>
      <c r="I138" s="578" t="str">
        <f t="shared" si="24"/>
        <v>2012age25-29Fetal</v>
      </c>
      <c r="J138" s="604">
        <v>2012</v>
      </c>
      <c r="K138" s="604" t="s">
        <v>453</v>
      </c>
      <c r="L138" s="604" t="s">
        <v>131</v>
      </c>
      <c r="M138" s="604">
        <v>88</v>
      </c>
      <c r="N138" s="604">
        <v>15951</v>
      </c>
      <c r="O138" s="604">
        <v>5.5</v>
      </c>
      <c r="P138" s="604" t="s">
        <v>47</v>
      </c>
      <c r="Q138" s="499"/>
      <c r="R138" s="502" t="str">
        <f t="shared" si="25"/>
        <v>2015birthsbwt1000-1499</v>
      </c>
      <c r="S138" s="604">
        <v>2015</v>
      </c>
      <c r="T138" s="604" t="s">
        <v>445</v>
      </c>
      <c r="U138" s="604" t="s">
        <v>447</v>
      </c>
      <c r="V138" s="604" t="s">
        <v>429</v>
      </c>
      <c r="W138" s="604">
        <v>392</v>
      </c>
      <c r="Y138" s="535" t="str">
        <f t="shared" si="26"/>
        <v>2016gestage37-4130-34fetal</v>
      </c>
      <c r="Z138" s="604">
        <v>2016</v>
      </c>
      <c r="AA138" s="604" t="s">
        <v>450</v>
      </c>
      <c r="AB138" s="604" t="s">
        <v>453</v>
      </c>
      <c r="AC138" s="604" t="s">
        <v>137</v>
      </c>
      <c r="AD138" s="604" t="s">
        <v>132</v>
      </c>
      <c r="AE138" s="604">
        <v>21</v>
      </c>
      <c r="AF138" s="604">
        <v>17088</v>
      </c>
      <c r="AG138" s="604">
        <v>1.2</v>
      </c>
      <c r="AH138" s="604" t="s">
        <v>420</v>
      </c>
      <c r="AJ138" s="535" t="str">
        <f t="shared" si="27"/>
        <v>2016gestage37-4130-34</v>
      </c>
      <c r="AK138" s="604">
        <v>2016</v>
      </c>
      <c r="AL138" s="604" t="s">
        <v>450</v>
      </c>
      <c r="AM138" s="604" t="s">
        <v>453</v>
      </c>
      <c r="AN138" s="604" t="s">
        <v>137</v>
      </c>
      <c r="AO138" s="604" t="s">
        <v>132</v>
      </c>
      <c r="AP138" s="604">
        <v>17088</v>
      </c>
      <c r="AR138" s="538" t="str">
        <f t="shared" si="28"/>
        <v>Pacific peoplesethfetalBay of Plenty</v>
      </c>
      <c r="AS138" s="604">
        <v>2016</v>
      </c>
      <c r="AT138" s="604" t="s">
        <v>320</v>
      </c>
      <c r="AU138" s="604" t="s">
        <v>449</v>
      </c>
      <c r="AV138" s="604" t="s">
        <v>91</v>
      </c>
      <c r="AW138" s="604">
        <v>1</v>
      </c>
      <c r="AX138" s="604">
        <v>81</v>
      </c>
      <c r="AY138" s="606">
        <v>12.3</v>
      </c>
      <c r="AZ138" s="604" t="s">
        <v>420</v>
      </c>
      <c r="BB138" s="536" t="str">
        <f t="shared" si="29"/>
        <v>40+agebirthsSouth Canterbury</v>
      </c>
      <c r="BC138" s="604">
        <v>2016</v>
      </c>
      <c r="BD138" s="604" t="s">
        <v>134</v>
      </c>
      <c r="BE138" s="604" t="s">
        <v>453</v>
      </c>
      <c r="BF138" s="604" t="s">
        <v>102</v>
      </c>
      <c r="BG138" s="604">
        <v>15</v>
      </c>
      <c r="BH138" s="604" t="s">
        <v>445</v>
      </c>
      <c r="BR138" s="547" t="str">
        <f t="shared" si="30"/>
        <v>Total28-31gest</v>
      </c>
      <c r="BS138" s="604">
        <v>2016</v>
      </c>
      <c r="BT138" s="604" t="s">
        <v>44</v>
      </c>
      <c r="BU138" s="604" t="s">
        <v>395</v>
      </c>
      <c r="BV138" s="604" t="s">
        <v>450</v>
      </c>
      <c r="BW138" s="604">
        <v>14</v>
      </c>
      <c r="BY138" s="553" t="str">
        <f t="shared" si="31"/>
        <v>20021000-1499bwtSIDS</v>
      </c>
      <c r="BZ138" s="604">
        <v>2002</v>
      </c>
      <c r="CA138" s="604" t="s">
        <v>429</v>
      </c>
      <c r="CB138" s="604" t="s">
        <v>447</v>
      </c>
      <c r="CC138" s="604">
        <v>1</v>
      </c>
      <c r="CD138" s="604" t="s">
        <v>32</v>
      </c>
      <c r="CF138" s="554" t="str">
        <f t="shared" si="32"/>
        <v>2016Maori500-999bwtSIDS</v>
      </c>
      <c r="CG138" s="604">
        <v>2016</v>
      </c>
      <c r="CH138" s="604" t="s">
        <v>129</v>
      </c>
      <c r="CI138" s="604" t="s">
        <v>428</v>
      </c>
      <c r="CJ138" s="604" t="s">
        <v>447</v>
      </c>
      <c r="CK138" s="604">
        <v>0</v>
      </c>
      <c r="CL138" s="604" t="s">
        <v>32</v>
      </c>
      <c r="CV138" s="575"/>
    </row>
    <row r="139" spans="1:100">
      <c r="A139" s="575" t="str">
        <f t="shared" si="23"/>
        <v>2006deathsInfant</v>
      </c>
      <c r="B139" s="604">
        <v>2006</v>
      </c>
      <c r="C139" s="604" t="s">
        <v>496</v>
      </c>
      <c r="D139" s="604" t="s">
        <v>48</v>
      </c>
      <c r="E139" s="604">
        <v>308</v>
      </c>
      <c r="F139" s="604">
        <v>60274</v>
      </c>
      <c r="G139" s="604">
        <v>5.0999999999999996</v>
      </c>
      <c r="I139" s="578" t="str">
        <f t="shared" si="24"/>
        <v>2012age30-34Fetal</v>
      </c>
      <c r="J139" s="604">
        <v>2012</v>
      </c>
      <c r="K139" s="604" t="s">
        <v>453</v>
      </c>
      <c r="L139" s="604" t="s">
        <v>132</v>
      </c>
      <c r="M139" s="604">
        <v>117</v>
      </c>
      <c r="N139" s="604">
        <v>17752</v>
      </c>
      <c r="O139" s="604">
        <v>6.6</v>
      </c>
      <c r="P139" s="604" t="s">
        <v>47</v>
      </c>
      <c r="Q139" s="499"/>
      <c r="R139" s="502" t="str">
        <f t="shared" si="25"/>
        <v>2015birthsbwt1500-2499</v>
      </c>
      <c r="S139" s="604">
        <v>2015</v>
      </c>
      <c r="T139" s="604" t="s">
        <v>445</v>
      </c>
      <c r="U139" s="604" t="s">
        <v>447</v>
      </c>
      <c r="V139" s="604" t="s">
        <v>430</v>
      </c>
      <c r="W139" s="604">
        <v>3014</v>
      </c>
      <c r="Y139" s="535" t="str">
        <f t="shared" si="26"/>
        <v>2016gestage42+30-34fetal</v>
      </c>
      <c r="Z139" s="604">
        <v>2016</v>
      </c>
      <c r="AA139" s="604" t="s">
        <v>450</v>
      </c>
      <c r="AB139" s="604" t="s">
        <v>453</v>
      </c>
      <c r="AC139" s="604" t="s">
        <v>138</v>
      </c>
      <c r="AD139" s="604" t="s">
        <v>132</v>
      </c>
      <c r="AE139" s="604">
        <v>0</v>
      </c>
      <c r="AF139" s="604">
        <v>318</v>
      </c>
      <c r="AG139" s="604">
        <v>0</v>
      </c>
      <c r="AH139" s="604" t="s">
        <v>420</v>
      </c>
      <c r="AJ139" s="535" t="str">
        <f t="shared" si="27"/>
        <v>2016gestage42+30-34</v>
      </c>
      <c r="AK139" s="604">
        <v>2016</v>
      </c>
      <c r="AL139" s="604" t="s">
        <v>450</v>
      </c>
      <c r="AM139" s="604" t="s">
        <v>453</v>
      </c>
      <c r="AN139" s="604" t="s">
        <v>138</v>
      </c>
      <c r="AO139" s="604" t="s">
        <v>132</v>
      </c>
      <c r="AP139" s="604">
        <v>318</v>
      </c>
      <c r="AR139" s="538" t="str">
        <f t="shared" si="28"/>
        <v>European or OtherethfetalTairawhiti</v>
      </c>
      <c r="AS139" s="604">
        <v>2016</v>
      </c>
      <c r="AT139" s="604" t="s">
        <v>356</v>
      </c>
      <c r="AU139" s="604" t="s">
        <v>449</v>
      </c>
      <c r="AV139" s="604" t="s">
        <v>433</v>
      </c>
      <c r="AW139" s="604">
        <v>1</v>
      </c>
      <c r="AX139" s="604">
        <v>156</v>
      </c>
      <c r="AY139" s="606">
        <v>6.4</v>
      </c>
      <c r="AZ139" s="604" t="s">
        <v>420</v>
      </c>
      <c r="BB139" s="536" t="str">
        <f t="shared" si="29"/>
        <v>&lt;20agebirthsSouthern</v>
      </c>
      <c r="BC139" s="604">
        <v>2016</v>
      </c>
      <c r="BD139" s="604" t="s">
        <v>339</v>
      </c>
      <c r="BE139" s="604" t="s">
        <v>453</v>
      </c>
      <c r="BF139" s="604" t="s">
        <v>103</v>
      </c>
      <c r="BG139" s="604">
        <v>115</v>
      </c>
      <c r="BH139" s="604" t="s">
        <v>445</v>
      </c>
      <c r="BR139" s="547" t="str">
        <f t="shared" si="30"/>
        <v>Total32-36gest</v>
      </c>
      <c r="BS139" s="604">
        <v>2016</v>
      </c>
      <c r="BT139" s="604" t="s">
        <v>44</v>
      </c>
      <c r="BU139" s="604" t="s">
        <v>136</v>
      </c>
      <c r="BV139" s="604" t="s">
        <v>450</v>
      </c>
      <c r="BW139" s="604">
        <v>23</v>
      </c>
      <c r="BY139" s="553" t="str">
        <f t="shared" si="31"/>
        <v>20021500-2499bwtSIDS</v>
      </c>
      <c r="BZ139" s="604">
        <v>2002</v>
      </c>
      <c r="CA139" s="604" t="s">
        <v>430</v>
      </c>
      <c r="CB139" s="604" t="s">
        <v>447</v>
      </c>
      <c r="CC139" s="604">
        <v>8</v>
      </c>
      <c r="CD139" s="604" t="s">
        <v>32</v>
      </c>
      <c r="CF139" s="554" t="str">
        <f t="shared" si="32"/>
        <v>2016Pacific peoples500-999bwtSIDS</v>
      </c>
      <c r="CG139" s="604">
        <v>2016</v>
      </c>
      <c r="CH139" s="604" t="s">
        <v>320</v>
      </c>
      <c r="CI139" s="604" t="s">
        <v>428</v>
      </c>
      <c r="CJ139" s="604" t="s">
        <v>447</v>
      </c>
      <c r="CK139" s="604">
        <v>0</v>
      </c>
      <c r="CL139" s="604" t="s">
        <v>32</v>
      </c>
      <c r="CV139" s="575"/>
    </row>
    <row r="140" spans="1:100">
      <c r="A140" s="575" t="str">
        <f t="shared" si="23"/>
        <v>2007deathsInfant</v>
      </c>
      <c r="B140" s="604">
        <v>2007</v>
      </c>
      <c r="C140" s="604" t="s">
        <v>496</v>
      </c>
      <c r="D140" s="604" t="s">
        <v>48</v>
      </c>
      <c r="E140" s="604">
        <v>312</v>
      </c>
      <c r="F140" s="604">
        <v>65121</v>
      </c>
      <c r="G140" s="604">
        <v>4.8</v>
      </c>
      <c r="I140" s="578" t="str">
        <f t="shared" si="24"/>
        <v>2012age35-39Fetal</v>
      </c>
      <c r="J140" s="604">
        <v>2012</v>
      </c>
      <c r="K140" s="604" t="s">
        <v>453</v>
      </c>
      <c r="L140" s="604" t="s">
        <v>133</v>
      </c>
      <c r="M140" s="604">
        <v>90</v>
      </c>
      <c r="N140" s="604">
        <v>10550</v>
      </c>
      <c r="O140" s="604">
        <v>8.5</v>
      </c>
      <c r="P140" s="604" t="s">
        <v>47</v>
      </c>
      <c r="Q140" s="499"/>
      <c r="R140" s="502" t="str">
        <f t="shared" si="25"/>
        <v>2015birthsbwt2500-4499</v>
      </c>
      <c r="S140" s="604">
        <v>2015</v>
      </c>
      <c r="T140" s="604" t="s">
        <v>445</v>
      </c>
      <c r="U140" s="604" t="s">
        <v>447</v>
      </c>
      <c r="V140" s="604" t="s">
        <v>431</v>
      </c>
      <c r="W140" s="604">
        <v>57027</v>
      </c>
      <c r="Y140" s="535" t="str">
        <f t="shared" si="26"/>
        <v>2016gestageUnknown30-34fetal</v>
      </c>
      <c r="Z140" s="604">
        <v>2016</v>
      </c>
      <c r="AA140" s="604" t="s">
        <v>450</v>
      </c>
      <c r="AB140" s="604" t="s">
        <v>453</v>
      </c>
      <c r="AC140" s="604" t="s">
        <v>63</v>
      </c>
      <c r="AD140" s="604" t="s">
        <v>132</v>
      </c>
      <c r="AE140" s="604">
        <v>1</v>
      </c>
      <c r="AF140" s="604">
        <v>8</v>
      </c>
      <c r="AG140" s="604" t="s">
        <v>119</v>
      </c>
      <c r="AH140" s="604" t="s">
        <v>420</v>
      </c>
      <c r="AJ140" s="535" t="str">
        <f t="shared" si="27"/>
        <v>2016gestageUnknown30-34</v>
      </c>
      <c r="AK140" s="604">
        <v>2016</v>
      </c>
      <c r="AL140" s="604" t="s">
        <v>450</v>
      </c>
      <c r="AM140" s="604" t="s">
        <v>453</v>
      </c>
      <c r="AN140" s="604" t="s">
        <v>63</v>
      </c>
      <c r="AO140" s="604" t="s">
        <v>132</v>
      </c>
      <c r="AP140" s="604">
        <v>8</v>
      </c>
      <c r="AR140" s="538" t="str">
        <f t="shared" si="28"/>
        <v>MaoriethfetalTairawhiti</v>
      </c>
      <c r="AS140" s="604">
        <v>2016</v>
      </c>
      <c r="AT140" s="604" t="s">
        <v>129</v>
      </c>
      <c r="AU140" s="604" t="s">
        <v>449</v>
      </c>
      <c r="AV140" s="604" t="s">
        <v>433</v>
      </c>
      <c r="AW140" s="604">
        <v>1</v>
      </c>
      <c r="AX140" s="604">
        <v>575</v>
      </c>
      <c r="AY140" s="606">
        <v>1.7</v>
      </c>
      <c r="AZ140" s="604" t="s">
        <v>420</v>
      </c>
      <c r="BB140" s="536" t="str">
        <f t="shared" si="29"/>
        <v>20-24agebirthsSouthern</v>
      </c>
      <c r="BC140" s="604">
        <v>2016</v>
      </c>
      <c r="BD140" s="604" t="s">
        <v>130</v>
      </c>
      <c r="BE140" s="604" t="s">
        <v>453</v>
      </c>
      <c r="BF140" s="604" t="s">
        <v>103</v>
      </c>
      <c r="BG140" s="604">
        <v>531</v>
      </c>
      <c r="BH140" s="604" t="s">
        <v>445</v>
      </c>
      <c r="BR140" s="547" t="str">
        <f t="shared" si="30"/>
        <v>Total37-41gest</v>
      </c>
      <c r="BS140" s="604">
        <v>2016</v>
      </c>
      <c r="BT140" s="604" t="s">
        <v>44</v>
      </c>
      <c r="BU140" s="604" t="s">
        <v>137</v>
      </c>
      <c r="BV140" s="604" t="s">
        <v>450</v>
      </c>
      <c r="BW140" s="604">
        <v>91</v>
      </c>
      <c r="BY140" s="553" t="str">
        <f t="shared" si="31"/>
        <v>20022500-4499bwtSIDS</v>
      </c>
      <c r="BZ140" s="604">
        <v>2002</v>
      </c>
      <c r="CA140" s="604" t="s">
        <v>431</v>
      </c>
      <c r="CB140" s="604" t="s">
        <v>447</v>
      </c>
      <c r="CC140" s="604">
        <v>30</v>
      </c>
      <c r="CD140" s="604" t="s">
        <v>32</v>
      </c>
      <c r="CF140" s="554" t="str">
        <f t="shared" si="32"/>
        <v>2016Asian1000-1499bwtSIDS</v>
      </c>
      <c r="CG140" s="604">
        <v>2016</v>
      </c>
      <c r="CH140" s="604" t="s">
        <v>355</v>
      </c>
      <c r="CI140" s="604" t="s">
        <v>429</v>
      </c>
      <c r="CJ140" s="604" t="s">
        <v>447</v>
      </c>
      <c r="CK140" s="604">
        <v>0</v>
      </c>
      <c r="CL140" s="604" t="s">
        <v>32</v>
      </c>
      <c r="CV140" s="575"/>
    </row>
    <row r="141" spans="1:100">
      <c r="A141" s="575" t="str">
        <f t="shared" si="23"/>
        <v>2008deathsInfant</v>
      </c>
      <c r="B141" s="604">
        <v>2008</v>
      </c>
      <c r="C141" s="604" t="s">
        <v>496</v>
      </c>
      <c r="D141" s="604" t="s">
        <v>48</v>
      </c>
      <c r="E141" s="604">
        <v>323</v>
      </c>
      <c r="F141" s="604">
        <v>65333</v>
      </c>
      <c r="G141" s="604">
        <v>4.9000000000000004</v>
      </c>
      <c r="I141" s="578" t="str">
        <f t="shared" si="24"/>
        <v>2012age40+Fetal</v>
      </c>
      <c r="J141" s="604">
        <v>2012</v>
      </c>
      <c r="K141" s="604" t="s">
        <v>453</v>
      </c>
      <c r="L141" s="604" t="s">
        <v>134</v>
      </c>
      <c r="M141" s="604">
        <v>33</v>
      </c>
      <c r="N141" s="604">
        <v>2699</v>
      </c>
      <c r="O141" s="604">
        <v>12.2</v>
      </c>
      <c r="P141" s="604" t="s">
        <v>47</v>
      </c>
      <c r="Q141" s="499"/>
      <c r="R141" s="502" t="str">
        <f t="shared" si="25"/>
        <v>2015birthsbwt4500+</v>
      </c>
      <c r="S141" s="604">
        <v>2015</v>
      </c>
      <c r="T141" s="604" t="s">
        <v>445</v>
      </c>
      <c r="U141" s="604" t="s">
        <v>447</v>
      </c>
      <c r="V141" s="604" t="s">
        <v>432</v>
      </c>
      <c r="W141" s="604">
        <v>1390</v>
      </c>
      <c r="Y141" s="535" t="str">
        <f t="shared" si="26"/>
        <v>2016gestage&lt;2835-39fetal</v>
      </c>
      <c r="Z141" s="604">
        <v>2016</v>
      </c>
      <c r="AA141" s="604" t="s">
        <v>450</v>
      </c>
      <c r="AB141" s="604" t="s">
        <v>453</v>
      </c>
      <c r="AC141" s="604" t="s">
        <v>375</v>
      </c>
      <c r="AD141" s="604" t="s">
        <v>133</v>
      </c>
      <c r="AE141" s="604">
        <v>37</v>
      </c>
      <c r="AF141" s="604">
        <v>44</v>
      </c>
      <c r="AG141" s="604">
        <v>456.8</v>
      </c>
      <c r="AH141" s="604" t="s">
        <v>420</v>
      </c>
      <c r="AJ141" s="535" t="str">
        <f t="shared" si="27"/>
        <v>2016gestage&lt;2835-39</v>
      </c>
      <c r="AK141" s="604">
        <v>2016</v>
      </c>
      <c r="AL141" s="604" t="s">
        <v>450</v>
      </c>
      <c r="AM141" s="604" t="s">
        <v>453</v>
      </c>
      <c r="AN141" s="604" t="s">
        <v>375</v>
      </c>
      <c r="AO141" s="604" t="s">
        <v>133</v>
      </c>
      <c r="AP141" s="604">
        <v>44</v>
      </c>
      <c r="AR141" s="538" t="str">
        <f t="shared" si="28"/>
        <v>AsianethfetalHawke's Bay</v>
      </c>
      <c r="AS141" s="604">
        <v>2016</v>
      </c>
      <c r="AT141" s="604" t="s">
        <v>355</v>
      </c>
      <c r="AU141" s="604" t="s">
        <v>449</v>
      </c>
      <c r="AV141" s="604" t="s">
        <v>92</v>
      </c>
      <c r="AW141" s="604">
        <v>1</v>
      </c>
      <c r="AX141" s="604">
        <v>112</v>
      </c>
      <c r="AY141" s="606">
        <v>8.9</v>
      </c>
      <c r="AZ141" s="604" t="s">
        <v>420</v>
      </c>
      <c r="BB141" s="536" t="str">
        <f t="shared" si="29"/>
        <v>25-29agebirthsSouthern</v>
      </c>
      <c r="BC141" s="604">
        <v>2016</v>
      </c>
      <c r="BD141" s="604" t="s">
        <v>131</v>
      </c>
      <c r="BE141" s="604" t="s">
        <v>453</v>
      </c>
      <c r="BF141" s="604" t="s">
        <v>103</v>
      </c>
      <c r="BG141" s="604">
        <v>899</v>
      </c>
      <c r="BH141" s="604" t="s">
        <v>445</v>
      </c>
      <c r="BR141" s="547" t="str">
        <f t="shared" si="30"/>
        <v>Total42+gest</v>
      </c>
      <c r="BS141" s="604">
        <v>2016</v>
      </c>
      <c r="BT141" s="604" t="s">
        <v>44</v>
      </c>
      <c r="BU141" s="604" t="s">
        <v>138</v>
      </c>
      <c r="BV141" s="604" t="s">
        <v>450</v>
      </c>
      <c r="BW141" s="604">
        <v>4</v>
      </c>
      <c r="BY141" s="553" t="str">
        <f t="shared" si="31"/>
        <v>20024500+bwtSIDS</v>
      </c>
      <c r="BZ141" s="604">
        <v>2002</v>
      </c>
      <c r="CA141" s="604" t="s">
        <v>432</v>
      </c>
      <c r="CB141" s="604" t="s">
        <v>447</v>
      </c>
      <c r="CC141" s="604">
        <v>0</v>
      </c>
      <c r="CD141" s="604" t="s">
        <v>32</v>
      </c>
      <c r="CF141" s="554" t="str">
        <f t="shared" si="32"/>
        <v>2016European or Other1000-1499bwtSIDS</v>
      </c>
      <c r="CG141" s="604">
        <v>2016</v>
      </c>
      <c r="CH141" s="604" t="s">
        <v>356</v>
      </c>
      <c r="CI141" s="604" t="s">
        <v>429</v>
      </c>
      <c r="CJ141" s="604" t="s">
        <v>447</v>
      </c>
      <c r="CK141" s="604">
        <v>0</v>
      </c>
      <c r="CL141" s="604" t="s">
        <v>32</v>
      </c>
      <c r="CV141" s="575"/>
    </row>
    <row r="142" spans="1:100">
      <c r="A142" s="575" t="str">
        <f t="shared" si="23"/>
        <v>2009deathsInfant</v>
      </c>
      <c r="B142" s="604">
        <v>2009</v>
      </c>
      <c r="C142" s="604" t="s">
        <v>496</v>
      </c>
      <c r="D142" s="604" t="s">
        <v>48</v>
      </c>
      <c r="E142" s="604">
        <v>332</v>
      </c>
      <c r="F142" s="604">
        <v>63285</v>
      </c>
      <c r="G142" s="604">
        <v>5.2</v>
      </c>
      <c r="I142" s="578" t="str">
        <f t="shared" si="24"/>
        <v>2012ageUnknownFetal</v>
      </c>
      <c r="J142" s="604">
        <v>2012</v>
      </c>
      <c r="K142" s="604" t="s">
        <v>453</v>
      </c>
      <c r="L142" s="604" t="s">
        <v>63</v>
      </c>
      <c r="M142" s="604">
        <v>0</v>
      </c>
      <c r="N142" s="604">
        <v>0</v>
      </c>
      <c r="O142" s="604" t="s">
        <v>119</v>
      </c>
      <c r="P142" s="604" t="s">
        <v>47</v>
      </c>
      <c r="Q142" s="499"/>
      <c r="R142" s="502" t="str">
        <f t="shared" si="25"/>
        <v>2015birthsbwtUnknown</v>
      </c>
      <c r="S142" s="604">
        <v>2015</v>
      </c>
      <c r="T142" s="604" t="s">
        <v>445</v>
      </c>
      <c r="U142" s="604" t="s">
        <v>447</v>
      </c>
      <c r="V142" s="604" t="s">
        <v>63</v>
      </c>
      <c r="W142" s="604">
        <v>46</v>
      </c>
      <c r="Y142" s="535" t="str">
        <f t="shared" si="26"/>
        <v>2016gestage28-3135-39fetal</v>
      </c>
      <c r="Z142" s="604">
        <v>2016</v>
      </c>
      <c r="AA142" s="604" t="s">
        <v>450</v>
      </c>
      <c r="AB142" s="604" t="s">
        <v>453</v>
      </c>
      <c r="AC142" s="604" t="s">
        <v>395</v>
      </c>
      <c r="AD142" s="604" t="s">
        <v>133</v>
      </c>
      <c r="AE142" s="604">
        <v>8</v>
      </c>
      <c r="AF142" s="604">
        <v>70</v>
      </c>
      <c r="AG142" s="604">
        <v>102.6</v>
      </c>
      <c r="AH142" s="604" t="s">
        <v>420</v>
      </c>
      <c r="AJ142" s="535" t="str">
        <f t="shared" si="27"/>
        <v>2016gestage28-3135-39</v>
      </c>
      <c r="AK142" s="604">
        <v>2016</v>
      </c>
      <c r="AL142" s="604" t="s">
        <v>450</v>
      </c>
      <c r="AM142" s="604" t="s">
        <v>453</v>
      </c>
      <c r="AN142" s="604" t="s">
        <v>395</v>
      </c>
      <c r="AO142" s="604" t="s">
        <v>133</v>
      </c>
      <c r="AP142" s="604">
        <v>70</v>
      </c>
      <c r="AR142" s="538" t="str">
        <f t="shared" si="28"/>
        <v>European or OtherethfetalHawke's Bay</v>
      </c>
      <c r="AS142" s="604">
        <v>2016</v>
      </c>
      <c r="AT142" s="604" t="s">
        <v>356</v>
      </c>
      <c r="AU142" s="604" t="s">
        <v>449</v>
      </c>
      <c r="AV142" s="604" t="s">
        <v>92</v>
      </c>
      <c r="AW142" s="604">
        <v>4</v>
      </c>
      <c r="AX142" s="604">
        <v>837</v>
      </c>
      <c r="AY142" s="606">
        <v>4.8</v>
      </c>
      <c r="AZ142" s="604" t="s">
        <v>420</v>
      </c>
      <c r="BB142" s="536" t="str">
        <f t="shared" si="29"/>
        <v>30-34agebirthsSouthern</v>
      </c>
      <c r="BC142" s="604">
        <v>2016</v>
      </c>
      <c r="BD142" s="604" t="s">
        <v>132</v>
      </c>
      <c r="BE142" s="604" t="s">
        <v>453</v>
      </c>
      <c r="BF142" s="604" t="s">
        <v>103</v>
      </c>
      <c r="BG142" s="604">
        <v>1131</v>
      </c>
      <c r="BH142" s="604" t="s">
        <v>445</v>
      </c>
      <c r="BR142" s="547" t="str">
        <f t="shared" si="30"/>
        <v>TotalUnknowngest</v>
      </c>
      <c r="BS142" s="604">
        <v>2016</v>
      </c>
      <c r="BT142" s="604" t="s">
        <v>44</v>
      </c>
      <c r="BU142" s="604" t="s">
        <v>63</v>
      </c>
      <c r="BV142" s="604" t="s">
        <v>450</v>
      </c>
      <c r="BW142" s="604">
        <v>13</v>
      </c>
      <c r="BY142" s="553" t="str">
        <f t="shared" si="31"/>
        <v>2002UnknownbwtSIDS</v>
      </c>
      <c r="BZ142" s="604">
        <v>2002</v>
      </c>
      <c r="CA142" s="604" t="s">
        <v>63</v>
      </c>
      <c r="CB142" s="604" t="s">
        <v>447</v>
      </c>
      <c r="CC142" s="604">
        <v>5</v>
      </c>
      <c r="CD142" s="604" t="s">
        <v>32</v>
      </c>
      <c r="CF142" s="554" t="str">
        <f t="shared" si="32"/>
        <v>2016Maori1000-1499bwtSIDS</v>
      </c>
      <c r="CG142" s="604">
        <v>2016</v>
      </c>
      <c r="CH142" s="604" t="s">
        <v>129</v>
      </c>
      <c r="CI142" s="604" t="s">
        <v>429</v>
      </c>
      <c r="CJ142" s="604" t="s">
        <v>447</v>
      </c>
      <c r="CK142" s="604">
        <v>0</v>
      </c>
      <c r="CL142" s="604" t="s">
        <v>32</v>
      </c>
      <c r="CV142" s="575"/>
    </row>
    <row r="143" spans="1:100">
      <c r="A143" s="696" t="str">
        <f t="shared" si="23"/>
        <v>2010deathsInfant</v>
      </c>
      <c r="B143" s="604">
        <v>2010</v>
      </c>
      <c r="C143" s="604" t="s">
        <v>496</v>
      </c>
      <c r="D143" s="604" t="s">
        <v>48</v>
      </c>
      <c r="E143" s="604">
        <v>361</v>
      </c>
      <c r="F143" s="604">
        <v>64699</v>
      </c>
      <c r="G143" s="604">
        <v>5.6</v>
      </c>
      <c r="I143" s="578" t="str">
        <f t="shared" si="24"/>
        <v>2013age&lt;20Fetal</v>
      </c>
      <c r="J143" s="604">
        <v>2013</v>
      </c>
      <c r="K143" s="604" t="s">
        <v>453</v>
      </c>
      <c r="L143" s="604" t="s">
        <v>339</v>
      </c>
      <c r="M143" s="604">
        <v>34</v>
      </c>
      <c r="N143" s="604">
        <v>3443</v>
      </c>
      <c r="O143" s="604">
        <v>9.9</v>
      </c>
      <c r="P143" s="604" t="s">
        <v>47</v>
      </c>
      <c r="Q143" s="499"/>
      <c r="R143" s="502" t="str">
        <f t="shared" si="25"/>
        <v>2016birthsbwt&lt;500</v>
      </c>
      <c r="S143" s="604">
        <v>2016</v>
      </c>
      <c r="T143" s="604" t="s">
        <v>445</v>
      </c>
      <c r="U143" s="604" t="s">
        <v>447</v>
      </c>
      <c r="V143" s="604" t="s">
        <v>427</v>
      </c>
      <c r="W143" s="604">
        <v>53</v>
      </c>
      <c r="Y143" s="535" t="str">
        <f t="shared" si="26"/>
        <v>2016gestage32-3635-39fetal</v>
      </c>
      <c r="Z143" s="604">
        <v>2016</v>
      </c>
      <c r="AA143" s="604" t="s">
        <v>450</v>
      </c>
      <c r="AB143" s="604" t="s">
        <v>453</v>
      </c>
      <c r="AC143" s="604" t="s">
        <v>136</v>
      </c>
      <c r="AD143" s="604" t="s">
        <v>133</v>
      </c>
      <c r="AE143" s="604">
        <v>9</v>
      </c>
      <c r="AF143" s="604">
        <v>683</v>
      </c>
      <c r="AG143" s="604">
        <v>13</v>
      </c>
      <c r="AH143" s="604" t="s">
        <v>420</v>
      </c>
      <c r="AJ143" s="535" t="str">
        <f t="shared" si="27"/>
        <v>2016gestage32-3635-39</v>
      </c>
      <c r="AK143" s="604">
        <v>2016</v>
      </c>
      <c r="AL143" s="604" t="s">
        <v>450</v>
      </c>
      <c r="AM143" s="604" t="s">
        <v>453</v>
      </c>
      <c r="AN143" s="604" t="s">
        <v>136</v>
      </c>
      <c r="AO143" s="604" t="s">
        <v>133</v>
      </c>
      <c r="AP143" s="604">
        <v>683</v>
      </c>
      <c r="AR143" s="538" t="str">
        <f t="shared" si="28"/>
        <v>MaoriethfetalHawke's Bay</v>
      </c>
      <c r="AS143" s="604">
        <v>2016</v>
      </c>
      <c r="AT143" s="604" t="s">
        <v>129</v>
      </c>
      <c r="AU143" s="604" t="s">
        <v>449</v>
      </c>
      <c r="AV143" s="604" t="s">
        <v>92</v>
      </c>
      <c r="AW143" s="604">
        <v>2</v>
      </c>
      <c r="AX143" s="604">
        <v>1008</v>
      </c>
      <c r="AY143" s="606">
        <v>2</v>
      </c>
      <c r="AZ143" s="604" t="s">
        <v>420</v>
      </c>
      <c r="BB143" s="536" t="str">
        <f t="shared" si="29"/>
        <v>35-39agebirthsSouthern</v>
      </c>
      <c r="BC143" s="604">
        <v>2016</v>
      </c>
      <c r="BD143" s="604" t="s">
        <v>133</v>
      </c>
      <c r="BE143" s="604" t="s">
        <v>453</v>
      </c>
      <c r="BF143" s="604" t="s">
        <v>103</v>
      </c>
      <c r="BG143" s="604">
        <v>593</v>
      </c>
      <c r="BH143" s="604" t="s">
        <v>445</v>
      </c>
      <c r="BR143" s="547" t="str">
        <f t="shared" si="30"/>
        <v>Total&lt;500bwt</v>
      </c>
      <c r="BS143" s="604">
        <v>2016</v>
      </c>
      <c r="BT143" s="604" t="s">
        <v>44</v>
      </c>
      <c r="BU143" s="604" t="s">
        <v>427</v>
      </c>
      <c r="BV143" s="604" t="s">
        <v>447</v>
      </c>
      <c r="BW143" s="604">
        <v>37</v>
      </c>
      <c r="BY143" s="553" t="str">
        <f t="shared" si="31"/>
        <v>2003&lt;500bwtSIDS</v>
      </c>
      <c r="BZ143" s="604">
        <v>2003</v>
      </c>
      <c r="CA143" s="604" t="s">
        <v>427</v>
      </c>
      <c r="CB143" s="604" t="s">
        <v>447</v>
      </c>
      <c r="CC143" s="604">
        <v>0</v>
      </c>
      <c r="CD143" s="604" t="s">
        <v>32</v>
      </c>
      <c r="CF143" s="554" t="str">
        <f t="shared" si="32"/>
        <v>2016Pacific peoples1000-1499bwtSIDS</v>
      </c>
      <c r="CG143" s="604">
        <v>2016</v>
      </c>
      <c r="CH143" s="604" t="s">
        <v>320</v>
      </c>
      <c r="CI143" s="604" t="s">
        <v>429</v>
      </c>
      <c r="CJ143" s="604" t="s">
        <v>447</v>
      </c>
      <c r="CK143" s="604">
        <v>0</v>
      </c>
      <c r="CL143" s="604" t="s">
        <v>32</v>
      </c>
      <c r="CV143" s="575"/>
    </row>
    <row r="144" spans="1:100">
      <c r="A144" s="696" t="str">
        <f t="shared" si="23"/>
        <v>2011deathsInfant</v>
      </c>
      <c r="B144" s="604">
        <v>2011</v>
      </c>
      <c r="C144" s="604" t="s">
        <v>496</v>
      </c>
      <c r="D144" s="604" t="s">
        <v>48</v>
      </c>
      <c r="E144" s="604">
        <v>322</v>
      </c>
      <c r="F144" s="604">
        <v>62174</v>
      </c>
      <c r="G144" s="604">
        <v>5.2</v>
      </c>
      <c r="I144" s="578" t="str">
        <f t="shared" si="24"/>
        <v>2013age20-24Fetal</v>
      </c>
      <c r="J144" s="604">
        <v>2013</v>
      </c>
      <c r="K144" s="604" t="s">
        <v>453</v>
      </c>
      <c r="L144" s="604" t="s">
        <v>130</v>
      </c>
      <c r="M144" s="604">
        <v>64</v>
      </c>
      <c r="N144" s="604">
        <v>11047</v>
      </c>
      <c r="O144" s="604">
        <v>5.8</v>
      </c>
      <c r="P144" s="604" t="s">
        <v>47</v>
      </c>
      <c r="Q144" s="499"/>
      <c r="R144" s="502" t="str">
        <f t="shared" si="25"/>
        <v>2016birthsbwt500-999</v>
      </c>
      <c r="S144" s="604">
        <v>2016</v>
      </c>
      <c r="T144" s="604" t="s">
        <v>445</v>
      </c>
      <c r="U144" s="604" t="s">
        <v>447</v>
      </c>
      <c r="V144" s="604" t="s">
        <v>428</v>
      </c>
      <c r="W144" s="604">
        <v>196</v>
      </c>
      <c r="Y144" s="535" t="str">
        <f t="shared" si="26"/>
        <v>2016gestage37-4135-39fetal</v>
      </c>
      <c r="Z144" s="604">
        <v>2016</v>
      </c>
      <c r="AA144" s="604" t="s">
        <v>450</v>
      </c>
      <c r="AB144" s="604" t="s">
        <v>453</v>
      </c>
      <c r="AC144" s="604" t="s">
        <v>137</v>
      </c>
      <c r="AD144" s="604" t="s">
        <v>133</v>
      </c>
      <c r="AE144" s="604">
        <v>15</v>
      </c>
      <c r="AF144" s="604">
        <v>9143</v>
      </c>
      <c r="AG144" s="604">
        <v>1.6</v>
      </c>
      <c r="AH144" s="604" t="s">
        <v>420</v>
      </c>
      <c r="AJ144" s="535" t="str">
        <f t="shared" si="27"/>
        <v>2016gestage37-4135-39</v>
      </c>
      <c r="AK144" s="604">
        <v>2016</v>
      </c>
      <c r="AL144" s="604" t="s">
        <v>450</v>
      </c>
      <c r="AM144" s="604" t="s">
        <v>453</v>
      </c>
      <c r="AN144" s="604" t="s">
        <v>137</v>
      </c>
      <c r="AO144" s="604" t="s">
        <v>133</v>
      </c>
      <c r="AP144" s="604">
        <v>9143</v>
      </c>
      <c r="AR144" s="538" t="str">
        <f t="shared" si="28"/>
        <v>European or OtherethfetalTaranaki</v>
      </c>
      <c r="AS144" s="604">
        <v>2016</v>
      </c>
      <c r="AT144" s="604" t="s">
        <v>356</v>
      </c>
      <c r="AU144" s="604" t="s">
        <v>449</v>
      </c>
      <c r="AV144" s="604" t="s">
        <v>93</v>
      </c>
      <c r="AW144" s="604">
        <v>7</v>
      </c>
      <c r="AX144" s="604">
        <v>848</v>
      </c>
      <c r="AY144" s="606">
        <v>8.3000000000000007</v>
      </c>
      <c r="AZ144" s="604" t="s">
        <v>420</v>
      </c>
      <c r="BB144" s="536" t="str">
        <f t="shared" si="29"/>
        <v>40+agebirthsSouthern</v>
      </c>
      <c r="BC144" s="604">
        <v>2016</v>
      </c>
      <c r="BD144" s="604" t="s">
        <v>134</v>
      </c>
      <c r="BE144" s="604" t="s">
        <v>453</v>
      </c>
      <c r="BF144" s="604" t="s">
        <v>103</v>
      </c>
      <c r="BG144" s="604">
        <v>145</v>
      </c>
      <c r="BH144" s="604" t="s">
        <v>445</v>
      </c>
      <c r="BR144" s="547" t="str">
        <f t="shared" si="30"/>
        <v>Total500-999bwt</v>
      </c>
      <c r="BS144" s="604">
        <v>2016</v>
      </c>
      <c r="BT144" s="604" t="s">
        <v>44</v>
      </c>
      <c r="BU144" s="604" t="s">
        <v>428</v>
      </c>
      <c r="BV144" s="604" t="s">
        <v>447</v>
      </c>
      <c r="BW144" s="604">
        <v>57</v>
      </c>
      <c r="BY144" s="553" t="str">
        <f t="shared" si="31"/>
        <v>2003500-999bwtSIDS</v>
      </c>
      <c r="BZ144" s="604">
        <v>2003</v>
      </c>
      <c r="CA144" s="604" t="s">
        <v>428</v>
      </c>
      <c r="CB144" s="604" t="s">
        <v>447</v>
      </c>
      <c r="CC144" s="604">
        <v>1</v>
      </c>
      <c r="CD144" s="604" t="s">
        <v>32</v>
      </c>
      <c r="CF144" s="554" t="str">
        <f t="shared" si="32"/>
        <v>2016Asian1500-2499bwtSIDS</v>
      </c>
      <c r="CG144" s="604">
        <v>2016</v>
      </c>
      <c r="CH144" s="604" t="s">
        <v>355</v>
      </c>
      <c r="CI144" s="604" t="s">
        <v>430</v>
      </c>
      <c r="CJ144" s="604" t="s">
        <v>447</v>
      </c>
      <c r="CK144" s="604">
        <v>0</v>
      </c>
      <c r="CL144" s="604" t="s">
        <v>32</v>
      </c>
      <c r="CV144" s="575"/>
    </row>
    <row r="145" spans="1:100">
      <c r="A145" s="696" t="str">
        <f t="shared" si="23"/>
        <v>2012deathsInfant</v>
      </c>
      <c r="B145" s="604">
        <v>2012</v>
      </c>
      <c r="C145" s="604" t="s">
        <v>496</v>
      </c>
      <c r="D145" s="604" t="s">
        <v>48</v>
      </c>
      <c r="E145" s="604">
        <v>294</v>
      </c>
      <c r="F145" s="604">
        <v>62035</v>
      </c>
      <c r="G145" s="604">
        <v>4.7</v>
      </c>
      <c r="I145" s="578" t="str">
        <f t="shared" si="24"/>
        <v>2013age25-29Fetal</v>
      </c>
      <c r="J145" s="604">
        <v>2013</v>
      </c>
      <c r="K145" s="604" t="s">
        <v>453</v>
      </c>
      <c r="L145" s="604" t="s">
        <v>131</v>
      </c>
      <c r="M145" s="604">
        <v>88</v>
      </c>
      <c r="N145" s="604">
        <v>15574</v>
      </c>
      <c r="O145" s="604">
        <v>5.7</v>
      </c>
      <c r="P145" s="604" t="s">
        <v>47</v>
      </c>
      <c r="Q145" s="499"/>
      <c r="R145" s="502" t="str">
        <f t="shared" si="25"/>
        <v>2016birthsbwt1000-1499</v>
      </c>
      <c r="S145" s="604">
        <v>2016</v>
      </c>
      <c r="T145" s="604" t="s">
        <v>445</v>
      </c>
      <c r="U145" s="604" t="s">
        <v>447</v>
      </c>
      <c r="V145" s="604" t="s">
        <v>429</v>
      </c>
      <c r="W145" s="604">
        <v>331</v>
      </c>
      <c r="Y145" s="535" t="str">
        <f t="shared" si="26"/>
        <v>2016gestage42+35-39fetal</v>
      </c>
      <c r="Z145" s="604">
        <v>2016</v>
      </c>
      <c r="AA145" s="604" t="s">
        <v>450</v>
      </c>
      <c r="AB145" s="604" t="s">
        <v>453</v>
      </c>
      <c r="AC145" s="604" t="s">
        <v>138</v>
      </c>
      <c r="AD145" s="604" t="s">
        <v>133</v>
      </c>
      <c r="AE145" s="604">
        <v>0</v>
      </c>
      <c r="AF145" s="604">
        <v>162</v>
      </c>
      <c r="AG145" s="604">
        <v>0</v>
      </c>
      <c r="AH145" s="604" t="s">
        <v>420</v>
      </c>
      <c r="AJ145" s="535" t="str">
        <f t="shared" si="27"/>
        <v>2016gestage42+35-39</v>
      </c>
      <c r="AK145" s="604">
        <v>2016</v>
      </c>
      <c r="AL145" s="604" t="s">
        <v>450</v>
      </c>
      <c r="AM145" s="604" t="s">
        <v>453</v>
      </c>
      <c r="AN145" s="604" t="s">
        <v>138</v>
      </c>
      <c r="AO145" s="604" t="s">
        <v>133</v>
      </c>
      <c r="AP145" s="604">
        <v>162</v>
      </c>
      <c r="AR145" s="538" t="str">
        <f t="shared" si="28"/>
        <v>MaoriethfetalTaranaki</v>
      </c>
      <c r="AS145" s="604">
        <v>2016</v>
      </c>
      <c r="AT145" s="604" t="s">
        <v>129</v>
      </c>
      <c r="AU145" s="604" t="s">
        <v>449</v>
      </c>
      <c r="AV145" s="604" t="s">
        <v>93</v>
      </c>
      <c r="AW145" s="604">
        <v>6</v>
      </c>
      <c r="AX145" s="604">
        <v>515</v>
      </c>
      <c r="AY145" s="606">
        <v>11.7</v>
      </c>
      <c r="AZ145" s="604" t="s">
        <v>420</v>
      </c>
      <c r="BB145" s="536" t="str">
        <f t="shared" si="29"/>
        <v>&lt;20agebirthsUnknown</v>
      </c>
      <c r="BC145" s="604">
        <v>2016</v>
      </c>
      <c r="BD145" s="604" t="s">
        <v>339</v>
      </c>
      <c r="BE145" s="604" t="s">
        <v>453</v>
      </c>
      <c r="BF145" s="604" t="s">
        <v>63</v>
      </c>
      <c r="BG145" s="604">
        <v>2</v>
      </c>
      <c r="BH145" s="604" t="s">
        <v>445</v>
      </c>
      <c r="BR145" s="547" t="str">
        <f t="shared" si="30"/>
        <v>Total1000-1499bwt</v>
      </c>
      <c r="BS145" s="604">
        <v>2016</v>
      </c>
      <c r="BT145" s="604" t="s">
        <v>44</v>
      </c>
      <c r="BU145" s="604" t="s">
        <v>429</v>
      </c>
      <c r="BV145" s="604" t="s">
        <v>447</v>
      </c>
      <c r="BW145" s="604">
        <v>8</v>
      </c>
      <c r="BY145" s="553" t="str">
        <f t="shared" si="31"/>
        <v>20031000-1499bwtSIDS</v>
      </c>
      <c r="BZ145" s="604">
        <v>2003</v>
      </c>
      <c r="CA145" s="604" t="s">
        <v>429</v>
      </c>
      <c r="CB145" s="604" t="s">
        <v>447</v>
      </c>
      <c r="CC145" s="604">
        <v>1</v>
      </c>
      <c r="CD145" s="604" t="s">
        <v>32</v>
      </c>
      <c r="CF145" s="554" t="str">
        <f t="shared" si="32"/>
        <v>2016European or Other1500-2499bwtSIDS</v>
      </c>
      <c r="CG145" s="604">
        <v>2016</v>
      </c>
      <c r="CH145" s="604" t="s">
        <v>356</v>
      </c>
      <c r="CI145" s="604" t="s">
        <v>430</v>
      </c>
      <c r="CJ145" s="604" t="s">
        <v>447</v>
      </c>
      <c r="CK145" s="604">
        <v>1</v>
      </c>
      <c r="CL145" s="604" t="s">
        <v>32</v>
      </c>
      <c r="CV145" s="575"/>
    </row>
    <row r="146" spans="1:100">
      <c r="A146" s="696" t="str">
        <f t="shared" si="23"/>
        <v>2013deathsInfant</v>
      </c>
      <c r="B146" s="604">
        <v>2013</v>
      </c>
      <c r="C146" s="604" t="s">
        <v>496</v>
      </c>
      <c r="D146" s="604" t="s">
        <v>48</v>
      </c>
      <c r="E146" s="604">
        <v>296</v>
      </c>
      <c r="F146" s="604">
        <v>59701</v>
      </c>
      <c r="G146" s="604">
        <v>5</v>
      </c>
      <c r="I146" s="578" t="str">
        <f t="shared" si="24"/>
        <v>2013age30-34Fetal</v>
      </c>
      <c r="J146" s="604">
        <v>2013</v>
      </c>
      <c r="K146" s="604" t="s">
        <v>453</v>
      </c>
      <c r="L146" s="604" t="s">
        <v>132</v>
      </c>
      <c r="M146" s="604">
        <v>109</v>
      </c>
      <c r="N146" s="604">
        <v>17079</v>
      </c>
      <c r="O146" s="604">
        <v>6.4</v>
      </c>
      <c r="P146" s="604" t="s">
        <v>47</v>
      </c>
      <c r="Q146" s="499"/>
      <c r="R146" s="502" t="str">
        <f t="shared" si="25"/>
        <v>2016birthsbwt1500-2499</v>
      </c>
      <c r="S146" s="604">
        <v>2016</v>
      </c>
      <c r="T146" s="604" t="s">
        <v>445</v>
      </c>
      <c r="U146" s="604" t="s">
        <v>447</v>
      </c>
      <c r="V146" s="604" t="s">
        <v>430</v>
      </c>
      <c r="W146" s="604">
        <v>2991</v>
      </c>
      <c r="Y146" s="535" t="str">
        <f t="shared" si="26"/>
        <v>2016gestageUnknown35-39fetal</v>
      </c>
      <c r="Z146" s="604">
        <v>2016</v>
      </c>
      <c r="AA146" s="604" t="s">
        <v>450</v>
      </c>
      <c r="AB146" s="604" t="s">
        <v>453</v>
      </c>
      <c r="AC146" s="604" t="s">
        <v>63</v>
      </c>
      <c r="AD146" s="604" t="s">
        <v>133</v>
      </c>
      <c r="AE146" s="604">
        <v>1</v>
      </c>
      <c r="AF146" s="604">
        <v>3</v>
      </c>
      <c r="AG146" s="604" t="s">
        <v>119</v>
      </c>
      <c r="AH146" s="604" t="s">
        <v>420</v>
      </c>
      <c r="AJ146" s="535" t="str">
        <f t="shared" si="27"/>
        <v>2016gestageUnknown35-39</v>
      </c>
      <c r="AK146" s="604">
        <v>2016</v>
      </c>
      <c r="AL146" s="604" t="s">
        <v>450</v>
      </c>
      <c r="AM146" s="604" t="s">
        <v>453</v>
      </c>
      <c r="AN146" s="604" t="s">
        <v>63</v>
      </c>
      <c r="AO146" s="604" t="s">
        <v>133</v>
      </c>
      <c r="AP146" s="604">
        <v>3</v>
      </c>
      <c r="AR146" s="538" t="str">
        <f t="shared" si="28"/>
        <v>AsianethfetalMidCentral</v>
      </c>
      <c r="AS146" s="604">
        <v>2016</v>
      </c>
      <c r="AT146" s="604" t="s">
        <v>355</v>
      </c>
      <c r="AU146" s="604" t="s">
        <v>449</v>
      </c>
      <c r="AV146" s="604" t="s">
        <v>94</v>
      </c>
      <c r="AW146" s="604">
        <v>2</v>
      </c>
      <c r="AX146" s="604">
        <v>193</v>
      </c>
      <c r="AY146" s="606">
        <v>10.4</v>
      </c>
      <c r="AZ146" s="604" t="s">
        <v>420</v>
      </c>
      <c r="BB146" s="536" t="str">
        <f t="shared" si="29"/>
        <v>20-24agebirthsUnknown</v>
      </c>
      <c r="BC146" s="604">
        <v>2016</v>
      </c>
      <c r="BD146" s="604" t="s">
        <v>130</v>
      </c>
      <c r="BE146" s="604" t="s">
        <v>453</v>
      </c>
      <c r="BF146" s="604" t="s">
        <v>63</v>
      </c>
      <c r="BG146" s="604">
        <v>16</v>
      </c>
      <c r="BH146" s="604" t="s">
        <v>445</v>
      </c>
      <c r="BR146" s="547" t="str">
        <f t="shared" si="30"/>
        <v>Total1500-2499bwt</v>
      </c>
      <c r="BS146" s="604">
        <v>2016</v>
      </c>
      <c r="BT146" s="604" t="s">
        <v>44</v>
      </c>
      <c r="BU146" s="604" t="s">
        <v>430</v>
      </c>
      <c r="BV146" s="604" t="s">
        <v>447</v>
      </c>
      <c r="BW146" s="604">
        <v>35</v>
      </c>
      <c r="BY146" s="553" t="str">
        <f t="shared" si="31"/>
        <v>20031500-2499bwtSIDS</v>
      </c>
      <c r="BZ146" s="604">
        <v>2003</v>
      </c>
      <c r="CA146" s="604" t="s">
        <v>430</v>
      </c>
      <c r="CB146" s="604" t="s">
        <v>447</v>
      </c>
      <c r="CC146" s="604">
        <v>7</v>
      </c>
      <c r="CD146" s="604" t="s">
        <v>32</v>
      </c>
      <c r="CF146" s="554" t="str">
        <f t="shared" si="32"/>
        <v>2016Maori1500-2499bwtSIDS</v>
      </c>
      <c r="CG146" s="604">
        <v>2016</v>
      </c>
      <c r="CH146" s="604" t="s">
        <v>129</v>
      </c>
      <c r="CI146" s="604" t="s">
        <v>430</v>
      </c>
      <c r="CJ146" s="604" t="s">
        <v>447</v>
      </c>
      <c r="CK146" s="604">
        <v>1</v>
      </c>
      <c r="CL146" s="604" t="s">
        <v>32</v>
      </c>
      <c r="CV146" s="575"/>
    </row>
    <row r="147" spans="1:100">
      <c r="A147" s="696" t="str">
        <f t="shared" si="23"/>
        <v>2014deathsInfant</v>
      </c>
      <c r="B147" s="604">
        <v>2014</v>
      </c>
      <c r="C147" s="604" t="s">
        <v>496</v>
      </c>
      <c r="D147" s="604" t="s">
        <v>48</v>
      </c>
      <c r="E147" s="604">
        <v>333</v>
      </c>
      <c r="F147" s="604">
        <v>58285</v>
      </c>
      <c r="G147" s="604">
        <v>5.7</v>
      </c>
      <c r="I147" s="578" t="str">
        <f t="shared" si="24"/>
        <v>2013age35-39Fetal</v>
      </c>
      <c r="J147" s="604">
        <v>2013</v>
      </c>
      <c r="K147" s="604" t="s">
        <v>453</v>
      </c>
      <c r="L147" s="604" t="s">
        <v>133</v>
      </c>
      <c r="M147" s="604">
        <v>64</v>
      </c>
      <c r="N147" s="604">
        <v>10299</v>
      </c>
      <c r="O147" s="604">
        <v>6.2</v>
      </c>
      <c r="P147" s="604" t="s">
        <v>47</v>
      </c>
      <c r="Q147" s="499"/>
      <c r="R147" s="502" t="str">
        <f t="shared" si="25"/>
        <v>2016birthsbwt2500-4499</v>
      </c>
      <c r="S147" s="604">
        <v>2016</v>
      </c>
      <c r="T147" s="604" t="s">
        <v>445</v>
      </c>
      <c r="U147" s="604" t="s">
        <v>447</v>
      </c>
      <c r="V147" s="604" t="s">
        <v>431</v>
      </c>
      <c r="W147" s="604">
        <v>55407</v>
      </c>
      <c r="Y147" s="535" t="str">
        <f t="shared" si="26"/>
        <v>2016gestage&lt;2840+fetal</v>
      </c>
      <c r="Z147" s="604">
        <v>2016</v>
      </c>
      <c r="AA147" s="604" t="s">
        <v>450</v>
      </c>
      <c r="AB147" s="604" t="s">
        <v>453</v>
      </c>
      <c r="AC147" s="604" t="s">
        <v>375</v>
      </c>
      <c r="AD147" s="604" t="s">
        <v>134</v>
      </c>
      <c r="AE147" s="604">
        <v>8</v>
      </c>
      <c r="AF147" s="604">
        <v>16</v>
      </c>
      <c r="AG147" s="604">
        <v>333.3</v>
      </c>
      <c r="AH147" s="604" t="s">
        <v>420</v>
      </c>
      <c r="AJ147" s="535" t="str">
        <f t="shared" si="27"/>
        <v>2016gestage&lt;2840+</v>
      </c>
      <c r="AK147" s="604">
        <v>2016</v>
      </c>
      <c r="AL147" s="604" t="s">
        <v>450</v>
      </c>
      <c r="AM147" s="604" t="s">
        <v>453</v>
      </c>
      <c r="AN147" s="604" t="s">
        <v>375</v>
      </c>
      <c r="AO147" s="604" t="s">
        <v>134</v>
      </c>
      <c r="AP147" s="604">
        <v>16</v>
      </c>
      <c r="AR147" s="538" t="str">
        <f t="shared" si="28"/>
        <v>European or OtherethfetalMidCentral</v>
      </c>
      <c r="AS147" s="604">
        <v>2016</v>
      </c>
      <c r="AT147" s="604" t="s">
        <v>356</v>
      </c>
      <c r="AU147" s="604" t="s">
        <v>449</v>
      </c>
      <c r="AV147" s="604" t="s">
        <v>94</v>
      </c>
      <c r="AW147" s="604">
        <v>5</v>
      </c>
      <c r="AX147" s="604">
        <v>991</v>
      </c>
      <c r="AY147" s="606">
        <v>5</v>
      </c>
      <c r="AZ147" s="604" t="s">
        <v>420</v>
      </c>
      <c r="BB147" s="536" t="str">
        <f t="shared" si="29"/>
        <v>25-29agebirthsUnknown</v>
      </c>
      <c r="BC147" s="604">
        <v>2016</v>
      </c>
      <c r="BD147" s="604" t="s">
        <v>131</v>
      </c>
      <c r="BE147" s="604" t="s">
        <v>453</v>
      </c>
      <c r="BF147" s="604" t="s">
        <v>63</v>
      </c>
      <c r="BG147" s="604">
        <v>42</v>
      </c>
      <c r="BH147" s="604" t="s">
        <v>445</v>
      </c>
      <c r="BR147" s="547" t="str">
        <f t="shared" si="30"/>
        <v>Total2500-4499bwt</v>
      </c>
      <c r="BS147" s="604">
        <v>2016</v>
      </c>
      <c r="BT147" s="604" t="s">
        <v>44</v>
      </c>
      <c r="BU147" s="604" t="s">
        <v>431</v>
      </c>
      <c r="BV147" s="604" t="s">
        <v>447</v>
      </c>
      <c r="BW147" s="604">
        <v>95</v>
      </c>
      <c r="BY147" s="553" t="str">
        <f t="shared" si="31"/>
        <v>20032500-4499bwtSIDS</v>
      </c>
      <c r="BZ147" s="604">
        <v>2003</v>
      </c>
      <c r="CA147" s="604" t="s">
        <v>431</v>
      </c>
      <c r="CB147" s="604" t="s">
        <v>447</v>
      </c>
      <c r="CC147" s="604">
        <v>40</v>
      </c>
      <c r="CD147" s="604" t="s">
        <v>32</v>
      </c>
      <c r="CF147" s="554" t="str">
        <f t="shared" si="32"/>
        <v>2016Pacific peoples1500-2499bwtSIDS</v>
      </c>
      <c r="CG147" s="604">
        <v>2016</v>
      </c>
      <c r="CH147" s="604" t="s">
        <v>320</v>
      </c>
      <c r="CI147" s="604" t="s">
        <v>430</v>
      </c>
      <c r="CJ147" s="604" t="s">
        <v>447</v>
      </c>
      <c r="CK147" s="604">
        <v>1</v>
      </c>
      <c r="CL147" s="604" t="s">
        <v>32</v>
      </c>
      <c r="CV147" s="575"/>
    </row>
    <row r="148" spans="1:100">
      <c r="A148" s="696" t="str">
        <f t="shared" si="23"/>
        <v>2015deathsInfant</v>
      </c>
      <c r="B148" s="604">
        <v>2015</v>
      </c>
      <c r="C148" s="604" t="s">
        <v>496</v>
      </c>
      <c r="D148" s="604" t="s">
        <v>48</v>
      </c>
      <c r="E148" s="604">
        <v>266</v>
      </c>
      <c r="F148" s="604">
        <v>62122</v>
      </c>
      <c r="G148" s="604">
        <v>4.3</v>
      </c>
      <c r="I148" s="578" t="str">
        <f t="shared" si="24"/>
        <v>2013age40+Fetal</v>
      </c>
      <c r="J148" s="604">
        <v>2013</v>
      </c>
      <c r="K148" s="604" t="s">
        <v>453</v>
      </c>
      <c r="L148" s="604" t="s">
        <v>134</v>
      </c>
      <c r="M148" s="604">
        <v>34</v>
      </c>
      <c r="N148" s="604">
        <v>2652</v>
      </c>
      <c r="O148" s="604">
        <v>12.8</v>
      </c>
      <c r="P148" s="604" t="s">
        <v>47</v>
      </c>
      <c r="Q148" s="499"/>
      <c r="R148" s="502" t="str">
        <f t="shared" si="25"/>
        <v>2016birthsbwt4500+</v>
      </c>
      <c r="S148" s="604">
        <v>2016</v>
      </c>
      <c r="T148" s="604" t="s">
        <v>445</v>
      </c>
      <c r="U148" s="604" t="s">
        <v>447</v>
      </c>
      <c r="V148" s="604" t="s">
        <v>432</v>
      </c>
      <c r="W148" s="604">
        <v>1423</v>
      </c>
      <c r="Y148" s="535" t="str">
        <f t="shared" si="26"/>
        <v>2016gestage28-3140+fetal</v>
      </c>
      <c r="Z148" s="604">
        <v>2016</v>
      </c>
      <c r="AA148" s="604" t="s">
        <v>450</v>
      </c>
      <c r="AB148" s="604" t="s">
        <v>453</v>
      </c>
      <c r="AC148" s="604" t="s">
        <v>395</v>
      </c>
      <c r="AD148" s="604" t="s">
        <v>134</v>
      </c>
      <c r="AE148" s="604">
        <v>2</v>
      </c>
      <c r="AF148" s="604">
        <v>20</v>
      </c>
      <c r="AG148" s="604">
        <v>90.9</v>
      </c>
      <c r="AH148" s="604" t="s">
        <v>420</v>
      </c>
      <c r="AJ148" s="535" t="str">
        <f t="shared" si="27"/>
        <v>2016gestage28-3140+</v>
      </c>
      <c r="AK148" s="604">
        <v>2016</v>
      </c>
      <c r="AL148" s="604" t="s">
        <v>450</v>
      </c>
      <c r="AM148" s="604" t="s">
        <v>453</v>
      </c>
      <c r="AN148" s="604" t="s">
        <v>395</v>
      </c>
      <c r="AO148" s="604" t="s">
        <v>134</v>
      </c>
      <c r="AP148" s="604">
        <v>20</v>
      </c>
      <c r="AR148" s="538" t="str">
        <f t="shared" si="28"/>
        <v>MaoriethfetalMidCentral</v>
      </c>
      <c r="AS148" s="604">
        <v>2016</v>
      </c>
      <c r="AT148" s="604" t="s">
        <v>129</v>
      </c>
      <c r="AU148" s="604" t="s">
        <v>449</v>
      </c>
      <c r="AV148" s="604" t="s">
        <v>94</v>
      </c>
      <c r="AW148" s="604">
        <v>4</v>
      </c>
      <c r="AX148" s="604">
        <v>817</v>
      </c>
      <c r="AY148" s="606">
        <v>4.9000000000000004</v>
      </c>
      <c r="AZ148" s="604" t="s">
        <v>420</v>
      </c>
      <c r="BB148" s="536" t="str">
        <f t="shared" si="29"/>
        <v>30-34agebirthsUnknown</v>
      </c>
      <c r="BC148" s="604">
        <v>2016</v>
      </c>
      <c r="BD148" s="604" t="s">
        <v>132</v>
      </c>
      <c r="BE148" s="604" t="s">
        <v>453</v>
      </c>
      <c r="BF148" s="604" t="s">
        <v>63</v>
      </c>
      <c r="BG148" s="604">
        <v>43</v>
      </c>
      <c r="BH148" s="604" t="s">
        <v>445</v>
      </c>
      <c r="BR148" s="547" t="str">
        <f t="shared" si="30"/>
        <v>TotalUnknownbwt</v>
      </c>
      <c r="BS148" s="604">
        <v>2016</v>
      </c>
      <c r="BT148" s="604" t="s">
        <v>44</v>
      </c>
      <c r="BU148" s="604" t="s">
        <v>63</v>
      </c>
      <c r="BV148" s="604" t="s">
        <v>447</v>
      </c>
      <c r="BW148" s="604">
        <v>9</v>
      </c>
      <c r="BY148" s="553" t="str">
        <f t="shared" si="31"/>
        <v>20034500+bwtSIDS</v>
      </c>
      <c r="BZ148" s="604">
        <v>2003</v>
      </c>
      <c r="CA148" s="604" t="s">
        <v>432</v>
      </c>
      <c r="CB148" s="604" t="s">
        <v>447</v>
      </c>
      <c r="CC148" s="604">
        <v>0</v>
      </c>
      <c r="CD148" s="604" t="s">
        <v>32</v>
      </c>
      <c r="CF148" s="554" t="str">
        <f t="shared" si="32"/>
        <v>2016Asian2500-4499bwtSIDS</v>
      </c>
      <c r="CG148" s="604">
        <v>2016</v>
      </c>
      <c r="CH148" s="604" t="s">
        <v>355</v>
      </c>
      <c r="CI148" s="604" t="s">
        <v>431</v>
      </c>
      <c r="CJ148" s="604" t="s">
        <v>447</v>
      </c>
      <c r="CK148" s="604">
        <v>1</v>
      </c>
      <c r="CL148" s="604" t="s">
        <v>32</v>
      </c>
      <c r="CV148" s="575"/>
    </row>
    <row r="149" spans="1:100">
      <c r="A149" s="696" t="str">
        <f t="shared" si="23"/>
        <v>2016deathsInfant</v>
      </c>
      <c r="B149" s="604">
        <v>2016</v>
      </c>
      <c r="C149" s="604" t="s">
        <v>496</v>
      </c>
      <c r="D149" s="604" t="s">
        <v>48</v>
      </c>
      <c r="E149" s="604">
        <v>241</v>
      </c>
      <c r="F149" s="604">
        <v>60436</v>
      </c>
      <c r="G149" s="604">
        <v>4</v>
      </c>
      <c r="I149" s="578" t="str">
        <f t="shared" si="24"/>
        <v>2013ageUnknownFetal</v>
      </c>
      <c r="J149" s="604">
        <v>2013</v>
      </c>
      <c r="K149" s="604" t="s">
        <v>453</v>
      </c>
      <c r="L149" s="604" t="s">
        <v>63</v>
      </c>
      <c r="M149" s="604">
        <v>0</v>
      </c>
      <c r="N149" s="604">
        <v>0</v>
      </c>
      <c r="O149" s="604" t="s">
        <v>119</v>
      </c>
      <c r="P149" s="604" t="s">
        <v>47</v>
      </c>
      <c r="Q149" s="499"/>
      <c r="R149" s="502" t="str">
        <f t="shared" si="25"/>
        <v>2016birthsbwtUnknown</v>
      </c>
      <c r="S149" s="604">
        <v>2016</v>
      </c>
      <c r="T149" s="604" t="s">
        <v>445</v>
      </c>
      <c r="U149" s="604" t="s">
        <v>447</v>
      </c>
      <c r="V149" s="604" t="s">
        <v>63</v>
      </c>
      <c r="W149" s="604">
        <v>35</v>
      </c>
      <c r="Y149" s="535" t="str">
        <f t="shared" si="26"/>
        <v>2016gestage32-3640+fetal</v>
      </c>
      <c r="Z149" s="604">
        <v>2016</v>
      </c>
      <c r="AA149" s="604" t="s">
        <v>450</v>
      </c>
      <c r="AB149" s="604" t="s">
        <v>453</v>
      </c>
      <c r="AC149" s="604" t="s">
        <v>136</v>
      </c>
      <c r="AD149" s="604" t="s">
        <v>134</v>
      </c>
      <c r="AE149" s="604">
        <v>1</v>
      </c>
      <c r="AF149" s="604">
        <v>234</v>
      </c>
      <c r="AG149" s="604">
        <v>4.3</v>
      </c>
      <c r="AH149" s="604" t="s">
        <v>420</v>
      </c>
      <c r="AJ149" s="535" t="str">
        <f t="shared" si="27"/>
        <v>2016gestage32-3640+</v>
      </c>
      <c r="AK149" s="604">
        <v>2016</v>
      </c>
      <c r="AL149" s="604" t="s">
        <v>450</v>
      </c>
      <c r="AM149" s="604" t="s">
        <v>453</v>
      </c>
      <c r="AN149" s="604" t="s">
        <v>136</v>
      </c>
      <c r="AO149" s="604" t="s">
        <v>134</v>
      </c>
      <c r="AP149" s="604">
        <v>234</v>
      </c>
      <c r="AR149" s="538" t="str">
        <f t="shared" si="28"/>
        <v>AsianethfetalWhanganui</v>
      </c>
      <c r="AS149" s="604">
        <v>2016</v>
      </c>
      <c r="AT149" s="604" t="s">
        <v>355</v>
      </c>
      <c r="AU149" s="604" t="s">
        <v>449</v>
      </c>
      <c r="AV149" s="604" t="s">
        <v>95</v>
      </c>
      <c r="AW149" s="604">
        <v>1</v>
      </c>
      <c r="AX149" s="604">
        <v>39</v>
      </c>
      <c r="AY149" s="606">
        <v>25.6</v>
      </c>
      <c r="AZ149" s="604" t="s">
        <v>420</v>
      </c>
      <c r="BB149" s="536" t="str">
        <f t="shared" si="29"/>
        <v>35-39agebirthsUnknown</v>
      </c>
      <c r="BC149" s="604">
        <v>2016</v>
      </c>
      <c r="BD149" s="604" t="s">
        <v>133</v>
      </c>
      <c r="BE149" s="604" t="s">
        <v>453</v>
      </c>
      <c r="BF149" s="604" t="s">
        <v>63</v>
      </c>
      <c r="BG149" s="604">
        <v>22</v>
      </c>
      <c r="BH149" s="604" t="s">
        <v>445</v>
      </c>
      <c r="BR149" s="547" t="str">
        <f t="shared" si="30"/>
        <v>TotalQuin 1dep</v>
      </c>
      <c r="BS149" s="604">
        <v>2016</v>
      </c>
      <c r="BT149" s="604" t="s">
        <v>44</v>
      </c>
      <c r="BU149" s="604" t="s">
        <v>421</v>
      </c>
      <c r="BV149" s="604" t="s">
        <v>454</v>
      </c>
      <c r="BW149" s="604">
        <v>24</v>
      </c>
      <c r="BY149" s="553" t="str">
        <f t="shared" si="31"/>
        <v>2003UnknownbwtSIDS</v>
      </c>
      <c r="BZ149" s="604">
        <v>2003</v>
      </c>
      <c r="CA149" s="604" t="s">
        <v>63</v>
      </c>
      <c r="CB149" s="604" t="s">
        <v>447</v>
      </c>
      <c r="CC149" s="604">
        <v>0</v>
      </c>
      <c r="CD149" s="604" t="s">
        <v>32</v>
      </c>
      <c r="CF149" s="554" t="str">
        <f t="shared" si="32"/>
        <v>2016European or Other2500-4499bwtSIDS</v>
      </c>
      <c r="CG149" s="604">
        <v>2016</v>
      </c>
      <c r="CH149" s="604" t="s">
        <v>356</v>
      </c>
      <c r="CI149" s="604" t="s">
        <v>431</v>
      </c>
      <c r="CJ149" s="604" t="s">
        <v>447</v>
      </c>
      <c r="CK149" s="604">
        <v>3</v>
      </c>
      <c r="CL149" s="604" t="s">
        <v>32</v>
      </c>
      <c r="CV149" s="575"/>
    </row>
    <row r="150" spans="1:100">
      <c r="I150" s="578" t="str">
        <f t="shared" si="24"/>
        <v>2014age&lt;20Fetal</v>
      </c>
      <c r="J150" s="604">
        <v>2014</v>
      </c>
      <c r="K150" s="604" t="s">
        <v>453</v>
      </c>
      <c r="L150" s="604" t="s">
        <v>339</v>
      </c>
      <c r="M150" s="604">
        <v>32</v>
      </c>
      <c r="N150" s="604">
        <v>3049</v>
      </c>
      <c r="O150" s="604">
        <v>10.5</v>
      </c>
      <c r="P150" s="604" t="s">
        <v>47</v>
      </c>
      <c r="Q150" s="499"/>
      <c r="R150" s="502" t="str">
        <f t="shared" si="25"/>
        <v>1996birthsdepQuin 1</v>
      </c>
      <c r="S150" s="604">
        <v>1996</v>
      </c>
      <c r="T150" s="604" t="s">
        <v>445</v>
      </c>
      <c r="U150" s="604" t="s">
        <v>454</v>
      </c>
      <c r="V150" s="604" t="s">
        <v>421</v>
      </c>
      <c r="W150" s="604">
        <v>6224</v>
      </c>
      <c r="Y150" s="535" t="str">
        <f t="shared" si="26"/>
        <v>2016gestage37-4140+fetal</v>
      </c>
      <c r="Z150" s="604">
        <v>2016</v>
      </c>
      <c r="AA150" s="604" t="s">
        <v>450</v>
      </c>
      <c r="AB150" s="604" t="s">
        <v>453</v>
      </c>
      <c r="AC150" s="604" t="s">
        <v>137</v>
      </c>
      <c r="AD150" s="604" t="s">
        <v>134</v>
      </c>
      <c r="AE150" s="604">
        <v>5</v>
      </c>
      <c r="AF150" s="604">
        <v>2163</v>
      </c>
      <c r="AG150" s="604">
        <v>2.2999999999999998</v>
      </c>
      <c r="AH150" s="604" t="s">
        <v>420</v>
      </c>
      <c r="AJ150" s="535" t="str">
        <f t="shared" si="27"/>
        <v>2016gestage37-4140+</v>
      </c>
      <c r="AK150" s="604">
        <v>2016</v>
      </c>
      <c r="AL150" s="604" t="s">
        <v>450</v>
      </c>
      <c r="AM150" s="604" t="s">
        <v>453</v>
      </c>
      <c r="AN150" s="604" t="s">
        <v>137</v>
      </c>
      <c r="AO150" s="604" t="s">
        <v>134</v>
      </c>
      <c r="AP150" s="604">
        <v>2163</v>
      </c>
      <c r="AR150" s="538" t="str">
        <f t="shared" si="28"/>
        <v>European or OtherethfetalWhanganui</v>
      </c>
      <c r="AS150" s="604">
        <v>2016</v>
      </c>
      <c r="AT150" s="604" t="s">
        <v>356</v>
      </c>
      <c r="AU150" s="604" t="s">
        <v>449</v>
      </c>
      <c r="AV150" s="604" t="s">
        <v>95</v>
      </c>
      <c r="AW150" s="604">
        <v>1</v>
      </c>
      <c r="AX150" s="604">
        <v>346</v>
      </c>
      <c r="AY150" s="606">
        <v>2.9</v>
      </c>
      <c r="AZ150" s="604" t="s">
        <v>420</v>
      </c>
      <c r="BB150" s="536" t="str">
        <f t="shared" si="29"/>
        <v>40+agebirthsUnknown</v>
      </c>
      <c r="BC150" s="604">
        <v>2016</v>
      </c>
      <c r="BD150" s="604" t="s">
        <v>134</v>
      </c>
      <c r="BE150" s="604" t="s">
        <v>453</v>
      </c>
      <c r="BF150" s="604" t="s">
        <v>63</v>
      </c>
      <c r="BG150" s="604">
        <v>5</v>
      </c>
      <c r="BH150" s="604" t="s">
        <v>445</v>
      </c>
      <c r="BR150" s="547" t="str">
        <f t="shared" si="30"/>
        <v>TotalQuin 2dep</v>
      </c>
      <c r="BS150" s="604">
        <v>2016</v>
      </c>
      <c r="BT150" s="604" t="s">
        <v>44</v>
      </c>
      <c r="BU150" s="604" t="s">
        <v>422</v>
      </c>
      <c r="BV150" s="604" t="s">
        <v>454</v>
      </c>
      <c r="BW150" s="604">
        <v>24</v>
      </c>
      <c r="BY150" s="553" t="str">
        <f t="shared" si="31"/>
        <v>2004&lt;500bwtSIDS</v>
      </c>
      <c r="BZ150" s="604">
        <v>2004</v>
      </c>
      <c r="CA150" s="604" t="s">
        <v>427</v>
      </c>
      <c r="CB150" s="604" t="s">
        <v>447</v>
      </c>
      <c r="CC150" s="604">
        <v>0</v>
      </c>
      <c r="CD150" s="604" t="s">
        <v>32</v>
      </c>
      <c r="CF150" s="554" t="str">
        <f t="shared" si="32"/>
        <v>2016Maori2500-4499bwtSIDS</v>
      </c>
      <c r="CG150" s="604">
        <v>2016</v>
      </c>
      <c r="CH150" s="604" t="s">
        <v>129</v>
      </c>
      <c r="CI150" s="604" t="s">
        <v>431</v>
      </c>
      <c r="CJ150" s="604" t="s">
        <v>447</v>
      </c>
      <c r="CK150" s="604">
        <v>13</v>
      </c>
      <c r="CL150" s="604" t="s">
        <v>32</v>
      </c>
      <c r="CV150" s="575"/>
    </row>
    <row r="151" spans="1:100">
      <c r="I151" s="578" t="str">
        <f t="shared" si="24"/>
        <v>2014age20-24Fetal</v>
      </c>
      <c r="J151" s="604">
        <v>2014</v>
      </c>
      <c r="K151" s="604" t="s">
        <v>453</v>
      </c>
      <c r="L151" s="604" t="s">
        <v>130</v>
      </c>
      <c r="M151" s="604">
        <v>82</v>
      </c>
      <c r="N151" s="604">
        <v>10317</v>
      </c>
      <c r="O151" s="604">
        <v>7.9</v>
      </c>
      <c r="P151" s="604" t="s">
        <v>47</v>
      </c>
      <c r="Q151" s="499"/>
      <c r="R151" s="502" t="str">
        <f t="shared" si="25"/>
        <v>1996birthsdepQuin 2</v>
      </c>
      <c r="S151" s="604">
        <v>1996</v>
      </c>
      <c r="T151" s="604" t="s">
        <v>445</v>
      </c>
      <c r="U151" s="604" t="s">
        <v>454</v>
      </c>
      <c r="V151" s="604" t="s">
        <v>422</v>
      </c>
      <c r="W151" s="604">
        <v>7213</v>
      </c>
      <c r="Y151" s="535" t="str">
        <f t="shared" si="26"/>
        <v>2016gestage42+40+fetal</v>
      </c>
      <c r="Z151" s="604">
        <v>2016</v>
      </c>
      <c r="AA151" s="604" t="s">
        <v>450</v>
      </c>
      <c r="AB151" s="604" t="s">
        <v>453</v>
      </c>
      <c r="AC151" s="604" t="s">
        <v>138</v>
      </c>
      <c r="AD151" s="604" t="s">
        <v>134</v>
      </c>
      <c r="AE151" s="604">
        <v>0</v>
      </c>
      <c r="AF151" s="604">
        <v>18</v>
      </c>
      <c r="AG151" s="604">
        <v>0</v>
      </c>
      <c r="AH151" s="604" t="s">
        <v>420</v>
      </c>
      <c r="AJ151" s="535" t="str">
        <f t="shared" si="27"/>
        <v>2016gestage42+40+</v>
      </c>
      <c r="AK151" s="604">
        <v>2016</v>
      </c>
      <c r="AL151" s="604" t="s">
        <v>450</v>
      </c>
      <c r="AM151" s="604" t="s">
        <v>453</v>
      </c>
      <c r="AN151" s="604" t="s">
        <v>138</v>
      </c>
      <c r="AO151" s="604" t="s">
        <v>134</v>
      </c>
      <c r="AP151" s="604">
        <v>18</v>
      </c>
      <c r="AR151" s="538" t="str">
        <f t="shared" si="28"/>
        <v>MaoriethfetalWhanganui</v>
      </c>
      <c r="AS151" s="604">
        <v>2016</v>
      </c>
      <c r="AT151" s="604" t="s">
        <v>129</v>
      </c>
      <c r="AU151" s="604" t="s">
        <v>449</v>
      </c>
      <c r="AV151" s="604" t="s">
        <v>95</v>
      </c>
      <c r="AW151" s="604">
        <v>2</v>
      </c>
      <c r="AX151" s="604">
        <v>405</v>
      </c>
      <c r="AY151" s="606">
        <v>4.9000000000000004</v>
      </c>
      <c r="AZ151" s="604" t="s">
        <v>420</v>
      </c>
      <c r="BB151" s="536" t="str">
        <f t="shared" si="29"/>
        <v>MaoriethbirthsNorthland</v>
      </c>
      <c r="BC151" s="604">
        <v>2016</v>
      </c>
      <c r="BD151" s="604" t="s">
        <v>129</v>
      </c>
      <c r="BE151" s="604" t="s">
        <v>449</v>
      </c>
      <c r="BF151" s="604" t="s">
        <v>85</v>
      </c>
      <c r="BG151" s="604">
        <v>1318</v>
      </c>
      <c r="BH151" s="604" t="s">
        <v>445</v>
      </c>
      <c r="BR151" s="547" t="str">
        <f t="shared" si="30"/>
        <v>TotalQuin 3dep</v>
      </c>
      <c r="BS151" s="604">
        <v>2016</v>
      </c>
      <c r="BT151" s="604" t="s">
        <v>44</v>
      </c>
      <c r="BU151" s="604" t="s">
        <v>423</v>
      </c>
      <c r="BV151" s="604" t="s">
        <v>454</v>
      </c>
      <c r="BW151" s="604">
        <v>32</v>
      </c>
      <c r="BY151" s="553" t="str">
        <f t="shared" si="31"/>
        <v>2004500-999bwtSIDS</v>
      </c>
      <c r="BZ151" s="604">
        <v>2004</v>
      </c>
      <c r="CA151" s="604" t="s">
        <v>428</v>
      </c>
      <c r="CB151" s="604" t="s">
        <v>447</v>
      </c>
      <c r="CC151" s="604">
        <v>0</v>
      </c>
      <c r="CD151" s="604" t="s">
        <v>32</v>
      </c>
      <c r="CF151" s="554" t="str">
        <f t="shared" si="32"/>
        <v>2016Pacific peoples2500-4499bwtSIDS</v>
      </c>
      <c r="CG151" s="604">
        <v>2016</v>
      </c>
      <c r="CH151" s="604" t="s">
        <v>320</v>
      </c>
      <c r="CI151" s="604" t="s">
        <v>431</v>
      </c>
      <c r="CJ151" s="604" t="s">
        <v>447</v>
      </c>
      <c r="CK151" s="604">
        <v>2</v>
      </c>
      <c r="CL151" s="604" t="s">
        <v>32</v>
      </c>
      <c r="CV151" s="575"/>
    </row>
    <row r="152" spans="1:100">
      <c r="I152" s="578" t="str">
        <f t="shared" si="24"/>
        <v>2014age25-29Fetal</v>
      </c>
      <c r="J152" s="604">
        <v>2014</v>
      </c>
      <c r="K152" s="604" t="s">
        <v>453</v>
      </c>
      <c r="L152" s="604" t="s">
        <v>131</v>
      </c>
      <c r="M152" s="604">
        <v>106</v>
      </c>
      <c r="N152" s="604">
        <v>15625</v>
      </c>
      <c r="O152" s="604">
        <v>6.8</v>
      </c>
      <c r="P152" s="604" t="s">
        <v>47</v>
      </c>
      <c r="Q152" s="499"/>
      <c r="R152" s="502" t="str">
        <f t="shared" si="25"/>
        <v>1996birthsdepQuin 3</v>
      </c>
      <c r="S152" s="604">
        <v>1996</v>
      </c>
      <c r="T152" s="604" t="s">
        <v>445</v>
      </c>
      <c r="U152" s="604" t="s">
        <v>454</v>
      </c>
      <c r="V152" s="604" t="s">
        <v>423</v>
      </c>
      <c r="W152" s="604">
        <v>9023</v>
      </c>
      <c r="Y152" s="535" t="str">
        <f t="shared" si="26"/>
        <v>2016gestageUnknown40+fetal</v>
      </c>
      <c r="Z152" s="604">
        <v>2016</v>
      </c>
      <c r="AA152" s="604" t="s">
        <v>450</v>
      </c>
      <c r="AB152" s="604" t="s">
        <v>453</v>
      </c>
      <c r="AC152" s="604" t="s">
        <v>63</v>
      </c>
      <c r="AD152" s="604" t="s">
        <v>134</v>
      </c>
      <c r="AE152" s="604">
        <v>0</v>
      </c>
      <c r="AF152" s="604">
        <v>3</v>
      </c>
      <c r="AG152" s="604" t="s">
        <v>119</v>
      </c>
      <c r="AH152" s="604" t="s">
        <v>420</v>
      </c>
      <c r="AJ152" s="535" t="str">
        <f t="shared" si="27"/>
        <v>2016gestageUnknown40+</v>
      </c>
      <c r="AK152" s="604">
        <v>2016</v>
      </c>
      <c r="AL152" s="604" t="s">
        <v>450</v>
      </c>
      <c r="AM152" s="604" t="s">
        <v>453</v>
      </c>
      <c r="AN152" s="604" t="s">
        <v>63</v>
      </c>
      <c r="AO152" s="604" t="s">
        <v>134</v>
      </c>
      <c r="AP152" s="604">
        <v>3</v>
      </c>
      <c r="AR152" s="538" t="str">
        <f t="shared" si="28"/>
        <v>AsianethfetalCapital &amp; Coast</v>
      </c>
      <c r="AS152" s="604">
        <v>2016</v>
      </c>
      <c r="AT152" s="604" t="s">
        <v>355</v>
      </c>
      <c r="AU152" s="604" t="s">
        <v>449</v>
      </c>
      <c r="AV152" s="604" t="s">
        <v>96</v>
      </c>
      <c r="AW152" s="604">
        <v>3</v>
      </c>
      <c r="AX152" s="604">
        <v>681</v>
      </c>
      <c r="AY152" s="606">
        <v>4.4000000000000004</v>
      </c>
      <c r="AZ152" s="604" t="s">
        <v>420</v>
      </c>
      <c r="BB152" s="536" t="str">
        <f t="shared" si="29"/>
        <v>Pacific peoplesethbirthsNorthland</v>
      </c>
      <c r="BC152" s="604">
        <v>2016</v>
      </c>
      <c r="BD152" s="604" t="s">
        <v>320</v>
      </c>
      <c r="BE152" s="604" t="s">
        <v>449</v>
      </c>
      <c r="BF152" s="604" t="s">
        <v>85</v>
      </c>
      <c r="BG152" s="604">
        <v>61</v>
      </c>
      <c r="BH152" s="604" t="s">
        <v>445</v>
      </c>
      <c r="BR152" s="547" t="str">
        <f>BT152&amp;BU152&amp;BV152</f>
        <v>TotalQuin 4dep</v>
      </c>
      <c r="BS152" s="604">
        <v>2016</v>
      </c>
      <c r="BT152" s="604" t="s">
        <v>44</v>
      </c>
      <c r="BU152" s="604" t="s">
        <v>424</v>
      </c>
      <c r="BV152" s="604" t="s">
        <v>454</v>
      </c>
      <c r="BW152" s="604">
        <v>52</v>
      </c>
      <c r="BY152" s="553" t="str">
        <f t="shared" si="31"/>
        <v>20041000-1499bwtSIDS</v>
      </c>
      <c r="BZ152" s="604">
        <v>2004</v>
      </c>
      <c r="CA152" s="604" t="s">
        <v>429</v>
      </c>
      <c r="CB152" s="604" t="s">
        <v>447</v>
      </c>
      <c r="CC152" s="604">
        <v>0</v>
      </c>
      <c r="CD152" s="604" t="s">
        <v>32</v>
      </c>
      <c r="CF152" s="554" t="str">
        <f t="shared" si="32"/>
        <v>2016European or Other4500+bwtSIDS</v>
      </c>
      <c r="CG152" s="604">
        <v>2016</v>
      </c>
      <c r="CH152" s="604" t="s">
        <v>356</v>
      </c>
      <c r="CI152" s="604" t="s">
        <v>432</v>
      </c>
      <c r="CJ152" s="604" t="s">
        <v>447</v>
      </c>
      <c r="CK152" s="604">
        <v>0</v>
      </c>
      <c r="CL152" s="604" t="s">
        <v>32</v>
      </c>
      <c r="CV152" s="575"/>
    </row>
    <row r="153" spans="1:100">
      <c r="I153" s="578" t="str">
        <f t="shared" si="24"/>
        <v>2014age30-34Fetal</v>
      </c>
      <c r="J153" s="604">
        <v>2014</v>
      </c>
      <c r="K153" s="604" t="s">
        <v>453</v>
      </c>
      <c r="L153" s="604" t="s">
        <v>132</v>
      </c>
      <c r="M153" s="604">
        <v>122</v>
      </c>
      <c r="N153" s="604">
        <v>17497</v>
      </c>
      <c r="O153" s="604">
        <v>7</v>
      </c>
      <c r="P153" s="604" t="s">
        <v>47</v>
      </c>
      <c r="Q153" s="499"/>
      <c r="R153" s="502" t="str">
        <f t="shared" si="25"/>
        <v>1996birthsdepQuin 4</v>
      </c>
      <c r="S153" s="604">
        <v>1996</v>
      </c>
      <c r="T153" s="604" t="s">
        <v>445</v>
      </c>
      <c r="U153" s="604" t="s">
        <v>454</v>
      </c>
      <c r="V153" s="604" t="s">
        <v>424</v>
      </c>
      <c r="W153" s="604">
        <v>11553</v>
      </c>
      <c r="Y153" s="535" t="str">
        <f t="shared" si="26"/>
        <v>2016ethbwtMaori&lt;500fetal</v>
      </c>
      <c r="Z153" s="604">
        <v>2016</v>
      </c>
      <c r="AA153" s="604" t="s">
        <v>449</v>
      </c>
      <c r="AB153" s="604" t="s">
        <v>447</v>
      </c>
      <c r="AC153" s="604" t="s">
        <v>129</v>
      </c>
      <c r="AD153" s="604" t="s">
        <v>427</v>
      </c>
      <c r="AE153" s="604">
        <v>44</v>
      </c>
      <c r="AF153" s="604">
        <v>14</v>
      </c>
      <c r="AG153" s="604" t="s">
        <v>119</v>
      </c>
      <c r="AH153" s="604" t="s">
        <v>420</v>
      </c>
      <c r="AJ153" s="535" t="str">
        <f t="shared" si="27"/>
        <v>2016ethbwtMaori&lt;500</v>
      </c>
      <c r="AK153" s="604">
        <v>2016</v>
      </c>
      <c r="AL153" s="604" t="s">
        <v>449</v>
      </c>
      <c r="AM153" s="604" t="s">
        <v>447</v>
      </c>
      <c r="AN153" s="604" t="s">
        <v>129</v>
      </c>
      <c r="AO153" s="604" t="s">
        <v>427</v>
      </c>
      <c r="AP153" s="604">
        <v>14</v>
      </c>
      <c r="AR153" s="538" t="str">
        <f t="shared" si="28"/>
        <v>European or OtherethfetalCapital &amp; Coast</v>
      </c>
      <c r="AS153" s="604">
        <v>2016</v>
      </c>
      <c r="AT153" s="604" t="s">
        <v>356</v>
      </c>
      <c r="AU153" s="604" t="s">
        <v>449</v>
      </c>
      <c r="AV153" s="604" t="s">
        <v>96</v>
      </c>
      <c r="AW153" s="604">
        <v>10</v>
      </c>
      <c r="AX153" s="604">
        <v>1823</v>
      </c>
      <c r="AY153" s="606">
        <v>5.5</v>
      </c>
      <c r="AZ153" s="604" t="s">
        <v>420</v>
      </c>
      <c r="BB153" s="536" t="str">
        <f t="shared" si="29"/>
        <v>AsianethbirthsNorthland</v>
      </c>
      <c r="BC153" s="604">
        <v>2016</v>
      </c>
      <c r="BD153" s="604" t="s">
        <v>355</v>
      </c>
      <c r="BE153" s="604" t="s">
        <v>449</v>
      </c>
      <c r="BF153" s="604" t="s">
        <v>85</v>
      </c>
      <c r="BG153" s="604">
        <v>126</v>
      </c>
      <c r="BH153" s="604" t="s">
        <v>445</v>
      </c>
      <c r="BR153" s="547" t="str">
        <f t="shared" ref="BR153:BR159" si="33">BT153&amp;BU153&amp;BV153</f>
        <v>TotalQuin 5dep</v>
      </c>
      <c r="BS153" s="604">
        <v>2016</v>
      </c>
      <c r="BT153" s="604" t="s">
        <v>44</v>
      </c>
      <c r="BU153" s="604" t="s">
        <v>425</v>
      </c>
      <c r="BV153" s="604" t="s">
        <v>454</v>
      </c>
      <c r="BW153" s="604">
        <v>107</v>
      </c>
      <c r="BY153" s="553" t="str">
        <f t="shared" si="31"/>
        <v>20041500-2499bwtSIDS</v>
      </c>
      <c r="BZ153" s="604">
        <v>2004</v>
      </c>
      <c r="CA153" s="604" t="s">
        <v>430</v>
      </c>
      <c r="CB153" s="604" t="s">
        <v>447</v>
      </c>
      <c r="CC153" s="604">
        <v>8</v>
      </c>
      <c r="CD153" s="604" t="s">
        <v>32</v>
      </c>
      <c r="CF153" s="554" t="str">
        <f t="shared" si="32"/>
        <v>2016Maori4500+bwtSIDS</v>
      </c>
      <c r="CG153" s="604">
        <v>2016</v>
      </c>
      <c r="CH153" s="604" t="s">
        <v>129</v>
      </c>
      <c r="CI153" s="604" t="s">
        <v>432</v>
      </c>
      <c r="CJ153" s="604" t="s">
        <v>447</v>
      </c>
      <c r="CK153" s="604">
        <v>0</v>
      </c>
      <c r="CL153" s="604" t="s">
        <v>32</v>
      </c>
      <c r="CV153" s="575"/>
    </row>
    <row r="154" spans="1:100">
      <c r="I154" s="578" t="str">
        <f t="shared" si="24"/>
        <v>2014age35-39Fetal</v>
      </c>
      <c r="J154" s="604">
        <v>2014</v>
      </c>
      <c r="K154" s="604" t="s">
        <v>453</v>
      </c>
      <c r="L154" s="604" t="s">
        <v>133</v>
      </c>
      <c r="M154" s="604">
        <v>79</v>
      </c>
      <c r="N154" s="604">
        <v>9718</v>
      </c>
      <c r="O154" s="604">
        <v>8.1</v>
      </c>
      <c r="P154" s="604" t="s">
        <v>47</v>
      </c>
      <c r="Q154" s="499"/>
      <c r="R154" s="502" t="str">
        <f t="shared" si="25"/>
        <v>1996birthsdepQuin 5</v>
      </c>
      <c r="S154" s="604">
        <v>1996</v>
      </c>
      <c r="T154" s="604" t="s">
        <v>445</v>
      </c>
      <c r="U154" s="604" t="s">
        <v>454</v>
      </c>
      <c r="V154" s="604" t="s">
        <v>425</v>
      </c>
      <c r="W154" s="604">
        <v>15161</v>
      </c>
      <c r="Y154" s="535" t="str">
        <f t="shared" si="26"/>
        <v>2016ethbwtPacific peoples&lt;500fetal</v>
      </c>
      <c r="Z154" s="604">
        <v>2016</v>
      </c>
      <c r="AA154" s="604" t="s">
        <v>449</v>
      </c>
      <c r="AB154" s="604" t="s">
        <v>447</v>
      </c>
      <c r="AC154" s="604" t="s">
        <v>320</v>
      </c>
      <c r="AD154" s="604" t="s">
        <v>427</v>
      </c>
      <c r="AE154" s="604">
        <v>7</v>
      </c>
      <c r="AF154" s="604">
        <v>5</v>
      </c>
      <c r="AG154" s="604" t="s">
        <v>119</v>
      </c>
      <c r="AH154" s="604" t="s">
        <v>420</v>
      </c>
      <c r="AJ154" s="535" t="str">
        <f t="shared" si="27"/>
        <v>2016ethbwtPacific peoples&lt;500</v>
      </c>
      <c r="AK154" s="604">
        <v>2016</v>
      </c>
      <c r="AL154" s="604" t="s">
        <v>449</v>
      </c>
      <c r="AM154" s="604" t="s">
        <v>447</v>
      </c>
      <c r="AN154" s="604" t="s">
        <v>320</v>
      </c>
      <c r="AO154" s="604" t="s">
        <v>427</v>
      </c>
      <c r="AP154" s="604">
        <v>5</v>
      </c>
      <c r="AR154" s="538" t="str">
        <f t="shared" si="28"/>
        <v>MaoriethfetalCapital &amp; Coast</v>
      </c>
      <c r="AS154" s="604">
        <v>2016</v>
      </c>
      <c r="AT154" s="604" t="s">
        <v>129</v>
      </c>
      <c r="AU154" s="604" t="s">
        <v>449</v>
      </c>
      <c r="AV154" s="604" t="s">
        <v>96</v>
      </c>
      <c r="AW154" s="604">
        <v>1</v>
      </c>
      <c r="AX154" s="604">
        <v>679</v>
      </c>
      <c r="AY154" s="606">
        <v>1.5</v>
      </c>
      <c r="AZ154" s="604" t="s">
        <v>420</v>
      </c>
      <c r="BB154" s="536" t="str">
        <f t="shared" si="29"/>
        <v>European or OtherethbirthsNorthland</v>
      </c>
      <c r="BC154" s="604">
        <v>2016</v>
      </c>
      <c r="BD154" s="604" t="s">
        <v>356</v>
      </c>
      <c r="BE154" s="604" t="s">
        <v>449</v>
      </c>
      <c r="BF154" s="604" t="s">
        <v>85</v>
      </c>
      <c r="BG154" s="604">
        <v>815</v>
      </c>
      <c r="BH154" s="604" t="s">
        <v>445</v>
      </c>
      <c r="BR154" s="547" t="str">
        <f t="shared" si="33"/>
        <v>TotalQuin 9dep</v>
      </c>
      <c r="BS154" s="604">
        <v>2016</v>
      </c>
      <c r="BT154" s="604" t="s">
        <v>44</v>
      </c>
      <c r="BU154" s="604" t="s">
        <v>426</v>
      </c>
      <c r="BV154" s="604" t="s">
        <v>454</v>
      </c>
      <c r="BW154" s="604">
        <v>2</v>
      </c>
      <c r="BY154" s="553" t="str">
        <f t="shared" si="31"/>
        <v>20042500-4499bwtSIDS</v>
      </c>
      <c r="BZ154" s="604">
        <v>2004</v>
      </c>
      <c r="CA154" s="604" t="s">
        <v>431</v>
      </c>
      <c r="CB154" s="604" t="s">
        <v>447</v>
      </c>
      <c r="CC154" s="604">
        <v>34</v>
      </c>
      <c r="CD154" s="604" t="s">
        <v>32</v>
      </c>
      <c r="CF154" s="554" t="str">
        <f t="shared" si="32"/>
        <v>2016Pacific peoples4500+bwtSIDS</v>
      </c>
      <c r="CG154" s="604">
        <v>2016</v>
      </c>
      <c r="CH154" s="604" t="s">
        <v>320</v>
      </c>
      <c r="CI154" s="604" t="s">
        <v>432</v>
      </c>
      <c r="CJ154" s="604" t="s">
        <v>447</v>
      </c>
      <c r="CK154" s="604">
        <v>0</v>
      </c>
      <c r="CL154" s="604" t="s">
        <v>32</v>
      </c>
      <c r="CV154" s="575"/>
    </row>
    <row r="155" spans="1:100">
      <c r="I155" s="578" t="str">
        <f t="shared" si="24"/>
        <v>2014age40+Fetal</v>
      </c>
      <c r="J155" s="604">
        <v>2014</v>
      </c>
      <c r="K155" s="604" t="s">
        <v>453</v>
      </c>
      <c r="L155" s="604" t="s">
        <v>134</v>
      </c>
      <c r="M155" s="604">
        <v>26</v>
      </c>
      <c r="N155" s="604">
        <v>2526</v>
      </c>
      <c r="O155" s="604">
        <v>10.3</v>
      </c>
      <c r="P155" s="604" t="s">
        <v>47</v>
      </c>
      <c r="Q155" s="499"/>
      <c r="R155" s="502" t="str">
        <f t="shared" si="25"/>
        <v>1996birthsdepQuin 9</v>
      </c>
      <c r="S155" s="604">
        <v>1996</v>
      </c>
      <c r="T155" s="604" t="s">
        <v>445</v>
      </c>
      <c r="U155" s="604" t="s">
        <v>454</v>
      </c>
      <c r="V155" s="604" t="s">
        <v>426</v>
      </c>
      <c r="W155" s="604">
        <v>8260</v>
      </c>
      <c r="Y155" s="535" t="str">
        <f t="shared" si="26"/>
        <v>2016ethbwtAsian&lt;500fetal</v>
      </c>
      <c r="Z155" s="604">
        <v>2016</v>
      </c>
      <c r="AA155" s="604" t="s">
        <v>449</v>
      </c>
      <c r="AB155" s="604" t="s">
        <v>447</v>
      </c>
      <c r="AC155" s="604" t="s">
        <v>355</v>
      </c>
      <c r="AD155" s="604" t="s">
        <v>427</v>
      </c>
      <c r="AE155" s="604">
        <v>28</v>
      </c>
      <c r="AF155" s="604">
        <v>19</v>
      </c>
      <c r="AG155" s="604" t="s">
        <v>119</v>
      </c>
      <c r="AH155" s="604" t="s">
        <v>420</v>
      </c>
      <c r="AJ155" s="535" t="str">
        <f t="shared" si="27"/>
        <v>2016ethbwtAsian&lt;500</v>
      </c>
      <c r="AK155" s="604">
        <v>2016</v>
      </c>
      <c r="AL155" s="604" t="s">
        <v>449</v>
      </c>
      <c r="AM155" s="604" t="s">
        <v>447</v>
      </c>
      <c r="AN155" s="604" t="s">
        <v>355</v>
      </c>
      <c r="AO155" s="604" t="s">
        <v>427</v>
      </c>
      <c r="AP155" s="604">
        <v>19</v>
      </c>
      <c r="AR155" s="538" t="str">
        <f t="shared" si="28"/>
        <v>Pacific peoplesethfetalCapital &amp; Coast</v>
      </c>
      <c r="AS155" s="604">
        <v>2016</v>
      </c>
      <c r="AT155" s="604" t="s">
        <v>320</v>
      </c>
      <c r="AU155" s="604" t="s">
        <v>449</v>
      </c>
      <c r="AV155" s="604" t="s">
        <v>96</v>
      </c>
      <c r="AW155" s="604">
        <v>4</v>
      </c>
      <c r="AX155" s="604">
        <v>362</v>
      </c>
      <c r="AY155" s="606">
        <v>11</v>
      </c>
      <c r="AZ155" s="604" t="s">
        <v>420</v>
      </c>
      <c r="BB155" s="536" t="str">
        <f t="shared" si="29"/>
        <v>MaoriethbirthsWaitemata</v>
      </c>
      <c r="BC155" s="604">
        <v>2016</v>
      </c>
      <c r="BD155" s="604" t="s">
        <v>129</v>
      </c>
      <c r="BE155" s="604" t="s">
        <v>449</v>
      </c>
      <c r="BF155" s="604" t="s">
        <v>86</v>
      </c>
      <c r="BG155" s="604">
        <v>1450</v>
      </c>
      <c r="BH155" s="604" t="s">
        <v>445</v>
      </c>
      <c r="BR155" s="547" t="str">
        <f t="shared" si="33"/>
        <v/>
      </c>
      <c r="BY155" s="553" t="str">
        <f t="shared" si="31"/>
        <v>20044500+bwtSIDS</v>
      </c>
      <c r="BZ155" s="604">
        <v>2004</v>
      </c>
      <c r="CA155" s="604" t="s">
        <v>432</v>
      </c>
      <c r="CB155" s="604" t="s">
        <v>447</v>
      </c>
      <c r="CC155" s="604">
        <v>0</v>
      </c>
      <c r="CD155" s="604" t="s">
        <v>32</v>
      </c>
      <c r="CF155" s="554" t="str">
        <f t="shared" si="32"/>
        <v>2016AsianUnknownbwtSIDS</v>
      </c>
      <c r="CG155" s="604">
        <v>2016</v>
      </c>
      <c r="CH155" s="604" t="s">
        <v>355</v>
      </c>
      <c r="CI155" s="604" t="s">
        <v>63</v>
      </c>
      <c r="CJ155" s="604" t="s">
        <v>447</v>
      </c>
      <c r="CK155" s="604">
        <v>0</v>
      </c>
      <c r="CL155" s="604" t="s">
        <v>32</v>
      </c>
      <c r="CV155" s="575"/>
    </row>
    <row r="156" spans="1:100">
      <c r="I156" s="578" t="str">
        <f t="shared" si="24"/>
        <v>2014ageUnknownFetal</v>
      </c>
      <c r="J156" s="604">
        <v>2014</v>
      </c>
      <c r="K156" s="604" t="s">
        <v>453</v>
      </c>
      <c r="L156" s="604" t="s">
        <v>63</v>
      </c>
      <c r="M156" s="604">
        <v>0</v>
      </c>
      <c r="N156" s="604">
        <v>0</v>
      </c>
      <c r="O156" s="604" t="s">
        <v>119</v>
      </c>
      <c r="P156" s="604" t="s">
        <v>47</v>
      </c>
      <c r="Q156" s="499"/>
      <c r="R156" s="502" t="str">
        <f t="shared" si="25"/>
        <v>1997birthsdepQuin 1</v>
      </c>
      <c r="S156" s="604">
        <v>1997</v>
      </c>
      <c r="T156" s="604" t="s">
        <v>445</v>
      </c>
      <c r="U156" s="604" t="s">
        <v>454</v>
      </c>
      <c r="V156" s="604" t="s">
        <v>421</v>
      </c>
      <c r="W156" s="604">
        <v>6314</v>
      </c>
      <c r="Y156" s="535" t="str">
        <f t="shared" si="26"/>
        <v>2016ethbwtEuropean or Other&lt;500fetal</v>
      </c>
      <c r="Z156" s="604">
        <v>2016</v>
      </c>
      <c r="AA156" s="604" t="s">
        <v>449</v>
      </c>
      <c r="AB156" s="604" t="s">
        <v>447</v>
      </c>
      <c r="AC156" s="604" t="s">
        <v>356</v>
      </c>
      <c r="AD156" s="604" t="s">
        <v>427</v>
      </c>
      <c r="AE156" s="604">
        <v>62</v>
      </c>
      <c r="AF156" s="604">
        <v>15</v>
      </c>
      <c r="AG156" s="604" t="s">
        <v>119</v>
      </c>
      <c r="AH156" s="604" t="s">
        <v>420</v>
      </c>
      <c r="AJ156" s="535" t="str">
        <f t="shared" si="27"/>
        <v>2016ethbwtEuropean or Other&lt;500</v>
      </c>
      <c r="AK156" s="604">
        <v>2016</v>
      </c>
      <c r="AL156" s="604" t="s">
        <v>449</v>
      </c>
      <c r="AM156" s="604" t="s">
        <v>447</v>
      </c>
      <c r="AN156" s="604" t="s">
        <v>356</v>
      </c>
      <c r="AO156" s="604" t="s">
        <v>427</v>
      </c>
      <c r="AP156" s="604">
        <v>15</v>
      </c>
      <c r="AR156" s="538" t="str">
        <f t="shared" si="28"/>
        <v>AsianethfetalHutt Valley</v>
      </c>
      <c r="AS156" s="604">
        <v>2016</v>
      </c>
      <c r="AT156" s="604" t="s">
        <v>355</v>
      </c>
      <c r="AU156" s="604" t="s">
        <v>449</v>
      </c>
      <c r="AV156" s="604" t="s">
        <v>97</v>
      </c>
      <c r="AW156" s="604">
        <v>1</v>
      </c>
      <c r="AX156" s="604">
        <v>314</v>
      </c>
      <c r="AY156" s="606">
        <v>3.2</v>
      </c>
      <c r="AZ156" s="604" t="s">
        <v>420</v>
      </c>
      <c r="BB156" s="536" t="str">
        <f t="shared" si="29"/>
        <v>Pacific peoplesethbirthsWaitemata</v>
      </c>
      <c r="BC156" s="604">
        <v>2016</v>
      </c>
      <c r="BD156" s="604" t="s">
        <v>320</v>
      </c>
      <c r="BE156" s="604" t="s">
        <v>449</v>
      </c>
      <c r="BF156" s="604" t="s">
        <v>86</v>
      </c>
      <c r="BG156" s="604">
        <v>781</v>
      </c>
      <c r="BH156" s="604" t="s">
        <v>445</v>
      </c>
      <c r="BR156" s="547" t="str">
        <f t="shared" si="33"/>
        <v/>
      </c>
      <c r="BY156" s="553" t="str">
        <f t="shared" si="31"/>
        <v>2004UnknownbwtSIDS</v>
      </c>
      <c r="BZ156" s="604">
        <v>2004</v>
      </c>
      <c r="CA156" s="604" t="s">
        <v>63</v>
      </c>
      <c r="CB156" s="604" t="s">
        <v>447</v>
      </c>
      <c r="CC156" s="604">
        <v>3</v>
      </c>
      <c r="CD156" s="604" t="s">
        <v>32</v>
      </c>
      <c r="CF156" s="554" t="str">
        <f t="shared" si="32"/>
        <v>2016European or OtherUnknownbwtSIDS</v>
      </c>
      <c r="CG156" s="604">
        <v>2016</v>
      </c>
      <c r="CH156" s="604" t="s">
        <v>356</v>
      </c>
      <c r="CI156" s="604" t="s">
        <v>63</v>
      </c>
      <c r="CJ156" s="604" t="s">
        <v>447</v>
      </c>
      <c r="CK156" s="604">
        <v>0</v>
      </c>
      <c r="CL156" s="604" t="s">
        <v>32</v>
      </c>
      <c r="CV156" s="575"/>
    </row>
    <row r="157" spans="1:100">
      <c r="I157" s="578" t="str">
        <f t="shared" si="24"/>
        <v>2015age&lt;20Fetal</v>
      </c>
      <c r="J157" s="604">
        <v>2015</v>
      </c>
      <c r="K157" s="604" t="s">
        <v>453</v>
      </c>
      <c r="L157" s="604" t="s">
        <v>339</v>
      </c>
      <c r="M157" s="604">
        <v>27</v>
      </c>
      <c r="N157" s="604">
        <v>3004</v>
      </c>
      <c r="O157" s="604">
        <v>9</v>
      </c>
      <c r="P157" s="604" t="s">
        <v>47</v>
      </c>
      <c r="Q157" s="499"/>
      <c r="R157" s="502" t="str">
        <f t="shared" si="25"/>
        <v>1997birthsdepQuin 2</v>
      </c>
      <c r="S157" s="604">
        <v>1997</v>
      </c>
      <c r="T157" s="604" t="s">
        <v>445</v>
      </c>
      <c r="U157" s="604" t="s">
        <v>454</v>
      </c>
      <c r="V157" s="604" t="s">
        <v>422</v>
      </c>
      <c r="W157" s="604">
        <v>7191</v>
      </c>
      <c r="Y157" s="535" t="str">
        <f t="shared" si="26"/>
        <v>2016ethbwtMaori500-999fetal</v>
      </c>
      <c r="Z157" s="604">
        <v>2016</v>
      </c>
      <c r="AA157" s="604" t="s">
        <v>449</v>
      </c>
      <c r="AB157" s="604" t="s">
        <v>447</v>
      </c>
      <c r="AC157" s="604" t="s">
        <v>129</v>
      </c>
      <c r="AD157" s="604" t="s">
        <v>428</v>
      </c>
      <c r="AE157" s="604">
        <v>29</v>
      </c>
      <c r="AF157" s="604">
        <v>65</v>
      </c>
      <c r="AG157" s="604">
        <v>308.5</v>
      </c>
      <c r="AH157" s="604" t="s">
        <v>420</v>
      </c>
      <c r="AJ157" s="535" t="str">
        <f t="shared" si="27"/>
        <v>2016ethbwtMaori500-999</v>
      </c>
      <c r="AK157" s="604">
        <v>2016</v>
      </c>
      <c r="AL157" s="604" t="s">
        <v>449</v>
      </c>
      <c r="AM157" s="604" t="s">
        <v>447</v>
      </c>
      <c r="AN157" s="604" t="s">
        <v>129</v>
      </c>
      <c r="AO157" s="604" t="s">
        <v>428</v>
      </c>
      <c r="AP157" s="604">
        <v>65</v>
      </c>
      <c r="AR157" s="538" t="str">
        <f t="shared" si="28"/>
        <v>European or OtherethfetalHutt Valley</v>
      </c>
      <c r="AS157" s="604">
        <v>2016</v>
      </c>
      <c r="AT157" s="604" t="s">
        <v>356</v>
      </c>
      <c r="AU157" s="604" t="s">
        <v>449</v>
      </c>
      <c r="AV157" s="604" t="s">
        <v>97</v>
      </c>
      <c r="AW157" s="604">
        <v>3</v>
      </c>
      <c r="AX157" s="604">
        <v>887</v>
      </c>
      <c r="AY157" s="606">
        <v>3.4</v>
      </c>
      <c r="AZ157" s="604" t="s">
        <v>420</v>
      </c>
      <c r="BB157" s="536" t="str">
        <f t="shared" si="29"/>
        <v>AsianethbirthsWaitemata</v>
      </c>
      <c r="BC157" s="604">
        <v>2016</v>
      </c>
      <c r="BD157" s="604" t="s">
        <v>355</v>
      </c>
      <c r="BE157" s="604" t="s">
        <v>449</v>
      </c>
      <c r="BF157" s="604" t="s">
        <v>86</v>
      </c>
      <c r="BG157" s="604">
        <v>2342</v>
      </c>
      <c r="BH157" s="604" t="s">
        <v>445</v>
      </c>
      <c r="BR157" s="575" t="str">
        <f t="shared" si="33"/>
        <v/>
      </c>
      <c r="BY157" s="553" t="str">
        <f t="shared" si="31"/>
        <v>2005&lt;500bwtSIDS</v>
      </c>
      <c r="BZ157" s="604">
        <v>2005</v>
      </c>
      <c r="CA157" s="604" t="s">
        <v>427</v>
      </c>
      <c r="CB157" s="604" t="s">
        <v>447</v>
      </c>
      <c r="CC157" s="604">
        <v>0</v>
      </c>
      <c r="CD157" s="604" t="s">
        <v>32</v>
      </c>
      <c r="CF157" s="554" t="str">
        <f t="shared" si="32"/>
        <v>2016MaoriUnknownbwtSIDS</v>
      </c>
      <c r="CG157" s="604">
        <v>2016</v>
      </c>
      <c r="CH157" s="604" t="s">
        <v>129</v>
      </c>
      <c r="CI157" s="604" t="s">
        <v>63</v>
      </c>
      <c r="CJ157" s="604" t="s">
        <v>447</v>
      </c>
      <c r="CK157" s="604">
        <v>1</v>
      </c>
      <c r="CL157" s="604" t="s">
        <v>32</v>
      </c>
      <c r="CV157" s="575"/>
    </row>
    <row r="158" spans="1:100">
      <c r="I158" s="578" t="str">
        <f t="shared" si="24"/>
        <v>2015age20-24Fetal</v>
      </c>
      <c r="J158" s="604">
        <v>2015</v>
      </c>
      <c r="K158" s="604" t="s">
        <v>453</v>
      </c>
      <c r="L158" s="604" t="s">
        <v>130</v>
      </c>
      <c r="M158" s="604">
        <v>53</v>
      </c>
      <c r="N158" s="604">
        <v>10848</v>
      </c>
      <c r="O158" s="604">
        <v>4.9000000000000004</v>
      </c>
      <c r="P158" s="604" t="s">
        <v>47</v>
      </c>
      <c r="Q158" s="499"/>
      <c r="R158" s="502" t="str">
        <f t="shared" si="25"/>
        <v>1997birthsdepQuin 3</v>
      </c>
      <c r="S158" s="604">
        <v>1997</v>
      </c>
      <c r="T158" s="604" t="s">
        <v>445</v>
      </c>
      <c r="U158" s="604" t="s">
        <v>454</v>
      </c>
      <c r="V158" s="604" t="s">
        <v>423</v>
      </c>
      <c r="W158" s="604">
        <v>9059</v>
      </c>
      <c r="Y158" s="535" t="str">
        <f t="shared" si="26"/>
        <v>2016ethbwtPacific peoples500-999fetal</v>
      </c>
      <c r="Z158" s="604">
        <v>2016</v>
      </c>
      <c r="AA158" s="604" t="s">
        <v>449</v>
      </c>
      <c r="AB158" s="604" t="s">
        <v>447</v>
      </c>
      <c r="AC158" s="604" t="s">
        <v>320</v>
      </c>
      <c r="AD158" s="604" t="s">
        <v>428</v>
      </c>
      <c r="AE158" s="604">
        <v>9</v>
      </c>
      <c r="AF158" s="604">
        <v>27</v>
      </c>
      <c r="AG158" s="604">
        <v>250</v>
      </c>
      <c r="AH158" s="604" t="s">
        <v>420</v>
      </c>
      <c r="AJ158" s="535" t="str">
        <f t="shared" si="27"/>
        <v>2016ethbwtPacific peoples500-999</v>
      </c>
      <c r="AK158" s="604">
        <v>2016</v>
      </c>
      <c r="AL158" s="604" t="s">
        <v>449</v>
      </c>
      <c r="AM158" s="604" t="s">
        <v>447</v>
      </c>
      <c r="AN158" s="604" t="s">
        <v>320</v>
      </c>
      <c r="AO158" s="604" t="s">
        <v>428</v>
      </c>
      <c r="AP158" s="604">
        <v>27</v>
      </c>
      <c r="AR158" s="538" t="str">
        <f t="shared" si="28"/>
        <v>MaoriethfetalHutt Valley</v>
      </c>
      <c r="AS158" s="604">
        <v>2016</v>
      </c>
      <c r="AT158" s="604" t="s">
        <v>129</v>
      </c>
      <c r="AU158" s="604" t="s">
        <v>449</v>
      </c>
      <c r="AV158" s="604" t="s">
        <v>97</v>
      </c>
      <c r="AW158" s="604">
        <v>3</v>
      </c>
      <c r="AX158" s="604">
        <v>620</v>
      </c>
      <c r="AY158" s="606">
        <v>4.8</v>
      </c>
      <c r="AZ158" s="604" t="s">
        <v>420</v>
      </c>
      <c r="BB158" s="536" t="str">
        <f t="shared" si="29"/>
        <v>European or OtherethbirthsWaitemata</v>
      </c>
      <c r="BC158" s="604">
        <v>2016</v>
      </c>
      <c r="BD158" s="604" t="s">
        <v>356</v>
      </c>
      <c r="BE158" s="604" t="s">
        <v>449</v>
      </c>
      <c r="BF158" s="604" t="s">
        <v>86</v>
      </c>
      <c r="BG158" s="604">
        <v>3478</v>
      </c>
      <c r="BH158" s="604" t="s">
        <v>445</v>
      </c>
      <c r="BR158" s="575" t="str">
        <f t="shared" si="33"/>
        <v/>
      </c>
      <c r="BY158" s="553" t="str">
        <f t="shared" si="31"/>
        <v>2005500-999bwtSIDS</v>
      </c>
      <c r="BZ158" s="604">
        <v>2005</v>
      </c>
      <c r="CA158" s="604" t="s">
        <v>428</v>
      </c>
      <c r="CB158" s="604" t="s">
        <v>447</v>
      </c>
      <c r="CC158" s="604">
        <v>0</v>
      </c>
      <c r="CD158" s="604" t="s">
        <v>32</v>
      </c>
      <c r="CF158" s="554" t="str">
        <f t="shared" si="32"/>
        <v>2016Pacific peoplesUnknownbwtSIDS</v>
      </c>
      <c r="CG158" s="604">
        <v>2016</v>
      </c>
      <c r="CH158" s="604" t="s">
        <v>320</v>
      </c>
      <c r="CI158" s="604" t="s">
        <v>63</v>
      </c>
      <c r="CJ158" s="604" t="s">
        <v>447</v>
      </c>
      <c r="CK158" s="604">
        <v>0</v>
      </c>
      <c r="CL158" s="604" t="s">
        <v>32</v>
      </c>
      <c r="CV158" s="575"/>
    </row>
    <row r="159" spans="1:100">
      <c r="I159" s="578" t="str">
        <f t="shared" si="24"/>
        <v>2015age25-29Fetal</v>
      </c>
      <c r="J159" s="604">
        <v>2015</v>
      </c>
      <c r="K159" s="604" t="s">
        <v>453</v>
      </c>
      <c r="L159" s="604" t="s">
        <v>131</v>
      </c>
      <c r="M159" s="604">
        <v>108</v>
      </c>
      <c r="N159" s="604">
        <v>16769</v>
      </c>
      <c r="O159" s="604">
        <v>6.4</v>
      </c>
      <c r="P159" s="604" t="s">
        <v>47</v>
      </c>
      <c r="Q159" s="499"/>
      <c r="R159" s="502" t="str">
        <f t="shared" si="25"/>
        <v>1997birthsdepQuin 4</v>
      </c>
      <c r="S159" s="604">
        <v>1997</v>
      </c>
      <c r="T159" s="604" t="s">
        <v>445</v>
      </c>
      <c r="U159" s="604" t="s">
        <v>454</v>
      </c>
      <c r="V159" s="604" t="s">
        <v>424</v>
      </c>
      <c r="W159" s="604">
        <v>11648</v>
      </c>
      <c r="Y159" s="535" t="str">
        <f t="shared" si="26"/>
        <v>2016ethbwtAsian500-999fetal</v>
      </c>
      <c r="Z159" s="604">
        <v>2016</v>
      </c>
      <c r="AA159" s="604" t="s">
        <v>449</v>
      </c>
      <c r="AB159" s="604" t="s">
        <v>447</v>
      </c>
      <c r="AC159" s="604" t="s">
        <v>355</v>
      </c>
      <c r="AD159" s="604" t="s">
        <v>428</v>
      </c>
      <c r="AE159" s="604">
        <v>16</v>
      </c>
      <c r="AF159" s="604">
        <v>40</v>
      </c>
      <c r="AG159" s="604">
        <v>285.7</v>
      </c>
      <c r="AH159" s="604" t="s">
        <v>420</v>
      </c>
      <c r="AJ159" s="535" t="str">
        <f t="shared" si="27"/>
        <v>2016ethbwtAsian500-999</v>
      </c>
      <c r="AK159" s="604">
        <v>2016</v>
      </c>
      <c r="AL159" s="604" t="s">
        <v>449</v>
      </c>
      <c r="AM159" s="604" t="s">
        <v>447</v>
      </c>
      <c r="AN159" s="604" t="s">
        <v>355</v>
      </c>
      <c r="AO159" s="604" t="s">
        <v>428</v>
      </c>
      <c r="AP159" s="604">
        <v>40</v>
      </c>
      <c r="AR159" s="538" t="str">
        <f t="shared" si="28"/>
        <v>European or OtherethfetalWairarapa</v>
      </c>
      <c r="AS159" s="604">
        <v>2016</v>
      </c>
      <c r="AT159" s="604" t="s">
        <v>356</v>
      </c>
      <c r="AU159" s="604" t="s">
        <v>449</v>
      </c>
      <c r="AV159" s="604" t="s">
        <v>98</v>
      </c>
      <c r="AW159" s="604">
        <v>1</v>
      </c>
      <c r="AX159" s="604">
        <v>255</v>
      </c>
      <c r="AY159" s="606">
        <v>3.9</v>
      </c>
      <c r="AZ159" s="604" t="s">
        <v>420</v>
      </c>
      <c r="BB159" s="536" t="str">
        <f t="shared" si="29"/>
        <v>MaoriethbirthsAuckland</v>
      </c>
      <c r="BC159" s="604">
        <v>2016</v>
      </c>
      <c r="BD159" s="604" t="s">
        <v>129</v>
      </c>
      <c r="BE159" s="604" t="s">
        <v>449</v>
      </c>
      <c r="BF159" s="604" t="s">
        <v>87</v>
      </c>
      <c r="BG159" s="604">
        <v>772</v>
      </c>
      <c r="BH159" s="604" t="s">
        <v>445</v>
      </c>
      <c r="BR159" s="575" t="str">
        <f t="shared" si="33"/>
        <v/>
      </c>
      <c r="BY159" s="553" t="str">
        <f t="shared" si="31"/>
        <v>20051000-1499bwtSIDS</v>
      </c>
      <c r="BZ159" s="604">
        <v>2005</v>
      </c>
      <c r="CA159" s="604" t="s">
        <v>429</v>
      </c>
      <c r="CB159" s="604" t="s">
        <v>447</v>
      </c>
      <c r="CC159" s="604">
        <v>0</v>
      </c>
      <c r="CD159" s="604" t="s">
        <v>32</v>
      </c>
      <c r="CF159" s="554" t="str">
        <f t="shared" si="32"/>
        <v>2016Asian&lt;28gestSIDS</v>
      </c>
      <c r="CG159" s="604">
        <v>2016</v>
      </c>
      <c r="CH159" s="604" t="s">
        <v>355</v>
      </c>
      <c r="CI159" s="604" t="s">
        <v>375</v>
      </c>
      <c r="CJ159" s="604" t="s">
        <v>450</v>
      </c>
      <c r="CK159" s="604">
        <v>0</v>
      </c>
      <c r="CL159" s="604" t="s">
        <v>32</v>
      </c>
      <c r="CV159" s="575"/>
    </row>
    <row r="160" spans="1:100">
      <c r="I160" s="578" t="str">
        <f t="shared" si="24"/>
        <v>2015age30-34Fetal</v>
      </c>
      <c r="J160" s="604">
        <v>2015</v>
      </c>
      <c r="K160" s="604" t="s">
        <v>453</v>
      </c>
      <c r="L160" s="604" t="s">
        <v>132</v>
      </c>
      <c r="M160" s="604">
        <v>104</v>
      </c>
      <c r="N160" s="604">
        <v>18897</v>
      </c>
      <c r="O160" s="604">
        <v>5.5</v>
      </c>
      <c r="P160" s="604" t="s">
        <v>47</v>
      </c>
      <c r="Q160" s="499"/>
      <c r="R160" s="502" t="str">
        <f t="shared" si="25"/>
        <v>1997birthsdepQuin 5</v>
      </c>
      <c r="S160" s="604">
        <v>1997</v>
      </c>
      <c r="T160" s="604" t="s">
        <v>445</v>
      </c>
      <c r="U160" s="604" t="s">
        <v>454</v>
      </c>
      <c r="V160" s="604" t="s">
        <v>425</v>
      </c>
      <c r="W160" s="604">
        <v>15072</v>
      </c>
      <c r="Y160" s="535" t="str">
        <f t="shared" si="26"/>
        <v>2016ethbwtEuropean or Other500-999fetal</v>
      </c>
      <c r="Z160" s="604">
        <v>2016</v>
      </c>
      <c r="AA160" s="604" t="s">
        <v>449</v>
      </c>
      <c r="AB160" s="604" t="s">
        <v>447</v>
      </c>
      <c r="AC160" s="604" t="s">
        <v>356</v>
      </c>
      <c r="AD160" s="604" t="s">
        <v>428</v>
      </c>
      <c r="AE160" s="604">
        <v>43</v>
      </c>
      <c r="AF160" s="604">
        <v>64</v>
      </c>
      <c r="AG160" s="604">
        <v>401.9</v>
      </c>
      <c r="AH160" s="604" t="s">
        <v>420</v>
      </c>
      <c r="AJ160" s="535" t="str">
        <f t="shared" si="27"/>
        <v>2016ethbwtEuropean or Other500-999</v>
      </c>
      <c r="AK160" s="604">
        <v>2016</v>
      </c>
      <c r="AL160" s="604" t="s">
        <v>449</v>
      </c>
      <c r="AM160" s="604" t="s">
        <v>447</v>
      </c>
      <c r="AN160" s="604" t="s">
        <v>356</v>
      </c>
      <c r="AO160" s="604" t="s">
        <v>428</v>
      </c>
      <c r="AP160" s="604">
        <v>64</v>
      </c>
      <c r="AR160" s="538" t="str">
        <f t="shared" si="28"/>
        <v>MaoriethfetalWairarapa</v>
      </c>
      <c r="AS160" s="604">
        <v>2016</v>
      </c>
      <c r="AT160" s="604" t="s">
        <v>129</v>
      </c>
      <c r="AU160" s="604" t="s">
        <v>449</v>
      </c>
      <c r="AV160" s="604" t="s">
        <v>98</v>
      </c>
      <c r="AW160" s="604">
        <v>4</v>
      </c>
      <c r="AX160" s="604">
        <v>177</v>
      </c>
      <c r="AY160" s="606">
        <v>22.6</v>
      </c>
      <c r="AZ160" s="604" t="s">
        <v>420</v>
      </c>
      <c r="BB160" s="536" t="str">
        <f t="shared" si="29"/>
        <v>Pacific peoplesethbirthsAuckland</v>
      </c>
      <c r="BC160" s="604">
        <v>2016</v>
      </c>
      <c r="BD160" s="604" t="s">
        <v>320</v>
      </c>
      <c r="BE160" s="604" t="s">
        <v>449</v>
      </c>
      <c r="BF160" s="604" t="s">
        <v>87</v>
      </c>
      <c r="BG160" s="604">
        <v>938</v>
      </c>
      <c r="BH160" s="604" t="s">
        <v>445</v>
      </c>
      <c r="BY160" s="553" t="str">
        <f t="shared" si="31"/>
        <v>20051500-2499bwtSIDS</v>
      </c>
      <c r="BZ160" s="604">
        <v>2005</v>
      </c>
      <c r="CA160" s="604" t="s">
        <v>430</v>
      </c>
      <c r="CB160" s="604" t="s">
        <v>447</v>
      </c>
      <c r="CC160" s="604">
        <v>6</v>
      </c>
      <c r="CD160" s="604" t="s">
        <v>32</v>
      </c>
      <c r="CF160" s="554" t="str">
        <f t="shared" si="32"/>
        <v>2016European or Other&lt;28gestSIDS</v>
      </c>
      <c r="CG160" s="604">
        <v>2016</v>
      </c>
      <c r="CH160" s="604" t="s">
        <v>356</v>
      </c>
      <c r="CI160" s="604" t="s">
        <v>375</v>
      </c>
      <c r="CJ160" s="604" t="s">
        <v>450</v>
      </c>
      <c r="CK160" s="604">
        <v>0</v>
      </c>
      <c r="CL160" s="604" t="s">
        <v>32</v>
      </c>
      <c r="CV160" s="575"/>
    </row>
    <row r="161" spans="9:100">
      <c r="I161" s="578" t="str">
        <f t="shared" si="24"/>
        <v>2015age35-39Fetal</v>
      </c>
      <c r="J161" s="604">
        <v>2015</v>
      </c>
      <c r="K161" s="604" t="s">
        <v>453</v>
      </c>
      <c r="L161" s="604" t="s">
        <v>133</v>
      </c>
      <c r="M161" s="604">
        <v>68</v>
      </c>
      <c r="N161" s="604">
        <v>10389</v>
      </c>
      <c r="O161" s="604">
        <v>6.5</v>
      </c>
      <c r="P161" s="604" t="s">
        <v>47</v>
      </c>
      <c r="Q161" s="499"/>
      <c r="R161" s="502" t="str">
        <f t="shared" si="25"/>
        <v>1997birthsdepQuin 9</v>
      </c>
      <c r="S161" s="604">
        <v>1997</v>
      </c>
      <c r="T161" s="604" t="s">
        <v>445</v>
      </c>
      <c r="U161" s="604" t="s">
        <v>454</v>
      </c>
      <c r="V161" s="604" t="s">
        <v>426</v>
      </c>
      <c r="W161" s="604">
        <v>8450</v>
      </c>
      <c r="Y161" s="535" t="str">
        <f t="shared" si="26"/>
        <v>2016ethbwtMaori1000-1499fetal</v>
      </c>
      <c r="Z161" s="604">
        <v>2016</v>
      </c>
      <c r="AA161" s="604" t="s">
        <v>449</v>
      </c>
      <c r="AB161" s="604" t="s">
        <v>447</v>
      </c>
      <c r="AC161" s="604" t="s">
        <v>129</v>
      </c>
      <c r="AD161" s="604" t="s">
        <v>429</v>
      </c>
      <c r="AE161" s="604">
        <v>8</v>
      </c>
      <c r="AF161" s="604">
        <v>119</v>
      </c>
      <c r="AG161" s="604">
        <v>63</v>
      </c>
      <c r="AH161" s="604" t="s">
        <v>420</v>
      </c>
      <c r="AJ161" s="535" t="str">
        <f t="shared" si="27"/>
        <v>2016ethbwtMaori1000-1499</v>
      </c>
      <c r="AK161" s="604">
        <v>2016</v>
      </c>
      <c r="AL161" s="604" t="s">
        <v>449</v>
      </c>
      <c r="AM161" s="604" t="s">
        <v>447</v>
      </c>
      <c r="AN161" s="604" t="s">
        <v>129</v>
      </c>
      <c r="AO161" s="604" t="s">
        <v>429</v>
      </c>
      <c r="AP161" s="604">
        <v>119</v>
      </c>
      <c r="AR161" s="538" t="str">
        <f t="shared" si="28"/>
        <v>European or OtherethfetalNelson Marlborough</v>
      </c>
      <c r="AS161" s="604">
        <v>2016</v>
      </c>
      <c r="AT161" s="604" t="s">
        <v>356</v>
      </c>
      <c r="AU161" s="604" t="s">
        <v>449</v>
      </c>
      <c r="AV161" s="604" t="s">
        <v>99</v>
      </c>
      <c r="AW161" s="604">
        <v>3</v>
      </c>
      <c r="AX161" s="604">
        <v>982</v>
      </c>
      <c r="AY161" s="606">
        <v>3.1</v>
      </c>
      <c r="AZ161" s="604" t="s">
        <v>420</v>
      </c>
      <c r="BB161" s="536" t="str">
        <f t="shared" si="29"/>
        <v>AsianethbirthsAuckland</v>
      </c>
      <c r="BC161" s="604">
        <v>2016</v>
      </c>
      <c r="BD161" s="604" t="s">
        <v>355</v>
      </c>
      <c r="BE161" s="604" t="s">
        <v>449</v>
      </c>
      <c r="BF161" s="604" t="s">
        <v>87</v>
      </c>
      <c r="BG161" s="604">
        <v>2061</v>
      </c>
      <c r="BH161" s="604" t="s">
        <v>445</v>
      </c>
      <c r="BY161" s="553" t="str">
        <f t="shared" si="31"/>
        <v>20052500-4499bwtSIDS</v>
      </c>
      <c r="BZ161" s="604">
        <v>2005</v>
      </c>
      <c r="CA161" s="604" t="s">
        <v>431</v>
      </c>
      <c r="CB161" s="604" t="s">
        <v>447</v>
      </c>
      <c r="CC161" s="604">
        <v>33</v>
      </c>
      <c r="CD161" s="604" t="s">
        <v>32</v>
      </c>
      <c r="CF161" s="554" t="str">
        <f t="shared" si="32"/>
        <v>2016Maori&lt;28gestSIDS</v>
      </c>
      <c r="CG161" s="604">
        <v>2016</v>
      </c>
      <c r="CH161" s="604" t="s">
        <v>129</v>
      </c>
      <c r="CI161" s="604" t="s">
        <v>375</v>
      </c>
      <c r="CJ161" s="604" t="s">
        <v>450</v>
      </c>
      <c r="CK161" s="604">
        <v>0</v>
      </c>
      <c r="CL161" s="604" t="s">
        <v>32</v>
      </c>
      <c r="CV161" s="575"/>
    </row>
    <row r="162" spans="9:100">
      <c r="I162" s="578" t="str">
        <f t="shared" si="24"/>
        <v>2015age40+Fetal</v>
      </c>
      <c r="J162" s="604">
        <v>2015</v>
      </c>
      <c r="K162" s="604" t="s">
        <v>453</v>
      </c>
      <c r="L162" s="604" t="s">
        <v>134</v>
      </c>
      <c r="M162" s="604">
        <v>24</v>
      </c>
      <c r="N162" s="604">
        <v>2599</v>
      </c>
      <c r="O162" s="604">
        <v>9.1999999999999993</v>
      </c>
      <c r="P162" s="604" t="s">
        <v>47</v>
      </c>
      <c r="Q162" s="499"/>
      <c r="R162" s="502" t="str">
        <f t="shared" si="25"/>
        <v>1998birthsdepQuin 1</v>
      </c>
      <c r="S162" s="604">
        <v>1998</v>
      </c>
      <c r="T162" s="604" t="s">
        <v>445</v>
      </c>
      <c r="U162" s="604" t="s">
        <v>454</v>
      </c>
      <c r="V162" s="604" t="s">
        <v>421</v>
      </c>
      <c r="W162" s="604">
        <v>6851</v>
      </c>
      <c r="Y162" s="535" t="str">
        <f t="shared" si="26"/>
        <v>2016ethbwtPacific peoples1000-1499fetal</v>
      </c>
      <c r="Z162" s="604">
        <v>2016</v>
      </c>
      <c r="AA162" s="604" t="s">
        <v>449</v>
      </c>
      <c r="AB162" s="604" t="s">
        <v>447</v>
      </c>
      <c r="AC162" s="604" t="s">
        <v>320</v>
      </c>
      <c r="AD162" s="604" t="s">
        <v>429</v>
      </c>
      <c r="AE162" s="604">
        <v>4</v>
      </c>
      <c r="AF162" s="604">
        <v>22</v>
      </c>
      <c r="AG162" s="604">
        <v>153.80000000000001</v>
      </c>
      <c r="AH162" s="604" t="s">
        <v>420</v>
      </c>
      <c r="AJ162" s="535" t="str">
        <f t="shared" si="27"/>
        <v>2016ethbwtPacific peoples1000-1499</v>
      </c>
      <c r="AK162" s="604">
        <v>2016</v>
      </c>
      <c r="AL162" s="604" t="s">
        <v>449</v>
      </c>
      <c r="AM162" s="604" t="s">
        <v>447</v>
      </c>
      <c r="AN162" s="604" t="s">
        <v>320</v>
      </c>
      <c r="AO162" s="604" t="s">
        <v>429</v>
      </c>
      <c r="AP162" s="604">
        <v>22</v>
      </c>
      <c r="AR162" s="538" t="str">
        <f t="shared" si="28"/>
        <v>Pacific peoplesethfetalNelson Marlborough</v>
      </c>
      <c r="AS162" s="604">
        <v>2016</v>
      </c>
      <c r="AT162" s="604" t="s">
        <v>320</v>
      </c>
      <c r="AU162" s="604" t="s">
        <v>449</v>
      </c>
      <c r="AV162" s="604" t="s">
        <v>99</v>
      </c>
      <c r="AW162" s="604">
        <v>1</v>
      </c>
      <c r="AX162" s="604">
        <v>51</v>
      </c>
      <c r="AY162" s="606">
        <v>19.600000000000001</v>
      </c>
      <c r="AZ162" s="604" t="s">
        <v>420</v>
      </c>
      <c r="BB162" s="536" t="str">
        <f t="shared" si="29"/>
        <v>European or OtherethbirthsAuckland</v>
      </c>
      <c r="BC162" s="604">
        <v>2016</v>
      </c>
      <c r="BD162" s="604" t="s">
        <v>356</v>
      </c>
      <c r="BE162" s="604" t="s">
        <v>449</v>
      </c>
      <c r="BF162" s="604" t="s">
        <v>87</v>
      </c>
      <c r="BG162" s="604">
        <v>2134</v>
      </c>
      <c r="BH162" s="604" t="s">
        <v>445</v>
      </c>
      <c r="BY162" s="553" t="str">
        <f t="shared" si="31"/>
        <v>20054500+bwtSIDS</v>
      </c>
      <c r="BZ162" s="604">
        <v>2005</v>
      </c>
      <c r="CA162" s="604" t="s">
        <v>432</v>
      </c>
      <c r="CB162" s="604" t="s">
        <v>447</v>
      </c>
      <c r="CC162" s="604">
        <v>0</v>
      </c>
      <c r="CD162" s="604" t="s">
        <v>32</v>
      </c>
      <c r="CF162" s="554" t="str">
        <f t="shared" si="32"/>
        <v>2016Pacific peoples&lt;28gestSIDS</v>
      </c>
      <c r="CG162" s="604">
        <v>2016</v>
      </c>
      <c r="CH162" s="604" t="s">
        <v>320</v>
      </c>
      <c r="CI162" s="604" t="s">
        <v>375</v>
      </c>
      <c r="CJ162" s="604" t="s">
        <v>450</v>
      </c>
      <c r="CK162" s="604">
        <v>0</v>
      </c>
      <c r="CL162" s="604" t="s">
        <v>32</v>
      </c>
      <c r="CV162" s="575"/>
    </row>
    <row r="163" spans="9:100">
      <c r="I163" s="578" t="str">
        <f t="shared" si="24"/>
        <v>2015ageUnknownFetal</v>
      </c>
      <c r="J163" s="604">
        <v>2015</v>
      </c>
      <c r="K163" s="604" t="s">
        <v>453</v>
      </c>
      <c r="L163" s="604" t="s">
        <v>63</v>
      </c>
      <c r="M163" s="604">
        <v>0</v>
      </c>
      <c r="N163" s="604">
        <v>0</v>
      </c>
      <c r="O163" s="604" t="s">
        <v>119</v>
      </c>
      <c r="P163" s="604" t="s">
        <v>47</v>
      </c>
      <c r="Q163" s="499"/>
      <c r="R163" s="502" t="str">
        <f t="shared" si="25"/>
        <v>1998birthsdepQuin 2</v>
      </c>
      <c r="S163" s="604">
        <v>1998</v>
      </c>
      <c r="T163" s="604" t="s">
        <v>445</v>
      </c>
      <c r="U163" s="604" t="s">
        <v>454</v>
      </c>
      <c r="V163" s="604" t="s">
        <v>422</v>
      </c>
      <c r="W163" s="604">
        <v>7910</v>
      </c>
      <c r="Y163" s="535" t="str">
        <f t="shared" si="26"/>
        <v>2016ethbwtAsian1000-1499fetal</v>
      </c>
      <c r="Z163" s="604">
        <v>2016</v>
      </c>
      <c r="AA163" s="604" t="s">
        <v>449</v>
      </c>
      <c r="AB163" s="604" t="s">
        <v>447</v>
      </c>
      <c r="AC163" s="604" t="s">
        <v>355</v>
      </c>
      <c r="AD163" s="604" t="s">
        <v>429</v>
      </c>
      <c r="AE163" s="604">
        <v>7</v>
      </c>
      <c r="AF163" s="604">
        <v>59</v>
      </c>
      <c r="AG163" s="604">
        <v>106.1</v>
      </c>
      <c r="AH163" s="604" t="s">
        <v>420</v>
      </c>
      <c r="AJ163" s="535" t="str">
        <f t="shared" si="27"/>
        <v>2016ethbwtAsian1000-1499</v>
      </c>
      <c r="AK163" s="604">
        <v>2016</v>
      </c>
      <c r="AL163" s="604" t="s">
        <v>449</v>
      </c>
      <c r="AM163" s="604" t="s">
        <v>447</v>
      </c>
      <c r="AN163" s="604" t="s">
        <v>355</v>
      </c>
      <c r="AO163" s="604" t="s">
        <v>429</v>
      </c>
      <c r="AP163" s="604">
        <v>59</v>
      </c>
      <c r="AR163" s="538" t="str">
        <f t="shared" si="28"/>
        <v>European or OtherethfetalWest Coast</v>
      </c>
      <c r="AS163" s="604">
        <v>2016</v>
      </c>
      <c r="AT163" s="604" t="s">
        <v>356</v>
      </c>
      <c r="AU163" s="604" t="s">
        <v>449</v>
      </c>
      <c r="AV163" s="604" t="s">
        <v>100</v>
      </c>
      <c r="AW163" s="604">
        <v>5</v>
      </c>
      <c r="AX163" s="604">
        <v>234</v>
      </c>
      <c r="AY163" s="606">
        <v>21.4</v>
      </c>
      <c r="AZ163" s="604" t="s">
        <v>420</v>
      </c>
      <c r="BB163" s="536" t="str">
        <f t="shared" si="29"/>
        <v>MaoriethbirthsCounties Manukau</v>
      </c>
      <c r="BC163" s="604">
        <v>2016</v>
      </c>
      <c r="BD163" s="604" t="s">
        <v>129</v>
      </c>
      <c r="BE163" s="604" t="s">
        <v>449</v>
      </c>
      <c r="BF163" s="604" t="s">
        <v>88</v>
      </c>
      <c r="BG163" s="604">
        <v>2147</v>
      </c>
      <c r="BH163" s="604" t="s">
        <v>445</v>
      </c>
      <c r="BY163" s="553" t="str">
        <f t="shared" si="31"/>
        <v>2005UnknownbwtSIDS</v>
      </c>
      <c r="BZ163" s="604">
        <v>2005</v>
      </c>
      <c r="CA163" s="604" t="s">
        <v>63</v>
      </c>
      <c r="CB163" s="604" t="s">
        <v>447</v>
      </c>
      <c r="CC163" s="604">
        <v>1</v>
      </c>
      <c r="CD163" s="604" t="s">
        <v>32</v>
      </c>
      <c r="CF163" s="554" t="str">
        <f t="shared" si="32"/>
        <v>2016Asian28-31gestSIDS</v>
      </c>
      <c r="CG163" s="604">
        <v>2016</v>
      </c>
      <c r="CH163" s="604" t="s">
        <v>355</v>
      </c>
      <c r="CI163" s="604" t="s">
        <v>395</v>
      </c>
      <c r="CJ163" s="604" t="s">
        <v>450</v>
      </c>
      <c r="CK163" s="604">
        <v>0</v>
      </c>
      <c r="CL163" s="604" t="s">
        <v>32</v>
      </c>
      <c r="CV163" s="575"/>
    </row>
    <row r="164" spans="9:100">
      <c r="I164" s="578" t="str">
        <f t="shared" si="24"/>
        <v>2016age&lt;20Fetal</v>
      </c>
      <c r="J164" s="604">
        <v>2016</v>
      </c>
      <c r="K164" s="604" t="s">
        <v>453</v>
      </c>
      <c r="L164" s="604" t="s">
        <v>339</v>
      </c>
      <c r="M164" s="604">
        <v>36</v>
      </c>
      <c r="N164" s="604">
        <v>2595</v>
      </c>
      <c r="O164" s="604">
        <v>13.9</v>
      </c>
      <c r="P164" s="604" t="s">
        <v>47</v>
      </c>
      <c r="Q164" s="499"/>
      <c r="R164" s="502" t="str">
        <f t="shared" si="25"/>
        <v>1998birthsdepQuin 3</v>
      </c>
      <c r="S164" s="604">
        <v>1998</v>
      </c>
      <c r="T164" s="604" t="s">
        <v>445</v>
      </c>
      <c r="U164" s="604" t="s">
        <v>454</v>
      </c>
      <c r="V164" s="604" t="s">
        <v>423</v>
      </c>
      <c r="W164" s="604">
        <v>9372</v>
      </c>
      <c r="Y164" s="535" t="str">
        <f t="shared" si="26"/>
        <v>2016ethbwtEuropean or Other1000-1499fetal</v>
      </c>
      <c r="Z164" s="604">
        <v>2016</v>
      </c>
      <c r="AA164" s="604" t="s">
        <v>449</v>
      </c>
      <c r="AB164" s="604" t="s">
        <v>447</v>
      </c>
      <c r="AC164" s="604" t="s">
        <v>356</v>
      </c>
      <c r="AD164" s="604" t="s">
        <v>429</v>
      </c>
      <c r="AE164" s="604">
        <v>8</v>
      </c>
      <c r="AF164" s="604">
        <v>131</v>
      </c>
      <c r="AG164" s="604">
        <v>57.6</v>
      </c>
      <c r="AH164" s="604" t="s">
        <v>420</v>
      </c>
      <c r="AJ164" s="535" t="str">
        <f t="shared" si="27"/>
        <v>2016ethbwtEuropean or Other1000-1499</v>
      </c>
      <c r="AK164" s="604">
        <v>2016</v>
      </c>
      <c r="AL164" s="604" t="s">
        <v>449</v>
      </c>
      <c r="AM164" s="604" t="s">
        <v>447</v>
      </c>
      <c r="AN164" s="604" t="s">
        <v>356</v>
      </c>
      <c r="AO164" s="604" t="s">
        <v>429</v>
      </c>
      <c r="AP164" s="604">
        <v>131</v>
      </c>
      <c r="AR164" s="538" t="str">
        <f t="shared" si="28"/>
        <v>MaoriethfetalWest Coast</v>
      </c>
      <c r="AS164" s="604">
        <v>2016</v>
      </c>
      <c r="AT164" s="604" t="s">
        <v>129</v>
      </c>
      <c r="AU164" s="604" t="s">
        <v>449</v>
      </c>
      <c r="AV164" s="604" t="s">
        <v>100</v>
      </c>
      <c r="AW164" s="604">
        <v>3</v>
      </c>
      <c r="AX164" s="604">
        <v>86</v>
      </c>
      <c r="AY164" s="606">
        <v>34.9</v>
      </c>
      <c r="AZ164" s="604" t="s">
        <v>420</v>
      </c>
      <c r="BB164" s="536" t="str">
        <f t="shared" si="29"/>
        <v>Pacific peoplesethbirthsCounties Manukau</v>
      </c>
      <c r="BC164" s="604">
        <v>2016</v>
      </c>
      <c r="BD164" s="604" t="s">
        <v>320</v>
      </c>
      <c r="BE164" s="604" t="s">
        <v>449</v>
      </c>
      <c r="BF164" s="604" t="s">
        <v>88</v>
      </c>
      <c r="BG164" s="604">
        <v>2300</v>
      </c>
      <c r="BH164" s="604" t="s">
        <v>445</v>
      </c>
      <c r="BY164" s="553" t="str">
        <f t="shared" si="31"/>
        <v>2006&lt;500bwtSIDS</v>
      </c>
      <c r="BZ164" s="604">
        <v>2006</v>
      </c>
      <c r="CA164" s="604" t="s">
        <v>427</v>
      </c>
      <c r="CB164" s="604" t="s">
        <v>447</v>
      </c>
      <c r="CC164" s="604">
        <v>0</v>
      </c>
      <c r="CD164" s="604" t="s">
        <v>32</v>
      </c>
      <c r="CF164" s="554" t="str">
        <f t="shared" si="32"/>
        <v>2016European or Other28-31gestSIDS</v>
      </c>
      <c r="CG164" s="604">
        <v>2016</v>
      </c>
      <c r="CH164" s="604" t="s">
        <v>356</v>
      </c>
      <c r="CI164" s="604" t="s">
        <v>395</v>
      </c>
      <c r="CJ164" s="604" t="s">
        <v>450</v>
      </c>
      <c r="CK164" s="604">
        <v>0</v>
      </c>
      <c r="CL164" s="604" t="s">
        <v>32</v>
      </c>
      <c r="CV164" s="575"/>
    </row>
    <row r="165" spans="9:100">
      <c r="I165" s="578" t="str">
        <f t="shared" si="24"/>
        <v>2016age20-24Fetal</v>
      </c>
      <c r="J165" s="604">
        <v>2016</v>
      </c>
      <c r="K165" s="604" t="s">
        <v>453</v>
      </c>
      <c r="L165" s="604" t="s">
        <v>130</v>
      </c>
      <c r="M165" s="604">
        <v>73</v>
      </c>
      <c r="N165" s="604">
        <v>10007</v>
      </c>
      <c r="O165" s="604">
        <v>7.3</v>
      </c>
      <c r="P165" s="604" t="s">
        <v>47</v>
      </c>
      <c r="Q165" s="499"/>
      <c r="R165" s="502" t="str">
        <f t="shared" si="25"/>
        <v>1998birthsdepQuin 4</v>
      </c>
      <c r="S165" s="604">
        <v>1998</v>
      </c>
      <c r="T165" s="604" t="s">
        <v>445</v>
      </c>
      <c r="U165" s="604" t="s">
        <v>454</v>
      </c>
      <c r="V165" s="604" t="s">
        <v>424</v>
      </c>
      <c r="W165" s="604">
        <v>12273</v>
      </c>
      <c r="Y165" s="535" t="str">
        <f t="shared" si="26"/>
        <v>2016ethbwtMaori1500-2499fetal</v>
      </c>
      <c r="Z165" s="604">
        <v>2016</v>
      </c>
      <c r="AA165" s="604" t="s">
        <v>449</v>
      </c>
      <c r="AB165" s="604" t="s">
        <v>447</v>
      </c>
      <c r="AC165" s="604" t="s">
        <v>129</v>
      </c>
      <c r="AD165" s="604" t="s">
        <v>430</v>
      </c>
      <c r="AE165" s="604">
        <v>15</v>
      </c>
      <c r="AF165" s="604">
        <v>933</v>
      </c>
      <c r="AG165" s="604">
        <v>15.8</v>
      </c>
      <c r="AH165" s="604" t="s">
        <v>420</v>
      </c>
      <c r="AJ165" s="535" t="str">
        <f t="shared" si="27"/>
        <v>2016ethbwtMaori1500-2499</v>
      </c>
      <c r="AK165" s="604">
        <v>2016</v>
      </c>
      <c r="AL165" s="604" t="s">
        <v>449</v>
      </c>
      <c r="AM165" s="604" t="s">
        <v>447</v>
      </c>
      <c r="AN165" s="604" t="s">
        <v>129</v>
      </c>
      <c r="AO165" s="604" t="s">
        <v>430</v>
      </c>
      <c r="AP165" s="604">
        <v>933</v>
      </c>
      <c r="AR165" s="538" t="str">
        <f t="shared" si="28"/>
        <v>AsianethfetalCanterbury</v>
      </c>
      <c r="AS165" s="604">
        <v>2016</v>
      </c>
      <c r="AT165" s="604" t="s">
        <v>355</v>
      </c>
      <c r="AU165" s="604" t="s">
        <v>449</v>
      </c>
      <c r="AV165" s="604" t="s">
        <v>101</v>
      </c>
      <c r="AW165" s="604">
        <v>11</v>
      </c>
      <c r="AX165" s="604">
        <v>1094</v>
      </c>
      <c r="AY165" s="606">
        <v>10.1</v>
      </c>
      <c r="AZ165" s="604" t="s">
        <v>420</v>
      </c>
      <c r="BB165" s="536" t="str">
        <f t="shared" si="29"/>
        <v>AsianethbirthsCounties Manukau</v>
      </c>
      <c r="BC165" s="604">
        <v>2016</v>
      </c>
      <c r="BD165" s="604" t="s">
        <v>355</v>
      </c>
      <c r="BE165" s="604" t="s">
        <v>449</v>
      </c>
      <c r="BF165" s="604" t="s">
        <v>88</v>
      </c>
      <c r="BG165" s="604">
        <v>2234</v>
      </c>
      <c r="BH165" s="604" t="s">
        <v>445</v>
      </c>
      <c r="BY165" s="553" t="str">
        <f t="shared" si="31"/>
        <v>2006500-999bwtSIDS</v>
      </c>
      <c r="BZ165" s="604">
        <v>2006</v>
      </c>
      <c r="CA165" s="604" t="s">
        <v>428</v>
      </c>
      <c r="CB165" s="604" t="s">
        <v>447</v>
      </c>
      <c r="CC165" s="604">
        <v>1</v>
      </c>
      <c r="CD165" s="604" t="s">
        <v>32</v>
      </c>
      <c r="CF165" s="554" t="str">
        <f t="shared" si="32"/>
        <v>2016Maori28-31gestSIDS</v>
      </c>
      <c r="CG165" s="604">
        <v>2016</v>
      </c>
      <c r="CH165" s="604" t="s">
        <v>129</v>
      </c>
      <c r="CI165" s="604" t="s">
        <v>395</v>
      </c>
      <c r="CJ165" s="604" t="s">
        <v>450</v>
      </c>
      <c r="CK165" s="604">
        <v>0</v>
      </c>
      <c r="CL165" s="604" t="s">
        <v>32</v>
      </c>
      <c r="CV165" s="575"/>
    </row>
    <row r="166" spans="9:100">
      <c r="I166" s="578" t="str">
        <f t="shared" si="24"/>
        <v>2016age25-29Fetal</v>
      </c>
      <c r="J166" s="604">
        <v>2016</v>
      </c>
      <c r="K166" s="604" t="s">
        <v>453</v>
      </c>
      <c r="L166" s="604" t="s">
        <v>131</v>
      </c>
      <c r="M166" s="604">
        <v>103</v>
      </c>
      <c r="N166" s="604">
        <v>16767</v>
      </c>
      <c r="O166" s="604">
        <v>6.1</v>
      </c>
      <c r="P166" s="604" t="s">
        <v>47</v>
      </c>
      <c r="Q166" s="499"/>
      <c r="R166" s="502" t="str">
        <f t="shared" si="25"/>
        <v>1998birthsdepQuin 5</v>
      </c>
      <c r="S166" s="604">
        <v>1998</v>
      </c>
      <c r="T166" s="604" t="s">
        <v>445</v>
      </c>
      <c r="U166" s="604" t="s">
        <v>454</v>
      </c>
      <c r="V166" s="604" t="s">
        <v>425</v>
      </c>
      <c r="W166" s="604">
        <v>14175</v>
      </c>
      <c r="Y166" s="535" t="str">
        <f t="shared" si="26"/>
        <v>2016ethbwtPacific peoples1500-2499fetal</v>
      </c>
      <c r="Z166" s="604">
        <v>2016</v>
      </c>
      <c r="AA166" s="604" t="s">
        <v>449</v>
      </c>
      <c r="AB166" s="604" t="s">
        <v>447</v>
      </c>
      <c r="AC166" s="604" t="s">
        <v>320</v>
      </c>
      <c r="AD166" s="604" t="s">
        <v>430</v>
      </c>
      <c r="AE166" s="604">
        <v>6</v>
      </c>
      <c r="AF166" s="604">
        <v>211</v>
      </c>
      <c r="AG166" s="604">
        <v>27.6</v>
      </c>
      <c r="AH166" s="604" t="s">
        <v>420</v>
      </c>
      <c r="AJ166" s="535" t="str">
        <f t="shared" si="27"/>
        <v>2016ethbwtPacific peoples1500-2499</v>
      </c>
      <c r="AK166" s="604">
        <v>2016</v>
      </c>
      <c r="AL166" s="604" t="s">
        <v>449</v>
      </c>
      <c r="AM166" s="604" t="s">
        <v>447</v>
      </c>
      <c r="AN166" s="604" t="s">
        <v>320</v>
      </c>
      <c r="AO166" s="604" t="s">
        <v>430</v>
      </c>
      <c r="AP166" s="604">
        <v>211</v>
      </c>
      <c r="AR166" s="538" t="str">
        <f t="shared" si="28"/>
        <v>European or OtherethfetalCanterbury</v>
      </c>
      <c r="AS166" s="604">
        <v>2016</v>
      </c>
      <c r="AT166" s="604" t="s">
        <v>356</v>
      </c>
      <c r="AU166" s="604" t="s">
        <v>449</v>
      </c>
      <c r="AV166" s="604" t="s">
        <v>101</v>
      </c>
      <c r="AW166" s="604">
        <v>27</v>
      </c>
      <c r="AX166" s="604">
        <v>3841</v>
      </c>
      <c r="AY166" s="606">
        <v>7</v>
      </c>
      <c r="AZ166" s="604" t="s">
        <v>420</v>
      </c>
      <c r="BB166" s="536" t="str">
        <f t="shared" si="29"/>
        <v>European or OtherethbirthsCounties Manukau</v>
      </c>
      <c r="BC166" s="604">
        <v>2016</v>
      </c>
      <c r="BD166" s="604" t="s">
        <v>356</v>
      </c>
      <c r="BE166" s="604" t="s">
        <v>449</v>
      </c>
      <c r="BF166" s="604" t="s">
        <v>88</v>
      </c>
      <c r="BG166" s="604">
        <v>1694</v>
      </c>
      <c r="BH166" s="604" t="s">
        <v>445</v>
      </c>
      <c r="BY166" s="553" t="str">
        <f t="shared" si="31"/>
        <v>20061000-1499bwtSIDS</v>
      </c>
      <c r="BZ166" s="604">
        <v>2006</v>
      </c>
      <c r="CA166" s="604" t="s">
        <v>429</v>
      </c>
      <c r="CB166" s="604" t="s">
        <v>447</v>
      </c>
      <c r="CC166" s="604">
        <v>0</v>
      </c>
      <c r="CD166" s="604" t="s">
        <v>32</v>
      </c>
      <c r="CF166" s="554" t="str">
        <f t="shared" si="32"/>
        <v>2016Pacific peoples28-31gestSIDS</v>
      </c>
      <c r="CG166" s="604">
        <v>2016</v>
      </c>
      <c r="CH166" s="604" t="s">
        <v>320</v>
      </c>
      <c r="CI166" s="604" t="s">
        <v>395</v>
      </c>
      <c r="CJ166" s="604" t="s">
        <v>450</v>
      </c>
      <c r="CK166" s="604">
        <v>1</v>
      </c>
      <c r="CL166" s="604" t="s">
        <v>32</v>
      </c>
      <c r="CV166" s="575"/>
    </row>
    <row r="167" spans="9:100">
      <c r="I167" s="578" t="str">
        <f t="shared" si="24"/>
        <v>2016age30-34Fetal</v>
      </c>
      <c r="J167" s="604">
        <v>2016</v>
      </c>
      <c r="K167" s="604" t="s">
        <v>453</v>
      </c>
      <c r="L167" s="604" t="s">
        <v>132</v>
      </c>
      <c r="M167" s="604">
        <v>115</v>
      </c>
      <c r="N167" s="604">
        <v>18835</v>
      </c>
      <c r="O167" s="604">
        <v>6.1</v>
      </c>
      <c r="P167" s="604" t="s">
        <v>47</v>
      </c>
      <c r="Q167" s="499"/>
      <c r="R167" s="502" t="str">
        <f t="shared" si="25"/>
        <v>1998birthsdepQuin 9</v>
      </c>
      <c r="S167" s="604">
        <v>1998</v>
      </c>
      <c r="T167" s="604" t="s">
        <v>445</v>
      </c>
      <c r="U167" s="604" t="s">
        <v>454</v>
      </c>
      <c r="V167" s="604" t="s">
        <v>426</v>
      </c>
      <c r="W167" s="604">
        <v>4940</v>
      </c>
      <c r="Y167" s="535" t="str">
        <f t="shared" si="26"/>
        <v>2016ethbwtAsian1500-2499fetal</v>
      </c>
      <c r="Z167" s="604">
        <v>2016</v>
      </c>
      <c r="AA167" s="604" t="s">
        <v>449</v>
      </c>
      <c r="AB167" s="604" t="s">
        <v>447</v>
      </c>
      <c r="AC167" s="604" t="s">
        <v>355</v>
      </c>
      <c r="AD167" s="604" t="s">
        <v>430</v>
      </c>
      <c r="AE167" s="604">
        <v>7</v>
      </c>
      <c r="AF167" s="604">
        <v>684</v>
      </c>
      <c r="AG167" s="604">
        <v>10.1</v>
      </c>
      <c r="AH167" s="604" t="s">
        <v>420</v>
      </c>
      <c r="AJ167" s="535" t="str">
        <f t="shared" si="27"/>
        <v>2016ethbwtAsian1500-2499</v>
      </c>
      <c r="AK167" s="604">
        <v>2016</v>
      </c>
      <c r="AL167" s="604" t="s">
        <v>449</v>
      </c>
      <c r="AM167" s="604" t="s">
        <v>447</v>
      </c>
      <c r="AN167" s="604" t="s">
        <v>355</v>
      </c>
      <c r="AO167" s="604" t="s">
        <v>430</v>
      </c>
      <c r="AP167" s="604">
        <v>684</v>
      </c>
      <c r="AR167" s="538" t="str">
        <f t="shared" si="28"/>
        <v>MaoriethfetalCanterbury</v>
      </c>
      <c r="AS167" s="604">
        <v>2016</v>
      </c>
      <c r="AT167" s="604" t="s">
        <v>129</v>
      </c>
      <c r="AU167" s="604" t="s">
        <v>449</v>
      </c>
      <c r="AV167" s="604" t="s">
        <v>101</v>
      </c>
      <c r="AW167" s="604">
        <v>4</v>
      </c>
      <c r="AX167" s="604">
        <v>1165</v>
      </c>
      <c r="AY167" s="606">
        <v>3.4</v>
      </c>
      <c r="AZ167" s="604" t="s">
        <v>420</v>
      </c>
      <c r="BB167" s="536" t="str">
        <f t="shared" si="29"/>
        <v>MaoriethbirthsWaikato</v>
      </c>
      <c r="BC167" s="604">
        <v>2016</v>
      </c>
      <c r="BD167" s="604" t="s">
        <v>129</v>
      </c>
      <c r="BE167" s="604" t="s">
        <v>449</v>
      </c>
      <c r="BF167" s="604" t="s">
        <v>89</v>
      </c>
      <c r="BG167" s="604">
        <v>2248</v>
      </c>
      <c r="BH167" s="604" t="s">
        <v>445</v>
      </c>
      <c r="BY167" s="553" t="str">
        <f t="shared" si="31"/>
        <v>20061500-2499bwtSIDS</v>
      </c>
      <c r="BZ167" s="604">
        <v>2006</v>
      </c>
      <c r="CA167" s="604" t="s">
        <v>430</v>
      </c>
      <c r="CB167" s="604" t="s">
        <v>447</v>
      </c>
      <c r="CC167" s="604">
        <v>7</v>
      </c>
      <c r="CD167" s="604" t="s">
        <v>32</v>
      </c>
      <c r="CF167" s="554" t="str">
        <f t="shared" si="32"/>
        <v>2016Asian32-36gestSIDS</v>
      </c>
      <c r="CG167" s="604">
        <v>2016</v>
      </c>
      <c r="CH167" s="604" t="s">
        <v>355</v>
      </c>
      <c r="CI167" s="604" t="s">
        <v>136</v>
      </c>
      <c r="CJ167" s="604" t="s">
        <v>450</v>
      </c>
      <c r="CK167" s="604">
        <v>0</v>
      </c>
      <c r="CL167" s="604" t="s">
        <v>32</v>
      </c>
      <c r="CV167" s="575"/>
    </row>
    <row r="168" spans="9:100">
      <c r="I168" s="578" t="str">
        <f t="shared" si="24"/>
        <v>2016age35-39Fetal</v>
      </c>
      <c r="J168" s="604">
        <v>2016</v>
      </c>
      <c r="K168" s="604" t="s">
        <v>453</v>
      </c>
      <c r="L168" s="604" t="s">
        <v>133</v>
      </c>
      <c r="M168" s="604">
        <v>70</v>
      </c>
      <c r="N168" s="604">
        <v>10175</v>
      </c>
      <c r="O168" s="604">
        <v>6.9</v>
      </c>
      <c r="P168" s="604" t="s">
        <v>47</v>
      </c>
      <c r="Q168" s="499"/>
      <c r="R168" s="502" t="str">
        <f t="shared" si="25"/>
        <v>1999birthsdepQuin 1</v>
      </c>
      <c r="S168" s="604">
        <v>1999</v>
      </c>
      <c r="T168" s="604" t="s">
        <v>445</v>
      </c>
      <c r="U168" s="604" t="s">
        <v>454</v>
      </c>
      <c r="V168" s="604" t="s">
        <v>421</v>
      </c>
      <c r="W168" s="604">
        <v>7250</v>
      </c>
      <c r="Y168" s="535" t="str">
        <f t="shared" si="26"/>
        <v>2016ethbwtEuropean or Other1500-2499fetal</v>
      </c>
      <c r="Z168" s="604">
        <v>2016</v>
      </c>
      <c r="AA168" s="604" t="s">
        <v>449</v>
      </c>
      <c r="AB168" s="604" t="s">
        <v>447</v>
      </c>
      <c r="AC168" s="604" t="s">
        <v>356</v>
      </c>
      <c r="AD168" s="604" t="s">
        <v>430</v>
      </c>
      <c r="AE168" s="604">
        <v>17</v>
      </c>
      <c r="AF168" s="604">
        <v>1163</v>
      </c>
      <c r="AG168" s="604">
        <v>14.4</v>
      </c>
      <c r="AH168" s="604" t="s">
        <v>420</v>
      </c>
      <c r="AJ168" s="535" t="str">
        <f t="shared" si="27"/>
        <v>2016ethbwtEuropean or Other1500-2499</v>
      </c>
      <c r="AK168" s="604">
        <v>2016</v>
      </c>
      <c r="AL168" s="604" t="s">
        <v>449</v>
      </c>
      <c r="AM168" s="604" t="s">
        <v>447</v>
      </c>
      <c r="AN168" s="604" t="s">
        <v>356</v>
      </c>
      <c r="AO168" s="604" t="s">
        <v>430</v>
      </c>
      <c r="AP168" s="604">
        <v>1163</v>
      </c>
      <c r="AR168" s="538" t="str">
        <f t="shared" si="28"/>
        <v>Pacific peoplesethfetalCanterbury</v>
      </c>
      <c r="AS168" s="604">
        <v>2016</v>
      </c>
      <c r="AT168" s="604" t="s">
        <v>320</v>
      </c>
      <c r="AU168" s="604" t="s">
        <v>449</v>
      </c>
      <c r="AV168" s="604" t="s">
        <v>101</v>
      </c>
      <c r="AW168" s="604">
        <v>2</v>
      </c>
      <c r="AX168" s="604">
        <v>343</v>
      </c>
      <c r="AY168" s="606">
        <v>5.8</v>
      </c>
      <c r="AZ168" s="604" t="s">
        <v>420</v>
      </c>
      <c r="BB168" s="536" t="str">
        <f t="shared" si="29"/>
        <v>Pacific peoplesethbirthsWaikato</v>
      </c>
      <c r="BC168" s="604">
        <v>2016</v>
      </c>
      <c r="BD168" s="604" t="s">
        <v>320</v>
      </c>
      <c r="BE168" s="604" t="s">
        <v>449</v>
      </c>
      <c r="BF168" s="604" t="s">
        <v>89</v>
      </c>
      <c r="BG168" s="604">
        <v>217</v>
      </c>
      <c r="BH168" s="604" t="s">
        <v>445</v>
      </c>
      <c r="BY168" s="553" t="str">
        <f t="shared" si="31"/>
        <v>20062500-4499bwtSIDS</v>
      </c>
      <c r="BZ168" s="604">
        <v>2006</v>
      </c>
      <c r="CA168" s="604" t="s">
        <v>431</v>
      </c>
      <c r="CB168" s="604" t="s">
        <v>447</v>
      </c>
      <c r="CC168" s="604">
        <v>37</v>
      </c>
      <c r="CD168" s="604" t="s">
        <v>32</v>
      </c>
      <c r="CF168" s="554" t="str">
        <f t="shared" si="32"/>
        <v>2016European or Other32-36gestSIDS</v>
      </c>
      <c r="CG168" s="604">
        <v>2016</v>
      </c>
      <c r="CH168" s="604" t="s">
        <v>356</v>
      </c>
      <c r="CI168" s="604" t="s">
        <v>136</v>
      </c>
      <c r="CJ168" s="604" t="s">
        <v>450</v>
      </c>
      <c r="CK168" s="604">
        <v>1</v>
      </c>
      <c r="CL168" s="604" t="s">
        <v>32</v>
      </c>
      <c r="CV168" s="575"/>
    </row>
    <row r="169" spans="9:100">
      <c r="I169" s="578" t="str">
        <f t="shared" si="24"/>
        <v>2016age40+Fetal</v>
      </c>
      <c r="J169" s="604">
        <v>2016</v>
      </c>
      <c r="K169" s="604" t="s">
        <v>453</v>
      </c>
      <c r="L169" s="604" t="s">
        <v>134</v>
      </c>
      <c r="M169" s="604">
        <v>16</v>
      </c>
      <c r="N169" s="604">
        <v>2470</v>
      </c>
      <c r="O169" s="604">
        <v>6.5</v>
      </c>
      <c r="P169" s="604" t="s">
        <v>47</v>
      </c>
      <c r="Q169" s="499"/>
      <c r="R169" s="502" t="str">
        <f t="shared" si="25"/>
        <v>1999birthsdepQuin 2</v>
      </c>
      <c r="S169" s="604">
        <v>1999</v>
      </c>
      <c r="T169" s="604" t="s">
        <v>445</v>
      </c>
      <c r="U169" s="604" t="s">
        <v>454</v>
      </c>
      <c r="V169" s="604" t="s">
        <v>422</v>
      </c>
      <c r="W169" s="604">
        <v>8066</v>
      </c>
      <c r="Y169" s="535" t="str">
        <f t="shared" si="26"/>
        <v>2016ethbwtMaori2500-4499fetal</v>
      </c>
      <c r="Z169" s="604">
        <v>2016</v>
      </c>
      <c r="AA169" s="604" t="s">
        <v>449</v>
      </c>
      <c r="AB169" s="604" t="s">
        <v>447</v>
      </c>
      <c r="AC169" s="604" t="s">
        <v>129</v>
      </c>
      <c r="AD169" s="604" t="s">
        <v>431</v>
      </c>
      <c r="AE169" s="604">
        <v>18</v>
      </c>
      <c r="AF169" s="604">
        <v>15761</v>
      </c>
      <c r="AG169" s="604">
        <v>1.1000000000000001</v>
      </c>
      <c r="AH169" s="604" t="s">
        <v>420</v>
      </c>
      <c r="AJ169" s="535" t="str">
        <f t="shared" si="27"/>
        <v>2016ethbwtMaori2500-4499</v>
      </c>
      <c r="AK169" s="604">
        <v>2016</v>
      </c>
      <c r="AL169" s="604" t="s">
        <v>449</v>
      </c>
      <c r="AM169" s="604" t="s">
        <v>447</v>
      </c>
      <c r="AN169" s="604" t="s">
        <v>129</v>
      </c>
      <c r="AO169" s="604" t="s">
        <v>431</v>
      </c>
      <c r="AP169" s="604">
        <v>15761</v>
      </c>
      <c r="AR169" s="538" t="str">
        <f t="shared" si="28"/>
        <v>European or OtherethfetalSouth Canterbury</v>
      </c>
      <c r="AS169" s="604">
        <v>2016</v>
      </c>
      <c r="AT169" s="604" t="s">
        <v>356</v>
      </c>
      <c r="AU169" s="604" t="s">
        <v>449</v>
      </c>
      <c r="AV169" s="604" t="s">
        <v>102</v>
      </c>
      <c r="AW169" s="604">
        <v>2</v>
      </c>
      <c r="AX169" s="604">
        <v>466</v>
      </c>
      <c r="AY169" s="606">
        <v>4.3</v>
      </c>
      <c r="AZ169" s="604" t="s">
        <v>420</v>
      </c>
      <c r="BB169" s="536" t="str">
        <f t="shared" si="29"/>
        <v>AsianethbirthsWaikato</v>
      </c>
      <c r="BC169" s="604">
        <v>2016</v>
      </c>
      <c r="BD169" s="604" t="s">
        <v>355</v>
      </c>
      <c r="BE169" s="604" t="s">
        <v>449</v>
      </c>
      <c r="BF169" s="604" t="s">
        <v>89</v>
      </c>
      <c r="BG169" s="604">
        <v>669</v>
      </c>
      <c r="BH169" s="604" t="s">
        <v>445</v>
      </c>
      <c r="BY169" s="553" t="str">
        <f t="shared" si="31"/>
        <v>20064500+bwtSIDS</v>
      </c>
      <c r="BZ169" s="604">
        <v>2006</v>
      </c>
      <c r="CA169" s="604" t="s">
        <v>432</v>
      </c>
      <c r="CB169" s="604" t="s">
        <v>447</v>
      </c>
      <c r="CC169" s="604">
        <v>1</v>
      </c>
      <c r="CD169" s="604" t="s">
        <v>32</v>
      </c>
      <c r="CF169" s="554" t="str">
        <f t="shared" si="32"/>
        <v>2016Maori32-36gestSIDS</v>
      </c>
      <c r="CG169" s="604">
        <v>2016</v>
      </c>
      <c r="CH169" s="604" t="s">
        <v>129</v>
      </c>
      <c r="CI169" s="604" t="s">
        <v>136</v>
      </c>
      <c r="CJ169" s="604" t="s">
        <v>450</v>
      </c>
      <c r="CK169" s="604">
        <v>2</v>
      </c>
      <c r="CL169" s="604" t="s">
        <v>32</v>
      </c>
      <c r="CV169" s="575"/>
    </row>
    <row r="170" spans="9:100">
      <c r="I170" s="578" t="str">
        <f t="shared" si="24"/>
        <v>2016ageUnknownFetal</v>
      </c>
      <c r="J170" s="604">
        <v>2016</v>
      </c>
      <c r="K170" s="604" t="s">
        <v>453</v>
      </c>
      <c r="L170" s="604" t="s">
        <v>63</v>
      </c>
      <c r="M170" s="604">
        <v>0</v>
      </c>
      <c r="N170" s="604">
        <v>0</v>
      </c>
      <c r="O170" s="604" t="s">
        <v>119</v>
      </c>
      <c r="P170" s="604" t="s">
        <v>47</v>
      </c>
      <c r="Q170" s="499"/>
      <c r="R170" s="502" t="str">
        <f t="shared" si="25"/>
        <v>1999birthsdepQuin 3</v>
      </c>
      <c r="S170" s="604">
        <v>1999</v>
      </c>
      <c r="T170" s="604" t="s">
        <v>445</v>
      </c>
      <c r="U170" s="604" t="s">
        <v>454</v>
      </c>
      <c r="V170" s="604" t="s">
        <v>423</v>
      </c>
      <c r="W170" s="604">
        <v>9708</v>
      </c>
      <c r="Y170" s="535" t="str">
        <f t="shared" si="26"/>
        <v>2016ethbwtPacific peoples2500-4499fetal</v>
      </c>
      <c r="Z170" s="604">
        <v>2016</v>
      </c>
      <c r="AA170" s="604" t="s">
        <v>449</v>
      </c>
      <c r="AB170" s="604" t="s">
        <v>447</v>
      </c>
      <c r="AC170" s="604" t="s">
        <v>320</v>
      </c>
      <c r="AD170" s="604" t="s">
        <v>431</v>
      </c>
      <c r="AE170" s="604">
        <v>14</v>
      </c>
      <c r="AF170" s="604">
        <v>5449</v>
      </c>
      <c r="AG170" s="604">
        <v>2.6</v>
      </c>
      <c r="AH170" s="604" t="s">
        <v>420</v>
      </c>
      <c r="AJ170" s="535" t="str">
        <f t="shared" si="27"/>
        <v>2016ethbwtPacific peoples2500-4499</v>
      </c>
      <c r="AK170" s="604">
        <v>2016</v>
      </c>
      <c r="AL170" s="604" t="s">
        <v>449</v>
      </c>
      <c r="AM170" s="604" t="s">
        <v>447</v>
      </c>
      <c r="AN170" s="604" t="s">
        <v>320</v>
      </c>
      <c r="AO170" s="604" t="s">
        <v>431</v>
      </c>
      <c r="AP170" s="604">
        <v>5449</v>
      </c>
      <c r="AR170" s="538" t="str">
        <f t="shared" si="28"/>
        <v>MaoriethfetalSouth Canterbury</v>
      </c>
      <c r="AS170" s="604">
        <v>2016</v>
      </c>
      <c r="AT170" s="604" t="s">
        <v>129</v>
      </c>
      <c r="AU170" s="604" t="s">
        <v>449</v>
      </c>
      <c r="AV170" s="604" t="s">
        <v>102</v>
      </c>
      <c r="AW170" s="604">
        <v>1</v>
      </c>
      <c r="AX170" s="604">
        <v>106</v>
      </c>
      <c r="AY170" s="606">
        <v>9.4</v>
      </c>
      <c r="AZ170" s="604" t="s">
        <v>420</v>
      </c>
      <c r="BB170" s="536" t="str">
        <f t="shared" si="29"/>
        <v>European or OtherethbirthsWaikato</v>
      </c>
      <c r="BC170" s="604">
        <v>2016</v>
      </c>
      <c r="BD170" s="604" t="s">
        <v>356</v>
      </c>
      <c r="BE170" s="604" t="s">
        <v>449</v>
      </c>
      <c r="BF170" s="604" t="s">
        <v>89</v>
      </c>
      <c r="BG170" s="604">
        <v>2373</v>
      </c>
      <c r="BH170" s="604" t="s">
        <v>445</v>
      </c>
      <c r="BY170" s="553" t="str">
        <f t="shared" si="31"/>
        <v>2006UnknownbwtSIDS</v>
      </c>
      <c r="BZ170" s="604">
        <v>2006</v>
      </c>
      <c r="CA170" s="604" t="s">
        <v>63</v>
      </c>
      <c r="CB170" s="604" t="s">
        <v>447</v>
      </c>
      <c r="CC170" s="604">
        <v>3</v>
      </c>
      <c r="CD170" s="604" t="s">
        <v>32</v>
      </c>
      <c r="CF170" s="554" t="str">
        <f t="shared" si="32"/>
        <v>2016Pacific peoples32-36gestSIDS</v>
      </c>
      <c r="CG170" s="604">
        <v>2016</v>
      </c>
      <c r="CH170" s="604" t="s">
        <v>320</v>
      </c>
      <c r="CI170" s="604" t="s">
        <v>136</v>
      </c>
      <c r="CJ170" s="604" t="s">
        <v>450</v>
      </c>
      <c r="CK170" s="604">
        <v>0</v>
      </c>
      <c r="CL170" s="604" t="s">
        <v>32</v>
      </c>
      <c r="CV170" s="575"/>
    </row>
    <row r="171" spans="9:100">
      <c r="I171" s="578" t="str">
        <f t="shared" si="24"/>
        <v>1996sexMaleFetal</v>
      </c>
      <c r="J171" s="604">
        <v>1996</v>
      </c>
      <c r="K171" s="604" t="s">
        <v>451</v>
      </c>
      <c r="L171" s="604" t="s">
        <v>70</v>
      </c>
      <c r="M171" s="604">
        <v>213</v>
      </c>
      <c r="N171" s="604">
        <v>29762</v>
      </c>
      <c r="O171" s="604">
        <v>7.2</v>
      </c>
      <c r="P171" s="604" t="s">
        <v>47</v>
      </c>
      <c r="Q171" s="499"/>
      <c r="R171" s="502" t="str">
        <f t="shared" si="25"/>
        <v>1999birthsdepQuin 4</v>
      </c>
      <c r="S171" s="604">
        <v>1999</v>
      </c>
      <c r="T171" s="604" t="s">
        <v>445</v>
      </c>
      <c r="U171" s="604" t="s">
        <v>454</v>
      </c>
      <c r="V171" s="604" t="s">
        <v>424</v>
      </c>
      <c r="W171" s="604">
        <v>12198</v>
      </c>
      <c r="Y171" s="535" t="str">
        <f t="shared" si="26"/>
        <v>2016ethbwtAsian2500-4499fetal</v>
      </c>
      <c r="Z171" s="604">
        <v>2016</v>
      </c>
      <c r="AA171" s="604" t="s">
        <v>449</v>
      </c>
      <c r="AB171" s="604" t="s">
        <v>447</v>
      </c>
      <c r="AC171" s="604" t="s">
        <v>355</v>
      </c>
      <c r="AD171" s="604" t="s">
        <v>431</v>
      </c>
      <c r="AE171" s="604">
        <v>13</v>
      </c>
      <c r="AF171" s="604">
        <v>10050</v>
      </c>
      <c r="AG171" s="604">
        <v>1.3</v>
      </c>
      <c r="AH171" s="604" t="s">
        <v>420</v>
      </c>
      <c r="AJ171" s="535" t="str">
        <f t="shared" si="27"/>
        <v>2016ethbwtAsian2500-4499</v>
      </c>
      <c r="AK171" s="604">
        <v>2016</v>
      </c>
      <c r="AL171" s="604" t="s">
        <v>449</v>
      </c>
      <c r="AM171" s="604" t="s">
        <v>447</v>
      </c>
      <c r="AN171" s="604" t="s">
        <v>355</v>
      </c>
      <c r="AO171" s="604" t="s">
        <v>431</v>
      </c>
      <c r="AP171" s="604">
        <v>10050</v>
      </c>
      <c r="AR171" s="538" t="str">
        <f t="shared" si="28"/>
        <v>AsianethfetalSouthern</v>
      </c>
      <c r="AS171" s="604">
        <v>2016</v>
      </c>
      <c r="AT171" s="604" t="s">
        <v>355</v>
      </c>
      <c r="AU171" s="604" t="s">
        <v>449</v>
      </c>
      <c r="AV171" s="604" t="s">
        <v>103</v>
      </c>
      <c r="AW171" s="604">
        <v>2</v>
      </c>
      <c r="AX171" s="604">
        <v>266</v>
      </c>
      <c r="AY171" s="606">
        <v>7.5</v>
      </c>
      <c r="AZ171" s="604" t="s">
        <v>420</v>
      </c>
      <c r="BB171" s="536" t="str">
        <f t="shared" si="29"/>
        <v>MaoriethbirthsLakes</v>
      </c>
      <c r="BC171" s="604">
        <v>2016</v>
      </c>
      <c r="BD171" s="604" t="s">
        <v>129</v>
      </c>
      <c r="BE171" s="604" t="s">
        <v>449</v>
      </c>
      <c r="BF171" s="604" t="s">
        <v>90</v>
      </c>
      <c r="BG171" s="604">
        <v>858</v>
      </c>
      <c r="BH171" s="604" t="s">
        <v>445</v>
      </c>
      <c r="BY171" s="553" t="str">
        <f t="shared" si="31"/>
        <v>2007&lt;500bwtSIDS</v>
      </c>
      <c r="BZ171" s="604">
        <v>2007</v>
      </c>
      <c r="CA171" s="604" t="s">
        <v>427</v>
      </c>
      <c r="CB171" s="604" t="s">
        <v>447</v>
      </c>
      <c r="CC171" s="604">
        <v>0</v>
      </c>
      <c r="CD171" s="604" t="s">
        <v>32</v>
      </c>
      <c r="CF171" s="554" t="str">
        <f t="shared" si="32"/>
        <v>2016Asian37-41gestSIDS</v>
      </c>
      <c r="CG171" s="604">
        <v>2016</v>
      </c>
      <c r="CH171" s="604" t="s">
        <v>355</v>
      </c>
      <c r="CI171" s="604" t="s">
        <v>137</v>
      </c>
      <c r="CJ171" s="604" t="s">
        <v>450</v>
      </c>
      <c r="CK171" s="604">
        <v>1</v>
      </c>
      <c r="CL171" s="604" t="s">
        <v>32</v>
      </c>
      <c r="CV171" s="575"/>
    </row>
    <row r="172" spans="9:100">
      <c r="I172" s="578" t="str">
        <f t="shared" si="24"/>
        <v>1996sexFemaleFetal</v>
      </c>
      <c r="J172" s="604">
        <v>1996</v>
      </c>
      <c r="K172" s="604" t="s">
        <v>451</v>
      </c>
      <c r="L172" s="604" t="s">
        <v>71</v>
      </c>
      <c r="M172" s="604">
        <v>196</v>
      </c>
      <c r="N172" s="604">
        <v>28081</v>
      </c>
      <c r="O172" s="604">
        <v>7</v>
      </c>
      <c r="P172" s="604" t="s">
        <v>47</v>
      </c>
      <c r="Q172" s="499"/>
      <c r="R172" s="502" t="str">
        <f t="shared" si="25"/>
        <v>1999birthsdepQuin 5</v>
      </c>
      <c r="S172" s="604">
        <v>1999</v>
      </c>
      <c r="T172" s="604" t="s">
        <v>445</v>
      </c>
      <c r="U172" s="604" t="s">
        <v>454</v>
      </c>
      <c r="V172" s="604" t="s">
        <v>425</v>
      </c>
      <c r="W172" s="604">
        <v>14745</v>
      </c>
      <c r="Y172" s="535" t="str">
        <f t="shared" si="26"/>
        <v>2016ethbwtEuropean or Other2500-4499fetal</v>
      </c>
      <c r="Z172" s="604">
        <v>2016</v>
      </c>
      <c r="AA172" s="604" t="s">
        <v>449</v>
      </c>
      <c r="AB172" s="604" t="s">
        <v>447</v>
      </c>
      <c r="AC172" s="604" t="s">
        <v>356</v>
      </c>
      <c r="AD172" s="604" t="s">
        <v>431</v>
      </c>
      <c r="AE172" s="604">
        <v>36</v>
      </c>
      <c r="AF172" s="604">
        <v>24147</v>
      </c>
      <c r="AG172" s="604">
        <v>1.5</v>
      </c>
      <c r="AH172" s="604" t="s">
        <v>420</v>
      </c>
      <c r="AJ172" s="535" t="str">
        <f t="shared" si="27"/>
        <v>2016ethbwtEuropean or Other2500-4499</v>
      </c>
      <c r="AK172" s="604">
        <v>2016</v>
      </c>
      <c r="AL172" s="604" t="s">
        <v>449</v>
      </c>
      <c r="AM172" s="604" t="s">
        <v>447</v>
      </c>
      <c r="AN172" s="604" t="s">
        <v>356</v>
      </c>
      <c r="AO172" s="604" t="s">
        <v>431</v>
      </c>
      <c r="AP172" s="604">
        <v>24147</v>
      </c>
      <c r="AR172" s="538" t="str">
        <f t="shared" si="28"/>
        <v>European or OtherethfetalSouthern</v>
      </c>
      <c r="AS172" s="604">
        <v>2016</v>
      </c>
      <c r="AT172" s="604" t="s">
        <v>356</v>
      </c>
      <c r="AU172" s="604" t="s">
        <v>449</v>
      </c>
      <c r="AV172" s="604" t="s">
        <v>103</v>
      </c>
      <c r="AW172" s="604">
        <v>16</v>
      </c>
      <c r="AX172" s="604">
        <v>2341</v>
      </c>
      <c r="AY172" s="606">
        <v>6.8</v>
      </c>
      <c r="AZ172" s="604" t="s">
        <v>420</v>
      </c>
      <c r="BB172" s="536" t="str">
        <f t="shared" si="29"/>
        <v>Pacific peoplesethbirthsLakes</v>
      </c>
      <c r="BC172" s="604">
        <v>2016</v>
      </c>
      <c r="BD172" s="604" t="s">
        <v>320</v>
      </c>
      <c r="BE172" s="604" t="s">
        <v>449</v>
      </c>
      <c r="BF172" s="604" t="s">
        <v>90</v>
      </c>
      <c r="BG172" s="604">
        <v>63</v>
      </c>
      <c r="BH172" s="604" t="s">
        <v>445</v>
      </c>
      <c r="BY172" s="553" t="str">
        <f t="shared" si="31"/>
        <v>2007500-999bwtSIDS</v>
      </c>
      <c r="BZ172" s="604">
        <v>2007</v>
      </c>
      <c r="CA172" s="604" t="s">
        <v>428</v>
      </c>
      <c r="CB172" s="604" t="s">
        <v>447</v>
      </c>
      <c r="CC172" s="604">
        <v>0</v>
      </c>
      <c r="CD172" s="604" t="s">
        <v>32</v>
      </c>
      <c r="CF172" s="554" t="str">
        <f t="shared" si="32"/>
        <v>2016European or Other37-41gestSIDS</v>
      </c>
      <c r="CG172" s="604">
        <v>2016</v>
      </c>
      <c r="CH172" s="604" t="s">
        <v>356</v>
      </c>
      <c r="CI172" s="604" t="s">
        <v>137</v>
      </c>
      <c r="CJ172" s="604" t="s">
        <v>450</v>
      </c>
      <c r="CK172" s="604">
        <v>3</v>
      </c>
      <c r="CL172" s="604" t="s">
        <v>32</v>
      </c>
      <c r="CV172" s="575"/>
    </row>
    <row r="173" spans="9:100">
      <c r="I173" s="578" t="str">
        <f t="shared" si="24"/>
        <v>1996sexInd/UnkFetal</v>
      </c>
      <c r="J173" s="604">
        <v>1996</v>
      </c>
      <c r="K173" s="604" t="s">
        <v>451</v>
      </c>
      <c r="L173" s="604" t="s">
        <v>458</v>
      </c>
      <c r="M173" s="604">
        <v>0</v>
      </c>
      <c r="N173" s="604">
        <v>0</v>
      </c>
      <c r="O173" s="604" t="s">
        <v>119</v>
      </c>
      <c r="P173" s="604" t="s">
        <v>47</v>
      </c>
      <c r="Q173" s="499"/>
      <c r="R173" s="502" t="str">
        <f t="shared" si="25"/>
        <v>1999birthsdepQuin 9</v>
      </c>
      <c r="S173" s="604">
        <v>1999</v>
      </c>
      <c r="T173" s="604" t="s">
        <v>445</v>
      </c>
      <c r="U173" s="604" t="s">
        <v>454</v>
      </c>
      <c r="V173" s="604" t="s">
        <v>426</v>
      </c>
      <c r="W173" s="604">
        <v>5454</v>
      </c>
      <c r="Y173" s="535" t="str">
        <f t="shared" si="26"/>
        <v>2016ethbwtMaori4500+fetal</v>
      </c>
      <c r="Z173" s="604">
        <v>2016</v>
      </c>
      <c r="AA173" s="604" t="s">
        <v>449</v>
      </c>
      <c r="AB173" s="604" t="s">
        <v>447</v>
      </c>
      <c r="AC173" s="604" t="s">
        <v>129</v>
      </c>
      <c r="AD173" s="604" t="s">
        <v>432</v>
      </c>
      <c r="AE173" s="604">
        <v>1</v>
      </c>
      <c r="AF173" s="604">
        <v>426</v>
      </c>
      <c r="AG173" s="604">
        <v>2.2999999999999998</v>
      </c>
      <c r="AH173" s="604" t="s">
        <v>420</v>
      </c>
      <c r="AJ173" s="535" t="str">
        <f t="shared" si="27"/>
        <v>2016ethbwtMaori4500+</v>
      </c>
      <c r="AK173" s="604">
        <v>2016</v>
      </c>
      <c r="AL173" s="604" t="s">
        <v>449</v>
      </c>
      <c r="AM173" s="604" t="s">
        <v>447</v>
      </c>
      <c r="AN173" s="604" t="s">
        <v>129</v>
      </c>
      <c r="AO173" s="604" t="s">
        <v>432</v>
      </c>
      <c r="AP173" s="604">
        <v>426</v>
      </c>
      <c r="AR173" s="538" t="str">
        <f t="shared" si="28"/>
        <v>MaoriethfetalSouthern</v>
      </c>
      <c r="AS173" s="604">
        <v>2016</v>
      </c>
      <c r="AT173" s="604" t="s">
        <v>129</v>
      </c>
      <c r="AU173" s="604" t="s">
        <v>449</v>
      </c>
      <c r="AV173" s="604" t="s">
        <v>103</v>
      </c>
      <c r="AW173" s="604">
        <v>8</v>
      </c>
      <c r="AX173" s="604">
        <v>686</v>
      </c>
      <c r="AY173" s="606">
        <v>11.7</v>
      </c>
      <c r="AZ173" s="604" t="s">
        <v>420</v>
      </c>
      <c r="BB173" s="536" t="str">
        <f t="shared" si="29"/>
        <v>AsianethbirthsLakes</v>
      </c>
      <c r="BC173" s="604">
        <v>2016</v>
      </c>
      <c r="BD173" s="604" t="s">
        <v>355</v>
      </c>
      <c r="BE173" s="604" t="s">
        <v>449</v>
      </c>
      <c r="BF173" s="604" t="s">
        <v>90</v>
      </c>
      <c r="BG173" s="604">
        <v>148</v>
      </c>
      <c r="BH173" s="604" t="s">
        <v>445</v>
      </c>
      <c r="BY173" s="553" t="str">
        <f t="shared" si="31"/>
        <v>20071000-1499bwtSIDS</v>
      </c>
      <c r="BZ173" s="604">
        <v>2007</v>
      </c>
      <c r="CA173" s="604" t="s">
        <v>429</v>
      </c>
      <c r="CB173" s="604" t="s">
        <v>447</v>
      </c>
      <c r="CC173" s="604">
        <v>3</v>
      </c>
      <c r="CD173" s="604" t="s">
        <v>32</v>
      </c>
      <c r="CF173" s="554" t="str">
        <f t="shared" si="32"/>
        <v>2016Maori37-41gestSIDS</v>
      </c>
      <c r="CG173" s="604">
        <v>2016</v>
      </c>
      <c r="CH173" s="604" t="s">
        <v>129</v>
      </c>
      <c r="CI173" s="604" t="s">
        <v>137</v>
      </c>
      <c r="CJ173" s="604" t="s">
        <v>450</v>
      </c>
      <c r="CK173" s="604">
        <v>12</v>
      </c>
      <c r="CL173" s="604" t="s">
        <v>32</v>
      </c>
      <c r="CV173" s="575"/>
    </row>
    <row r="174" spans="9:100">
      <c r="I174" s="578" t="str">
        <f t="shared" si="24"/>
        <v>1997sexMaleFetal</v>
      </c>
      <c r="J174" s="604">
        <v>1997</v>
      </c>
      <c r="K174" s="604" t="s">
        <v>451</v>
      </c>
      <c r="L174" s="604" t="s">
        <v>70</v>
      </c>
      <c r="M174" s="604">
        <v>218</v>
      </c>
      <c r="N174" s="604">
        <v>29711</v>
      </c>
      <c r="O174" s="604">
        <v>7.3</v>
      </c>
      <c r="P174" s="604" t="s">
        <v>47</v>
      </c>
      <c r="Q174" s="499"/>
      <c r="R174" s="502" t="str">
        <f t="shared" si="25"/>
        <v>2000birthsdepQuin 1</v>
      </c>
      <c r="S174" s="604">
        <v>2000</v>
      </c>
      <c r="T174" s="604" t="s">
        <v>445</v>
      </c>
      <c r="U174" s="604" t="s">
        <v>454</v>
      </c>
      <c r="V174" s="604" t="s">
        <v>421</v>
      </c>
      <c r="W174" s="604">
        <v>7052</v>
      </c>
      <c r="Y174" s="535" t="str">
        <f t="shared" si="26"/>
        <v>2016ethbwtPacific peoples4500+fetal</v>
      </c>
      <c r="Z174" s="604">
        <v>2016</v>
      </c>
      <c r="AA174" s="604" t="s">
        <v>449</v>
      </c>
      <c r="AB174" s="604" t="s">
        <v>447</v>
      </c>
      <c r="AC174" s="604" t="s">
        <v>320</v>
      </c>
      <c r="AD174" s="604" t="s">
        <v>432</v>
      </c>
      <c r="AE174" s="604">
        <v>1</v>
      </c>
      <c r="AF174" s="604">
        <v>261</v>
      </c>
      <c r="AG174" s="604">
        <v>3.8</v>
      </c>
      <c r="AH174" s="604" t="s">
        <v>420</v>
      </c>
      <c r="AJ174" s="535" t="str">
        <f t="shared" si="27"/>
        <v>2016ethbwtPacific peoples4500+</v>
      </c>
      <c r="AK174" s="604">
        <v>2016</v>
      </c>
      <c r="AL174" s="604" t="s">
        <v>449</v>
      </c>
      <c r="AM174" s="604" t="s">
        <v>447</v>
      </c>
      <c r="AN174" s="604" t="s">
        <v>320</v>
      </c>
      <c r="AO174" s="604" t="s">
        <v>432</v>
      </c>
      <c r="AP174" s="604">
        <v>261</v>
      </c>
      <c r="AR174" s="538" t="str">
        <f t="shared" si="28"/>
        <v>Pacific peoplesethfetalSouthern</v>
      </c>
      <c r="AS174" s="604">
        <v>2016</v>
      </c>
      <c r="AT174" s="604" t="s">
        <v>320</v>
      </c>
      <c r="AU174" s="604" t="s">
        <v>449</v>
      </c>
      <c r="AV174" s="604" t="s">
        <v>103</v>
      </c>
      <c r="AW174" s="604">
        <v>2</v>
      </c>
      <c r="AX174" s="604">
        <v>149</v>
      </c>
      <c r="AY174" s="606">
        <v>13.4</v>
      </c>
      <c r="AZ174" s="604" t="s">
        <v>420</v>
      </c>
      <c r="BB174" s="536" t="str">
        <f t="shared" si="29"/>
        <v>European or OtherethbirthsLakes</v>
      </c>
      <c r="BC174" s="604">
        <v>2016</v>
      </c>
      <c r="BD174" s="604" t="s">
        <v>356</v>
      </c>
      <c r="BE174" s="604" t="s">
        <v>449</v>
      </c>
      <c r="BF174" s="604" t="s">
        <v>90</v>
      </c>
      <c r="BG174" s="604">
        <v>500</v>
      </c>
      <c r="BH174" s="604" t="s">
        <v>445</v>
      </c>
      <c r="BY174" s="553" t="str">
        <f t="shared" si="31"/>
        <v>20071500-2499bwtSIDS</v>
      </c>
      <c r="BZ174" s="604">
        <v>2007</v>
      </c>
      <c r="CA174" s="604" t="s">
        <v>430</v>
      </c>
      <c r="CB174" s="604" t="s">
        <v>447</v>
      </c>
      <c r="CC174" s="604">
        <v>6</v>
      </c>
      <c r="CD174" s="604" t="s">
        <v>32</v>
      </c>
      <c r="CF174" s="554" t="str">
        <f t="shared" si="32"/>
        <v>2016Pacific peoples37-41gestSIDS</v>
      </c>
      <c r="CG174" s="604">
        <v>2016</v>
      </c>
      <c r="CH174" s="604" t="s">
        <v>320</v>
      </c>
      <c r="CI174" s="604" t="s">
        <v>137</v>
      </c>
      <c r="CJ174" s="604" t="s">
        <v>450</v>
      </c>
      <c r="CK174" s="604">
        <v>2</v>
      </c>
      <c r="CL174" s="604" t="s">
        <v>32</v>
      </c>
      <c r="CV174" s="575"/>
    </row>
    <row r="175" spans="9:100">
      <c r="I175" s="578" t="str">
        <f t="shared" si="24"/>
        <v>1997sexFemaleFetal</v>
      </c>
      <c r="J175" s="604">
        <v>1997</v>
      </c>
      <c r="K175" s="604" t="s">
        <v>451</v>
      </c>
      <c r="L175" s="604" t="s">
        <v>71</v>
      </c>
      <c r="M175" s="604">
        <v>199</v>
      </c>
      <c r="N175" s="604">
        <v>28440</v>
      </c>
      <c r="O175" s="604">
        <v>7</v>
      </c>
      <c r="P175" s="604" t="s">
        <v>47</v>
      </c>
      <c r="Q175" s="499"/>
      <c r="R175" s="502" t="str">
        <f t="shared" si="25"/>
        <v>2000birthsdepQuin 2</v>
      </c>
      <c r="S175" s="604">
        <v>2000</v>
      </c>
      <c r="T175" s="604" t="s">
        <v>445</v>
      </c>
      <c r="U175" s="604" t="s">
        <v>454</v>
      </c>
      <c r="V175" s="604" t="s">
        <v>422</v>
      </c>
      <c r="W175" s="604">
        <v>8032</v>
      </c>
      <c r="Y175" s="535" t="str">
        <f t="shared" si="26"/>
        <v>2016ethbwtAsian4500+fetal</v>
      </c>
      <c r="Z175" s="604">
        <v>2016</v>
      </c>
      <c r="AA175" s="604" t="s">
        <v>449</v>
      </c>
      <c r="AB175" s="604" t="s">
        <v>447</v>
      </c>
      <c r="AC175" s="604" t="s">
        <v>355</v>
      </c>
      <c r="AD175" s="604" t="s">
        <v>432</v>
      </c>
      <c r="AE175" s="604">
        <v>0</v>
      </c>
      <c r="AF175" s="604">
        <v>44</v>
      </c>
      <c r="AG175" s="604">
        <v>0</v>
      </c>
      <c r="AH175" s="604" t="s">
        <v>420</v>
      </c>
      <c r="AJ175" s="535" t="str">
        <f t="shared" si="27"/>
        <v>2016ethbwtAsian4500+</v>
      </c>
      <c r="AK175" s="604">
        <v>2016</v>
      </c>
      <c r="AL175" s="604" t="s">
        <v>449</v>
      </c>
      <c r="AM175" s="604" t="s">
        <v>447</v>
      </c>
      <c r="AN175" s="604" t="s">
        <v>355</v>
      </c>
      <c r="AO175" s="604" t="s">
        <v>432</v>
      </c>
      <c r="AP175" s="604">
        <v>44</v>
      </c>
      <c r="AR175" s="538" t="str">
        <f t="shared" si="28"/>
        <v>MaoriethfetalUnknown</v>
      </c>
      <c r="AS175" s="604">
        <v>2016</v>
      </c>
      <c r="AT175" s="604" t="s">
        <v>129</v>
      </c>
      <c r="AU175" s="604" t="s">
        <v>449</v>
      </c>
      <c r="AV175" s="604" t="s">
        <v>63</v>
      </c>
      <c r="AW175" s="604">
        <v>2</v>
      </c>
      <c r="AX175" s="604">
        <v>20</v>
      </c>
      <c r="AY175" s="606" t="s">
        <v>119</v>
      </c>
      <c r="AZ175" s="604" t="s">
        <v>420</v>
      </c>
      <c r="BB175" s="536" t="str">
        <f t="shared" si="29"/>
        <v>MaoriethbirthsBay of Plenty</v>
      </c>
      <c r="BC175" s="604">
        <v>2016</v>
      </c>
      <c r="BD175" s="604" t="s">
        <v>129</v>
      </c>
      <c r="BE175" s="604" t="s">
        <v>449</v>
      </c>
      <c r="BF175" s="604" t="s">
        <v>91</v>
      </c>
      <c r="BG175" s="604">
        <v>1343</v>
      </c>
      <c r="BH175" s="604" t="s">
        <v>445</v>
      </c>
      <c r="BY175" s="553" t="str">
        <f t="shared" si="31"/>
        <v>20072500-4499bwtSIDS</v>
      </c>
      <c r="BZ175" s="604">
        <v>2007</v>
      </c>
      <c r="CA175" s="604" t="s">
        <v>431</v>
      </c>
      <c r="CB175" s="604" t="s">
        <v>447</v>
      </c>
      <c r="CC175" s="604">
        <v>43</v>
      </c>
      <c r="CD175" s="604" t="s">
        <v>32</v>
      </c>
      <c r="CF175" s="554" t="str">
        <f t="shared" si="32"/>
        <v>2016Asian42+gestSIDS</v>
      </c>
      <c r="CG175" s="604">
        <v>2016</v>
      </c>
      <c r="CH175" s="604" t="s">
        <v>355</v>
      </c>
      <c r="CI175" s="604" t="s">
        <v>138</v>
      </c>
      <c r="CJ175" s="604" t="s">
        <v>450</v>
      </c>
      <c r="CK175" s="604">
        <v>0</v>
      </c>
      <c r="CL175" s="604" t="s">
        <v>32</v>
      </c>
      <c r="CV175" s="575"/>
    </row>
    <row r="176" spans="9:100">
      <c r="I176" s="578" t="str">
        <f t="shared" si="24"/>
        <v>1997sexInd/UnkFetal</v>
      </c>
      <c r="J176" s="604">
        <v>1997</v>
      </c>
      <c r="K176" s="604" t="s">
        <v>451</v>
      </c>
      <c r="L176" s="604" t="s">
        <v>458</v>
      </c>
      <c r="M176" s="604">
        <v>0</v>
      </c>
      <c r="N176" s="604">
        <v>0</v>
      </c>
      <c r="O176" s="604" t="s">
        <v>119</v>
      </c>
      <c r="P176" s="604" t="s">
        <v>47</v>
      </c>
      <c r="Q176" s="499"/>
      <c r="R176" s="502" t="str">
        <f t="shared" si="25"/>
        <v>2000birthsdepQuin 3</v>
      </c>
      <c r="S176" s="604">
        <v>2000</v>
      </c>
      <c r="T176" s="604" t="s">
        <v>445</v>
      </c>
      <c r="U176" s="604" t="s">
        <v>454</v>
      </c>
      <c r="V176" s="604" t="s">
        <v>423</v>
      </c>
      <c r="W176" s="604">
        <v>9828</v>
      </c>
      <c r="Y176" s="535" t="str">
        <f t="shared" si="26"/>
        <v>2016ethbwtEuropean or Other4500+fetal</v>
      </c>
      <c r="Z176" s="604">
        <v>2016</v>
      </c>
      <c r="AA176" s="604" t="s">
        <v>449</v>
      </c>
      <c r="AB176" s="604" t="s">
        <v>447</v>
      </c>
      <c r="AC176" s="604" t="s">
        <v>356</v>
      </c>
      <c r="AD176" s="604" t="s">
        <v>432</v>
      </c>
      <c r="AE176" s="604">
        <v>2</v>
      </c>
      <c r="AF176" s="604">
        <v>692</v>
      </c>
      <c r="AG176" s="604">
        <v>2.9</v>
      </c>
      <c r="AH176" s="604" t="s">
        <v>420</v>
      </c>
      <c r="AJ176" s="535" t="str">
        <f t="shared" si="27"/>
        <v>2016ethbwtEuropean or Other4500+</v>
      </c>
      <c r="AK176" s="604">
        <v>2016</v>
      </c>
      <c r="AL176" s="604" t="s">
        <v>449</v>
      </c>
      <c r="AM176" s="604" t="s">
        <v>447</v>
      </c>
      <c r="AN176" s="604" t="s">
        <v>356</v>
      </c>
      <c r="AO176" s="604" t="s">
        <v>432</v>
      </c>
      <c r="AP176" s="604">
        <v>692</v>
      </c>
      <c r="AR176" s="538" t="str">
        <f t="shared" si="28"/>
        <v>MalesexfetalNorthland</v>
      </c>
      <c r="AS176" s="604">
        <v>2016</v>
      </c>
      <c r="AT176" s="604" t="s">
        <v>70</v>
      </c>
      <c r="AU176" s="604" t="s">
        <v>451</v>
      </c>
      <c r="AV176" s="604" t="s">
        <v>85</v>
      </c>
      <c r="AW176" s="604">
        <v>13</v>
      </c>
      <c r="AX176" s="604">
        <v>1197</v>
      </c>
      <c r="AY176" s="606">
        <v>10.9</v>
      </c>
      <c r="AZ176" s="604" t="s">
        <v>420</v>
      </c>
      <c r="BB176" s="536" t="str">
        <f t="shared" si="29"/>
        <v>Pacific peoplesethbirthsBay of Plenty</v>
      </c>
      <c r="BC176" s="604">
        <v>2016</v>
      </c>
      <c r="BD176" s="604" t="s">
        <v>320</v>
      </c>
      <c r="BE176" s="604" t="s">
        <v>449</v>
      </c>
      <c r="BF176" s="604" t="s">
        <v>91</v>
      </c>
      <c r="BG176" s="604">
        <v>80</v>
      </c>
      <c r="BH176" s="604" t="s">
        <v>445</v>
      </c>
      <c r="BY176" s="553" t="str">
        <f t="shared" si="31"/>
        <v>20074500+bwtSIDS</v>
      </c>
      <c r="BZ176" s="604">
        <v>2007</v>
      </c>
      <c r="CA176" s="604" t="s">
        <v>432</v>
      </c>
      <c r="CB176" s="604" t="s">
        <v>447</v>
      </c>
      <c r="CC176" s="604">
        <v>0</v>
      </c>
      <c r="CD176" s="604" t="s">
        <v>32</v>
      </c>
      <c r="CF176" s="554" t="str">
        <f t="shared" si="32"/>
        <v>2016Maori42+gestSIDS</v>
      </c>
      <c r="CG176" s="604">
        <v>2016</v>
      </c>
      <c r="CH176" s="604" t="s">
        <v>129</v>
      </c>
      <c r="CI176" s="604" t="s">
        <v>138</v>
      </c>
      <c r="CJ176" s="604" t="s">
        <v>450</v>
      </c>
      <c r="CK176" s="604">
        <v>0</v>
      </c>
      <c r="CL176" s="604" t="s">
        <v>32</v>
      </c>
      <c r="CV176" s="575"/>
    </row>
    <row r="177" spans="9:100">
      <c r="I177" s="578" t="str">
        <f t="shared" si="24"/>
        <v>1998sexMaleFetal</v>
      </c>
      <c r="J177" s="604">
        <v>1998</v>
      </c>
      <c r="K177" s="604" t="s">
        <v>451</v>
      </c>
      <c r="L177" s="604" t="s">
        <v>70</v>
      </c>
      <c r="M177" s="604">
        <v>176</v>
      </c>
      <c r="N177" s="604">
        <v>29669</v>
      </c>
      <c r="O177" s="604">
        <v>5.9</v>
      </c>
      <c r="P177" s="604" t="s">
        <v>47</v>
      </c>
      <c r="Q177" s="499"/>
      <c r="R177" s="502" t="str">
        <f t="shared" si="25"/>
        <v>2000birthsdepQuin 4</v>
      </c>
      <c r="S177" s="604">
        <v>2000</v>
      </c>
      <c r="T177" s="604" t="s">
        <v>445</v>
      </c>
      <c r="U177" s="604" t="s">
        <v>454</v>
      </c>
      <c r="V177" s="604" t="s">
        <v>424</v>
      </c>
      <c r="W177" s="604">
        <v>12434</v>
      </c>
      <c r="Y177" s="535" t="str">
        <f t="shared" si="26"/>
        <v>2016ethbwtMaoriUnknownfetal</v>
      </c>
      <c r="Z177" s="604">
        <v>2016</v>
      </c>
      <c r="AA177" s="604" t="s">
        <v>449</v>
      </c>
      <c r="AB177" s="604" t="s">
        <v>447</v>
      </c>
      <c r="AC177" s="604" t="s">
        <v>129</v>
      </c>
      <c r="AD177" s="604" t="s">
        <v>63</v>
      </c>
      <c r="AE177" s="604">
        <v>7</v>
      </c>
      <c r="AF177" s="604">
        <v>11</v>
      </c>
      <c r="AG177" s="604" t="s">
        <v>119</v>
      </c>
      <c r="AH177" s="604" t="s">
        <v>420</v>
      </c>
      <c r="AJ177" s="535" t="str">
        <f t="shared" si="27"/>
        <v>2016ethbwtMaoriUnknown</v>
      </c>
      <c r="AK177" s="604">
        <v>2016</v>
      </c>
      <c r="AL177" s="604" t="s">
        <v>449</v>
      </c>
      <c r="AM177" s="604" t="s">
        <v>447</v>
      </c>
      <c r="AN177" s="604" t="s">
        <v>129</v>
      </c>
      <c r="AO177" s="604" t="s">
        <v>63</v>
      </c>
      <c r="AP177" s="604">
        <v>11</v>
      </c>
      <c r="AR177" s="538" t="str">
        <f t="shared" si="28"/>
        <v>FemalesexfetalNorthland</v>
      </c>
      <c r="AS177" s="604">
        <v>2016</v>
      </c>
      <c r="AT177" s="604" t="s">
        <v>71</v>
      </c>
      <c r="AU177" s="604" t="s">
        <v>451</v>
      </c>
      <c r="AV177" s="604" t="s">
        <v>85</v>
      </c>
      <c r="AW177" s="604">
        <v>7</v>
      </c>
      <c r="AX177" s="604">
        <v>1143</v>
      </c>
      <c r="AY177" s="606">
        <v>6.1</v>
      </c>
      <c r="AZ177" s="604" t="s">
        <v>420</v>
      </c>
      <c r="BB177" s="536" t="str">
        <f t="shared" si="29"/>
        <v>AsianethbirthsBay of Plenty</v>
      </c>
      <c r="BC177" s="604">
        <v>2016</v>
      </c>
      <c r="BD177" s="604" t="s">
        <v>355</v>
      </c>
      <c r="BE177" s="604" t="s">
        <v>449</v>
      </c>
      <c r="BF177" s="604" t="s">
        <v>91</v>
      </c>
      <c r="BG177" s="604">
        <v>235</v>
      </c>
      <c r="BH177" s="604" t="s">
        <v>445</v>
      </c>
      <c r="BY177" s="553" t="str">
        <f t="shared" si="31"/>
        <v>2007UnknownbwtSIDS</v>
      </c>
      <c r="BZ177" s="604">
        <v>2007</v>
      </c>
      <c r="CA177" s="604" t="s">
        <v>63</v>
      </c>
      <c r="CB177" s="604" t="s">
        <v>447</v>
      </c>
      <c r="CC177" s="604">
        <v>2</v>
      </c>
      <c r="CD177" s="604" t="s">
        <v>32</v>
      </c>
      <c r="CF177" s="554" t="str">
        <f t="shared" si="32"/>
        <v>2016AsianUnknowngestSIDS</v>
      </c>
      <c r="CG177" s="604">
        <v>2016</v>
      </c>
      <c r="CH177" s="604" t="s">
        <v>355</v>
      </c>
      <c r="CI177" s="604" t="s">
        <v>63</v>
      </c>
      <c r="CJ177" s="604" t="s">
        <v>450</v>
      </c>
      <c r="CK177" s="604">
        <v>0</v>
      </c>
      <c r="CL177" s="604" t="s">
        <v>32</v>
      </c>
      <c r="CV177" s="575"/>
    </row>
    <row r="178" spans="9:100">
      <c r="I178" s="578" t="str">
        <f t="shared" si="24"/>
        <v>1998sexFemaleFetal</v>
      </c>
      <c r="J178" s="604">
        <v>1998</v>
      </c>
      <c r="K178" s="604" t="s">
        <v>451</v>
      </c>
      <c r="L178" s="604" t="s">
        <v>71</v>
      </c>
      <c r="M178" s="604">
        <v>167</v>
      </c>
      <c r="N178" s="604">
        <v>28408</v>
      </c>
      <c r="O178" s="604">
        <v>5.9</v>
      </c>
      <c r="P178" s="604" t="s">
        <v>47</v>
      </c>
      <c r="Q178" s="499"/>
      <c r="R178" s="502" t="str">
        <f t="shared" si="25"/>
        <v>2000birthsdepQuin 5</v>
      </c>
      <c r="S178" s="604">
        <v>2000</v>
      </c>
      <c r="T178" s="604" t="s">
        <v>445</v>
      </c>
      <c r="U178" s="604" t="s">
        <v>454</v>
      </c>
      <c r="V178" s="604" t="s">
        <v>425</v>
      </c>
      <c r="W178" s="604">
        <v>14106</v>
      </c>
      <c r="Y178" s="535" t="str">
        <f t="shared" si="26"/>
        <v>2016ethbwtPacific peoplesUnknownfetal</v>
      </c>
      <c r="Z178" s="604">
        <v>2016</v>
      </c>
      <c r="AA178" s="604" t="s">
        <v>449</v>
      </c>
      <c r="AB178" s="604" t="s">
        <v>447</v>
      </c>
      <c r="AC178" s="604" t="s">
        <v>320</v>
      </c>
      <c r="AD178" s="604" t="s">
        <v>63</v>
      </c>
      <c r="AE178" s="604">
        <v>4</v>
      </c>
      <c r="AF178" s="604">
        <v>1</v>
      </c>
      <c r="AG178" s="604" t="s">
        <v>119</v>
      </c>
      <c r="AH178" s="604" t="s">
        <v>420</v>
      </c>
      <c r="AJ178" s="535" t="str">
        <f t="shared" si="27"/>
        <v>2016ethbwtPacific peoplesUnknown</v>
      </c>
      <c r="AK178" s="604">
        <v>2016</v>
      </c>
      <c r="AL178" s="604" t="s">
        <v>449</v>
      </c>
      <c r="AM178" s="604" t="s">
        <v>447</v>
      </c>
      <c r="AN178" s="604" t="s">
        <v>320</v>
      </c>
      <c r="AO178" s="604" t="s">
        <v>63</v>
      </c>
      <c r="AP178" s="604">
        <v>1</v>
      </c>
      <c r="AR178" s="538" t="str">
        <f t="shared" si="28"/>
        <v>MalesexfetalWaitemata</v>
      </c>
      <c r="AS178" s="604">
        <v>2016</v>
      </c>
      <c r="AT178" s="604" t="s">
        <v>70</v>
      </c>
      <c r="AU178" s="604" t="s">
        <v>451</v>
      </c>
      <c r="AV178" s="604" t="s">
        <v>86</v>
      </c>
      <c r="AW178" s="604">
        <v>20</v>
      </c>
      <c r="AX178" s="604">
        <v>4175</v>
      </c>
      <c r="AY178" s="606">
        <v>4.8</v>
      </c>
      <c r="AZ178" s="604" t="s">
        <v>420</v>
      </c>
      <c r="BB178" s="536" t="str">
        <f t="shared" si="29"/>
        <v>European or OtherethbirthsBay of Plenty</v>
      </c>
      <c r="BC178" s="604">
        <v>2016</v>
      </c>
      <c r="BD178" s="604" t="s">
        <v>356</v>
      </c>
      <c r="BE178" s="604" t="s">
        <v>449</v>
      </c>
      <c r="BF178" s="604" t="s">
        <v>91</v>
      </c>
      <c r="BG178" s="604">
        <v>1282</v>
      </c>
      <c r="BH178" s="604" t="s">
        <v>445</v>
      </c>
      <c r="BY178" s="553" t="str">
        <f t="shared" si="31"/>
        <v>2008&lt;500bwtSIDS</v>
      </c>
      <c r="BZ178" s="604">
        <v>2008</v>
      </c>
      <c r="CA178" s="604" t="s">
        <v>427</v>
      </c>
      <c r="CB178" s="604" t="s">
        <v>447</v>
      </c>
      <c r="CC178" s="604">
        <v>0</v>
      </c>
      <c r="CD178" s="604" t="s">
        <v>32</v>
      </c>
      <c r="CF178" s="554" t="str">
        <f t="shared" si="32"/>
        <v>2016European or OtherUnknowngestSIDS</v>
      </c>
      <c r="CG178" s="604">
        <v>2016</v>
      </c>
      <c r="CH178" s="604" t="s">
        <v>356</v>
      </c>
      <c r="CI178" s="604" t="s">
        <v>63</v>
      </c>
      <c r="CJ178" s="604" t="s">
        <v>450</v>
      </c>
      <c r="CK178" s="604">
        <v>0</v>
      </c>
      <c r="CL178" s="604" t="s">
        <v>32</v>
      </c>
      <c r="CV178" s="575"/>
    </row>
    <row r="179" spans="9:100">
      <c r="I179" s="578" t="str">
        <f t="shared" si="24"/>
        <v>1998sexInd/UnkFetal</v>
      </c>
      <c r="J179" s="604">
        <v>1998</v>
      </c>
      <c r="K179" s="604" t="s">
        <v>451</v>
      </c>
      <c r="L179" s="604" t="s">
        <v>458</v>
      </c>
      <c r="M179" s="604">
        <v>5</v>
      </c>
      <c r="N179" s="604">
        <v>5</v>
      </c>
      <c r="O179" s="604" t="s">
        <v>119</v>
      </c>
      <c r="P179" s="604" t="s">
        <v>47</v>
      </c>
      <c r="Q179" s="499"/>
      <c r="R179" s="502" t="str">
        <f t="shared" si="25"/>
        <v>2000birthsdepQuin 9</v>
      </c>
      <c r="S179" s="604">
        <v>2000</v>
      </c>
      <c r="T179" s="604" t="s">
        <v>445</v>
      </c>
      <c r="U179" s="604" t="s">
        <v>454</v>
      </c>
      <c r="V179" s="604" t="s">
        <v>426</v>
      </c>
      <c r="W179" s="604">
        <v>5542</v>
      </c>
      <c r="Y179" s="535" t="str">
        <f t="shared" si="26"/>
        <v>2016ethbwtAsianUnknownfetal</v>
      </c>
      <c r="Z179" s="604">
        <v>2016</v>
      </c>
      <c r="AA179" s="604" t="s">
        <v>449</v>
      </c>
      <c r="AB179" s="604" t="s">
        <v>447</v>
      </c>
      <c r="AC179" s="604" t="s">
        <v>355</v>
      </c>
      <c r="AD179" s="604" t="s">
        <v>63</v>
      </c>
      <c r="AE179" s="604">
        <v>2</v>
      </c>
      <c r="AF179" s="604">
        <v>6</v>
      </c>
      <c r="AG179" s="604" t="s">
        <v>119</v>
      </c>
      <c r="AH179" s="604" t="s">
        <v>420</v>
      </c>
      <c r="AJ179" s="535" t="str">
        <f t="shared" si="27"/>
        <v>2016ethbwtAsianUnknown</v>
      </c>
      <c r="AK179" s="604">
        <v>2016</v>
      </c>
      <c r="AL179" s="604" t="s">
        <v>449</v>
      </c>
      <c r="AM179" s="604" t="s">
        <v>447</v>
      </c>
      <c r="AN179" s="604" t="s">
        <v>355</v>
      </c>
      <c r="AO179" s="604" t="s">
        <v>63</v>
      </c>
      <c r="AP179" s="604">
        <v>6</v>
      </c>
      <c r="AR179" s="538" t="str">
        <f t="shared" si="28"/>
        <v>FemalesexfetalWaitemata</v>
      </c>
      <c r="AS179" s="604">
        <v>2016</v>
      </c>
      <c r="AT179" s="604" t="s">
        <v>71</v>
      </c>
      <c r="AU179" s="604" t="s">
        <v>451</v>
      </c>
      <c r="AV179" s="604" t="s">
        <v>86</v>
      </c>
      <c r="AW179" s="604">
        <v>22</v>
      </c>
      <c r="AX179" s="604">
        <v>3918</v>
      </c>
      <c r="AY179" s="606">
        <v>5.6</v>
      </c>
      <c r="AZ179" s="604" t="s">
        <v>420</v>
      </c>
      <c r="BB179" s="536" t="str">
        <f t="shared" si="29"/>
        <v>MaoriethbirthsTairawhiti</v>
      </c>
      <c r="BC179" s="604">
        <v>2016</v>
      </c>
      <c r="BD179" s="604" t="s">
        <v>129</v>
      </c>
      <c r="BE179" s="604" t="s">
        <v>449</v>
      </c>
      <c r="BF179" s="604" t="s">
        <v>433</v>
      </c>
      <c r="BG179" s="604">
        <v>574</v>
      </c>
      <c r="BH179" s="604" t="s">
        <v>445</v>
      </c>
      <c r="BY179" s="553" t="str">
        <f t="shared" si="31"/>
        <v>2008500-999bwtSIDS</v>
      </c>
      <c r="BZ179" s="604">
        <v>2008</v>
      </c>
      <c r="CA179" s="604" t="s">
        <v>428</v>
      </c>
      <c r="CB179" s="604" t="s">
        <v>447</v>
      </c>
      <c r="CC179" s="604">
        <v>0</v>
      </c>
      <c r="CD179" s="604" t="s">
        <v>32</v>
      </c>
      <c r="CF179" s="554" t="str">
        <f t="shared" si="32"/>
        <v>2016MaoriUnknowngestSIDS</v>
      </c>
      <c r="CG179" s="604">
        <v>2016</v>
      </c>
      <c r="CH179" s="604" t="s">
        <v>129</v>
      </c>
      <c r="CI179" s="604" t="s">
        <v>63</v>
      </c>
      <c r="CJ179" s="604" t="s">
        <v>450</v>
      </c>
      <c r="CK179" s="604">
        <v>1</v>
      </c>
      <c r="CL179" s="604" t="s">
        <v>32</v>
      </c>
      <c r="CV179" s="575"/>
    </row>
    <row r="180" spans="9:100">
      <c r="I180" s="578" t="str">
        <f t="shared" si="24"/>
        <v>1999sexMaleFetal</v>
      </c>
      <c r="J180" s="604">
        <v>1999</v>
      </c>
      <c r="K180" s="604" t="s">
        <v>451</v>
      </c>
      <c r="L180" s="604" t="s">
        <v>70</v>
      </c>
      <c r="M180" s="604">
        <v>213</v>
      </c>
      <c r="N180" s="604">
        <v>29585</v>
      </c>
      <c r="O180" s="604">
        <v>7.2</v>
      </c>
      <c r="P180" s="604" t="s">
        <v>47</v>
      </c>
      <c r="Q180" s="499"/>
      <c r="R180" s="502" t="str">
        <f t="shared" si="25"/>
        <v>2001birthsdepQuin 1</v>
      </c>
      <c r="S180" s="604">
        <v>2001</v>
      </c>
      <c r="T180" s="604" t="s">
        <v>445</v>
      </c>
      <c r="U180" s="604" t="s">
        <v>454</v>
      </c>
      <c r="V180" s="604" t="s">
        <v>421</v>
      </c>
      <c r="W180" s="604">
        <v>7106</v>
      </c>
      <c r="Y180" s="535" t="str">
        <f t="shared" si="26"/>
        <v>2016ethbwtEuropean or OtherUnknownfetal</v>
      </c>
      <c r="Z180" s="604">
        <v>2016</v>
      </c>
      <c r="AA180" s="604" t="s">
        <v>449</v>
      </c>
      <c r="AB180" s="604" t="s">
        <v>447</v>
      </c>
      <c r="AC180" s="604" t="s">
        <v>356</v>
      </c>
      <c r="AD180" s="604" t="s">
        <v>63</v>
      </c>
      <c r="AE180" s="604">
        <v>5</v>
      </c>
      <c r="AF180" s="604">
        <v>17</v>
      </c>
      <c r="AG180" s="604" t="s">
        <v>119</v>
      </c>
      <c r="AH180" s="604" t="s">
        <v>420</v>
      </c>
      <c r="AJ180" s="535" t="str">
        <f t="shared" si="27"/>
        <v>2016ethbwtEuropean or OtherUnknown</v>
      </c>
      <c r="AK180" s="604">
        <v>2016</v>
      </c>
      <c r="AL180" s="604" t="s">
        <v>449</v>
      </c>
      <c r="AM180" s="604" t="s">
        <v>447</v>
      </c>
      <c r="AN180" s="604" t="s">
        <v>356</v>
      </c>
      <c r="AO180" s="604" t="s">
        <v>63</v>
      </c>
      <c r="AP180" s="604">
        <v>17</v>
      </c>
      <c r="AR180" s="538" t="str">
        <f t="shared" si="28"/>
        <v>MalesexfetalAuckland</v>
      </c>
      <c r="AS180" s="604">
        <v>2016</v>
      </c>
      <c r="AT180" s="604" t="s">
        <v>70</v>
      </c>
      <c r="AU180" s="604" t="s">
        <v>451</v>
      </c>
      <c r="AV180" s="604" t="s">
        <v>87</v>
      </c>
      <c r="AW180" s="604">
        <v>19</v>
      </c>
      <c r="AX180" s="604">
        <v>3020</v>
      </c>
      <c r="AY180" s="606">
        <v>6.3</v>
      </c>
      <c r="AZ180" s="604" t="s">
        <v>420</v>
      </c>
      <c r="BB180" s="536" t="str">
        <f t="shared" si="29"/>
        <v>Pacific peoplesethbirthsTairawhiti</v>
      </c>
      <c r="BC180" s="604">
        <v>2016</v>
      </c>
      <c r="BD180" s="604" t="s">
        <v>320</v>
      </c>
      <c r="BE180" s="604" t="s">
        <v>449</v>
      </c>
      <c r="BF180" s="604" t="s">
        <v>433</v>
      </c>
      <c r="BG180" s="604">
        <v>26</v>
      </c>
      <c r="BH180" s="604" t="s">
        <v>445</v>
      </c>
      <c r="BY180" s="553" t="str">
        <f t="shared" si="31"/>
        <v>20081000-1499bwtSIDS</v>
      </c>
      <c r="BZ180" s="604">
        <v>2008</v>
      </c>
      <c r="CA180" s="604" t="s">
        <v>429</v>
      </c>
      <c r="CB180" s="604" t="s">
        <v>447</v>
      </c>
      <c r="CC180" s="604">
        <v>1</v>
      </c>
      <c r="CD180" s="604" t="s">
        <v>32</v>
      </c>
      <c r="CF180" s="554" t="str">
        <f t="shared" si="32"/>
        <v>2016Pacific peoplesUnknowngestSIDS</v>
      </c>
      <c r="CG180" s="604">
        <v>2016</v>
      </c>
      <c r="CH180" s="604" t="s">
        <v>320</v>
      </c>
      <c r="CI180" s="604" t="s">
        <v>63</v>
      </c>
      <c r="CJ180" s="604" t="s">
        <v>450</v>
      </c>
      <c r="CK180" s="604">
        <v>0</v>
      </c>
      <c r="CL180" s="604" t="s">
        <v>32</v>
      </c>
      <c r="CV180" s="575"/>
    </row>
    <row r="181" spans="9:100">
      <c r="I181" s="578" t="str">
        <f t="shared" si="24"/>
        <v>1999sexFemaleFetal</v>
      </c>
      <c r="J181" s="604">
        <v>1999</v>
      </c>
      <c r="K181" s="604" t="s">
        <v>451</v>
      </c>
      <c r="L181" s="604" t="s">
        <v>71</v>
      </c>
      <c r="M181" s="604">
        <v>207</v>
      </c>
      <c r="N181" s="604">
        <v>28256</v>
      </c>
      <c r="O181" s="604">
        <v>7.3</v>
      </c>
      <c r="P181" s="604" t="s">
        <v>47</v>
      </c>
      <c r="Q181" s="499"/>
      <c r="R181" s="502" t="str">
        <f t="shared" si="25"/>
        <v>2001birthsdepQuin 2</v>
      </c>
      <c r="S181" s="604">
        <v>2001</v>
      </c>
      <c r="T181" s="604" t="s">
        <v>445</v>
      </c>
      <c r="U181" s="604" t="s">
        <v>454</v>
      </c>
      <c r="V181" s="604" t="s">
        <v>422</v>
      </c>
      <c r="W181" s="604">
        <v>8027</v>
      </c>
      <c r="Y181" s="535" t="str">
        <f t="shared" si="26"/>
        <v>2016sexbwtMale&lt;500fetal</v>
      </c>
      <c r="Z181" s="604">
        <v>2016</v>
      </c>
      <c r="AA181" s="604" t="s">
        <v>451</v>
      </c>
      <c r="AB181" s="604" t="s">
        <v>447</v>
      </c>
      <c r="AC181" s="604" t="s">
        <v>70</v>
      </c>
      <c r="AD181" s="604" t="s">
        <v>427</v>
      </c>
      <c r="AE181" s="604">
        <v>61</v>
      </c>
      <c r="AF181" s="604">
        <v>24</v>
      </c>
      <c r="AG181" s="604" t="s">
        <v>119</v>
      </c>
      <c r="AH181" s="604" t="s">
        <v>420</v>
      </c>
      <c r="AJ181" s="535" t="str">
        <f t="shared" si="27"/>
        <v>2016sexbwtMale&lt;500</v>
      </c>
      <c r="AK181" s="604">
        <v>2016</v>
      </c>
      <c r="AL181" s="604" t="s">
        <v>451</v>
      </c>
      <c r="AM181" s="604" t="s">
        <v>447</v>
      </c>
      <c r="AN181" s="604" t="s">
        <v>70</v>
      </c>
      <c r="AO181" s="604" t="s">
        <v>427</v>
      </c>
      <c r="AP181" s="604">
        <v>24</v>
      </c>
      <c r="AR181" s="538" t="str">
        <f t="shared" si="28"/>
        <v>FemalesexfetalAuckland</v>
      </c>
      <c r="AS181" s="604">
        <v>2016</v>
      </c>
      <c r="AT181" s="604" t="s">
        <v>71</v>
      </c>
      <c r="AU181" s="604" t="s">
        <v>451</v>
      </c>
      <c r="AV181" s="604" t="s">
        <v>87</v>
      </c>
      <c r="AW181" s="604">
        <v>20</v>
      </c>
      <c r="AX181" s="604">
        <v>2924</v>
      </c>
      <c r="AY181" s="606">
        <v>6.8</v>
      </c>
      <c r="AZ181" s="604" t="s">
        <v>420</v>
      </c>
      <c r="BB181" s="536" t="str">
        <f t="shared" si="29"/>
        <v>AsianethbirthsTairawhiti</v>
      </c>
      <c r="BC181" s="604">
        <v>2016</v>
      </c>
      <c r="BD181" s="604" t="s">
        <v>355</v>
      </c>
      <c r="BE181" s="604" t="s">
        <v>449</v>
      </c>
      <c r="BF181" s="604" t="s">
        <v>433</v>
      </c>
      <c r="BG181" s="604">
        <v>14</v>
      </c>
      <c r="BH181" s="604" t="s">
        <v>445</v>
      </c>
      <c r="BY181" s="553" t="str">
        <f t="shared" si="31"/>
        <v>20081500-2499bwtSIDS</v>
      </c>
      <c r="BZ181" s="604">
        <v>2008</v>
      </c>
      <c r="CA181" s="604" t="s">
        <v>430</v>
      </c>
      <c r="CB181" s="604" t="s">
        <v>447</v>
      </c>
      <c r="CC181" s="604">
        <v>6</v>
      </c>
      <c r="CD181" s="604" t="s">
        <v>32</v>
      </c>
      <c r="CF181" s="554" t="str">
        <f t="shared" si="32"/>
        <v>2016AsianTotalOverallSIDS</v>
      </c>
      <c r="CG181" s="604">
        <v>2016</v>
      </c>
      <c r="CH181" s="604" t="s">
        <v>355</v>
      </c>
      <c r="CI181" s="604" t="s">
        <v>44</v>
      </c>
      <c r="CJ181" s="604" t="s">
        <v>104</v>
      </c>
      <c r="CK181" s="604">
        <v>1</v>
      </c>
      <c r="CL181" s="604" t="s">
        <v>32</v>
      </c>
      <c r="CV181" s="575"/>
    </row>
    <row r="182" spans="9:100">
      <c r="I182" s="578" t="str">
        <f t="shared" si="24"/>
        <v>1999sexInd/UnkFetal</v>
      </c>
      <c r="J182" s="604">
        <v>1999</v>
      </c>
      <c r="K182" s="604" t="s">
        <v>451</v>
      </c>
      <c r="L182" s="604" t="s">
        <v>458</v>
      </c>
      <c r="M182" s="604">
        <v>6</v>
      </c>
      <c r="N182" s="604">
        <v>6</v>
      </c>
      <c r="O182" s="604" t="s">
        <v>119</v>
      </c>
      <c r="P182" s="604" t="s">
        <v>47</v>
      </c>
      <c r="Q182" s="499"/>
      <c r="R182" s="502" t="str">
        <f t="shared" si="25"/>
        <v>2001birthsdepQuin 3</v>
      </c>
      <c r="S182" s="604">
        <v>2001</v>
      </c>
      <c r="T182" s="604" t="s">
        <v>445</v>
      </c>
      <c r="U182" s="604" t="s">
        <v>454</v>
      </c>
      <c r="V182" s="604" t="s">
        <v>423</v>
      </c>
      <c r="W182" s="604">
        <v>9618</v>
      </c>
      <c r="Y182" s="535" t="str">
        <f t="shared" si="26"/>
        <v>2016sexbwtFemale&lt;500fetal</v>
      </c>
      <c r="Z182" s="604">
        <v>2016</v>
      </c>
      <c r="AA182" s="604" t="s">
        <v>451</v>
      </c>
      <c r="AB182" s="604" t="s">
        <v>447</v>
      </c>
      <c r="AC182" s="604" t="s">
        <v>71</v>
      </c>
      <c r="AD182" s="604" t="s">
        <v>427</v>
      </c>
      <c r="AE182" s="604">
        <v>73</v>
      </c>
      <c r="AF182" s="604">
        <v>29</v>
      </c>
      <c r="AG182" s="604" t="s">
        <v>119</v>
      </c>
      <c r="AH182" s="604" t="s">
        <v>420</v>
      </c>
      <c r="AJ182" s="535" t="str">
        <f t="shared" si="27"/>
        <v>2016sexbwtFemale&lt;500</v>
      </c>
      <c r="AK182" s="604">
        <v>2016</v>
      </c>
      <c r="AL182" s="604" t="s">
        <v>451</v>
      </c>
      <c r="AM182" s="604" t="s">
        <v>447</v>
      </c>
      <c r="AN182" s="604" t="s">
        <v>71</v>
      </c>
      <c r="AO182" s="604" t="s">
        <v>427</v>
      </c>
      <c r="AP182" s="604">
        <v>29</v>
      </c>
      <c r="AR182" s="538" t="str">
        <f t="shared" si="28"/>
        <v>MalesexfetalCounties Manukau</v>
      </c>
      <c r="AS182" s="604">
        <v>2016</v>
      </c>
      <c r="AT182" s="604" t="s">
        <v>70</v>
      </c>
      <c r="AU182" s="604" t="s">
        <v>451</v>
      </c>
      <c r="AV182" s="604" t="s">
        <v>88</v>
      </c>
      <c r="AW182" s="604">
        <v>32</v>
      </c>
      <c r="AX182" s="604">
        <v>4381</v>
      </c>
      <c r="AY182" s="606">
        <v>7.3</v>
      </c>
      <c r="AZ182" s="604" t="s">
        <v>420</v>
      </c>
      <c r="BB182" s="536" t="str">
        <f t="shared" si="29"/>
        <v>European or OtherethbirthsTairawhiti</v>
      </c>
      <c r="BC182" s="604">
        <v>2016</v>
      </c>
      <c r="BD182" s="604" t="s">
        <v>356</v>
      </c>
      <c r="BE182" s="604" t="s">
        <v>449</v>
      </c>
      <c r="BF182" s="604" t="s">
        <v>433</v>
      </c>
      <c r="BG182" s="604">
        <v>155</v>
      </c>
      <c r="BH182" s="604" t="s">
        <v>445</v>
      </c>
      <c r="BY182" s="553" t="str">
        <f t="shared" si="31"/>
        <v>20082500-4499bwtSIDS</v>
      </c>
      <c r="BZ182" s="604">
        <v>2008</v>
      </c>
      <c r="CA182" s="604" t="s">
        <v>431</v>
      </c>
      <c r="CB182" s="604" t="s">
        <v>447</v>
      </c>
      <c r="CC182" s="604">
        <v>42</v>
      </c>
      <c r="CD182" s="604" t="s">
        <v>32</v>
      </c>
      <c r="CF182" s="554" t="str">
        <f t="shared" si="32"/>
        <v>2016European or OtherTotalOverallSIDS</v>
      </c>
      <c r="CG182" s="604">
        <v>2016</v>
      </c>
      <c r="CH182" s="604" t="s">
        <v>356</v>
      </c>
      <c r="CI182" s="604" t="s">
        <v>44</v>
      </c>
      <c r="CJ182" s="604" t="s">
        <v>104</v>
      </c>
      <c r="CK182" s="604">
        <v>4</v>
      </c>
      <c r="CL182" s="604" t="s">
        <v>32</v>
      </c>
      <c r="CV182" s="575"/>
    </row>
    <row r="183" spans="9:100">
      <c r="I183" s="578" t="str">
        <f t="shared" si="24"/>
        <v>2000sexMaleFetal</v>
      </c>
      <c r="J183" s="604">
        <v>2000</v>
      </c>
      <c r="K183" s="604" t="s">
        <v>451</v>
      </c>
      <c r="L183" s="604" t="s">
        <v>70</v>
      </c>
      <c r="M183" s="604">
        <v>188</v>
      </c>
      <c r="N183" s="604">
        <v>29539</v>
      </c>
      <c r="O183" s="604">
        <v>6.4</v>
      </c>
      <c r="P183" s="604" t="s">
        <v>47</v>
      </c>
      <c r="Q183" s="499"/>
      <c r="R183" s="502" t="str">
        <f t="shared" si="25"/>
        <v>2001birthsdepQuin 4</v>
      </c>
      <c r="S183" s="604">
        <v>2001</v>
      </c>
      <c r="T183" s="604" t="s">
        <v>445</v>
      </c>
      <c r="U183" s="604" t="s">
        <v>454</v>
      </c>
      <c r="V183" s="604" t="s">
        <v>424</v>
      </c>
      <c r="W183" s="604">
        <v>11942</v>
      </c>
      <c r="Y183" s="535" t="str">
        <f t="shared" si="26"/>
        <v>2016sexbwtMale500-999fetal</v>
      </c>
      <c r="Z183" s="604">
        <v>2016</v>
      </c>
      <c r="AA183" s="604" t="s">
        <v>451</v>
      </c>
      <c r="AB183" s="604" t="s">
        <v>447</v>
      </c>
      <c r="AC183" s="604" t="s">
        <v>70</v>
      </c>
      <c r="AD183" s="604" t="s">
        <v>428</v>
      </c>
      <c r="AE183" s="604">
        <v>56</v>
      </c>
      <c r="AF183" s="604">
        <v>95</v>
      </c>
      <c r="AG183" s="604">
        <v>370.9</v>
      </c>
      <c r="AH183" s="604" t="s">
        <v>420</v>
      </c>
      <c r="AJ183" s="535" t="str">
        <f t="shared" si="27"/>
        <v>2016sexbwtMale500-999</v>
      </c>
      <c r="AK183" s="604">
        <v>2016</v>
      </c>
      <c r="AL183" s="604" t="s">
        <v>451</v>
      </c>
      <c r="AM183" s="604" t="s">
        <v>447</v>
      </c>
      <c r="AN183" s="604" t="s">
        <v>70</v>
      </c>
      <c r="AO183" s="604" t="s">
        <v>428</v>
      </c>
      <c r="AP183" s="604">
        <v>95</v>
      </c>
      <c r="AR183" s="538" t="str">
        <f t="shared" si="28"/>
        <v>FemalesexfetalCounties Manukau</v>
      </c>
      <c r="AS183" s="604">
        <v>2016</v>
      </c>
      <c r="AT183" s="604" t="s">
        <v>71</v>
      </c>
      <c r="AU183" s="604" t="s">
        <v>451</v>
      </c>
      <c r="AV183" s="604" t="s">
        <v>88</v>
      </c>
      <c r="AW183" s="604">
        <v>29</v>
      </c>
      <c r="AX183" s="604">
        <v>4055</v>
      </c>
      <c r="AY183" s="606">
        <v>7.2</v>
      </c>
      <c r="AZ183" s="604" t="s">
        <v>420</v>
      </c>
      <c r="BB183" s="536" t="str">
        <f t="shared" si="29"/>
        <v>MaoriethbirthsHawke's Bay</v>
      </c>
      <c r="BC183" s="604">
        <v>2016</v>
      </c>
      <c r="BD183" s="604" t="s">
        <v>129</v>
      </c>
      <c r="BE183" s="604" t="s">
        <v>449</v>
      </c>
      <c r="BF183" s="604" t="s">
        <v>92</v>
      </c>
      <c r="BG183" s="604">
        <v>1006</v>
      </c>
      <c r="BH183" s="604" t="s">
        <v>445</v>
      </c>
      <c r="BY183" s="553" t="str">
        <f t="shared" si="31"/>
        <v>20084500+bwtSIDS</v>
      </c>
      <c r="BZ183" s="604">
        <v>2008</v>
      </c>
      <c r="CA183" s="604" t="s">
        <v>432</v>
      </c>
      <c r="CB183" s="604" t="s">
        <v>447</v>
      </c>
      <c r="CC183" s="604">
        <v>0</v>
      </c>
      <c r="CD183" s="604" t="s">
        <v>32</v>
      </c>
      <c r="CF183" s="554" t="str">
        <f t="shared" si="32"/>
        <v>2016MaoriTotalOverallSIDS</v>
      </c>
      <c r="CG183" s="604">
        <v>2016</v>
      </c>
      <c r="CH183" s="604" t="s">
        <v>129</v>
      </c>
      <c r="CI183" s="604" t="s">
        <v>44</v>
      </c>
      <c r="CJ183" s="604" t="s">
        <v>104</v>
      </c>
      <c r="CK183" s="604">
        <v>15</v>
      </c>
      <c r="CL183" s="604" t="s">
        <v>32</v>
      </c>
      <c r="CV183" s="575"/>
    </row>
    <row r="184" spans="9:100">
      <c r="I184" s="578" t="str">
        <f t="shared" si="24"/>
        <v>2000sexFemaleFetal</v>
      </c>
      <c r="J184" s="604">
        <v>2000</v>
      </c>
      <c r="K184" s="604" t="s">
        <v>451</v>
      </c>
      <c r="L184" s="604" t="s">
        <v>71</v>
      </c>
      <c r="M184" s="604">
        <v>181</v>
      </c>
      <c r="N184" s="604">
        <v>27824</v>
      </c>
      <c r="O184" s="604">
        <v>6.5</v>
      </c>
      <c r="P184" s="604" t="s">
        <v>47</v>
      </c>
      <c r="Q184" s="499"/>
      <c r="R184" s="502" t="str">
        <f t="shared" si="25"/>
        <v>2001birthsdepQuin 5</v>
      </c>
      <c r="S184" s="604">
        <v>2001</v>
      </c>
      <c r="T184" s="604" t="s">
        <v>445</v>
      </c>
      <c r="U184" s="604" t="s">
        <v>454</v>
      </c>
      <c r="V184" s="604" t="s">
        <v>425</v>
      </c>
      <c r="W184" s="604">
        <v>13913</v>
      </c>
      <c r="Y184" s="535" t="str">
        <f t="shared" si="26"/>
        <v>2016sexbwtFemale500-999fetal</v>
      </c>
      <c r="Z184" s="604">
        <v>2016</v>
      </c>
      <c r="AA184" s="604" t="s">
        <v>451</v>
      </c>
      <c r="AB184" s="604" t="s">
        <v>447</v>
      </c>
      <c r="AC184" s="604" t="s">
        <v>71</v>
      </c>
      <c r="AD184" s="604" t="s">
        <v>428</v>
      </c>
      <c r="AE184" s="604">
        <v>41</v>
      </c>
      <c r="AF184" s="604">
        <v>101</v>
      </c>
      <c r="AG184" s="604">
        <v>288.7</v>
      </c>
      <c r="AH184" s="604" t="s">
        <v>420</v>
      </c>
      <c r="AJ184" s="535" t="str">
        <f t="shared" si="27"/>
        <v>2016sexbwtFemale500-999</v>
      </c>
      <c r="AK184" s="604">
        <v>2016</v>
      </c>
      <c r="AL184" s="604" t="s">
        <v>451</v>
      </c>
      <c r="AM184" s="604" t="s">
        <v>447</v>
      </c>
      <c r="AN184" s="604" t="s">
        <v>71</v>
      </c>
      <c r="AO184" s="604" t="s">
        <v>428</v>
      </c>
      <c r="AP184" s="604">
        <v>101</v>
      </c>
      <c r="AR184" s="538" t="str">
        <f t="shared" si="28"/>
        <v>Ind/UnksexfetalCounties Manukau</v>
      </c>
      <c r="AS184" s="604">
        <v>2016</v>
      </c>
      <c r="AT184" s="604" t="s">
        <v>458</v>
      </c>
      <c r="AU184" s="604" t="s">
        <v>451</v>
      </c>
      <c r="AV184" s="604" t="s">
        <v>88</v>
      </c>
      <c r="AW184" s="604">
        <v>5</v>
      </c>
      <c r="AX184" s="604">
        <v>5</v>
      </c>
      <c r="AY184" s="606" t="s">
        <v>119</v>
      </c>
      <c r="AZ184" s="604" t="s">
        <v>420</v>
      </c>
      <c r="BB184" s="536" t="str">
        <f t="shared" si="29"/>
        <v>Pacific peoplesethbirthsHawke's Bay</v>
      </c>
      <c r="BC184" s="604">
        <v>2016</v>
      </c>
      <c r="BD184" s="604" t="s">
        <v>320</v>
      </c>
      <c r="BE184" s="604" t="s">
        <v>449</v>
      </c>
      <c r="BF184" s="604" t="s">
        <v>92</v>
      </c>
      <c r="BG184" s="604">
        <v>148</v>
      </c>
      <c r="BH184" s="604" t="s">
        <v>445</v>
      </c>
      <c r="BY184" s="553" t="str">
        <f t="shared" si="31"/>
        <v>2008UnknownbwtSIDS</v>
      </c>
      <c r="BZ184" s="604">
        <v>2008</v>
      </c>
      <c r="CA184" s="604" t="s">
        <v>63</v>
      </c>
      <c r="CB184" s="604" t="s">
        <v>447</v>
      </c>
      <c r="CC184" s="604">
        <v>2</v>
      </c>
      <c r="CD184" s="604" t="s">
        <v>32</v>
      </c>
      <c r="CF184" s="554" t="str">
        <f t="shared" si="32"/>
        <v>2016Pacific peoplesTotalOverallSIDS</v>
      </c>
      <c r="CG184" s="604">
        <v>2016</v>
      </c>
      <c r="CH184" s="604" t="s">
        <v>320</v>
      </c>
      <c r="CI184" s="604" t="s">
        <v>44</v>
      </c>
      <c r="CJ184" s="604" t="s">
        <v>104</v>
      </c>
      <c r="CK184" s="604">
        <v>3</v>
      </c>
      <c r="CL184" s="604" t="s">
        <v>32</v>
      </c>
      <c r="CV184" s="575"/>
    </row>
    <row r="185" spans="9:100">
      <c r="I185" s="578" t="str">
        <f t="shared" si="24"/>
        <v>2000sexInd/UnkFetal</v>
      </c>
      <c r="J185" s="604">
        <v>2000</v>
      </c>
      <c r="K185" s="604" t="s">
        <v>451</v>
      </c>
      <c r="L185" s="604" t="s">
        <v>458</v>
      </c>
      <c r="M185" s="604">
        <v>0</v>
      </c>
      <c r="N185" s="604">
        <v>0</v>
      </c>
      <c r="O185" s="604" t="s">
        <v>119</v>
      </c>
      <c r="P185" s="604" t="s">
        <v>47</v>
      </c>
      <c r="Q185" s="499"/>
      <c r="R185" s="502" t="str">
        <f t="shared" si="25"/>
        <v>2001birthsdepQuin 9</v>
      </c>
      <c r="S185" s="604">
        <v>2001</v>
      </c>
      <c r="T185" s="604" t="s">
        <v>445</v>
      </c>
      <c r="U185" s="604" t="s">
        <v>454</v>
      </c>
      <c r="V185" s="604" t="s">
        <v>426</v>
      </c>
      <c r="W185" s="604">
        <v>5618</v>
      </c>
      <c r="Y185" s="535" t="str">
        <f t="shared" si="26"/>
        <v>2016sexbwtMale1000-1499fetal</v>
      </c>
      <c r="Z185" s="604">
        <v>2016</v>
      </c>
      <c r="AA185" s="604" t="s">
        <v>451</v>
      </c>
      <c r="AB185" s="604" t="s">
        <v>447</v>
      </c>
      <c r="AC185" s="604" t="s">
        <v>70</v>
      </c>
      <c r="AD185" s="604" t="s">
        <v>429</v>
      </c>
      <c r="AE185" s="604">
        <v>12</v>
      </c>
      <c r="AF185" s="604">
        <v>179</v>
      </c>
      <c r="AG185" s="604">
        <v>62.8</v>
      </c>
      <c r="AH185" s="604" t="s">
        <v>420</v>
      </c>
      <c r="AJ185" s="535" t="str">
        <f t="shared" si="27"/>
        <v>2016sexbwtMale1000-1499</v>
      </c>
      <c r="AK185" s="604">
        <v>2016</v>
      </c>
      <c r="AL185" s="604" t="s">
        <v>451</v>
      </c>
      <c r="AM185" s="604" t="s">
        <v>447</v>
      </c>
      <c r="AN185" s="604" t="s">
        <v>70</v>
      </c>
      <c r="AO185" s="604" t="s">
        <v>429</v>
      </c>
      <c r="AP185" s="604">
        <v>179</v>
      </c>
      <c r="AR185" s="538" t="str">
        <f t="shared" si="28"/>
        <v>MalesexfetalWaikato</v>
      </c>
      <c r="AS185" s="604">
        <v>2016</v>
      </c>
      <c r="AT185" s="604" t="s">
        <v>70</v>
      </c>
      <c r="AU185" s="604" t="s">
        <v>451</v>
      </c>
      <c r="AV185" s="604" t="s">
        <v>89</v>
      </c>
      <c r="AW185" s="604">
        <v>32</v>
      </c>
      <c r="AX185" s="604">
        <v>2860</v>
      </c>
      <c r="AY185" s="606">
        <v>11.2</v>
      </c>
      <c r="AZ185" s="604" t="s">
        <v>420</v>
      </c>
      <c r="BB185" s="536" t="str">
        <f t="shared" si="29"/>
        <v>AsianethbirthsHawke's Bay</v>
      </c>
      <c r="BC185" s="604">
        <v>2016</v>
      </c>
      <c r="BD185" s="604" t="s">
        <v>355</v>
      </c>
      <c r="BE185" s="604" t="s">
        <v>449</v>
      </c>
      <c r="BF185" s="604" t="s">
        <v>92</v>
      </c>
      <c r="BG185" s="604">
        <v>111</v>
      </c>
      <c r="BH185" s="604" t="s">
        <v>445</v>
      </c>
      <c r="BY185" s="553" t="str">
        <f t="shared" si="31"/>
        <v>2009&lt;500bwtSIDS</v>
      </c>
      <c r="BZ185" s="604">
        <v>2009</v>
      </c>
      <c r="CA185" s="604" t="s">
        <v>427</v>
      </c>
      <c r="CB185" s="604" t="s">
        <v>447</v>
      </c>
      <c r="CC185" s="604">
        <v>0</v>
      </c>
      <c r="CD185" s="604" t="s">
        <v>32</v>
      </c>
      <c r="CF185" s="554" t="str">
        <f t="shared" si="32"/>
        <v>2016Asian&lt;20ageSUDI</v>
      </c>
      <c r="CG185" s="604">
        <v>2016</v>
      </c>
      <c r="CH185" s="604" t="s">
        <v>355</v>
      </c>
      <c r="CI185" s="604" t="s">
        <v>339</v>
      </c>
      <c r="CJ185" s="604" t="s">
        <v>453</v>
      </c>
      <c r="CK185" s="604">
        <v>0</v>
      </c>
      <c r="CL185" s="604" t="s">
        <v>33</v>
      </c>
      <c r="CV185" s="575"/>
    </row>
    <row r="186" spans="9:100">
      <c r="I186" s="578" t="str">
        <f t="shared" si="24"/>
        <v>2001sexMaleFetal</v>
      </c>
      <c r="J186" s="604">
        <v>2001</v>
      </c>
      <c r="K186" s="604" t="s">
        <v>451</v>
      </c>
      <c r="L186" s="604" t="s">
        <v>70</v>
      </c>
      <c r="M186" s="604">
        <v>204</v>
      </c>
      <c r="N186" s="604">
        <v>28779</v>
      </c>
      <c r="O186" s="604">
        <v>7.1</v>
      </c>
      <c r="P186" s="604" t="s">
        <v>47</v>
      </c>
      <c r="Q186" s="499"/>
      <c r="R186" s="502" t="str">
        <f t="shared" si="25"/>
        <v>2002birthsdepQuin 1</v>
      </c>
      <c r="S186" s="604">
        <v>2002</v>
      </c>
      <c r="T186" s="604" t="s">
        <v>445</v>
      </c>
      <c r="U186" s="604" t="s">
        <v>454</v>
      </c>
      <c r="V186" s="604" t="s">
        <v>421</v>
      </c>
      <c r="W186" s="604">
        <v>7804</v>
      </c>
      <c r="Y186" s="535" t="str">
        <f t="shared" si="26"/>
        <v>2016sexbwtFemale1000-1499fetal</v>
      </c>
      <c r="Z186" s="604">
        <v>2016</v>
      </c>
      <c r="AA186" s="604" t="s">
        <v>451</v>
      </c>
      <c r="AB186" s="604" t="s">
        <v>447</v>
      </c>
      <c r="AC186" s="604" t="s">
        <v>71</v>
      </c>
      <c r="AD186" s="604" t="s">
        <v>429</v>
      </c>
      <c r="AE186" s="604">
        <v>15</v>
      </c>
      <c r="AF186" s="604">
        <v>152</v>
      </c>
      <c r="AG186" s="604">
        <v>89.8</v>
      </c>
      <c r="AH186" s="604" t="s">
        <v>420</v>
      </c>
      <c r="AJ186" s="535" t="str">
        <f t="shared" si="27"/>
        <v>2016sexbwtFemale1000-1499</v>
      </c>
      <c r="AK186" s="604">
        <v>2016</v>
      </c>
      <c r="AL186" s="604" t="s">
        <v>451</v>
      </c>
      <c r="AM186" s="604" t="s">
        <v>447</v>
      </c>
      <c r="AN186" s="604" t="s">
        <v>71</v>
      </c>
      <c r="AO186" s="604" t="s">
        <v>429</v>
      </c>
      <c r="AP186" s="604">
        <v>152</v>
      </c>
      <c r="AR186" s="538" t="str">
        <f t="shared" si="28"/>
        <v>FemalesexfetalWaikato</v>
      </c>
      <c r="AS186" s="604">
        <v>2016</v>
      </c>
      <c r="AT186" s="604" t="s">
        <v>71</v>
      </c>
      <c r="AU186" s="604" t="s">
        <v>451</v>
      </c>
      <c r="AV186" s="604" t="s">
        <v>89</v>
      </c>
      <c r="AW186" s="604">
        <v>25</v>
      </c>
      <c r="AX186" s="604">
        <v>2704</v>
      </c>
      <c r="AY186" s="606">
        <v>9.1999999999999993</v>
      </c>
      <c r="AZ186" s="604" t="s">
        <v>420</v>
      </c>
      <c r="BB186" s="536" t="str">
        <f t="shared" si="29"/>
        <v>European or OtherethbirthsHawke's Bay</v>
      </c>
      <c r="BC186" s="604">
        <v>2016</v>
      </c>
      <c r="BD186" s="604" t="s">
        <v>356</v>
      </c>
      <c r="BE186" s="604" t="s">
        <v>449</v>
      </c>
      <c r="BF186" s="604" t="s">
        <v>92</v>
      </c>
      <c r="BG186" s="604">
        <v>833</v>
      </c>
      <c r="BH186" s="604" t="s">
        <v>445</v>
      </c>
      <c r="BY186" s="553" t="str">
        <f t="shared" si="31"/>
        <v>2009500-999bwtSIDS</v>
      </c>
      <c r="BZ186" s="604">
        <v>2009</v>
      </c>
      <c r="CA186" s="604" t="s">
        <v>428</v>
      </c>
      <c r="CB186" s="604" t="s">
        <v>447</v>
      </c>
      <c r="CC186" s="604">
        <v>0</v>
      </c>
      <c r="CD186" s="604" t="s">
        <v>32</v>
      </c>
      <c r="CF186" s="554" t="str">
        <f t="shared" si="32"/>
        <v>2016European or Other&lt;20ageSUDI</v>
      </c>
      <c r="CG186" s="604">
        <v>2016</v>
      </c>
      <c r="CH186" s="604" t="s">
        <v>356</v>
      </c>
      <c r="CI186" s="604" t="s">
        <v>339</v>
      </c>
      <c r="CJ186" s="604" t="s">
        <v>453</v>
      </c>
      <c r="CK186" s="604">
        <v>0</v>
      </c>
      <c r="CL186" s="604" t="s">
        <v>33</v>
      </c>
      <c r="CV186" s="575"/>
    </row>
    <row r="187" spans="9:100">
      <c r="I187" s="578" t="str">
        <f t="shared" si="24"/>
        <v>2001sexFemaleFetal</v>
      </c>
      <c r="J187" s="604">
        <v>2001</v>
      </c>
      <c r="K187" s="604" t="s">
        <v>451</v>
      </c>
      <c r="L187" s="604" t="s">
        <v>71</v>
      </c>
      <c r="M187" s="604">
        <v>181</v>
      </c>
      <c r="N187" s="604">
        <v>27830</v>
      </c>
      <c r="O187" s="604">
        <v>6.5</v>
      </c>
      <c r="P187" s="604" t="s">
        <v>47</v>
      </c>
      <c r="Q187" s="499"/>
      <c r="R187" s="502" t="str">
        <f t="shared" si="25"/>
        <v>2002birthsdepQuin 2</v>
      </c>
      <c r="S187" s="604">
        <v>2002</v>
      </c>
      <c r="T187" s="604" t="s">
        <v>445</v>
      </c>
      <c r="U187" s="604" t="s">
        <v>454</v>
      </c>
      <c r="V187" s="604" t="s">
        <v>422</v>
      </c>
      <c r="W187" s="604">
        <v>8158</v>
      </c>
      <c r="Y187" s="535" t="str">
        <f t="shared" si="26"/>
        <v>2016sexbwtMale1500-2499fetal</v>
      </c>
      <c r="Z187" s="604">
        <v>2016</v>
      </c>
      <c r="AA187" s="604" t="s">
        <v>451</v>
      </c>
      <c r="AB187" s="604" t="s">
        <v>447</v>
      </c>
      <c r="AC187" s="604" t="s">
        <v>70</v>
      </c>
      <c r="AD187" s="604" t="s">
        <v>430</v>
      </c>
      <c r="AE187" s="604">
        <v>33</v>
      </c>
      <c r="AF187" s="604">
        <v>1440</v>
      </c>
      <c r="AG187" s="604">
        <v>22.4</v>
      </c>
      <c r="AH187" s="604" t="s">
        <v>420</v>
      </c>
      <c r="AJ187" s="535" t="str">
        <f t="shared" si="27"/>
        <v>2016sexbwtMale1500-2499</v>
      </c>
      <c r="AK187" s="604">
        <v>2016</v>
      </c>
      <c r="AL187" s="604" t="s">
        <v>451</v>
      </c>
      <c r="AM187" s="604" t="s">
        <v>447</v>
      </c>
      <c r="AN187" s="604" t="s">
        <v>70</v>
      </c>
      <c r="AO187" s="604" t="s">
        <v>430</v>
      </c>
      <c r="AP187" s="604">
        <v>1440</v>
      </c>
      <c r="AR187" s="538" t="str">
        <f t="shared" si="28"/>
        <v>Ind/UnksexfetalWaikato</v>
      </c>
      <c r="AS187" s="604">
        <v>2016</v>
      </c>
      <c r="AT187" s="604" t="s">
        <v>458</v>
      </c>
      <c r="AU187" s="604" t="s">
        <v>451</v>
      </c>
      <c r="AV187" s="604" t="s">
        <v>89</v>
      </c>
      <c r="AW187" s="604">
        <v>1</v>
      </c>
      <c r="AX187" s="604">
        <v>1</v>
      </c>
      <c r="AY187" s="606" t="s">
        <v>119</v>
      </c>
      <c r="AZ187" s="604" t="s">
        <v>420</v>
      </c>
      <c r="BB187" s="536" t="str">
        <f t="shared" si="29"/>
        <v>MaoriethbirthsTaranaki</v>
      </c>
      <c r="BC187" s="604">
        <v>2016</v>
      </c>
      <c r="BD187" s="604" t="s">
        <v>129</v>
      </c>
      <c r="BE187" s="604" t="s">
        <v>449</v>
      </c>
      <c r="BF187" s="604" t="s">
        <v>93</v>
      </c>
      <c r="BG187" s="604">
        <v>509</v>
      </c>
      <c r="BH187" s="604" t="s">
        <v>445</v>
      </c>
      <c r="BY187" s="553" t="str">
        <f t="shared" si="31"/>
        <v>20091000-1499bwtSIDS</v>
      </c>
      <c r="BZ187" s="604">
        <v>2009</v>
      </c>
      <c r="CA187" s="604" t="s">
        <v>429</v>
      </c>
      <c r="CB187" s="604" t="s">
        <v>447</v>
      </c>
      <c r="CC187" s="604">
        <v>0</v>
      </c>
      <c r="CD187" s="604" t="s">
        <v>32</v>
      </c>
      <c r="CF187" s="554" t="str">
        <f t="shared" si="32"/>
        <v>2016Maori&lt;20ageSUDI</v>
      </c>
      <c r="CG187" s="604">
        <v>2016</v>
      </c>
      <c r="CH187" s="604" t="s">
        <v>129</v>
      </c>
      <c r="CI187" s="604" t="s">
        <v>339</v>
      </c>
      <c r="CJ187" s="604" t="s">
        <v>453</v>
      </c>
      <c r="CK187" s="604">
        <v>4</v>
      </c>
      <c r="CL187" s="604" t="s">
        <v>33</v>
      </c>
      <c r="CV187" s="575"/>
    </row>
    <row r="188" spans="9:100">
      <c r="I188" s="578" t="str">
        <f t="shared" si="24"/>
        <v>2001sexInd/UnkFetal</v>
      </c>
      <c r="J188" s="604">
        <v>2001</v>
      </c>
      <c r="K188" s="604" t="s">
        <v>451</v>
      </c>
      <c r="L188" s="604" t="s">
        <v>458</v>
      </c>
      <c r="M188" s="604">
        <v>1</v>
      </c>
      <c r="N188" s="604">
        <v>1</v>
      </c>
      <c r="O188" s="604" t="s">
        <v>119</v>
      </c>
      <c r="P188" s="604" t="s">
        <v>47</v>
      </c>
      <c r="Q188" s="499"/>
      <c r="R188" s="502" t="str">
        <f t="shared" si="25"/>
        <v>2002birthsdepQuin 3</v>
      </c>
      <c r="S188" s="604">
        <v>2002</v>
      </c>
      <c r="T188" s="604" t="s">
        <v>445</v>
      </c>
      <c r="U188" s="604" t="s">
        <v>454</v>
      </c>
      <c r="V188" s="604" t="s">
        <v>423</v>
      </c>
      <c r="W188" s="604">
        <v>9762</v>
      </c>
      <c r="Y188" s="535" t="str">
        <f t="shared" si="26"/>
        <v>2016sexbwtFemale1500-2499fetal</v>
      </c>
      <c r="Z188" s="604">
        <v>2016</v>
      </c>
      <c r="AA188" s="604" t="s">
        <v>451</v>
      </c>
      <c r="AB188" s="604" t="s">
        <v>447</v>
      </c>
      <c r="AC188" s="604" t="s">
        <v>71</v>
      </c>
      <c r="AD188" s="604" t="s">
        <v>430</v>
      </c>
      <c r="AE188" s="604">
        <v>12</v>
      </c>
      <c r="AF188" s="604">
        <v>1551</v>
      </c>
      <c r="AG188" s="604">
        <v>7.7</v>
      </c>
      <c r="AH188" s="604" t="s">
        <v>420</v>
      </c>
      <c r="AJ188" s="535" t="str">
        <f t="shared" si="27"/>
        <v>2016sexbwtFemale1500-2499</v>
      </c>
      <c r="AK188" s="604">
        <v>2016</v>
      </c>
      <c r="AL188" s="604" t="s">
        <v>451</v>
      </c>
      <c r="AM188" s="604" t="s">
        <v>447</v>
      </c>
      <c r="AN188" s="604" t="s">
        <v>71</v>
      </c>
      <c r="AO188" s="604" t="s">
        <v>430</v>
      </c>
      <c r="AP188" s="604">
        <v>1551</v>
      </c>
      <c r="AR188" s="538" t="str">
        <f t="shared" si="28"/>
        <v>MalesexfetalLakes</v>
      </c>
      <c r="AS188" s="604">
        <v>2016</v>
      </c>
      <c r="AT188" s="604" t="s">
        <v>70</v>
      </c>
      <c r="AU188" s="604" t="s">
        <v>451</v>
      </c>
      <c r="AV188" s="604" t="s">
        <v>90</v>
      </c>
      <c r="AW188" s="604">
        <v>7</v>
      </c>
      <c r="AX188" s="604">
        <v>825</v>
      </c>
      <c r="AY188" s="606">
        <v>8.5</v>
      </c>
      <c r="AZ188" s="604" t="s">
        <v>420</v>
      </c>
      <c r="BB188" s="536" t="str">
        <f t="shared" si="29"/>
        <v>Pacific peoplesethbirthsTaranaki</v>
      </c>
      <c r="BC188" s="604">
        <v>2016</v>
      </c>
      <c r="BD188" s="604" t="s">
        <v>320</v>
      </c>
      <c r="BE188" s="604" t="s">
        <v>449</v>
      </c>
      <c r="BF188" s="604" t="s">
        <v>93</v>
      </c>
      <c r="BG188" s="604">
        <v>32</v>
      </c>
      <c r="BH188" s="604" t="s">
        <v>445</v>
      </c>
      <c r="BY188" s="553" t="str">
        <f t="shared" si="31"/>
        <v>20091500-2499bwtSIDS</v>
      </c>
      <c r="BZ188" s="604">
        <v>2009</v>
      </c>
      <c r="CA188" s="604" t="s">
        <v>430</v>
      </c>
      <c r="CB188" s="604" t="s">
        <v>447</v>
      </c>
      <c r="CC188" s="604">
        <v>5</v>
      </c>
      <c r="CD188" s="604" t="s">
        <v>32</v>
      </c>
      <c r="CF188" s="554" t="str">
        <f t="shared" si="32"/>
        <v>2016Pacific peoples&lt;20ageSUDI</v>
      </c>
      <c r="CG188" s="604">
        <v>2016</v>
      </c>
      <c r="CH188" s="604" t="s">
        <v>320</v>
      </c>
      <c r="CI188" s="604" t="s">
        <v>339</v>
      </c>
      <c r="CJ188" s="604" t="s">
        <v>453</v>
      </c>
      <c r="CK188" s="604">
        <v>2</v>
      </c>
      <c r="CL188" s="604" t="s">
        <v>33</v>
      </c>
      <c r="CV188" s="575"/>
    </row>
    <row r="189" spans="9:100">
      <c r="I189" s="578" t="str">
        <f t="shared" si="24"/>
        <v>2002sexMaleFetal</v>
      </c>
      <c r="J189" s="604">
        <v>2002</v>
      </c>
      <c r="K189" s="604" t="s">
        <v>451</v>
      </c>
      <c r="L189" s="604" t="s">
        <v>70</v>
      </c>
      <c r="M189" s="604">
        <v>193</v>
      </c>
      <c r="N189" s="604">
        <v>28015</v>
      </c>
      <c r="O189" s="604">
        <v>6.9</v>
      </c>
      <c r="P189" s="604" t="s">
        <v>47</v>
      </c>
      <c r="Q189" s="499"/>
      <c r="R189" s="502" t="str">
        <f t="shared" si="25"/>
        <v>2002birthsdepQuin 4</v>
      </c>
      <c r="S189" s="604">
        <v>2002</v>
      </c>
      <c r="T189" s="604" t="s">
        <v>445</v>
      </c>
      <c r="U189" s="604" t="s">
        <v>454</v>
      </c>
      <c r="V189" s="604" t="s">
        <v>424</v>
      </c>
      <c r="W189" s="604">
        <v>11700</v>
      </c>
      <c r="Y189" s="535" t="str">
        <f t="shared" si="26"/>
        <v>2016sexbwtMale2500-4499fetal</v>
      </c>
      <c r="Z189" s="604">
        <v>2016</v>
      </c>
      <c r="AA189" s="604" t="s">
        <v>451</v>
      </c>
      <c r="AB189" s="604" t="s">
        <v>447</v>
      </c>
      <c r="AC189" s="604" t="s">
        <v>70</v>
      </c>
      <c r="AD189" s="604" t="s">
        <v>431</v>
      </c>
      <c r="AE189" s="604">
        <v>44</v>
      </c>
      <c r="AF189" s="604">
        <v>28327</v>
      </c>
      <c r="AG189" s="604">
        <v>1.6</v>
      </c>
      <c r="AH189" s="604" t="s">
        <v>420</v>
      </c>
      <c r="AJ189" s="535" t="str">
        <f t="shared" si="27"/>
        <v>2016sexbwtMale2500-4499</v>
      </c>
      <c r="AK189" s="604">
        <v>2016</v>
      </c>
      <c r="AL189" s="604" t="s">
        <v>451</v>
      </c>
      <c r="AM189" s="604" t="s">
        <v>447</v>
      </c>
      <c r="AN189" s="604" t="s">
        <v>70</v>
      </c>
      <c r="AO189" s="604" t="s">
        <v>431</v>
      </c>
      <c r="AP189" s="604">
        <v>28327</v>
      </c>
      <c r="AR189" s="538" t="str">
        <f t="shared" si="28"/>
        <v>FemalesexfetalLakes</v>
      </c>
      <c r="AS189" s="604">
        <v>2016</v>
      </c>
      <c r="AT189" s="604" t="s">
        <v>71</v>
      </c>
      <c r="AU189" s="604" t="s">
        <v>451</v>
      </c>
      <c r="AV189" s="604" t="s">
        <v>90</v>
      </c>
      <c r="AW189" s="604">
        <v>6</v>
      </c>
      <c r="AX189" s="604">
        <v>757</v>
      </c>
      <c r="AY189" s="606">
        <v>7.9</v>
      </c>
      <c r="AZ189" s="604" t="s">
        <v>420</v>
      </c>
      <c r="BB189" s="536" t="str">
        <f t="shared" si="29"/>
        <v>AsianethbirthsTaranaki</v>
      </c>
      <c r="BC189" s="604">
        <v>2016</v>
      </c>
      <c r="BD189" s="604" t="s">
        <v>355</v>
      </c>
      <c r="BE189" s="604" t="s">
        <v>449</v>
      </c>
      <c r="BF189" s="604" t="s">
        <v>93</v>
      </c>
      <c r="BG189" s="604">
        <v>109</v>
      </c>
      <c r="BH189" s="604" t="s">
        <v>445</v>
      </c>
      <c r="BY189" s="553" t="str">
        <f t="shared" si="31"/>
        <v>20092500-4499bwtSIDS</v>
      </c>
      <c r="BZ189" s="604">
        <v>2009</v>
      </c>
      <c r="CA189" s="604" t="s">
        <v>431</v>
      </c>
      <c r="CB189" s="604" t="s">
        <v>447</v>
      </c>
      <c r="CC189" s="604">
        <v>36</v>
      </c>
      <c r="CD189" s="604" t="s">
        <v>32</v>
      </c>
      <c r="CF189" s="554" t="str">
        <f t="shared" si="32"/>
        <v>2016Asian20-24ageSUDI</v>
      </c>
      <c r="CG189" s="604">
        <v>2016</v>
      </c>
      <c r="CH189" s="604" t="s">
        <v>355</v>
      </c>
      <c r="CI189" s="604" t="s">
        <v>130</v>
      </c>
      <c r="CJ189" s="604" t="s">
        <v>453</v>
      </c>
      <c r="CK189" s="604">
        <v>0</v>
      </c>
      <c r="CL189" s="604" t="s">
        <v>33</v>
      </c>
      <c r="CV189" s="575"/>
    </row>
    <row r="190" spans="9:100">
      <c r="I190" s="578" t="str">
        <f t="shared" si="24"/>
        <v>2002sexFemaleFetal</v>
      </c>
      <c r="J190" s="604">
        <v>2002</v>
      </c>
      <c r="K190" s="604" t="s">
        <v>451</v>
      </c>
      <c r="L190" s="604" t="s">
        <v>71</v>
      </c>
      <c r="M190" s="604">
        <v>196</v>
      </c>
      <c r="N190" s="604">
        <v>26889</v>
      </c>
      <c r="O190" s="604">
        <v>7.3</v>
      </c>
      <c r="P190" s="604" t="s">
        <v>47</v>
      </c>
      <c r="Q190" s="499"/>
      <c r="R190" s="502" t="str">
        <f t="shared" si="25"/>
        <v>2002birthsdepQuin 5</v>
      </c>
      <c r="S190" s="604">
        <v>2002</v>
      </c>
      <c r="T190" s="604" t="s">
        <v>445</v>
      </c>
      <c r="U190" s="604" t="s">
        <v>454</v>
      </c>
      <c r="V190" s="604" t="s">
        <v>425</v>
      </c>
      <c r="W190" s="604">
        <v>13542</v>
      </c>
      <c r="Y190" s="535" t="str">
        <f t="shared" si="26"/>
        <v>2016sexbwtFemale2500-4499fetal</v>
      </c>
      <c r="Z190" s="604">
        <v>2016</v>
      </c>
      <c r="AA190" s="604" t="s">
        <v>451</v>
      </c>
      <c r="AB190" s="604" t="s">
        <v>447</v>
      </c>
      <c r="AC190" s="604" t="s">
        <v>71</v>
      </c>
      <c r="AD190" s="604" t="s">
        <v>431</v>
      </c>
      <c r="AE190" s="604">
        <v>37</v>
      </c>
      <c r="AF190" s="604">
        <v>27080</v>
      </c>
      <c r="AG190" s="604">
        <v>1.4</v>
      </c>
      <c r="AH190" s="604" t="s">
        <v>420</v>
      </c>
      <c r="AJ190" s="535" t="str">
        <f t="shared" si="27"/>
        <v>2016sexbwtFemale2500-4499</v>
      </c>
      <c r="AK190" s="604">
        <v>2016</v>
      </c>
      <c r="AL190" s="604" t="s">
        <v>451</v>
      </c>
      <c r="AM190" s="604" t="s">
        <v>447</v>
      </c>
      <c r="AN190" s="604" t="s">
        <v>71</v>
      </c>
      <c r="AO190" s="604" t="s">
        <v>431</v>
      </c>
      <c r="AP190" s="604">
        <v>27080</v>
      </c>
      <c r="AR190" s="538" t="str">
        <f t="shared" si="28"/>
        <v>MalesexfetalBay of Plenty</v>
      </c>
      <c r="AS190" s="604">
        <v>2016</v>
      </c>
      <c r="AT190" s="604" t="s">
        <v>70</v>
      </c>
      <c r="AU190" s="604" t="s">
        <v>451</v>
      </c>
      <c r="AV190" s="604" t="s">
        <v>91</v>
      </c>
      <c r="AW190" s="604">
        <v>9</v>
      </c>
      <c r="AX190" s="604">
        <v>1566</v>
      </c>
      <c r="AY190" s="606">
        <v>5.7</v>
      </c>
      <c r="AZ190" s="604" t="s">
        <v>420</v>
      </c>
      <c r="BB190" s="536" t="str">
        <f t="shared" si="29"/>
        <v>European or OtherethbirthsTaranaki</v>
      </c>
      <c r="BC190" s="604">
        <v>2016</v>
      </c>
      <c r="BD190" s="604" t="s">
        <v>356</v>
      </c>
      <c r="BE190" s="604" t="s">
        <v>449</v>
      </c>
      <c r="BF190" s="604" t="s">
        <v>93</v>
      </c>
      <c r="BG190" s="604">
        <v>841</v>
      </c>
      <c r="BH190" s="604" t="s">
        <v>445</v>
      </c>
      <c r="BY190" s="553" t="str">
        <f t="shared" si="31"/>
        <v>20094500+bwtSIDS</v>
      </c>
      <c r="BZ190" s="604">
        <v>2009</v>
      </c>
      <c r="CA190" s="604" t="s">
        <v>432</v>
      </c>
      <c r="CB190" s="604" t="s">
        <v>447</v>
      </c>
      <c r="CC190" s="604">
        <v>0</v>
      </c>
      <c r="CD190" s="604" t="s">
        <v>32</v>
      </c>
      <c r="CF190" s="554" t="str">
        <f t="shared" si="32"/>
        <v>2016European or Other20-24ageSUDI</v>
      </c>
      <c r="CG190" s="604">
        <v>2016</v>
      </c>
      <c r="CH190" s="604" t="s">
        <v>356</v>
      </c>
      <c r="CI190" s="604" t="s">
        <v>130</v>
      </c>
      <c r="CJ190" s="604" t="s">
        <v>453</v>
      </c>
      <c r="CK190" s="604">
        <v>3</v>
      </c>
      <c r="CL190" s="604" t="s">
        <v>33</v>
      </c>
      <c r="CV190" s="575"/>
    </row>
    <row r="191" spans="9:100">
      <c r="I191" s="578" t="str">
        <f t="shared" si="24"/>
        <v>2002sexInd/UnkFetal</v>
      </c>
      <c r="J191" s="604">
        <v>2002</v>
      </c>
      <c r="K191" s="604" t="s">
        <v>451</v>
      </c>
      <c r="L191" s="604" t="s">
        <v>458</v>
      </c>
      <c r="M191" s="604">
        <v>1</v>
      </c>
      <c r="N191" s="604">
        <v>1</v>
      </c>
      <c r="O191" s="604" t="s">
        <v>119</v>
      </c>
      <c r="P191" s="604" t="s">
        <v>47</v>
      </c>
      <c r="Q191" s="499"/>
      <c r="R191" s="502" t="str">
        <f t="shared" si="25"/>
        <v>2002birthsdepQuin 9</v>
      </c>
      <c r="S191" s="604">
        <v>2002</v>
      </c>
      <c r="T191" s="604" t="s">
        <v>445</v>
      </c>
      <c r="U191" s="604" t="s">
        <v>454</v>
      </c>
      <c r="V191" s="604" t="s">
        <v>426</v>
      </c>
      <c r="W191" s="604">
        <v>3549</v>
      </c>
      <c r="Y191" s="535" t="str">
        <f t="shared" si="26"/>
        <v>2016sexbwtMale4500+fetal</v>
      </c>
      <c r="Z191" s="604">
        <v>2016</v>
      </c>
      <c r="AA191" s="604" t="s">
        <v>451</v>
      </c>
      <c r="AB191" s="604" t="s">
        <v>447</v>
      </c>
      <c r="AC191" s="604" t="s">
        <v>70</v>
      </c>
      <c r="AD191" s="604" t="s">
        <v>432</v>
      </c>
      <c r="AE191" s="604">
        <v>2</v>
      </c>
      <c r="AF191" s="604">
        <v>930</v>
      </c>
      <c r="AG191" s="604">
        <v>2.1</v>
      </c>
      <c r="AH191" s="604" t="s">
        <v>420</v>
      </c>
      <c r="AJ191" s="535" t="str">
        <f t="shared" si="27"/>
        <v>2016sexbwtMale4500+</v>
      </c>
      <c r="AK191" s="604">
        <v>2016</v>
      </c>
      <c r="AL191" s="604" t="s">
        <v>451</v>
      </c>
      <c r="AM191" s="604" t="s">
        <v>447</v>
      </c>
      <c r="AN191" s="604" t="s">
        <v>70</v>
      </c>
      <c r="AO191" s="604" t="s">
        <v>432</v>
      </c>
      <c r="AP191" s="604">
        <v>930</v>
      </c>
      <c r="AR191" s="538" t="str">
        <f t="shared" si="28"/>
        <v>FemalesexfetalBay of Plenty</v>
      </c>
      <c r="AS191" s="604">
        <v>2016</v>
      </c>
      <c r="AT191" s="604" t="s">
        <v>71</v>
      </c>
      <c r="AU191" s="604" t="s">
        <v>451</v>
      </c>
      <c r="AV191" s="604" t="s">
        <v>91</v>
      </c>
      <c r="AW191" s="604">
        <v>10</v>
      </c>
      <c r="AX191" s="604">
        <v>1393</v>
      </c>
      <c r="AY191" s="606">
        <v>7.2</v>
      </c>
      <c r="AZ191" s="604" t="s">
        <v>420</v>
      </c>
      <c r="BB191" s="536" t="str">
        <f t="shared" si="29"/>
        <v>MaoriethbirthsMidCentral</v>
      </c>
      <c r="BC191" s="604">
        <v>2016</v>
      </c>
      <c r="BD191" s="604" t="s">
        <v>129</v>
      </c>
      <c r="BE191" s="604" t="s">
        <v>449</v>
      </c>
      <c r="BF191" s="604" t="s">
        <v>94</v>
      </c>
      <c r="BG191" s="604">
        <v>813</v>
      </c>
      <c r="BH191" s="604" t="s">
        <v>445</v>
      </c>
      <c r="BY191" s="553" t="str">
        <f t="shared" si="31"/>
        <v>2009UnknownbwtSIDS</v>
      </c>
      <c r="BZ191" s="604">
        <v>2009</v>
      </c>
      <c r="CA191" s="604" t="s">
        <v>63</v>
      </c>
      <c r="CB191" s="604" t="s">
        <v>447</v>
      </c>
      <c r="CC191" s="604">
        <v>4</v>
      </c>
      <c r="CD191" s="604" t="s">
        <v>32</v>
      </c>
      <c r="CF191" s="554" t="str">
        <f t="shared" si="32"/>
        <v>2016Maori20-24ageSUDI</v>
      </c>
      <c r="CG191" s="604">
        <v>2016</v>
      </c>
      <c r="CH191" s="604" t="s">
        <v>129</v>
      </c>
      <c r="CI191" s="604" t="s">
        <v>130</v>
      </c>
      <c r="CJ191" s="604" t="s">
        <v>453</v>
      </c>
      <c r="CK191" s="604">
        <v>8</v>
      </c>
      <c r="CL191" s="604" t="s">
        <v>33</v>
      </c>
      <c r="CV191" s="575"/>
    </row>
    <row r="192" spans="9:100">
      <c r="I192" s="578" t="str">
        <f t="shared" si="24"/>
        <v>2003sexMaleFetal</v>
      </c>
      <c r="J192" s="604">
        <v>2003</v>
      </c>
      <c r="K192" s="604" t="s">
        <v>451</v>
      </c>
      <c r="L192" s="604" t="s">
        <v>70</v>
      </c>
      <c r="M192" s="604">
        <v>191</v>
      </c>
      <c r="N192" s="604">
        <v>29241</v>
      </c>
      <c r="O192" s="604">
        <v>6.5</v>
      </c>
      <c r="P192" s="604" t="s">
        <v>47</v>
      </c>
      <c r="Q192" s="499"/>
      <c r="R192" s="502" t="str">
        <f t="shared" si="25"/>
        <v>2003birthsdepQuin 1</v>
      </c>
      <c r="S192" s="604">
        <v>2003</v>
      </c>
      <c r="T192" s="604" t="s">
        <v>445</v>
      </c>
      <c r="U192" s="604" t="s">
        <v>454</v>
      </c>
      <c r="V192" s="604" t="s">
        <v>421</v>
      </c>
      <c r="W192" s="604">
        <v>7940</v>
      </c>
      <c r="Y192" s="535" t="str">
        <f t="shared" si="26"/>
        <v>2016sexbwtFemale4500+fetal</v>
      </c>
      <c r="Z192" s="604">
        <v>2016</v>
      </c>
      <c r="AA192" s="604" t="s">
        <v>451</v>
      </c>
      <c r="AB192" s="604" t="s">
        <v>447</v>
      </c>
      <c r="AC192" s="604" t="s">
        <v>71</v>
      </c>
      <c r="AD192" s="604" t="s">
        <v>432</v>
      </c>
      <c r="AE192" s="604">
        <v>2</v>
      </c>
      <c r="AF192" s="604">
        <v>493</v>
      </c>
      <c r="AG192" s="604">
        <v>4</v>
      </c>
      <c r="AH192" s="604" t="s">
        <v>420</v>
      </c>
      <c r="AJ192" s="535" t="str">
        <f t="shared" si="27"/>
        <v>2016sexbwtFemale4500+</v>
      </c>
      <c r="AK192" s="604">
        <v>2016</v>
      </c>
      <c r="AL192" s="604" t="s">
        <v>451</v>
      </c>
      <c r="AM192" s="604" t="s">
        <v>447</v>
      </c>
      <c r="AN192" s="604" t="s">
        <v>71</v>
      </c>
      <c r="AO192" s="604" t="s">
        <v>432</v>
      </c>
      <c r="AP192" s="604">
        <v>493</v>
      </c>
      <c r="AR192" s="538" t="str">
        <f t="shared" si="28"/>
        <v>FemalesexfetalTairawhiti</v>
      </c>
      <c r="AS192" s="604">
        <v>2016</v>
      </c>
      <c r="AT192" s="604" t="s">
        <v>71</v>
      </c>
      <c r="AU192" s="604" t="s">
        <v>451</v>
      </c>
      <c r="AV192" s="604" t="s">
        <v>433</v>
      </c>
      <c r="AW192" s="604">
        <v>2</v>
      </c>
      <c r="AX192" s="604">
        <v>397</v>
      </c>
      <c r="AY192" s="606">
        <v>5</v>
      </c>
      <c r="AZ192" s="604" t="s">
        <v>420</v>
      </c>
      <c r="BB192" s="536" t="str">
        <f t="shared" si="29"/>
        <v>Pacific peoplesethbirthsMidCentral</v>
      </c>
      <c r="BC192" s="604">
        <v>2016</v>
      </c>
      <c r="BD192" s="604" t="s">
        <v>320</v>
      </c>
      <c r="BE192" s="604" t="s">
        <v>449</v>
      </c>
      <c r="BF192" s="604" t="s">
        <v>94</v>
      </c>
      <c r="BG192" s="604">
        <v>116</v>
      </c>
      <c r="BH192" s="604" t="s">
        <v>445</v>
      </c>
      <c r="BY192" s="553" t="str">
        <f t="shared" si="31"/>
        <v>2010&lt;500bwtSIDS</v>
      </c>
      <c r="BZ192" s="604">
        <v>2010</v>
      </c>
      <c r="CA192" s="604" t="s">
        <v>427</v>
      </c>
      <c r="CB192" s="604" t="s">
        <v>447</v>
      </c>
      <c r="CC192" s="604">
        <v>0</v>
      </c>
      <c r="CD192" s="604" t="s">
        <v>32</v>
      </c>
      <c r="CF192" s="554" t="str">
        <f t="shared" si="32"/>
        <v>2016Pacific peoples20-24ageSUDI</v>
      </c>
      <c r="CG192" s="604">
        <v>2016</v>
      </c>
      <c r="CH192" s="604" t="s">
        <v>320</v>
      </c>
      <c r="CI192" s="604" t="s">
        <v>130</v>
      </c>
      <c r="CJ192" s="604" t="s">
        <v>453</v>
      </c>
      <c r="CK192" s="604">
        <v>2</v>
      </c>
      <c r="CL192" s="604" t="s">
        <v>33</v>
      </c>
      <c r="CV192" s="575"/>
    </row>
    <row r="193" spans="9:100">
      <c r="I193" s="578" t="str">
        <f t="shared" si="24"/>
        <v>2003sexFemaleFetal</v>
      </c>
      <c r="J193" s="604">
        <v>2003</v>
      </c>
      <c r="K193" s="604" t="s">
        <v>451</v>
      </c>
      <c r="L193" s="604" t="s">
        <v>71</v>
      </c>
      <c r="M193" s="604">
        <v>197</v>
      </c>
      <c r="N193" s="604">
        <v>27723</v>
      </c>
      <c r="O193" s="604">
        <v>7.1</v>
      </c>
      <c r="P193" s="604" t="s">
        <v>47</v>
      </c>
      <c r="Q193" s="499"/>
      <c r="R193" s="502" t="str">
        <f t="shared" si="25"/>
        <v>2003birthsdepQuin 2</v>
      </c>
      <c r="S193" s="604">
        <v>2003</v>
      </c>
      <c r="T193" s="604" t="s">
        <v>445</v>
      </c>
      <c r="U193" s="604" t="s">
        <v>454</v>
      </c>
      <c r="V193" s="604" t="s">
        <v>422</v>
      </c>
      <c r="W193" s="604">
        <v>8596</v>
      </c>
      <c r="Y193" s="535" t="str">
        <f t="shared" si="26"/>
        <v>2016sexbwtMaleUnknownfetal</v>
      </c>
      <c r="Z193" s="604">
        <v>2016</v>
      </c>
      <c r="AA193" s="604" t="s">
        <v>451</v>
      </c>
      <c r="AB193" s="604" t="s">
        <v>447</v>
      </c>
      <c r="AC193" s="604" t="s">
        <v>70</v>
      </c>
      <c r="AD193" s="604" t="s">
        <v>63</v>
      </c>
      <c r="AE193" s="604">
        <v>8</v>
      </c>
      <c r="AF193" s="604">
        <v>14</v>
      </c>
      <c r="AG193" s="604" t="s">
        <v>119</v>
      </c>
      <c r="AH193" s="604" t="s">
        <v>420</v>
      </c>
      <c r="AJ193" s="535" t="str">
        <f t="shared" si="27"/>
        <v>2016sexbwtMaleUnknown</v>
      </c>
      <c r="AK193" s="604">
        <v>2016</v>
      </c>
      <c r="AL193" s="604" t="s">
        <v>451</v>
      </c>
      <c r="AM193" s="604" t="s">
        <v>447</v>
      </c>
      <c r="AN193" s="604" t="s">
        <v>70</v>
      </c>
      <c r="AO193" s="604" t="s">
        <v>63</v>
      </c>
      <c r="AP193" s="604">
        <v>14</v>
      </c>
      <c r="AR193" s="538" t="str">
        <f t="shared" si="28"/>
        <v>MalesexfetalHawke's Bay</v>
      </c>
      <c r="AS193" s="604">
        <v>2016</v>
      </c>
      <c r="AT193" s="604" t="s">
        <v>70</v>
      </c>
      <c r="AU193" s="604" t="s">
        <v>451</v>
      </c>
      <c r="AV193" s="604" t="s">
        <v>92</v>
      </c>
      <c r="AW193" s="604">
        <v>2</v>
      </c>
      <c r="AX193" s="604">
        <v>1065</v>
      </c>
      <c r="AY193" s="606">
        <v>1.9</v>
      </c>
      <c r="AZ193" s="604" t="s">
        <v>420</v>
      </c>
      <c r="BB193" s="536" t="str">
        <f t="shared" si="29"/>
        <v>AsianethbirthsMidCentral</v>
      </c>
      <c r="BC193" s="604">
        <v>2016</v>
      </c>
      <c r="BD193" s="604" t="s">
        <v>355</v>
      </c>
      <c r="BE193" s="604" t="s">
        <v>449</v>
      </c>
      <c r="BF193" s="604" t="s">
        <v>94</v>
      </c>
      <c r="BG193" s="604">
        <v>191</v>
      </c>
      <c r="BH193" s="604" t="s">
        <v>445</v>
      </c>
      <c r="BY193" s="553" t="str">
        <f t="shared" si="31"/>
        <v>2010500-999bwtSIDS</v>
      </c>
      <c r="BZ193" s="604">
        <v>2010</v>
      </c>
      <c r="CA193" s="604" t="s">
        <v>428</v>
      </c>
      <c r="CB193" s="604" t="s">
        <v>447</v>
      </c>
      <c r="CC193" s="604">
        <v>0</v>
      </c>
      <c r="CD193" s="604" t="s">
        <v>32</v>
      </c>
      <c r="CF193" s="554" t="str">
        <f t="shared" si="32"/>
        <v>2016Asian25-29ageSUDI</v>
      </c>
      <c r="CG193" s="604">
        <v>2016</v>
      </c>
      <c r="CH193" s="604" t="s">
        <v>355</v>
      </c>
      <c r="CI193" s="604" t="s">
        <v>131</v>
      </c>
      <c r="CJ193" s="604" t="s">
        <v>453</v>
      </c>
      <c r="CK193" s="604">
        <v>1</v>
      </c>
      <c r="CL193" s="604" t="s">
        <v>33</v>
      </c>
      <c r="CV193" s="575"/>
    </row>
    <row r="194" spans="9:100">
      <c r="I194" s="578" t="str">
        <f t="shared" si="24"/>
        <v>2003sexInd/UnkFetal</v>
      </c>
      <c r="J194" s="604">
        <v>2003</v>
      </c>
      <c r="K194" s="604" t="s">
        <v>451</v>
      </c>
      <c r="L194" s="604" t="s">
        <v>458</v>
      </c>
      <c r="M194" s="604">
        <v>5</v>
      </c>
      <c r="N194" s="604">
        <v>5</v>
      </c>
      <c r="O194" s="604" t="s">
        <v>119</v>
      </c>
      <c r="P194" s="604" t="s">
        <v>47</v>
      </c>
      <c r="Q194" s="499"/>
      <c r="R194" s="502" t="str">
        <f t="shared" si="25"/>
        <v>2003birthsdepQuin 3</v>
      </c>
      <c r="S194" s="604">
        <v>2003</v>
      </c>
      <c r="T194" s="604" t="s">
        <v>445</v>
      </c>
      <c r="U194" s="604" t="s">
        <v>454</v>
      </c>
      <c r="V194" s="604" t="s">
        <v>423</v>
      </c>
      <c r="W194" s="604">
        <v>10109</v>
      </c>
      <c r="Y194" s="535" t="str">
        <f t="shared" si="26"/>
        <v>2016sexbwtFemaleUnknownfetal</v>
      </c>
      <c r="Z194" s="604">
        <v>2016</v>
      </c>
      <c r="AA194" s="604" t="s">
        <v>451</v>
      </c>
      <c r="AB194" s="604" t="s">
        <v>447</v>
      </c>
      <c r="AC194" s="604" t="s">
        <v>71</v>
      </c>
      <c r="AD194" s="604" t="s">
        <v>63</v>
      </c>
      <c r="AE194" s="604">
        <v>9</v>
      </c>
      <c r="AF194" s="604">
        <v>21</v>
      </c>
      <c r="AG194" s="604" t="s">
        <v>119</v>
      </c>
      <c r="AH194" s="604" t="s">
        <v>420</v>
      </c>
      <c r="AJ194" s="535" t="str">
        <f t="shared" si="27"/>
        <v>2016sexbwtFemaleUnknown</v>
      </c>
      <c r="AK194" s="604">
        <v>2016</v>
      </c>
      <c r="AL194" s="604" t="s">
        <v>451</v>
      </c>
      <c r="AM194" s="604" t="s">
        <v>447</v>
      </c>
      <c r="AN194" s="604" t="s">
        <v>71</v>
      </c>
      <c r="AO194" s="604" t="s">
        <v>63</v>
      </c>
      <c r="AP194" s="604">
        <v>21</v>
      </c>
      <c r="AR194" s="538" t="str">
        <f t="shared" si="28"/>
        <v>FemalesexfetalHawke's Bay</v>
      </c>
      <c r="AS194" s="604">
        <v>2016</v>
      </c>
      <c r="AT194" s="604" t="s">
        <v>71</v>
      </c>
      <c r="AU194" s="604" t="s">
        <v>451</v>
      </c>
      <c r="AV194" s="604" t="s">
        <v>92</v>
      </c>
      <c r="AW194" s="604">
        <v>5</v>
      </c>
      <c r="AX194" s="604">
        <v>1040</v>
      </c>
      <c r="AY194" s="606">
        <v>4.8</v>
      </c>
      <c r="AZ194" s="604" t="s">
        <v>420</v>
      </c>
      <c r="BB194" s="536" t="str">
        <f t="shared" si="29"/>
        <v>European or OtherethbirthsMidCentral</v>
      </c>
      <c r="BC194" s="604">
        <v>2016</v>
      </c>
      <c r="BD194" s="604" t="s">
        <v>356</v>
      </c>
      <c r="BE194" s="604" t="s">
        <v>449</v>
      </c>
      <c r="BF194" s="604" t="s">
        <v>94</v>
      </c>
      <c r="BG194" s="604">
        <v>986</v>
      </c>
      <c r="BH194" s="604" t="s">
        <v>445</v>
      </c>
      <c r="BY194" s="553" t="str">
        <f t="shared" si="31"/>
        <v>20101000-1499bwtSIDS</v>
      </c>
      <c r="BZ194" s="604">
        <v>2010</v>
      </c>
      <c r="CA194" s="604" t="s">
        <v>429</v>
      </c>
      <c r="CB194" s="604" t="s">
        <v>447</v>
      </c>
      <c r="CC194" s="604">
        <v>1</v>
      </c>
      <c r="CD194" s="604" t="s">
        <v>32</v>
      </c>
      <c r="CF194" s="554" t="str">
        <f t="shared" si="32"/>
        <v>2016European or Other25-29ageSUDI</v>
      </c>
      <c r="CG194" s="604">
        <v>2016</v>
      </c>
      <c r="CH194" s="604" t="s">
        <v>356</v>
      </c>
      <c r="CI194" s="604" t="s">
        <v>131</v>
      </c>
      <c r="CJ194" s="604" t="s">
        <v>453</v>
      </c>
      <c r="CK194" s="604">
        <v>3</v>
      </c>
      <c r="CL194" s="604" t="s">
        <v>33</v>
      </c>
      <c r="CV194" s="575"/>
    </row>
    <row r="195" spans="9:100">
      <c r="I195" s="578" t="str">
        <f t="shared" si="24"/>
        <v>2004sexMaleFetal</v>
      </c>
      <c r="J195" s="604">
        <v>2004</v>
      </c>
      <c r="K195" s="604" t="s">
        <v>451</v>
      </c>
      <c r="L195" s="604" t="s">
        <v>70</v>
      </c>
      <c r="M195" s="604">
        <v>280</v>
      </c>
      <c r="N195" s="604">
        <v>30371</v>
      </c>
      <c r="O195" s="604">
        <v>9.1999999999999993</v>
      </c>
      <c r="P195" s="604" t="s">
        <v>47</v>
      </c>
      <c r="Q195" s="499"/>
      <c r="R195" s="502" t="str">
        <f t="shared" si="25"/>
        <v>2003birthsdepQuin 4</v>
      </c>
      <c r="S195" s="604">
        <v>2003</v>
      </c>
      <c r="T195" s="604" t="s">
        <v>445</v>
      </c>
      <c r="U195" s="604" t="s">
        <v>454</v>
      </c>
      <c r="V195" s="604" t="s">
        <v>424</v>
      </c>
      <c r="W195" s="604">
        <v>12037</v>
      </c>
      <c r="Y195" s="535" t="str">
        <f t="shared" si="26"/>
        <v>2016gestbwt&lt;28&lt;500fetal</v>
      </c>
      <c r="Z195" s="604">
        <v>2016</v>
      </c>
      <c r="AA195" s="604" t="s">
        <v>450</v>
      </c>
      <c r="AB195" s="604" t="s">
        <v>447</v>
      </c>
      <c r="AC195" s="604" t="s">
        <v>375</v>
      </c>
      <c r="AD195" s="604" t="s">
        <v>427</v>
      </c>
      <c r="AE195" s="604">
        <v>123</v>
      </c>
      <c r="AF195" s="604">
        <v>41</v>
      </c>
      <c r="AG195" s="604" t="s">
        <v>119</v>
      </c>
      <c r="AH195" s="604" t="s">
        <v>420</v>
      </c>
      <c r="AJ195" s="535" t="str">
        <f t="shared" si="27"/>
        <v>2016gestbwt&lt;28&lt;500</v>
      </c>
      <c r="AK195" s="604">
        <v>2016</v>
      </c>
      <c r="AL195" s="604" t="s">
        <v>450</v>
      </c>
      <c r="AM195" s="604" t="s">
        <v>447</v>
      </c>
      <c r="AN195" s="604" t="s">
        <v>375</v>
      </c>
      <c r="AO195" s="604" t="s">
        <v>427</v>
      </c>
      <c r="AP195" s="604">
        <v>41</v>
      </c>
      <c r="AR195" s="538" t="str">
        <f t="shared" si="28"/>
        <v>MalesexfetalTaranaki</v>
      </c>
      <c r="AS195" s="604">
        <v>2016</v>
      </c>
      <c r="AT195" s="604" t="s">
        <v>70</v>
      </c>
      <c r="AU195" s="604" t="s">
        <v>451</v>
      </c>
      <c r="AV195" s="604" t="s">
        <v>93</v>
      </c>
      <c r="AW195" s="604">
        <v>4</v>
      </c>
      <c r="AX195" s="604">
        <v>774</v>
      </c>
      <c r="AY195" s="606">
        <v>5.2</v>
      </c>
      <c r="AZ195" s="604" t="s">
        <v>420</v>
      </c>
      <c r="BB195" s="536" t="str">
        <f t="shared" si="29"/>
        <v>MaoriethbirthsWhanganui</v>
      </c>
      <c r="BC195" s="604">
        <v>2016</v>
      </c>
      <c r="BD195" s="604" t="s">
        <v>129</v>
      </c>
      <c r="BE195" s="604" t="s">
        <v>449</v>
      </c>
      <c r="BF195" s="604" t="s">
        <v>95</v>
      </c>
      <c r="BG195" s="604">
        <v>403</v>
      </c>
      <c r="BH195" s="604" t="s">
        <v>445</v>
      </c>
      <c r="BY195" s="553" t="str">
        <f t="shared" si="31"/>
        <v>20101500-2499bwtSIDS</v>
      </c>
      <c r="BZ195" s="604">
        <v>2010</v>
      </c>
      <c r="CA195" s="604" t="s">
        <v>430</v>
      </c>
      <c r="CB195" s="604" t="s">
        <v>447</v>
      </c>
      <c r="CC195" s="604">
        <v>3</v>
      </c>
      <c r="CD195" s="604" t="s">
        <v>32</v>
      </c>
      <c r="CF195" s="554" t="str">
        <f t="shared" si="32"/>
        <v>2016Maori25-29ageSUDI</v>
      </c>
      <c r="CG195" s="604">
        <v>2016</v>
      </c>
      <c r="CH195" s="604" t="s">
        <v>129</v>
      </c>
      <c r="CI195" s="604" t="s">
        <v>131</v>
      </c>
      <c r="CJ195" s="604" t="s">
        <v>453</v>
      </c>
      <c r="CK195" s="604">
        <v>8</v>
      </c>
      <c r="CL195" s="604" t="s">
        <v>33</v>
      </c>
      <c r="CV195" s="575"/>
    </row>
    <row r="196" spans="9:100">
      <c r="I196" s="578" t="str">
        <f t="shared" ref="I196:I259" si="34">J196&amp;K196&amp;L196&amp;P196</f>
        <v>2004sexFemaleFetal</v>
      </c>
      <c r="J196" s="604">
        <v>2004</v>
      </c>
      <c r="K196" s="604" t="s">
        <v>451</v>
      </c>
      <c r="L196" s="604" t="s">
        <v>71</v>
      </c>
      <c r="M196" s="604">
        <v>223</v>
      </c>
      <c r="N196" s="604">
        <v>28855</v>
      </c>
      <c r="O196" s="604">
        <v>7.7</v>
      </c>
      <c r="P196" s="604" t="s">
        <v>47</v>
      </c>
      <c r="Q196" s="499"/>
      <c r="R196" s="502" t="str">
        <f t="shared" ref="R196:R259" si="35">S196&amp;T196&amp;U196&amp;V196</f>
        <v>2003birthsdepQuin 5</v>
      </c>
      <c r="S196" s="604">
        <v>2003</v>
      </c>
      <c r="T196" s="604" t="s">
        <v>445</v>
      </c>
      <c r="U196" s="604" t="s">
        <v>454</v>
      </c>
      <c r="V196" s="604" t="s">
        <v>425</v>
      </c>
      <c r="W196" s="604">
        <v>14244</v>
      </c>
      <c r="Y196" s="535" t="str">
        <f t="shared" ref="Y196:Y259" si="36">Z196&amp;AA196&amp;AB196&amp;AC196&amp;AD196&amp;AH196</f>
        <v>2016gestbwt32-36&lt;500fetal</v>
      </c>
      <c r="Z196" s="604">
        <v>2016</v>
      </c>
      <c r="AA196" s="604" t="s">
        <v>450</v>
      </c>
      <c r="AB196" s="604" t="s">
        <v>447</v>
      </c>
      <c r="AC196" s="604" t="s">
        <v>136</v>
      </c>
      <c r="AD196" s="604" t="s">
        <v>427</v>
      </c>
      <c r="AE196" s="604">
        <v>3</v>
      </c>
      <c r="AF196" s="604">
        <v>1</v>
      </c>
      <c r="AG196" s="604" t="s">
        <v>119</v>
      </c>
      <c r="AH196" s="604" t="s">
        <v>420</v>
      </c>
      <c r="AJ196" s="535" t="str">
        <f t="shared" ref="AJ196:AJ259" si="37">AK196&amp;AL196&amp;AM196&amp;AN196&amp;AO196</f>
        <v>2016gestbwt32-36&lt;500</v>
      </c>
      <c r="AK196" s="604">
        <v>2016</v>
      </c>
      <c r="AL196" s="604" t="s">
        <v>450</v>
      </c>
      <c r="AM196" s="604" t="s">
        <v>447</v>
      </c>
      <c r="AN196" s="604" t="s">
        <v>136</v>
      </c>
      <c r="AO196" s="604" t="s">
        <v>427</v>
      </c>
      <c r="AP196" s="604">
        <v>1</v>
      </c>
      <c r="AR196" s="538" t="str">
        <f t="shared" ref="AR196:AR259" si="38">AT196&amp;AU196&amp;AZ196&amp;AV196</f>
        <v>FemalesexfetalTaranaki</v>
      </c>
      <c r="AS196" s="604">
        <v>2016</v>
      </c>
      <c r="AT196" s="604" t="s">
        <v>71</v>
      </c>
      <c r="AU196" s="604" t="s">
        <v>451</v>
      </c>
      <c r="AV196" s="604" t="s">
        <v>93</v>
      </c>
      <c r="AW196" s="604">
        <v>9</v>
      </c>
      <c r="AX196" s="604">
        <v>730</v>
      </c>
      <c r="AY196" s="606">
        <v>12.3</v>
      </c>
      <c r="AZ196" s="604" t="s">
        <v>420</v>
      </c>
      <c r="BB196" s="536" t="str">
        <f t="shared" ref="BB196:BB259" si="39">BD196&amp;BE196&amp;BH196&amp;BF196</f>
        <v>Pacific peoplesethbirthsWhanganui</v>
      </c>
      <c r="BC196" s="604">
        <v>2016</v>
      </c>
      <c r="BD196" s="604" t="s">
        <v>320</v>
      </c>
      <c r="BE196" s="604" t="s">
        <v>449</v>
      </c>
      <c r="BF196" s="604" t="s">
        <v>95</v>
      </c>
      <c r="BG196" s="604">
        <v>57</v>
      </c>
      <c r="BH196" s="604" t="s">
        <v>445</v>
      </c>
      <c r="BY196" s="553" t="str">
        <f t="shared" ref="BY196:BY259" si="40">BZ196&amp;CA196&amp;CB196&amp;CD196</f>
        <v>20102500-4499bwtSIDS</v>
      </c>
      <c r="BZ196" s="604">
        <v>2010</v>
      </c>
      <c r="CA196" s="604" t="s">
        <v>431</v>
      </c>
      <c r="CB196" s="604" t="s">
        <v>447</v>
      </c>
      <c r="CC196" s="604">
        <v>21</v>
      </c>
      <c r="CD196" s="604" t="s">
        <v>32</v>
      </c>
      <c r="CF196" s="554" t="str">
        <f t="shared" ref="CF196:CF259" si="41">CG196&amp;CH196&amp;CI196&amp;CJ196&amp;CL196</f>
        <v>2016Pacific peoples25-29ageSUDI</v>
      </c>
      <c r="CG196" s="604">
        <v>2016</v>
      </c>
      <c r="CH196" s="604" t="s">
        <v>320</v>
      </c>
      <c r="CI196" s="604" t="s">
        <v>131</v>
      </c>
      <c r="CJ196" s="604" t="s">
        <v>453</v>
      </c>
      <c r="CK196" s="604">
        <v>1</v>
      </c>
      <c r="CL196" s="604" t="s">
        <v>33</v>
      </c>
      <c r="CV196" s="575"/>
    </row>
    <row r="197" spans="9:100">
      <c r="I197" s="578" t="str">
        <f t="shared" si="34"/>
        <v>2004sexInd/UnkFetal</v>
      </c>
      <c r="J197" s="604">
        <v>2004</v>
      </c>
      <c r="K197" s="604" t="s">
        <v>451</v>
      </c>
      <c r="L197" s="604" t="s">
        <v>458</v>
      </c>
      <c r="M197" s="604">
        <v>3</v>
      </c>
      <c r="N197" s="604">
        <v>3</v>
      </c>
      <c r="O197" s="604" t="s">
        <v>119</v>
      </c>
      <c r="P197" s="604" t="s">
        <v>47</v>
      </c>
      <c r="Q197" s="499"/>
      <c r="R197" s="502" t="str">
        <f t="shared" si="35"/>
        <v>2003birthsdepQuin 9</v>
      </c>
      <c r="S197" s="604">
        <v>2003</v>
      </c>
      <c r="T197" s="604" t="s">
        <v>445</v>
      </c>
      <c r="U197" s="604" t="s">
        <v>454</v>
      </c>
      <c r="V197" s="604" t="s">
        <v>426</v>
      </c>
      <c r="W197" s="604">
        <v>3650</v>
      </c>
      <c r="Y197" s="535" t="str">
        <f t="shared" si="36"/>
        <v>2016gestbwt37-41&lt;500fetal</v>
      </c>
      <c r="Z197" s="604">
        <v>2016</v>
      </c>
      <c r="AA197" s="604" t="s">
        <v>450</v>
      </c>
      <c r="AB197" s="604" t="s">
        <v>447</v>
      </c>
      <c r="AC197" s="604" t="s">
        <v>137</v>
      </c>
      <c r="AD197" s="604" t="s">
        <v>427</v>
      </c>
      <c r="AE197" s="604">
        <v>8</v>
      </c>
      <c r="AF197" s="604">
        <v>11</v>
      </c>
      <c r="AG197" s="604">
        <v>421.1</v>
      </c>
      <c r="AH197" s="604" t="s">
        <v>420</v>
      </c>
      <c r="AJ197" s="535" t="str">
        <f t="shared" si="37"/>
        <v>2016gestbwt37-41&lt;500</v>
      </c>
      <c r="AK197" s="604">
        <v>2016</v>
      </c>
      <c r="AL197" s="604" t="s">
        <v>450</v>
      </c>
      <c r="AM197" s="604" t="s">
        <v>447</v>
      </c>
      <c r="AN197" s="604" t="s">
        <v>137</v>
      </c>
      <c r="AO197" s="604" t="s">
        <v>427</v>
      </c>
      <c r="AP197" s="604">
        <v>11</v>
      </c>
      <c r="AR197" s="538" t="str">
        <f t="shared" si="38"/>
        <v>MalesexfetalMidCentral</v>
      </c>
      <c r="AS197" s="604">
        <v>2016</v>
      </c>
      <c r="AT197" s="604" t="s">
        <v>70</v>
      </c>
      <c r="AU197" s="604" t="s">
        <v>451</v>
      </c>
      <c r="AV197" s="604" t="s">
        <v>94</v>
      </c>
      <c r="AW197" s="604">
        <v>7</v>
      </c>
      <c r="AX197" s="604">
        <v>1087</v>
      </c>
      <c r="AY197" s="606">
        <v>6.4</v>
      </c>
      <c r="AZ197" s="604" t="s">
        <v>420</v>
      </c>
      <c r="BB197" s="536" t="str">
        <f t="shared" si="39"/>
        <v>AsianethbirthsWhanganui</v>
      </c>
      <c r="BC197" s="604">
        <v>2016</v>
      </c>
      <c r="BD197" s="604" t="s">
        <v>355</v>
      </c>
      <c r="BE197" s="604" t="s">
        <v>449</v>
      </c>
      <c r="BF197" s="604" t="s">
        <v>95</v>
      </c>
      <c r="BG197" s="604">
        <v>38</v>
      </c>
      <c r="BH197" s="604" t="s">
        <v>445</v>
      </c>
      <c r="BY197" s="553" t="str">
        <f t="shared" si="40"/>
        <v>20104500+bwtSIDS</v>
      </c>
      <c r="BZ197" s="604">
        <v>2010</v>
      </c>
      <c r="CA197" s="604" t="s">
        <v>432</v>
      </c>
      <c r="CB197" s="604" t="s">
        <v>447</v>
      </c>
      <c r="CC197" s="604">
        <v>0</v>
      </c>
      <c r="CD197" s="604" t="s">
        <v>32</v>
      </c>
      <c r="CF197" s="554" t="str">
        <f t="shared" si="41"/>
        <v>2016Asian30-34ageSUDI</v>
      </c>
      <c r="CG197" s="604">
        <v>2016</v>
      </c>
      <c r="CH197" s="604" t="s">
        <v>355</v>
      </c>
      <c r="CI197" s="604" t="s">
        <v>132</v>
      </c>
      <c r="CJ197" s="604" t="s">
        <v>453</v>
      </c>
      <c r="CK197" s="604">
        <v>0</v>
      </c>
      <c r="CL197" s="604" t="s">
        <v>33</v>
      </c>
      <c r="CV197" s="575"/>
    </row>
    <row r="198" spans="9:100">
      <c r="I198" s="578" t="str">
        <f t="shared" si="34"/>
        <v>2005sexMaleFetal</v>
      </c>
      <c r="J198" s="604">
        <v>2005</v>
      </c>
      <c r="K198" s="604" t="s">
        <v>451</v>
      </c>
      <c r="L198" s="604" t="s">
        <v>70</v>
      </c>
      <c r="M198" s="604">
        <v>212</v>
      </c>
      <c r="N198" s="604">
        <v>30279</v>
      </c>
      <c r="O198" s="604">
        <v>7</v>
      </c>
      <c r="P198" s="604" t="s">
        <v>47</v>
      </c>
      <c r="Q198" s="499"/>
      <c r="R198" s="502" t="str">
        <f t="shared" si="35"/>
        <v>2004birthsdepQuin 1</v>
      </c>
      <c r="S198" s="604">
        <v>2004</v>
      </c>
      <c r="T198" s="604" t="s">
        <v>445</v>
      </c>
      <c r="U198" s="604" t="s">
        <v>454</v>
      </c>
      <c r="V198" s="604" t="s">
        <v>421</v>
      </c>
      <c r="W198" s="604">
        <v>8248</v>
      </c>
      <c r="Y198" s="535" t="str">
        <f t="shared" si="36"/>
        <v>2016gestbwt&lt;28500-999fetal</v>
      </c>
      <c r="Z198" s="604">
        <v>2016</v>
      </c>
      <c r="AA198" s="604" t="s">
        <v>450</v>
      </c>
      <c r="AB198" s="604" t="s">
        <v>447</v>
      </c>
      <c r="AC198" s="604" t="s">
        <v>375</v>
      </c>
      <c r="AD198" s="604" t="s">
        <v>428</v>
      </c>
      <c r="AE198" s="604">
        <v>85</v>
      </c>
      <c r="AF198" s="604">
        <v>157</v>
      </c>
      <c r="AG198" s="604">
        <v>351.2</v>
      </c>
      <c r="AH198" s="604" t="s">
        <v>420</v>
      </c>
      <c r="AJ198" s="535" t="str">
        <f t="shared" si="37"/>
        <v>2016gestbwt&lt;28500-999</v>
      </c>
      <c r="AK198" s="604">
        <v>2016</v>
      </c>
      <c r="AL198" s="604" t="s">
        <v>450</v>
      </c>
      <c r="AM198" s="604" t="s">
        <v>447</v>
      </c>
      <c r="AN198" s="604" t="s">
        <v>375</v>
      </c>
      <c r="AO198" s="604" t="s">
        <v>428</v>
      </c>
      <c r="AP198" s="604">
        <v>157</v>
      </c>
      <c r="AR198" s="538" t="str">
        <f t="shared" si="38"/>
        <v>FemalesexfetalMidCentral</v>
      </c>
      <c r="AS198" s="604">
        <v>2016</v>
      </c>
      <c r="AT198" s="604" t="s">
        <v>71</v>
      </c>
      <c r="AU198" s="604" t="s">
        <v>451</v>
      </c>
      <c r="AV198" s="604" t="s">
        <v>94</v>
      </c>
      <c r="AW198" s="604">
        <v>4</v>
      </c>
      <c r="AX198" s="604">
        <v>1030</v>
      </c>
      <c r="AY198" s="606">
        <v>3.9</v>
      </c>
      <c r="AZ198" s="604" t="s">
        <v>420</v>
      </c>
      <c r="BB198" s="536" t="str">
        <f t="shared" si="39"/>
        <v>European or OtherethbirthsWhanganui</v>
      </c>
      <c r="BC198" s="604">
        <v>2016</v>
      </c>
      <c r="BD198" s="604" t="s">
        <v>356</v>
      </c>
      <c r="BE198" s="604" t="s">
        <v>449</v>
      </c>
      <c r="BF198" s="604" t="s">
        <v>95</v>
      </c>
      <c r="BG198" s="604">
        <v>345</v>
      </c>
      <c r="BH198" s="604" t="s">
        <v>445</v>
      </c>
      <c r="BY198" s="553" t="str">
        <f t="shared" si="40"/>
        <v>2010UnknownbwtSIDS</v>
      </c>
      <c r="BZ198" s="604">
        <v>2010</v>
      </c>
      <c r="CA198" s="604" t="s">
        <v>63</v>
      </c>
      <c r="CB198" s="604" t="s">
        <v>447</v>
      </c>
      <c r="CC198" s="604">
        <v>2</v>
      </c>
      <c r="CD198" s="604" t="s">
        <v>32</v>
      </c>
      <c r="CF198" s="554" t="str">
        <f t="shared" si="41"/>
        <v>2016European or Other30-34ageSUDI</v>
      </c>
      <c r="CG198" s="604">
        <v>2016</v>
      </c>
      <c r="CH198" s="604" t="s">
        <v>356</v>
      </c>
      <c r="CI198" s="604" t="s">
        <v>132</v>
      </c>
      <c r="CJ198" s="604" t="s">
        <v>453</v>
      </c>
      <c r="CK198" s="604">
        <v>1</v>
      </c>
      <c r="CL198" s="604" t="s">
        <v>33</v>
      </c>
      <c r="CV198" s="575"/>
    </row>
    <row r="199" spans="9:100">
      <c r="I199" s="578" t="str">
        <f t="shared" si="34"/>
        <v>2005sexFemaleFetal</v>
      </c>
      <c r="J199" s="604">
        <v>2005</v>
      </c>
      <c r="K199" s="604" t="s">
        <v>451</v>
      </c>
      <c r="L199" s="604" t="s">
        <v>71</v>
      </c>
      <c r="M199" s="604">
        <v>191</v>
      </c>
      <c r="N199" s="604">
        <v>28851</v>
      </c>
      <c r="O199" s="604">
        <v>6.6</v>
      </c>
      <c r="P199" s="604" t="s">
        <v>47</v>
      </c>
      <c r="Q199" s="499"/>
      <c r="R199" s="502" t="str">
        <f t="shared" si="35"/>
        <v>2004birthsdepQuin 2</v>
      </c>
      <c r="S199" s="604">
        <v>2004</v>
      </c>
      <c r="T199" s="604" t="s">
        <v>445</v>
      </c>
      <c r="U199" s="604" t="s">
        <v>454</v>
      </c>
      <c r="V199" s="604" t="s">
        <v>422</v>
      </c>
      <c r="W199" s="604">
        <v>8758</v>
      </c>
      <c r="Y199" s="535" t="str">
        <f t="shared" si="36"/>
        <v>2016gestbwt28-31500-999fetal</v>
      </c>
      <c r="Z199" s="604">
        <v>2016</v>
      </c>
      <c r="AA199" s="604" t="s">
        <v>450</v>
      </c>
      <c r="AB199" s="604" t="s">
        <v>447</v>
      </c>
      <c r="AC199" s="604" t="s">
        <v>395</v>
      </c>
      <c r="AD199" s="604" t="s">
        <v>428</v>
      </c>
      <c r="AE199" s="604">
        <v>11</v>
      </c>
      <c r="AF199" s="604">
        <v>37</v>
      </c>
      <c r="AG199" s="604">
        <v>229.2</v>
      </c>
      <c r="AH199" s="604" t="s">
        <v>420</v>
      </c>
      <c r="AJ199" s="535" t="str">
        <f t="shared" si="37"/>
        <v>2016gestbwt28-31500-999</v>
      </c>
      <c r="AK199" s="604">
        <v>2016</v>
      </c>
      <c r="AL199" s="604" t="s">
        <v>450</v>
      </c>
      <c r="AM199" s="604" t="s">
        <v>447</v>
      </c>
      <c r="AN199" s="604" t="s">
        <v>395</v>
      </c>
      <c r="AO199" s="604" t="s">
        <v>428</v>
      </c>
      <c r="AP199" s="604">
        <v>37</v>
      </c>
      <c r="AR199" s="538" t="str">
        <f t="shared" si="38"/>
        <v>MalesexfetalWhanganui</v>
      </c>
      <c r="AS199" s="604">
        <v>2016</v>
      </c>
      <c r="AT199" s="604" t="s">
        <v>70</v>
      </c>
      <c r="AU199" s="604" t="s">
        <v>451</v>
      </c>
      <c r="AV199" s="604" t="s">
        <v>95</v>
      </c>
      <c r="AW199" s="604">
        <v>2</v>
      </c>
      <c r="AX199" s="604">
        <v>430</v>
      </c>
      <c r="AY199" s="606">
        <v>4.7</v>
      </c>
      <c r="AZ199" s="604" t="s">
        <v>420</v>
      </c>
      <c r="BB199" s="536" t="str">
        <f t="shared" si="39"/>
        <v>MaoriethbirthsCapital &amp; Coast</v>
      </c>
      <c r="BC199" s="604">
        <v>2016</v>
      </c>
      <c r="BD199" s="604" t="s">
        <v>129</v>
      </c>
      <c r="BE199" s="604" t="s">
        <v>449</v>
      </c>
      <c r="BF199" s="604" t="s">
        <v>96</v>
      </c>
      <c r="BG199" s="604">
        <v>678</v>
      </c>
      <c r="BH199" s="604" t="s">
        <v>445</v>
      </c>
      <c r="BY199" s="553" t="str">
        <f t="shared" si="40"/>
        <v>2011&lt;500bwtSIDS</v>
      </c>
      <c r="BZ199" s="604">
        <v>2011</v>
      </c>
      <c r="CA199" s="604" t="s">
        <v>427</v>
      </c>
      <c r="CB199" s="604" t="s">
        <v>447</v>
      </c>
      <c r="CC199" s="604">
        <v>0</v>
      </c>
      <c r="CD199" s="604" t="s">
        <v>32</v>
      </c>
      <c r="CF199" s="554" t="str">
        <f t="shared" si="41"/>
        <v>2016Maori30-34ageSUDI</v>
      </c>
      <c r="CG199" s="604">
        <v>2016</v>
      </c>
      <c r="CH199" s="604" t="s">
        <v>129</v>
      </c>
      <c r="CI199" s="604" t="s">
        <v>132</v>
      </c>
      <c r="CJ199" s="604" t="s">
        <v>453</v>
      </c>
      <c r="CK199" s="604">
        <v>6</v>
      </c>
      <c r="CL199" s="604" t="s">
        <v>33</v>
      </c>
      <c r="CV199" s="575"/>
    </row>
    <row r="200" spans="9:100">
      <c r="I200" s="578" t="str">
        <f t="shared" si="34"/>
        <v>2005sexInd/UnkFetal</v>
      </c>
      <c r="J200" s="604">
        <v>2005</v>
      </c>
      <c r="K200" s="604" t="s">
        <v>451</v>
      </c>
      <c r="L200" s="604" t="s">
        <v>458</v>
      </c>
      <c r="M200" s="604">
        <v>0</v>
      </c>
      <c r="N200" s="604">
        <v>0</v>
      </c>
      <c r="O200" s="604" t="s">
        <v>119</v>
      </c>
      <c r="P200" s="604" t="s">
        <v>47</v>
      </c>
      <c r="Q200" s="499"/>
      <c r="R200" s="502" t="str">
        <f t="shared" si="35"/>
        <v>2004birthsdepQuin 3</v>
      </c>
      <c r="S200" s="604">
        <v>2004</v>
      </c>
      <c r="T200" s="604" t="s">
        <v>445</v>
      </c>
      <c r="U200" s="604" t="s">
        <v>454</v>
      </c>
      <c r="V200" s="604" t="s">
        <v>423</v>
      </c>
      <c r="W200" s="604">
        <v>10519</v>
      </c>
      <c r="Y200" s="535" t="str">
        <f t="shared" si="36"/>
        <v>2016gestbwt37-41500-999fetal</v>
      </c>
      <c r="Z200" s="604">
        <v>2016</v>
      </c>
      <c r="AA200" s="604" t="s">
        <v>450</v>
      </c>
      <c r="AB200" s="604" t="s">
        <v>447</v>
      </c>
      <c r="AC200" s="604" t="s">
        <v>137</v>
      </c>
      <c r="AD200" s="604" t="s">
        <v>428</v>
      </c>
      <c r="AE200" s="604">
        <v>0</v>
      </c>
      <c r="AF200" s="604">
        <v>2</v>
      </c>
      <c r="AG200" s="604">
        <v>0</v>
      </c>
      <c r="AH200" s="604" t="s">
        <v>420</v>
      </c>
      <c r="AJ200" s="535" t="str">
        <f t="shared" si="37"/>
        <v>2016gestbwt37-41500-999</v>
      </c>
      <c r="AK200" s="604">
        <v>2016</v>
      </c>
      <c r="AL200" s="604" t="s">
        <v>450</v>
      </c>
      <c r="AM200" s="604" t="s">
        <v>447</v>
      </c>
      <c r="AN200" s="604" t="s">
        <v>137</v>
      </c>
      <c r="AO200" s="604" t="s">
        <v>428</v>
      </c>
      <c r="AP200" s="604">
        <v>2</v>
      </c>
      <c r="AR200" s="538" t="str">
        <f t="shared" si="38"/>
        <v>FemalesexfetalWhanganui</v>
      </c>
      <c r="AS200" s="604">
        <v>2016</v>
      </c>
      <c r="AT200" s="604" t="s">
        <v>71</v>
      </c>
      <c r="AU200" s="604" t="s">
        <v>451</v>
      </c>
      <c r="AV200" s="604" t="s">
        <v>95</v>
      </c>
      <c r="AW200" s="604">
        <v>2</v>
      </c>
      <c r="AX200" s="604">
        <v>417</v>
      </c>
      <c r="AY200" s="606">
        <v>4.8</v>
      </c>
      <c r="AZ200" s="604" t="s">
        <v>420</v>
      </c>
      <c r="BB200" s="536" t="str">
        <f t="shared" si="39"/>
        <v>Pacific peoplesethbirthsCapital &amp; Coast</v>
      </c>
      <c r="BC200" s="604">
        <v>2016</v>
      </c>
      <c r="BD200" s="604" t="s">
        <v>320</v>
      </c>
      <c r="BE200" s="604" t="s">
        <v>449</v>
      </c>
      <c r="BF200" s="604" t="s">
        <v>96</v>
      </c>
      <c r="BG200" s="604">
        <v>358</v>
      </c>
      <c r="BH200" s="604" t="s">
        <v>445</v>
      </c>
      <c r="BY200" s="553" t="str">
        <f t="shared" si="40"/>
        <v>2011500-999bwtSIDS</v>
      </c>
      <c r="BZ200" s="604">
        <v>2011</v>
      </c>
      <c r="CA200" s="604" t="s">
        <v>428</v>
      </c>
      <c r="CB200" s="604" t="s">
        <v>447</v>
      </c>
      <c r="CC200" s="604">
        <v>0</v>
      </c>
      <c r="CD200" s="604" t="s">
        <v>32</v>
      </c>
      <c r="CF200" s="554" t="str">
        <f t="shared" si="41"/>
        <v>2016Pacific peoples30-34ageSUDI</v>
      </c>
      <c r="CG200" s="604">
        <v>2016</v>
      </c>
      <c r="CH200" s="604" t="s">
        <v>320</v>
      </c>
      <c r="CI200" s="604" t="s">
        <v>132</v>
      </c>
      <c r="CJ200" s="604" t="s">
        <v>453</v>
      </c>
      <c r="CK200" s="604">
        <v>0</v>
      </c>
      <c r="CL200" s="604" t="s">
        <v>33</v>
      </c>
      <c r="CV200" s="575"/>
    </row>
    <row r="201" spans="9:100">
      <c r="I201" s="578" t="str">
        <f t="shared" si="34"/>
        <v>2006sexMaleFetal</v>
      </c>
      <c r="J201" s="604">
        <v>2006</v>
      </c>
      <c r="K201" s="604" t="s">
        <v>451</v>
      </c>
      <c r="L201" s="604" t="s">
        <v>70</v>
      </c>
      <c r="M201" s="604">
        <v>216</v>
      </c>
      <c r="N201" s="604">
        <v>31024</v>
      </c>
      <c r="O201" s="604">
        <v>7</v>
      </c>
      <c r="P201" s="604" t="s">
        <v>47</v>
      </c>
      <c r="Q201" s="499"/>
      <c r="R201" s="502" t="str">
        <f t="shared" si="35"/>
        <v>2004birthsdepQuin 4</v>
      </c>
      <c r="S201" s="604">
        <v>2004</v>
      </c>
      <c r="T201" s="604" t="s">
        <v>445</v>
      </c>
      <c r="U201" s="604" t="s">
        <v>454</v>
      </c>
      <c r="V201" s="604" t="s">
        <v>424</v>
      </c>
      <c r="W201" s="604">
        <v>12617</v>
      </c>
      <c r="Y201" s="535" t="str">
        <f t="shared" si="36"/>
        <v>2016gestbwt&lt;281000-1499fetal</v>
      </c>
      <c r="Z201" s="604">
        <v>2016</v>
      </c>
      <c r="AA201" s="604" t="s">
        <v>450</v>
      </c>
      <c r="AB201" s="604" t="s">
        <v>447</v>
      </c>
      <c r="AC201" s="604" t="s">
        <v>375</v>
      </c>
      <c r="AD201" s="604" t="s">
        <v>429</v>
      </c>
      <c r="AE201" s="604">
        <v>7</v>
      </c>
      <c r="AF201" s="604">
        <v>56</v>
      </c>
      <c r="AG201" s="604">
        <v>111.1</v>
      </c>
      <c r="AH201" s="604" t="s">
        <v>420</v>
      </c>
      <c r="AJ201" s="535" t="str">
        <f t="shared" si="37"/>
        <v>2016gestbwt&lt;281000-1499</v>
      </c>
      <c r="AK201" s="604">
        <v>2016</v>
      </c>
      <c r="AL201" s="604" t="s">
        <v>450</v>
      </c>
      <c r="AM201" s="604" t="s">
        <v>447</v>
      </c>
      <c r="AN201" s="604" t="s">
        <v>375</v>
      </c>
      <c r="AO201" s="604" t="s">
        <v>429</v>
      </c>
      <c r="AP201" s="604">
        <v>56</v>
      </c>
      <c r="AR201" s="538" t="str">
        <f t="shared" si="38"/>
        <v>MalesexfetalCapital &amp; Coast</v>
      </c>
      <c r="AS201" s="604">
        <v>2016</v>
      </c>
      <c r="AT201" s="604" t="s">
        <v>70</v>
      </c>
      <c r="AU201" s="604" t="s">
        <v>451</v>
      </c>
      <c r="AV201" s="604" t="s">
        <v>96</v>
      </c>
      <c r="AW201" s="604">
        <v>11</v>
      </c>
      <c r="AX201" s="604">
        <v>1776</v>
      </c>
      <c r="AY201" s="606">
        <v>6.2</v>
      </c>
      <c r="AZ201" s="604" t="s">
        <v>420</v>
      </c>
      <c r="BB201" s="536" t="str">
        <f t="shared" si="39"/>
        <v>AsianethbirthsCapital &amp; Coast</v>
      </c>
      <c r="BC201" s="604">
        <v>2016</v>
      </c>
      <c r="BD201" s="604" t="s">
        <v>355</v>
      </c>
      <c r="BE201" s="604" t="s">
        <v>449</v>
      </c>
      <c r="BF201" s="604" t="s">
        <v>96</v>
      </c>
      <c r="BG201" s="604">
        <v>678</v>
      </c>
      <c r="BH201" s="604" t="s">
        <v>445</v>
      </c>
      <c r="BY201" s="553" t="str">
        <f t="shared" si="40"/>
        <v>20111000-1499bwtSIDS</v>
      </c>
      <c r="BZ201" s="604">
        <v>2011</v>
      </c>
      <c r="CA201" s="604" t="s">
        <v>429</v>
      </c>
      <c r="CB201" s="604" t="s">
        <v>447</v>
      </c>
      <c r="CC201" s="604">
        <v>0</v>
      </c>
      <c r="CD201" s="604" t="s">
        <v>32</v>
      </c>
      <c r="CF201" s="554" t="str">
        <f t="shared" si="41"/>
        <v>2016Asian35-39ageSUDI</v>
      </c>
      <c r="CG201" s="604">
        <v>2016</v>
      </c>
      <c r="CH201" s="604" t="s">
        <v>355</v>
      </c>
      <c r="CI201" s="604" t="s">
        <v>133</v>
      </c>
      <c r="CJ201" s="604" t="s">
        <v>453</v>
      </c>
      <c r="CK201" s="604">
        <v>0</v>
      </c>
      <c r="CL201" s="604" t="s">
        <v>33</v>
      </c>
      <c r="CV201" s="575"/>
    </row>
    <row r="202" spans="9:100">
      <c r="I202" s="578" t="str">
        <f t="shared" si="34"/>
        <v>2006sexFemaleFetal</v>
      </c>
      <c r="J202" s="604">
        <v>2006</v>
      </c>
      <c r="K202" s="604" t="s">
        <v>451</v>
      </c>
      <c r="L202" s="604" t="s">
        <v>71</v>
      </c>
      <c r="M202" s="604">
        <v>193</v>
      </c>
      <c r="N202" s="604">
        <v>29659</v>
      </c>
      <c r="O202" s="604">
        <v>6.5</v>
      </c>
      <c r="P202" s="604" t="s">
        <v>47</v>
      </c>
      <c r="Q202" s="499"/>
      <c r="R202" s="502" t="str">
        <f t="shared" si="35"/>
        <v>2004birthsdepQuin 5</v>
      </c>
      <c r="S202" s="604">
        <v>2004</v>
      </c>
      <c r="T202" s="604" t="s">
        <v>445</v>
      </c>
      <c r="U202" s="604" t="s">
        <v>454</v>
      </c>
      <c r="V202" s="604" t="s">
        <v>425</v>
      </c>
      <c r="W202" s="604">
        <v>14784</v>
      </c>
      <c r="Y202" s="535" t="str">
        <f t="shared" si="36"/>
        <v>2016gestbwt28-311000-1499fetal</v>
      </c>
      <c r="Z202" s="604">
        <v>2016</v>
      </c>
      <c r="AA202" s="604" t="s">
        <v>450</v>
      </c>
      <c r="AB202" s="604" t="s">
        <v>447</v>
      </c>
      <c r="AC202" s="604" t="s">
        <v>395</v>
      </c>
      <c r="AD202" s="604" t="s">
        <v>429</v>
      </c>
      <c r="AE202" s="604">
        <v>12</v>
      </c>
      <c r="AF202" s="604">
        <v>198</v>
      </c>
      <c r="AG202" s="604">
        <v>57.1</v>
      </c>
      <c r="AH202" s="604" t="s">
        <v>420</v>
      </c>
      <c r="AJ202" s="535" t="str">
        <f t="shared" si="37"/>
        <v>2016gestbwt28-311000-1499</v>
      </c>
      <c r="AK202" s="604">
        <v>2016</v>
      </c>
      <c r="AL202" s="604" t="s">
        <v>450</v>
      </c>
      <c r="AM202" s="604" t="s">
        <v>447</v>
      </c>
      <c r="AN202" s="604" t="s">
        <v>395</v>
      </c>
      <c r="AO202" s="604" t="s">
        <v>429</v>
      </c>
      <c r="AP202" s="604">
        <v>198</v>
      </c>
      <c r="AR202" s="538" t="str">
        <f t="shared" si="38"/>
        <v>FemalesexfetalCapital &amp; Coast</v>
      </c>
      <c r="AS202" s="604">
        <v>2016</v>
      </c>
      <c r="AT202" s="604" t="s">
        <v>71</v>
      </c>
      <c r="AU202" s="604" t="s">
        <v>451</v>
      </c>
      <c r="AV202" s="604" t="s">
        <v>96</v>
      </c>
      <c r="AW202" s="604">
        <v>7</v>
      </c>
      <c r="AX202" s="604">
        <v>1769</v>
      </c>
      <c r="AY202" s="606">
        <v>4</v>
      </c>
      <c r="AZ202" s="604" t="s">
        <v>420</v>
      </c>
      <c r="BB202" s="536" t="str">
        <f t="shared" si="39"/>
        <v>European or OtherethbirthsCapital &amp; Coast</v>
      </c>
      <c r="BC202" s="604">
        <v>2016</v>
      </c>
      <c r="BD202" s="604" t="s">
        <v>356</v>
      </c>
      <c r="BE202" s="604" t="s">
        <v>449</v>
      </c>
      <c r="BF202" s="604" t="s">
        <v>96</v>
      </c>
      <c r="BG202" s="604">
        <v>1813</v>
      </c>
      <c r="BH202" s="604" t="s">
        <v>445</v>
      </c>
      <c r="BY202" s="553" t="str">
        <f t="shared" si="40"/>
        <v>20111500-2499bwtSIDS</v>
      </c>
      <c r="BZ202" s="604">
        <v>2011</v>
      </c>
      <c r="CA202" s="604" t="s">
        <v>430</v>
      </c>
      <c r="CB202" s="604" t="s">
        <v>447</v>
      </c>
      <c r="CC202" s="604">
        <v>6</v>
      </c>
      <c r="CD202" s="604" t="s">
        <v>32</v>
      </c>
      <c r="CF202" s="554" t="str">
        <f t="shared" si="41"/>
        <v>2016European or Other35-39ageSUDI</v>
      </c>
      <c r="CG202" s="604">
        <v>2016</v>
      </c>
      <c r="CH202" s="604" t="s">
        <v>356</v>
      </c>
      <c r="CI202" s="604" t="s">
        <v>133</v>
      </c>
      <c r="CJ202" s="604" t="s">
        <v>453</v>
      </c>
      <c r="CK202" s="604">
        <v>0</v>
      </c>
      <c r="CL202" s="604" t="s">
        <v>33</v>
      </c>
      <c r="CV202" s="575"/>
    </row>
    <row r="203" spans="9:100">
      <c r="I203" s="578" t="str">
        <f t="shared" si="34"/>
        <v>2006sexInd/UnkFetal</v>
      </c>
      <c r="J203" s="604">
        <v>2006</v>
      </c>
      <c r="K203" s="604" t="s">
        <v>451</v>
      </c>
      <c r="L203" s="604" t="s">
        <v>458</v>
      </c>
      <c r="M203" s="604">
        <v>0</v>
      </c>
      <c r="N203" s="604">
        <v>0</v>
      </c>
      <c r="O203" s="604" t="s">
        <v>119</v>
      </c>
      <c r="P203" s="604" t="s">
        <v>47</v>
      </c>
      <c r="Q203" s="499"/>
      <c r="R203" s="502" t="str">
        <f t="shared" si="35"/>
        <v>2004birthsdepQuin 9</v>
      </c>
      <c r="S203" s="604">
        <v>2004</v>
      </c>
      <c r="T203" s="604" t="s">
        <v>445</v>
      </c>
      <c r="U203" s="604" t="s">
        <v>454</v>
      </c>
      <c r="V203" s="604" t="s">
        <v>426</v>
      </c>
      <c r="W203" s="604">
        <v>3797</v>
      </c>
      <c r="Y203" s="535" t="str">
        <f t="shared" si="36"/>
        <v>2016gestbwt32-361000-1499fetal</v>
      </c>
      <c r="Z203" s="604">
        <v>2016</v>
      </c>
      <c r="AA203" s="604" t="s">
        <v>450</v>
      </c>
      <c r="AB203" s="604" t="s">
        <v>447</v>
      </c>
      <c r="AC203" s="604" t="s">
        <v>136</v>
      </c>
      <c r="AD203" s="604" t="s">
        <v>429</v>
      </c>
      <c r="AE203" s="604">
        <v>6</v>
      </c>
      <c r="AF203" s="604">
        <v>72</v>
      </c>
      <c r="AG203" s="604">
        <v>76.900000000000006</v>
      </c>
      <c r="AH203" s="604" t="s">
        <v>420</v>
      </c>
      <c r="AJ203" s="535" t="str">
        <f t="shared" si="37"/>
        <v>2016gestbwt32-361000-1499</v>
      </c>
      <c r="AK203" s="604">
        <v>2016</v>
      </c>
      <c r="AL203" s="604" t="s">
        <v>450</v>
      </c>
      <c r="AM203" s="604" t="s">
        <v>447</v>
      </c>
      <c r="AN203" s="604" t="s">
        <v>136</v>
      </c>
      <c r="AO203" s="604" t="s">
        <v>429</v>
      </c>
      <c r="AP203" s="604">
        <v>72</v>
      </c>
      <c r="AR203" s="538" t="str">
        <f t="shared" si="38"/>
        <v>MalesexfetalHutt Valley</v>
      </c>
      <c r="AS203" s="604">
        <v>2016</v>
      </c>
      <c r="AT203" s="604" t="s">
        <v>70</v>
      </c>
      <c r="AU203" s="604" t="s">
        <v>451</v>
      </c>
      <c r="AV203" s="604" t="s">
        <v>97</v>
      </c>
      <c r="AW203" s="604">
        <v>4</v>
      </c>
      <c r="AX203" s="604">
        <v>1041</v>
      </c>
      <c r="AY203" s="606">
        <v>3.8</v>
      </c>
      <c r="AZ203" s="604" t="s">
        <v>420</v>
      </c>
      <c r="BB203" s="536" t="str">
        <f t="shared" si="39"/>
        <v>MaoriethbirthsHutt Valley</v>
      </c>
      <c r="BC203" s="604">
        <v>2016</v>
      </c>
      <c r="BD203" s="604" t="s">
        <v>129</v>
      </c>
      <c r="BE203" s="604" t="s">
        <v>449</v>
      </c>
      <c r="BF203" s="604" t="s">
        <v>97</v>
      </c>
      <c r="BG203" s="604">
        <v>617</v>
      </c>
      <c r="BH203" s="604" t="s">
        <v>445</v>
      </c>
      <c r="BY203" s="553" t="str">
        <f t="shared" si="40"/>
        <v>20112500-4499bwtSIDS</v>
      </c>
      <c r="BZ203" s="604">
        <v>2011</v>
      </c>
      <c r="CA203" s="604" t="s">
        <v>431</v>
      </c>
      <c r="CB203" s="604" t="s">
        <v>447</v>
      </c>
      <c r="CC203" s="604">
        <v>20</v>
      </c>
      <c r="CD203" s="604" t="s">
        <v>32</v>
      </c>
      <c r="CF203" s="554" t="str">
        <f t="shared" si="41"/>
        <v>2016Maori35-39ageSUDI</v>
      </c>
      <c r="CG203" s="604">
        <v>2016</v>
      </c>
      <c r="CH203" s="604" t="s">
        <v>129</v>
      </c>
      <c r="CI203" s="604" t="s">
        <v>133</v>
      </c>
      <c r="CJ203" s="604" t="s">
        <v>453</v>
      </c>
      <c r="CK203" s="604">
        <v>1</v>
      </c>
      <c r="CL203" s="604" t="s">
        <v>33</v>
      </c>
      <c r="CV203" s="575"/>
    </row>
    <row r="204" spans="9:100">
      <c r="I204" s="578" t="str">
        <f t="shared" si="34"/>
        <v>2007sexMaleFetal</v>
      </c>
      <c r="J204" s="604">
        <v>2007</v>
      </c>
      <c r="K204" s="604" t="s">
        <v>451</v>
      </c>
      <c r="L204" s="604" t="s">
        <v>70</v>
      </c>
      <c r="M204" s="604">
        <v>233</v>
      </c>
      <c r="N204" s="604">
        <v>33802</v>
      </c>
      <c r="O204" s="604">
        <v>6.9</v>
      </c>
      <c r="P204" s="604" t="s">
        <v>47</v>
      </c>
      <c r="Q204" s="499"/>
      <c r="R204" s="502" t="str">
        <f t="shared" si="35"/>
        <v>2005birthsdepQuin 1</v>
      </c>
      <c r="S204" s="604">
        <v>2005</v>
      </c>
      <c r="T204" s="604" t="s">
        <v>445</v>
      </c>
      <c r="U204" s="604" t="s">
        <v>454</v>
      </c>
      <c r="V204" s="604" t="s">
        <v>421</v>
      </c>
      <c r="W204" s="604">
        <v>8469</v>
      </c>
      <c r="Y204" s="535" t="str">
        <f t="shared" si="36"/>
        <v>2016gestbwt37-411000-1499fetal</v>
      </c>
      <c r="Z204" s="604">
        <v>2016</v>
      </c>
      <c r="AA204" s="604" t="s">
        <v>450</v>
      </c>
      <c r="AB204" s="604" t="s">
        <v>447</v>
      </c>
      <c r="AC204" s="604" t="s">
        <v>137</v>
      </c>
      <c r="AD204" s="604" t="s">
        <v>429</v>
      </c>
      <c r="AE204" s="604">
        <v>1</v>
      </c>
      <c r="AF204" s="604">
        <v>5</v>
      </c>
      <c r="AG204" s="604">
        <v>166.7</v>
      </c>
      <c r="AH204" s="604" t="s">
        <v>420</v>
      </c>
      <c r="AJ204" s="535" t="str">
        <f t="shared" si="37"/>
        <v>2016gestbwt37-411000-1499</v>
      </c>
      <c r="AK204" s="604">
        <v>2016</v>
      </c>
      <c r="AL204" s="604" t="s">
        <v>450</v>
      </c>
      <c r="AM204" s="604" t="s">
        <v>447</v>
      </c>
      <c r="AN204" s="604" t="s">
        <v>137</v>
      </c>
      <c r="AO204" s="604" t="s">
        <v>429</v>
      </c>
      <c r="AP204" s="604">
        <v>5</v>
      </c>
      <c r="AR204" s="538" t="str">
        <f t="shared" si="38"/>
        <v>FemalesexfetalHutt Valley</v>
      </c>
      <c r="AS204" s="604">
        <v>2016</v>
      </c>
      <c r="AT204" s="604" t="s">
        <v>71</v>
      </c>
      <c r="AU204" s="604" t="s">
        <v>451</v>
      </c>
      <c r="AV204" s="604" t="s">
        <v>97</v>
      </c>
      <c r="AW204" s="604">
        <v>3</v>
      </c>
      <c r="AX204" s="604">
        <v>970</v>
      </c>
      <c r="AY204" s="606">
        <v>3.1</v>
      </c>
      <c r="AZ204" s="604" t="s">
        <v>420</v>
      </c>
      <c r="BB204" s="536" t="str">
        <f t="shared" si="39"/>
        <v>Pacific peoplesethbirthsHutt Valley</v>
      </c>
      <c r="BC204" s="604">
        <v>2016</v>
      </c>
      <c r="BD204" s="604" t="s">
        <v>320</v>
      </c>
      <c r="BE204" s="604" t="s">
        <v>449</v>
      </c>
      <c r="BF204" s="604" t="s">
        <v>97</v>
      </c>
      <c r="BG204" s="604">
        <v>190</v>
      </c>
      <c r="BH204" s="604" t="s">
        <v>445</v>
      </c>
      <c r="BY204" s="553" t="str">
        <f t="shared" si="40"/>
        <v>20114500+bwtSIDS</v>
      </c>
      <c r="BZ204" s="604">
        <v>2011</v>
      </c>
      <c r="CA204" s="604" t="s">
        <v>432</v>
      </c>
      <c r="CB204" s="604" t="s">
        <v>447</v>
      </c>
      <c r="CC204" s="604">
        <v>0</v>
      </c>
      <c r="CD204" s="604" t="s">
        <v>32</v>
      </c>
      <c r="CF204" s="554" t="str">
        <f t="shared" si="41"/>
        <v>2016Pacific peoples35-39ageSUDI</v>
      </c>
      <c r="CG204" s="604">
        <v>2016</v>
      </c>
      <c r="CH204" s="604" t="s">
        <v>320</v>
      </c>
      <c r="CI204" s="604" t="s">
        <v>133</v>
      </c>
      <c r="CJ204" s="604" t="s">
        <v>453</v>
      </c>
      <c r="CK204" s="604">
        <v>1</v>
      </c>
      <c r="CL204" s="604" t="s">
        <v>33</v>
      </c>
      <c r="CV204" s="575"/>
    </row>
    <row r="205" spans="9:100">
      <c r="I205" s="578" t="str">
        <f t="shared" si="34"/>
        <v>2007sexFemaleFetal</v>
      </c>
      <c r="J205" s="604">
        <v>2007</v>
      </c>
      <c r="K205" s="604" t="s">
        <v>451</v>
      </c>
      <c r="L205" s="604" t="s">
        <v>71</v>
      </c>
      <c r="M205" s="604">
        <v>236</v>
      </c>
      <c r="N205" s="604">
        <v>31788</v>
      </c>
      <c r="O205" s="604">
        <v>7.4</v>
      </c>
      <c r="P205" s="604" t="s">
        <v>47</v>
      </c>
      <c r="Q205" s="499"/>
      <c r="R205" s="502" t="str">
        <f t="shared" si="35"/>
        <v>2005birthsdepQuin 2</v>
      </c>
      <c r="S205" s="604">
        <v>2005</v>
      </c>
      <c r="T205" s="604" t="s">
        <v>445</v>
      </c>
      <c r="U205" s="604" t="s">
        <v>454</v>
      </c>
      <c r="V205" s="604" t="s">
        <v>422</v>
      </c>
      <c r="W205" s="604">
        <v>8862</v>
      </c>
      <c r="Y205" s="535" t="str">
        <f t="shared" si="36"/>
        <v>2016gestbwt&lt;281500-2499fetal</v>
      </c>
      <c r="Z205" s="604">
        <v>2016</v>
      </c>
      <c r="AA205" s="604" t="s">
        <v>450</v>
      </c>
      <c r="AB205" s="604" t="s">
        <v>447</v>
      </c>
      <c r="AC205" s="604" t="s">
        <v>375</v>
      </c>
      <c r="AD205" s="604" t="s">
        <v>430</v>
      </c>
      <c r="AE205" s="604">
        <v>0</v>
      </c>
      <c r="AF205" s="604">
        <v>3</v>
      </c>
      <c r="AG205" s="604">
        <v>0</v>
      </c>
      <c r="AH205" s="604" t="s">
        <v>420</v>
      </c>
      <c r="AJ205" s="535" t="str">
        <f t="shared" si="37"/>
        <v>2016gestbwt&lt;281500-2499</v>
      </c>
      <c r="AK205" s="604">
        <v>2016</v>
      </c>
      <c r="AL205" s="604" t="s">
        <v>450</v>
      </c>
      <c r="AM205" s="604" t="s">
        <v>447</v>
      </c>
      <c r="AN205" s="604" t="s">
        <v>375</v>
      </c>
      <c r="AO205" s="604" t="s">
        <v>430</v>
      </c>
      <c r="AP205" s="604">
        <v>3</v>
      </c>
      <c r="AR205" s="538" t="str">
        <f t="shared" si="38"/>
        <v>MalesexfetalWairarapa</v>
      </c>
      <c r="AS205" s="604">
        <v>2016</v>
      </c>
      <c r="AT205" s="604" t="s">
        <v>70</v>
      </c>
      <c r="AU205" s="604" t="s">
        <v>451</v>
      </c>
      <c r="AV205" s="604" t="s">
        <v>98</v>
      </c>
      <c r="AW205" s="604">
        <v>3</v>
      </c>
      <c r="AX205" s="604">
        <v>230</v>
      </c>
      <c r="AY205" s="606">
        <v>13</v>
      </c>
      <c r="AZ205" s="604" t="s">
        <v>420</v>
      </c>
      <c r="BB205" s="536" t="str">
        <f t="shared" si="39"/>
        <v>AsianethbirthsHutt Valley</v>
      </c>
      <c r="BC205" s="604">
        <v>2016</v>
      </c>
      <c r="BD205" s="604" t="s">
        <v>355</v>
      </c>
      <c r="BE205" s="604" t="s">
        <v>449</v>
      </c>
      <c r="BF205" s="604" t="s">
        <v>97</v>
      </c>
      <c r="BG205" s="604">
        <v>313</v>
      </c>
      <c r="BH205" s="604" t="s">
        <v>445</v>
      </c>
      <c r="BY205" s="553" t="str">
        <f t="shared" si="40"/>
        <v>2011UnknownbwtSIDS</v>
      </c>
      <c r="BZ205" s="604">
        <v>2011</v>
      </c>
      <c r="CA205" s="604" t="s">
        <v>63</v>
      </c>
      <c r="CB205" s="604" t="s">
        <v>447</v>
      </c>
      <c r="CC205" s="604">
        <v>0</v>
      </c>
      <c r="CD205" s="604" t="s">
        <v>32</v>
      </c>
      <c r="CF205" s="554" t="str">
        <f t="shared" si="41"/>
        <v>2016Asian40+ageSUDI</v>
      </c>
      <c r="CG205" s="604">
        <v>2016</v>
      </c>
      <c r="CH205" s="604" t="s">
        <v>355</v>
      </c>
      <c r="CI205" s="604" t="s">
        <v>134</v>
      </c>
      <c r="CJ205" s="604" t="s">
        <v>453</v>
      </c>
      <c r="CK205" s="604">
        <v>0</v>
      </c>
      <c r="CL205" s="604" t="s">
        <v>33</v>
      </c>
      <c r="CV205" s="575"/>
    </row>
    <row r="206" spans="9:100">
      <c r="I206" s="578" t="str">
        <f t="shared" si="34"/>
        <v>2007sexInd/UnkFetal</v>
      </c>
      <c r="J206" s="604">
        <v>2007</v>
      </c>
      <c r="K206" s="604" t="s">
        <v>451</v>
      </c>
      <c r="L206" s="604" t="s">
        <v>458</v>
      </c>
      <c r="M206" s="604">
        <v>1</v>
      </c>
      <c r="N206" s="604">
        <v>1</v>
      </c>
      <c r="O206" s="604" t="s">
        <v>119</v>
      </c>
      <c r="P206" s="604" t="s">
        <v>47</v>
      </c>
      <c r="Q206" s="499"/>
      <c r="R206" s="502" t="str">
        <f t="shared" si="35"/>
        <v>2005birthsdepQuin 3</v>
      </c>
      <c r="S206" s="604">
        <v>2005</v>
      </c>
      <c r="T206" s="604" t="s">
        <v>445</v>
      </c>
      <c r="U206" s="604" t="s">
        <v>454</v>
      </c>
      <c r="V206" s="604" t="s">
        <v>423</v>
      </c>
      <c r="W206" s="604">
        <v>10417</v>
      </c>
      <c r="Y206" s="535" t="str">
        <f t="shared" si="36"/>
        <v>2016gestbwt28-311500-2499fetal</v>
      </c>
      <c r="Z206" s="604">
        <v>2016</v>
      </c>
      <c r="AA206" s="604" t="s">
        <v>450</v>
      </c>
      <c r="AB206" s="604" t="s">
        <v>447</v>
      </c>
      <c r="AC206" s="604" t="s">
        <v>395</v>
      </c>
      <c r="AD206" s="604" t="s">
        <v>430</v>
      </c>
      <c r="AE206" s="604">
        <v>8</v>
      </c>
      <c r="AF206" s="604">
        <v>167</v>
      </c>
      <c r="AG206" s="604">
        <v>45.7</v>
      </c>
      <c r="AH206" s="604" t="s">
        <v>420</v>
      </c>
      <c r="AJ206" s="535" t="str">
        <f t="shared" si="37"/>
        <v>2016gestbwt28-311500-2499</v>
      </c>
      <c r="AK206" s="604">
        <v>2016</v>
      </c>
      <c r="AL206" s="604" t="s">
        <v>450</v>
      </c>
      <c r="AM206" s="604" t="s">
        <v>447</v>
      </c>
      <c r="AN206" s="604" t="s">
        <v>395</v>
      </c>
      <c r="AO206" s="604" t="s">
        <v>430</v>
      </c>
      <c r="AP206" s="604">
        <v>167</v>
      </c>
      <c r="AR206" s="538" t="str">
        <f t="shared" si="38"/>
        <v>FemalesexfetalWairarapa</v>
      </c>
      <c r="AS206" s="604">
        <v>2016</v>
      </c>
      <c r="AT206" s="604" t="s">
        <v>71</v>
      </c>
      <c r="AU206" s="604" t="s">
        <v>451</v>
      </c>
      <c r="AV206" s="604" t="s">
        <v>98</v>
      </c>
      <c r="AW206" s="604">
        <v>2</v>
      </c>
      <c r="AX206" s="604">
        <v>256</v>
      </c>
      <c r="AY206" s="606">
        <v>7.8</v>
      </c>
      <c r="AZ206" s="604" t="s">
        <v>420</v>
      </c>
      <c r="BB206" s="536" t="str">
        <f t="shared" si="39"/>
        <v>European or OtherethbirthsHutt Valley</v>
      </c>
      <c r="BC206" s="604">
        <v>2016</v>
      </c>
      <c r="BD206" s="604" t="s">
        <v>356</v>
      </c>
      <c r="BE206" s="604" t="s">
        <v>449</v>
      </c>
      <c r="BF206" s="604" t="s">
        <v>97</v>
      </c>
      <c r="BG206" s="604">
        <v>884</v>
      </c>
      <c r="BH206" s="604" t="s">
        <v>445</v>
      </c>
      <c r="BY206" s="553" t="str">
        <f t="shared" si="40"/>
        <v>2012&lt;500bwtSIDS</v>
      </c>
      <c r="BZ206" s="604">
        <v>2012</v>
      </c>
      <c r="CA206" s="604" t="s">
        <v>427</v>
      </c>
      <c r="CB206" s="604" t="s">
        <v>447</v>
      </c>
      <c r="CC206" s="604">
        <v>0</v>
      </c>
      <c r="CD206" s="604" t="s">
        <v>32</v>
      </c>
      <c r="CF206" s="554" t="str">
        <f t="shared" si="41"/>
        <v>2016European or Other40+ageSUDI</v>
      </c>
      <c r="CG206" s="604">
        <v>2016</v>
      </c>
      <c r="CH206" s="604" t="s">
        <v>356</v>
      </c>
      <c r="CI206" s="604" t="s">
        <v>134</v>
      </c>
      <c r="CJ206" s="604" t="s">
        <v>453</v>
      </c>
      <c r="CK206" s="604">
        <v>1</v>
      </c>
      <c r="CL206" s="604" t="s">
        <v>33</v>
      </c>
      <c r="CV206" s="575"/>
    </row>
    <row r="207" spans="9:100">
      <c r="I207" s="578" t="str">
        <f t="shared" si="34"/>
        <v>2008sexMaleFetal</v>
      </c>
      <c r="J207" s="604">
        <v>2008</v>
      </c>
      <c r="K207" s="604" t="s">
        <v>451</v>
      </c>
      <c r="L207" s="604" t="s">
        <v>70</v>
      </c>
      <c r="M207" s="604">
        <v>286</v>
      </c>
      <c r="N207" s="604">
        <v>33908</v>
      </c>
      <c r="O207" s="604">
        <v>8.4</v>
      </c>
      <c r="P207" s="604" t="s">
        <v>47</v>
      </c>
      <c r="Q207" s="499"/>
      <c r="R207" s="502" t="str">
        <f t="shared" si="35"/>
        <v>2005birthsdepQuin 4</v>
      </c>
      <c r="S207" s="604">
        <v>2005</v>
      </c>
      <c r="T207" s="604" t="s">
        <v>445</v>
      </c>
      <c r="U207" s="604" t="s">
        <v>454</v>
      </c>
      <c r="V207" s="604" t="s">
        <v>424</v>
      </c>
      <c r="W207" s="604">
        <v>12478</v>
      </c>
      <c r="Y207" s="535" t="str">
        <f t="shared" si="36"/>
        <v>2016gestbwt32-361500-2499fetal</v>
      </c>
      <c r="Z207" s="604">
        <v>2016</v>
      </c>
      <c r="AA207" s="604" t="s">
        <v>450</v>
      </c>
      <c r="AB207" s="604" t="s">
        <v>447</v>
      </c>
      <c r="AC207" s="604" t="s">
        <v>136</v>
      </c>
      <c r="AD207" s="604" t="s">
        <v>430</v>
      </c>
      <c r="AE207" s="604">
        <v>29</v>
      </c>
      <c r="AF207" s="604">
        <v>1729</v>
      </c>
      <c r="AG207" s="604">
        <v>16.5</v>
      </c>
      <c r="AH207" s="604" t="s">
        <v>420</v>
      </c>
      <c r="AJ207" s="535" t="str">
        <f t="shared" si="37"/>
        <v>2016gestbwt32-361500-2499</v>
      </c>
      <c r="AK207" s="604">
        <v>2016</v>
      </c>
      <c r="AL207" s="604" t="s">
        <v>450</v>
      </c>
      <c r="AM207" s="604" t="s">
        <v>447</v>
      </c>
      <c r="AN207" s="604" t="s">
        <v>136</v>
      </c>
      <c r="AO207" s="604" t="s">
        <v>430</v>
      </c>
      <c r="AP207" s="604">
        <v>1729</v>
      </c>
      <c r="AR207" s="538" t="str">
        <f t="shared" si="38"/>
        <v>MalesexfetalNelson Marlborough</v>
      </c>
      <c r="AS207" s="604">
        <v>2016</v>
      </c>
      <c r="AT207" s="604" t="s">
        <v>70</v>
      </c>
      <c r="AU207" s="604" t="s">
        <v>451</v>
      </c>
      <c r="AV207" s="604" t="s">
        <v>99</v>
      </c>
      <c r="AW207" s="604">
        <v>2</v>
      </c>
      <c r="AX207" s="604">
        <v>783</v>
      </c>
      <c r="AY207" s="606">
        <v>2.6</v>
      </c>
      <c r="AZ207" s="604" t="s">
        <v>420</v>
      </c>
      <c r="BB207" s="536" t="str">
        <f t="shared" si="39"/>
        <v>MaoriethbirthsWairarapa</v>
      </c>
      <c r="BC207" s="604">
        <v>2016</v>
      </c>
      <c r="BD207" s="604" t="s">
        <v>129</v>
      </c>
      <c r="BE207" s="604" t="s">
        <v>449</v>
      </c>
      <c r="BF207" s="604" t="s">
        <v>98</v>
      </c>
      <c r="BG207" s="604">
        <v>173</v>
      </c>
      <c r="BH207" s="604" t="s">
        <v>445</v>
      </c>
      <c r="BY207" s="553" t="str">
        <f t="shared" si="40"/>
        <v>2012500-999bwtSIDS</v>
      </c>
      <c r="BZ207" s="604">
        <v>2012</v>
      </c>
      <c r="CA207" s="604" t="s">
        <v>428</v>
      </c>
      <c r="CB207" s="604" t="s">
        <v>447</v>
      </c>
      <c r="CC207" s="604">
        <v>0</v>
      </c>
      <c r="CD207" s="604" t="s">
        <v>32</v>
      </c>
      <c r="CF207" s="554" t="str">
        <f t="shared" si="41"/>
        <v>2016Maori40+ageSUDI</v>
      </c>
      <c r="CG207" s="604">
        <v>2016</v>
      </c>
      <c r="CH207" s="604" t="s">
        <v>129</v>
      </c>
      <c r="CI207" s="604" t="s">
        <v>134</v>
      </c>
      <c r="CJ207" s="604" t="s">
        <v>453</v>
      </c>
      <c r="CK207" s="604">
        <v>0</v>
      </c>
      <c r="CL207" s="604" t="s">
        <v>33</v>
      </c>
      <c r="CV207" s="575"/>
    </row>
    <row r="208" spans="9:100">
      <c r="I208" s="578" t="str">
        <f t="shared" si="34"/>
        <v>2008sexFemaleFetal</v>
      </c>
      <c r="J208" s="604">
        <v>2008</v>
      </c>
      <c r="K208" s="604" t="s">
        <v>451</v>
      </c>
      <c r="L208" s="604" t="s">
        <v>71</v>
      </c>
      <c r="M208" s="604">
        <v>266</v>
      </c>
      <c r="N208" s="604">
        <v>31977</v>
      </c>
      <c r="O208" s="604">
        <v>8.3000000000000007</v>
      </c>
      <c r="P208" s="604" t="s">
        <v>47</v>
      </c>
      <c r="Q208" s="499"/>
      <c r="R208" s="502" t="str">
        <f t="shared" si="35"/>
        <v>2005birthsdepQuin 5</v>
      </c>
      <c r="S208" s="604">
        <v>2005</v>
      </c>
      <c r="T208" s="604" t="s">
        <v>445</v>
      </c>
      <c r="U208" s="604" t="s">
        <v>454</v>
      </c>
      <c r="V208" s="604" t="s">
        <v>425</v>
      </c>
      <c r="W208" s="604">
        <v>14813</v>
      </c>
      <c r="Y208" s="535" t="str">
        <f t="shared" si="36"/>
        <v>2016gestbwt37-411500-2499fetal</v>
      </c>
      <c r="Z208" s="604">
        <v>2016</v>
      </c>
      <c r="AA208" s="604" t="s">
        <v>450</v>
      </c>
      <c r="AB208" s="604" t="s">
        <v>447</v>
      </c>
      <c r="AC208" s="604" t="s">
        <v>137</v>
      </c>
      <c r="AD208" s="604" t="s">
        <v>430</v>
      </c>
      <c r="AE208" s="604">
        <v>8</v>
      </c>
      <c r="AF208" s="604">
        <v>1088</v>
      </c>
      <c r="AG208" s="604">
        <v>7.3</v>
      </c>
      <c r="AH208" s="604" t="s">
        <v>420</v>
      </c>
      <c r="AJ208" s="535" t="str">
        <f t="shared" si="37"/>
        <v>2016gestbwt37-411500-2499</v>
      </c>
      <c r="AK208" s="604">
        <v>2016</v>
      </c>
      <c r="AL208" s="604" t="s">
        <v>450</v>
      </c>
      <c r="AM208" s="604" t="s">
        <v>447</v>
      </c>
      <c r="AN208" s="604" t="s">
        <v>137</v>
      </c>
      <c r="AO208" s="604" t="s">
        <v>430</v>
      </c>
      <c r="AP208" s="604">
        <v>1088</v>
      </c>
      <c r="AR208" s="538" t="str">
        <f t="shared" si="38"/>
        <v>FemalesexfetalNelson Marlborough</v>
      </c>
      <c r="AS208" s="604">
        <v>2016</v>
      </c>
      <c r="AT208" s="604" t="s">
        <v>71</v>
      </c>
      <c r="AU208" s="604" t="s">
        <v>451</v>
      </c>
      <c r="AV208" s="604" t="s">
        <v>99</v>
      </c>
      <c r="AW208" s="604">
        <v>2</v>
      </c>
      <c r="AX208" s="604">
        <v>760</v>
      </c>
      <c r="AY208" s="606">
        <v>2.6</v>
      </c>
      <c r="AZ208" s="604" t="s">
        <v>420</v>
      </c>
      <c r="BB208" s="536" t="str">
        <f t="shared" si="39"/>
        <v>Pacific peoplesethbirthsWairarapa</v>
      </c>
      <c r="BC208" s="604">
        <v>2016</v>
      </c>
      <c r="BD208" s="604" t="s">
        <v>320</v>
      </c>
      <c r="BE208" s="604" t="s">
        <v>449</v>
      </c>
      <c r="BF208" s="604" t="s">
        <v>98</v>
      </c>
      <c r="BG208" s="604">
        <v>20</v>
      </c>
      <c r="BH208" s="604" t="s">
        <v>445</v>
      </c>
      <c r="BY208" s="553" t="str">
        <f t="shared" si="40"/>
        <v>20121000-1499bwtSIDS</v>
      </c>
      <c r="BZ208" s="604">
        <v>2012</v>
      </c>
      <c r="CA208" s="604" t="s">
        <v>429</v>
      </c>
      <c r="CB208" s="604" t="s">
        <v>447</v>
      </c>
      <c r="CC208" s="604">
        <v>1</v>
      </c>
      <c r="CD208" s="604" t="s">
        <v>32</v>
      </c>
      <c r="CF208" s="554" t="str">
        <f t="shared" si="41"/>
        <v>2016Pacific peoples40+ageSUDI</v>
      </c>
      <c r="CG208" s="604">
        <v>2016</v>
      </c>
      <c r="CH208" s="604" t="s">
        <v>320</v>
      </c>
      <c r="CI208" s="604" t="s">
        <v>134</v>
      </c>
      <c r="CJ208" s="604" t="s">
        <v>453</v>
      </c>
      <c r="CK208" s="604">
        <v>0</v>
      </c>
      <c r="CL208" s="604" t="s">
        <v>33</v>
      </c>
      <c r="CV208" s="575"/>
    </row>
    <row r="209" spans="9:100">
      <c r="I209" s="578" t="str">
        <f t="shared" si="34"/>
        <v>2008sexInd/UnkFetal</v>
      </c>
      <c r="J209" s="604">
        <v>2008</v>
      </c>
      <c r="K209" s="604" t="s">
        <v>451</v>
      </c>
      <c r="L209" s="604" t="s">
        <v>458</v>
      </c>
      <c r="M209" s="604">
        <v>4</v>
      </c>
      <c r="N209" s="604">
        <v>4</v>
      </c>
      <c r="O209" s="604" t="s">
        <v>119</v>
      </c>
      <c r="P209" s="604" t="s">
        <v>47</v>
      </c>
      <c r="Q209" s="499"/>
      <c r="R209" s="502" t="str">
        <f t="shared" si="35"/>
        <v>2005birthsdepQuin 9</v>
      </c>
      <c r="S209" s="604">
        <v>2005</v>
      </c>
      <c r="T209" s="604" t="s">
        <v>445</v>
      </c>
      <c r="U209" s="604" t="s">
        <v>454</v>
      </c>
      <c r="V209" s="604" t="s">
        <v>426</v>
      </c>
      <c r="W209" s="604">
        <v>3688</v>
      </c>
      <c r="Y209" s="535" t="str">
        <f t="shared" si="36"/>
        <v>2016gestbwt42+1500-2499fetal</v>
      </c>
      <c r="Z209" s="604">
        <v>2016</v>
      </c>
      <c r="AA209" s="604" t="s">
        <v>450</v>
      </c>
      <c r="AB209" s="604" t="s">
        <v>447</v>
      </c>
      <c r="AC209" s="604" t="s">
        <v>138</v>
      </c>
      <c r="AD209" s="604" t="s">
        <v>430</v>
      </c>
      <c r="AE209" s="604">
        <v>0</v>
      </c>
      <c r="AF209" s="604">
        <v>3</v>
      </c>
      <c r="AG209" s="604">
        <v>0</v>
      </c>
      <c r="AH209" s="604" t="s">
        <v>420</v>
      </c>
      <c r="AJ209" s="535" t="str">
        <f t="shared" si="37"/>
        <v>2016gestbwt42+1500-2499</v>
      </c>
      <c r="AK209" s="604">
        <v>2016</v>
      </c>
      <c r="AL209" s="604" t="s">
        <v>450</v>
      </c>
      <c r="AM209" s="604" t="s">
        <v>447</v>
      </c>
      <c r="AN209" s="604" t="s">
        <v>138</v>
      </c>
      <c r="AO209" s="604" t="s">
        <v>430</v>
      </c>
      <c r="AP209" s="604">
        <v>3</v>
      </c>
      <c r="AR209" s="538" t="str">
        <f t="shared" si="38"/>
        <v>MalesexfetalWest Coast</v>
      </c>
      <c r="AS209" s="604">
        <v>2016</v>
      </c>
      <c r="AT209" s="604" t="s">
        <v>70</v>
      </c>
      <c r="AU209" s="604" t="s">
        <v>451</v>
      </c>
      <c r="AV209" s="604" t="s">
        <v>100</v>
      </c>
      <c r="AW209" s="604">
        <v>3</v>
      </c>
      <c r="AX209" s="604">
        <v>171</v>
      </c>
      <c r="AY209" s="606">
        <v>17.5</v>
      </c>
      <c r="AZ209" s="604" t="s">
        <v>420</v>
      </c>
      <c r="BB209" s="536" t="str">
        <f t="shared" si="39"/>
        <v>AsianethbirthsWairarapa</v>
      </c>
      <c r="BC209" s="604">
        <v>2016</v>
      </c>
      <c r="BD209" s="604" t="s">
        <v>355</v>
      </c>
      <c r="BE209" s="604" t="s">
        <v>449</v>
      </c>
      <c r="BF209" s="604" t="s">
        <v>98</v>
      </c>
      <c r="BG209" s="604">
        <v>34</v>
      </c>
      <c r="BH209" s="604" t="s">
        <v>445</v>
      </c>
      <c r="BY209" s="553" t="str">
        <f t="shared" si="40"/>
        <v>20121500-2499bwtSIDS</v>
      </c>
      <c r="BZ209" s="604">
        <v>2012</v>
      </c>
      <c r="CA209" s="604" t="s">
        <v>430</v>
      </c>
      <c r="CB209" s="604" t="s">
        <v>447</v>
      </c>
      <c r="CC209" s="604">
        <v>1</v>
      </c>
      <c r="CD209" s="604" t="s">
        <v>32</v>
      </c>
      <c r="CF209" s="554" t="str">
        <f t="shared" si="41"/>
        <v>2016Pacific peoplesUnknownageSUDI</v>
      </c>
      <c r="CG209" s="604">
        <v>2016</v>
      </c>
      <c r="CH209" s="604" t="s">
        <v>320</v>
      </c>
      <c r="CI209" s="604" t="s">
        <v>63</v>
      </c>
      <c r="CJ209" s="604" t="s">
        <v>453</v>
      </c>
      <c r="CK209" s="604">
        <v>0</v>
      </c>
      <c r="CL209" s="604" t="s">
        <v>33</v>
      </c>
      <c r="CV209" s="575"/>
    </row>
    <row r="210" spans="9:100">
      <c r="I210" s="578" t="str">
        <f t="shared" si="34"/>
        <v>2009sexMaleFetal</v>
      </c>
      <c r="J210" s="604">
        <v>2009</v>
      </c>
      <c r="K210" s="604" t="s">
        <v>451</v>
      </c>
      <c r="L210" s="604" t="s">
        <v>70</v>
      </c>
      <c r="M210" s="604">
        <v>245</v>
      </c>
      <c r="N210" s="604">
        <v>32727</v>
      </c>
      <c r="O210" s="604">
        <v>7.5</v>
      </c>
      <c r="P210" s="604" t="s">
        <v>47</v>
      </c>
      <c r="Q210" s="499"/>
      <c r="R210" s="502" t="str">
        <f t="shared" si="35"/>
        <v>2006birthsdepQuin 1</v>
      </c>
      <c r="S210" s="604">
        <v>2006</v>
      </c>
      <c r="T210" s="604" t="s">
        <v>445</v>
      </c>
      <c r="U210" s="604" t="s">
        <v>454</v>
      </c>
      <c r="V210" s="604" t="s">
        <v>421</v>
      </c>
      <c r="W210" s="604">
        <v>8545</v>
      </c>
      <c r="Y210" s="535" t="str">
        <f t="shared" si="36"/>
        <v>2016gestbwtUnknown1500-2499fetal</v>
      </c>
      <c r="Z210" s="604">
        <v>2016</v>
      </c>
      <c r="AA210" s="604" t="s">
        <v>450</v>
      </c>
      <c r="AB210" s="604" t="s">
        <v>447</v>
      </c>
      <c r="AC210" s="604" t="s">
        <v>63</v>
      </c>
      <c r="AD210" s="604" t="s">
        <v>430</v>
      </c>
      <c r="AE210" s="604">
        <v>0</v>
      </c>
      <c r="AF210" s="604">
        <v>1</v>
      </c>
      <c r="AG210" s="604" t="s">
        <v>119</v>
      </c>
      <c r="AH210" s="604" t="s">
        <v>420</v>
      </c>
      <c r="AJ210" s="535" t="str">
        <f t="shared" si="37"/>
        <v>2016gestbwtUnknown1500-2499</v>
      </c>
      <c r="AK210" s="604">
        <v>2016</v>
      </c>
      <c r="AL210" s="604" t="s">
        <v>450</v>
      </c>
      <c r="AM210" s="604" t="s">
        <v>447</v>
      </c>
      <c r="AN210" s="604" t="s">
        <v>63</v>
      </c>
      <c r="AO210" s="604" t="s">
        <v>430</v>
      </c>
      <c r="AP210" s="604">
        <v>1</v>
      </c>
      <c r="AR210" s="538" t="str">
        <f t="shared" si="38"/>
        <v>FemalesexfetalWest Coast</v>
      </c>
      <c r="AS210" s="604">
        <v>2016</v>
      </c>
      <c r="AT210" s="604" t="s">
        <v>71</v>
      </c>
      <c r="AU210" s="604" t="s">
        <v>451</v>
      </c>
      <c r="AV210" s="604" t="s">
        <v>100</v>
      </c>
      <c r="AW210" s="604">
        <v>5</v>
      </c>
      <c r="AX210" s="604">
        <v>164</v>
      </c>
      <c r="AY210" s="606">
        <v>30.5</v>
      </c>
      <c r="AZ210" s="604" t="s">
        <v>420</v>
      </c>
      <c r="BB210" s="536" t="str">
        <f t="shared" si="39"/>
        <v>European or OtherethbirthsWairarapa</v>
      </c>
      <c r="BC210" s="604">
        <v>2016</v>
      </c>
      <c r="BD210" s="604" t="s">
        <v>356</v>
      </c>
      <c r="BE210" s="604" t="s">
        <v>449</v>
      </c>
      <c r="BF210" s="604" t="s">
        <v>98</v>
      </c>
      <c r="BG210" s="604">
        <v>254</v>
      </c>
      <c r="BH210" s="604" t="s">
        <v>445</v>
      </c>
      <c r="BY210" s="553" t="str">
        <f t="shared" si="40"/>
        <v>20122500-4499bwtSIDS</v>
      </c>
      <c r="BZ210" s="604">
        <v>2012</v>
      </c>
      <c r="CA210" s="604" t="s">
        <v>431</v>
      </c>
      <c r="CB210" s="604" t="s">
        <v>447</v>
      </c>
      <c r="CC210" s="604">
        <v>16</v>
      </c>
      <c r="CD210" s="604" t="s">
        <v>32</v>
      </c>
      <c r="CF210" s="554" t="str">
        <f t="shared" si="41"/>
        <v>2016AsianMalesexSUDI</v>
      </c>
      <c r="CG210" s="604">
        <v>2016</v>
      </c>
      <c r="CH210" s="604" t="s">
        <v>355</v>
      </c>
      <c r="CI210" s="604" t="s">
        <v>70</v>
      </c>
      <c r="CJ210" s="604" t="s">
        <v>451</v>
      </c>
      <c r="CK210" s="604">
        <v>1</v>
      </c>
      <c r="CL210" s="604" t="s">
        <v>33</v>
      </c>
      <c r="CV210" s="575"/>
    </row>
    <row r="211" spans="9:100">
      <c r="I211" s="578" t="str">
        <f t="shared" si="34"/>
        <v>2009sexFemaleFetal</v>
      </c>
      <c r="J211" s="604">
        <v>2009</v>
      </c>
      <c r="K211" s="604" t="s">
        <v>451</v>
      </c>
      <c r="L211" s="604" t="s">
        <v>71</v>
      </c>
      <c r="M211" s="604">
        <v>232</v>
      </c>
      <c r="N211" s="604">
        <v>31035</v>
      </c>
      <c r="O211" s="604">
        <v>7.5</v>
      </c>
      <c r="P211" s="604" t="s">
        <v>47</v>
      </c>
      <c r="Q211" s="499"/>
      <c r="R211" s="502" t="str">
        <f t="shared" si="35"/>
        <v>2006birthsdepQuin 2</v>
      </c>
      <c r="S211" s="604">
        <v>2006</v>
      </c>
      <c r="T211" s="604" t="s">
        <v>445</v>
      </c>
      <c r="U211" s="604" t="s">
        <v>454</v>
      </c>
      <c r="V211" s="604" t="s">
        <v>422</v>
      </c>
      <c r="W211" s="604">
        <v>8970</v>
      </c>
      <c r="Y211" s="535" t="str">
        <f t="shared" si="36"/>
        <v>2016gestbwt&lt;282500-4499fetal</v>
      </c>
      <c r="Z211" s="604">
        <v>2016</v>
      </c>
      <c r="AA211" s="604" t="s">
        <v>450</v>
      </c>
      <c r="AB211" s="604" t="s">
        <v>447</v>
      </c>
      <c r="AC211" s="604" t="s">
        <v>375</v>
      </c>
      <c r="AD211" s="604" t="s">
        <v>431</v>
      </c>
      <c r="AE211" s="604">
        <v>1</v>
      </c>
      <c r="AF211" s="604">
        <v>2</v>
      </c>
      <c r="AG211" s="604">
        <v>333.3</v>
      </c>
      <c r="AH211" s="604" t="s">
        <v>420</v>
      </c>
      <c r="AJ211" s="535" t="str">
        <f t="shared" si="37"/>
        <v>2016gestbwt&lt;282500-4499</v>
      </c>
      <c r="AK211" s="604">
        <v>2016</v>
      </c>
      <c r="AL211" s="604" t="s">
        <v>450</v>
      </c>
      <c r="AM211" s="604" t="s">
        <v>447</v>
      </c>
      <c r="AN211" s="604" t="s">
        <v>375</v>
      </c>
      <c r="AO211" s="604" t="s">
        <v>431</v>
      </c>
      <c r="AP211" s="604">
        <v>2</v>
      </c>
      <c r="AR211" s="538" t="str">
        <f t="shared" si="38"/>
        <v>MalesexfetalCanterbury</v>
      </c>
      <c r="AS211" s="604">
        <v>2016</v>
      </c>
      <c r="AT211" s="604" t="s">
        <v>70</v>
      </c>
      <c r="AU211" s="604" t="s">
        <v>451</v>
      </c>
      <c r="AV211" s="604" t="s">
        <v>101</v>
      </c>
      <c r="AW211" s="604">
        <v>24</v>
      </c>
      <c r="AX211" s="604">
        <v>3266</v>
      </c>
      <c r="AY211" s="606">
        <v>7.3</v>
      </c>
      <c r="AZ211" s="604" t="s">
        <v>420</v>
      </c>
      <c r="BB211" s="536" t="str">
        <f t="shared" si="39"/>
        <v>MaoriethbirthsNelson Marlborough</v>
      </c>
      <c r="BC211" s="604">
        <v>2016</v>
      </c>
      <c r="BD211" s="604" t="s">
        <v>129</v>
      </c>
      <c r="BE211" s="604" t="s">
        <v>449</v>
      </c>
      <c r="BF211" s="604" t="s">
        <v>99</v>
      </c>
      <c r="BG211" s="604">
        <v>375</v>
      </c>
      <c r="BH211" s="604" t="s">
        <v>445</v>
      </c>
      <c r="BY211" s="553" t="str">
        <f t="shared" si="40"/>
        <v>20124500+bwtSIDS</v>
      </c>
      <c r="BZ211" s="604">
        <v>2012</v>
      </c>
      <c r="CA211" s="604" t="s">
        <v>432</v>
      </c>
      <c r="CB211" s="604" t="s">
        <v>447</v>
      </c>
      <c r="CC211" s="604">
        <v>0</v>
      </c>
      <c r="CD211" s="604" t="s">
        <v>32</v>
      </c>
      <c r="CF211" s="554" t="str">
        <f t="shared" si="41"/>
        <v>2016European or OtherMalesexSUDI</v>
      </c>
      <c r="CG211" s="604">
        <v>2016</v>
      </c>
      <c r="CH211" s="604" t="s">
        <v>356</v>
      </c>
      <c r="CI211" s="604" t="s">
        <v>70</v>
      </c>
      <c r="CJ211" s="604" t="s">
        <v>451</v>
      </c>
      <c r="CK211" s="604">
        <v>4</v>
      </c>
      <c r="CL211" s="604" t="s">
        <v>33</v>
      </c>
      <c r="CV211" s="575"/>
    </row>
    <row r="212" spans="9:100">
      <c r="I212" s="578" t="str">
        <f t="shared" si="34"/>
        <v>2009sexInd/UnkFetal</v>
      </c>
      <c r="J212" s="604">
        <v>2009</v>
      </c>
      <c r="K212" s="604" t="s">
        <v>451</v>
      </c>
      <c r="L212" s="604" t="s">
        <v>458</v>
      </c>
      <c r="M212" s="604">
        <v>5</v>
      </c>
      <c r="N212" s="604">
        <v>5</v>
      </c>
      <c r="O212" s="604" t="s">
        <v>119</v>
      </c>
      <c r="P212" s="604" t="s">
        <v>47</v>
      </c>
      <c r="Q212" s="499"/>
      <c r="R212" s="502" t="str">
        <f t="shared" si="35"/>
        <v>2006birthsdepQuin 3</v>
      </c>
      <c r="S212" s="604">
        <v>2006</v>
      </c>
      <c r="T212" s="604" t="s">
        <v>445</v>
      </c>
      <c r="U212" s="604" t="s">
        <v>454</v>
      </c>
      <c r="V212" s="604" t="s">
        <v>423</v>
      </c>
      <c r="W212" s="604">
        <v>10890</v>
      </c>
      <c r="Y212" s="535" t="str">
        <f t="shared" si="36"/>
        <v>2016gestbwt28-312500-4499fetal</v>
      </c>
      <c r="Z212" s="604">
        <v>2016</v>
      </c>
      <c r="AA212" s="604" t="s">
        <v>450</v>
      </c>
      <c r="AB212" s="604" t="s">
        <v>447</v>
      </c>
      <c r="AC212" s="604" t="s">
        <v>395</v>
      </c>
      <c r="AD212" s="604" t="s">
        <v>431</v>
      </c>
      <c r="AE212" s="604">
        <v>0</v>
      </c>
      <c r="AF212" s="604">
        <v>15</v>
      </c>
      <c r="AG212" s="604">
        <v>0</v>
      </c>
      <c r="AH212" s="604" t="s">
        <v>420</v>
      </c>
      <c r="AJ212" s="535" t="str">
        <f t="shared" si="37"/>
        <v>2016gestbwt28-312500-4499</v>
      </c>
      <c r="AK212" s="604">
        <v>2016</v>
      </c>
      <c r="AL212" s="604" t="s">
        <v>450</v>
      </c>
      <c r="AM212" s="604" t="s">
        <v>447</v>
      </c>
      <c r="AN212" s="604" t="s">
        <v>395</v>
      </c>
      <c r="AO212" s="604" t="s">
        <v>431</v>
      </c>
      <c r="AP212" s="604">
        <v>15</v>
      </c>
      <c r="AR212" s="538" t="str">
        <f t="shared" si="38"/>
        <v>FemalesexfetalCanterbury</v>
      </c>
      <c r="AS212" s="604">
        <v>2016</v>
      </c>
      <c r="AT212" s="604" t="s">
        <v>71</v>
      </c>
      <c r="AU212" s="604" t="s">
        <v>451</v>
      </c>
      <c r="AV212" s="604" t="s">
        <v>101</v>
      </c>
      <c r="AW212" s="604">
        <v>20</v>
      </c>
      <c r="AX212" s="604">
        <v>3177</v>
      </c>
      <c r="AY212" s="606">
        <v>6.3</v>
      </c>
      <c r="AZ212" s="604" t="s">
        <v>420</v>
      </c>
      <c r="BB212" s="536" t="str">
        <f t="shared" si="39"/>
        <v>Pacific peoplesethbirthsNelson Marlborough</v>
      </c>
      <c r="BC212" s="604">
        <v>2016</v>
      </c>
      <c r="BD212" s="604" t="s">
        <v>320</v>
      </c>
      <c r="BE212" s="604" t="s">
        <v>449</v>
      </c>
      <c r="BF212" s="604" t="s">
        <v>99</v>
      </c>
      <c r="BG212" s="604">
        <v>50</v>
      </c>
      <c r="BH212" s="604" t="s">
        <v>445</v>
      </c>
      <c r="BY212" s="553" t="str">
        <f t="shared" si="40"/>
        <v>2012UnknownbwtSIDS</v>
      </c>
      <c r="BZ212" s="604">
        <v>2012</v>
      </c>
      <c r="CA212" s="604" t="s">
        <v>63</v>
      </c>
      <c r="CB212" s="604" t="s">
        <v>447</v>
      </c>
      <c r="CC212" s="604">
        <v>0</v>
      </c>
      <c r="CD212" s="604" t="s">
        <v>32</v>
      </c>
      <c r="CF212" s="554" t="str">
        <f t="shared" si="41"/>
        <v>2016MaoriMalesexSUDI</v>
      </c>
      <c r="CG212" s="604">
        <v>2016</v>
      </c>
      <c r="CH212" s="604" t="s">
        <v>129</v>
      </c>
      <c r="CI212" s="604" t="s">
        <v>70</v>
      </c>
      <c r="CJ212" s="604" t="s">
        <v>451</v>
      </c>
      <c r="CK212" s="604">
        <v>13</v>
      </c>
      <c r="CL212" s="604" t="s">
        <v>33</v>
      </c>
      <c r="CV212" s="575"/>
    </row>
    <row r="213" spans="9:100">
      <c r="I213" s="578" t="str">
        <f t="shared" si="34"/>
        <v>2010sexMaleFetal</v>
      </c>
      <c r="J213" s="604">
        <v>2010</v>
      </c>
      <c r="K213" s="604" t="s">
        <v>451</v>
      </c>
      <c r="L213" s="604" t="s">
        <v>70</v>
      </c>
      <c r="M213" s="604">
        <v>234</v>
      </c>
      <c r="N213" s="604">
        <v>33553</v>
      </c>
      <c r="O213" s="604">
        <v>7</v>
      </c>
      <c r="P213" s="604" t="s">
        <v>47</v>
      </c>
      <c r="Q213" s="499"/>
      <c r="R213" s="502" t="str">
        <f t="shared" si="35"/>
        <v>2006birthsdepQuin 4</v>
      </c>
      <c r="S213" s="604">
        <v>2006</v>
      </c>
      <c r="T213" s="604" t="s">
        <v>445</v>
      </c>
      <c r="U213" s="604" t="s">
        <v>454</v>
      </c>
      <c r="V213" s="604" t="s">
        <v>424</v>
      </c>
      <c r="W213" s="604">
        <v>12831</v>
      </c>
      <c r="Y213" s="535" t="str">
        <f t="shared" si="36"/>
        <v>2016gestbwt32-362500-4499fetal</v>
      </c>
      <c r="Z213" s="604">
        <v>2016</v>
      </c>
      <c r="AA213" s="604" t="s">
        <v>450</v>
      </c>
      <c r="AB213" s="604" t="s">
        <v>447</v>
      </c>
      <c r="AC213" s="604" t="s">
        <v>136</v>
      </c>
      <c r="AD213" s="604" t="s">
        <v>431</v>
      </c>
      <c r="AE213" s="604">
        <v>16</v>
      </c>
      <c r="AF213" s="604">
        <v>2005</v>
      </c>
      <c r="AG213" s="604">
        <v>7.9</v>
      </c>
      <c r="AH213" s="604" t="s">
        <v>420</v>
      </c>
      <c r="AJ213" s="535" t="str">
        <f t="shared" si="37"/>
        <v>2016gestbwt32-362500-4499</v>
      </c>
      <c r="AK213" s="604">
        <v>2016</v>
      </c>
      <c r="AL213" s="604" t="s">
        <v>450</v>
      </c>
      <c r="AM213" s="604" t="s">
        <v>447</v>
      </c>
      <c r="AN213" s="604" t="s">
        <v>136</v>
      </c>
      <c r="AO213" s="604" t="s">
        <v>431</v>
      </c>
      <c r="AP213" s="604">
        <v>2005</v>
      </c>
      <c r="AR213" s="538" t="str">
        <f t="shared" si="38"/>
        <v>MalesexfetalSouth Canterbury</v>
      </c>
      <c r="AS213" s="604">
        <v>2016</v>
      </c>
      <c r="AT213" s="604" t="s">
        <v>70</v>
      </c>
      <c r="AU213" s="604" t="s">
        <v>451</v>
      </c>
      <c r="AV213" s="604" t="s">
        <v>102</v>
      </c>
      <c r="AW213" s="604">
        <v>3</v>
      </c>
      <c r="AX213" s="604">
        <v>358</v>
      </c>
      <c r="AY213" s="606">
        <v>8.4</v>
      </c>
      <c r="AZ213" s="604" t="s">
        <v>420</v>
      </c>
      <c r="BB213" s="536" t="str">
        <f t="shared" si="39"/>
        <v>AsianethbirthsNelson Marlborough</v>
      </c>
      <c r="BC213" s="604">
        <v>2016</v>
      </c>
      <c r="BD213" s="604" t="s">
        <v>355</v>
      </c>
      <c r="BE213" s="604" t="s">
        <v>449</v>
      </c>
      <c r="BF213" s="604" t="s">
        <v>99</v>
      </c>
      <c r="BG213" s="604">
        <v>135</v>
      </c>
      <c r="BH213" s="604" t="s">
        <v>445</v>
      </c>
      <c r="BY213" s="553" t="str">
        <f t="shared" si="40"/>
        <v>2013&lt;500bwtSIDS</v>
      </c>
      <c r="BZ213" s="604">
        <v>2013</v>
      </c>
      <c r="CA213" s="604" t="s">
        <v>427</v>
      </c>
      <c r="CB213" s="604" t="s">
        <v>447</v>
      </c>
      <c r="CC213" s="604">
        <v>0</v>
      </c>
      <c r="CD213" s="604" t="s">
        <v>32</v>
      </c>
      <c r="CF213" s="554" t="str">
        <f t="shared" si="41"/>
        <v>2016Pacific peoplesMalesexSUDI</v>
      </c>
      <c r="CG213" s="604">
        <v>2016</v>
      </c>
      <c r="CH213" s="604" t="s">
        <v>320</v>
      </c>
      <c r="CI213" s="604" t="s">
        <v>70</v>
      </c>
      <c r="CJ213" s="604" t="s">
        <v>451</v>
      </c>
      <c r="CK213" s="604">
        <v>4</v>
      </c>
      <c r="CL213" s="604" t="s">
        <v>33</v>
      </c>
      <c r="CV213" s="575"/>
    </row>
    <row r="214" spans="9:100">
      <c r="I214" s="578" t="str">
        <f t="shared" si="34"/>
        <v>2010sexFemaleFetal</v>
      </c>
      <c r="J214" s="604">
        <v>2010</v>
      </c>
      <c r="K214" s="604" t="s">
        <v>451</v>
      </c>
      <c r="L214" s="604" t="s">
        <v>71</v>
      </c>
      <c r="M214" s="604">
        <v>232</v>
      </c>
      <c r="N214" s="604">
        <v>31612</v>
      </c>
      <c r="O214" s="604">
        <v>7.3</v>
      </c>
      <c r="P214" s="604" t="s">
        <v>47</v>
      </c>
      <c r="Q214" s="499"/>
      <c r="R214" s="502" t="str">
        <f t="shared" si="35"/>
        <v>2006birthsdepQuin 5</v>
      </c>
      <c r="S214" s="604">
        <v>2006</v>
      </c>
      <c r="T214" s="604" t="s">
        <v>445</v>
      </c>
      <c r="U214" s="604" t="s">
        <v>454</v>
      </c>
      <c r="V214" s="604" t="s">
        <v>425</v>
      </c>
      <c r="W214" s="604">
        <v>15033</v>
      </c>
      <c r="Y214" s="535" t="str">
        <f t="shared" si="36"/>
        <v>2016gestbwt37-412500-4499fetal</v>
      </c>
      <c r="Z214" s="604">
        <v>2016</v>
      </c>
      <c r="AA214" s="604" t="s">
        <v>450</v>
      </c>
      <c r="AB214" s="604" t="s">
        <v>447</v>
      </c>
      <c r="AC214" s="604" t="s">
        <v>137</v>
      </c>
      <c r="AD214" s="604" t="s">
        <v>431</v>
      </c>
      <c r="AE214" s="604">
        <v>63</v>
      </c>
      <c r="AF214" s="604">
        <v>52424</v>
      </c>
      <c r="AG214" s="604">
        <v>1.2</v>
      </c>
      <c r="AH214" s="604" t="s">
        <v>420</v>
      </c>
      <c r="AJ214" s="535" t="str">
        <f t="shared" si="37"/>
        <v>2016gestbwt37-412500-4499</v>
      </c>
      <c r="AK214" s="604">
        <v>2016</v>
      </c>
      <c r="AL214" s="604" t="s">
        <v>450</v>
      </c>
      <c r="AM214" s="604" t="s">
        <v>447</v>
      </c>
      <c r="AN214" s="604" t="s">
        <v>137</v>
      </c>
      <c r="AO214" s="604" t="s">
        <v>431</v>
      </c>
      <c r="AP214" s="604">
        <v>52424</v>
      </c>
      <c r="AR214" s="538" t="str">
        <f t="shared" si="38"/>
        <v>MalesexfetalSouthern</v>
      </c>
      <c r="AS214" s="604">
        <v>2016</v>
      </c>
      <c r="AT214" s="604" t="s">
        <v>70</v>
      </c>
      <c r="AU214" s="604" t="s">
        <v>451</v>
      </c>
      <c r="AV214" s="604" t="s">
        <v>103</v>
      </c>
      <c r="AW214" s="604">
        <v>18</v>
      </c>
      <c r="AX214" s="604">
        <v>1782</v>
      </c>
      <c r="AY214" s="606">
        <v>10.1</v>
      </c>
      <c r="AZ214" s="604" t="s">
        <v>420</v>
      </c>
      <c r="BB214" s="536" t="str">
        <f t="shared" si="39"/>
        <v>European or OtherethbirthsNelson Marlborough</v>
      </c>
      <c r="BC214" s="604">
        <v>2016</v>
      </c>
      <c r="BD214" s="604" t="s">
        <v>356</v>
      </c>
      <c r="BE214" s="604" t="s">
        <v>449</v>
      </c>
      <c r="BF214" s="604" t="s">
        <v>99</v>
      </c>
      <c r="BG214" s="604">
        <v>979</v>
      </c>
      <c r="BH214" s="604" t="s">
        <v>445</v>
      </c>
      <c r="BY214" s="553" t="str">
        <f t="shared" si="40"/>
        <v>2013500-999bwtSIDS</v>
      </c>
      <c r="BZ214" s="604">
        <v>2013</v>
      </c>
      <c r="CA214" s="604" t="s">
        <v>428</v>
      </c>
      <c r="CB214" s="604" t="s">
        <v>447</v>
      </c>
      <c r="CC214" s="604">
        <v>0</v>
      </c>
      <c r="CD214" s="604" t="s">
        <v>32</v>
      </c>
      <c r="CF214" s="554" t="str">
        <f t="shared" si="41"/>
        <v>2016AsianFemalesexSUDI</v>
      </c>
      <c r="CG214" s="604">
        <v>2016</v>
      </c>
      <c r="CH214" s="604" t="s">
        <v>355</v>
      </c>
      <c r="CI214" s="604" t="s">
        <v>71</v>
      </c>
      <c r="CJ214" s="604" t="s">
        <v>451</v>
      </c>
      <c r="CK214" s="604">
        <v>0</v>
      </c>
      <c r="CL214" s="604" t="s">
        <v>33</v>
      </c>
      <c r="CV214" s="575"/>
    </row>
    <row r="215" spans="9:100">
      <c r="I215" s="578" t="str">
        <f t="shared" si="34"/>
        <v>2010sexInd/UnkFetal</v>
      </c>
      <c r="J215" s="604">
        <v>2010</v>
      </c>
      <c r="K215" s="604" t="s">
        <v>451</v>
      </c>
      <c r="L215" s="604" t="s">
        <v>458</v>
      </c>
      <c r="M215" s="604">
        <v>3</v>
      </c>
      <c r="N215" s="604">
        <v>3</v>
      </c>
      <c r="O215" s="604" t="s">
        <v>119</v>
      </c>
      <c r="P215" s="604" t="s">
        <v>47</v>
      </c>
      <c r="Q215" s="499"/>
      <c r="R215" s="502" t="str">
        <f t="shared" si="35"/>
        <v>2006birthsdepQuin 9</v>
      </c>
      <c r="S215" s="604">
        <v>2006</v>
      </c>
      <c r="T215" s="604" t="s">
        <v>445</v>
      </c>
      <c r="U215" s="604" t="s">
        <v>454</v>
      </c>
      <c r="V215" s="604" t="s">
        <v>426</v>
      </c>
      <c r="W215" s="604">
        <v>4005</v>
      </c>
      <c r="Y215" s="535" t="str">
        <f t="shared" si="36"/>
        <v>2016gestbwt42+2500-4499fetal</v>
      </c>
      <c r="Z215" s="604">
        <v>2016</v>
      </c>
      <c r="AA215" s="604" t="s">
        <v>450</v>
      </c>
      <c r="AB215" s="604" t="s">
        <v>447</v>
      </c>
      <c r="AC215" s="604" t="s">
        <v>138</v>
      </c>
      <c r="AD215" s="604" t="s">
        <v>431</v>
      </c>
      <c r="AE215" s="604">
        <v>0</v>
      </c>
      <c r="AF215" s="604">
        <v>944</v>
      </c>
      <c r="AG215" s="604">
        <v>0</v>
      </c>
      <c r="AH215" s="604" t="s">
        <v>420</v>
      </c>
      <c r="AJ215" s="535" t="str">
        <f t="shared" si="37"/>
        <v>2016gestbwt42+2500-4499</v>
      </c>
      <c r="AK215" s="604">
        <v>2016</v>
      </c>
      <c r="AL215" s="604" t="s">
        <v>450</v>
      </c>
      <c r="AM215" s="604" t="s">
        <v>447</v>
      </c>
      <c r="AN215" s="604" t="s">
        <v>138</v>
      </c>
      <c r="AO215" s="604" t="s">
        <v>431</v>
      </c>
      <c r="AP215" s="604">
        <v>944</v>
      </c>
      <c r="AR215" s="538" t="str">
        <f t="shared" si="38"/>
        <v>FemalesexfetalSouthern</v>
      </c>
      <c r="AS215" s="604">
        <v>2016</v>
      </c>
      <c r="AT215" s="604" t="s">
        <v>71</v>
      </c>
      <c r="AU215" s="604" t="s">
        <v>451</v>
      </c>
      <c r="AV215" s="604" t="s">
        <v>103</v>
      </c>
      <c r="AW215" s="604">
        <v>9</v>
      </c>
      <c r="AX215" s="604">
        <v>1659</v>
      </c>
      <c r="AY215" s="606">
        <v>5.4</v>
      </c>
      <c r="AZ215" s="604" t="s">
        <v>420</v>
      </c>
      <c r="BB215" s="536" t="str">
        <f t="shared" si="39"/>
        <v>MaoriethbirthsWest Coast</v>
      </c>
      <c r="BC215" s="604">
        <v>2016</v>
      </c>
      <c r="BD215" s="604" t="s">
        <v>129</v>
      </c>
      <c r="BE215" s="604" t="s">
        <v>449</v>
      </c>
      <c r="BF215" s="604" t="s">
        <v>100</v>
      </c>
      <c r="BG215" s="604">
        <v>83</v>
      </c>
      <c r="BH215" s="604" t="s">
        <v>445</v>
      </c>
      <c r="BY215" s="553" t="str">
        <f t="shared" si="40"/>
        <v>20131000-1499bwtSIDS</v>
      </c>
      <c r="BZ215" s="604">
        <v>2013</v>
      </c>
      <c r="CA215" s="604" t="s">
        <v>429</v>
      </c>
      <c r="CB215" s="604" t="s">
        <v>447</v>
      </c>
      <c r="CC215" s="604">
        <v>0</v>
      </c>
      <c r="CD215" s="604" t="s">
        <v>32</v>
      </c>
      <c r="CF215" s="554" t="str">
        <f t="shared" si="41"/>
        <v>2016European or OtherFemalesexSUDI</v>
      </c>
      <c r="CG215" s="604">
        <v>2016</v>
      </c>
      <c r="CH215" s="604" t="s">
        <v>356</v>
      </c>
      <c r="CI215" s="604" t="s">
        <v>71</v>
      </c>
      <c r="CJ215" s="604" t="s">
        <v>451</v>
      </c>
      <c r="CK215" s="604">
        <v>4</v>
      </c>
      <c r="CL215" s="604" t="s">
        <v>33</v>
      </c>
      <c r="CV215" s="575"/>
    </row>
    <row r="216" spans="9:100">
      <c r="I216" s="578" t="str">
        <f t="shared" si="34"/>
        <v>2011sexMaleFetal</v>
      </c>
      <c r="J216" s="604">
        <v>2011</v>
      </c>
      <c r="K216" s="604" t="s">
        <v>451</v>
      </c>
      <c r="L216" s="604" t="s">
        <v>70</v>
      </c>
      <c r="M216" s="604">
        <v>230</v>
      </c>
      <c r="N216" s="604">
        <v>32124</v>
      </c>
      <c r="O216" s="604">
        <v>7.2</v>
      </c>
      <c r="P216" s="604" t="s">
        <v>47</v>
      </c>
      <c r="Q216" s="499"/>
      <c r="R216" s="502" t="str">
        <f t="shared" si="35"/>
        <v>2007birthsdepQuin 1</v>
      </c>
      <c r="S216" s="604">
        <v>2007</v>
      </c>
      <c r="T216" s="604" t="s">
        <v>445</v>
      </c>
      <c r="U216" s="604" t="s">
        <v>454</v>
      </c>
      <c r="V216" s="604" t="s">
        <v>421</v>
      </c>
      <c r="W216" s="604">
        <v>9191</v>
      </c>
      <c r="Y216" s="535" t="str">
        <f t="shared" si="36"/>
        <v>2016gestbwtUnknown2500-4499fetal</v>
      </c>
      <c r="Z216" s="604">
        <v>2016</v>
      </c>
      <c r="AA216" s="604" t="s">
        <v>450</v>
      </c>
      <c r="AB216" s="604" t="s">
        <v>447</v>
      </c>
      <c r="AC216" s="604" t="s">
        <v>63</v>
      </c>
      <c r="AD216" s="604" t="s">
        <v>431</v>
      </c>
      <c r="AE216" s="604">
        <v>1</v>
      </c>
      <c r="AF216" s="604">
        <v>17</v>
      </c>
      <c r="AG216" s="604" t="s">
        <v>119</v>
      </c>
      <c r="AH216" s="604" t="s">
        <v>420</v>
      </c>
      <c r="AJ216" s="535" t="str">
        <f t="shared" si="37"/>
        <v>2016gestbwtUnknown2500-4499</v>
      </c>
      <c r="AK216" s="604">
        <v>2016</v>
      </c>
      <c r="AL216" s="604" t="s">
        <v>450</v>
      </c>
      <c r="AM216" s="604" t="s">
        <v>447</v>
      </c>
      <c r="AN216" s="604" t="s">
        <v>63</v>
      </c>
      <c r="AO216" s="604" t="s">
        <v>431</v>
      </c>
      <c r="AP216" s="604">
        <v>17</v>
      </c>
      <c r="AR216" s="538" t="str">
        <f t="shared" si="38"/>
        <v>Ind/UnksexfetalSouthern</v>
      </c>
      <c r="AS216" s="604">
        <v>2016</v>
      </c>
      <c r="AT216" s="604" t="s">
        <v>458</v>
      </c>
      <c r="AU216" s="604" t="s">
        <v>451</v>
      </c>
      <c r="AV216" s="604" t="s">
        <v>103</v>
      </c>
      <c r="AW216" s="604">
        <v>1</v>
      </c>
      <c r="AX216" s="604">
        <v>1</v>
      </c>
      <c r="AY216" s="606" t="s">
        <v>119</v>
      </c>
      <c r="AZ216" s="604" t="s">
        <v>420</v>
      </c>
      <c r="BB216" s="536" t="str">
        <f t="shared" si="39"/>
        <v>Pacific peoplesethbirthsWest Coast</v>
      </c>
      <c r="BC216" s="604">
        <v>2016</v>
      </c>
      <c r="BD216" s="604" t="s">
        <v>320</v>
      </c>
      <c r="BE216" s="604" t="s">
        <v>449</v>
      </c>
      <c r="BF216" s="604" t="s">
        <v>100</v>
      </c>
      <c r="BG216" s="604">
        <v>3</v>
      </c>
      <c r="BH216" s="604" t="s">
        <v>445</v>
      </c>
      <c r="BY216" s="553" t="str">
        <f t="shared" si="40"/>
        <v>20131500-2499bwtSIDS</v>
      </c>
      <c r="BZ216" s="604">
        <v>2013</v>
      </c>
      <c r="CA216" s="604" t="s">
        <v>430</v>
      </c>
      <c r="CB216" s="604" t="s">
        <v>447</v>
      </c>
      <c r="CC216" s="604">
        <v>2</v>
      </c>
      <c r="CD216" s="604" t="s">
        <v>32</v>
      </c>
      <c r="CF216" s="554" t="str">
        <f t="shared" si="41"/>
        <v>2016MaoriFemalesexSUDI</v>
      </c>
      <c r="CG216" s="604">
        <v>2016</v>
      </c>
      <c r="CH216" s="604" t="s">
        <v>129</v>
      </c>
      <c r="CI216" s="604" t="s">
        <v>71</v>
      </c>
      <c r="CJ216" s="604" t="s">
        <v>451</v>
      </c>
      <c r="CK216" s="604">
        <v>14</v>
      </c>
      <c r="CL216" s="604" t="s">
        <v>33</v>
      </c>
      <c r="CV216" s="575"/>
    </row>
    <row r="217" spans="9:100">
      <c r="I217" s="578" t="str">
        <f t="shared" si="34"/>
        <v>2011sexFemaleFetal</v>
      </c>
      <c r="J217" s="604">
        <v>2011</v>
      </c>
      <c r="K217" s="604" t="s">
        <v>451</v>
      </c>
      <c r="L217" s="604" t="s">
        <v>71</v>
      </c>
      <c r="M217" s="604">
        <v>217</v>
      </c>
      <c r="N217" s="604">
        <v>30497</v>
      </c>
      <c r="O217" s="604">
        <v>7.1</v>
      </c>
      <c r="P217" s="604" t="s">
        <v>47</v>
      </c>
      <c r="Q217" s="499"/>
      <c r="R217" s="502" t="str">
        <f t="shared" si="35"/>
        <v>2007birthsdepQuin 2</v>
      </c>
      <c r="S217" s="604">
        <v>2007</v>
      </c>
      <c r="T217" s="604" t="s">
        <v>445</v>
      </c>
      <c r="U217" s="604" t="s">
        <v>454</v>
      </c>
      <c r="V217" s="604" t="s">
        <v>422</v>
      </c>
      <c r="W217" s="604">
        <v>9712</v>
      </c>
      <c r="Y217" s="535" t="str">
        <f t="shared" si="36"/>
        <v>2016gestbwt32-364500+fetal</v>
      </c>
      <c r="Z217" s="604">
        <v>2016</v>
      </c>
      <c r="AA217" s="604" t="s">
        <v>450</v>
      </c>
      <c r="AB217" s="604" t="s">
        <v>447</v>
      </c>
      <c r="AC217" s="604" t="s">
        <v>136</v>
      </c>
      <c r="AD217" s="604" t="s">
        <v>432</v>
      </c>
      <c r="AE217" s="604">
        <v>0</v>
      </c>
      <c r="AF217" s="604">
        <v>6</v>
      </c>
      <c r="AG217" s="604">
        <v>0</v>
      </c>
      <c r="AH217" s="604" t="s">
        <v>420</v>
      </c>
      <c r="AJ217" s="535" t="str">
        <f t="shared" si="37"/>
        <v>2016gestbwt32-364500+</v>
      </c>
      <c r="AK217" s="604">
        <v>2016</v>
      </c>
      <c r="AL217" s="604" t="s">
        <v>450</v>
      </c>
      <c r="AM217" s="604" t="s">
        <v>447</v>
      </c>
      <c r="AN217" s="604" t="s">
        <v>136</v>
      </c>
      <c r="AO217" s="604" t="s">
        <v>432</v>
      </c>
      <c r="AP217" s="604">
        <v>6</v>
      </c>
      <c r="AR217" s="538" t="str">
        <f t="shared" si="38"/>
        <v>MalesexfetalUnknown</v>
      </c>
      <c r="AS217" s="604">
        <v>2016</v>
      </c>
      <c r="AT217" s="604" t="s">
        <v>70</v>
      </c>
      <c r="AU217" s="604" t="s">
        <v>451</v>
      </c>
      <c r="AV217" s="604" t="s">
        <v>63</v>
      </c>
      <c r="AW217" s="604">
        <v>1</v>
      </c>
      <c r="AX217" s="604">
        <v>64</v>
      </c>
      <c r="AY217" s="606" t="s">
        <v>119</v>
      </c>
      <c r="AZ217" s="604" t="s">
        <v>420</v>
      </c>
      <c r="BB217" s="536" t="str">
        <f t="shared" si="39"/>
        <v>AsianethbirthsWest Coast</v>
      </c>
      <c r="BC217" s="604">
        <v>2016</v>
      </c>
      <c r="BD217" s="604" t="s">
        <v>355</v>
      </c>
      <c r="BE217" s="604" t="s">
        <v>449</v>
      </c>
      <c r="BF217" s="604" t="s">
        <v>100</v>
      </c>
      <c r="BG217" s="604">
        <v>12</v>
      </c>
      <c r="BH217" s="604" t="s">
        <v>445</v>
      </c>
      <c r="BY217" s="553" t="str">
        <f t="shared" si="40"/>
        <v>20132500-4499bwtSIDS</v>
      </c>
      <c r="BZ217" s="604">
        <v>2013</v>
      </c>
      <c r="CA217" s="604" t="s">
        <v>431</v>
      </c>
      <c r="CB217" s="604" t="s">
        <v>447</v>
      </c>
      <c r="CC217" s="604">
        <v>19</v>
      </c>
      <c r="CD217" s="604" t="s">
        <v>32</v>
      </c>
      <c r="CF217" s="554" t="str">
        <f t="shared" si="41"/>
        <v>2016Pacific peoplesFemalesexSUDI</v>
      </c>
      <c r="CG217" s="604">
        <v>2016</v>
      </c>
      <c r="CH217" s="604" t="s">
        <v>320</v>
      </c>
      <c r="CI217" s="604" t="s">
        <v>71</v>
      </c>
      <c r="CJ217" s="604" t="s">
        <v>451</v>
      </c>
      <c r="CK217" s="604">
        <v>2</v>
      </c>
      <c r="CL217" s="604" t="s">
        <v>33</v>
      </c>
      <c r="CV217" s="575"/>
    </row>
    <row r="218" spans="9:100">
      <c r="I218" s="578" t="str">
        <f t="shared" si="34"/>
        <v>2011sexInd/UnkFetal</v>
      </c>
      <c r="J218" s="604">
        <v>2011</v>
      </c>
      <c r="K218" s="604" t="s">
        <v>451</v>
      </c>
      <c r="L218" s="604" t="s">
        <v>458</v>
      </c>
      <c r="M218" s="604">
        <v>4</v>
      </c>
      <c r="N218" s="604">
        <v>4</v>
      </c>
      <c r="O218" s="604" t="s">
        <v>119</v>
      </c>
      <c r="P218" s="604" t="s">
        <v>47</v>
      </c>
      <c r="Q218" s="499"/>
      <c r="R218" s="502" t="str">
        <f t="shared" si="35"/>
        <v>2007birthsdepQuin 3</v>
      </c>
      <c r="S218" s="604">
        <v>2007</v>
      </c>
      <c r="T218" s="604" t="s">
        <v>445</v>
      </c>
      <c r="U218" s="604" t="s">
        <v>454</v>
      </c>
      <c r="V218" s="604" t="s">
        <v>423</v>
      </c>
      <c r="W218" s="604">
        <v>11599</v>
      </c>
      <c r="Y218" s="535" t="str">
        <f t="shared" si="36"/>
        <v>2016gestbwt37-414500+fetal</v>
      </c>
      <c r="Z218" s="604">
        <v>2016</v>
      </c>
      <c r="AA218" s="604" t="s">
        <v>450</v>
      </c>
      <c r="AB218" s="604" t="s">
        <v>447</v>
      </c>
      <c r="AC218" s="604" t="s">
        <v>137</v>
      </c>
      <c r="AD218" s="604" t="s">
        <v>432</v>
      </c>
      <c r="AE218" s="604">
        <v>4</v>
      </c>
      <c r="AF218" s="604">
        <v>1348</v>
      </c>
      <c r="AG218" s="604">
        <v>3</v>
      </c>
      <c r="AH218" s="604" t="s">
        <v>420</v>
      </c>
      <c r="AJ218" s="535" t="str">
        <f t="shared" si="37"/>
        <v>2016gestbwt37-414500+</v>
      </c>
      <c r="AK218" s="604">
        <v>2016</v>
      </c>
      <c r="AL218" s="604" t="s">
        <v>450</v>
      </c>
      <c r="AM218" s="604" t="s">
        <v>447</v>
      </c>
      <c r="AN218" s="604" t="s">
        <v>137</v>
      </c>
      <c r="AO218" s="604" t="s">
        <v>432</v>
      </c>
      <c r="AP218" s="604">
        <v>1348</v>
      </c>
      <c r="AR218" s="538" t="str">
        <f t="shared" si="38"/>
        <v>Ind/UnksexfetalUnknown</v>
      </c>
      <c r="AS218" s="604">
        <v>2016</v>
      </c>
      <c r="AT218" s="604" t="s">
        <v>458</v>
      </c>
      <c r="AU218" s="604" t="s">
        <v>451</v>
      </c>
      <c r="AV218" s="604" t="s">
        <v>63</v>
      </c>
      <c r="AW218" s="604">
        <v>1</v>
      </c>
      <c r="AX218" s="604">
        <v>1</v>
      </c>
      <c r="AY218" s="606" t="s">
        <v>119</v>
      </c>
      <c r="AZ218" s="604" t="s">
        <v>420</v>
      </c>
      <c r="BB218" s="536" t="str">
        <f t="shared" si="39"/>
        <v>European or OtherethbirthsWest Coast</v>
      </c>
      <c r="BC218" s="604">
        <v>2016</v>
      </c>
      <c r="BD218" s="604" t="s">
        <v>356</v>
      </c>
      <c r="BE218" s="604" t="s">
        <v>449</v>
      </c>
      <c r="BF218" s="604" t="s">
        <v>100</v>
      </c>
      <c r="BG218" s="604">
        <v>229</v>
      </c>
      <c r="BH218" s="604" t="s">
        <v>445</v>
      </c>
      <c r="BY218" s="553" t="str">
        <f t="shared" si="40"/>
        <v>20134500+bwtSIDS</v>
      </c>
      <c r="BZ218" s="604">
        <v>2013</v>
      </c>
      <c r="CA218" s="604" t="s">
        <v>432</v>
      </c>
      <c r="CB218" s="604" t="s">
        <v>447</v>
      </c>
      <c r="CC218" s="604">
        <v>0</v>
      </c>
      <c r="CD218" s="604" t="s">
        <v>32</v>
      </c>
      <c r="CF218" s="554" t="str">
        <f t="shared" si="41"/>
        <v>2016European or OtherInd/UnksexSUDI</v>
      </c>
      <c r="CG218" s="604">
        <v>2016</v>
      </c>
      <c r="CH218" s="604" t="s">
        <v>356</v>
      </c>
      <c r="CI218" s="604" t="s">
        <v>458</v>
      </c>
      <c r="CJ218" s="604" t="s">
        <v>451</v>
      </c>
      <c r="CK218" s="604">
        <v>0</v>
      </c>
      <c r="CL218" s="604" t="s">
        <v>33</v>
      </c>
      <c r="CV218" s="575"/>
    </row>
    <row r="219" spans="9:100">
      <c r="I219" s="578" t="str">
        <f t="shared" si="34"/>
        <v>2012sexMaleFetal</v>
      </c>
      <c r="J219" s="604">
        <v>2012</v>
      </c>
      <c r="K219" s="604" t="s">
        <v>451</v>
      </c>
      <c r="L219" s="604" t="s">
        <v>70</v>
      </c>
      <c r="M219" s="604">
        <v>224</v>
      </c>
      <c r="N219" s="604">
        <v>31922</v>
      </c>
      <c r="O219" s="604">
        <v>7</v>
      </c>
      <c r="P219" s="604" t="s">
        <v>47</v>
      </c>
      <c r="Q219" s="499"/>
      <c r="R219" s="502" t="str">
        <f t="shared" si="35"/>
        <v>2007birthsdepQuin 4</v>
      </c>
      <c r="S219" s="604">
        <v>2007</v>
      </c>
      <c r="T219" s="604" t="s">
        <v>445</v>
      </c>
      <c r="U219" s="604" t="s">
        <v>454</v>
      </c>
      <c r="V219" s="604" t="s">
        <v>424</v>
      </c>
      <c r="W219" s="604">
        <v>14079</v>
      </c>
      <c r="Y219" s="535" t="str">
        <f t="shared" si="36"/>
        <v>2016gestbwt42+4500+fetal</v>
      </c>
      <c r="Z219" s="604">
        <v>2016</v>
      </c>
      <c r="AA219" s="604" t="s">
        <v>450</v>
      </c>
      <c r="AB219" s="604" t="s">
        <v>447</v>
      </c>
      <c r="AC219" s="604" t="s">
        <v>138</v>
      </c>
      <c r="AD219" s="604" t="s">
        <v>432</v>
      </c>
      <c r="AE219" s="604">
        <v>0</v>
      </c>
      <c r="AF219" s="604">
        <v>69</v>
      </c>
      <c r="AG219" s="604">
        <v>0</v>
      </c>
      <c r="AH219" s="604" t="s">
        <v>420</v>
      </c>
      <c r="AJ219" s="535" t="str">
        <f t="shared" si="37"/>
        <v>2016gestbwt42+4500+</v>
      </c>
      <c r="AK219" s="604">
        <v>2016</v>
      </c>
      <c r="AL219" s="604" t="s">
        <v>450</v>
      </c>
      <c r="AM219" s="604" t="s">
        <v>447</v>
      </c>
      <c r="AN219" s="604" t="s">
        <v>138</v>
      </c>
      <c r="AO219" s="604" t="s">
        <v>432</v>
      </c>
      <c r="AP219" s="604">
        <v>69</v>
      </c>
      <c r="AR219" s="538" t="str">
        <f t="shared" si="38"/>
        <v>Quin 2depfetalNorthland</v>
      </c>
      <c r="AS219" s="604">
        <v>2016</v>
      </c>
      <c r="AT219" s="604" t="s">
        <v>422</v>
      </c>
      <c r="AU219" s="604" t="s">
        <v>454</v>
      </c>
      <c r="AV219" s="604" t="s">
        <v>85</v>
      </c>
      <c r="AW219" s="604">
        <v>2</v>
      </c>
      <c r="AX219" s="604">
        <v>199</v>
      </c>
      <c r="AY219" s="606">
        <v>10.1</v>
      </c>
      <c r="AZ219" s="604" t="s">
        <v>420</v>
      </c>
      <c r="BB219" s="536" t="str">
        <f t="shared" si="39"/>
        <v>MaoriethbirthsCanterbury</v>
      </c>
      <c r="BC219" s="604">
        <v>2016</v>
      </c>
      <c r="BD219" s="604" t="s">
        <v>129</v>
      </c>
      <c r="BE219" s="604" t="s">
        <v>449</v>
      </c>
      <c r="BF219" s="604" t="s">
        <v>101</v>
      </c>
      <c r="BG219" s="604">
        <v>1161</v>
      </c>
      <c r="BH219" s="604" t="s">
        <v>445</v>
      </c>
      <c r="BY219" s="553" t="str">
        <f t="shared" si="40"/>
        <v>2013UnknownbwtSIDS</v>
      </c>
      <c r="BZ219" s="604">
        <v>2013</v>
      </c>
      <c r="CA219" s="604" t="s">
        <v>63</v>
      </c>
      <c r="CB219" s="604" t="s">
        <v>447</v>
      </c>
      <c r="CC219" s="604">
        <v>0</v>
      </c>
      <c r="CD219" s="604" t="s">
        <v>32</v>
      </c>
      <c r="CF219" s="554" t="str">
        <f t="shared" si="41"/>
        <v>2016MaoriInd/UnksexSUDI</v>
      </c>
      <c r="CG219" s="604">
        <v>2016</v>
      </c>
      <c r="CH219" s="604" t="s">
        <v>129</v>
      </c>
      <c r="CI219" s="604" t="s">
        <v>458</v>
      </c>
      <c r="CJ219" s="604" t="s">
        <v>451</v>
      </c>
      <c r="CK219" s="604">
        <v>0</v>
      </c>
      <c r="CL219" s="604" t="s">
        <v>33</v>
      </c>
      <c r="CV219" s="575"/>
    </row>
    <row r="220" spans="9:100">
      <c r="I220" s="578" t="str">
        <f t="shared" si="34"/>
        <v>2012sexFemaleFetal</v>
      </c>
      <c r="J220" s="604">
        <v>2012</v>
      </c>
      <c r="K220" s="604" t="s">
        <v>451</v>
      </c>
      <c r="L220" s="604" t="s">
        <v>71</v>
      </c>
      <c r="M220" s="604">
        <v>215</v>
      </c>
      <c r="N220" s="604">
        <v>30552</v>
      </c>
      <c r="O220" s="604">
        <v>7</v>
      </c>
      <c r="P220" s="604" t="s">
        <v>47</v>
      </c>
      <c r="Q220" s="499"/>
      <c r="R220" s="502" t="str">
        <f t="shared" si="35"/>
        <v>2007birthsdepQuin 5</v>
      </c>
      <c r="S220" s="604">
        <v>2007</v>
      </c>
      <c r="T220" s="604" t="s">
        <v>445</v>
      </c>
      <c r="U220" s="604" t="s">
        <v>454</v>
      </c>
      <c r="V220" s="604" t="s">
        <v>425</v>
      </c>
      <c r="W220" s="604">
        <v>16131</v>
      </c>
      <c r="Y220" s="535" t="str">
        <f t="shared" si="36"/>
        <v>2016gestbwt&lt;28Unknownfetal</v>
      </c>
      <c r="Z220" s="604">
        <v>2016</v>
      </c>
      <c r="AA220" s="604" t="s">
        <v>450</v>
      </c>
      <c r="AB220" s="604" t="s">
        <v>447</v>
      </c>
      <c r="AC220" s="604" t="s">
        <v>375</v>
      </c>
      <c r="AD220" s="604" t="s">
        <v>63</v>
      </c>
      <c r="AE220" s="604">
        <v>11</v>
      </c>
      <c r="AF220" s="604">
        <v>1</v>
      </c>
      <c r="AG220" s="604" t="s">
        <v>119</v>
      </c>
      <c r="AH220" s="604" t="s">
        <v>420</v>
      </c>
      <c r="AJ220" s="535" t="str">
        <f t="shared" si="37"/>
        <v>2016gestbwt&lt;28Unknown</v>
      </c>
      <c r="AK220" s="604">
        <v>2016</v>
      </c>
      <c r="AL220" s="604" t="s">
        <v>450</v>
      </c>
      <c r="AM220" s="604" t="s">
        <v>447</v>
      </c>
      <c r="AN220" s="604" t="s">
        <v>375</v>
      </c>
      <c r="AO220" s="604" t="s">
        <v>63</v>
      </c>
      <c r="AP220" s="604">
        <v>1</v>
      </c>
      <c r="AR220" s="538" t="str">
        <f t="shared" si="38"/>
        <v>Quin 3depfetalNorthland</v>
      </c>
      <c r="AS220" s="604">
        <v>2016</v>
      </c>
      <c r="AT220" s="604" t="s">
        <v>423</v>
      </c>
      <c r="AU220" s="604" t="s">
        <v>454</v>
      </c>
      <c r="AV220" s="604" t="s">
        <v>85</v>
      </c>
      <c r="AW220" s="604">
        <v>5</v>
      </c>
      <c r="AX220" s="604">
        <v>312</v>
      </c>
      <c r="AY220" s="606">
        <v>16</v>
      </c>
      <c r="AZ220" s="604" t="s">
        <v>420</v>
      </c>
      <c r="BB220" s="536" t="str">
        <f t="shared" si="39"/>
        <v>Pacific peoplesethbirthsCanterbury</v>
      </c>
      <c r="BC220" s="604">
        <v>2016</v>
      </c>
      <c r="BD220" s="604" t="s">
        <v>320</v>
      </c>
      <c r="BE220" s="604" t="s">
        <v>449</v>
      </c>
      <c r="BF220" s="604" t="s">
        <v>101</v>
      </c>
      <c r="BG220" s="604">
        <v>341</v>
      </c>
      <c r="BH220" s="604" t="s">
        <v>445</v>
      </c>
      <c r="BY220" s="553" t="str">
        <f t="shared" si="40"/>
        <v>2014&lt;500bwtSIDS</v>
      </c>
      <c r="BZ220" s="604">
        <v>2014</v>
      </c>
      <c r="CA220" s="604" t="s">
        <v>427</v>
      </c>
      <c r="CB220" s="604" t="s">
        <v>447</v>
      </c>
      <c r="CC220" s="604">
        <v>0</v>
      </c>
      <c r="CD220" s="604" t="s">
        <v>32</v>
      </c>
      <c r="CF220" s="554" t="str">
        <f t="shared" si="41"/>
        <v>2016Pacific peoplesInd/UnksexSUDI</v>
      </c>
      <c r="CG220" s="604">
        <v>2016</v>
      </c>
      <c r="CH220" s="604" t="s">
        <v>320</v>
      </c>
      <c r="CI220" s="604" t="s">
        <v>458</v>
      </c>
      <c r="CJ220" s="604" t="s">
        <v>451</v>
      </c>
      <c r="CK220" s="604">
        <v>0</v>
      </c>
      <c r="CL220" s="604" t="s">
        <v>33</v>
      </c>
      <c r="CV220" s="575"/>
    </row>
    <row r="221" spans="9:100">
      <c r="I221" s="578" t="str">
        <f t="shared" si="34"/>
        <v>2012sexInd/UnkFetal</v>
      </c>
      <c r="J221" s="604">
        <v>2012</v>
      </c>
      <c r="K221" s="604" t="s">
        <v>451</v>
      </c>
      <c r="L221" s="604" t="s">
        <v>458</v>
      </c>
      <c r="M221" s="604">
        <v>9</v>
      </c>
      <c r="N221" s="604">
        <v>9</v>
      </c>
      <c r="O221" s="604" t="s">
        <v>119</v>
      </c>
      <c r="P221" s="604" t="s">
        <v>47</v>
      </c>
      <c r="Q221" s="499"/>
      <c r="R221" s="502" t="str">
        <f t="shared" si="35"/>
        <v>2007birthsdepQuin 9</v>
      </c>
      <c r="S221" s="604">
        <v>2007</v>
      </c>
      <c r="T221" s="604" t="s">
        <v>445</v>
      </c>
      <c r="U221" s="604" t="s">
        <v>454</v>
      </c>
      <c r="V221" s="604" t="s">
        <v>426</v>
      </c>
      <c r="W221" s="604">
        <v>4409</v>
      </c>
      <c r="Y221" s="535" t="str">
        <f t="shared" si="36"/>
        <v>2016gestbwt32-36Unknownfetal</v>
      </c>
      <c r="Z221" s="604">
        <v>2016</v>
      </c>
      <c r="AA221" s="604" t="s">
        <v>450</v>
      </c>
      <c r="AB221" s="604" t="s">
        <v>447</v>
      </c>
      <c r="AC221" s="604" t="s">
        <v>136</v>
      </c>
      <c r="AD221" s="604" t="s">
        <v>63</v>
      </c>
      <c r="AE221" s="604">
        <v>1</v>
      </c>
      <c r="AF221" s="604">
        <v>1</v>
      </c>
      <c r="AG221" s="604" t="s">
        <v>119</v>
      </c>
      <c r="AH221" s="604" t="s">
        <v>420</v>
      </c>
      <c r="AJ221" s="535" t="str">
        <f t="shared" si="37"/>
        <v>2016gestbwt32-36Unknown</v>
      </c>
      <c r="AK221" s="604">
        <v>2016</v>
      </c>
      <c r="AL221" s="604" t="s">
        <v>450</v>
      </c>
      <c r="AM221" s="604" t="s">
        <v>447</v>
      </c>
      <c r="AN221" s="604" t="s">
        <v>136</v>
      </c>
      <c r="AO221" s="604" t="s">
        <v>63</v>
      </c>
      <c r="AP221" s="604">
        <v>1</v>
      </c>
      <c r="AR221" s="538" t="str">
        <f t="shared" si="38"/>
        <v>Quin 4depfetalNorthland</v>
      </c>
      <c r="AS221" s="604">
        <v>2016</v>
      </c>
      <c r="AT221" s="604" t="s">
        <v>424</v>
      </c>
      <c r="AU221" s="604" t="s">
        <v>454</v>
      </c>
      <c r="AV221" s="604" t="s">
        <v>85</v>
      </c>
      <c r="AW221" s="604">
        <v>4</v>
      </c>
      <c r="AX221" s="604">
        <v>606</v>
      </c>
      <c r="AY221" s="606">
        <v>6.6</v>
      </c>
      <c r="AZ221" s="604" t="s">
        <v>420</v>
      </c>
      <c r="BB221" s="536" t="str">
        <f t="shared" si="39"/>
        <v>AsianethbirthsCanterbury</v>
      </c>
      <c r="BC221" s="604">
        <v>2016</v>
      </c>
      <c r="BD221" s="604" t="s">
        <v>355</v>
      </c>
      <c r="BE221" s="604" t="s">
        <v>449</v>
      </c>
      <c r="BF221" s="604" t="s">
        <v>101</v>
      </c>
      <c r="BG221" s="604">
        <v>1083</v>
      </c>
      <c r="BH221" s="604" t="s">
        <v>445</v>
      </c>
      <c r="BY221" s="553" t="str">
        <f t="shared" si="40"/>
        <v>2014500-999bwtSIDS</v>
      </c>
      <c r="BZ221" s="604">
        <v>2014</v>
      </c>
      <c r="CA221" s="604" t="s">
        <v>428</v>
      </c>
      <c r="CB221" s="604" t="s">
        <v>447</v>
      </c>
      <c r="CC221" s="604">
        <v>0</v>
      </c>
      <c r="CD221" s="604" t="s">
        <v>32</v>
      </c>
      <c r="CF221" s="554" t="str">
        <f t="shared" si="41"/>
        <v>2016AsianQuin 1depSUDI</v>
      </c>
      <c r="CG221" s="604">
        <v>2016</v>
      </c>
      <c r="CH221" s="604" t="s">
        <v>355</v>
      </c>
      <c r="CI221" s="604" t="s">
        <v>421</v>
      </c>
      <c r="CJ221" s="604" t="s">
        <v>454</v>
      </c>
      <c r="CK221" s="604">
        <v>0</v>
      </c>
      <c r="CL221" s="604" t="s">
        <v>33</v>
      </c>
      <c r="CV221" s="575"/>
    </row>
    <row r="222" spans="9:100">
      <c r="I222" s="578" t="str">
        <f t="shared" si="34"/>
        <v>2013sexMaleFetal</v>
      </c>
      <c r="J222" s="604">
        <v>2013</v>
      </c>
      <c r="K222" s="604" t="s">
        <v>451</v>
      </c>
      <c r="L222" s="604" t="s">
        <v>70</v>
      </c>
      <c r="M222" s="604">
        <v>200</v>
      </c>
      <c r="N222" s="604">
        <v>30826</v>
      </c>
      <c r="O222" s="604">
        <v>6.5</v>
      </c>
      <c r="P222" s="604" t="s">
        <v>47</v>
      </c>
      <c r="Q222" s="499"/>
      <c r="R222" s="502" t="str">
        <f t="shared" si="35"/>
        <v>2008birthsdepQuin 1</v>
      </c>
      <c r="S222" s="604">
        <v>2008</v>
      </c>
      <c r="T222" s="604" t="s">
        <v>445</v>
      </c>
      <c r="U222" s="604" t="s">
        <v>454</v>
      </c>
      <c r="V222" s="604" t="s">
        <v>421</v>
      </c>
      <c r="W222" s="604">
        <v>9619</v>
      </c>
      <c r="Y222" s="535" t="str">
        <f t="shared" si="36"/>
        <v>2016gestbwt37-41Unknownfetal</v>
      </c>
      <c r="Z222" s="604">
        <v>2016</v>
      </c>
      <c r="AA222" s="604" t="s">
        <v>450</v>
      </c>
      <c r="AB222" s="604" t="s">
        <v>447</v>
      </c>
      <c r="AC222" s="604" t="s">
        <v>137</v>
      </c>
      <c r="AD222" s="604" t="s">
        <v>63</v>
      </c>
      <c r="AE222" s="604">
        <v>2</v>
      </c>
      <c r="AF222" s="604">
        <v>21</v>
      </c>
      <c r="AG222" s="604" t="s">
        <v>119</v>
      </c>
      <c r="AH222" s="604" t="s">
        <v>420</v>
      </c>
      <c r="AJ222" s="535" t="str">
        <f t="shared" si="37"/>
        <v>2016gestbwt37-41Unknown</v>
      </c>
      <c r="AK222" s="604">
        <v>2016</v>
      </c>
      <c r="AL222" s="604" t="s">
        <v>450</v>
      </c>
      <c r="AM222" s="604" t="s">
        <v>447</v>
      </c>
      <c r="AN222" s="604" t="s">
        <v>137</v>
      </c>
      <c r="AO222" s="604" t="s">
        <v>63</v>
      </c>
      <c r="AP222" s="604">
        <v>21</v>
      </c>
      <c r="AR222" s="538" t="str">
        <f t="shared" si="38"/>
        <v>Quin 5depfetalNorthland</v>
      </c>
      <c r="AS222" s="604">
        <v>2016</v>
      </c>
      <c r="AT222" s="604" t="s">
        <v>425</v>
      </c>
      <c r="AU222" s="604" t="s">
        <v>454</v>
      </c>
      <c r="AV222" s="604" t="s">
        <v>85</v>
      </c>
      <c r="AW222" s="604">
        <v>9</v>
      </c>
      <c r="AX222" s="604">
        <v>1209</v>
      </c>
      <c r="AY222" s="606">
        <v>7.4</v>
      </c>
      <c r="AZ222" s="604" t="s">
        <v>420</v>
      </c>
      <c r="BB222" s="536" t="str">
        <f t="shared" si="39"/>
        <v>European or OtherethbirthsCanterbury</v>
      </c>
      <c r="BC222" s="604">
        <v>2016</v>
      </c>
      <c r="BD222" s="604" t="s">
        <v>356</v>
      </c>
      <c r="BE222" s="604" t="s">
        <v>449</v>
      </c>
      <c r="BF222" s="604" t="s">
        <v>101</v>
      </c>
      <c r="BG222" s="604">
        <v>3814</v>
      </c>
      <c r="BH222" s="604" t="s">
        <v>445</v>
      </c>
      <c r="BY222" s="553" t="str">
        <f t="shared" si="40"/>
        <v>20141000-1499bwtSIDS</v>
      </c>
      <c r="BZ222" s="604">
        <v>2014</v>
      </c>
      <c r="CA222" s="604" t="s">
        <v>429</v>
      </c>
      <c r="CB222" s="604" t="s">
        <v>447</v>
      </c>
      <c r="CC222" s="604">
        <v>0</v>
      </c>
      <c r="CD222" s="604" t="s">
        <v>32</v>
      </c>
      <c r="CF222" s="554" t="str">
        <f t="shared" si="41"/>
        <v>2016European or OtherQuin 1depSUDI</v>
      </c>
      <c r="CG222" s="604">
        <v>2016</v>
      </c>
      <c r="CH222" s="604" t="s">
        <v>356</v>
      </c>
      <c r="CI222" s="604" t="s">
        <v>421</v>
      </c>
      <c r="CJ222" s="604" t="s">
        <v>454</v>
      </c>
      <c r="CK222" s="604">
        <v>0</v>
      </c>
      <c r="CL222" s="604" t="s">
        <v>33</v>
      </c>
      <c r="CV222" s="575"/>
    </row>
    <row r="223" spans="9:100">
      <c r="I223" s="578" t="str">
        <f t="shared" si="34"/>
        <v>2013sexFemaleFetal</v>
      </c>
      <c r="J223" s="604">
        <v>2013</v>
      </c>
      <c r="K223" s="604" t="s">
        <v>451</v>
      </c>
      <c r="L223" s="604" t="s">
        <v>71</v>
      </c>
      <c r="M223" s="604">
        <v>186</v>
      </c>
      <c r="N223" s="604">
        <v>29261</v>
      </c>
      <c r="O223" s="604">
        <v>6.4</v>
      </c>
      <c r="P223" s="604" t="s">
        <v>47</v>
      </c>
      <c r="Q223" s="499"/>
      <c r="R223" s="502" t="str">
        <f t="shared" si="35"/>
        <v>2008birthsdepQuin 2</v>
      </c>
      <c r="S223" s="604">
        <v>2008</v>
      </c>
      <c r="T223" s="604" t="s">
        <v>445</v>
      </c>
      <c r="U223" s="604" t="s">
        <v>454</v>
      </c>
      <c r="V223" s="604" t="s">
        <v>422</v>
      </c>
      <c r="W223" s="604">
        <v>10484</v>
      </c>
      <c r="Y223" s="535" t="str">
        <f t="shared" si="36"/>
        <v>2016gestbwt42+Unknownfetal</v>
      </c>
      <c r="Z223" s="604">
        <v>2016</v>
      </c>
      <c r="AA223" s="604" t="s">
        <v>450</v>
      </c>
      <c r="AB223" s="604" t="s">
        <v>447</v>
      </c>
      <c r="AC223" s="604" t="s">
        <v>138</v>
      </c>
      <c r="AD223" s="604" t="s">
        <v>63</v>
      </c>
      <c r="AE223" s="604">
        <v>0</v>
      </c>
      <c r="AF223" s="604">
        <v>1</v>
      </c>
      <c r="AG223" s="604" t="s">
        <v>119</v>
      </c>
      <c r="AH223" s="604" t="s">
        <v>420</v>
      </c>
      <c r="AJ223" s="535" t="str">
        <f t="shared" si="37"/>
        <v>2016gestbwt42+Unknown</v>
      </c>
      <c r="AK223" s="604">
        <v>2016</v>
      </c>
      <c r="AL223" s="604" t="s">
        <v>450</v>
      </c>
      <c r="AM223" s="604" t="s">
        <v>447</v>
      </c>
      <c r="AN223" s="604" t="s">
        <v>138</v>
      </c>
      <c r="AO223" s="604" t="s">
        <v>63</v>
      </c>
      <c r="AP223" s="604">
        <v>1</v>
      </c>
      <c r="AR223" s="538" t="str">
        <f t="shared" si="38"/>
        <v>Quin 1depfetalWaitemata</v>
      </c>
      <c r="AS223" s="604">
        <v>2016</v>
      </c>
      <c r="AT223" s="604" t="s">
        <v>421</v>
      </c>
      <c r="AU223" s="604" t="s">
        <v>454</v>
      </c>
      <c r="AV223" s="604" t="s">
        <v>86</v>
      </c>
      <c r="AW223" s="604">
        <v>8</v>
      </c>
      <c r="AX223" s="604">
        <v>1743</v>
      </c>
      <c r="AY223" s="606">
        <v>4.5999999999999996</v>
      </c>
      <c r="AZ223" s="604" t="s">
        <v>420</v>
      </c>
      <c r="BB223" s="536" t="str">
        <f t="shared" si="39"/>
        <v>MaoriethbirthsSouth Canterbury</v>
      </c>
      <c r="BC223" s="604">
        <v>2016</v>
      </c>
      <c r="BD223" s="604" t="s">
        <v>129</v>
      </c>
      <c r="BE223" s="604" t="s">
        <v>449</v>
      </c>
      <c r="BF223" s="604" t="s">
        <v>102</v>
      </c>
      <c r="BG223" s="604">
        <v>105</v>
      </c>
      <c r="BH223" s="604" t="s">
        <v>445</v>
      </c>
      <c r="BY223" s="553" t="str">
        <f t="shared" si="40"/>
        <v>20141500-2499bwtSIDS</v>
      </c>
      <c r="BZ223" s="604">
        <v>2014</v>
      </c>
      <c r="CA223" s="604" t="s">
        <v>430</v>
      </c>
      <c r="CB223" s="604" t="s">
        <v>447</v>
      </c>
      <c r="CC223" s="604">
        <v>2</v>
      </c>
      <c r="CD223" s="604" t="s">
        <v>32</v>
      </c>
      <c r="CF223" s="554" t="str">
        <f t="shared" si="41"/>
        <v>2016MaoriQuin 1depSUDI</v>
      </c>
      <c r="CG223" s="604">
        <v>2016</v>
      </c>
      <c r="CH223" s="604" t="s">
        <v>129</v>
      </c>
      <c r="CI223" s="604" t="s">
        <v>421</v>
      </c>
      <c r="CJ223" s="604" t="s">
        <v>454</v>
      </c>
      <c r="CK223" s="604">
        <v>1</v>
      </c>
      <c r="CL223" s="604" t="s">
        <v>33</v>
      </c>
      <c r="CV223" s="575"/>
    </row>
    <row r="224" spans="9:100">
      <c r="I224" s="578" t="str">
        <f t="shared" si="34"/>
        <v>2013sexInd/UnkFetal</v>
      </c>
      <c r="J224" s="604">
        <v>2013</v>
      </c>
      <c r="K224" s="604" t="s">
        <v>451</v>
      </c>
      <c r="L224" s="604" t="s">
        <v>458</v>
      </c>
      <c r="M224" s="604">
        <v>7</v>
      </c>
      <c r="N224" s="604">
        <v>7</v>
      </c>
      <c r="O224" s="604" t="s">
        <v>119</v>
      </c>
      <c r="P224" s="604" t="s">
        <v>47</v>
      </c>
      <c r="Q224" s="499"/>
      <c r="R224" s="502" t="str">
        <f t="shared" si="35"/>
        <v>2008birthsdepQuin 3</v>
      </c>
      <c r="S224" s="604">
        <v>2008</v>
      </c>
      <c r="T224" s="604" t="s">
        <v>445</v>
      </c>
      <c r="U224" s="604" t="s">
        <v>454</v>
      </c>
      <c r="V224" s="604" t="s">
        <v>423</v>
      </c>
      <c r="W224" s="604">
        <v>12163</v>
      </c>
      <c r="Y224" s="535" t="str">
        <f t="shared" si="36"/>
        <v>2016gestbwtUnknownUnknownfetal</v>
      </c>
      <c r="Z224" s="604">
        <v>2016</v>
      </c>
      <c r="AA224" s="604" t="s">
        <v>450</v>
      </c>
      <c r="AB224" s="604" t="s">
        <v>447</v>
      </c>
      <c r="AC224" s="604" t="s">
        <v>63</v>
      </c>
      <c r="AD224" s="604" t="s">
        <v>63</v>
      </c>
      <c r="AE224" s="604">
        <v>4</v>
      </c>
      <c r="AF224" s="604">
        <v>11</v>
      </c>
      <c r="AG224" s="604" t="s">
        <v>119</v>
      </c>
      <c r="AH224" s="604" t="s">
        <v>420</v>
      </c>
      <c r="AJ224" s="535" t="str">
        <f t="shared" si="37"/>
        <v>2016gestbwtUnknownUnknown</v>
      </c>
      <c r="AK224" s="604">
        <v>2016</v>
      </c>
      <c r="AL224" s="604" t="s">
        <v>450</v>
      </c>
      <c r="AM224" s="604" t="s">
        <v>447</v>
      </c>
      <c r="AN224" s="604" t="s">
        <v>63</v>
      </c>
      <c r="AO224" s="604" t="s">
        <v>63</v>
      </c>
      <c r="AP224" s="604">
        <v>11</v>
      </c>
      <c r="AR224" s="538" t="str">
        <f t="shared" si="38"/>
        <v>Quin 2depfetalWaitemata</v>
      </c>
      <c r="AS224" s="604">
        <v>2016</v>
      </c>
      <c r="AT224" s="604" t="s">
        <v>422</v>
      </c>
      <c r="AU224" s="604" t="s">
        <v>454</v>
      </c>
      <c r="AV224" s="604" t="s">
        <v>86</v>
      </c>
      <c r="AW224" s="604">
        <v>14</v>
      </c>
      <c r="AX224" s="604">
        <v>1915</v>
      </c>
      <c r="AY224" s="606">
        <v>7.3</v>
      </c>
      <c r="AZ224" s="604" t="s">
        <v>420</v>
      </c>
      <c r="BB224" s="536" t="str">
        <f t="shared" si="39"/>
        <v>Pacific peoplesethbirthsSouth Canterbury</v>
      </c>
      <c r="BC224" s="604">
        <v>2016</v>
      </c>
      <c r="BD224" s="604" t="s">
        <v>320</v>
      </c>
      <c r="BE224" s="604" t="s">
        <v>449</v>
      </c>
      <c r="BF224" s="604" t="s">
        <v>102</v>
      </c>
      <c r="BG224" s="604">
        <v>19</v>
      </c>
      <c r="BH224" s="604" t="s">
        <v>445</v>
      </c>
      <c r="BY224" s="553" t="str">
        <f t="shared" si="40"/>
        <v>20142500-4499bwtSIDS</v>
      </c>
      <c r="BZ224" s="604">
        <v>2014</v>
      </c>
      <c r="CA224" s="604" t="s">
        <v>431</v>
      </c>
      <c r="CB224" s="604" t="s">
        <v>447</v>
      </c>
      <c r="CC224" s="604">
        <v>12</v>
      </c>
      <c r="CD224" s="604" t="s">
        <v>32</v>
      </c>
      <c r="CF224" s="554" t="str">
        <f t="shared" si="41"/>
        <v>2016Pacific peoplesQuin 1depSUDI</v>
      </c>
      <c r="CG224" s="604">
        <v>2016</v>
      </c>
      <c r="CH224" s="604" t="s">
        <v>320</v>
      </c>
      <c r="CI224" s="604" t="s">
        <v>421</v>
      </c>
      <c r="CJ224" s="604" t="s">
        <v>454</v>
      </c>
      <c r="CK224" s="604">
        <v>0</v>
      </c>
      <c r="CL224" s="604" t="s">
        <v>33</v>
      </c>
      <c r="CV224" s="575"/>
    </row>
    <row r="225" spans="9:100">
      <c r="I225" s="578" t="str">
        <f t="shared" si="34"/>
        <v>2014sexMaleFetal</v>
      </c>
      <c r="J225" s="604">
        <v>2014</v>
      </c>
      <c r="K225" s="604" t="s">
        <v>451</v>
      </c>
      <c r="L225" s="604" t="s">
        <v>70</v>
      </c>
      <c r="M225" s="604">
        <v>243</v>
      </c>
      <c r="N225" s="604">
        <v>30378</v>
      </c>
      <c r="O225" s="604">
        <v>8</v>
      </c>
      <c r="P225" s="604" t="s">
        <v>47</v>
      </c>
      <c r="Q225" s="499"/>
      <c r="R225" s="502" t="str">
        <f t="shared" si="35"/>
        <v>2008birthsdepQuin 4</v>
      </c>
      <c r="S225" s="604">
        <v>2008</v>
      </c>
      <c r="T225" s="604" t="s">
        <v>445</v>
      </c>
      <c r="U225" s="604" t="s">
        <v>454</v>
      </c>
      <c r="V225" s="604" t="s">
        <v>424</v>
      </c>
      <c r="W225" s="604">
        <v>14806</v>
      </c>
      <c r="Y225" s="535" t="str">
        <f t="shared" si="36"/>
        <v>2016agebwt&lt;20&lt;500fetal</v>
      </c>
      <c r="Z225" s="604">
        <v>2016</v>
      </c>
      <c r="AA225" s="604" t="s">
        <v>453</v>
      </c>
      <c r="AB225" s="604" t="s">
        <v>447</v>
      </c>
      <c r="AC225" s="604" t="s">
        <v>339</v>
      </c>
      <c r="AD225" s="604" t="s">
        <v>427</v>
      </c>
      <c r="AE225" s="604">
        <v>11</v>
      </c>
      <c r="AF225" s="604">
        <v>2</v>
      </c>
      <c r="AG225" s="604" t="s">
        <v>119</v>
      </c>
      <c r="AH225" s="604" t="s">
        <v>420</v>
      </c>
      <c r="AJ225" s="535" t="str">
        <f t="shared" si="37"/>
        <v>2016agebwt&lt;20&lt;500</v>
      </c>
      <c r="AK225" s="604">
        <v>2016</v>
      </c>
      <c r="AL225" s="604" t="s">
        <v>453</v>
      </c>
      <c r="AM225" s="604" t="s">
        <v>447</v>
      </c>
      <c r="AN225" s="604" t="s">
        <v>339</v>
      </c>
      <c r="AO225" s="604" t="s">
        <v>427</v>
      </c>
      <c r="AP225" s="604">
        <v>2</v>
      </c>
      <c r="AR225" s="538" t="str">
        <f t="shared" si="38"/>
        <v>Quin 3depfetalWaitemata</v>
      </c>
      <c r="AS225" s="604">
        <v>2016</v>
      </c>
      <c r="AT225" s="604" t="s">
        <v>423</v>
      </c>
      <c r="AU225" s="604" t="s">
        <v>454</v>
      </c>
      <c r="AV225" s="604" t="s">
        <v>86</v>
      </c>
      <c r="AW225" s="604">
        <v>3</v>
      </c>
      <c r="AX225" s="604">
        <v>1822</v>
      </c>
      <c r="AY225" s="606">
        <v>1.6</v>
      </c>
      <c r="AZ225" s="604" t="s">
        <v>420</v>
      </c>
      <c r="BB225" s="536" t="str">
        <f t="shared" si="39"/>
        <v>AsianethbirthsSouth Canterbury</v>
      </c>
      <c r="BC225" s="604">
        <v>2016</v>
      </c>
      <c r="BD225" s="604" t="s">
        <v>355</v>
      </c>
      <c r="BE225" s="604" t="s">
        <v>449</v>
      </c>
      <c r="BF225" s="604" t="s">
        <v>102</v>
      </c>
      <c r="BG225" s="604">
        <v>53</v>
      </c>
      <c r="BH225" s="604" t="s">
        <v>445</v>
      </c>
      <c r="BY225" s="553" t="str">
        <f t="shared" si="40"/>
        <v>20144500+bwtSIDS</v>
      </c>
      <c r="BZ225" s="604">
        <v>2014</v>
      </c>
      <c r="CA225" s="604" t="s">
        <v>432</v>
      </c>
      <c r="CB225" s="604" t="s">
        <v>447</v>
      </c>
      <c r="CC225" s="604">
        <v>0</v>
      </c>
      <c r="CD225" s="604" t="s">
        <v>32</v>
      </c>
      <c r="CF225" s="554" t="str">
        <f t="shared" si="41"/>
        <v>2016AsianQuin 2depSUDI</v>
      </c>
      <c r="CG225" s="604">
        <v>2016</v>
      </c>
      <c r="CH225" s="604" t="s">
        <v>355</v>
      </c>
      <c r="CI225" s="604" t="s">
        <v>422</v>
      </c>
      <c r="CJ225" s="604" t="s">
        <v>454</v>
      </c>
      <c r="CK225" s="604">
        <v>0</v>
      </c>
      <c r="CL225" s="604" t="s">
        <v>33</v>
      </c>
      <c r="CV225" s="575"/>
    </row>
    <row r="226" spans="9:100">
      <c r="I226" s="578" t="str">
        <f t="shared" si="34"/>
        <v>2014sexFemaleFetal</v>
      </c>
      <c r="J226" s="604">
        <v>2014</v>
      </c>
      <c r="K226" s="604" t="s">
        <v>451</v>
      </c>
      <c r="L226" s="604" t="s">
        <v>71</v>
      </c>
      <c r="M226" s="604">
        <v>191</v>
      </c>
      <c r="N226" s="604">
        <v>28341</v>
      </c>
      <c r="O226" s="604">
        <v>6.7</v>
      </c>
      <c r="P226" s="604" t="s">
        <v>47</v>
      </c>
      <c r="Q226" s="499"/>
      <c r="R226" s="502" t="str">
        <f t="shared" si="35"/>
        <v>2008birthsdepQuin 5</v>
      </c>
      <c r="S226" s="604">
        <v>2008</v>
      </c>
      <c r="T226" s="604" t="s">
        <v>445</v>
      </c>
      <c r="U226" s="604" t="s">
        <v>454</v>
      </c>
      <c r="V226" s="604" t="s">
        <v>425</v>
      </c>
      <c r="W226" s="604">
        <v>17965</v>
      </c>
      <c r="Y226" s="535" t="str">
        <f t="shared" si="36"/>
        <v>2016agebwt20-24&lt;500fetal</v>
      </c>
      <c r="Z226" s="604">
        <v>2016</v>
      </c>
      <c r="AA226" s="604" t="s">
        <v>453</v>
      </c>
      <c r="AB226" s="604" t="s">
        <v>447</v>
      </c>
      <c r="AC226" s="604" t="s">
        <v>130</v>
      </c>
      <c r="AD226" s="604" t="s">
        <v>427</v>
      </c>
      <c r="AE226" s="604">
        <v>23</v>
      </c>
      <c r="AF226" s="604">
        <v>11</v>
      </c>
      <c r="AG226" s="604" t="s">
        <v>119</v>
      </c>
      <c r="AH226" s="604" t="s">
        <v>420</v>
      </c>
      <c r="AJ226" s="535" t="str">
        <f t="shared" si="37"/>
        <v>2016agebwt20-24&lt;500</v>
      </c>
      <c r="AK226" s="604">
        <v>2016</v>
      </c>
      <c r="AL226" s="604" t="s">
        <v>453</v>
      </c>
      <c r="AM226" s="604" t="s">
        <v>447</v>
      </c>
      <c r="AN226" s="604" t="s">
        <v>130</v>
      </c>
      <c r="AO226" s="604" t="s">
        <v>427</v>
      </c>
      <c r="AP226" s="604">
        <v>11</v>
      </c>
      <c r="AR226" s="538" t="str">
        <f t="shared" si="38"/>
        <v>Quin 4depfetalWaitemata</v>
      </c>
      <c r="AS226" s="604">
        <v>2016</v>
      </c>
      <c r="AT226" s="604" t="s">
        <v>424</v>
      </c>
      <c r="AU226" s="604" t="s">
        <v>454</v>
      </c>
      <c r="AV226" s="604" t="s">
        <v>86</v>
      </c>
      <c r="AW226" s="604">
        <v>10</v>
      </c>
      <c r="AX226" s="604">
        <v>1662</v>
      </c>
      <c r="AY226" s="606">
        <v>6</v>
      </c>
      <c r="AZ226" s="604" t="s">
        <v>420</v>
      </c>
      <c r="BB226" s="536" t="str">
        <f t="shared" si="39"/>
        <v>European or OtherethbirthsSouth Canterbury</v>
      </c>
      <c r="BC226" s="604">
        <v>2016</v>
      </c>
      <c r="BD226" s="604" t="s">
        <v>356</v>
      </c>
      <c r="BE226" s="604" t="s">
        <v>449</v>
      </c>
      <c r="BF226" s="604" t="s">
        <v>102</v>
      </c>
      <c r="BG226" s="604">
        <v>464</v>
      </c>
      <c r="BH226" s="604" t="s">
        <v>445</v>
      </c>
      <c r="BY226" s="553" t="str">
        <f t="shared" si="40"/>
        <v>2014UnknownbwtSIDS</v>
      </c>
      <c r="BZ226" s="604">
        <v>2014</v>
      </c>
      <c r="CA226" s="604" t="s">
        <v>63</v>
      </c>
      <c r="CB226" s="604" t="s">
        <v>447</v>
      </c>
      <c r="CC226" s="604">
        <v>0</v>
      </c>
      <c r="CD226" s="604" t="s">
        <v>32</v>
      </c>
      <c r="CF226" s="554" t="str">
        <f t="shared" si="41"/>
        <v>2016European or OtherQuin 2depSUDI</v>
      </c>
      <c r="CG226" s="604">
        <v>2016</v>
      </c>
      <c r="CH226" s="604" t="s">
        <v>356</v>
      </c>
      <c r="CI226" s="604" t="s">
        <v>422</v>
      </c>
      <c r="CJ226" s="604" t="s">
        <v>454</v>
      </c>
      <c r="CK226" s="604">
        <v>3</v>
      </c>
      <c r="CL226" s="604" t="s">
        <v>33</v>
      </c>
      <c r="CV226" s="575"/>
    </row>
    <row r="227" spans="9:100">
      <c r="I227" s="578" t="str">
        <f t="shared" si="34"/>
        <v>2014sexInd/UnkFetal</v>
      </c>
      <c r="J227" s="604">
        <v>2014</v>
      </c>
      <c r="K227" s="604" t="s">
        <v>451</v>
      </c>
      <c r="L227" s="604" t="s">
        <v>458</v>
      </c>
      <c r="M227" s="604">
        <v>13</v>
      </c>
      <c r="N227" s="604">
        <v>13</v>
      </c>
      <c r="O227" s="604" t="s">
        <v>119</v>
      </c>
      <c r="P227" s="604" t="s">
        <v>47</v>
      </c>
      <c r="Q227" s="499"/>
      <c r="R227" s="502" t="str">
        <f t="shared" si="35"/>
        <v>2008birthsdepQuin 9</v>
      </c>
      <c r="S227" s="604">
        <v>2008</v>
      </c>
      <c r="T227" s="604" t="s">
        <v>445</v>
      </c>
      <c r="U227" s="604" t="s">
        <v>454</v>
      </c>
      <c r="V227" s="604" t="s">
        <v>426</v>
      </c>
      <c r="W227" s="604">
        <v>296</v>
      </c>
      <c r="Y227" s="535" t="str">
        <f t="shared" si="36"/>
        <v>2016agebwt25-29&lt;500fetal</v>
      </c>
      <c r="Z227" s="604">
        <v>2016</v>
      </c>
      <c r="AA227" s="604" t="s">
        <v>453</v>
      </c>
      <c r="AB227" s="604" t="s">
        <v>447</v>
      </c>
      <c r="AC227" s="604" t="s">
        <v>131</v>
      </c>
      <c r="AD227" s="604" t="s">
        <v>427</v>
      </c>
      <c r="AE227" s="604">
        <v>40</v>
      </c>
      <c r="AF227" s="604">
        <v>13</v>
      </c>
      <c r="AG227" s="604" t="s">
        <v>119</v>
      </c>
      <c r="AH227" s="604" t="s">
        <v>420</v>
      </c>
      <c r="AJ227" s="535" t="str">
        <f t="shared" si="37"/>
        <v>2016agebwt25-29&lt;500</v>
      </c>
      <c r="AK227" s="604">
        <v>2016</v>
      </c>
      <c r="AL227" s="604" t="s">
        <v>453</v>
      </c>
      <c r="AM227" s="604" t="s">
        <v>447</v>
      </c>
      <c r="AN227" s="604" t="s">
        <v>131</v>
      </c>
      <c r="AO227" s="604" t="s">
        <v>427</v>
      </c>
      <c r="AP227" s="604">
        <v>13</v>
      </c>
      <c r="AR227" s="538" t="str">
        <f t="shared" si="38"/>
        <v>Quin 5depfetalWaitemata</v>
      </c>
      <c r="AS227" s="604">
        <v>2016</v>
      </c>
      <c r="AT227" s="604" t="s">
        <v>425</v>
      </c>
      <c r="AU227" s="604" t="s">
        <v>454</v>
      </c>
      <c r="AV227" s="604" t="s">
        <v>86</v>
      </c>
      <c r="AW227" s="604">
        <v>2</v>
      </c>
      <c r="AX227" s="604">
        <v>946</v>
      </c>
      <c r="AY227" s="606">
        <v>2.1</v>
      </c>
      <c r="AZ227" s="604" t="s">
        <v>420</v>
      </c>
      <c r="BB227" s="536" t="str">
        <f t="shared" si="39"/>
        <v>MaoriethbirthsSouthern</v>
      </c>
      <c r="BC227" s="604">
        <v>2016</v>
      </c>
      <c r="BD227" s="604" t="s">
        <v>129</v>
      </c>
      <c r="BE227" s="604" t="s">
        <v>449</v>
      </c>
      <c r="BF227" s="604" t="s">
        <v>103</v>
      </c>
      <c r="BG227" s="604">
        <v>678</v>
      </c>
      <c r="BH227" s="604" t="s">
        <v>445</v>
      </c>
      <c r="BY227" s="553" t="str">
        <f t="shared" si="40"/>
        <v>2015&lt;500bwtSIDS</v>
      </c>
      <c r="BZ227" s="604">
        <v>2015</v>
      </c>
      <c r="CA227" s="604" t="s">
        <v>427</v>
      </c>
      <c r="CB227" s="604" t="s">
        <v>447</v>
      </c>
      <c r="CC227" s="604">
        <v>0</v>
      </c>
      <c r="CD227" s="604" t="s">
        <v>32</v>
      </c>
      <c r="CF227" s="554" t="str">
        <f t="shared" si="41"/>
        <v>2016MaoriQuin 2depSUDI</v>
      </c>
      <c r="CG227" s="604">
        <v>2016</v>
      </c>
      <c r="CH227" s="604" t="s">
        <v>129</v>
      </c>
      <c r="CI227" s="604" t="s">
        <v>422</v>
      </c>
      <c r="CJ227" s="604" t="s">
        <v>454</v>
      </c>
      <c r="CK227" s="604">
        <v>1</v>
      </c>
      <c r="CL227" s="604" t="s">
        <v>33</v>
      </c>
      <c r="CV227" s="575"/>
    </row>
    <row r="228" spans="9:100">
      <c r="I228" s="578" t="str">
        <f t="shared" si="34"/>
        <v>2015sexMaleFetal</v>
      </c>
      <c r="J228" s="604">
        <v>2015</v>
      </c>
      <c r="K228" s="604" t="s">
        <v>451</v>
      </c>
      <c r="L228" s="604" t="s">
        <v>70</v>
      </c>
      <c r="M228" s="604">
        <v>183</v>
      </c>
      <c r="N228" s="604">
        <v>32106</v>
      </c>
      <c r="O228" s="604">
        <v>5.7</v>
      </c>
      <c r="P228" s="604" t="s">
        <v>47</v>
      </c>
      <c r="Q228" s="499"/>
      <c r="R228" s="502" t="str">
        <f t="shared" si="35"/>
        <v>2009birthsdepQuin 1</v>
      </c>
      <c r="S228" s="604">
        <v>2009</v>
      </c>
      <c r="T228" s="604" t="s">
        <v>445</v>
      </c>
      <c r="U228" s="604" t="s">
        <v>454</v>
      </c>
      <c r="V228" s="604" t="s">
        <v>421</v>
      </c>
      <c r="W228" s="604">
        <v>9377</v>
      </c>
      <c r="Y228" s="535" t="str">
        <f t="shared" si="36"/>
        <v>2016agebwt30-34&lt;500fetal</v>
      </c>
      <c r="Z228" s="604">
        <v>2016</v>
      </c>
      <c r="AA228" s="604" t="s">
        <v>453</v>
      </c>
      <c r="AB228" s="604" t="s">
        <v>447</v>
      </c>
      <c r="AC228" s="604" t="s">
        <v>132</v>
      </c>
      <c r="AD228" s="604" t="s">
        <v>427</v>
      </c>
      <c r="AE228" s="604">
        <v>43</v>
      </c>
      <c r="AF228" s="604">
        <v>19</v>
      </c>
      <c r="AG228" s="604" t="s">
        <v>119</v>
      </c>
      <c r="AH228" s="604" t="s">
        <v>420</v>
      </c>
      <c r="AJ228" s="535" t="str">
        <f t="shared" si="37"/>
        <v>2016agebwt30-34&lt;500</v>
      </c>
      <c r="AK228" s="604">
        <v>2016</v>
      </c>
      <c r="AL228" s="604" t="s">
        <v>453</v>
      </c>
      <c r="AM228" s="604" t="s">
        <v>447</v>
      </c>
      <c r="AN228" s="604" t="s">
        <v>132</v>
      </c>
      <c r="AO228" s="604" t="s">
        <v>427</v>
      </c>
      <c r="AP228" s="604">
        <v>19</v>
      </c>
      <c r="AR228" s="538" t="str">
        <f t="shared" si="38"/>
        <v>Quin 9depfetalWaitemata</v>
      </c>
      <c r="AS228" s="604">
        <v>2016</v>
      </c>
      <c r="AT228" s="604" t="s">
        <v>426</v>
      </c>
      <c r="AU228" s="604" t="s">
        <v>454</v>
      </c>
      <c r="AV228" s="604" t="s">
        <v>86</v>
      </c>
      <c r="AW228" s="604">
        <v>5</v>
      </c>
      <c r="AX228" s="604">
        <v>5</v>
      </c>
      <c r="AY228" s="606" t="s">
        <v>119</v>
      </c>
      <c r="AZ228" s="604" t="s">
        <v>420</v>
      </c>
      <c r="BB228" s="536" t="str">
        <f t="shared" si="39"/>
        <v>Pacific peoplesethbirthsSouthern</v>
      </c>
      <c r="BC228" s="604">
        <v>2016</v>
      </c>
      <c r="BD228" s="604" t="s">
        <v>320</v>
      </c>
      <c r="BE228" s="604" t="s">
        <v>449</v>
      </c>
      <c r="BF228" s="604" t="s">
        <v>103</v>
      </c>
      <c r="BG228" s="604">
        <v>147</v>
      </c>
      <c r="BH228" s="604" t="s">
        <v>445</v>
      </c>
      <c r="BY228" s="553" t="str">
        <f t="shared" si="40"/>
        <v>2015500-999bwtSIDS</v>
      </c>
      <c r="BZ228" s="604">
        <v>2015</v>
      </c>
      <c r="CA228" s="604" t="s">
        <v>428</v>
      </c>
      <c r="CB228" s="604" t="s">
        <v>447</v>
      </c>
      <c r="CC228" s="604">
        <v>0</v>
      </c>
      <c r="CD228" s="604" t="s">
        <v>32</v>
      </c>
      <c r="CF228" s="554" t="str">
        <f t="shared" si="41"/>
        <v>2016Pacific peoplesQuin 2depSUDI</v>
      </c>
      <c r="CG228" s="604">
        <v>2016</v>
      </c>
      <c r="CH228" s="604" t="s">
        <v>320</v>
      </c>
      <c r="CI228" s="604" t="s">
        <v>422</v>
      </c>
      <c r="CJ228" s="604" t="s">
        <v>454</v>
      </c>
      <c r="CK228" s="604">
        <v>0</v>
      </c>
      <c r="CL228" s="604" t="s">
        <v>33</v>
      </c>
      <c r="CV228" s="575"/>
    </row>
    <row r="229" spans="9:100">
      <c r="I229" s="578" t="str">
        <f t="shared" si="34"/>
        <v>2015sexFemaleFetal</v>
      </c>
      <c r="J229" s="604">
        <v>2015</v>
      </c>
      <c r="K229" s="604" t="s">
        <v>451</v>
      </c>
      <c r="L229" s="604" t="s">
        <v>71</v>
      </c>
      <c r="M229" s="604">
        <v>192</v>
      </c>
      <c r="N229" s="604">
        <v>30391</v>
      </c>
      <c r="O229" s="604">
        <v>6.3</v>
      </c>
      <c r="P229" s="604" t="s">
        <v>47</v>
      </c>
      <c r="Q229" s="499"/>
      <c r="R229" s="502" t="str">
        <f t="shared" si="35"/>
        <v>2009birthsdepQuin 2</v>
      </c>
      <c r="S229" s="604">
        <v>2009</v>
      </c>
      <c r="T229" s="604" t="s">
        <v>445</v>
      </c>
      <c r="U229" s="604" t="s">
        <v>454</v>
      </c>
      <c r="V229" s="604" t="s">
        <v>422</v>
      </c>
      <c r="W229" s="604">
        <v>10051</v>
      </c>
      <c r="Y229" s="535" t="str">
        <f t="shared" si="36"/>
        <v>2016agebwt35-39&lt;500fetal</v>
      </c>
      <c r="Z229" s="604">
        <v>2016</v>
      </c>
      <c r="AA229" s="604" t="s">
        <v>453</v>
      </c>
      <c r="AB229" s="604" t="s">
        <v>447</v>
      </c>
      <c r="AC229" s="604" t="s">
        <v>133</v>
      </c>
      <c r="AD229" s="604" t="s">
        <v>427</v>
      </c>
      <c r="AE229" s="604">
        <v>20</v>
      </c>
      <c r="AF229" s="604">
        <v>7</v>
      </c>
      <c r="AG229" s="604" t="s">
        <v>119</v>
      </c>
      <c r="AH229" s="604" t="s">
        <v>420</v>
      </c>
      <c r="AJ229" s="535" t="str">
        <f t="shared" si="37"/>
        <v>2016agebwt35-39&lt;500</v>
      </c>
      <c r="AK229" s="604">
        <v>2016</v>
      </c>
      <c r="AL229" s="604" t="s">
        <v>453</v>
      </c>
      <c r="AM229" s="604" t="s">
        <v>447</v>
      </c>
      <c r="AN229" s="604" t="s">
        <v>133</v>
      </c>
      <c r="AO229" s="604" t="s">
        <v>427</v>
      </c>
      <c r="AP229" s="604">
        <v>7</v>
      </c>
      <c r="AR229" s="538" t="str">
        <f t="shared" si="38"/>
        <v>Quin 1depfetalAuckland</v>
      </c>
      <c r="AS229" s="604">
        <v>2016</v>
      </c>
      <c r="AT229" s="604" t="s">
        <v>421</v>
      </c>
      <c r="AU229" s="604" t="s">
        <v>454</v>
      </c>
      <c r="AV229" s="604" t="s">
        <v>87</v>
      </c>
      <c r="AW229" s="604">
        <v>3</v>
      </c>
      <c r="AX229" s="604">
        <v>906</v>
      </c>
      <c r="AY229" s="606">
        <v>3.3</v>
      </c>
      <c r="AZ229" s="604" t="s">
        <v>420</v>
      </c>
      <c r="BB229" s="536" t="str">
        <f t="shared" si="39"/>
        <v>AsianethbirthsSouthern</v>
      </c>
      <c r="BC229" s="604">
        <v>2016</v>
      </c>
      <c r="BD229" s="604" t="s">
        <v>355</v>
      </c>
      <c r="BE229" s="604" t="s">
        <v>449</v>
      </c>
      <c r="BF229" s="604" t="s">
        <v>103</v>
      </c>
      <c r="BG229" s="604">
        <v>264</v>
      </c>
      <c r="BH229" s="604" t="s">
        <v>445</v>
      </c>
      <c r="BY229" s="553" t="str">
        <f t="shared" si="40"/>
        <v>20151000-1499bwtSIDS</v>
      </c>
      <c r="BZ229" s="604">
        <v>2015</v>
      </c>
      <c r="CA229" s="604" t="s">
        <v>429</v>
      </c>
      <c r="CB229" s="604" t="s">
        <v>447</v>
      </c>
      <c r="CC229" s="604">
        <v>0</v>
      </c>
      <c r="CD229" s="604" t="s">
        <v>32</v>
      </c>
      <c r="CF229" s="554" t="str">
        <f t="shared" si="41"/>
        <v>2016AsianQuin 3depSUDI</v>
      </c>
      <c r="CG229" s="604">
        <v>2016</v>
      </c>
      <c r="CH229" s="604" t="s">
        <v>355</v>
      </c>
      <c r="CI229" s="604" t="s">
        <v>423</v>
      </c>
      <c r="CJ229" s="604" t="s">
        <v>454</v>
      </c>
      <c r="CK229" s="604">
        <v>0</v>
      </c>
      <c r="CL229" s="604" t="s">
        <v>33</v>
      </c>
      <c r="CV229" s="575"/>
    </row>
    <row r="230" spans="9:100">
      <c r="I230" s="578" t="str">
        <f t="shared" si="34"/>
        <v>2015sexInd/UnkFetal</v>
      </c>
      <c r="J230" s="604">
        <v>2015</v>
      </c>
      <c r="K230" s="604" t="s">
        <v>451</v>
      </c>
      <c r="L230" s="604" t="s">
        <v>458</v>
      </c>
      <c r="M230" s="604">
        <v>9</v>
      </c>
      <c r="N230" s="604">
        <v>9</v>
      </c>
      <c r="O230" s="604" t="s">
        <v>119</v>
      </c>
      <c r="P230" s="604" t="s">
        <v>47</v>
      </c>
      <c r="Q230" s="499"/>
      <c r="R230" s="502" t="str">
        <f t="shared" si="35"/>
        <v>2009birthsdepQuin 3</v>
      </c>
      <c r="S230" s="604">
        <v>2009</v>
      </c>
      <c r="T230" s="604" t="s">
        <v>445</v>
      </c>
      <c r="U230" s="604" t="s">
        <v>454</v>
      </c>
      <c r="V230" s="604" t="s">
        <v>423</v>
      </c>
      <c r="W230" s="604">
        <v>11836</v>
      </c>
      <c r="Y230" s="535" t="str">
        <f t="shared" si="36"/>
        <v>2016agebwt40+&lt;500fetal</v>
      </c>
      <c r="Z230" s="604">
        <v>2016</v>
      </c>
      <c r="AA230" s="604" t="s">
        <v>453</v>
      </c>
      <c r="AB230" s="604" t="s">
        <v>447</v>
      </c>
      <c r="AC230" s="604" t="s">
        <v>134</v>
      </c>
      <c r="AD230" s="604" t="s">
        <v>427</v>
      </c>
      <c r="AE230" s="604">
        <v>4</v>
      </c>
      <c r="AF230" s="604">
        <v>1</v>
      </c>
      <c r="AG230" s="604" t="s">
        <v>119</v>
      </c>
      <c r="AH230" s="604" t="s">
        <v>420</v>
      </c>
      <c r="AJ230" s="535" t="str">
        <f t="shared" si="37"/>
        <v>2016agebwt40+&lt;500</v>
      </c>
      <c r="AK230" s="604">
        <v>2016</v>
      </c>
      <c r="AL230" s="604" t="s">
        <v>453</v>
      </c>
      <c r="AM230" s="604" t="s">
        <v>447</v>
      </c>
      <c r="AN230" s="604" t="s">
        <v>134</v>
      </c>
      <c r="AO230" s="604" t="s">
        <v>427</v>
      </c>
      <c r="AP230" s="604">
        <v>1</v>
      </c>
      <c r="AR230" s="538" t="str">
        <f t="shared" si="38"/>
        <v>Quin 2depfetalAuckland</v>
      </c>
      <c r="AS230" s="604">
        <v>2016</v>
      </c>
      <c r="AT230" s="604" t="s">
        <v>422</v>
      </c>
      <c r="AU230" s="604" t="s">
        <v>454</v>
      </c>
      <c r="AV230" s="604" t="s">
        <v>87</v>
      </c>
      <c r="AW230" s="604">
        <v>8</v>
      </c>
      <c r="AX230" s="604">
        <v>1122</v>
      </c>
      <c r="AY230" s="606">
        <v>7.1</v>
      </c>
      <c r="AZ230" s="604" t="s">
        <v>420</v>
      </c>
      <c r="BB230" s="536" t="str">
        <f t="shared" si="39"/>
        <v>European or OtherethbirthsSouthern</v>
      </c>
      <c r="BC230" s="604">
        <v>2016</v>
      </c>
      <c r="BD230" s="604" t="s">
        <v>356</v>
      </c>
      <c r="BE230" s="604" t="s">
        <v>449</v>
      </c>
      <c r="BF230" s="604" t="s">
        <v>103</v>
      </c>
      <c r="BG230" s="604">
        <v>2325</v>
      </c>
      <c r="BH230" s="604" t="s">
        <v>445</v>
      </c>
      <c r="BY230" s="553" t="str">
        <f t="shared" si="40"/>
        <v>20151500-2499bwtSIDS</v>
      </c>
      <c r="BZ230" s="604">
        <v>2015</v>
      </c>
      <c r="CA230" s="604" t="s">
        <v>430</v>
      </c>
      <c r="CB230" s="604" t="s">
        <v>447</v>
      </c>
      <c r="CC230" s="604">
        <v>2</v>
      </c>
      <c r="CD230" s="604" t="s">
        <v>32</v>
      </c>
      <c r="CF230" s="554" t="str">
        <f t="shared" si="41"/>
        <v>2016European or OtherQuin 3depSUDI</v>
      </c>
      <c r="CG230" s="604">
        <v>2016</v>
      </c>
      <c r="CH230" s="604" t="s">
        <v>356</v>
      </c>
      <c r="CI230" s="604" t="s">
        <v>423</v>
      </c>
      <c r="CJ230" s="604" t="s">
        <v>454</v>
      </c>
      <c r="CK230" s="604">
        <v>3</v>
      </c>
      <c r="CL230" s="604" t="s">
        <v>33</v>
      </c>
      <c r="CV230" s="575"/>
    </row>
    <row r="231" spans="9:100">
      <c r="I231" s="578" t="str">
        <f t="shared" si="34"/>
        <v>2016sexMaleFetal</v>
      </c>
      <c r="J231" s="604">
        <v>2016</v>
      </c>
      <c r="K231" s="604" t="s">
        <v>451</v>
      </c>
      <c r="L231" s="604" t="s">
        <v>70</v>
      </c>
      <c r="M231" s="604">
        <v>216</v>
      </c>
      <c r="N231" s="604">
        <v>31225</v>
      </c>
      <c r="O231" s="604">
        <v>6.9</v>
      </c>
      <c r="P231" s="604" t="s">
        <v>47</v>
      </c>
      <c r="Q231" s="499"/>
      <c r="R231" s="502" t="str">
        <f t="shared" si="35"/>
        <v>2009birthsdepQuin 4</v>
      </c>
      <c r="S231" s="604">
        <v>2009</v>
      </c>
      <c r="T231" s="604" t="s">
        <v>445</v>
      </c>
      <c r="U231" s="604" t="s">
        <v>454</v>
      </c>
      <c r="V231" s="604" t="s">
        <v>424</v>
      </c>
      <c r="W231" s="604">
        <v>14590</v>
      </c>
      <c r="Y231" s="535" t="str">
        <f t="shared" si="36"/>
        <v>2016agebwt&lt;20500-999fetal</v>
      </c>
      <c r="Z231" s="604">
        <v>2016</v>
      </c>
      <c r="AA231" s="604" t="s">
        <v>453</v>
      </c>
      <c r="AB231" s="604" t="s">
        <v>447</v>
      </c>
      <c r="AC231" s="604" t="s">
        <v>339</v>
      </c>
      <c r="AD231" s="604" t="s">
        <v>428</v>
      </c>
      <c r="AE231" s="604">
        <v>8</v>
      </c>
      <c r="AF231" s="604">
        <v>19</v>
      </c>
      <c r="AG231" s="604">
        <v>296.3</v>
      </c>
      <c r="AH231" s="604" t="s">
        <v>420</v>
      </c>
      <c r="AJ231" s="535" t="str">
        <f t="shared" si="37"/>
        <v>2016agebwt&lt;20500-999</v>
      </c>
      <c r="AK231" s="604">
        <v>2016</v>
      </c>
      <c r="AL231" s="604" t="s">
        <v>453</v>
      </c>
      <c r="AM231" s="604" t="s">
        <v>447</v>
      </c>
      <c r="AN231" s="604" t="s">
        <v>339</v>
      </c>
      <c r="AO231" s="604" t="s">
        <v>428</v>
      </c>
      <c r="AP231" s="604">
        <v>19</v>
      </c>
      <c r="AR231" s="538" t="str">
        <f t="shared" si="38"/>
        <v>Quin 3depfetalAuckland</v>
      </c>
      <c r="AS231" s="604">
        <v>2016</v>
      </c>
      <c r="AT231" s="604" t="s">
        <v>423</v>
      </c>
      <c r="AU231" s="604" t="s">
        <v>454</v>
      </c>
      <c r="AV231" s="604" t="s">
        <v>87</v>
      </c>
      <c r="AW231" s="604">
        <v>9</v>
      </c>
      <c r="AX231" s="604">
        <v>1265</v>
      </c>
      <c r="AY231" s="606">
        <v>7.1</v>
      </c>
      <c r="AZ231" s="604" t="s">
        <v>420</v>
      </c>
      <c r="BB231" s="536" t="str">
        <f t="shared" si="39"/>
        <v>MaoriethbirthsUnknown</v>
      </c>
      <c r="BC231" s="604">
        <v>2016</v>
      </c>
      <c r="BD231" s="604" t="s">
        <v>129</v>
      </c>
      <c r="BE231" s="604" t="s">
        <v>449</v>
      </c>
      <c r="BF231" s="604" t="s">
        <v>63</v>
      </c>
      <c r="BG231" s="604">
        <v>18</v>
      </c>
      <c r="BH231" s="604" t="s">
        <v>445</v>
      </c>
      <c r="BY231" s="553" t="str">
        <f t="shared" si="40"/>
        <v>20152500-4499bwtSIDS</v>
      </c>
      <c r="BZ231" s="604">
        <v>2015</v>
      </c>
      <c r="CA231" s="604" t="s">
        <v>431</v>
      </c>
      <c r="CB231" s="604" t="s">
        <v>447</v>
      </c>
      <c r="CC231" s="604">
        <v>19</v>
      </c>
      <c r="CD231" s="604" t="s">
        <v>32</v>
      </c>
      <c r="CF231" s="554" t="str">
        <f t="shared" si="41"/>
        <v>2016MaoriQuin 3depSUDI</v>
      </c>
      <c r="CG231" s="604">
        <v>2016</v>
      </c>
      <c r="CH231" s="604" t="s">
        <v>129</v>
      </c>
      <c r="CI231" s="604" t="s">
        <v>423</v>
      </c>
      <c r="CJ231" s="604" t="s">
        <v>454</v>
      </c>
      <c r="CK231" s="604">
        <v>2</v>
      </c>
      <c r="CL231" s="604" t="s">
        <v>33</v>
      </c>
      <c r="CV231" s="575"/>
    </row>
    <row r="232" spans="9:100">
      <c r="I232" s="578" t="str">
        <f t="shared" si="34"/>
        <v>2016sexFemaleFetal</v>
      </c>
      <c r="J232" s="604">
        <v>2016</v>
      </c>
      <c r="K232" s="604" t="s">
        <v>451</v>
      </c>
      <c r="L232" s="604" t="s">
        <v>71</v>
      </c>
      <c r="M232" s="604">
        <v>189</v>
      </c>
      <c r="N232" s="604">
        <v>29616</v>
      </c>
      <c r="O232" s="604">
        <v>6.4</v>
      </c>
      <c r="P232" s="604" t="s">
        <v>47</v>
      </c>
      <c r="Q232" s="499"/>
      <c r="R232" s="502" t="str">
        <f t="shared" si="35"/>
        <v>2009birthsdepQuin 5</v>
      </c>
      <c r="S232" s="604">
        <v>2009</v>
      </c>
      <c r="T232" s="604" t="s">
        <v>445</v>
      </c>
      <c r="U232" s="604" t="s">
        <v>454</v>
      </c>
      <c r="V232" s="604" t="s">
        <v>425</v>
      </c>
      <c r="W232" s="604">
        <v>17157</v>
      </c>
      <c r="Y232" s="535" t="str">
        <f t="shared" si="36"/>
        <v>2016agebwt20-24500-999fetal</v>
      </c>
      <c r="Z232" s="604">
        <v>2016</v>
      </c>
      <c r="AA232" s="604" t="s">
        <v>453</v>
      </c>
      <c r="AB232" s="604" t="s">
        <v>447</v>
      </c>
      <c r="AC232" s="604" t="s">
        <v>130</v>
      </c>
      <c r="AD232" s="604" t="s">
        <v>428</v>
      </c>
      <c r="AE232" s="604">
        <v>15</v>
      </c>
      <c r="AF232" s="604">
        <v>30</v>
      </c>
      <c r="AG232" s="604">
        <v>333.3</v>
      </c>
      <c r="AH232" s="604" t="s">
        <v>420</v>
      </c>
      <c r="AJ232" s="535" t="str">
        <f t="shared" si="37"/>
        <v>2016agebwt20-24500-999</v>
      </c>
      <c r="AK232" s="604">
        <v>2016</v>
      </c>
      <c r="AL232" s="604" t="s">
        <v>453</v>
      </c>
      <c r="AM232" s="604" t="s">
        <v>447</v>
      </c>
      <c r="AN232" s="604" t="s">
        <v>130</v>
      </c>
      <c r="AO232" s="604" t="s">
        <v>428</v>
      </c>
      <c r="AP232" s="604">
        <v>30</v>
      </c>
      <c r="AR232" s="538" t="str">
        <f t="shared" si="38"/>
        <v>Quin 4depfetalAuckland</v>
      </c>
      <c r="AS232" s="604">
        <v>2016</v>
      </c>
      <c r="AT232" s="604" t="s">
        <v>424</v>
      </c>
      <c r="AU232" s="604" t="s">
        <v>454</v>
      </c>
      <c r="AV232" s="604" t="s">
        <v>87</v>
      </c>
      <c r="AW232" s="604">
        <v>7</v>
      </c>
      <c r="AX232" s="604">
        <v>1008</v>
      </c>
      <c r="AY232" s="606">
        <v>6.9</v>
      </c>
      <c r="AZ232" s="604" t="s">
        <v>420</v>
      </c>
      <c r="BB232" s="536" t="str">
        <f t="shared" si="39"/>
        <v>Pacific peoplesethbirthsUnknown</v>
      </c>
      <c r="BC232" s="604">
        <v>2016</v>
      </c>
      <c r="BD232" s="604" t="s">
        <v>320</v>
      </c>
      <c r="BE232" s="604" t="s">
        <v>449</v>
      </c>
      <c r="BF232" s="604" t="s">
        <v>63</v>
      </c>
      <c r="BG232" s="604">
        <v>29</v>
      </c>
      <c r="BH232" s="604" t="s">
        <v>445</v>
      </c>
      <c r="BY232" s="553" t="str">
        <f t="shared" si="40"/>
        <v>20154500+bwtSIDS</v>
      </c>
      <c r="BZ232" s="604">
        <v>2015</v>
      </c>
      <c r="CA232" s="604" t="s">
        <v>432</v>
      </c>
      <c r="CB232" s="604" t="s">
        <v>447</v>
      </c>
      <c r="CC232" s="604">
        <v>0</v>
      </c>
      <c r="CD232" s="604" t="s">
        <v>32</v>
      </c>
      <c r="CF232" s="554" t="str">
        <f t="shared" si="41"/>
        <v>2016Pacific peoplesQuin 3depSUDI</v>
      </c>
      <c r="CG232" s="604">
        <v>2016</v>
      </c>
      <c r="CH232" s="604" t="s">
        <v>320</v>
      </c>
      <c r="CI232" s="604" t="s">
        <v>423</v>
      </c>
      <c r="CJ232" s="604" t="s">
        <v>454</v>
      </c>
      <c r="CK232" s="604">
        <v>0</v>
      </c>
      <c r="CL232" s="604" t="s">
        <v>33</v>
      </c>
      <c r="CV232" s="575"/>
    </row>
    <row r="233" spans="9:100">
      <c r="I233" s="578" t="str">
        <f t="shared" si="34"/>
        <v>2016sexInd/UnkFetal</v>
      </c>
      <c r="J233" s="604">
        <v>2016</v>
      </c>
      <c r="K233" s="604" t="s">
        <v>451</v>
      </c>
      <c r="L233" s="604" t="s">
        <v>458</v>
      </c>
      <c r="M233" s="604">
        <v>8</v>
      </c>
      <c r="N233" s="604">
        <v>8</v>
      </c>
      <c r="O233" s="604" t="s">
        <v>119</v>
      </c>
      <c r="P233" s="604" t="s">
        <v>47</v>
      </c>
      <c r="Q233" s="499"/>
      <c r="R233" s="502" t="str">
        <f t="shared" si="35"/>
        <v>2009birthsdepQuin 9</v>
      </c>
      <c r="S233" s="604">
        <v>2009</v>
      </c>
      <c r="T233" s="604" t="s">
        <v>445</v>
      </c>
      <c r="U233" s="604" t="s">
        <v>454</v>
      </c>
      <c r="V233" s="604" t="s">
        <v>426</v>
      </c>
      <c r="W233" s="604">
        <v>274</v>
      </c>
      <c r="Y233" s="535" t="str">
        <f t="shared" si="36"/>
        <v>2016agebwt25-29500-999fetal</v>
      </c>
      <c r="Z233" s="604">
        <v>2016</v>
      </c>
      <c r="AA233" s="604" t="s">
        <v>453</v>
      </c>
      <c r="AB233" s="604" t="s">
        <v>447</v>
      </c>
      <c r="AC233" s="604" t="s">
        <v>131</v>
      </c>
      <c r="AD233" s="604" t="s">
        <v>428</v>
      </c>
      <c r="AE233" s="604">
        <v>23</v>
      </c>
      <c r="AF233" s="604">
        <v>48</v>
      </c>
      <c r="AG233" s="604">
        <v>323.89999999999998</v>
      </c>
      <c r="AH233" s="604" t="s">
        <v>420</v>
      </c>
      <c r="AJ233" s="535" t="str">
        <f t="shared" si="37"/>
        <v>2016agebwt25-29500-999</v>
      </c>
      <c r="AK233" s="604">
        <v>2016</v>
      </c>
      <c r="AL233" s="604" t="s">
        <v>453</v>
      </c>
      <c r="AM233" s="604" t="s">
        <v>447</v>
      </c>
      <c r="AN233" s="604" t="s">
        <v>131</v>
      </c>
      <c r="AO233" s="604" t="s">
        <v>428</v>
      </c>
      <c r="AP233" s="604">
        <v>48</v>
      </c>
      <c r="AR233" s="538" t="str">
        <f t="shared" si="38"/>
        <v>Quin 5depfetalAuckland</v>
      </c>
      <c r="AS233" s="604">
        <v>2016</v>
      </c>
      <c r="AT233" s="604" t="s">
        <v>425</v>
      </c>
      <c r="AU233" s="604" t="s">
        <v>454</v>
      </c>
      <c r="AV233" s="604" t="s">
        <v>87</v>
      </c>
      <c r="AW233" s="604">
        <v>12</v>
      </c>
      <c r="AX233" s="604">
        <v>1642</v>
      </c>
      <c r="AY233" s="606">
        <v>7.3</v>
      </c>
      <c r="AZ233" s="604" t="s">
        <v>420</v>
      </c>
      <c r="BB233" s="536" t="str">
        <f t="shared" si="39"/>
        <v>AsianethbirthsUnknown</v>
      </c>
      <c r="BC233" s="604">
        <v>2016</v>
      </c>
      <c r="BD233" s="604" t="s">
        <v>355</v>
      </c>
      <c r="BE233" s="604" t="s">
        <v>449</v>
      </c>
      <c r="BF233" s="604" t="s">
        <v>63</v>
      </c>
      <c r="BG233" s="604">
        <v>52</v>
      </c>
      <c r="BH233" s="604" t="s">
        <v>445</v>
      </c>
      <c r="BY233" s="553" t="str">
        <f t="shared" si="40"/>
        <v>2015UnknownbwtSIDS</v>
      </c>
      <c r="BZ233" s="604">
        <v>2015</v>
      </c>
      <c r="CA233" s="604" t="s">
        <v>63</v>
      </c>
      <c r="CB233" s="604" t="s">
        <v>447</v>
      </c>
      <c r="CC233" s="604">
        <v>4</v>
      </c>
      <c r="CD233" s="604" t="s">
        <v>32</v>
      </c>
      <c r="CF233" s="554" t="str">
        <f t="shared" si="41"/>
        <v>2016AsianQuin 4depSUDI</v>
      </c>
      <c r="CG233" s="604">
        <v>2016</v>
      </c>
      <c r="CH233" s="604" t="s">
        <v>355</v>
      </c>
      <c r="CI233" s="604" t="s">
        <v>424</v>
      </c>
      <c r="CJ233" s="604" t="s">
        <v>454</v>
      </c>
      <c r="CK233" s="604">
        <v>0</v>
      </c>
      <c r="CL233" s="604" t="s">
        <v>33</v>
      </c>
      <c r="CV233" s="575"/>
    </row>
    <row r="234" spans="9:100">
      <c r="I234" s="578" t="str">
        <f t="shared" si="34"/>
        <v>1996ethMaoriFetal</v>
      </c>
      <c r="J234" s="604">
        <v>1996</v>
      </c>
      <c r="K234" s="604" t="s">
        <v>449</v>
      </c>
      <c r="L234" s="604" t="s">
        <v>129</v>
      </c>
      <c r="M234" s="604">
        <v>112</v>
      </c>
      <c r="N234" s="604">
        <v>16123</v>
      </c>
      <c r="O234" s="604">
        <v>6.9</v>
      </c>
      <c r="P234" s="604" t="s">
        <v>47</v>
      </c>
      <c r="Q234" s="499"/>
      <c r="R234" s="502" t="str">
        <f t="shared" si="35"/>
        <v>2010birthsdepQuin 1</v>
      </c>
      <c r="S234" s="604">
        <v>2010</v>
      </c>
      <c r="T234" s="604" t="s">
        <v>445</v>
      </c>
      <c r="U234" s="604" t="s">
        <v>454</v>
      </c>
      <c r="V234" s="604" t="s">
        <v>421</v>
      </c>
      <c r="W234" s="604">
        <v>8682</v>
      </c>
      <c r="Y234" s="535" t="str">
        <f t="shared" si="36"/>
        <v>2016agebwt30-34500-999fetal</v>
      </c>
      <c r="Z234" s="604">
        <v>2016</v>
      </c>
      <c r="AA234" s="604" t="s">
        <v>453</v>
      </c>
      <c r="AB234" s="604" t="s">
        <v>447</v>
      </c>
      <c r="AC234" s="604" t="s">
        <v>132</v>
      </c>
      <c r="AD234" s="604" t="s">
        <v>428</v>
      </c>
      <c r="AE234" s="604">
        <v>25</v>
      </c>
      <c r="AF234" s="604">
        <v>44</v>
      </c>
      <c r="AG234" s="604">
        <v>362.3</v>
      </c>
      <c r="AH234" s="604" t="s">
        <v>420</v>
      </c>
      <c r="AJ234" s="535" t="str">
        <f t="shared" si="37"/>
        <v>2016agebwt30-34500-999</v>
      </c>
      <c r="AK234" s="604">
        <v>2016</v>
      </c>
      <c r="AL234" s="604" t="s">
        <v>453</v>
      </c>
      <c r="AM234" s="604" t="s">
        <v>447</v>
      </c>
      <c r="AN234" s="604" t="s">
        <v>132</v>
      </c>
      <c r="AO234" s="604" t="s">
        <v>428</v>
      </c>
      <c r="AP234" s="604">
        <v>44</v>
      </c>
      <c r="AR234" s="538" t="str">
        <f t="shared" si="38"/>
        <v>Quin 1depfetalCounties Manukau</v>
      </c>
      <c r="AS234" s="604">
        <v>2016</v>
      </c>
      <c r="AT234" s="604" t="s">
        <v>421</v>
      </c>
      <c r="AU234" s="604" t="s">
        <v>454</v>
      </c>
      <c r="AV234" s="604" t="s">
        <v>88</v>
      </c>
      <c r="AW234" s="604">
        <v>4</v>
      </c>
      <c r="AX234" s="604">
        <v>760</v>
      </c>
      <c r="AY234" s="606">
        <v>5.3</v>
      </c>
      <c r="AZ234" s="604" t="s">
        <v>420</v>
      </c>
      <c r="BB234" s="536" t="str">
        <f t="shared" si="39"/>
        <v>European or OtherethbirthsUnknown</v>
      </c>
      <c r="BC234" s="604">
        <v>2016</v>
      </c>
      <c r="BD234" s="604" t="s">
        <v>356</v>
      </c>
      <c r="BE234" s="604" t="s">
        <v>449</v>
      </c>
      <c r="BF234" s="604" t="s">
        <v>63</v>
      </c>
      <c r="BG234" s="604">
        <v>31</v>
      </c>
      <c r="BH234" s="604" t="s">
        <v>445</v>
      </c>
      <c r="BY234" s="553" t="str">
        <f t="shared" si="40"/>
        <v>2016&lt;500bwtSIDS</v>
      </c>
      <c r="BZ234" s="604">
        <v>2016</v>
      </c>
      <c r="CA234" s="604" t="s">
        <v>427</v>
      </c>
      <c r="CB234" s="604" t="s">
        <v>447</v>
      </c>
      <c r="CC234" s="604">
        <v>0</v>
      </c>
      <c r="CD234" s="604" t="s">
        <v>32</v>
      </c>
      <c r="CF234" s="554" t="str">
        <f t="shared" si="41"/>
        <v>2016European or OtherQuin 4depSUDI</v>
      </c>
      <c r="CG234" s="604">
        <v>2016</v>
      </c>
      <c r="CH234" s="604" t="s">
        <v>356</v>
      </c>
      <c r="CI234" s="604" t="s">
        <v>424</v>
      </c>
      <c r="CJ234" s="604" t="s">
        <v>454</v>
      </c>
      <c r="CK234" s="604">
        <v>2</v>
      </c>
      <c r="CL234" s="604" t="s">
        <v>33</v>
      </c>
      <c r="CV234" s="575"/>
    </row>
    <row r="235" spans="9:100">
      <c r="I235" s="578" t="str">
        <f t="shared" si="34"/>
        <v>1996ethPacific peoplesFetal</v>
      </c>
      <c r="J235" s="604">
        <v>1996</v>
      </c>
      <c r="K235" s="604" t="s">
        <v>449</v>
      </c>
      <c r="L235" s="604" t="s">
        <v>320</v>
      </c>
      <c r="M235" s="604">
        <v>45</v>
      </c>
      <c r="N235" s="604">
        <v>5771</v>
      </c>
      <c r="O235" s="604">
        <v>7.8</v>
      </c>
      <c r="P235" s="604" t="s">
        <v>47</v>
      </c>
      <c r="Q235" s="499"/>
      <c r="R235" s="502" t="str">
        <f t="shared" si="35"/>
        <v>2010birthsdepQuin 2</v>
      </c>
      <c r="S235" s="604">
        <v>2010</v>
      </c>
      <c r="T235" s="604" t="s">
        <v>445</v>
      </c>
      <c r="U235" s="604" t="s">
        <v>454</v>
      </c>
      <c r="V235" s="604" t="s">
        <v>422</v>
      </c>
      <c r="W235" s="604">
        <v>9539</v>
      </c>
      <c r="Y235" s="535" t="str">
        <f t="shared" si="36"/>
        <v>2016agebwt35-39500-999fetal</v>
      </c>
      <c r="Z235" s="604">
        <v>2016</v>
      </c>
      <c r="AA235" s="604" t="s">
        <v>453</v>
      </c>
      <c r="AB235" s="604" t="s">
        <v>447</v>
      </c>
      <c r="AC235" s="604" t="s">
        <v>133</v>
      </c>
      <c r="AD235" s="604" t="s">
        <v>428</v>
      </c>
      <c r="AE235" s="604">
        <v>20</v>
      </c>
      <c r="AF235" s="604">
        <v>41</v>
      </c>
      <c r="AG235" s="604">
        <v>327.9</v>
      </c>
      <c r="AH235" s="604" t="s">
        <v>420</v>
      </c>
      <c r="AJ235" s="535" t="str">
        <f t="shared" si="37"/>
        <v>2016agebwt35-39500-999</v>
      </c>
      <c r="AK235" s="604">
        <v>2016</v>
      </c>
      <c r="AL235" s="604" t="s">
        <v>453</v>
      </c>
      <c r="AM235" s="604" t="s">
        <v>447</v>
      </c>
      <c r="AN235" s="604" t="s">
        <v>133</v>
      </c>
      <c r="AO235" s="604" t="s">
        <v>428</v>
      </c>
      <c r="AP235" s="604">
        <v>41</v>
      </c>
      <c r="AR235" s="538" t="str">
        <f t="shared" si="38"/>
        <v>Quin 2depfetalCounties Manukau</v>
      </c>
      <c r="AS235" s="604">
        <v>2016</v>
      </c>
      <c r="AT235" s="604" t="s">
        <v>422</v>
      </c>
      <c r="AU235" s="604" t="s">
        <v>454</v>
      </c>
      <c r="AV235" s="604" t="s">
        <v>88</v>
      </c>
      <c r="AW235" s="604">
        <v>2</v>
      </c>
      <c r="AX235" s="604">
        <v>1167</v>
      </c>
      <c r="AY235" s="606">
        <v>1.7</v>
      </c>
      <c r="AZ235" s="604" t="s">
        <v>420</v>
      </c>
      <c r="BB235" s="536" t="str">
        <f t="shared" si="39"/>
        <v>MalesexbirthsNorthland</v>
      </c>
      <c r="BC235" s="604">
        <v>2016</v>
      </c>
      <c r="BD235" s="604" t="s">
        <v>70</v>
      </c>
      <c r="BE235" s="604" t="s">
        <v>451</v>
      </c>
      <c r="BF235" s="604" t="s">
        <v>85</v>
      </c>
      <c r="BG235" s="604">
        <v>1184</v>
      </c>
      <c r="BH235" s="604" t="s">
        <v>445</v>
      </c>
      <c r="BY235" s="553" t="str">
        <f t="shared" si="40"/>
        <v>2016500-999bwtSIDS</v>
      </c>
      <c r="BZ235" s="604">
        <v>2016</v>
      </c>
      <c r="CA235" s="604" t="s">
        <v>428</v>
      </c>
      <c r="CB235" s="604" t="s">
        <v>447</v>
      </c>
      <c r="CC235" s="604">
        <v>0</v>
      </c>
      <c r="CD235" s="604" t="s">
        <v>32</v>
      </c>
      <c r="CF235" s="554" t="str">
        <f t="shared" si="41"/>
        <v>2016MaoriQuin 4depSUDI</v>
      </c>
      <c r="CG235" s="604">
        <v>2016</v>
      </c>
      <c r="CH235" s="604" t="s">
        <v>129</v>
      </c>
      <c r="CI235" s="604" t="s">
        <v>424</v>
      </c>
      <c r="CJ235" s="604" t="s">
        <v>454</v>
      </c>
      <c r="CK235" s="604">
        <v>7</v>
      </c>
      <c r="CL235" s="604" t="s">
        <v>33</v>
      </c>
      <c r="CV235" s="575"/>
    </row>
    <row r="236" spans="9:100">
      <c r="I236" s="578" t="str">
        <f t="shared" si="34"/>
        <v>1996ethAsianFetal</v>
      </c>
      <c r="J236" s="604">
        <v>1996</v>
      </c>
      <c r="K236" s="604" t="s">
        <v>449</v>
      </c>
      <c r="L236" s="604" t="s">
        <v>355</v>
      </c>
      <c r="M236" s="604">
        <v>18</v>
      </c>
      <c r="N236" s="604">
        <v>3412</v>
      </c>
      <c r="O236" s="604">
        <v>5.3</v>
      </c>
      <c r="P236" s="604" t="s">
        <v>47</v>
      </c>
      <c r="Q236" s="499"/>
      <c r="R236" s="502" t="str">
        <f t="shared" si="35"/>
        <v>2010birthsdepQuin 3</v>
      </c>
      <c r="S236" s="604">
        <v>2010</v>
      </c>
      <c r="T236" s="604" t="s">
        <v>445</v>
      </c>
      <c r="U236" s="604" t="s">
        <v>454</v>
      </c>
      <c r="V236" s="604" t="s">
        <v>423</v>
      </c>
      <c r="W236" s="604">
        <v>11388</v>
      </c>
      <c r="Y236" s="535" t="str">
        <f t="shared" si="36"/>
        <v>2016agebwt40+500-999fetal</v>
      </c>
      <c r="Z236" s="604">
        <v>2016</v>
      </c>
      <c r="AA236" s="604" t="s">
        <v>453</v>
      </c>
      <c r="AB236" s="604" t="s">
        <v>447</v>
      </c>
      <c r="AC236" s="604" t="s">
        <v>134</v>
      </c>
      <c r="AD236" s="604" t="s">
        <v>428</v>
      </c>
      <c r="AE236" s="604">
        <v>6</v>
      </c>
      <c r="AF236" s="604">
        <v>14</v>
      </c>
      <c r="AG236" s="604">
        <v>300</v>
      </c>
      <c r="AH236" s="604" t="s">
        <v>420</v>
      </c>
      <c r="AJ236" s="535" t="str">
        <f t="shared" si="37"/>
        <v>2016agebwt40+500-999</v>
      </c>
      <c r="AK236" s="604">
        <v>2016</v>
      </c>
      <c r="AL236" s="604" t="s">
        <v>453</v>
      </c>
      <c r="AM236" s="604" t="s">
        <v>447</v>
      </c>
      <c r="AN236" s="604" t="s">
        <v>134</v>
      </c>
      <c r="AO236" s="604" t="s">
        <v>428</v>
      </c>
      <c r="AP236" s="604">
        <v>14</v>
      </c>
      <c r="AR236" s="538" t="str">
        <f t="shared" si="38"/>
        <v>Quin 3depfetalCounties Manukau</v>
      </c>
      <c r="AS236" s="604">
        <v>2016</v>
      </c>
      <c r="AT236" s="604" t="s">
        <v>423</v>
      </c>
      <c r="AU236" s="604" t="s">
        <v>454</v>
      </c>
      <c r="AV236" s="604" t="s">
        <v>88</v>
      </c>
      <c r="AW236" s="604">
        <v>6</v>
      </c>
      <c r="AX236" s="604">
        <v>798</v>
      </c>
      <c r="AY236" s="606">
        <v>7.5</v>
      </c>
      <c r="AZ236" s="604" t="s">
        <v>420</v>
      </c>
      <c r="BB236" s="536" t="str">
        <f t="shared" si="39"/>
        <v>FemalesexbirthsNorthland</v>
      </c>
      <c r="BC236" s="604">
        <v>2016</v>
      </c>
      <c r="BD236" s="604" t="s">
        <v>71</v>
      </c>
      <c r="BE236" s="604" t="s">
        <v>451</v>
      </c>
      <c r="BF236" s="604" t="s">
        <v>85</v>
      </c>
      <c r="BG236" s="604">
        <v>1136</v>
      </c>
      <c r="BH236" s="604" t="s">
        <v>445</v>
      </c>
      <c r="BY236" s="553" t="str">
        <f t="shared" si="40"/>
        <v>20161000-1499bwtSIDS</v>
      </c>
      <c r="BZ236" s="604">
        <v>2016</v>
      </c>
      <c r="CA236" s="604" t="s">
        <v>429</v>
      </c>
      <c r="CB236" s="604" t="s">
        <v>447</v>
      </c>
      <c r="CC236" s="604">
        <v>0</v>
      </c>
      <c r="CD236" s="604" t="s">
        <v>32</v>
      </c>
      <c r="CF236" s="554" t="str">
        <f t="shared" si="41"/>
        <v>2016Pacific peoplesQuin 4depSUDI</v>
      </c>
      <c r="CG236" s="604">
        <v>2016</v>
      </c>
      <c r="CH236" s="604" t="s">
        <v>320</v>
      </c>
      <c r="CI236" s="604" t="s">
        <v>424</v>
      </c>
      <c r="CJ236" s="604" t="s">
        <v>454</v>
      </c>
      <c r="CK236" s="604">
        <v>2</v>
      </c>
      <c r="CL236" s="604" t="s">
        <v>33</v>
      </c>
      <c r="CV236" s="575"/>
    </row>
    <row r="237" spans="9:100">
      <c r="I237" s="578" t="str">
        <f t="shared" si="34"/>
        <v>1996ethEuropean or OtherFetal</v>
      </c>
      <c r="J237" s="604">
        <v>1996</v>
      </c>
      <c r="K237" s="604" t="s">
        <v>449</v>
      </c>
      <c r="L237" s="604" t="s">
        <v>356</v>
      </c>
      <c r="M237" s="604">
        <v>234</v>
      </c>
      <c r="N237" s="604">
        <v>32537</v>
      </c>
      <c r="O237" s="604">
        <v>7.2</v>
      </c>
      <c r="P237" s="604" t="s">
        <v>47</v>
      </c>
      <c r="Q237" s="499"/>
      <c r="R237" s="502" t="str">
        <f t="shared" si="35"/>
        <v>2010birthsdepQuin 4</v>
      </c>
      <c r="S237" s="604">
        <v>2010</v>
      </c>
      <c r="T237" s="604" t="s">
        <v>445</v>
      </c>
      <c r="U237" s="604" t="s">
        <v>454</v>
      </c>
      <c r="V237" s="604" t="s">
        <v>424</v>
      </c>
      <c r="W237" s="604">
        <v>13795</v>
      </c>
      <c r="Y237" s="535" t="str">
        <f t="shared" si="36"/>
        <v>2016agebwt&lt;201000-1499fetal</v>
      </c>
      <c r="Z237" s="604">
        <v>2016</v>
      </c>
      <c r="AA237" s="604" t="s">
        <v>453</v>
      </c>
      <c r="AB237" s="604" t="s">
        <v>447</v>
      </c>
      <c r="AC237" s="604" t="s">
        <v>339</v>
      </c>
      <c r="AD237" s="604" t="s">
        <v>429</v>
      </c>
      <c r="AE237" s="604">
        <v>3</v>
      </c>
      <c r="AF237" s="604">
        <v>21</v>
      </c>
      <c r="AG237" s="604">
        <v>125</v>
      </c>
      <c r="AH237" s="604" t="s">
        <v>420</v>
      </c>
      <c r="AJ237" s="535" t="str">
        <f t="shared" si="37"/>
        <v>2016agebwt&lt;201000-1499</v>
      </c>
      <c r="AK237" s="604">
        <v>2016</v>
      </c>
      <c r="AL237" s="604" t="s">
        <v>453</v>
      </c>
      <c r="AM237" s="604" t="s">
        <v>447</v>
      </c>
      <c r="AN237" s="604" t="s">
        <v>339</v>
      </c>
      <c r="AO237" s="604" t="s">
        <v>429</v>
      </c>
      <c r="AP237" s="604">
        <v>21</v>
      </c>
      <c r="AR237" s="538" t="str">
        <f t="shared" si="38"/>
        <v>Quin 4depfetalCounties Manukau</v>
      </c>
      <c r="AS237" s="604">
        <v>2016</v>
      </c>
      <c r="AT237" s="604" t="s">
        <v>424</v>
      </c>
      <c r="AU237" s="604" t="s">
        <v>454</v>
      </c>
      <c r="AV237" s="604" t="s">
        <v>88</v>
      </c>
      <c r="AW237" s="604">
        <v>5</v>
      </c>
      <c r="AX237" s="604">
        <v>1051</v>
      </c>
      <c r="AY237" s="606">
        <v>4.8</v>
      </c>
      <c r="AZ237" s="604" t="s">
        <v>420</v>
      </c>
      <c r="BB237" s="536" t="str">
        <f t="shared" si="39"/>
        <v>MalesexbirthsWaitemata</v>
      </c>
      <c r="BC237" s="604">
        <v>2016</v>
      </c>
      <c r="BD237" s="604" t="s">
        <v>70</v>
      </c>
      <c r="BE237" s="604" t="s">
        <v>451</v>
      </c>
      <c r="BF237" s="604" t="s">
        <v>86</v>
      </c>
      <c r="BG237" s="604">
        <v>4155</v>
      </c>
      <c r="BH237" s="604" t="s">
        <v>445</v>
      </c>
      <c r="BY237" s="553" t="str">
        <f t="shared" si="40"/>
        <v>20161500-2499bwtSIDS</v>
      </c>
      <c r="BZ237" s="604">
        <v>2016</v>
      </c>
      <c r="CA237" s="604" t="s">
        <v>430</v>
      </c>
      <c r="CB237" s="604" t="s">
        <v>447</v>
      </c>
      <c r="CC237" s="604">
        <v>3</v>
      </c>
      <c r="CD237" s="604" t="s">
        <v>32</v>
      </c>
      <c r="CF237" s="554" t="str">
        <f t="shared" si="41"/>
        <v>2016AsianQuin 5depSUDI</v>
      </c>
      <c r="CG237" s="604">
        <v>2016</v>
      </c>
      <c r="CH237" s="604" t="s">
        <v>355</v>
      </c>
      <c r="CI237" s="604" t="s">
        <v>425</v>
      </c>
      <c r="CJ237" s="604" t="s">
        <v>454</v>
      </c>
      <c r="CK237" s="604">
        <v>1</v>
      </c>
      <c r="CL237" s="604" t="s">
        <v>33</v>
      </c>
    </row>
    <row r="238" spans="9:100">
      <c r="I238" s="578" t="str">
        <f t="shared" si="34"/>
        <v>1997ethMaoriFetal</v>
      </c>
      <c r="J238" s="604">
        <v>1997</v>
      </c>
      <c r="K238" s="604" t="s">
        <v>449</v>
      </c>
      <c r="L238" s="604" t="s">
        <v>129</v>
      </c>
      <c r="M238" s="604">
        <v>117</v>
      </c>
      <c r="N238" s="604">
        <v>16426</v>
      </c>
      <c r="O238" s="604">
        <v>7.1</v>
      </c>
      <c r="P238" s="604" t="s">
        <v>47</v>
      </c>
      <c r="Q238" s="499"/>
      <c r="R238" s="502" t="str">
        <f t="shared" si="35"/>
        <v>2010birthsdepQuin 5</v>
      </c>
      <c r="S238" s="604">
        <v>2010</v>
      </c>
      <c r="T238" s="604" t="s">
        <v>445</v>
      </c>
      <c r="U238" s="604" t="s">
        <v>454</v>
      </c>
      <c r="V238" s="604" t="s">
        <v>425</v>
      </c>
      <c r="W238" s="604">
        <v>18469</v>
      </c>
      <c r="Y238" s="535" t="str">
        <f t="shared" si="36"/>
        <v>2016agebwt20-241000-1499fetal</v>
      </c>
      <c r="Z238" s="604">
        <v>2016</v>
      </c>
      <c r="AA238" s="604" t="s">
        <v>453</v>
      </c>
      <c r="AB238" s="604" t="s">
        <v>447</v>
      </c>
      <c r="AC238" s="604" t="s">
        <v>130</v>
      </c>
      <c r="AD238" s="604" t="s">
        <v>429</v>
      </c>
      <c r="AE238" s="604">
        <v>1</v>
      </c>
      <c r="AF238" s="604">
        <v>51</v>
      </c>
      <c r="AG238" s="604">
        <v>19.2</v>
      </c>
      <c r="AH238" s="604" t="s">
        <v>420</v>
      </c>
      <c r="AJ238" s="535" t="str">
        <f t="shared" si="37"/>
        <v>2016agebwt20-241000-1499</v>
      </c>
      <c r="AK238" s="604">
        <v>2016</v>
      </c>
      <c r="AL238" s="604" t="s">
        <v>453</v>
      </c>
      <c r="AM238" s="604" t="s">
        <v>447</v>
      </c>
      <c r="AN238" s="604" t="s">
        <v>130</v>
      </c>
      <c r="AO238" s="604" t="s">
        <v>429</v>
      </c>
      <c r="AP238" s="604">
        <v>51</v>
      </c>
      <c r="AR238" s="538" t="str">
        <f t="shared" si="38"/>
        <v>Quin 5depfetalCounties Manukau</v>
      </c>
      <c r="AS238" s="604">
        <v>2016</v>
      </c>
      <c r="AT238" s="604" t="s">
        <v>425</v>
      </c>
      <c r="AU238" s="604" t="s">
        <v>454</v>
      </c>
      <c r="AV238" s="604" t="s">
        <v>88</v>
      </c>
      <c r="AW238" s="604">
        <v>45</v>
      </c>
      <c r="AX238" s="604">
        <v>4661</v>
      </c>
      <c r="AY238" s="606">
        <v>9.6999999999999993</v>
      </c>
      <c r="AZ238" s="604" t="s">
        <v>420</v>
      </c>
      <c r="BB238" s="536" t="str">
        <f t="shared" si="39"/>
        <v>FemalesexbirthsWaitemata</v>
      </c>
      <c r="BC238" s="604">
        <v>2016</v>
      </c>
      <c r="BD238" s="604" t="s">
        <v>71</v>
      </c>
      <c r="BE238" s="604" t="s">
        <v>451</v>
      </c>
      <c r="BF238" s="604" t="s">
        <v>86</v>
      </c>
      <c r="BG238" s="604">
        <v>3896</v>
      </c>
      <c r="BH238" s="604" t="s">
        <v>445</v>
      </c>
      <c r="BY238" s="553" t="str">
        <f t="shared" si="40"/>
        <v>20162500-4499bwtSIDS</v>
      </c>
      <c r="BZ238" s="604">
        <v>2016</v>
      </c>
      <c r="CA238" s="604" t="s">
        <v>431</v>
      </c>
      <c r="CB238" s="604" t="s">
        <v>447</v>
      </c>
      <c r="CC238" s="604">
        <v>19</v>
      </c>
      <c r="CD238" s="604" t="s">
        <v>32</v>
      </c>
      <c r="CF238" s="554" t="str">
        <f t="shared" si="41"/>
        <v>2016European or OtherQuin 5depSUDI</v>
      </c>
      <c r="CG238" s="604">
        <v>2016</v>
      </c>
      <c r="CH238" s="604" t="s">
        <v>356</v>
      </c>
      <c r="CI238" s="604" t="s">
        <v>425</v>
      </c>
      <c r="CJ238" s="604" t="s">
        <v>454</v>
      </c>
      <c r="CK238" s="604">
        <v>0</v>
      </c>
      <c r="CL238" s="604" t="s">
        <v>33</v>
      </c>
    </row>
    <row r="239" spans="9:100">
      <c r="I239" s="578" t="str">
        <f t="shared" si="34"/>
        <v>1997ethPacific peoplesFetal</v>
      </c>
      <c r="J239" s="604">
        <v>1997</v>
      </c>
      <c r="K239" s="604" t="s">
        <v>449</v>
      </c>
      <c r="L239" s="604" t="s">
        <v>320</v>
      </c>
      <c r="M239" s="604">
        <v>46</v>
      </c>
      <c r="N239" s="604">
        <v>5742</v>
      </c>
      <c r="O239" s="604">
        <v>8</v>
      </c>
      <c r="P239" s="604" t="s">
        <v>47</v>
      </c>
      <c r="Q239" s="499"/>
      <c r="R239" s="502" t="str">
        <f t="shared" si="35"/>
        <v>2010birthsdepQuin 9</v>
      </c>
      <c r="S239" s="604">
        <v>2010</v>
      </c>
      <c r="T239" s="604" t="s">
        <v>445</v>
      </c>
      <c r="U239" s="604" t="s">
        <v>454</v>
      </c>
      <c r="V239" s="604" t="s">
        <v>426</v>
      </c>
      <c r="W239" s="604">
        <v>2826</v>
      </c>
      <c r="Y239" s="535" t="str">
        <f t="shared" si="36"/>
        <v>2016agebwt25-291000-1499fetal</v>
      </c>
      <c r="Z239" s="604">
        <v>2016</v>
      </c>
      <c r="AA239" s="604" t="s">
        <v>453</v>
      </c>
      <c r="AB239" s="604" t="s">
        <v>447</v>
      </c>
      <c r="AC239" s="604" t="s">
        <v>131</v>
      </c>
      <c r="AD239" s="604" t="s">
        <v>429</v>
      </c>
      <c r="AE239" s="604">
        <v>11</v>
      </c>
      <c r="AF239" s="604">
        <v>95</v>
      </c>
      <c r="AG239" s="604">
        <v>103.8</v>
      </c>
      <c r="AH239" s="604" t="s">
        <v>420</v>
      </c>
      <c r="AJ239" s="535" t="str">
        <f t="shared" si="37"/>
        <v>2016agebwt25-291000-1499</v>
      </c>
      <c r="AK239" s="604">
        <v>2016</v>
      </c>
      <c r="AL239" s="604" t="s">
        <v>453</v>
      </c>
      <c r="AM239" s="604" t="s">
        <v>447</v>
      </c>
      <c r="AN239" s="604" t="s">
        <v>131</v>
      </c>
      <c r="AO239" s="604" t="s">
        <v>429</v>
      </c>
      <c r="AP239" s="604">
        <v>95</v>
      </c>
      <c r="AR239" s="538" t="str">
        <f t="shared" si="38"/>
        <v>Quin 9depfetalCounties Manukau</v>
      </c>
      <c r="AS239" s="604">
        <v>2016</v>
      </c>
      <c r="AT239" s="604" t="s">
        <v>426</v>
      </c>
      <c r="AU239" s="604" t="s">
        <v>454</v>
      </c>
      <c r="AV239" s="604" t="s">
        <v>88</v>
      </c>
      <c r="AW239" s="604">
        <v>4</v>
      </c>
      <c r="AX239" s="604">
        <v>4</v>
      </c>
      <c r="AY239" s="606" t="s">
        <v>119</v>
      </c>
      <c r="AZ239" s="604" t="s">
        <v>420</v>
      </c>
      <c r="BB239" s="536" t="str">
        <f t="shared" si="39"/>
        <v>MalesexbirthsAuckland</v>
      </c>
      <c r="BC239" s="604">
        <v>2016</v>
      </c>
      <c r="BD239" s="604" t="s">
        <v>70</v>
      </c>
      <c r="BE239" s="604" t="s">
        <v>451</v>
      </c>
      <c r="BF239" s="604" t="s">
        <v>87</v>
      </c>
      <c r="BG239" s="604">
        <v>3001</v>
      </c>
      <c r="BH239" s="604" t="s">
        <v>445</v>
      </c>
      <c r="BY239" s="553" t="str">
        <f t="shared" si="40"/>
        <v>20164500+bwtSIDS</v>
      </c>
      <c r="BZ239" s="604">
        <v>2016</v>
      </c>
      <c r="CA239" s="604" t="s">
        <v>432</v>
      </c>
      <c r="CB239" s="604" t="s">
        <v>447</v>
      </c>
      <c r="CC239" s="604">
        <v>0</v>
      </c>
      <c r="CD239" s="604" t="s">
        <v>32</v>
      </c>
      <c r="CF239" s="554" t="str">
        <f t="shared" si="41"/>
        <v>2016MaoriQuin 5depSUDI</v>
      </c>
      <c r="CG239" s="604">
        <v>2016</v>
      </c>
      <c r="CH239" s="604" t="s">
        <v>129</v>
      </c>
      <c r="CI239" s="604" t="s">
        <v>425</v>
      </c>
      <c r="CJ239" s="604" t="s">
        <v>454</v>
      </c>
      <c r="CK239" s="604">
        <v>16</v>
      </c>
      <c r="CL239" s="604" t="s">
        <v>33</v>
      </c>
    </row>
    <row r="240" spans="9:100">
      <c r="I240" s="578" t="str">
        <f t="shared" si="34"/>
        <v>1997ethAsianFetal</v>
      </c>
      <c r="J240" s="604">
        <v>1997</v>
      </c>
      <c r="K240" s="604" t="s">
        <v>449</v>
      </c>
      <c r="L240" s="604" t="s">
        <v>355</v>
      </c>
      <c r="M240" s="604">
        <v>23</v>
      </c>
      <c r="N240" s="604">
        <v>3825</v>
      </c>
      <c r="O240" s="604">
        <v>6</v>
      </c>
      <c r="P240" s="604" t="s">
        <v>47</v>
      </c>
      <c r="Q240" s="499"/>
      <c r="R240" s="502" t="str">
        <f t="shared" si="35"/>
        <v>2011birthsdepQuin 1</v>
      </c>
      <c r="S240" s="604">
        <v>2011</v>
      </c>
      <c r="T240" s="604" t="s">
        <v>445</v>
      </c>
      <c r="U240" s="604" t="s">
        <v>454</v>
      </c>
      <c r="V240" s="604" t="s">
        <v>421</v>
      </c>
      <c r="W240" s="604">
        <v>8387</v>
      </c>
      <c r="Y240" s="535" t="str">
        <f t="shared" si="36"/>
        <v>2016agebwt30-341000-1499fetal</v>
      </c>
      <c r="Z240" s="604">
        <v>2016</v>
      </c>
      <c r="AA240" s="604" t="s">
        <v>453</v>
      </c>
      <c r="AB240" s="604" t="s">
        <v>447</v>
      </c>
      <c r="AC240" s="604" t="s">
        <v>132</v>
      </c>
      <c r="AD240" s="604" t="s">
        <v>429</v>
      </c>
      <c r="AE240" s="604">
        <v>6</v>
      </c>
      <c r="AF240" s="604">
        <v>101</v>
      </c>
      <c r="AG240" s="604">
        <v>56.1</v>
      </c>
      <c r="AH240" s="604" t="s">
        <v>420</v>
      </c>
      <c r="AJ240" s="535" t="str">
        <f t="shared" si="37"/>
        <v>2016agebwt30-341000-1499</v>
      </c>
      <c r="AK240" s="604">
        <v>2016</v>
      </c>
      <c r="AL240" s="604" t="s">
        <v>453</v>
      </c>
      <c r="AM240" s="604" t="s">
        <v>447</v>
      </c>
      <c r="AN240" s="604" t="s">
        <v>132</v>
      </c>
      <c r="AO240" s="604" t="s">
        <v>429</v>
      </c>
      <c r="AP240" s="604">
        <v>101</v>
      </c>
      <c r="AR240" s="538" t="str">
        <f t="shared" si="38"/>
        <v>Quin 1depfetalWaikato</v>
      </c>
      <c r="AS240" s="604">
        <v>2016</v>
      </c>
      <c r="AT240" s="604" t="s">
        <v>421</v>
      </c>
      <c r="AU240" s="604" t="s">
        <v>454</v>
      </c>
      <c r="AV240" s="604" t="s">
        <v>89</v>
      </c>
      <c r="AW240" s="604">
        <v>3</v>
      </c>
      <c r="AX240" s="604">
        <v>599</v>
      </c>
      <c r="AY240" s="606">
        <v>5</v>
      </c>
      <c r="AZ240" s="604" t="s">
        <v>420</v>
      </c>
      <c r="BB240" s="536" t="str">
        <f t="shared" si="39"/>
        <v>FemalesexbirthsAuckland</v>
      </c>
      <c r="BC240" s="604">
        <v>2016</v>
      </c>
      <c r="BD240" s="604" t="s">
        <v>71</v>
      </c>
      <c r="BE240" s="604" t="s">
        <v>451</v>
      </c>
      <c r="BF240" s="604" t="s">
        <v>87</v>
      </c>
      <c r="BG240" s="604">
        <v>2904</v>
      </c>
      <c r="BH240" s="604" t="s">
        <v>445</v>
      </c>
      <c r="BY240" s="553" t="str">
        <f t="shared" si="40"/>
        <v>2016UnknownbwtSIDS</v>
      </c>
      <c r="BZ240" s="604">
        <v>2016</v>
      </c>
      <c r="CA240" s="604" t="s">
        <v>63</v>
      </c>
      <c r="CB240" s="604" t="s">
        <v>447</v>
      </c>
      <c r="CC240" s="604">
        <v>1</v>
      </c>
      <c r="CD240" s="604" t="s">
        <v>32</v>
      </c>
      <c r="CF240" s="554" t="str">
        <f t="shared" si="41"/>
        <v>2016Pacific peoplesQuin 5depSUDI</v>
      </c>
      <c r="CG240" s="604">
        <v>2016</v>
      </c>
      <c r="CH240" s="604" t="s">
        <v>320</v>
      </c>
      <c r="CI240" s="604" t="s">
        <v>425</v>
      </c>
      <c r="CJ240" s="604" t="s">
        <v>454</v>
      </c>
      <c r="CK240" s="604">
        <v>4</v>
      </c>
      <c r="CL240" s="604" t="s">
        <v>33</v>
      </c>
    </row>
    <row r="241" spans="9:90">
      <c r="I241" s="578" t="str">
        <f t="shared" si="34"/>
        <v>1997ethEuropean or OtherFetal</v>
      </c>
      <c r="J241" s="604">
        <v>1997</v>
      </c>
      <c r="K241" s="604" t="s">
        <v>449</v>
      </c>
      <c r="L241" s="604" t="s">
        <v>356</v>
      </c>
      <c r="M241" s="604">
        <v>231</v>
      </c>
      <c r="N241" s="604">
        <v>32158</v>
      </c>
      <c r="O241" s="604">
        <v>7.2</v>
      </c>
      <c r="P241" s="604" t="s">
        <v>47</v>
      </c>
      <c r="Q241" s="499"/>
      <c r="R241" s="502" t="str">
        <f t="shared" si="35"/>
        <v>2011birthsdepQuin 2</v>
      </c>
      <c r="S241" s="604">
        <v>2011</v>
      </c>
      <c r="T241" s="604" t="s">
        <v>445</v>
      </c>
      <c r="U241" s="604" t="s">
        <v>454</v>
      </c>
      <c r="V241" s="604" t="s">
        <v>422</v>
      </c>
      <c r="W241" s="604">
        <v>9337</v>
      </c>
      <c r="Y241" s="535" t="str">
        <f t="shared" si="36"/>
        <v>2016agebwt35-391000-1499fetal</v>
      </c>
      <c r="Z241" s="604">
        <v>2016</v>
      </c>
      <c r="AA241" s="604" t="s">
        <v>453</v>
      </c>
      <c r="AB241" s="604" t="s">
        <v>447</v>
      </c>
      <c r="AC241" s="604" t="s">
        <v>133</v>
      </c>
      <c r="AD241" s="604" t="s">
        <v>429</v>
      </c>
      <c r="AE241" s="604">
        <v>6</v>
      </c>
      <c r="AF241" s="604">
        <v>47</v>
      </c>
      <c r="AG241" s="604">
        <v>113.2</v>
      </c>
      <c r="AH241" s="604" t="s">
        <v>420</v>
      </c>
      <c r="AJ241" s="535" t="str">
        <f t="shared" si="37"/>
        <v>2016agebwt35-391000-1499</v>
      </c>
      <c r="AK241" s="604">
        <v>2016</v>
      </c>
      <c r="AL241" s="604" t="s">
        <v>453</v>
      </c>
      <c r="AM241" s="604" t="s">
        <v>447</v>
      </c>
      <c r="AN241" s="604" t="s">
        <v>133</v>
      </c>
      <c r="AO241" s="604" t="s">
        <v>429</v>
      </c>
      <c r="AP241" s="604">
        <v>47</v>
      </c>
      <c r="AR241" s="538" t="str">
        <f t="shared" si="38"/>
        <v>Quin 2depfetalWaikato</v>
      </c>
      <c r="AS241" s="604">
        <v>2016</v>
      </c>
      <c r="AT241" s="604" t="s">
        <v>422</v>
      </c>
      <c r="AU241" s="604" t="s">
        <v>454</v>
      </c>
      <c r="AV241" s="604" t="s">
        <v>89</v>
      </c>
      <c r="AW241" s="604">
        <v>4</v>
      </c>
      <c r="AX241" s="604">
        <v>452</v>
      </c>
      <c r="AY241" s="606">
        <v>8.8000000000000007</v>
      </c>
      <c r="AZ241" s="604" t="s">
        <v>420</v>
      </c>
      <c r="BB241" s="536" t="str">
        <f t="shared" si="39"/>
        <v>MalesexbirthsCounties Manukau</v>
      </c>
      <c r="BC241" s="604">
        <v>2016</v>
      </c>
      <c r="BD241" s="604" t="s">
        <v>70</v>
      </c>
      <c r="BE241" s="604" t="s">
        <v>451</v>
      </c>
      <c r="BF241" s="604" t="s">
        <v>88</v>
      </c>
      <c r="BG241" s="604">
        <v>4349</v>
      </c>
      <c r="BH241" s="604" t="s">
        <v>445</v>
      </c>
      <c r="BY241" s="553" t="str">
        <f t="shared" si="40"/>
        <v>2000AsianethSIDS</v>
      </c>
      <c r="BZ241" s="604">
        <v>2000</v>
      </c>
      <c r="CA241" s="604" t="s">
        <v>355</v>
      </c>
      <c r="CB241" s="604" t="s">
        <v>449</v>
      </c>
      <c r="CC241" s="604">
        <v>0</v>
      </c>
      <c r="CD241" s="604" t="s">
        <v>32</v>
      </c>
      <c r="CF241" s="554" t="str">
        <f t="shared" si="41"/>
        <v>2016AsianQuin 9depSUDI</v>
      </c>
      <c r="CG241" s="604">
        <v>2016</v>
      </c>
      <c r="CH241" s="604" t="s">
        <v>355</v>
      </c>
      <c r="CI241" s="604" t="s">
        <v>426</v>
      </c>
      <c r="CJ241" s="604" t="s">
        <v>454</v>
      </c>
      <c r="CK241" s="604">
        <v>0</v>
      </c>
      <c r="CL241" s="604" t="s">
        <v>33</v>
      </c>
    </row>
    <row r="242" spans="9:90">
      <c r="I242" s="578" t="str">
        <f t="shared" si="34"/>
        <v>1998ethMaoriFetal</v>
      </c>
      <c r="J242" s="604">
        <v>1998</v>
      </c>
      <c r="K242" s="604" t="s">
        <v>449</v>
      </c>
      <c r="L242" s="604" t="s">
        <v>129</v>
      </c>
      <c r="M242" s="604">
        <v>89</v>
      </c>
      <c r="N242" s="604">
        <v>16398</v>
      </c>
      <c r="O242" s="604">
        <v>5.4</v>
      </c>
      <c r="P242" s="604" t="s">
        <v>47</v>
      </c>
      <c r="Q242" s="499"/>
      <c r="R242" s="502" t="str">
        <f t="shared" si="35"/>
        <v>2011birthsdepQuin 3</v>
      </c>
      <c r="S242" s="604">
        <v>2011</v>
      </c>
      <c r="T242" s="604" t="s">
        <v>445</v>
      </c>
      <c r="U242" s="604" t="s">
        <v>454</v>
      </c>
      <c r="V242" s="604" t="s">
        <v>423</v>
      </c>
      <c r="W242" s="604">
        <v>10802</v>
      </c>
      <c r="Y242" s="535" t="str">
        <f t="shared" si="36"/>
        <v>2016agebwt40+1000-1499fetal</v>
      </c>
      <c r="Z242" s="604">
        <v>2016</v>
      </c>
      <c r="AA242" s="604" t="s">
        <v>453</v>
      </c>
      <c r="AB242" s="604" t="s">
        <v>447</v>
      </c>
      <c r="AC242" s="604" t="s">
        <v>134</v>
      </c>
      <c r="AD242" s="604" t="s">
        <v>429</v>
      </c>
      <c r="AE242" s="604">
        <v>0</v>
      </c>
      <c r="AF242" s="604">
        <v>16</v>
      </c>
      <c r="AG242" s="604">
        <v>0</v>
      </c>
      <c r="AH242" s="604" t="s">
        <v>420</v>
      </c>
      <c r="AJ242" s="535" t="str">
        <f t="shared" si="37"/>
        <v>2016agebwt40+1000-1499</v>
      </c>
      <c r="AK242" s="604">
        <v>2016</v>
      </c>
      <c r="AL242" s="604" t="s">
        <v>453</v>
      </c>
      <c r="AM242" s="604" t="s">
        <v>447</v>
      </c>
      <c r="AN242" s="604" t="s">
        <v>134</v>
      </c>
      <c r="AO242" s="604" t="s">
        <v>429</v>
      </c>
      <c r="AP242" s="604">
        <v>16</v>
      </c>
      <c r="AR242" s="538" t="str">
        <f t="shared" si="38"/>
        <v>Quin 3depfetalWaikato</v>
      </c>
      <c r="AS242" s="604">
        <v>2016</v>
      </c>
      <c r="AT242" s="604" t="s">
        <v>423</v>
      </c>
      <c r="AU242" s="604" t="s">
        <v>454</v>
      </c>
      <c r="AV242" s="604" t="s">
        <v>89</v>
      </c>
      <c r="AW242" s="604">
        <v>9</v>
      </c>
      <c r="AX242" s="604">
        <v>1213</v>
      </c>
      <c r="AY242" s="606">
        <v>7.4</v>
      </c>
      <c r="AZ242" s="604" t="s">
        <v>420</v>
      </c>
      <c r="BB242" s="536" t="str">
        <f t="shared" si="39"/>
        <v>FemalesexbirthsCounties Manukau</v>
      </c>
      <c r="BC242" s="604">
        <v>2016</v>
      </c>
      <c r="BD242" s="604" t="s">
        <v>71</v>
      </c>
      <c r="BE242" s="604" t="s">
        <v>451</v>
      </c>
      <c r="BF242" s="604" t="s">
        <v>88</v>
      </c>
      <c r="BG242" s="604">
        <v>4026</v>
      </c>
      <c r="BH242" s="604" t="s">
        <v>445</v>
      </c>
      <c r="BY242" s="553" t="str">
        <f t="shared" si="40"/>
        <v>2000European or OtherethSIDS</v>
      </c>
      <c r="BZ242" s="604">
        <v>2000</v>
      </c>
      <c r="CA242" s="604" t="s">
        <v>356</v>
      </c>
      <c r="CB242" s="604" t="s">
        <v>449</v>
      </c>
      <c r="CC242" s="604">
        <v>11</v>
      </c>
      <c r="CD242" s="604" t="s">
        <v>32</v>
      </c>
      <c r="CF242" s="554" t="str">
        <f t="shared" si="41"/>
        <v>2016European or OtherQuin 9depSUDI</v>
      </c>
      <c r="CG242" s="604">
        <v>2016</v>
      </c>
      <c r="CH242" s="604" t="s">
        <v>356</v>
      </c>
      <c r="CI242" s="604" t="s">
        <v>426</v>
      </c>
      <c r="CJ242" s="604" t="s">
        <v>454</v>
      </c>
      <c r="CK242" s="604">
        <v>0</v>
      </c>
      <c r="CL242" s="604" t="s">
        <v>33</v>
      </c>
    </row>
    <row r="243" spans="9:90">
      <c r="I243" s="578" t="str">
        <f t="shared" si="34"/>
        <v>1998ethPacific peoplesFetal</v>
      </c>
      <c r="J243" s="604">
        <v>1998</v>
      </c>
      <c r="K243" s="604" t="s">
        <v>449</v>
      </c>
      <c r="L243" s="604" t="s">
        <v>320</v>
      </c>
      <c r="M243" s="604">
        <v>55</v>
      </c>
      <c r="N243" s="604">
        <v>5751</v>
      </c>
      <c r="O243" s="604">
        <v>9.6</v>
      </c>
      <c r="P243" s="604" t="s">
        <v>47</v>
      </c>
      <c r="Q243" s="499"/>
      <c r="R243" s="502" t="str">
        <f t="shared" si="35"/>
        <v>2011birthsdepQuin 4</v>
      </c>
      <c r="S243" s="604">
        <v>2011</v>
      </c>
      <c r="T243" s="604" t="s">
        <v>445</v>
      </c>
      <c r="U243" s="604" t="s">
        <v>454</v>
      </c>
      <c r="V243" s="604" t="s">
        <v>424</v>
      </c>
      <c r="W243" s="604">
        <v>13277</v>
      </c>
      <c r="Y243" s="535" t="str">
        <f t="shared" si="36"/>
        <v>2016agebwt&lt;201500-2499fetal</v>
      </c>
      <c r="Z243" s="604">
        <v>2016</v>
      </c>
      <c r="AA243" s="604" t="s">
        <v>453</v>
      </c>
      <c r="AB243" s="604" t="s">
        <v>447</v>
      </c>
      <c r="AC243" s="604" t="s">
        <v>339</v>
      </c>
      <c r="AD243" s="604" t="s">
        <v>430</v>
      </c>
      <c r="AE243" s="604">
        <v>7</v>
      </c>
      <c r="AF243" s="604">
        <v>164</v>
      </c>
      <c r="AG243" s="604">
        <v>40.9</v>
      </c>
      <c r="AH243" s="604" t="s">
        <v>420</v>
      </c>
      <c r="AJ243" s="535" t="str">
        <f t="shared" si="37"/>
        <v>2016agebwt&lt;201500-2499</v>
      </c>
      <c r="AK243" s="604">
        <v>2016</v>
      </c>
      <c r="AL243" s="604" t="s">
        <v>453</v>
      </c>
      <c r="AM243" s="604" t="s">
        <v>447</v>
      </c>
      <c r="AN243" s="604" t="s">
        <v>339</v>
      </c>
      <c r="AO243" s="604" t="s">
        <v>430</v>
      </c>
      <c r="AP243" s="604">
        <v>164</v>
      </c>
      <c r="AR243" s="538" t="str">
        <f t="shared" si="38"/>
        <v>Quin 4depfetalWaikato</v>
      </c>
      <c r="AS243" s="604">
        <v>2016</v>
      </c>
      <c r="AT243" s="604" t="s">
        <v>424</v>
      </c>
      <c r="AU243" s="604" t="s">
        <v>454</v>
      </c>
      <c r="AV243" s="604" t="s">
        <v>89</v>
      </c>
      <c r="AW243" s="604">
        <v>21</v>
      </c>
      <c r="AX243" s="604">
        <v>1524</v>
      </c>
      <c r="AY243" s="606">
        <v>13.8</v>
      </c>
      <c r="AZ243" s="604" t="s">
        <v>420</v>
      </c>
      <c r="BB243" s="536" t="str">
        <f t="shared" si="39"/>
        <v>MalesexbirthsWaikato</v>
      </c>
      <c r="BC243" s="604">
        <v>2016</v>
      </c>
      <c r="BD243" s="604" t="s">
        <v>70</v>
      </c>
      <c r="BE243" s="604" t="s">
        <v>451</v>
      </c>
      <c r="BF243" s="604" t="s">
        <v>89</v>
      </c>
      <c r="BG243" s="604">
        <v>2828</v>
      </c>
      <c r="BH243" s="604" t="s">
        <v>445</v>
      </c>
      <c r="BY243" s="553" t="str">
        <f t="shared" si="40"/>
        <v>2000MaoriethSIDS</v>
      </c>
      <c r="BZ243" s="604">
        <v>2000</v>
      </c>
      <c r="CA243" s="604" t="s">
        <v>129</v>
      </c>
      <c r="CB243" s="604" t="s">
        <v>449</v>
      </c>
      <c r="CC243" s="604">
        <v>44</v>
      </c>
      <c r="CD243" s="604" t="s">
        <v>32</v>
      </c>
      <c r="CF243" s="554" t="str">
        <f t="shared" si="41"/>
        <v>2016MaoriQuin 9depSUDI</v>
      </c>
      <c r="CG243" s="604">
        <v>2016</v>
      </c>
      <c r="CH243" s="604" t="s">
        <v>129</v>
      </c>
      <c r="CI243" s="604" t="s">
        <v>426</v>
      </c>
      <c r="CJ243" s="604" t="s">
        <v>454</v>
      </c>
      <c r="CK243" s="604">
        <v>0</v>
      </c>
      <c r="CL243" s="604" t="s">
        <v>33</v>
      </c>
    </row>
    <row r="244" spans="9:90">
      <c r="I244" s="578" t="str">
        <f t="shared" si="34"/>
        <v>1998ethAsianFetal</v>
      </c>
      <c r="J244" s="604">
        <v>1998</v>
      </c>
      <c r="K244" s="604" t="s">
        <v>449</v>
      </c>
      <c r="L244" s="604" t="s">
        <v>355</v>
      </c>
      <c r="M244" s="604">
        <v>26</v>
      </c>
      <c r="N244" s="604">
        <v>3828</v>
      </c>
      <c r="O244" s="604">
        <v>6.8</v>
      </c>
      <c r="P244" s="604" t="s">
        <v>47</v>
      </c>
      <c r="Q244" s="499"/>
      <c r="R244" s="502" t="str">
        <f t="shared" si="35"/>
        <v>2011birthsdepQuin 5</v>
      </c>
      <c r="S244" s="604">
        <v>2011</v>
      </c>
      <c r="T244" s="604" t="s">
        <v>445</v>
      </c>
      <c r="U244" s="604" t="s">
        <v>454</v>
      </c>
      <c r="V244" s="604" t="s">
        <v>425</v>
      </c>
      <c r="W244" s="604">
        <v>17705</v>
      </c>
      <c r="Y244" s="535" t="str">
        <f t="shared" si="36"/>
        <v>2016agebwt20-241500-2499fetal</v>
      </c>
      <c r="Z244" s="604">
        <v>2016</v>
      </c>
      <c r="AA244" s="604" t="s">
        <v>453</v>
      </c>
      <c r="AB244" s="604" t="s">
        <v>447</v>
      </c>
      <c r="AC244" s="604" t="s">
        <v>130</v>
      </c>
      <c r="AD244" s="604" t="s">
        <v>430</v>
      </c>
      <c r="AE244" s="604">
        <v>11</v>
      </c>
      <c r="AF244" s="604">
        <v>500</v>
      </c>
      <c r="AG244" s="604">
        <v>21.5</v>
      </c>
      <c r="AH244" s="604" t="s">
        <v>420</v>
      </c>
      <c r="AJ244" s="535" t="str">
        <f t="shared" si="37"/>
        <v>2016agebwt20-241500-2499</v>
      </c>
      <c r="AK244" s="604">
        <v>2016</v>
      </c>
      <c r="AL244" s="604" t="s">
        <v>453</v>
      </c>
      <c r="AM244" s="604" t="s">
        <v>447</v>
      </c>
      <c r="AN244" s="604" t="s">
        <v>130</v>
      </c>
      <c r="AO244" s="604" t="s">
        <v>430</v>
      </c>
      <c r="AP244" s="604">
        <v>500</v>
      </c>
      <c r="AR244" s="538" t="str">
        <f t="shared" si="38"/>
        <v>Quin 5depfetalWaikato</v>
      </c>
      <c r="AS244" s="604">
        <v>2016</v>
      </c>
      <c r="AT244" s="604" t="s">
        <v>425</v>
      </c>
      <c r="AU244" s="604" t="s">
        <v>454</v>
      </c>
      <c r="AV244" s="604" t="s">
        <v>89</v>
      </c>
      <c r="AW244" s="604">
        <v>20</v>
      </c>
      <c r="AX244" s="604">
        <v>1776</v>
      </c>
      <c r="AY244" s="606">
        <v>11.3</v>
      </c>
      <c r="AZ244" s="604" t="s">
        <v>420</v>
      </c>
      <c r="BB244" s="536" t="str">
        <f t="shared" si="39"/>
        <v>FemalesexbirthsWaikato</v>
      </c>
      <c r="BC244" s="604">
        <v>2016</v>
      </c>
      <c r="BD244" s="604" t="s">
        <v>71</v>
      </c>
      <c r="BE244" s="604" t="s">
        <v>451</v>
      </c>
      <c r="BF244" s="604" t="s">
        <v>89</v>
      </c>
      <c r="BG244" s="604">
        <v>2679</v>
      </c>
      <c r="BH244" s="604" t="s">
        <v>445</v>
      </c>
      <c r="BY244" s="553" t="str">
        <f t="shared" si="40"/>
        <v>2000Pacific peoplesethSIDS</v>
      </c>
      <c r="BZ244" s="604">
        <v>2000</v>
      </c>
      <c r="CA244" s="604" t="s">
        <v>320</v>
      </c>
      <c r="CB244" s="604" t="s">
        <v>449</v>
      </c>
      <c r="CC244" s="604">
        <v>8</v>
      </c>
      <c r="CD244" s="604" t="s">
        <v>32</v>
      </c>
      <c r="CF244" s="554" t="str">
        <f t="shared" si="41"/>
        <v>2016Pacific peoplesQuin 9depSUDI</v>
      </c>
      <c r="CG244" s="604">
        <v>2016</v>
      </c>
      <c r="CH244" s="604" t="s">
        <v>320</v>
      </c>
      <c r="CI244" s="604" t="s">
        <v>426</v>
      </c>
      <c r="CJ244" s="604" t="s">
        <v>454</v>
      </c>
      <c r="CK244" s="604">
        <v>0</v>
      </c>
      <c r="CL244" s="604" t="s">
        <v>33</v>
      </c>
    </row>
    <row r="245" spans="9:90">
      <c r="I245" s="578" t="str">
        <f t="shared" si="34"/>
        <v>1998ethEuropean or OtherFetal</v>
      </c>
      <c r="J245" s="604">
        <v>1998</v>
      </c>
      <c r="K245" s="604" t="s">
        <v>449</v>
      </c>
      <c r="L245" s="604" t="s">
        <v>356</v>
      </c>
      <c r="M245" s="604">
        <v>178</v>
      </c>
      <c r="N245" s="604">
        <v>32105</v>
      </c>
      <c r="O245" s="604">
        <v>5.5</v>
      </c>
      <c r="P245" s="604" t="s">
        <v>47</v>
      </c>
      <c r="Q245" s="499"/>
      <c r="R245" s="502" t="str">
        <f t="shared" si="35"/>
        <v>2011birthsdepQuin 9</v>
      </c>
      <c r="S245" s="604">
        <v>2011</v>
      </c>
      <c r="T245" s="604" t="s">
        <v>445</v>
      </c>
      <c r="U245" s="604" t="s">
        <v>454</v>
      </c>
      <c r="V245" s="604" t="s">
        <v>426</v>
      </c>
      <c r="W245" s="604">
        <v>2666</v>
      </c>
      <c r="Y245" s="535" t="str">
        <f t="shared" si="36"/>
        <v>2016agebwt25-291500-2499fetal</v>
      </c>
      <c r="Z245" s="604">
        <v>2016</v>
      </c>
      <c r="AA245" s="604" t="s">
        <v>453</v>
      </c>
      <c r="AB245" s="604" t="s">
        <v>447</v>
      </c>
      <c r="AC245" s="604" t="s">
        <v>131</v>
      </c>
      <c r="AD245" s="604" t="s">
        <v>430</v>
      </c>
      <c r="AE245" s="604">
        <v>5</v>
      </c>
      <c r="AF245" s="604">
        <v>755</v>
      </c>
      <c r="AG245" s="604">
        <v>6.6</v>
      </c>
      <c r="AH245" s="604" t="s">
        <v>420</v>
      </c>
      <c r="AJ245" s="535" t="str">
        <f t="shared" si="37"/>
        <v>2016agebwt25-291500-2499</v>
      </c>
      <c r="AK245" s="604">
        <v>2016</v>
      </c>
      <c r="AL245" s="604" t="s">
        <v>453</v>
      </c>
      <c r="AM245" s="604" t="s">
        <v>447</v>
      </c>
      <c r="AN245" s="604" t="s">
        <v>131</v>
      </c>
      <c r="AO245" s="604" t="s">
        <v>430</v>
      </c>
      <c r="AP245" s="604">
        <v>755</v>
      </c>
      <c r="AR245" s="538" t="str">
        <f t="shared" si="38"/>
        <v>Quin 9depfetalWaikato</v>
      </c>
      <c r="AS245" s="604">
        <v>2016</v>
      </c>
      <c r="AT245" s="604" t="s">
        <v>426</v>
      </c>
      <c r="AU245" s="604" t="s">
        <v>454</v>
      </c>
      <c r="AV245" s="604" t="s">
        <v>89</v>
      </c>
      <c r="AW245" s="604">
        <v>1</v>
      </c>
      <c r="AX245" s="604">
        <v>1</v>
      </c>
      <c r="AY245" s="606" t="s">
        <v>119</v>
      </c>
      <c r="AZ245" s="604" t="s">
        <v>420</v>
      </c>
      <c r="BB245" s="536" t="str">
        <f t="shared" si="39"/>
        <v>MalesexbirthsLakes</v>
      </c>
      <c r="BC245" s="604">
        <v>2016</v>
      </c>
      <c r="BD245" s="604" t="s">
        <v>70</v>
      </c>
      <c r="BE245" s="604" t="s">
        <v>451</v>
      </c>
      <c r="BF245" s="604" t="s">
        <v>90</v>
      </c>
      <c r="BG245" s="604">
        <v>818</v>
      </c>
      <c r="BH245" s="604" t="s">
        <v>445</v>
      </c>
      <c r="BY245" s="553" t="str">
        <f t="shared" si="40"/>
        <v>2001AsianethSIDS</v>
      </c>
      <c r="BZ245" s="604">
        <v>2001</v>
      </c>
      <c r="CA245" s="604" t="s">
        <v>355</v>
      </c>
      <c r="CB245" s="604" t="s">
        <v>449</v>
      </c>
      <c r="CC245" s="604">
        <v>2</v>
      </c>
      <c r="CD245" s="604" t="s">
        <v>32</v>
      </c>
      <c r="CF245" s="554" t="str">
        <f t="shared" si="41"/>
        <v>2016AsianNorthlanddhbSUDI</v>
      </c>
      <c r="CG245" s="604">
        <v>2016</v>
      </c>
      <c r="CH245" s="604" t="s">
        <v>355</v>
      </c>
      <c r="CI245" s="604" t="s">
        <v>85</v>
      </c>
      <c r="CJ245" s="604" t="s">
        <v>448</v>
      </c>
      <c r="CK245" s="604">
        <v>0</v>
      </c>
      <c r="CL245" s="604" t="s">
        <v>33</v>
      </c>
    </row>
    <row r="246" spans="9:90">
      <c r="I246" s="578" t="str">
        <f t="shared" si="34"/>
        <v>1999ethMaoriFetal</v>
      </c>
      <c r="J246" s="604">
        <v>1999</v>
      </c>
      <c r="K246" s="604" t="s">
        <v>449</v>
      </c>
      <c r="L246" s="604" t="s">
        <v>129</v>
      </c>
      <c r="M246" s="604">
        <v>110</v>
      </c>
      <c r="N246" s="604">
        <v>16137</v>
      </c>
      <c r="O246" s="604">
        <v>6.8</v>
      </c>
      <c r="P246" s="604" t="s">
        <v>47</v>
      </c>
      <c r="Q246" s="499"/>
      <c r="R246" s="502" t="str">
        <f t="shared" si="35"/>
        <v>2012birthsdepQuin 1</v>
      </c>
      <c r="S246" s="604">
        <v>2012</v>
      </c>
      <c r="T246" s="604" t="s">
        <v>445</v>
      </c>
      <c r="U246" s="604" t="s">
        <v>454</v>
      </c>
      <c r="V246" s="604" t="s">
        <v>421</v>
      </c>
      <c r="W246" s="604">
        <v>8301</v>
      </c>
      <c r="Y246" s="535" t="str">
        <f t="shared" si="36"/>
        <v>2016agebwt30-341500-2499fetal</v>
      </c>
      <c r="Z246" s="604">
        <v>2016</v>
      </c>
      <c r="AA246" s="604" t="s">
        <v>453</v>
      </c>
      <c r="AB246" s="604" t="s">
        <v>447</v>
      </c>
      <c r="AC246" s="604" t="s">
        <v>132</v>
      </c>
      <c r="AD246" s="604" t="s">
        <v>430</v>
      </c>
      <c r="AE246" s="604">
        <v>13</v>
      </c>
      <c r="AF246" s="604">
        <v>903</v>
      </c>
      <c r="AG246" s="604">
        <v>14.2</v>
      </c>
      <c r="AH246" s="604" t="s">
        <v>420</v>
      </c>
      <c r="AJ246" s="535" t="str">
        <f t="shared" si="37"/>
        <v>2016agebwt30-341500-2499</v>
      </c>
      <c r="AK246" s="604">
        <v>2016</v>
      </c>
      <c r="AL246" s="604" t="s">
        <v>453</v>
      </c>
      <c r="AM246" s="604" t="s">
        <v>447</v>
      </c>
      <c r="AN246" s="604" t="s">
        <v>132</v>
      </c>
      <c r="AO246" s="604" t="s">
        <v>430</v>
      </c>
      <c r="AP246" s="604">
        <v>903</v>
      </c>
      <c r="AR246" s="538" t="str">
        <f t="shared" si="38"/>
        <v>Quin 2depfetalLakes</v>
      </c>
      <c r="AS246" s="604">
        <v>2016</v>
      </c>
      <c r="AT246" s="604" t="s">
        <v>422</v>
      </c>
      <c r="AU246" s="604" t="s">
        <v>454</v>
      </c>
      <c r="AV246" s="604" t="s">
        <v>90</v>
      </c>
      <c r="AW246" s="604">
        <v>2</v>
      </c>
      <c r="AX246" s="604">
        <v>207</v>
      </c>
      <c r="AY246" s="606">
        <v>9.6999999999999993</v>
      </c>
      <c r="AZ246" s="604" t="s">
        <v>420</v>
      </c>
      <c r="BB246" s="536" t="str">
        <f t="shared" si="39"/>
        <v>FemalesexbirthsLakes</v>
      </c>
      <c r="BC246" s="604">
        <v>2016</v>
      </c>
      <c r="BD246" s="604" t="s">
        <v>71</v>
      </c>
      <c r="BE246" s="604" t="s">
        <v>451</v>
      </c>
      <c r="BF246" s="604" t="s">
        <v>90</v>
      </c>
      <c r="BG246" s="604">
        <v>751</v>
      </c>
      <c r="BH246" s="604" t="s">
        <v>445</v>
      </c>
      <c r="BY246" s="553" t="str">
        <f t="shared" si="40"/>
        <v>2001European or OtherethSIDS</v>
      </c>
      <c r="BZ246" s="604">
        <v>2001</v>
      </c>
      <c r="CA246" s="604" t="s">
        <v>356</v>
      </c>
      <c r="CB246" s="604" t="s">
        <v>449</v>
      </c>
      <c r="CC246" s="604">
        <v>11</v>
      </c>
      <c r="CD246" s="604" t="s">
        <v>32</v>
      </c>
      <c r="CF246" s="554" t="str">
        <f t="shared" si="41"/>
        <v>2016European or OtherNorthlanddhbSUDI</v>
      </c>
      <c r="CG246" s="604">
        <v>2016</v>
      </c>
      <c r="CH246" s="604" t="s">
        <v>356</v>
      </c>
      <c r="CI246" s="604" t="s">
        <v>85</v>
      </c>
      <c r="CJ246" s="604" t="s">
        <v>448</v>
      </c>
      <c r="CK246" s="604">
        <v>1</v>
      </c>
      <c r="CL246" s="604" t="s">
        <v>33</v>
      </c>
    </row>
    <row r="247" spans="9:90">
      <c r="I247" s="578" t="str">
        <f t="shared" si="34"/>
        <v>1999ethPacific peoplesFetal</v>
      </c>
      <c r="J247" s="604">
        <v>1999</v>
      </c>
      <c r="K247" s="604" t="s">
        <v>449</v>
      </c>
      <c r="L247" s="604" t="s">
        <v>320</v>
      </c>
      <c r="M247" s="604">
        <v>61</v>
      </c>
      <c r="N247" s="604">
        <v>6284</v>
      </c>
      <c r="O247" s="604">
        <v>9.6999999999999993</v>
      </c>
      <c r="P247" s="604" t="s">
        <v>47</v>
      </c>
      <c r="Q247" s="499"/>
      <c r="R247" s="502" t="str">
        <f t="shared" si="35"/>
        <v>2012birthsdepQuin 2</v>
      </c>
      <c r="S247" s="604">
        <v>2012</v>
      </c>
      <c r="T247" s="604" t="s">
        <v>445</v>
      </c>
      <c r="U247" s="604" t="s">
        <v>454</v>
      </c>
      <c r="V247" s="604" t="s">
        <v>422</v>
      </c>
      <c r="W247" s="604">
        <v>9356</v>
      </c>
      <c r="Y247" s="535" t="str">
        <f t="shared" si="36"/>
        <v>2016agebwt35-391500-2499fetal</v>
      </c>
      <c r="Z247" s="604">
        <v>2016</v>
      </c>
      <c r="AA247" s="604" t="s">
        <v>453</v>
      </c>
      <c r="AB247" s="604" t="s">
        <v>447</v>
      </c>
      <c r="AC247" s="604" t="s">
        <v>133</v>
      </c>
      <c r="AD247" s="604" t="s">
        <v>430</v>
      </c>
      <c r="AE247" s="604">
        <v>8</v>
      </c>
      <c r="AF247" s="604">
        <v>504</v>
      </c>
      <c r="AG247" s="604">
        <v>15.6</v>
      </c>
      <c r="AH247" s="604" t="s">
        <v>420</v>
      </c>
      <c r="AJ247" s="535" t="str">
        <f t="shared" si="37"/>
        <v>2016agebwt35-391500-2499</v>
      </c>
      <c r="AK247" s="604">
        <v>2016</v>
      </c>
      <c r="AL247" s="604" t="s">
        <v>453</v>
      </c>
      <c r="AM247" s="604" t="s">
        <v>447</v>
      </c>
      <c r="AN247" s="604" t="s">
        <v>133</v>
      </c>
      <c r="AO247" s="604" t="s">
        <v>430</v>
      </c>
      <c r="AP247" s="604">
        <v>504</v>
      </c>
      <c r="AR247" s="538" t="str">
        <f t="shared" si="38"/>
        <v>Quin 3depfetalLakes</v>
      </c>
      <c r="AS247" s="604">
        <v>2016</v>
      </c>
      <c r="AT247" s="604" t="s">
        <v>423</v>
      </c>
      <c r="AU247" s="604" t="s">
        <v>454</v>
      </c>
      <c r="AV247" s="604" t="s">
        <v>90</v>
      </c>
      <c r="AW247" s="604">
        <v>1</v>
      </c>
      <c r="AX247" s="604">
        <v>198</v>
      </c>
      <c r="AY247" s="606">
        <v>5.0999999999999996</v>
      </c>
      <c r="AZ247" s="604" t="s">
        <v>420</v>
      </c>
      <c r="BB247" s="536" t="str">
        <f t="shared" si="39"/>
        <v>MalesexbirthsBay of Plenty</v>
      </c>
      <c r="BC247" s="604">
        <v>2016</v>
      </c>
      <c r="BD247" s="604" t="s">
        <v>70</v>
      </c>
      <c r="BE247" s="604" t="s">
        <v>451</v>
      </c>
      <c r="BF247" s="604" t="s">
        <v>91</v>
      </c>
      <c r="BG247" s="604">
        <v>1557</v>
      </c>
      <c r="BH247" s="604" t="s">
        <v>445</v>
      </c>
      <c r="BY247" s="553" t="str">
        <f t="shared" si="40"/>
        <v>2001MaoriethSIDS</v>
      </c>
      <c r="BZ247" s="604">
        <v>2001</v>
      </c>
      <c r="CA247" s="604" t="s">
        <v>129</v>
      </c>
      <c r="CB247" s="604" t="s">
        <v>449</v>
      </c>
      <c r="CC247" s="604">
        <v>34</v>
      </c>
      <c r="CD247" s="604" t="s">
        <v>32</v>
      </c>
      <c r="CF247" s="554" t="str">
        <f t="shared" si="41"/>
        <v>2016MaoriNorthlanddhbSUDI</v>
      </c>
      <c r="CG247" s="604">
        <v>2016</v>
      </c>
      <c r="CH247" s="604" t="s">
        <v>129</v>
      </c>
      <c r="CI247" s="604" t="s">
        <v>85</v>
      </c>
      <c r="CJ247" s="604" t="s">
        <v>448</v>
      </c>
      <c r="CK247" s="604">
        <v>0</v>
      </c>
      <c r="CL247" s="604" t="s">
        <v>33</v>
      </c>
    </row>
    <row r="248" spans="9:90">
      <c r="I248" s="578" t="str">
        <f t="shared" si="34"/>
        <v>1999ethAsianFetal</v>
      </c>
      <c r="J248" s="604">
        <v>1999</v>
      </c>
      <c r="K248" s="604" t="s">
        <v>449</v>
      </c>
      <c r="L248" s="604" t="s">
        <v>355</v>
      </c>
      <c r="M248" s="604">
        <v>27</v>
      </c>
      <c r="N248" s="604">
        <v>4007</v>
      </c>
      <c r="O248" s="604">
        <v>6.7</v>
      </c>
      <c r="P248" s="604" t="s">
        <v>47</v>
      </c>
      <c r="Q248" s="499"/>
      <c r="R248" s="502" t="str">
        <f t="shared" si="35"/>
        <v>2012birthsdepQuin 3</v>
      </c>
      <c r="S248" s="604">
        <v>2012</v>
      </c>
      <c r="T248" s="604" t="s">
        <v>445</v>
      </c>
      <c r="U248" s="604" t="s">
        <v>454</v>
      </c>
      <c r="V248" s="604" t="s">
        <v>423</v>
      </c>
      <c r="W248" s="604">
        <v>10749</v>
      </c>
      <c r="Y248" s="535" t="str">
        <f t="shared" si="36"/>
        <v>2016agebwt40+1500-2499fetal</v>
      </c>
      <c r="Z248" s="604">
        <v>2016</v>
      </c>
      <c r="AA248" s="604" t="s">
        <v>453</v>
      </c>
      <c r="AB248" s="604" t="s">
        <v>447</v>
      </c>
      <c r="AC248" s="604" t="s">
        <v>134</v>
      </c>
      <c r="AD248" s="604" t="s">
        <v>430</v>
      </c>
      <c r="AE248" s="604">
        <v>1</v>
      </c>
      <c r="AF248" s="604">
        <v>165</v>
      </c>
      <c r="AG248" s="604">
        <v>6</v>
      </c>
      <c r="AH248" s="604" t="s">
        <v>420</v>
      </c>
      <c r="AJ248" s="535" t="str">
        <f t="shared" si="37"/>
        <v>2016agebwt40+1500-2499</v>
      </c>
      <c r="AK248" s="604">
        <v>2016</v>
      </c>
      <c r="AL248" s="604" t="s">
        <v>453</v>
      </c>
      <c r="AM248" s="604" t="s">
        <v>447</v>
      </c>
      <c r="AN248" s="604" t="s">
        <v>134</v>
      </c>
      <c r="AO248" s="604" t="s">
        <v>430</v>
      </c>
      <c r="AP248" s="604">
        <v>165</v>
      </c>
      <c r="AR248" s="538" t="str">
        <f t="shared" si="38"/>
        <v>Quin 4depfetalLakes</v>
      </c>
      <c r="AS248" s="604">
        <v>2016</v>
      </c>
      <c r="AT248" s="604" t="s">
        <v>424</v>
      </c>
      <c r="AU248" s="604" t="s">
        <v>454</v>
      </c>
      <c r="AV248" s="604" t="s">
        <v>90</v>
      </c>
      <c r="AW248" s="604">
        <v>1</v>
      </c>
      <c r="AX248" s="604">
        <v>321</v>
      </c>
      <c r="AY248" s="606">
        <v>3.1</v>
      </c>
      <c r="AZ248" s="604" t="s">
        <v>420</v>
      </c>
      <c r="BB248" s="536" t="str">
        <f t="shared" si="39"/>
        <v>FemalesexbirthsBay of Plenty</v>
      </c>
      <c r="BC248" s="604">
        <v>2016</v>
      </c>
      <c r="BD248" s="604" t="s">
        <v>71</v>
      </c>
      <c r="BE248" s="604" t="s">
        <v>451</v>
      </c>
      <c r="BF248" s="604" t="s">
        <v>91</v>
      </c>
      <c r="BG248" s="604">
        <v>1383</v>
      </c>
      <c r="BH248" s="604" t="s">
        <v>445</v>
      </c>
      <c r="BY248" s="553" t="str">
        <f t="shared" si="40"/>
        <v>2001Pacific peoplesethSIDS</v>
      </c>
      <c r="BZ248" s="604">
        <v>2001</v>
      </c>
      <c r="CA248" s="604" t="s">
        <v>320</v>
      </c>
      <c r="CB248" s="604" t="s">
        <v>449</v>
      </c>
      <c r="CC248" s="604">
        <v>2</v>
      </c>
      <c r="CD248" s="604" t="s">
        <v>32</v>
      </c>
      <c r="CF248" s="554" t="str">
        <f t="shared" si="41"/>
        <v>2016Pacific peoplesNorthlanddhbSUDI</v>
      </c>
      <c r="CG248" s="604">
        <v>2016</v>
      </c>
      <c r="CH248" s="604" t="s">
        <v>320</v>
      </c>
      <c r="CI248" s="604" t="s">
        <v>85</v>
      </c>
      <c r="CJ248" s="604" t="s">
        <v>448</v>
      </c>
      <c r="CK248" s="604">
        <v>0</v>
      </c>
      <c r="CL248" s="604" t="s">
        <v>33</v>
      </c>
    </row>
    <row r="249" spans="9:90">
      <c r="I249" s="578" t="str">
        <f t="shared" si="34"/>
        <v>1999ethEuropean or OtherFetal</v>
      </c>
      <c r="J249" s="604">
        <v>1999</v>
      </c>
      <c r="K249" s="604" t="s">
        <v>449</v>
      </c>
      <c r="L249" s="604" t="s">
        <v>356</v>
      </c>
      <c r="M249" s="604">
        <v>228</v>
      </c>
      <c r="N249" s="604">
        <v>31419</v>
      </c>
      <c r="O249" s="604">
        <v>7.3</v>
      </c>
      <c r="P249" s="604" t="s">
        <v>47</v>
      </c>
      <c r="Q249" s="499"/>
      <c r="R249" s="502" t="str">
        <f t="shared" si="35"/>
        <v>2012birthsdepQuin 4</v>
      </c>
      <c r="S249" s="604">
        <v>2012</v>
      </c>
      <c r="T249" s="604" t="s">
        <v>445</v>
      </c>
      <c r="U249" s="604" t="s">
        <v>454</v>
      </c>
      <c r="V249" s="604" t="s">
        <v>424</v>
      </c>
      <c r="W249" s="604">
        <v>13313</v>
      </c>
      <c r="Y249" s="535" t="str">
        <f t="shared" si="36"/>
        <v>2016agebwt&lt;202500-4499fetal</v>
      </c>
      <c r="Z249" s="604">
        <v>2016</v>
      </c>
      <c r="AA249" s="604" t="s">
        <v>453</v>
      </c>
      <c r="AB249" s="604" t="s">
        <v>447</v>
      </c>
      <c r="AC249" s="604" t="s">
        <v>339</v>
      </c>
      <c r="AD249" s="604" t="s">
        <v>431</v>
      </c>
      <c r="AE249" s="604">
        <v>6</v>
      </c>
      <c r="AF249" s="604">
        <v>2320</v>
      </c>
      <c r="AG249" s="604">
        <v>2.6</v>
      </c>
      <c r="AH249" s="604" t="s">
        <v>420</v>
      </c>
      <c r="AJ249" s="535" t="str">
        <f t="shared" si="37"/>
        <v>2016agebwt&lt;202500-4499</v>
      </c>
      <c r="AK249" s="604">
        <v>2016</v>
      </c>
      <c r="AL249" s="604" t="s">
        <v>453</v>
      </c>
      <c r="AM249" s="604" t="s">
        <v>447</v>
      </c>
      <c r="AN249" s="604" t="s">
        <v>339</v>
      </c>
      <c r="AO249" s="604" t="s">
        <v>431</v>
      </c>
      <c r="AP249" s="604">
        <v>2320</v>
      </c>
      <c r="AR249" s="538" t="str">
        <f t="shared" si="38"/>
        <v>Quin 5depfetalLakes</v>
      </c>
      <c r="AS249" s="604">
        <v>2016</v>
      </c>
      <c r="AT249" s="604" t="s">
        <v>425</v>
      </c>
      <c r="AU249" s="604" t="s">
        <v>454</v>
      </c>
      <c r="AV249" s="604" t="s">
        <v>90</v>
      </c>
      <c r="AW249" s="604">
        <v>9</v>
      </c>
      <c r="AX249" s="604">
        <v>801</v>
      </c>
      <c r="AY249" s="606">
        <v>11.2</v>
      </c>
      <c r="AZ249" s="604" t="s">
        <v>420</v>
      </c>
      <c r="BB249" s="536" t="str">
        <f t="shared" si="39"/>
        <v>MalesexbirthsTairawhiti</v>
      </c>
      <c r="BC249" s="604">
        <v>2016</v>
      </c>
      <c r="BD249" s="604" t="s">
        <v>70</v>
      </c>
      <c r="BE249" s="604" t="s">
        <v>451</v>
      </c>
      <c r="BF249" s="604" t="s">
        <v>433</v>
      </c>
      <c r="BG249" s="604">
        <v>374</v>
      </c>
      <c r="BH249" s="604" t="s">
        <v>445</v>
      </c>
      <c r="BY249" s="553" t="str">
        <f t="shared" si="40"/>
        <v>2002AsianethSIDS</v>
      </c>
      <c r="BZ249" s="604">
        <v>2002</v>
      </c>
      <c r="CA249" s="604" t="s">
        <v>355</v>
      </c>
      <c r="CB249" s="604" t="s">
        <v>449</v>
      </c>
      <c r="CC249" s="604">
        <v>2</v>
      </c>
      <c r="CD249" s="604" t="s">
        <v>32</v>
      </c>
      <c r="CF249" s="554" t="str">
        <f t="shared" si="41"/>
        <v>2016AsianWaitematadhbSUDI</v>
      </c>
      <c r="CG249" s="604">
        <v>2016</v>
      </c>
      <c r="CH249" s="604" t="s">
        <v>355</v>
      </c>
      <c r="CI249" s="604" t="s">
        <v>86</v>
      </c>
      <c r="CJ249" s="604" t="s">
        <v>448</v>
      </c>
      <c r="CK249" s="604">
        <v>0</v>
      </c>
      <c r="CL249" s="604" t="s">
        <v>33</v>
      </c>
    </row>
    <row r="250" spans="9:90">
      <c r="I250" s="578" t="str">
        <f t="shared" si="34"/>
        <v>2000ethMaoriFetal</v>
      </c>
      <c r="J250" s="604">
        <v>2000</v>
      </c>
      <c r="K250" s="604" t="s">
        <v>449</v>
      </c>
      <c r="L250" s="604" t="s">
        <v>129</v>
      </c>
      <c r="M250" s="604">
        <v>93</v>
      </c>
      <c r="N250" s="604">
        <v>15960</v>
      </c>
      <c r="O250" s="604">
        <v>5.8</v>
      </c>
      <c r="P250" s="604" t="s">
        <v>47</v>
      </c>
      <c r="Q250" s="499"/>
      <c r="R250" s="502" t="str">
        <f t="shared" si="35"/>
        <v>2012birthsdepQuin 5</v>
      </c>
      <c r="S250" s="604">
        <v>2012</v>
      </c>
      <c r="T250" s="604" t="s">
        <v>445</v>
      </c>
      <c r="U250" s="604" t="s">
        <v>454</v>
      </c>
      <c r="V250" s="604" t="s">
        <v>425</v>
      </c>
      <c r="W250" s="604">
        <v>17671</v>
      </c>
      <c r="Y250" s="535" t="str">
        <f t="shared" si="36"/>
        <v>2016agebwt20-242500-4499fetal</v>
      </c>
      <c r="Z250" s="604">
        <v>2016</v>
      </c>
      <c r="AA250" s="604" t="s">
        <v>453</v>
      </c>
      <c r="AB250" s="604" t="s">
        <v>447</v>
      </c>
      <c r="AC250" s="604" t="s">
        <v>130</v>
      </c>
      <c r="AD250" s="604" t="s">
        <v>431</v>
      </c>
      <c r="AE250" s="604">
        <v>18</v>
      </c>
      <c r="AF250" s="604">
        <v>9130</v>
      </c>
      <c r="AG250" s="604">
        <v>2</v>
      </c>
      <c r="AH250" s="604" t="s">
        <v>420</v>
      </c>
      <c r="AJ250" s="535" t="str">
        <f t="shared" si="37"/>
        <v>2016agebwt20-242500-4499</v>
      </c>
      <c r="AK250" s="604">
        <v>2016</v>
      </c>
      <c r="AL250" s="604" t="s">
        <v>453</v>
      </c>
      <c r="AM250" s="604" t="s">
        <v>447</v>
      </c>
      <c r="AN250" s="604" t="s">
        <v>130</v>
      </c>
      <c r="AO250" s="604" t="s">
        <v>431</v>
      </c>
      <c r="AP250" s="604">
        <v>9130</v>
      </c>
      <c r="AR250" s="538" t="str">
        <f t="shared" si="38"/>
        <v>Quin 2depfetalBay of Plenty</v>
      </c>
      <c r="AS250" s="604">
        <v>2016</v>
      </c>
      <c r="AT250" s="604" t="s">
        <v>422</v>
      </c>
      <c r="AU250" s="604" t="s">
        <v>454</v>
      </c>
      <c r="AV250" s="604" t="s">
        <v>91</v>
      </c>
      <c r="AW250" s="604">
        <v>3</v>
      </c>
      <c r="AX250" s="604">
        <v>320</v>
      </c>
      <c r="AY250" s="606">
        <v>9.4</v>
      </c>
      <c r="AZ250" s="604" t="s">
        <v>420</v>
      </c>
      <c r="BB250" s="536" t="str">
        <f t="shared" si="39"/>
        <v>FemalesexbirthsTairawhiti</v>
      </c>
      <c r="BC250" s="604">
        <v>2016</v>
      </c>
      <c r="BD250" s="604" t="s">
        <v>71</v>
      </c>
      <c r="BE250" s="604" t="s">
        <v>451</v>
      </c>
      <c r="BF250" s="604" t="s">
        <v>433</v>
      </c>
      <c r="BG250" s="604">
        <v>395</v>
      </c>
      <c r="BH250" s="604" t="s">
        <v>445</v>
      </c>
      <c r="BY250" s="553" t="str">
        <f t="shared" si="40"/>
        <v>2002European or OtherethSIDS</v>
      </c>
      <c r="BZ250" s="604">
        <v>2002</v>
      </c>
      <c r="CA250" s="604" t="s">
        <v>356</v>
      </c>
      <c r="CB250" s="604" t="s">
        <v>449</v>
      </c>
      <c r="CC250" s="604">
        <v>9</v>
      </c>
      <c r="CD250" s="604" t="s">
        <v>32</v>
      </c>
      <c r="CF250" s="554" t="str">
        <f t="shared" si="41"/>
        <v>2016European or OtherWaitematadhbSUDI</v>
      </c>
      <c r="CG250" s="604">
        <v>2016</v>
      </c>
      <c r="CH250" s="604" t="s">
        <v>356</v>
      </c>
      <c r="CI250" s="604" t="s">
        <v>86</v>
      </c>
      <c r="CJ250" s="604" t="s">
        <v>448</v>
      </c>
      <c r="CK250" s="604">
        <v>1</v>
      </c>
      <c r="CL250" s="604" t="s">
        <v>33</v>
      </c>
    </row>
    <row r="251" spans="9:90">
      <c r="I251" s="578" t="str">
        <f t="shared" si="34"/>
        <v>2000ethPacific peoplesFetal</v>
      </c>
      <c r="J251" s="604">
        <v>2000</v>
      </c>
      <c r="K251" s="604" t="s">
        <v>449</v>
      </c>
      <c r="L251" s="604" t="s">
        <v>320</v>
      </c>
      <c r="M251" s="604">
        <v>41</v>
      </c>
      <c r="N251" s="604">
        <v>6190</v>
      </c>
      <c r="O251" s="604">
        <v>6.6</v>
      </c>
      <c r="P251" s="604" t="s">
        <v>47</v>
      </c>
      <c r="Q251" s="499"/>
      <c r="R251" s="502" t="str">
        <f t="shared" si="35"/>
        <v>2012birthsdepQuin 9</v>
      </c>
      <c r="S251" s="604">
        <v>2012</v>
      </c>
      <c r="T251" s="604" t="s">
        <v>445</v>
      </c>
      <c r="U251" s="604" t="s">
        <v>454</v>
      </c>
      <c r="V251" s="604" t="s">
        <v>426</v>
      </c>
      <c r="W251" s="604">
        <v>2645</v>
      </c>
      <c r="Y251" s="535" t="str">
        <f t="shared" si="36"/>
        <v>2016agebwt25-292500-4499fetal</v>
      </c>
      <c r="Z251" s="604">
        <v>2016</v>
      </c>
      <c r="AA251" s="604" t="s">
        <v>453</v>
      </c>
      <c r="AB251" s="604" t="s">
        <v>447</v>
      </c>
      <c r="AC251" s="604" t="s">
        <v>131</v>
      </c>
      <c r="AD251" s="604" t="s">
        <v>431</v>
      </c>
      <c r="AE251" s="604">
        <v>17</v>
      </c>
      <c r="AF251" s="604">
        <v>15332</v>
      </c>
      <c r="AG251" s="604">
        <v>1.1000000000000001</v>
      </c>
      <c r="AH251" s="604" t="s">
        <v>420</v>
      </c>
      <c r="AJ251" s="535" t="str">
        <f t="shared" si="37"/>
        <v>2016agebwt25-292500-4499</v>
      </c>
      <c r="AK251" s="604">
        <v>2016</v>
      </c>
      <c r="AL251" s="604" t="s">
        <v>453</v>
      </c>
      <c r="AM251" s="604" t="s">
        <v>447</v>
      </c>
      <c r="AN251" s="604" t="s">
        <v>131</v>
      </c>
      <c r="AO251" s="604" t="s">
        <v>431</v>
      </c>
      <c r="AP251" s="604">
        <v>15332</v>
      </c>
      <c r="AR251" s="538" t="str">
        <f t="shared" si="38"/>
        <v>Quin 3depfetalBay of Plenty</v>
      </c>
      <c r="AS251" s="604">
        <v>2016</v>
      </c>
      <c r="AT251" s="604" t="s">
        <v>423</v>
      </c>
      <c r="AU251" s="604" t="s">
        <v>454</v>
      </c>
      <c r="AV251" s="604" t="s">
        <v>91</v>
      </c>
      <c r="AW251" s="604">
        <v>4</v>
      </c>
      <c r="AX251" s="604">
        <v>674</v>
      </c>
      <c r="AY251" s="606">
        <v>5.9</v>
      </c>
      <c r="AZ251" s="604" t="s">
        <v>420</v>
      </c>
      <c r="BB251" s="536" t="str">
        <f t="shared" si="39"/>
        <v>MalesexbirthsHawke's Bay</v>
      </c>
      <c r="BC251" s="604">
        <v>2016</v>
      </c>
      <c r="BD251" s="604" t="s">
        <v>70</v>
      </c>
      <c r="BE251" s="604" t="s">
        <v>451</v>
      </c>
      <c r="BF251" s="604" t="s">
        <v>92</v>
      </c>
      <c r="BG251" s="604">
        <v>1063</v>
      </c>
      <c r="BH251" s="604" t="s">
        <v>445</v>
      </c>
      <c r="BY251" s="553" t="str">
        <f t="shared" si="40"/>
        <v>2002MaoriethSIDS</v>
      </c>
      <c r="BZ251" s="604">
        <v>2002</v>
      </c>
      <c r="CA251" s="604" t="s">
        <v>129</v>
      </c>
      <c r="CB251" s="604" t="s">
        <v>449</v>
      </c>
      <c r="CC251" s="604">
        <v>26</v>
      </c>
      <c r="CD251" s="604" t="s">
        <v>32</v>
      </c>
      <c r="CF251" s="554" t="str">
        <f t="shared" si="41"/>
        <v>2016MaoriWaitematadhbSUDI</v>
      </c>
      <c r="CG251" s="604">
        <v>2016</v>
      </c>
      <c r="CH251" s="604" t="s">
        <v>129</v>
      </c>
      <c r="CI251" s="604" t="s">
        <v>86</v>
      </c>
      <c r="CJ251" s="604" t="s">
        <v>448</v>
      </c>
      <c r="CK251" s="604">
        <v>1</v>
      </c>
      <c r="CL251" s="604" t="s">
        <v>33</v>
      </c>
    </row>
    <row r="252" spans="9:90">
      <c r="I252" s="578" t="str">
        <f t="shared" si="34"/>
        <v>2000ethAsianFetal</v>
      </c>
      <c r="J252" s="604">
        <v>2000</v>
      </c>
      <c r="K252" s="604" t="s">
        <v>449</v>
      </c>
      <c r="L252" s="604" t="s">
        <v>355</v>
      </c>
      <c r="M252" s="604">
        <v>32</v>
      </c>
      <c r="N252" s="604">
        <v>4254</v>
      </c>
      <c r="O252" s="604">
        <v>7.5</v>
      </c>
      <c r="P252" s="604" t="s">
        <v>47</v>
      </c>
      <c r="Q252" s="499"/>
      <c r="R252" s="502" t="str">
        <f t="shared" si="35"/>
        <v>2013birthsdepQuin 1</v>
      </c>
      <c r="S252" s="604">
        <v>2013</v>
      </c>
      <c r="T252" s="604" t="s">
        <v>445</v>
      </c>
      <c r="U252" s="604" t="s">
        <v>454</v>
      </c>
      <c r="V252" s="604" t="s">
        <v>421</v>
      </c>
      <c r="W252" s="604">
        <v>8187</v>
      </c>
      <c r="Y252" s="535" t="str">
        <f t="shared" si="36"/>
        <v>2016agebwt30-342500-4499fetal</v>
      </c>
      <c r="Z252" s="604">
        <v>2016</v>
      </c>
      <c r="AA252" s="604" t="s">
        <v>453</v>
      </c>
      <c r="AB252" s="604" t="s">
        <v>447</v>
      </c>
      <c r="AC252" s="604" t="s">
        <v>132</v>
      </c>
      <c r="AD252" s="604" t="s">
        <v>431</v>
      </c>
      <c r="AE252" s="604">
        <v>25</v>
      </c>
      <c r="AF252" s="604">
        <v>17196</v>
      </c>
      <c r="AG252" s="604">
        <v>1.5</v>
      </c>
      <c r="AH252" s="604" t="s">
        <v>420</v>
      </c>
      <c r="AJ252" s="535" t="str">
        <f t="shared" si="37"/>
        <v>2016agebwt30-342500-4499</v>
      </c>
      <c r="AK252" s="604">
        <v>2016</v>
      </c>
      <c r="AL252" s="604" t="s">
        <v>453</v>
      </c>
      <c r="AM252" s="604" t="s">
        <v>447</v>
      </c>
      <c r="AN252" s="604" t="s">
        <v>132</v>
      </c>
      <c r="AO252" s="604" t="s">
        <v>431</v>
      </c>
      <c r="AP252" s="604">
        <v>17196</v>
      </c>
      <c r="AR252" s="538" t="str">
        <f t="shared" si="38"/>
        <v>Quin 4depfetalBay of Plenty</v>
      </c>
      <c r="AS252" s="604">
        <v>2016</v>
      </c>
      <c r="AT252" s="604" t="s">
        <v>424</v>
      </c>
      <c r="AU252" s="604" t="s">
        <v>454</v>
      </c>
      <c r="AV252" s="604" t="s">
        <v>91</v>
      </c>
      <c r="AW252" s="604">
        <v>4</v>
      </c>
      <c r="AX252" s="604">
        <v>879</v>
      </c>
      <c r="AY252" s="606">
        <v>4.5999999999999996</v>
      </c>
      <c r="AZ252" s="604" t="s">
        <v>420</v>
      </c>
      <c r="BB252" s="536" t="str">
        <f t="shared" si="39"/>
        <v>FemalesexbirthsHawke's Bay</v>
      </c>
      <c r="BC252" s="604">
        <v>2016</v>
      </c>
      <c r="BD252" s="604" t="s">
        <v>71</v>
      </c>
      <c r="BE252" s="604" t="s">
        <v>451</v>
      </c>
      <c r="BF252" s="604" t="s">
        <v>92</v>
      </c>
      <c r="BG252" s="604">
        <v>1035</v>
      </c>
      <c r="BH252" s="604" t="s">
        <v>445</v>
      </c>
      <c r="BY252" s="553" t="str">
        <f t="shared" si="40"/>
        <v>2002Pacific peoplesethSIDS</v>
      </c>
      <c r="BZ252" s="604">
        <v>2002</v>
      </c>
      <c r="CA252" s="604" t="s">
        <v>320</v>
      </c>
      <c r="CB252" s="604" t="s">
        <v>449</v>
      </c>
      <c r="CC252" s="604">
        <v>7</v>
      </c>
      <c r="CD252" s="604" t="s">
        <v>32</v>
      </c>
      <c r="CF252" s="554" t="str">
        <f t="shared" si="41"/>
        <v>2016Pacific peoplesWaitematadhbSUDI</v>
      </c>
      <c r="CG252" s="604">
        <v>2016</v>
      </c>
      <c r="CH252" s="604" t="s">
        <v>320</v>
      </c>
      <c r="CI252" s="604" t="s">
        <v>86</v>
      </c>
      <c r="CJ252" s="604" t="s">
        <v>448</v>
      </c>
      <c r="CK252" s="604">
        <v>1</v>
      </c>
      <c r="CL252" s="604" t="s">
        <v>33</v>
      </c>
    </row>
    <row r="253" spans="9:90">
      <c r="I253" s="578" t="str">
        <f t="shared" si="34"/>
        <v>2000ethEuropean or OtherFetal</v>
      </c>
      <c r="J253" s="604">
        <v>2000</v>
      </c>
      <c r="K253" s="604" t="s">
        <v>449</v>
      </c>
      <c r="L253" s="604" t="s">
        <v>356</v>
      </c>
      <c r="M253" s="604">
        <v>203</v>
      </c>
      <c r="N253" s="604">
        <v>30959</v>
      </c>
      <c r="O253" s="604">
        <v>6.6</v>
      </c>
      <c r="P253" s="604" t="s">
        <v>47</v>
      </c>
      <c r="Q253" s="499"/>
      <c r="R253" s="502" t="str">
        <f t="shared" si="35"/>
        <v>2013birthsdepQuin 2</v>
      </c>
      <c r="S253" s="604">
        <v>2013</v>
      </c>
      <c r="T253" s="604" t="s">
        <v>445</v>
      </c>
      <c r="U253" s="604" t="s">
        <v>454</v>
      </c>
      <c r="V253" s="604" t="s">
        <v>422</v>
      </c>
      <c r="W253" s="604">
        <v>9257</v>
      </c>
      <c r="Y253" s="535" t="str">
        <f t="shared" si="36"/>
        <v>2016agebwt35-392500-4499fetal</v>
      </c>
      <c r="Z253" s="604">
        <v>2016</v>
      </c>
      <c r="AA253" s="604" t="s">
        <v>453</v>
      </c>
      <c r="AB253" s="604" t="s">
        <v>447</v>
      </c>
      <c r="AC253" s="604" t="s">
        <v>133</v>
      </c>
      <c r="AD253" s="604" t="s">
        <v>431</v>
      </c>
      <c r="AE253" s="604">
        <v>12</v>
      </c>
      <c r="AF253" s="604">
        <v>9239</v>
      </c>
      <c r="AG253" s="604">
        <v>1.3</v>
      </c>
      <c r="AH253" s="604" t="s">
        <v>420</v>
      </c>
      <c r="AJ253" s="535" t="str">
        <f t="shared" si="37"/>
        <v>2016agebwt35-392500-4499</v>
      </c>
      <c r="AK253" s="604">
        <v>2016</v>
      </c>
      <c r="AL253" s="604" t="s">
        <v>453</v>
      </c>
      <c r="AM253" s="604" t="s">
        <v>447</v>
      </c>
      <c r="AN253" s="604" t="s">
        <v>133</v>
      </c>
      <c r="AO253" s="604" t="s">
        <v>431</v>
      </c>
      <c r="AP253" s="604">
        <v>9239</v>
      </c>
      <c r="AR253" s="538" t="str">
        <f t="shared" si="38"/>
        <v>Quin 5depfetalBay of Plenty</v>
      </c>
      <c r="AS253" s="604">
        <v>2016</v>
      </c>
      <c r="AT253" s="604" t="s">
        <v>425</v>
      </c>
      <c r="AU253" s="604" t="s">
        <v>454</v>
      </c>
      <c r="AV253" s="604" t="s">
        <v>91</v>
      </c>
      <c r="AW253" s="604">
        <v>8</v>
      </c>
      <c r="AX253" s="604">
        <v>921</v>
      </c>
      <c r="AY253" s="606">
        <v>8.6999999999999993</v>
      </c>
      <c r="AZ253" s="604" t="s">
        <v>420</v>
      </c>
      <c r="BB253" s="536" t="str">
        <f t="shared" si="39"/>
        <v>MalesexbirthsTaranaki</v>
      </c>
      <c r="BC253" s="604">
        <v>2016</v>
      </c>
      <c r="BD253" s="604" t="s">
        <v>70</v>
      </c>
      <c r="BE253" s="604" t="s">
        <v>451</v>
      </c>
      <c r="BF253" s="604" t="s">
        <v>93</v>
      </c>
      <c r="BG253" s="604">
        <v>770</v>
      </c>
      <c r="BH253" s="604" t="s">
        <v>445</v>
      </c>
      <c r="BY253" s="553" t="str">
        <f t="shared" si="40"/>
        <v>2003AsianethSIDS</v>
      </c>
      <c r="BZ253" s="604">
        <v>2003</v>
      </c>
      <c r="CA253" s="604" t="s">
        <v>355</v>
      </c>
      <c r="CB253" s="604" t="s">
        <v>449</v>
      </c>
      <c r="CC253" s="604">
        <v>0</v>
      </c>
      <c r="CD253" s="604" t="s">
        <v>32</v>
      </c>
      <c r="CF253" s="554" t="str">
        <f t="shared" si="41"/>
        <v>2016AsianAucklanddhbSUDI</v>
      </c>
      <c r="CG253" s="604">
        <v>2016</v>
      </c>
      <c r="CH253" s="604" t="s">
        <v>355</v>
      </c>
      <c r="CI253" s="604" t="s">
        <v>87</v>
      </c>
      <c r="CJ253" s="604" t="s">
        <v>448</v>
      </c>
      <c r="CK253" s="604">
        <v>0</v>
      </c>
      <c r="CL253" s="604" t="s">
        <v>33</v>
      </c>
    </row>
    <row r="254" spans="9:90">
      <c r="I254" s="578" t="str">
        <f t="shared" si="34"/>
        <v>2001ethMaoriFetal</v>
      </c>
      <c r="J254" s="604">
        <v>2001</v>
      </c>
      <c r="K254" s="604" t="s">
        <v>449</v>
      </c>
      <c r="L254" s="604" t="s">
        <v>129</v>
      </c>
      <c r="M254" s="604">
        <v>108</v>
      </c>
      <c r="N254" s="604">
        <v>15977</v>
      </c>
      <c r="O254" s="604">
        <v>6.8</v>
      </c>
      <c r="P254" s="604" t="s">
        <v>47</v>
      </c>
      <c r="Q254" s="499"/>
      <c r="R254" s="502" t="str">
        <f t="shared" si="35"/>
        <v>2013birthsdepQuin 3</v>
      </c>
      <c r="S254" s="604">
        <v>2013</v>
      </c>
      <c r="T254" s="604" t="s">
        <v>445</v>
      </c>
      <c r="U254" s="604" t="s">
        <v>454</v>
      </c>
      <c r="V254" s="604" t="s">
        <v>423</v>
      </c>
      <c r="W254" s="604">
        <v>10314</v>
      </c>
      <c r="Y254" s="535" t="str">
        <f t="shared" si="36"/>
        <v>2016agebwt40+2500-4499fetal</v>
      </c>
      <c r="Z254" s="604">
        <v>2016</v>
      </c>
      <c r="AA254" s="604" t="s">
        <v>453</v>
      </c>
      <c r="AB254" s="604" t="s">
        <v>447</v>
      </c>
      <c r="AC254" s="604" t="s">
        <v>134</v>
      </c>
      <c r="AD254" s="604" t="s">
        <v>431</v>
      </c>
      <c r="AE254" s="604">
        <v>3</v>
      </c>
      <c r="AF254" s="604">
        <v>2190</v>
      </c>
      <c r="AG254" s="604">
        <v>1.4</v>
      </c>
      <c r="AH254" s="604" t="s">
        <v>420</v>
      </c>
      <c r="AJ254" s="535" t="str">
        <f t="shared" si="37"/>
        <v>2016agebwt40+2500-4499</v>
      </c>
      <c r="AK254" s="604">
        <v>2016</v>
      </c>
      <c r="AL254" s="604" t="s">
        <v>453</v>
      </c>
      <c r="AM254" s="604" t="s">
        <v>447</v>
      </c>
      <c r="AN254" s="604" t="s">
        <v>134</v>
      </c>
      <c r="AO254" s="604" t="s">
        <v>431</v>
      </c>
      <c r="AP254" s="604">
        <v>2190</v>
      </c>
      <c r="AR254" s="538" t="str">
        <f t="shared" si="38"/>
        <v>Quin 4depfetalTairawhiti</v>
      </c>
      <c r="AS254" s="604">
        <v>2016</v>
      </c>
      <c r="AT254" s="604" t="s">
        <v>424</v>
      </c>
      <c r="AU254" s="604" t="s">
        <v>454</v>
      </c>
      <c r="AV254" s="604" t="s">
        <v>433</v>
      </c>
      <c r="AW254" s="604">
        <v>1</v>
      </c>
      <c r="AX254" s="604">
        <v>31</v>
      </c>
      <c r="AY254" s="606">
        <v>32.299999999999997</v>
      </c>
      <c r="AZ254" s="604" t="s">
        <v>420</v>
      </c>
      <c r="BB254" s="536" t="str">
        <f t="shared" si="39"/>
        <v>FemalesexbirthsTaranaki</v>
      </c>
      <c r="BC254" s="604">
        <v>2016</v>
      </c>
      <c r="BD254" s="604" t="s">
        <v>71</v>
      </c>
      <c r="BE254" s="604" t="s">
        <v>451</v>
      </c>
      <c r="BF254" s="604" t="s">
        <v>93</v>
      </c>
      <c r="BG254" s="604">
        <v>721</v>
      </c>
      <c r="BH254" s="604" t="s">
        <v>445</v>
      </c>
      <c r="BY254" s="553" t="str">
        <f t="shared" si="40"/>
        <v>2003European or OtherethSIDS</v>
      </c>
      <c r="BZ254" s="604">
        <v>2003</v>
      </c>
      <c r="CA254" s="604" t="s">
        <v>356</v>
      </c>
      <c r="CB254" s="604" t="s">
        <v>449</v>
      </c>
      <c r="CC254" s="604">
        <v>11</v>
      </c>
      <c r="CD254" s="604" t="s">
        <v>32</v>
      </c>
      <c r="CF254" s="554" t="str">
        <f t="shared" si="41"/>
        <v>2016European or OtherAucklanddhbSUDI</v>
      </c>
      <c r="CG254" s="604">
        <v>2016</v>
      </c>
      <c r="CH254" s="604" t="s">
        <v>356</v>
      </c>
      <c r="CI254" s="604" t="s">
        <v>87</v>
      </c>
      <c r="CJ254" s="604" t="s">
        <v>448</v>
      </c>
      <c r="CK254" s="604">
        <v>0</v>
      </c>
      <c r="CL254" s="604" t="s">
        <v>33</v>
      </c>
    </row>
    <row r="255" spans="9:90">
      <c r="I255" s="578" t="str">
        <f t="shared" si="34"/>
        <v>2001ethPacific peoplesFetal</v>
      </c>
      <c r="J255" s="604">
        <v>2001</v>
      </c>
      <c r="K255" s="604" t="s">
        <v>449</v>
      </c>
      <c r="L255" s="604" t="s">
        <v>320</v>
      </c>
      <c r="M255" s="604">
        <v>42</v>
      </c>
      <c r="N255" s="604">
        <v>6182</v>
      </c>
      <c r="O255" s="604">
        <v>6.8</v>
      </c>
      <c r="P255" s="604" t="s">
        <v>47</v>
      </c>
      <c r="Q255" s="499"/>
      <c r="R255" s="502" t="str">
        <f t="shared" si="35"/>
        <v>2013birthsdepQuin 4</v>
      </c>
      <c r="S255" s="604">
        <v>2013</v>
      </c>
      <c r="T255" s="604" t="s">
        <v>445</v>
      </c>
      <c r="U255" s="604" t="s">
        <v>454</v>
      </c>
      <c r="V255" s="604" t="s">
        <v>424</v>
      </c>
      <c r="W255" s="604">
        <v>12838</v>
      </c>
      <c r="Y255" s="535" t="str">
        <f t="shared" si="36"/>
        <v>2016agebwt&lt;204500+fetal</v>
      </c>
      <c r="Z255" s="604">
        <v>2016</v>
      </c>
      <c r="AA255" s="604" t="s">
        <v>453</v>
      </c>
      <c r="AB255" s="604" t="s">
        <v>447</v>
      </c>
      <c r="AC255" s="604" t="s">
        <v>339</v>
      </c>
      <c r="AD255" s="604" t="s">
        <v>432</v>
      </c>
      <c r="AE255" s="604">
        <v>0</v>
      </c>
      <c r="AF255" s="604">
        <v>31</v>
      </c>
      <c r="AG255" s="604">
        <v>0</v>
      </c>
      <c r="AH255" s="604" t="s">
        <v>420</v>
      </c>
      <c r="AJ255" s="535" t="str">
        <f t="shared" si="37"/>
        <v>2016agebwt&lt;204500+</v>
      </c>
      <c r="AK255" s="604">
        <v>2016</v>
      </c>
      <c r="AL255" s="604" t="s">
        <v>453</v>
      </c>
      <c r="AM255" s="604" t="s">
        <v>447</v>
      </c>
      <c r="AN255" s="604" t="s">
        <v>339</v>
      </c>
      <c r="AO255" s="604" t="s">
        <v>432</v>
      </c>
      <c r="AP255" s="604">
        <v>31</v>
      </c>
      <c r="AR255" s="538" t="str">
        <f t="shared" si="38"/>
        <v>Quin 5depfetalTairawhiti</v>
      </c>
      <c r="AS255" s="604">
        <v>2016</v>
      </c>
      <c r="AT255" s="604" t="s">
        <v>425</v>
      </c>
      <c r="AU255" s="604" t="s">
        <v>454</v>
      </c>
      <c r="AV255" s="604" t="s">
        <v>433</v>
      </c>
      <c r="AW255" s="604">
        <v>1</v>
      </c>
      <c r="AX255" s="604">
        <v>545</v>
      </c>
      <c r="AY255" s="606">
        <v>1.8</v>
      </c>
      <c r="AZ255" s="604" t="s">
        <v>420</v>
      </c>
      <c r="BB255" s="536" t="str">
        <f t="shared" si="39"/>
        <v>MalesexbirthsMidCentral</v>
      </c>
      <c r="BC255" s="604">
        <v>2016</v>
      </c>
      <c r="BD255" s="604" t="s">
        <v>70</v>
      </c>
      <c r="BE255" s="604" t="s">
        <v>451</v>
      </c>
      <c r="BF255" s="604" t="s">
        <v>94</v>
      </c>
      <c r="BG255" s="604">
        <v>1080</v>
      </c>
      <c r="BH255" s="604" t="s">
        <v>445</v>
      </c>
      <c r="BY255" s="553" t="str">
        <f t="shared" si="40"/>
        <v>2003MaoriethSIDS</v>
      </c>
      <c r="BZ255" s="604">
        <v>2003</v>
      </c>
      <c r="CA255" s="604" t="s">
        <v>129</v>
      </c>
      <c r="CB255" s="604" t="s">
        <v>449</v>
      </c>
      <c r="CC255" s="604">
        <v>36</v>
      </c>
      <c r="CD255" s="604" t="s">
        <v>32</v>
      </c>
      <c r="CF255" s="554" t="str">
        <f t="shared" si="41"/>
        <v>2016MaoriAucklanddhbSUDI</v>
      </c>
      <c r="CG255" s="604">
        <v>2016</v>
      </c>
      <c r="CH255" s="604" t="s">
        <v>129</v>
      </c>
      <c r="CI255" s="604" t="s">
        <v>87</v>
      </c>
      <c r="CJ255" s="604" t="s">
        <v>448</v>
      </c>
      <c r="CK255" s="604">
        <v>2</v>
      </c>
      <c r="CL255" s="604" t="s">
        <v>33</v>
      </c>
    </row>
    <row r="256" spans="9:90">
      <c r="I256" s="578" t="str">
        <f t="shared" si="34"/>
        <v>2001ethAsianFetal</v>
      </c>
      <c r="J256" s="604">
        <v>2001</v>
      </c>
      <c r="K256" s="604" t="s">
        <v>449</v>
      </c>
      <c r="L256" s="604" t="s">
        <v>355</v>
      </c>
      <c r="M256" s="604">
        <v>33</v>
      </c>
      <c r="N256" s="604">
        <v>4074</v>
      </c>
      <c r="O256" s="604">
        <v>8.1</v>
      </c>
      <c r="P256" s="604" t="s">
        <v>47</v>
      </c>
      <c r="Q256" s="499"/>
      <c r="R256" s="502" t="str">
        <f t="shared" si="35"/>
        <v>2013birthsdepQuin 5</v>
      </c>
      <c r="S256" s="604">
        <v>2013</v>
      </c>
      <c r="T256" s="604" t="s">
        <v>445</v>
      </c>
      <c r="U256" s="604" t="s">
        <v>454</v>
      </c>
      <c r="V256" s="604" t="s">
        <v>425</v>
      </c>
      <c r="W256" s="604">
        <v>16525</v>
      </c>
      <c r="Y256" s="535" t="str">
        <f t="shared" si="36"/>
        <v>2016agebwt20-244500+fetal</v>
      </c>
      <c r="Z256" s="604">
        <v>2016</v>
      </c>
      <c r="AA256" s="604" t="s">
        <v>453</v>
      </c>
      <c r="AB256" s="604" t="s">
        <v>447</v>
      </c>
      <c r="AC256" s="604" t="s">
        <v>130</v>
      </c>
      <c r="AD256" s="604" t="s">
        <v>432</v>
      </c>
      <c r="AE256" s="604">
        <v>0</v>
      </c>
      <c r="AF256" s="604">
        <v>208</v>
      </c>
      <c r="AG256" s="604">
        <v>0</v>
      </c>
      <c r="AH256" s="604" t="s">
        <v>420</v>
      </c>
      <c r="AJ256" s="535" t="str">
        <f t="shared" si="37"/>
        <v>2016agebwt20-244500+</v>
      </c>
      <c r="AK256" s="604">
        <v>2016</v>
      </c>
      <c r="AL256" s="604" t="s">
        <v>453</v>
      </c>
      <c r="AM256" s="604" t="s">
        <v>447</v>
      </c>
      <c r="AN256" s="604" t="s">
        <v>130</v>
      </c>
      <c r="AO256" s="604" t="s">
        <v>432</v>
      </c>
      <c r="AP256" s="604">
        <v>208</v>
      </c>
      <c r="AR256" s="538" t="str">
        <f t="shared" si="38"/>
        <v>Quin 2depfetalHawke's Bay</v>
      </c>
      <c r="AS256" s="604">
        <v>2016</v>
      </c>
      <c r="AT256" s="604" t="s">
        <v>422</v>
      </c>
      <c r="AU256" s="604" t="s">
        <v>454</v>
      </c>
      <c r="AV256" s="604" t="s">
        <v>92</v>
      </c>
      <c r="AW256" s="604">
        <v>3</v>
      </c>
      <c r="AX256" s="604">
        <v>367</v>
      </c>
      <c r="AY256" s="606">
        <v>8.1999999999999993</v>
      </c>
      <c r="AZ256" s="604" t="s">
        <v>420</v>
      </c>
      <c r="BB256" s="536" t="str">
        <f t="shared" si="39"/>
        <v>FemalesexbirthsMidCentral</v>
      </c>
      <c r="BC256" s="604">
        <v>2016</v>
      </c>
      <c r="BD256" s="604" t="s">
        <v>71</v>
      </c>
      <c r="BE256" s="604" t="s">
        <v>451</v>
      </c>
      <c r="BF256" s="604" t="s">
        <v>94</v>
      </c>
      <c r="BG256" s="604">
        <v>1026</v>
      </c>
      <c r="BH256" s="604" t="s">
        <v>445</v>
      </c>
      <c r="BY256" s="553" t="str">
        <f t="shared" si="40"/>
        <v>2003Pacific peoplesethSIDS</v>
      </c>
      <c r="BZ256" s="604">
        <v>2003</v>
      </c>
      <c r="CA256" s="604" t="s">
        <v>320</v>
      </c>
      <c r="CB256" s="604" t="s">
        <v>449</v>
      </c>
      <c r="CC256" s="604">
        <v>2</v>
      </c>
      <c r="CD256" s="604" t="s">
        <v>32</v>
      </c>
      <c r="CF256" s="554" t="str">
        <f t="shared" si="41"/>
        <v>2016Pacific peoplesAucklanddhbSUDI</v>
      </c>
      <c r="CG256" s="604">
        <v>2016</v>
      </c>
      <c r="CH256" s="604" t="s">
        <v>320</v>
      </c>
      <c r="CI256" s="604" t="s">
        <v>87</v>
      </c>
      <c r="CJ256" s="604" t="s">
        <v>448</v>
      </c>
      <c r="CK256" s="604">
        <v>0</v>
      </c>
      <c r="CL256" s="604" t="s">
        <v>33</v>
      </c>
    </row>
    <row r="257" spans="9:90">
      <c r="I257" s="578" t="str">
        <f t="shared" si="34"/>
        <v>2001ethEuropean or OtherFetal</v>
      </c>
      <c r="J257" s="604">
        <v>2001</v>
      </c>
      <c r="K257" s="604" t="s">
        <v>449</v>
      </c>
      <c r="L257" s="604" t="s">
        <v>356</v>
      </c>
      <c r="M257" s="604">
        <v>203</v>
      </c>
      <c r="N257" s="604">
        <v>30377</v>
      </c>
      <c r="O257" s="604">
        <v>6.7</v>
      </c>
      <c r="P257" s="604" t="s">
        <v>47</v>
      </c>
      <c r="Q257" s="499"/>
      <c r="R257" s="502" t="str">
        <f t="shared" si="35"/>
        <v>2013birthsdepQuin 9</v>
      </c>
      <c r="S257" s="604">
        <v>2013</v>
      </c>
      <c r="T257" s="604" t="s">
        <v>445</v>
      </c>
      <c r="U257" s="604" t="s">
        <v>454</v>
      </c>
      <c r="V257" s="604" t="s">
        <v>426</v>
      </c>
      <c r="W257" s="604">
        <v>2580</v>
      </c>
      <c r="Y257" s="535" t="str">
        <f t="shared" si="36"/>
        <v>2016agebwt25-294500+fetal</v>
      </c>
      <c r="Z257" s="604">
        <v>2016</v>
      </c>
      <c r="AA257" s="604" t="s">
        <v>453</v>
      </c>
      <c r="AB257" s="604" t="s">
        <v>447</v>
      </c>
      <c r="AC257" s="604" t="s">
        <v>131</v>
      </c>
      <c r="AD257" s="604" t="s">
        <v>432</v>
      </c>
      <c r="AE257" s="604">
        <v>2</v>
      </c>
      <c r="AF257" s="604">
        <v>410</v>
      </c>
      <c r="AG257" s="604">
        <v>4.9000000000000004</v>
      </c>
      <c r="AH257" s="604" t="s">
        <v>420</v>
      </c>
      <c r="AJ257" s="535" t="str">
        <f t="shared" si="37"/>
        <v>2016agebwt25-294500+</v>
      </c>
      <c r="AK257" s="604">
        <v>2016</v>
      </c>
      <c r="AL257" s="604" t="s">
        <v>453</v>
      </c>
      <c r="AM257" s="604" t="s">
        <v>447</v>
      </c>
      <c r="AN257" s="604" t="s">
        <v>131</v>
      </c>
      <c r="AO257" s="604" t="s">
        <v>432</v>
      </c>
      <c r="AP257" s="604">
        <v>410</v>
      </c>
      <c r="AR257" s="538" t="str">
        <f t="shared" si="38"/>
        <v>Quin 4depfetalHawke's Bay</v>
      </c>
      <c r="AS257" s="604">
        <v>2016</v>
      </c>
      <c r="AT257" s="604" t="s">
        <v>424</v>
      </c>
      <c r="AU257" s="604" t="s">
        <v>454</v>
      </c>
      <c r="AV257" s="604" t="s">
        <v>92</v>
      </c>
      <c r="AW257" s="604">
        <v>3</v>
      </c>
      <c r="AX257" s="604">
        <v>419</v>
      </c>
      <c r="AY257" s="606">
        <v>7.2</v>
      </c>
      <c r="AZ257" s="604" t="s">
        <v>420</v>
      </c>
      <c r="BB257" s="536" t="str">
        <f t="shared" si="39"/>
        <v>MalesexbirthsWhanganui</v>
      </c>
      <c r="BC257" s="604">
        <v>2016</v>
      </c>
      <c r="BD257" s="604" t="s">
        <v>70</v>
      </c>
      <c r="BE257" s="604" t="s">
        <v>451</v>
      </c>
      <c r="BF257" s="604" t="s">
        <v>95</v>
      </c>
      <c r="BG257" s="604">
        <v>428</v>
      </c>
      <c r="BH257" s="604" t="s">
        <v>445</v>
      </c>
      <c r="BY257" s="553" t="str">
        <f t="shared" si="40"/>
        <v>2004AsianethSIDS</v>
      </c>
      <c r="BZ257" s="604">
        <v>2004</v>
      </c>
      <c r="CA257" s="604" t="s">
        <v>355</v>
      </c>
      <c r="CB257" s="604" t="s">
        <v>449</v>
      </c>
      <c r="CC257" s="604">
        <v>0</v>
      </c>
      <c r="CD257" s="604" t="s">
        <v>32</v>
      </c>
      <c r="CF257" s="554" t="str">
        <f t="shared" si="41"/>
        <v>2016AsianCounties ManukaudhbSUDI</v>
      </c>
      <c r="CG257" s="604">
        <v>2016</v>
      </c>
      <c r="CH257" s="604" t="s">
        <v>355</v>
      </c>
      <c r="CI257" s="604" t="s">
        <v>88</v>
      </c>
      <c r="CJ257" s="604" t="s">
        <v>448</v>
      </c>
      <c r="CK257" s="604">
        <v>1</v>
      </c>
      <c r="CL257" s="604" t="s">
        <v>33</v>
      </c>
    </row>
    <row r="258" spans="9:90">
      <c r="I258" s="578" t="str">
        <f t="shared" si="34"/>
        <v>2002ethMaoriFetal</v>
      </c>
      <c r="J258" s="604">
        <v>2002</v>
      </c>
      <c r="K258" s="604" t="s">
        <v>449</v>
      </c>
      <c r="L258" s="604" t="s">
        <v>129</v>
      </c>
      <c r="M258" s="604">
        <v>100</v>
      </c>
      <c r="N258" s="604">
        <v>15005</v>
      </c>
      <c r="O258" s="604">
        <v>6.7</v>
      </c>
      <c r="P258" s="604" t="s">
        <v>47</v>
      </c>
      <c r="Q258" s="499"/>
      <c r="R258" s="502" t="str">
        <f t="shared" si="35"/>
        <v>2014birthsdepQuin 1</v>
      </c>
      <c r="S258" s="604">
        <v>2014</v>
      </c>
      <c r="T258" s="604" t="s">
        <v>445</v>
      </c>
      <c r="U258" s="604" t="s">
        <v>454</v>
      </c>
      <c r="V258" s="604" t="s">
        <v>421</v>
      </c>
      <c r="W258" s="604">
        <v>8221</v>
      </c>
      <c r="Y258" s="535" t="str">
        <f t="shared" si="36"/>
        <v>2016agebwt30-344500+fetal</v>
      </c>
      <c r="Z258" s="604">
        <v>2016</v>
      </c>
      <c r="AA258" s="604" t="s">
        <v>453</v>
      </c>
      <c r="AB258" s="604" t="s">
        <v>447</v>
      </c>
      <c r="AC258" s="604" t="s">
        <v>132</v>
      </c>
      <c r="AD258" s="604" t="s">
        <v>432</v>
      </c>
      <c r="AE258" s="604">
        <v>0</v>
      </c>
      <c r="AF258" s="604">
        <v>449</v>
      </c>
      <c r="AG258" s="604">
        <v>0</v>
      </c>
      <c r="AH258" s="604" t="s">
        <v>420</v>
      </c>
      <c r="AJ258" s="535" t="str">
        <f t="shared" si="37"/>
        <v>2016agebwt30-344500+</v>
      </c>
      <c r="AK258" s="604">
        <v>2016</v>
      </c>
      <c r="AL258" s="604" t="s">
        <v>453</v>
      </c>
      <c r="AM258" s="604" t="s">
        <v>447</v>
      </c>
      <c r="AN258" s="604" t="s">
        <v>132</v>
      </c>
      <c r="AO258" s="604" t="s">
        <v>432</v>
      </c>
      <c r="AP258" s="604">
        <v>449</v>
      </c>
      <c r="AR258" s="538" t="str">
        <f t="shared" si="38"/>
        <v>Quin 5depfetalHawke's Bay</v>
      </c>
      <c r="AS258" s="604">
        <v>2016</v>
      </c>
      <c r="AT258" s="604" t="s">
        <v>425</v>
      </c>
      <c r="AU258" s="604" t="s">
        <v>454</v>
      </c>
      <c r="AV258" s="604" t="s">
        <v>92</v>
      </c>
      <c r="AW258" s="604">
        <v>1</v>
      </c>
      <c r="AX258" s="604">
        <v>983</v>
      </c>
      <c r="AY258" s="606">
        <v>1</v>
      </c>
      <c r="AZ258" s="604" t="s">
        <v>420</v>
      </c>
      <c r="BB258" s="536" t="str">
        <f t="shared" si="39"/>
        <v>FemalesexbirthsWhanganui</v>
      </c>
      <c r="BC258" s="604">
        <v>2016</v>
      </c>
      <c r="BD258" s="604" t="s">
        <v>71</v>
      </c>
      <c r="BE258" s="604" t="s">
        <v>451</v>
      </c>
      <c r="BF258" s="604" t="s">
        <v>95</v>
      </c>
      <c r="BG258" s="604">
        <v>415</v>
      </c>
      <c r="BH258" s="604" t="s">
        <v>445</v>
      </c>
      <c r="BY258" s="553" t="str">
        <f t="shared" si="40"/>
        <v>2004European or OtherethSIDS</v>
      </c>
      <c r="BZ258" s="604">
        <v>2004</v>
      </c>
      <c r="CA258" s="604" t="s">
        <v>356</v>
      </c>
      <c r="CB258" s="604" t="s">
        <v>449</v>
      </c>
      <c r="CC258" s="604">
        <v>9</v>
      </c>
      <c r="CD258" s="604" t="s">
        <v>32</v>
      </c>
      <c r="CF258" s="554" t="str">
        <f t="shared" si="41"/>
        <v>2016European or OtherCounties ManukaudhbSUDI</v>
      </c>
      <c r="CG258" s="604">
        <v>2016</v>
      </c>
      <c r="CH258" s="604" t="s">
        <v>356</v>
      </c>
      <c r="CI258" s="604" t="s">
        <v>88</v>
      </c>
      <c r="CJ258" s="604" t="s">
        <v>448</v>
      </c>
      <c r="CK258" s="604">
        <v>1</v>
      </c>
      <c r="CL258" s="604" t="s">
        <v>33</v>
      </c>
    </row>
    <row r="259" spans="9:90">
      <c r="I259" s="578" t="str">
        <f t="shared" si="34"/>
        <v>2002ethPacific peoplesFetal</v>
      </c>
      <c r="J259" s="604">
        <v>2002</v>
      </c>
      <c r="K259" s="604" t="s">
        <v>449</v>
      </c>
      <c r="L259" s="604" t="s">
        <v>320</v>
      </c>
      <c r="M259" s="604">
        <v>55</v>
      </c>
      <c r="N259" s="604">
        <v>6032</v>
      </c>
      <c r="O259" s="604">
        <v>9.1</v>
      </c>
      <c r="P259" s="604" t="s">
        <v>47</v>
      </c>
      <c r="Q259" s="499"/>
      <c r="R259" s="502" t="str">
        <f t="shared" si="35"/>
        <v>2014birthsdepQuin 2</v>
      </c>
      <c r="S259" s="604">
        <v>2014</v>
      </c>
      <c r="T259" s="604" t="s">
        <v>445</v>
      </c>
      <c r="U259" s="604" t="s">
        <v>454</v>
      </c>
      <c r="V259" s="604" t="s">
        <v>422</v>
      </c>
      <c r="W259" s="604">
        <v>8889</v>
      </c>
      <c r="Y259" s="535" t="str">
        <f t="shared" si="36"/>
        <v>2016agebwt35-394500+fetal</v>
      </c>
      <c r="Z259" s="604">
        <v>2016</v>
      </c>
      <c r="AA259" s="604" t="s">
        <v>453</v>
      </c>
      <c r="AB259" s="604" t="s">
        <v>447</v>
      </c>
      <c r="AC259" s="604" t="s">
        <v>133</v>
      </c>
      <c r="AD259" s="604" t="s">
        <v>432</v>
      </c>
      <c r="AE259" s="604">
        <v>2</v>
      </c>
      <c r="AF259" s="604">
        <v>260</v>
      </c>
      <c r="AG259" s="604">
        <v>7.6</v>
      </c>
      <c r="AH259" s="604" t="s">
        <v>420</v>
      </c>
      <c r="AJ259" s="535" t="str">
        <f t="shared" si="37"/>
        <v>2016agebwt35-394500+</v>
      </c>
      <c r="AK259" s="604">
        <v>2016</v>
      </c>
      <c r="AL259" s="604" t="s">
        <v>453</v>
      </c>
      <c r="AM259" s="604" t="s">
        <v>447</v>
      </c>
      <c r="AN259" s="604" t="s">
        <v>133</v>
      </c>
      <c r="AO259" s="604" t="s">
        <v>432</v>
      </c>
      <c r="AP259" s="604">
        <v>260</v>
      </c>
      <c r="AR259" s="538" t="str">
        <f t="shared" si="38"/>
        <v>Quin 2depfetalTaranaki</v>
      </c>
      <c r="AS259" s="604">
        <v>2016</v>
      </c>
      <c r="AT259" s="604" t="s">
        <v>422</v>
      </c>
      <c r="AU259" s="604" t="s">
        <v>454</v>
      </c>
      <c r="AV259" s="604" t="s">
        <v>93</v>
      </c>
      <c r="AW259" s="604">
        <v>1</v>
      </c>
      <c r="AX259" s="604">
        <v>148</v>
      </c>
      <c r="AY259" s="606">
        <v>6.8</v>
      </c>
      <c r="AZ259" s="604" t="s">
        <v>420</v>
      </c>
      <c r="BB259" s="536" t="str">
        <f t="shared" si="39"/>
        <v>MalesexbirthsCapital &amp; Coast</v>
      </c>
      <c r="BC259" s="604">
        <v>2016</v>
      </c>
      <c r="BD259" s="604" t="s">
        <v>70</v>
      </c>
      <c r="BE259" s="604" t="s">
        <v>451</v>
      </c>
      <c r="BF259" s="604" t="s">
        <v>96</v>
      </c>
      <c r="BG259" s="604">
        <v>1765</v>
      </c>
      <c r="BH259" s="604" t="s">
        <v>445</v>
      </c>
      <c r="BY259" s="553" t="str">
        <f t="shared" si="40"/>
        <v>2004MaoriethSIDS</v>
      </c>
      <c r="BZ259" s="604">
        <v>2004</v>
      </c>
      <c r="CA259" s="604" t="s">
        <v>129</v>
      </c>
      <c r="CB259" s="604" t="s">
        <v>449</v>
      </c>
      <c r="CC259" s="604">
        <v>34</v>
      </c>
      <c r="CD259" s="604" t="s">
        <v>32</v>
      </c>
      <c r="CF259" s="554" t="str">
        <f t="shared" si="41"/>
        <v>2016MaoriCounties ManukaudhbSUDI</v>
      </c>
      <c r="CG259" s="604">
        <v>2016</v>
      </c>
      <c r="CH259" s="604" t="s">
        <v>129</v>
      </c>
      <c r="CI259" s="604" t="s">
        <v>88</v>
      </c>
      <c r="CJ259" s="604" t="s">
        <v>448</v>
      </c>
      <c r="CK259" s="604">
        <v>5</v>
      </c>
      <c r="CL259" s="604" t="s">
        <v>33</v>
      </c>
    </row>
    <row r="260" spans="9:90">
      <c r="I260" s="578" t="str">
        <f t="shared" ref="I260:I323" si="42">J260&amp;K260&amp;L260&amp;P260</f>
        <v>2002ethAsianFetal</v>
      </c>
      <c r="J260" s="604">
        <v>2002</v>
      </c>
      <c r="K260" s="604" t="s">
        <v>449</v>
      </c>
      <c r="L260" s="604" t="s">
        <v>355</v>
      </c>
      <c r="M260" s="604">
        <v>27</v>
      </c>
      <c r="N260" s="604">
        <v>4626</v>
      </c>
      <c r="O260" s="604">
        <v>5.8</v>
      </c>
      <c r="P260" s="604" t="s">
        <v>47</v>
      </c>
      <c r="Q260" s="499"/>
      <c r="R260" s="502" t="str">
        <f t="shared" ref="R260:R323" si="43">S260&amp;T260&amp;U260&amp;V260</f>
        <v>2014birthsdepQuin 3</v>
      </c>
      <c r="S260" s="604">
        <v>2014</v>
      </c>
      <c r="T260" s="604" t="s">
        <v>445</v>
      </c>
      <c r="U260" s="604" t="s">
        <v>454</v>
      </c>
      <c r="V260" s="604" t="s">
        <v>423</v>
      </c>
      <c r="W260" s="604">
        <v>10045</v>
      </c>
      <c r="Y260" s="535" t="str">
        <f t="shared" ref="Y260:Y323" si="44">Z260&amp;AA260&amp;AB260&amp;AC260&amp;AD260&amp;AH260</f>
        <v>2016agebwt40+4500+fetal</v>
      </c>
      <c r="Z260" s="604">
        <v>2016</v>
      </c>
      <c r="AA260" s="604" t="s">
        <v>453</v>
      </c>
      <c r="AB260" s="604" t="s">
        <v>447</v>
      </c>
      <c r="AC260" s="604" t="s">
        <v>134</v>
      </c>
      <c r="AD260" s="604" t="s">
        <v>432</v>
      </c>
      <c r="AE260" s="604">
        <v>0</v>
      </c>
      <c r="AF260" s="604">
        <v>65</v>
      </c>
      <c r="AG260" s="604">
        <v>0</v>
      </c>
      <c r="AH260" s="604" t="s">
        <v>420</v>
      </c>
      <c r="AJ260" s="535" t="str">
        <f t="shared" ref="AJ260:AJ323" si="45">AK260&amp;AL260&amp;AM260&amp;AN260&amp;AO260</f>
        <v>2016agebwt40+4500+</v>
      </c>
      <c r="AK260" s="604">
        <v>2016</v>
      </c>
      <c r="AL260" s="604" t="s">
        <v>453</v>
      </c>
      <c r="AM260" s="604" t="s">
        <v>447</v>
      </c>
      <c r="AN260" s="604" t="s">
        <v>134</v>
      </c>
      <c r="AO260" s="604" t="s">
        <v>432</v>
      </c>
      <c r="AP260" s="604">
        <v>65</v>
      </c>
      <c r="AR260" s="538" t="str">
        <f t="shared" ref="AR260:AR323" si="46">AT260&amp;AU260&amp;AZ260&amp;AV260</f>
        <v>Quin 3depfetalTaranaki</v>
      </c>
      <c r="AS260" s="604">
        <v>2016</v>
      </c>
      <c r="AT260" s="604" t="s">
        <v>423</v>
      </c>
      <c r="AU260" s="604" t="s">
        <v>454</v>
      </c>
      <c r="AV260" s="604" t="s">
        <v>93</v>
      </c>
      <c r="AW260" s="604">
        <v>6</v>
      </c>
      <c r="AX260" s="604">
        <v>526</v>
      </c>
      <c r="AY260" s="606">
        <v>11.4</v>
      </c>
      <c r="AZ260" s="604" t="s">
        <v>420</v>
      </c>
      <c r="BB260" s="536" t="str">
        <f t="shared" ref="BB260:BB323" si="47">BD260&amp;BE260&amp;BH260&amp;BF260</f>
        <v>FemalesexbirthsCapital &amp; Coast</v>
      </c>
      <c r="BC260" s="604">
        <v>2016</v>
      </c>
      <c r="BD260" s="604" t="s">
        <v>71</v>
      </c>
      <c r="BE260" s="604" t="s">
        <v>451</v>
      </c>
      <c r="BF260" s="604" t="s">
        <v>96</v>
      </c>
      <c r="BG260" s="604">
        <v>1762</v>
      </c>
      <c r="BH260" s="604" t="s">
        <v>445</v>
      </c>
      <c r="BY260" s="553" t="str">
        <f t="shared" ref="BY260:BY323" si="48">BZ260&amp;CA260&amp;CB260&amp;CD260</f>
        <v>2004Pacific peoplesethSIDS</v>
      </c>
      <c r="BZ260" s="604">
        <v>2004</v>
      </c>
      <c r="CA260" s="604" t="s">
        <v>320</v>
      </c>
      <c r="CB260" s="604" t="s">
        <v>449</v>
      </c>
      <c r="CC260" s="604">
        <v>2</v>
      </c>
      <c r="CD260" s="604" t="s">
        <v>32</v>
      </c>
      <c r="CF260" s="554" t="str">
        <f t="shared" ref="CF260:CF323" si="49">CG260&amp;CH260&amp;CI260&amp;CJ260&amp;CL260</f>
        <v>2016Pacific peoplesCounties ManukaudhbSUDI</v>
      </c>
      <c r="CG260" s="604">
        <v>2016</v>
      </c>
      <c r="CH260" s="604" t="s">
        <v>320</v>
      </c>
      <c r="CI260" s="604" t="s">
        <v>88</v>
      </c>
      <c r="CJ260" s="604" t="s">
        <v>448</v>
      </c>
      <c r="CK260" s="604">
        <v>3</v>
      </c>
      <c r="CL260" s="604" t="s">
        <v>33</v>
      </c>
    </row>
    <row r="261" spans="9:90">
      <c r="I261" s="578" t="str">
        <f t="shared" si="42"/>
        <v>2002ethEuropean or OtherFetal</v>
      </c>
      <c r="J261" s="604">
        <v>2002</v>
      </c>
      <c r="K261" s="604" t="s">
        <v>449</v>
      </c>
      <c r="L261" s="604" t="s">
        <v>356</v>
      </c>
      <c r="M261" s="604">
        <v>208</v>
      </c>
      <c r="N261" s="604">
        <v>29242</v>
      </c>
      <c r="O261" s="604">
        <v>7.1</v>
      </c>
      <c r="P261" s="604" t="s">
        <v>47</v>
      </c>
      <c r="Q261" s="499"/>
      <c r="R261" s="502" t="str">
        <f t="shared" si="43"/>
        <v>2014birthsdepQuin 4</v>
      </c>
      <c r="S261" s="604">
        <v>2014</v>
      </c>
      <c r="T261" s="604" t="s">
        <v>445</v>
      </c>
      <c r="U261" s="604" t="s">
        <v>454</v>
      </c>
      <c r="V261" s="604" t="s">
        <v>424</v>
      </c>
      <c r="W261" s="604">
        <v>12442</v>
      </c>
      <c r="Y261" s="535" t="str">
        <f t="shared" si="44"/>
        <v>2016agebwt&lt;20Unknownfetal</v>
      </c>
      <c r="Z261" s="604">
        <v>2016</v>
      </c>
      <c r="AA261" s="604" t="s">
        <v>453</v>
      </c>
      <c r="AB261" s="604" t="s">
        <v>447</v>
      </c>
      <c r="AC261" s="604" t="s">
        <v>339</v>
      </c>
      <c r="AD261" s="604" t="s">
        <v>63</v>
      </c>
      <c r="AE261" s="604">
        <v>1</v>
      </c>
      <c r="AF261" s="604">
        <v>2</v>
      </c>
      <c r="AG261" s="604" t="s">
        <v>119</v>
      </c>
      <c r="AH261" s="604" t="s">
        <v>420</v>
      </c>
      <c r="AJ261" s="535" t="str">
        <f t="shared" si="45"/>
        <v>2016agebwt&lt;20Unknown</v>
      </c>
      <c r="AK261" s="604">
        <v>2016</v>
      </c>
      <c r="AL261" s="604" t="s">
        <v>453</v>
      </c>
      <c r="AM261" s="604" t="s">
        <v>447</v>
      </c>
      <c r="AN261" s="604" t="s">
        <v>339</v>
      </c>
      <c r="AO261" s="604" t="s">
        <v>63</v>
      </c>
      <c r="AP261" s="604">
        <v>2</v>
      </c>
      <c r="AR261" s="538" t="str">
        <f t="shared" si="46"/>
        <v>Quin 4depfetalTaranaki</v>
      </c>
      <c r="AS261" s="604">
        <v>2016</v>
      </c>
      <c r="AT261" s="604" t="s">
        <v>424</v>
      </c>
      <c r="AU261" s="604" t="s">
        <v>454</v>
      </c>
      <c r="AV261" s="604" t="s">
        <v>93</v>
      </c>
      <c r="AW261" s="604">
        <v>4</v>
      </c>
      <c r="AX261" s="604">
        <v>365</v>
      </c>
      <c r="AY261" s="606">
        <v>11</v>
      </c>
      <c r="AZ261" s="604" t="s">
        <v>420</v>
      </c>
      <c r="BB261" s="536" t="str">
        <f t="shared" si="47"/>
        <v>MalesexbirthsHutt Valley</v>
      </c>
      <c r="BC261" s="604">
        <v>2016</v>
      </c>
      <c r="BD261" s="604" t="s">
        <v>70</v>
      </c>
      <c r="BE261" s="604" t="s">
        <v>451</v>
      </c>
      <c r="BF261" s="604" t="s">
        <v>97</v>
      </c>
      <c r="BG261" s="604">
        <v>1037</v>
      </c>
      <c r="BH261" s="604" t="s">
        <v>445</v>
      </c>
      <c r="BY261" s="553" t="str">
        <f t="shared" si="48"/>
        <v>2005AsianethSIDS</v>
      </c>
      <c r="BZ261" s="604">
        <v>2005</v>
      </c>
      <c r="CA261" s="604" t="s">
        <v>355</v>
      </c>
      <c r="CB261" s="604" t="s">
        <v>449</v>
      </c>
      <c r="CC261" s="604">
        <v>0</v>
      </c>
      <c r="CD261" s="604" t="s">
        <v>32</v>
      </c>
      <c r="CF261" s="554" t="str">
        <f t="shared" si="49"/>
        <v>2016AsianWaikatodhbSUDI</v>
      </c>
      <c r="CG261" s="604">
        <v>2016</v>
      </c>
      <c r="CH261" s="604" t="s">
        <v>355</v>
      </c>
      <c r="CI261" s="604" t="s">
        <v>89</v>
      </c>
      <c r="CJ261" s="604" t="s">
        <v>448</v>
      </c>
      <c r="CK261" s="604">
        <v>0</v>
      </c>
      <c r="CL261" s="604" t="s">
        <v>33</v>
      </c>
    </row>
    <row r="262" spans="9:90">
      <c r="I262" s="578" t="str">
        <f t="shared" si="42"/>
        <v>2003ethMaoriFetal</v>
      </c>
      <c r="J262" s="604">
        <v>2003</v>
      </c>
      <c r="K262" s="604" t="s">
        <v>449</v>
      </c>
      <c r="L262" s="604" t="s">
        <v>129</v>
      </c>
      <c r="M262" s="604">
        <v>103</v>
      </c>
      <c r="N262" s="604">
        <v>15785</v>
      </c>
      <c r="O262" s="604">
        <v>6.5</v>
      </c>
      <c r="P262" s="604" t="s">
        <v>47</v>
      </c>
      <c r="Q262" s="499"/>
      <c r="R262" s="502" t="str">
        <f t="shared" si="43"/>
        <v>2014birthsdepQuin 5</v>
      </c>
      <c r="S262" s="604">
        <v>2014</v>
      </c>
      <c r="T262" s="604" t="s">
        <v>445</v>
      </c>
      <c r="U262" s="604" t="s">
        <v>454</v>
      </c>
      <c r="V262" s="604" t="s">
        <v>425</v>
      </c>
      <c r="W262" s="604">
        <v>16100</v>
      </c>
      <c r="Y262" s="535" t="str">
        <f t="shared" si="44"/>
        <v>2016agebwt20-24Unknownfetal</v>
      </c>
      <c r="Z262" s="604">
        <v>2016</v>
      </c>
      <c r="AA262" s="604" t="s">
        <v>453</v>
      </c>
      <c r="AB262" s="604" t="s">
        <v>447</v>
      </c>
      <c r="AC262" s="604" t="s">
        <v>130</v>
      </c>
      <c r="AD262" s="604" t="s">
        <v>63</v>
      </c>
      <c r="AE262" s="604">
        <v>5</v>
      </c>
      <c r="AF262" s="604">
        <v>4</v>
      </c>
      <c r="AG262" s="604" t="s">
        <v>119</v>
      </c>
      <c r="AH262" s="604" t="s">
        <v>420</v>
      </c>
      <c r="AJ262" s="535" t="str">
        <f t="shared" si="45"/>
        <v>2016agebwt20-24Unknown</v>
      </c>
      <c r="AK262" s="604">
        <v>2016</v>
      </c>
      <c r="AL262" s="604" t="s">
        <v>453</v>
      </c>
      <c r="AM262" s="604" t="s">
        <v>447</v>
      </c>
      <c r="AN262" s="604" t="s">
        <v>130</v>
      </c>
      <c r="AO262" s="604" t="s">
        <v>63</v>
      </c>
      <c r="AP262" s="604">
        <v>4</v>
      </c>
      <c r="AR262" s="538" t="str">
        <f t="shared" si="46"/>
        <v>Quin 5depfetalTaranaki</v>
      </c>
      <c r="AS262" s="604">
        <v>2016</v>
      </c>
      <c r="AT262" s="604" t="s">
        <v>425</v>
      </c>
      <c r="AU262" s="604" t="s">
        <v>454</v>
      </c>
      <c r="AV262" s="604" t="s">
        <v>93</v>
      </c>
      <c r="AW262" s="604">
        <v>2</v>
      </c>
      <c r="AX262" s="604">
        <v>285</v>
      </c>
      <c r="AY262" s="606">
        <v>7</v>
      </c>
      <c r="AZ262" s="604" t="s">
        <v>420</v>
      </c>
      <c r="BB262" s="536" t="str">
        <f t="shared" si="47"/>
        <v>FemalesexbirthsHutt Valley</v>
      </c>
      <c r="BC262" s="604">
        <v>2016</v>
      </c>
      <c r="BD262" s="604" t="s">
        <v>71</v>
      </c>
      <c r="BE262" s="604" t="s">
        <v>451</v>
      </c>
      <c r="BF262" s="604" t="s">
        <v>97</v>
      </c>
      <c r="BG262" s="604">
        <v>967</v>
      </c>
      <c r="BH262" s="604" t="s">
        <v>445</v>
      </c>
      <c r="BY262" s="553" t="str">
        <f t="shared" si="48"/>
        <v>2005European or OtherethSIDS</v>
      </c>
      <c r="BZ262" s="604">
        <v>2005</v>
      </c>
      <c r="CA262" s="604" t="s">
        <v>356</v>
      </c>
      <c r="CB262" s="604" t="s">
        <v>449</v>
      </c>
      <c r="CC262" s="604">
        <v>9</v>
      </c>
      <c r="CD262" s="604" t="s">
        <v>32</v>
      </c>
      <c r="CF262" s="554" t="str">
        <f t="shared" si="49"/>
        <v>2016European or OtherWaikatodhbSUDI</v>
      </c>
      <c r="CG262" s="604">
        <v>2016</v>
      </c>
      <c r="CH262" s="604" t="s">
        <v>356</v>
      </c>
      <c r="CI262" s="604" t="s">
        <v>89</v>
      </c>
      <c r="CJ262" s="604" t="s">
        <v>448</v>
      </c>
      <c r="CK262" s="604">
        <v>2</v>
      </c>
      <c r="CL262" s="604" t="s">
        <v>33</v>
      </c>
    </row>
    <row r="263" spans="9:90">
      <c r="I263" s="578" t="str">
        <f t="shared" si="42"/>
        <v>2003ethPacific peoplesFetal</v>
      </c>
      <c r="J263" s="604">
        <v>2003</v>
      </c>
      <c r="K263" s="604" t="s">
        <v>449</v>
      </c>
      <c r="L263" s="604" t="s">
        <v>320</v>
      </c>
      <c r="M263" s="604">
        <v>49</v>
      </c>
      <c r="N263" s="604">
        <v>6195</v>
      </c>
      <c r="O263" s="604">
        <v>7.9</v>
      </c>
      <c r="P263" s="604" t="s">
        <v>47</v>
      </c>
      <c r="Q263" s="499"/>
      <c r="R263" s="502" t="str">
        <f t="shared" si="43"/>
        <v>2014birthsdepQuin 9</v>
      </c>
      <c r="S263" s="604">
        <v>2014</v>
      </c>
      <c r="T263" s="604" t="s">
        <v>445</v>
      </c>
      <c r="U263" s="604" t="s">
        <v>454</v>
      </c>
      <c r="V263" s="604" t="s">
        <v>426</v>
      </c>
      <c r="W263" s="604">
        <v>2588</v>
      </c>
      <c r="Y263" s="535" t="str">
        <f t="shared" si="44"/>
        <v>2016agebwt25-29Unknownfetal</v>
      </c>
      <c r="Z263" s="604">
        <v>2016</v>
      </c>
      <c r="AA263" s="604" t="s">
        <v>453</v>
      </c>
      <c r="AB263" s="604" t="s">
        <v>447</v>
      </c>
      <c r="AC263" s="604" t="s">
        <v>131</v>
      </c>
      <c r="AD263" s="604" t="s">
        <v>63</v>
      </c>
      <c r="AE263" s="604">
        <v>5</v>
      </c>
      <c r="AF263" s="604">
        <v>11</v>
      </c>
      <c r="AG263" s="604" t="s">
        <v>119</v>
      </c>
      <c r="AH263" s="604" t="s">
        <v>420</v>
      </c>
      <c r="AJ263" s="535" t="str">
        <f t="shared" si="45"/>
        <v>2016agebwt25-29Unknown</v>
      </c>
      <c r="AK263" s="604">
        <v>2016</v>
      </c>
      <c r="AL263" s="604" t="s">
        <v>453</v>
      </c>
      <c r="AM263" s="604" t="s">
        <v>447</v>
      </c>
      <c r="AN263" s="604" t="s">
        <v>131</v>
      </c>
      <c r="AO263" s="604" t="s">
        <v>63</v>
      </c>
      <c r="AP263" s="604">
        <v>11</v>
      </c>
      <c r="AR263" s="538" t="str">
        <f t="shared" si="46"/>
        <v>Quin 1depfetalMidCentral</v>
      </c>
      <c r="AS263" s="604">
        <v>2016</v>
      </c>
      <c r="AT263" s="604" t="s">
        <v>421</v>
      </c>
      <c r="AU263" s="604" t="s">
        <v>454</v>
      </c>
      <c r="AV263" s="604" t="s">
        <v>94</v>
      </c>
      <c r="AW263" s="604">
        <v>2</v>
      </c>
      <c r="AX263" s="604">
        <v>138</v>
      </c>
      <c r="AY263" s="606">
        <v>14.5</v>
      </c>
      <c r="AZ263" s="604" t="s">
        <v>420</v>
      </c>
      <c r="BB263" s="536" t="str">
        <f t="shared" si="47"/>
        <v>MalesexbirthsWairarapa</v>
      </c>
      <c r="BC263" s="604">
        <v>2016</v>
      </c>
      <c r="BD263" s="604" t="s">
        <v>70</v>
      </c>
      <c r="BE263" s="604" t="s">
        <v>451</v>
      </c>
      <c r="BF263" s="604" t="s">
        <v>98</v>
      </c>
      <c r="BG263" s="604">
        <v>227</v>
      </c>
      <c r="BH263" s="604" t="s">
        <v>445</v>
      </c>
      <c r="BY263" s="553" t="str">
        <f t="shared" si="48"/>
        <v>2005MaoriethSIDS</v>
      </c>
      <c r="BZ263" s="604">
        <v>2005</v>
      </c>
      <c r="CA263" s="604" t="s">
        <v>129</v>
      </c>
      <c r="CB263" s="604" t="s">
        <v>449</v>
      </c>
      <c r="CC263" s="604">
        <v>28</v>
      </c>
      <c r="CD263" s="604" t="s">
        <v>32</v>
      </c>
      <c r="CF263" s="554" t="str">
        <f t="shared" si="49"/>
        <v>2016MaoriWaikatodhbSUDI</v>
      </c>
      <c r="CG263" s="604">
        <v>2016</v>
      </c>
      <c r="CH263" s="604" t="s">
        <v>129</v>
      </c>
      <c r="CI263" s="604" t="s">
        <v>89</v>
      </c>
      <c r="CJ263" s="604" t="s">
        <v>448</v>
      </c>
      <c r="CK263" s="604">
        <v>3</v>
      </c>
      <c r="CL263" s="604" t="s">
        <v>33</v>
      </c>
    </row>
    <row r="264" spans="9:90">
      <c r="I264" s="578" t="str">
        <f t="shared" si="42"/>
        <v>2003ethAsianFetal</v>
      </c>
      <c r="J264" s="604">
        <v>2003</v>
      </c>
      <c r="K264" s="604" t="s">
        <v>449</v>
      </c>
      <c r="L264" s="604" t="s">
        <v>355</v>
      </c>
      <c r="M264" s="604">
        <v>49</v>
      </c>
      <c r="N264" s="604">
        <v>5272</v>
      </c>
      <c r="O264" s="604">
        <v>9.3000000000000007</v>
      </c>
      <c r="P264" s="604" t="s">
        <v>47</v>
      </c>
      <c r="Q264" s="499"/>
      <c r="R264" s="502" t="str">
        <f t="shared" si="43"/>
        <v>2015birthsdepQuin 1</v>
      </c>
      <c r="S264" s="604">
        <v>2015</v>
      </c>
      <c r="T264" s="604" t="s">
        <v>445</v>
      </c>
      <c r="U264" s="604" t="s">
        <v>454</v>
      </c>
      <c r="V264" s="604" t="s">
        <v>421</v>
      </c>
      <c r="W264" s="604">
        <v>9428</v>
      </c>
      <c r="Y264" s="535" t="str">
        <f t="shared" si="44"/>
        <v>2016agebwt30-34Unknownfetal</v>
      </c>
      <c r="Z264" s="604">
        <v>2016</v>
      </c>
      <c r="AA264" s="604" t="s">
        <v>453</v>
      </c>
      <c r="AB264" s="604" t="s">
        <v>447</v>
      </c>
      <c r="AC264" s="604" t="s">
        <v>132</v>
      </c>
      <c r="AD264" s="604" t="s">
        <v>63</v>
      </c>
      <c r="AE264" s="604">
        <v>3</v>
      </c>
      <c r="AF264" s="604">
        <v>8</v>
      </c>
      <c r="AG264" s="604" t="s">
        <v>119</v>
      </c>
      <c r="AH264" s="604" t="s">
        <v>420</v>
      </c>
      <c r="AJ264" s="535" t="str">
        <f t="shared" si="45"/>
        <v>2016agebwt30-34Unknown</v>
      </c>
      <c r="AK264" s="604">
        <v>2016</v>
      </c>
      <c r="AL264" s="604" t="s">
        <v>453</v>
      </c>
      <c r="AM264" s="604" t="s">
        <v>447</v>
      </c>
      <c r="AN264" s="604" t="s">
        <v>132</v>
      </c>
      <c r="AO264" s="604" t="s">
        <v>63</v>
      </c>
      <c r="AP264" s="604">
        <v>8</v>
      </c>
      <c r="AR264" s="538" t="str">
        <f t="shared" si="46"/>
        <v>Quin 2depfetalMidCentral</v>
      </c>
      <c r="AS264" s="604">
        <v>2016</v>
      </c>
      <c r="AT264" s="604" t="s">
        <v>422</v>
      </c>
      <c r="AU264" s="604" t="s">
        <v>454</v>
      </c>
      <c r="AV264" s="604" t="s">
        <v>94</v>
      </c>
      <c r="AW264" s="604">
        <v>3</v>
      </c>
      <c r="AX264" s="604">
        <v>304</v>
      </c>
      <c r="AY264" s="606">
        <v>9.9</v>
      </c>
      <c r="AZ264" s="604" t="s">
        <v>420</v>
      </c>
      <c r="BB264" s="536" t="str">
        <f t="shared" si="47"/>
        <v>FemalesexbirthsWairarapa</v>
      </c>
      <c r="BC264" s="604">
        <v>2016</v>
      </c>
      <c r="BD264" s="604" t="s">
        <v>71</v>
      </c>
      <c r="BE264" s="604" t="s">
        <v>451</v>
      </c>
      <c r="BF264" s="604" t="s">
        <v>98</v>
      </c>
      <c r="BG264" s="604">
        <v>254</v>
      </c>
      <c r="BH264" s="604" t="s">
        <v>445</v>
      </c>
      <c r="BY264" s="553" t="str">
        <f t="shared" si="48"/>
        <v>2005Pacific peoplesethSIDS</v>
      </c>
      <c r="BZ264" s="604">
        <v>2005</v>
      </c>
      <c r="CA264" s="604" t="s">
        <v>320</v>
      </c>
      <c r="CB264" s="604" t="s">
        <v>449</v>
      </c>
      <c r="CC264" s="604">
        <v>3</v>
      </c>
      <c r="CD264" s="604" t="s">
        <v>32</v>
      </c>
      <c r="CF264" s="554" t="str">
        <f t="shared" si="49"/>
        <v>2016Pacific peoplesWaikatodhbSUDI</v>
      </c>
      <c r="CG264" s="604">
        <v>2016</v>
      </c>
      <c r="CH264" s="604" t="s">
        <v>320</v>
      </c>
      <c r="CI264" s="604" t="s">
        <v>89</v>
      </c>
      <c r="CJ264" s="604" t="s">
        <v>448</v>
      </c>
      <c r="CK264" s="604">
        <v>1</v>
      </c>
      <c r="CL264" s="604" t="s">
        <v>33</v>
      </c>
    </row>
    <row r="265" spans="9:90">
      <c r="I265" s="578" t="str">
        <f t="shared" si="42"/>
        <v>2003ethEuropean or OtherFetal</v>
      </c>
      <c r="J265" s="604">
        <v>2003</v>
      </c>
      <c r="K265" s="604" t="s">
        <v>449</v>
      </c>
      <c r="L265" s="604" t="s">
        <v>356</v>
      </c>
      <c r="M265" s="604">
        <v>192</v>
      </c>
      <c r="N265" s="604">
        <v>29717</v>
      </c>
      <c r="O265" s="604">
        <v>6.5</v>
      </c>
      <c r="P265" s="604" t="s">
        <v>47</v>
      </c>
      <c r="Q265" s="499"/>
      <c r="R265" s="502" t="str">
        <f t="shared" si="43"/>
        <v>2015birthsdepQuin 2</v>
      </c>
      <c r="S265" s="604">
        <v>2015</v>
      </c>
      <c r="T265" s="604" t="s">
        <v>445</v>
      </c>
      <c r="U265" s="604" t="s">
        <v>454</v>
      </c>
      <c r="V265" s="604" t="s">
        <v>422</v>
      </c>
      <c r="W265" s="604">
        <v>10259</v>
      </c>
      <c r="Y265" s="535" t="str">
        <f t="shared" si="44"/>
        <v>2016agebwt35-39Unknownfetal</v>
      </c>
      <c r="Z265" s="604">
        <v>2016</v>
      </c>
      <c r="AA265" s="604" t="s">
        <v>453</v>
      </c>
      <c r="AB265" s="604" t="s">
        <v>447</v>
      </c>
      <c r="AC265" s="604" t="s">
        <v>133</v>
      </c>
      <c r="AD265" s="604" t="s">
        <v>63</v>
      </c>
      <c r="AE265" s="604">
        <v>2</v>
      </c>
      <c r="AF265" s="604">
        <v>7</v>
      </c>
      <c r="AG265" s="604" t="s">
        <v>119</v>
      </c>
      <c r="AH265" s="604" t="s">
        <v>420</v>
      </c>
      <c r="AJ265" s="535" t="str">
        <f t="shared" si="45"/>
        <v>2016agebwt35-39Unknown</v>
      </c>
      <c r="AK265" s="604">
        <v>2016</v>
      </c>
      <c r="AL265" s="604" t="s">
        <v>453</v>
      </c>
      <c r="AM265" s="604" t="s">
        <v>447</v>
      </c>
      <c r="AN265" s="604" t="s">
        <v>133</v>
      </c>
      <c r="AO265" s="604" t="s">
        <v>63</v>
      </c>
      <c r="AP265" s="604">
        <v>7</v>
      </c>
      <c r="AR265" s="538" t="str">
        <f t="shared" si="46"/>
        <v>Quin 3depfetalMidCentral</v>
      </c>
      <c r="AS265" s="604">
        <v>2016</v>
      </c>
      <c r="AT265" s="604" t="s">
        <v>423</v>
      </c>
      <c r="AU265" s="604" t="s">
        <v>454</v>
      </c>
      <c r="AV265" s="604" t="s">
        <v>94</v>
      </c>
      <c r="AW265" s="604">
        <v>2</v>
      </c>
      <c r="AX265" s="604">
        <v>441</v>
      </c>
      <c r="AY265" s="606">
        <v>4.5</v>
      </c>
      <c r="AZ265" s="604" t="s">
        <v>420</v>
      </c>
      <c r="BB265" s="536" t="str">
        <f t="shared" si="47"/>
        <v>MalesexbirthsNelson Marlborough</v>
      </c>
      <c r="BC265" s="604">
        <v>2016</v>
      </c>
      <c r="BD265" s="604" t="s">
        <v>70</v>
      </c>
      <c r="BE265" s="604" t="s">
        <v>451</v>
      </c>
      <c r="BF265" s="604" t="s">
        <v>99</v>
      </c>
      <c r="BG265" s="604">
        <v>781</v>
      </c>
      <c r="BH265" s="604" t="s">
        <v>445</v>
      </c>
      <c r="BY265" s="553" t="str">
        <f t="shared" si="48"/>
        <v>2006AsianethSIDS</v>
      </c>
      <c r="BZ265" s="604">
        <v>2006</v>
      </c>
      <c r="CA265" s="604" t="s">
        <v>355</v>
      </c>
      <c r="CB265" s="604" t="s">
        <v>449</v>
      </c>
      <c r="CC265" s="604">
        <v>1</v>
      </c>
      <c r="CD265" s="604" t="s">
        <v>32</v>
      </c>
      <c r="CF265" s="554" t="str">
        <f t="shared" si="49"/>
        <v>2016AsianLakesdhbSUDI</v>
      </c>
      <c r="CG265" s="604">
        <v>2016</v>
      </c>
      <c r="CH265" s="604" t="s">
        <v>355</v>
      </c>
      <c r="CI265" s="604" t="s">
        <v>90</v>
      </c>
      <c r="CJ265" s="604" t="s">
        <v>448</v>
      </c>
      <c r="CK265" s="604">
        <v>0</v>
      </c>
      <c r="CL265" s="604" t="s">
        <v>33</v>
      </c>
    </row>
    <row r="266" spans="9:90">
      <c r="I266" s="578" t="str">
        <f t="shared" si="42"/>
        <v>2004ethMaoriFetal</v>
      </c>
      <c r="J266" s="604">
        <v>2004</v>
      </c>
      <c r="K266" s="604" t="s">
        <v>449</v>
      </c>
      <c r="L266" s="604" t="s">
        <v>129</v>
      </c>
      <c r="M266" s="604">
        <v>141</v>
      </c>
      <c r="N266" s="604">
        <v>16661</v>
      </c>
      <c r="O266" s="604">
        <v>8.5</v>
      </c>
      <c r="P266" s="604" t="s">
        <v>47</v>
      </c>
      <c r="Q266" s="499"/>
      <c r="R266" s="502" t="str">
        <f t="shared" si="43"/>
        <v>2015birthsdepQuin 3</v>
      </c>
      <c r="S266" s="604">
        <v>2015</v>
      </c>
      <c r="T266" s="604" t="s">
        <v>445</v>
      </c>
      <c r="U266" s="604" t="s">
        <v>454</v>
      </c>
      <c r="V266" s="604" t="s">
        <v>423</v>
      </c>
      <c r="W266" s="604">
        <v>11196</v>
      </c>
      <c r="Y266" s="535" t="str">
        <f t="shared" si="44"/>
        <v>2016agebwt40+Unknownfetal</v>
      </c>
      <c r="Z266" s="604">
        <v>2016</v>
      </c>
      <c r="AA266" s="604" t="s">
        <v>453</v>
      </c>
      <c r="AB266" s="604" t="s">
        <v>447</v>
      </c>
      <c r="AC266" s="604" t="s">
        <v>134</v>
      </c>
      <c r="AD266" s="604" t="s">
        <v>63</v>
      </c>
      <c r="AE266" s="604">
        <v>2</v>
      </c>
      <c r="AF266" s="604">
        <v>3</v>
      </c>
      <c r="AG266" s="604" t="s">
        <v>119</v>
      </c>
      <c r="AH266" s="604" t="s">
        <v>420</v>
      </c>
      <c r="AJ266" s="535" t="str">
        <f t="shared" si="45"/>
        <v>2016agebwt40+Unknown</v>
      </c>
      <c r="AK266" s="604">
        <v>2016</v>
      </c>
      <c r="AL266" s="604" t="s">
        <v>453</v>
      </c>
      <c r="AM266" s="604" t="s">
        <v>447</v>
      </c>
      <c r="AN266" s="604" t="s">
        <v>134</v>
      </c>
      <c r="AO266" s="604" t="s">
        <v>63</v>
      </c>
      <c r="AP266" s="604">
        <v>3</v>
      </c>
      <c r="AR266" s="538" t="str">
        <f t="shared" si="46"/>
        <v>Quin 4depfetalMidCentral</v>
      </c>
      <c r="AS266" s="604">
        <v>2016</v>
      </c>
      <c r="AT266" s="604" t="s">
        <v>424</v>
      </c>
      <c r="AU266" s="604" t="s">
        <v>454</v>
      </c>
      <c r="AV266" s="604" t="s">
        <v>94</v>
      </c>
      <c r="AW266" s="604">
        <v>1</v>
      </c>
      <c r="AX266" s="604">
        <v>432</v>
      </c>
      <c r="AY266" s="606">
        <v>2.2999999999999998</v>
      </c>
      <c r="AZ266" s="604" t="s">
        <v>420</v>
      </c>
      <c r="BB266" s="536" t="str">
        <f t="shared" si="47"/>
        <v>FemalesexbirthsNelson Marlborough</v>
      </c>
      <c r="BC266" s="604">
        <v>2016</v>
      </c>
      <c r="BD266" s="604" t="s">
        <v>71</v>
      </c>
      <c r="BE266" s="604" t="s">
        <v>451</v>
      </c>
      <c r="BF266" s="604" t="s">
        <v>99</v>
      </c>
      <c r="BG266" s="604">
        <v>758</v>
      </c>
      <c r="BH266" s="604" t="s">
        <v>445</v>
      </c>
      <c r="BY266" s="553" t="str">
        <f t="shared" si="48"/>
        <v>2006European or OtherethSIDS</v>
      </c>
      <c r="BZ266" s="604">
        <v>2006</v>
      </c>
      <c r="CA266" s="604" t="s">
        <v>356</v>
      </c>
      <c r="CB266" s="604" t="s">
        <v>449</v>
      </c>
      <c r="CC266" s="604">
        <v>14</v>
      </c>
      <c r="CD266" s="604" t="s">
        <v>32</v>
      </c>
      <c r="CF266" s="554" t="str">
        <f t="shared" si="49"/>
        <v>2016European or OtherLakesdhbSUDI</v>
      </c>
      <c r="CG266" s="604">
        <v>2016</v>
      </c>
      <c r="CH266" s="604" t="s">
        <v>356</v>
      </c>
      <c r="CI266" s="604" t="s">
        <v>90</v>
      </c>
      <c r="CJ266" s="604" t="s">
        <v>448</v>
      </c>
      <c r="CK266" s="604">
        <v>0</v>
      </c>
      <c r="CL266" s="604" t="s">
        <v>33</v>
      </c>
    </row>
    <row r="267" spans="9:90">
      <c r="I267" s="578" t="str">
        <f t="shared" si="42"/>
        <v>2004ethPacific peoplesFetal</v>
      </c>
      <c r="J267" s="604">
        <v>2004</v>
      </c>
      <c r="K267" s="604" t="s">
        <v>449</v>
      </c>
      <c r="L267" s="604" t="s">
        <v>320</v>
      </c>
      <c r="M267" s="604">
        <v>65</v>
      </c>
      <c r="N267" s="604">
        <v>6410</v>
      </c>
      <c r="O267" s="604">
        <v>10.1</v>
      </c>
      <c r="P267" s="604" t="s">
        <v>47</v>
      </c>
      <c r="Q267" s="499"/>
      <c r="R267" s="502" t="str">
        <f t="shared" si="43"/>
        <v>2015birthsdepQuin 4</v>
      </c>
      <c r="S267" s="604">
        <v>2015</v>
      </c>
      <c r="T267" s="604" t="s">
        <v>445</v>
      </c>
      <c r="U267" s="604" t="s">
        <v>454</v>
      </c>
      <c r="V267" s="604" t="s">
        <v>424</v>
      </c>
      <c r="W267" s="604">
        <v>13614</v>
      </c>
      <c r="Y267" s="535" t="str">
        <f t="shared" si="44"/>
        <v>2016depbwtQuin 1&lt;500fetal</v>
      </c>
      <c r="Z267" s="604">
        <v>2016</v>
      </c>
      <c r="AA267" s="604" t="s">
        <v>454</v>
      </c>
      <c r="AB267" s="604" t="s">
        <v>447</v>
      </c>
      <c r="AC267" s="604" t="s">
        <v>421</v>
      </c>
      <c r="AD267" s="604" t="s">
        <v>427</v>
      </c>
      <c r="AE267" s="604">
        <v>14</v>
      </c>
      <c r="AF267" s="604">
        <v>11</v>
      </c>
      <c r="AG267" s="604" t="s">
        <v>119</v>
      </c>
      <c r="AH267" s="604" t="s">
        <v>420</v>
      </c>
      <c r="AJ267" s="535" t="str">
        <f t="shared" si="45"/>
        <v>2016depbwtQuin 1&lt;500</v>
      </c>
      <c r="AK267" s="604">
        <v>2016</v>
      </c>
      <c r="AL267" s="604" t="s">
        <v>454</v>
      </c>
      <c r="AM267" s="604" t="s">
        <v>447</v>
      </c>
      <c r="AN267" s="604" t="s">
        <v>421</v>
      </c>
      <c r="AO267" s="604" t="s">
        <v>427</v>
      </c>
      <c r="AP267" s="604">
        <v>11</v>
      </c>
      <c r="AR267" s="538" t="str">
        <f t="shared" si="46"/>
        <v>Quin 5depfetalMidCentral</v>
      </c>
      <c r="AS267" s="604">
        <v>2016</v>
      </c>
      <c r="AT267" s="604" t="s">
        <v>425</v>
      </c>
      <c r="AU267" s="604" t="s">
        <v>454</v>
      </c>
      <c r="AV267" s="604" t="s">
        <v>94</v>
      </c>
      <c r="AW267" s="604">
        <v>3</v>
      </c>
      <c r="AX267" s="604">
        <v>802</v>
      </c>
      <c r="AY267" s="606">
        <v>3.7</v>
      </c>
      <c r="AZ267" s="604" t="s">
        <v>420</v>
      </c>
      <c r="BB267" s="536" t="str">
        <f t="shared" si="47"/>
        <v>MalesexbirthsWest Coast</v>
      </c>
      <c r="BC267" s="604">
        <v>2016</v>
      </c>
      <c r="BD267" s="604" t="s">
        <v>70</v>
      </c>
      <c r="BE267" s="604" t="s">
        <v>451</v>
      </c>
      <c r="BF267" s="604" t="s">
        <v>100</v>
      </c>
      <c r="BG267" s="604">
        <v>168</v>
      </c>
      <c r="BH267" s="604" t="s">
        <v>445</v>
      </c>
      <c r="BY267" s="553" t="str">
        <f t="shared" si="48"/>
        <v>2006MaoriethSIDS</v>
      </c>
      <c r="BZ267" s="604">
        <v>2006</v>
      </c>
      <c r="CA267" s="604" t="s">
        <v>129</v>
      </c>
      <c r="CB267" s="604" t="s">
        <v>449</v>
      </c>
      <c r="CC267" s="604">
        <v>29</v>
      </c>
      <c r="CD267" s="604" t="s">
        <v>32</v>
      </c>
      <c r="CF267" s="554" t="str">
        <f t="shared" si="49"/>
        <v>2016MaoriLakesdhbSUDI</v>
      </c>
      <c r="CG267" s="604">
        <v>2016</v>
      </c>
      <c r="CH267" s="604" t="s">
        <v>129</v>
      </c>
      <c r="CI267" s="604" t="s">
        <v>90</v>
      </c>
      <c r="CJ267" s="604" t="s">
        <v>448</v>
      </c>
      <c r="CK267" s="604">
        <v>0</v>
      </c>
      <c r="CL267" s="604" t="s">
        <v>33</v>
      </c>
    </row>
    <row r="268" spans="9:90">
      <c r="I268" s="578" t="str">
        <f t="shared" si="42"/>
        <v>2004ethAsianFetal</v>
      </c>
      <c r="J268" s="604">
        <v>2004</v>
      </c>
      <c r="K268" s="604" t="s">
        <v>449</v>
      </c>
      <c r="L268" s="604" t="s">
        <v>355</v>
      </c>
      <c r="M268" s="604">
        <v>57</v>
      </c>
      <c r="N268" s="604">
        <v>5704</v>
      </c>
      <c r="O268" s="604">
        <v>10</v>
      </c>
      <c r="P268" s="604" t="s">
        <v>47</v>
      </c>
      <c r="Q268" s="499"/>
      <c r="R268" s="502" t="str">
        <f t="shared" si="43"/>
        <v>2015birthsdepQuin 5</v>
      </c>
      <c r="S268" s="604">
        <v>2015</v>
      </c>
      <c r="T268" s="604" t="s">
        <v>445</v>
      </c>
      <c r="U268" s="604" t="s">
        <v>454</v>
      </c>
      <c r="V268" s="604" t="s">
        <v>425</v>
      </c>
      <c r="W268" s="604">
        <v>17454</v>
      </c>
      <c r="Y268" s="535" t="str">
        <f t="shared" si="44"/>
        <v>2016depbwtQuin 2&lt;500fetal</v>
      </c>
      <c r="Z268" s="604">
        <v>2016</v>
      </c>
      <c r="AA268" s="604" t="s">
        <v>454</v>
      </c>
      <c r="AB268" s="604" t="s">
        <v>447</v>
      </c>
      <c r="AC268" s="604" t="s">
        <v>422</v>
      </c>
      <c r="AD268" s="604" t="s">
        <v>427</v>
      </c>
      <c r="AE268" s="604">
        <v>21</v>
      </c>
      <c r="AF268" s="604">
        <v>5</v>
      </c>
      <c r="AG268" s="604" t="s">
        <v>119</v>
      </c>
      <c r="AH268" s="604" t="s">
        <v>420</v>
      </c>
      <c r="AJ268" s="535" t="str">
        <f t="shared" si="45"/>
        <v>2016depbwtQuin 2&lt;500</v>
      </c>
      <c r="AK268" s="604">
        <v>2016</v>
      </c>
      <c r="AL268" s="604" t="s">
        <v>454</v>
      </c>
      <c r="AM268" s="604" t="s">
        <v>447</v>
      </c>
      <c r="AN268" s="604" t="s">
        <v>422</v>
      </c>
      <c r="AO268" s="604" t="s">
        <v>427</v>
      </c>
      <c r="AP268" s="604">
        <v>5</v>
      </c>
      <c r="AR268" s="538" t="str">
        <f t="shared" si="46"/>
        <v>Quin 2depfetalWhanganui</v>
      </c>
      <c r="AS268" s="604">
        <v>2016</v>
      </c>
      <c r="AT268" s="604" t="s">
        <v>422</v>
      </c>
      <c r="AU268" s="604" t="s">
        <v>454</v>
      </c>
      <c r="AV268" s="604" t="s">
        <v>95</v>
      </c>
      <c r="AW268" s="604">
        <v>1</v>
      </c>
      <c r="AX268" s="604">
        <v>50</v>
      </c>
      <c r="AY268" s="606">
        <v>20</v>
      </c>
      <c r="AZ268" s="604" t="s">
        <v>420</v>
      </c>
      <c r="BB268" s="536" t="str">
        <f t="shared" si="47"/>
        <v>FemalesexbirthsWest Coast</v>
      </c>
      <c r="BC268" s="604">
        <v>2016</v>
      </c>
      <c r="BD268" s="604" t="s">
        <v>71</v>
      </c>
      <c r="BE268" s="604" t="s">
        <v>451</v>
      </c>
      <c r="BF268" s="604" t="s">
        <v>100</v>
      </c>
      <c r="BG268" s="604">
        <v>159</v>
      </c>
      <c r="BH268" s="604" t="s">
        <v>445</v>
      </c>
      <c r="BY268" s="553" t="str">
        <f t="shared" si="48"/>
        <v>2006Pacific peoplesethSIDS</v>
      </c>
      <c r="BZ268" s="604">
        <v>2006</v>
      </c>
      <c r="CA268" s="604" t="s">
        <v>320</v>
      </c>
      <c r="CB268" s="604" t="s">
        <v>449</v>
      </c>
      <c r="CC268" s="604">
        <v>5</v>
      </c>
      <c r="CD268" s="604" t="s">
        <v>32</v>
      </c>
      <c r="CF268" s="554" t="str">
        <f t="shared" si="49"/>
        <v>2016AsianBay of PlentydhbSUDI</v>
      </c>
      <c r="CG268" s="604">
        <v>2016</v>
      </c>
      <c r="CH268" s="604" t="s">
        <v>355</v>
      </c>
      <c r="CI268" s="604" t="s">
        <v>91</v>
      </c>
      <c r="CJ268" s="604" t="s">
        <v>448</v>
      </c>
      <c r="CK268" s="604">
        <v>0</v>
      </c>
      <c r="CL268" s="604" t="s">
        <v>33</v>
      </c>
    </row>
    <row r="269" spans="9:90">
      <c r="I269" s="578" t="str">
        <f t="shared" si="42"/>
        <v>2004ethEuropean or OtherFetal</v>
      </c>
      <c r="J269" s="604">
        <v>2004</v>
      </c>
      <c r="K269" s="604" t="s">
        <v>449</v>
      </c>
      <c r="L269" s="604" t="s">
        <v>356</v>
      </c>
      <c r="M269" s="604">
        <v>243</v>
      </c>
      <c r="N269" s="604">
        <v>30454</v>
      </c>
      <c r="O269" s="604">
        <v>8</v>
      </c>
      <c r="P269" s="604" t="s">
        <v>47</v>
      </c>
      <c r="Q269" s="499"/>
      <c r="R269" s="502" t="str">
        <f t="shared" si="43"/>
        <v>2015birthsdepQuin 9</v>
      </c>
      <c r="S269" s="604">
        <v>2015</v>
      </c>
      <c r="T269" s="604" t="s">
        <v>445</v>
      </c>
      <c r="U269" s="604" t="s">
        <v>454</v>
      </c>
      <c r="V269" s="604" t="s">
        <v>426</v>
      </c>
      <c r="W269" s="604">
        <v>171</v>
      </c>
      <c r="Y269" s="535" t="str">
        <f t="shared" si="44"/>
        <v>2016depbwtQuin 3&lt;500fetal</v>
      </c>
      <c r="Z269" s="604">
        <v>2016</v>
      </c>
      <c r="AA269" s="604" t="s">
        <v>454</v>
      </c>
      <c r="AB269" s="604" t="s">
        <v>447</v>
      </c>
      <c r="AC269" s="604" t="s">
        <v>423</v>
      </c>
      <c r="AD269" s="604" t="s">
        <v>427</v>
      </c>
      <c r="AE269" s="604">
        <v>26</v>
      </c>
      <c r="AF269" s="604">
        <v>9</v>
      </c>
      <c r="AG269" s="604" t="s">
        <v>119</v>
      </c>
      <c r="AH269" s="604" t="s">
        <v>420</v>
      </c>
      <c r="AJ269" s="535" t="str">
        <f t="shared" si="45"/>
        <v>2016depbwtQuin 3&lt;500</v>
      </c>
      <c r="AK269" s="604">
        <v>2016</v>
      </c>
      <c r="AL269" s="604" t="s">
        <v>454</v>
      </c>
      <c r="AM269" s="604" t="s">
        <v>447</v>
      </c>
      <c r="AN269" s="604" t="s">
        <v>423</v>
      </c>
      <c r="AO269" s="604" t="s">
        <v>427</v>
      </c>
      <c r="AP269" s="604">
        <v>9</v>
      </c>
      <c r="AR269" s="538" t="str">
        <f t="shared" si="46"/>
        <v>Quin 4depfetalWhanganui</v>
      </c>
      <c r="AS269" s="604">
        <v>2016</v>
      </c>
      <c r="AT269" s="604" t="s">
        <v>424</v>
      </c>
      <c r="AU269" s="604" t="s">
        <v>454</v>
      </c>
      <c r="AV269" s="604" t="s">
        <v>95</v>
      </c>
      <c r="AW269" s="604">
        <v>1</v>
      </c>
      <c r="AX269" s="604">
        <v>267</v>
      </c>
      <c r="AY269" s="606">
        <v>3.7</v>
      </c>
      <c r="AZ269" s="604" t="s">
        <v>420</v>
      </c>
      <c r="BB269" s="536" t="str">
        <f t="shared" si="47"/>
        <v>MalesexbirthsCanterbury</v>
      </c>
      <c r="BC269" s="604">
        <v>2016</v>
      </c>
      <c r="BD269" s="604" t="s">
        <v>70</v>
      </c>
      <c r="BE269" s="604" t="s">
        <v>451</v>
      </c>
      <c r="BF269" s="604" t="s">
        <v>101</v>
      </c>
      <c r="BG269" s="604">
        <v>3242</v>
      </c>
      <c r="BH269" s="604" t="s">
        <v>445</v>
      </c>
      <c r="BY269" s="553" t="str">
        <f t="shared" si="48"/>
        <v>2007AsianethSIDS</v>
      </c>
      <c r="BZ269" s="604">
        <v>2007</v>
      </c>
      <c r="CA269" s="604" t="s">
        <v>355</v>
      </c>
      <c r="CB269" s="604" t="s">
        <v>449</v>
      </c>
      <c r="CC269" s="604">
        <v>1</v>
      </c>
      <c r="CD269" s="604" t="s">
        <v>32</v>
      </c>
      <c r="CF269" s="554" t="str">
        <f t="shared" si="49"/>
        <v>2016European or OtherBay of PlentydhbSUDI</v>
      </c>
      <c r="CG269" s="604">
        <v>2016</v>
      </c>
      <c r="CH269" s="604" t="s">
        <v>356</v>
      </c>
      <c r="CI269" s="604" t="s">
        <v>91</v>
      </c>
      <c r="CJ269" s="604" t="s">
        <v>448</v>
      </c>
      <c r="CK269" s="604">
        <v>0</v>
      </c>
      <c r="CL269" s="604" t="s">
        <v>33</v>
      </c>
    </row>
    <row r="270" spans="9:90">
      <c r="I270" s="578" t="str">
        <f t="shared" si="42"/>
        <v>2005ethMaoriFetal</v>
      </c>
      <c r="J270" s="604">
        <v>2005</v>
      </c>
      <c r="K270" s="604" t="s">
        <v>449</v>
      </c>
      <c r="L270" s="604" t="s">
        <v>129</v>
      </c>
      <c r="M270" s="604">
        <v>114</v>
      </c>
      <c r="N270" s="604">
        <v>17118</v>
      </c>
      <c r="O270" s="604">
        <v>6.7</v>
      </c>
      <c r="P270" s="604" t="s">
        <v>47</v>
      </c>
      <c r="Q270" s="499"/>
      <c r="R270" s="502" t="str">
        <f t="shared" si="43"/>
        <v>2016birthsdepQuin 1</v>
      </c>
      <c r="S270" s="604">
        <v>2016</v>
      </c>
      <c r="T270" s="604" t="s">
        <v>445</v>
      </c>
      <c r="U270" s="604" t="s">
        <v>454</v>
      </c>
      <c r="V270" s="604" t="s">
        <v>421</v>
      </c>
      <c r="W270" s="604">
        <v>9194</v>
      </c>
      <c r="Y270" s="535" t="str">
        <f t="shared" si="44"/>
        <v>2016depbwtQuin 4&lt;500fetal</v>
      </c>
      <c r="Z270" s="604">
        <v>2016</v>
      </c>
      <c r="AA270" s="604" t="s">
        <v>454</v>
      </c>
      <c r="AB270" s="604" t="s">
        <v>447</v>
      </c>
      <c r="AC270" s="604" t="s">
        <v>424</v>
      </c>
      <c r="AD270" s="604" t="s">
        <v>427</v>
      </c>
      <c r="AE270" s="604">
        <v>28</v>
      </c>
      <c r="AF270" s="604">
        <v>11</v>
      </c>
      <c r="AG270" s="604" t="s">
        <v>119</v>
      </c>
      <c r="AH270" s="604" t="s">
        <v>420</v>
      </c>
      <c r="AJ270" s="535" t="str">
        <f t="shared" si="45"/>
        <v>2016depbwtQuin 4&lt;500</v>
      </c>
      <c r="AK270" s="604">
        <v>2016</v>
      </c>
      <c r="AL270" s="604" t="s">
        <v>454</v>
      </c>
      <c r="AM270" s="604" t="s">
        <v>447</v>
      </c>
      <c r="AN270" s="604" t="s">
        <v>424</v>
      </c>
      <c r="AO270" s="604" t="s">
        <v>427</v>
      </c>
      <c r="AP270" s="604">
        <v>11</v>
      </c>
      <c r="AR270" s="538" t="str">
        <f t="shared" si="46"/>
        <v>Quin 5depfetalWhanganui</v>
      </c>
      <c r="AS270" s="604">
        <v>2016</v>
      </c>
      <c r="AT270" s="604" t="s">
        <v>425</v>
      </c>
      <c r="AU270" s="604" t="s">
        <v>454</v>
      </c>
      <c r="AV270" s="604" t="s">
        <v>95</v>
      </c>
      <c r="AW270" s="604">
        <v>2</v>
      </c>
      <c r="AX270" s="604">
        <v>397</v>
      </c>
      <c r="AY270" s="606">
        <v>5</v>
      </c>
      <c r="AZ270" s="604" t="s">
        <v>420</v>
      </c>
      <c r="BB270" s="536" t="str">
        <f t="shared" si="47"/>
        <v>FemalesexbirthsCanterbury</v>
      </c>
      <c r="BC270" s="604">
        <v>2016</v>
      </c>
      <c r="BD270" s="604" t="s">
        <v>71</v>
      </c>
      <c r="BE270" s="604" t="s">
        <v>451</v>
      </c>
      <c r="BF270" s="604" t="s">
        <v>101</v>
      </c>
      <c r="BG270" s="604">
        <v>3157</v>
      </c>
      <c r="BH270" s="604" t="s">
        <v>445</v>
      </c>
      <c r="BY270" s="553" t="str">
        <f t="shared" si="48"/>
        <v>2007European or OtherethSIDS</v>
      </c>
      <c r="BZ270" s="604">
        <v>2007</v>
      </c>
      <c r="CA270" s="604" t="s">
        <v>356</v>
      </c>
      <c r="CB270" s="604" t="s">
        <v>449</v>
      </c>
      <c r="CC270" s="604">
        <v>18</v>
      </c>
      <c r="CD270" s="604" t="s">
        <v>32</v>
      </c>
      <c r="CF270" s="554" t="str">
        <f t="shared" si="49"/>
        <v>2016MaoriBay of PlentydhbSUDI</v>
      </c>
      <c r="CG270" s="604">
        <v>2016</v>
      </c>
      <c r="CH270" s="604" t="s">
        <v>129</v>
      </c>
      <c r="CI270" s="604" t="s">
        <v>91</v>
      </c>
      <c r="CJ270" s="604" t="s">
        <v>448</v>
      </c>
      <c r="CK270" s="604">
        <v>0</v>
      </c>
      <c r="CL270" s="604" t="s">
        <v>33</v>
      </c>
    </row>
    <row r="271" spans="9:90">
      <c r="I271" s="578" t="str">
        <f t="shared" si="42"/>
        <v>2005ethPacific peoplesFetal</v>
      </c>
      <c r="J271" s="604">
        <v>2005</v>
      </c>
      <c r="K271" s="604" t="s">
        <v>449</v>
      </c>
      <c r="L271" s="604" t="s">
        <v>320</v>
      </c>
      <c r="M271" s="604">
        <v>43</v>
      </c>
      <c r="N271" s="604">
        <v>6281</v>
      </c>
      <c r="O271" s="604">
        <v>6.8</v>
      </c>
      <c r="P271" s="604" t="s">
        <v>47</v>
      </c>
      <c r="Q271" s="499"/>
      <c r="R271" s="502" t="str">
        <f t="shared" si="43"/>
        <v>2016birthsdepQuin 2</v>
      </c>
      <c r="S271" s="604">
        <v>2016</v>
      </c>
      <c r="T271" s="604" t="s">
        <v>445</v>
      </c>
      <c r="U271" s="604" t="s">
        <v>454</v>
      </c>
      <c r="V271" s="604" t="s">
        <v>422</v>
      </c>
      <c r="W271" s="604">
        <v>10123</v>
      </c>
      <c r="Y271" s="535" t="str">
        <f t="shared" si="44"/>
        <v>2016depbwtQuin 5&lt;500fetal</v>
      </c>
      <c r="Z271" s="604">
        <v>2016</v>
      </c>
      <c r="AA271" s="604" t="s">
        <v>454</v>
      </c>
      <c r="AB271" s="604" t="s">
        <v>447</v>
      </c>
      <c r="AC271" s="604" t="s">
        <v>425</v>
      </c>
      <c r="AD271" s="604" t="s">
        <v>427</v>
      </c>
      <c r="AE271" s="604">
        <v>44</v>
      </c>
      <c r="AF271" s="604">
        <v>17</v>
      </c>
      <c r="AG271" s="604" t="s">
        <v>119</v>
      </c>
      <c r="AH271" s="604" t="s">
        <v>420</v>
      </c>
      <c r="AJ271" s="535" t="str">
        <f t="shared" si="45"/>
        <v>2016depbwtQuin 5&lt;500</v>
      </c>
      <c r="AK271" s="604">
        <v>2016</v>
      </c>
      <c r="AL271" s="604" t="s">
        <v>454</v>
      </c>
      <c r="AM271" s="604" t="s">
        <v>447</v>
      </c>
      <c r="AN271" s="604" t="s">
        <v>425</v>
      </c>
      <c r="AO271" s="604" t="s">
        <v>427</v>
      </c>
      <c r="AP271" s="604">
        <v>17</v>
      </c>
      <c r="AR271" s="538" t="str">
        <f t="shared" si="46"/>
        <v>Quin 1depfetalCapital &amp; Coast</v>
      </c>
      <c r="AS271" s="604">
        <v>2016</v>
      </c>
      <c r="AT271" s="604" t="s">
        <v>421</v>
      </c>
      <c r="AU271" s="604" t="s">
        <v>454</v>
      </c>
      <c r="AV271" s="604" t="s">
        <v>96</v>
      </c>
      <c r="AW271" s="604">
        <v>3</v>
      </c>
      <c r="AX271" s="604">
        <v>1075</v>
      </c>
      <c r="AY271" s="606">
        <v>2.8</v>
      </c>
      <c r="AZ271" s="604" t="s">
        <v>420</v>
      </c>
      <c r="BB271" s="536" t="str">
        <f t="shared" si="47"/>
        <v>MalesexbirthsSouth Canterbury</v>
      </c>
      <c r="BC271" s="604">
        <v>2016</v>
      </c>
      <c r="BD271" s="604" t="s">
        <v>70</v>
      </c>
      <c r="BE271" s="604" t="s">
        <v>451</v>
      </c>
      <c r="BF271" s="604" t="s">
        <v>102</v>
      </c>
      <c r="BG271" s="604">
        <v>355</v>
      </c>
      <c r="BH271" s="604" t="s">
        <v>445</v>
      </c>
      <c r="BY271" s="553" t="str">
        <f t="shared" si="48"/>
        <v>2007MaoriethSIDS</v>
      </c>
      <c r="BZ271" s="604">
        <v>2007</v>
      </c>
      <c r="CA271" s="604" t="s">
        <v>129</v>
      </c>
      <c r="CB271" s="604" t="s">
        <v>449</v>
      </c>
      <c r="CC271" s="604">
        <v>26</v>
      </c>
      <c r="CD271" s="604" t="s">
        <v>32</v>
      </c>
      <c r="CF271" s="554" t="str">
        <f t="shared" si="49"/>
        <v>2016Pacific peoplesBay of PlentydhbSUDI</v>
      </c>
      <c r="CG271" s="604">
        <v>2016</v>
      </c>
      <c r="CH271" s="604" t="s">
        <v>320</v>
      </c>
      <c r="CI271" s="604" t="s">
        <v>91</v>
      </c>
      <c r="CJ271" s="604" t="s">
        <v>448</v>
      </c>
      <c r="CK271" s="604">
        <v>0</v>
      </c>
      <c r="CL271" s="604" t="s">
        <v>33</v>
      </c>
    </row>
    <row r="272" spans="9:90">
      <c r="I272" s="578" t="str">
        <f t="shared" si="42"/>
        <v>2005ethAsianFetal</v>
      </c>
      <c r="J272" s="604">
        <v>2005</v>
      </c>
      <c r="K272" s="604" t="s">
        <v>449</v>
      </c>
      <c r="L272" s="604" t="s">
        <v>355</v>
      </c>
      <c r="M272" s="604">
        <v>43</v>
      </c>
      <c r="N272" s="604">
        <v>5538</v>
      </c>
      <c r="O272" s="604">
        <v>7.8</v>
      </c>
      <c r="P272" s="604" t="s">
        <v>47</v>
      </c>
      <c r="Q272" s="499"/>
      <c r="R272" s="502" t="str">
        <f t="shared" si="43"/>
        <v>2016birthsdepQuin 3</v>
      </c>
      <c r="S272" s="604">
        <v>2016</v>
      </c>
      <c r="T272" s="604" t="s">
        <v>445</v>
      </c>
      <c r="U272" s="604" t="s">
        <v>454</v>
      </c>
      <c r="V272" s="604" t="s">
        <v>423</v>
      </c>
      <c r="W272" s="604">
        <v>10971</v>
      </c>
      <c r="Y272" s="535" t="str">
        <f t="shared" si="44"/>
        <v>2016depbwtQuin 1500-999fetal</v>
      </c>
      <c r="Z272" s="604">
        <v>2016</v>
      </c>
      <c r="AA272" s="604" t="s">
        <v>454</v>
      </c>
      <c r="AB272" s="604" t="s">
        <v>447</v>
      </c>
      <c r="AC272" s="604" t="s">
        <v>421</v>
      </c>
      <c r="AD272" s="604" t="s">
        <v>428</v>
      </c>
      <c r="AE272" s="604">
        <v>16</v>
      </c>
      <c r="AF272" s="604">
        <v>17</v>
      </c>
      <c r="AG272" s="604">
        <v>484.8</v>
      </c>
      <c r="AH272" s="604" t="s">
        <v>420</v>
      </c>
      <c r="AJ272" s="535" t="str">
        <f t="shared" si="45"/>
        <v>2016depbwtQuin 1500-999</v>
      </c>
      <c r="AK272" s="604">
        <v>2016</v>
      </c>
      <c r="AL272" s="604" t="s">
        <v>454</v>
      </c>
      <c r="AM272" s="604" t="s">
        <v>447</v>
      </c>
      <c r="AN272" s="604" t="s">
        <v>421</v>
      </c>
      <c r="AO272" s="604" t="s">
        <v>428</v>
      </c>
      <c r="AP272" s="604">
        <v>17</v>
      </c>
      <c r="AR272" s="538" t="str">
        <f t="shared" si="46"/>
        <v>Quin 2depfetalCapital &amp; Coast</v>
      </c>
      <c r="AS272" s="604">
        <v>2016</v>
      </c>
      <c r="AT272" s="604" t="s">
        <v>422</v>
      </c>
      <c r="AU272" s="604" t="s">
        <v>454</v>
      </c>
      <c r="AV272" s="604" t="s">
        <v>96</v>
      </c>
      <c r="AW272" s="604">
        <v>3</v>
      </c>
      <c r="AX272" s="604">
        <v>664</v>
      </c>
      <c r="AY272" s="606">
        <v>4.5</v>
      </c>
      <c r="AZ272" s="604" t="s">
        <v>420</v>
      </c>
      <c r="BB272" s="536" t="str">
        <f t="shared" si="47"/>
        <v>FemalesexbirthsSouth Canterbury</v>
      </c>
      <c r="BC272" s="604">
        <v>2016</v>
      </c>
      <c r="BD272" s="604" t="s">
        <v>71</v>
      </c>
      <c r="BE272" s="604" t="s">
        <v>451</v>
      </c>
      <c r="BF272" s="604" t="s">
        <v>102</v>
      </c>
      <c r="BG272" s="604">
        <v>286</v>
      </c>
      <c r="BH272" s="604" t="s">
        <v>445</v>
      </c>
      <c r="BY272" s="553" t="str">
        <f t="shared" si="48"/>
        <v>2007Pacific peoplesethSIDS</v>
      </c>
      <c r="BZ272" s="604">
        <v>2007</v>
      </c>
      <c r="CA272" s="604" t="s">
        <v>320</v>
      </c>
      <c r="CB272" s="604" t="s">
        <v>449</v>
      </c>
      <c r="CC272" s="604">
        <v>9</v>
      </c>
      <c r="CD272" s="604" t="s">
        <v>32</v>
      </c>
      <c r="CF272" s="554" t="str">
        <f t="shared" si="49"/>
        <v>2016European or OtherTairawhitidhbSUDI</v>
      </c>
      <c r="CG272" s="604">
        <v>2016</v>
      </c>
      <c r="CH272" s="604" t="s">
        <v>356</v>
      </c>
      <c r="CI272" s="604" t="s">
        <v>433</v>
      </c>
      <c r="CJ272" s="604" t="s">
        <v>448</v>
      </c>
      <c r="CK272" s="604">
        <v>0</v>
      </c>
      <c r="CL272" s="604" t="s">
        <v>33</v>
      </c>
    </row>
    <row r="273" spans="9:90">
      <c r="I273" s="578" t="str">
        <f t="shared" si="42"/>
        <v>2005ethEuropean or OtherFetal</v>
      </c>
      <c r="J273" s="604">
        <v>2005</v>
      </c>
      <c r="K273" s="604" t="s">
        <v>449</v>
      </c>
      <c r="L273" s="604" t="s">
        <v>356</v>
      </c>
      <c r="M273" s="604">
        <v>203</v>
      </c>
      <c r="N273" s="604">
        <v>30193</v>
      </c>
      <c r="O273" s="604">
        <v>6.7</v>
      </c>
      <c r="P273" s="604" t="s">
        <v>47</v>
      </c>
      <c r="Q273" s="499"/>
      <c r="R273" s="502" t="str">
        <f t="shared" si="43"/>
        <v>2016birthsdepQuin 4</v>
      </c>
      <c r="S273" s="604">
        <v>2016</v>
      </c>
      <c r="T273" s="604" t="s">
        <v>445</v>
      </c>
      <c r="U273" s="604" t="s">
        <v>454</v>
      </c>
      <c r="V273" s="604" t="s">
        <v>424</v>
      </c>
      <c r="W273" s="604">
        <v>13131</v>
      </c>
      <c r="Y273" s="535" t="str">
        <f t="shared" si="44"/>
        <v>2016depbwtQuin 2500-999fetal</v>
      </c>
      <c r="Z273" s="604">
        <v>2016</v>
      </c>
      <c r="AA273" s="604" t="s">
        <v>454</v>
      </c>
      <c r="AB273" s="604" t="s">
        <v>447</v>
      </c>
      <c r="AC273" s="604" t="s">
        <v>422</v>
      </c>
      <c r="AD273" s="604" t="s">
        <v>428</v>
      </c>
      <c r="AE273" s="604">
        <v>18</v>
      </c>
      <c r="AF273" s="604">
        <v>29</v>
      </c>
      <c r="AG273" s="604">
        <v>383</v>
      </c>
      <c r="AH273" s="604" t="s">
        <v>420</v>
      </c>
      <c r="AJ273" s="535" t="str">
        <f t="shared" si="45"/>
        <v>2016depbwtQuin 2500-999</v>
      </c>
      <c r="AK273" s="604">
        <v>2016</v>
      </c>
      <c r="AL273" s="604" t="s">
        <v>454</v>
      </c>
      <c r="AM273" s="604" t="s">
        <v>447</v>
      </c>
      <c r="AN273" s="604" t="s">
        <v>422</v>
      </c>
      <c r="AO273" s="604" t="s">
        <v>428</v>
      </c>
      <c r="AP273" s="604">
        <v>29</v>
      </c>
      <c r="AR273" s="538" t="str">
        <f t="shared" si="46"/>
        <v>Quin 3depfetalCapital &amp; Coast</v>
      </c>
      <c r="AS273" s="604">
        <v>2016</v>
      </c>
      <c r="AT273" s="604" t="s">
        <v>423</v>
      </c>
      <c r="AU273" s="604" t="s">
        <v>454</v>
      </c>
      <c r="AV273" s="604" t="s">
        <v>96</v>
      </c>
      <c r="AW273" s="604">
        <v>1</v>
      </c>
      <c r="AX273" s="604">
        <v>638</v>
      </c>
      <c r="AY273" s="606">
        <v>1.6</v>
      </c>
      <c r="AZ273" s="604" t="s">
        <v>420</v>
      </c>
      <c r="BB273" s="536" t="str">
        <f t="shared" si="47"/>
        <v>MalesexbirthsSouthern</v>
      </c>
      <c r="BC273" s="604">
        <v>2016</v>
      </c>
      <c r="BD273" s="604" t="s">
        <v>70</v>
      </c>
      <c r="BE273" s="604" t="s">
        <v>451</v>
      </c>
      <c r="BF273" s="604" t="s">
        <v>103</v>
      </c>
      <c r="BG273" s="604">
        <v>1764</v>
      </c>
      <c r="BH273" s="604" t="s">
        <v>445</v>
      </c>
      <c r="BY273" s="553" t="str">
        <f t="shared" si="48"/>
        <v>2008AsianethSIDS</v>
      </c>
      <c r="BZ273" s="604">
        <v>2008</v>
      </c>
      <c r="CA273" s="604" t="s">
        <v>355</v>
      </c>
      <c r="CB273" s="604" t="s">
        <v>449</v>
      </c>
      <c r="CC273" s="604">
        <v>1</v>
      </c>
      <c r="CD273" s="604" t="s">
        <v>32</v>
      </c>
      <c r="CF273" s="554" t="str">
        <f t="shared" si="49"/>
        <v>2016MaoriTairawhitidhbSUDI</v>
      </c>
      <c r="CG273" s="604">
        <v>2016</v>
      </c>
      <c r="CH273" s="604" t="s">
        <v>129</v>
      </c>
      <c r="CI273" s="604" t="s">
        <v>433</v>
      </c>
      <c r="CJ273" s="604" t="s">
        <v>448</v>
      </c>
      <c r="CK273" s="604">
        <v>2</v>
      </c>
      <c r="CL273" s="604" t="s">
        <v>33</v>
      </c>
    </row>
    <row r="274" spans="9:90">
      <c r="I274" s="578" t="str">
        <f t="shared" si="42"/>
        <v>2006ethMaoriFetal</v>
      </c>
      <c r="J274" s="604">
        <v>2006</v>
      </c>
      <c r="K274" s="604" t="s">
        <v>449</v>
      </c>
      <c r="L274" s="604" t="s">
        <v>129</v>
      </c>
      <c r="M274" s="604">
        <v>99</v>
      </c>
      <c r="N274" s="604">
        <v>18034</v>
      </c>
      <c r="O274" s="604">
        <v>5.5</v>
      </c>
      <c r="P274" s="604" t="s">
        <v>47</v>
      </c>
      <c r="Q274" s="499"/>
      <c r="R274" s="502" t="str">
        <f t="shared" si="43"/>
        <v>2016birthsdepQuin 5</v>
      </c>
      <c r="S274" s="604">
        <v>2016</v>
      </c>
      <c r="T274" s="604" t="s">
        <v>445</v>
      </c>
      <c r="U274" s="604" t="s">
        <v>454</v>
      </c>
      <c r="V274" s="604" t="s">
        <v>425</v>
      </c>
      <c r="W274" s="604">
        <v>16886</v>
      </c>
      <c r="Y274" s="535" t="str">
        <f t="shared" si="44"/>
        <v>2016depbwtQuin 3500-999fetal</v>
      </c>
      <c r="Z274" s="604">
        <v>2016</v>
      </c>
      <c r="AA274" s="604" t="s">
        <v>454</v>
      </c>
      <c r="AB274" s="604" t="s">
        <v>447</v>
      </c>
      <c r="AC274" s="604" t="s">
        <v>423</v>
      </c>
      <c r="AD274" s="604" t="s">
        <v>428</v>
      </c>
      <c r="AE274" s="604">
        <v>11</v>
      </c>
      <c r="AF274" s="604">
        <v>36</v>
      </c>
      <c r="AG274" s="604">
        <v>234</v>
      </c>
      <c r="AH274" s="604" t="s">
        <v>420</v>
      </c>
      <c r="AJ274" s="535" t="str">
        <f t="shared" si="45"/>
        <v>2016depbwtQuin 3500-999</v>
      </c>
      <c r="AK274" s="604">
        <v>2016</v>
      </c>
      <c r="AL274" s="604" t="s">
        <v>454</v>
      </c>
      <c r="AM274" s="604" t="s">
        <v>447</v>
      </c>
      <c r="AN274" s="604" t="s">
        <v>423</v>
      </c>
      <c r="AO274" s="604" t="s">
        <v>428</v>
      </c>
      <c r="AP274" s="604">
        <v>36</v>
      </c>
      <c r="AR274" s="538" t="str">
        <f t="shared" si="46"/>
        <v>Quin 4depfetalCapital &amp; Coast</v>
      </c>
      <c r="AS274" s="604">
        <v>2016</v>
      </c>
      <c r="AT274" s="604" t="s">
        <v>424</v>
      </c>
      <c r="AU274" s="604" t="s">
        <v>454</v>
      </c>
      <c r="AV274" s="604" t="s">
        <v>96</v>
      </c>
      <c r="AW274" s="604">
        <v>3</v>
      </c>
      <c r="AX274" s="604">
        <v>671</v>
      </c>
      <c r="AY274" s="606">
        <v>4.5</v>
      </c>
      <c r="AZ274" s="604" t="s">
        <v>420</v>
      </c>
      <c r="BB274" s="536" t="str">
        <f t="shared" si="47"/>
        <v>FemalesexbirthsSouthern</v>
      </c>
      <c r="BC274" s="604">
        <v>2016</v>
      </c>
      <c r="BD274" s="604" t="s">
        <v>71</v>
      </c>
      <c r="BE274" s="604" t="s">
        <v>451</v>
      </c>
      <c r="BF274" s="604" t="s">
        <v>103</v>
      </c>
      <c r="BG274" s="604">
        <v>1650</v>
      </c>
      <c r="BH274" s="604" t="s">
        <v>445</v>
      </c>
      <c r="BY274" s="553" t="str">
        <f t="shared" si="48"/>
        <v>2008European or OtherethSIDS</v>
      </c>
      <c r="BZ274" s="604">
        <v>2008</v>
      </c>
      <c r="CA274" s="604" t="s">
        <v>356</v>
      </c>
      <c r="CB274" s="604" t="s">
        <v>449</v>
      </c>
      <c r="CC274" s="604">
        <v>10</v>
      </c>
      <c r="CD274" s="604" t="s">
        <v>32</v>
      </c>
      <c r="CF274" s="554" t="str">
        <f t="shared" si="49"/>
        <v>2016AsianHawke's BaydhbSUDI</v>
      </c>
      <c r="CG274" s="604">
        <v>2016</v>
      </c>
      <c r="CH274" s="604" t="s">
        <v>355</v>
      </c>
      <c r="CI274" s="604" t="s">
        <v>92</v>
      </c>
      <c r="CJ274" s="604" t="s">
        <v>448</v>
      </c>
      <c r="CK274" s="604">
        <v>0</v>
      </c>
      <c r="CL274" s="604" t="s">
        <v>33</v>
      </c>
    </row>
    <row r="275" spans="9:90">
      <c r="I275" s="578" t="str">
        <f t="shared" si="42"/>
        <v>2006ethPacific peoplesFetal</v>
      </c>
      <c r="J275" s="604">
        <v>2006</v>
      </c>
      <c r="K275" s="604" t="s">
        <v>449</v>
      </c>
      <c r="L275" s="604" t="s">
        <v>320</v>
      </c>
      <c r="M275" s="604">
        <v>56</v>
      </c>
      <c r="N275" s="604">
        <v>6464</v>
      </c>
      <c r="O275" s="604">
        <v>8.6999999999999993</v>
      </c>
      <c r="P275" s="604" t="s">
        <v>47</v>
      </c>
      <c r="Q275" s="499"/>
      <c r="R275" s="502" t="str">
        <f t="shared" si="43"/>
        <v>2016birthsdepQuin 9</v>
      </c>
      <c r="S275" s="604">
        <v>2016</v>
      </c>
      <c r="T275" s="604" t="s">
        <v>445</v>
      </c>
      <c r="U275" s="604" t="s">
        <v>454</v>
      </c>
      <c r="V275" s="604" t="s">
        <v>426</v>
      </c>
      <c r="W275" s="604">
        <v>131</v>
      </c>
      <c r="Y275" s="535" t="str">
        <f t="shared" si="44"/>
        <v>2016depbwtQuin 4500-999fetal</v>
      </c>
      <c r="Z275" s="604">
        <v>2016</v>
      </c>
      <c r="AA275" s="604" t="s">
        <v>454</v>
      </c>
      <c r="AB275" s="604" t="s">
        <v>447</v>
      </c>
      <c r="AC275" s="604" t="s">
        <v>424</v>
      </c>
      <c r="AD275" s="604" t="s">
        <v>428</v>
      </c>
      <c r="AE275" s="604">
        <v>21</v>
      </c>
      <c r="AF275" s="604">
        <v>46</v>
      </c>
      <c r="AG275" s="604">
        <v>313.39999999999998</v>
      </c>
      <c r="AH275" s="604" t="s">
        <v>420</v>
      </c>
      <c r="AJ275" s="535" t="str">
        <f t="shared" si="45"/>
        <v>2016depbwtQuin 4500-999</v>
      </c>
      <c r="AK275" s="604">
        <v>2016</v>
      </c>
      <c r="AL275" s="604" t="s">
        <v>454</v>
      </c>
      <c r="AM275" s="604" t="s">
        <v>447</v>
      </c>
      <c r="AN275" s="604" t="s">
        <v>424</v>
      </c>
      <c r="AO275" s="604" t="s">
        <v>428</v>
      </c>
      <c r="AP275" s="604">
        <v>46</v>
      </c>
      <c r="AR275" s="538" t="str">
        <f t="shared" si="46"/>
        <v>Quin 5depfetalCapital &amp; Coast</v>
      </c>
      <c r="AS275" s="604">
        <v>2016</v>
      </c>
      <c r="AT275" s="604" t="s">
        <v>425</v>
      </c>
      <c r="AU275" s="604" t="s">
        <v>454</v>
      </c>
      <c r="AV275" s="604" t="s">
        <v>96</v>
      </c>
      <c r="AW275" s="604">
        <v>3</v>
      </c>
      <c r="AX275" s="604">
        <v>492</v>
      </c>
      <c r="AY275" s="606">
        <v>6.1</v>
      </c>
      <c r="AZ275" s="604" t="s">
        <v>420</v>
      </c>
      <c r="BB275" s="536" t="str">
        <f t="shared" si="47"/>
        <v>MalesexbirthsUnknown</v>
      </c>
      <c r="BC275" s="604">
        <v>2016</v>
      </c>
      <c r="BD275" s="604" t="s">
        <v>70</v>
      </c>
      <c r="BE275" s="604" t="s">
        <v>451</v>
      </c>
      <c r="BF275" s="604" t="s">
        <v>63</v>
      </c>
      <c r="BG275" s="604">
        <v>63</v>
      </c>
      <c r="BH275" s="604" t="s">
        <v>445</v>
      </c>
      <c r="BY275" s="553" t="str">
        <f t="shared" si="48"/>
        <v>2008MaoriethSIDS</v>
      </c>
      <c r="BZ275" s="604">
        <v>2008</v>
      </c>
      <c r="CA275" s="604" t="s">
        <v>129</v>
      </c>
      <c r="CB275" s="604" t="s">
        <v>449</v>
      </c>
      <c r="CC275" s="604">
        <v>33</v>
      </c>
      <c r="CD275" s="604" t="s">
        <v>32</v>
      </c>
      <c r="CF275" s="554" t="str">
        <f t="shared" si="49"/>
        <v>2016European or OtherHawke's BaydhbSUDI</v>
      </c>
      <c r="CG275" s="604">
        <v>2016</v>
      </c>
      <c r="CH275" s="604" t="s">
        <v>356</v>
      </c>
      <c r="CI275" s="604" t="s">
        <v>92</v>
      </c>
      <c r="CJ275" s="604" t="s">
        <v>448</v>
      </c>
      <c r="CK275" s="604">
        <v>0</v>
      </c>
      <c r="CL275" s="604" t="s">
        <v>33</v>
      </c>
    </row>
    <row r="276" spans="9:90">
      <c r="I276" s="578" t="str">
        <f t="shared" si="42"/>
        <v>2006ethAsianFetal</v>
      </c>
      <c r="J276" s="604">
        <v>2006</v>
      </c>
      <c r="K276" s="604" t="s">
        <v>449</v>
      </c>
      <c r="L276" s="604" t="s">
        <v>355</v>
      </c>
      <c r="M276" s="604">
        <v>47</v>
      </c>
      <c r="N276" s="604">
        <v>5436</v>
      </c>
      <c r="O276" s="604">
        <v>8.6</v>
      </c>
      <c r="P276" s="604" t="s">
        <v>47</v>
      </c>
      <c r="Q276" s="499"/>
      <c r="R276" s="502" t="str">
        <f t="shared" si="43"/>
        <v>1996birthsdhbNorthland</v>
      </c>
      <c r="S276" s="604">
        <v>1996</v>
      </c>
      <c r="T276" s="604" t="s">
        <v>445</v>
      </c>
      <c r="U276" s="604" t="s">
        <v>448</v>
      </c>
      <c r="V276" s="604" t="s">
        <v>85</v>
      </c>
      <c r="W276" s="604">
        <v>2240</v>
      </c>
      <c r="Y276" s="535" t="str">
        <f t="shared" si="44"/>
        <v>2016depbwtQuin 5500-999fetal</v>
      </c>
      <c r="Z276" s="604">
        <v>2016</v>
      </c>
      <c r="AA276" s="604" t="s">
        <v>454</v>
      </c>
      <c r="AB276" s="604" t="s">
        <v>447</v>
      </c>
      <c r="AC276" s="604" t="s">
        <v>425</v>
      </c>
      <c r="AD276" s="604" t="s">
        <v>428</v>
      </c>
      <c r="AE276" s="604">
        <v>24</v>
      </c>
      <c r="AF276" s="604">
        <v>67</v>
      </c>
      <c r="AG276" s="604">
        <v>263.7</v>
      </c>
      <c r="AH276" s="604" t="s">
        <v>420</v>
      </c>
      <c r="AJ276" s="535" t="str">
        <f t="shared" si="45"/>
        <v>2016depbwtQuin 5500-999</v>
      </c>
      <c r="AK276" s="604">
        <v>2016</v>
      </c>
      <c r="AL276" s="604" t="s">
        <v>454</v>
      </c>
      <c r="AM276" s="604" t="s">
        <v>447</v>
      </c>
      <c r="AN276" s="604" t="s">
        <v>425</v>
      </c>
      <c r="AO276" s="604" t="s">
        <v>428</v>
      </c>
      <c r="AP276" s="604">
        <v>67</v>
      </c>
      <c r="AR276" s="538" t="str">
        <f t="shared" si="46"/>
        <v>Quin 9depfetalCapital &amp; Coast</v>
      </c>
      <c r="AS276" s="604">
        <v>2016</v>
      </c>
      <c r="AT276" s="604" t="s">
        <v>426</v>
      </c>
      <c r="AU276" s="604" t="s">
        <v>454</v>
      </c>
      <c r="AV276" s="604" t="s">
        <v>96</v>
      </c>
      <c r="AW276" s="604">
        <v>5</v>
      </c>
      <c r="AX276" s="604">
        <v>5</v>
      </c>
      <c r="AY276" s="606" t="s">
        <v>119</v>
      </c>
      <c r="AZ276" s="604" t="s">
        <v>420</v>
      </c>
      <c r="BB276" s="536" t="str">
        <f t="shared" si="47"/>
        <v>FemalesexbirthsUnknown</v>
      </c>
      <c r="BC276" s="604">
        <v>2016</v>
      </c>
      <c r="BD276" s="604" t="s">
        <v>71</v>
      </c>
      <c r="BE276" s="604" t="s">
        <v>451</v>
      </c>
      <c r="BF276" s="604" t="s">
        <v>63</v>
      </c>
      <c r="BG276" s="604">
        <v>67</v>
      </c>
      <c r="BH276" s="604" t="s">
        <v>445</v>
      </c>
      <c r="BY276" s="553" t="str">
        <f t="shared" si="48"/>
        <v>2008Pacific peoplesethSIDS</v>
      </c>
      <c r="BZ276" s="604">
        <v>2008</v>
      </c>
      <c r="CA276" s="604" t="s">
        <v>320</v>
      </c>
      <c r="CB276" s="604" t="s">
        <v>449</v>
      </c>
      <c r="CC276" s="604">
        <v>7</v>
      </c>
      <c r="CD276" s="604" t="s">
        <v>32</v>
      </c>
      <c r="CF276" s="554" t="str">
        <f t="shared" si="49"/>
        <v>2016MaoriHawke's BaydhbSUDI</v>
      </c>
      <c r="CG276" s="604">
        <v>2016</v>
      </c>
      <c r="CH276" s="604" t="s">
        <v>129</v>
      </c>
      <c r="CI276" s="604" t="s">
        <v>92</v>
      </c>
      <c r="CJ276" s="604" t="s">
        <v>448</v>
      </c>
      <c r="CK276" s="604">
        <v>3</v>
      </c>
      <c r="CL276" s="604" t="s">
        <v>33</v>
      </c>
    </row>
    <row r="277" spans="9:90">
      <c r="I277" s="578" t="str">
        <f t="shared" si="42"/>
        <v>2006ethEuropean or OtherFetal</v>
      </c>
      <c r="J277" s="604">
        <v>2006</v>
      </c>
      <c r="K277" s="604" t="s">
        <v>449</v>
      </c>
      <c r="L277" s="604" t="s">
        <v>356</v>
      </c>
      <c r="M277" s="604">
        <v>207</v>
      </c>
      <c r="N277" s="604">
        <v>30749</v>
      </c>
      <c r="O277" s="604">
        <v>6.7</v>
      </c>
      <c r="P277" s="604" t="s">
        <v>47</v>
      </c>
      <c r="Q277" s="499"/>
      <c r="R277" s="502" t="str">
        <f t="shared" si="43"/>
        <v>1996birthsdhbWaitemata</v>
      </c>
      <c r="S277" s="604">
        <v>1996</v>
      </c>
      <c r="T277" s="604" t="s">
        <v>445</v>
      </c>
      <c r="U277" s="604" t="s">
        <v>448</v>
      </c>
      <c r="V277" s="604" t="s">
        <v>86</v>
      </c>
      <c r="W277" s="604">
        <v>6325</v>
      </c>
      <c r="Y277" s="535" t="str">
        <f t="shared" si="44"/>
        <v>2016depbwtQuin 9500-999fetal</v>
      </c>
      <c r="Z277" s="604">
        <v>2016</v>
      </c>
      <c r="AA277" s="604" t="s">
        <v>454</v>
      </c>
      <c r="AB277" s="604" t="s">
        <v>447</v>
      </c>
      <c r="AC277" s="604" t="s">
        <v>426</v>
      </c>
      <c r="AD277" s="604" t="s">
        <v>428</v>
      </c>
      <c r="AE277" s="604">
        <v>7</v>
      </c>
      <c r="AF277" s="604">
        <v>1</v>
      </c>
      <c r="AG277" s="604" t="s">
        <v>119</v>
      </c>
      <c r="AH277" s="604" t="s">
        <v>420</v>
      </c>
      <c r="AJ277" s="535" t="str">
        <f t="shared" si="45"/>
        <v>2016depbwtQuin 9500-999</v>
      </c>
      <c r="AK277" s="604">
        <v>2016</v>
      </c>
      <c r="AL277" s="604" t="s">
        <v>454</v>
      </c>
      <c r="AM277" s="604" t="s">
        <v>447</v>
      </c>
      <c r="AN277" s="604" t="s">
        <v>426</v>
      </c>
      <c r="AO277" s="604" t="s">
        <v>428</v>
      </c>
      <c r="AP277" s="604">
        <v>1</v>
      </c>
      <c r="AR277" s="538" t="str">
        <f t="shared" si="46"/>
        <v>Quin 1depfetalHutt Valley</v>
      </c>
      <c r="AS277" s="604">
        <v>2016</v>
      </c>
      <c r="AT277" s="604" t="s">
        <v>421</v>
      </c>
      <c r="AU277" s="604" t="s">
        <v>454</v>
      </c>
      <c r="AV277" s="604" t="s">
        <v>97</v>
      </c>
      <c r="AW277" s="604">
        <v>1</v>
      </c>
      <c r="AX277" s="604">
        <v>369</v>
      </c>
      <c r="AY277" s="606">
        <v>2.7</v>
      </c>
      <c r="AZ277" s="604" t="s">
        <v>420</v>
      </c>
      <c r="BB277" s="536" t="str">
        <f t="shared" si="47"/>
        <v>Quin 1depbirthsNorthland</v>
      </c>
      <c r="BC277" s="604">
        <v>2016</v>
      </c>
      <c r="BD277" s="604" t="s">
        <v>421</v>
      </c>
      <c r="BE277" s="604" t="s">
        <v>454</v>
      </c>
      <c r="BF277" s="604" t="s">
        <v>85</v>
      </c>
      <c r="BG277" s="604">
        <v>14</v>
      </c>
      <c r="BH277" s="604" t="s">
        <v>445</v>
      </c>
      <c r="BY277" s="553" t="str">
        <f t="shared" si="48"/>
        <v>2009AsianethSIDS</v>
      </c>
      <c r="BZ277" s="604">
        <v>2009</v>
      </c>
      <c r="CA277" s="604" t="s">
        <v>355</v>
      </c>
      <c r="CB277" s="604" t="s">
        <v>449</v>
      </c>
      <c r="CC277" s="604">
        <v>1</v>
      </c>
      <c r="CD277" s="604" t="s">
        <v>32</v>
      </c>
      <c r="CF277" s="554" t="str">
        <f t="shared" si="49"/>
        <v>2016Pacific peoplesHawke's BaydhbSUDI</v>
      </c>
      <c r="CG277" s="604">
        <v>2016</v>
      </c>
      <c r="CH277" s="604" t="s">
        <v>320</v>
      </c>
      <c r="CI277" s="604" t="s">
        <v>92</v>
      </c>
      <c r="CJ277" s="604" t="s">
        <v>448</v>
      </c>
      <c r="CK277" s="604">
        <v>0</v>
      </c>
      <c r="CL277" s="604" t="s">
        <v>33</v>
      </c>
    </row>
    <row r="278" spans="9:90">
      <c r="I278" s="578" t="str">
        <f t="shared" si="42"/>
        <v>2007ethMaoriFetal</v>
      </c>
      <c r="J278" s="604">
        <v>2007</v>
      </c>
      <c r="K278" s="604" t="s">
        <v>449</v>
      </c>
      <c r="L278" s="604" t="s">
        <v>129</v>
      </c>
      <c r="M278" s="604">
        <v>126</v>
      </c>
      <c r="N278" s="604">
        <v>19464</v>
      </c>
      <c r="O278" s="604">
        <v>6.5</v>
      </c>
      <c r="P278" s="604" t="s">
        <v>47</v>
      </c>
      <c r="Q278" s="499"/>
      <c r="R278" s="502" t="str">
        <f t="shared" si="43"/>
        <v>1996birthsdhbAuckland</v>
      </c>
      <c r="S278" s="604">
        <v>1996</v>
      </c>
      <c r="T278" s="604" t="s">
        <v>445</v>
      </c>
      <c r="U278" s="604" t="s">
        <v>448</v>
      </c>
      <c r="V278" s="604" t="s">
        <v>87</v>
      </c>
      <c r="W278" s="604">
        <v>5994</v>
      </c>
      <c r="Y278" s="535" t="str">
        <f t="shared" si="44"/>
        <v>2016depbwtQuin 11000-1499fetal</v>
      </c>
      <c r="Z278" s="604">
        <v>2016</v>
      </c>
      <c r="AA278" s="604" t="s">
        <v>454</v>
      </c>
      <c r="AB278" s="604" t="s">
        <v>447</v>
      </c>
      <c r="AC278" s="604" t="s">
        <v>421</v>
      </c>
      <c r="AD278" s="604" t="s">
        <v>429</v>
      </c>
      <c r="AE278" s="604">
        <v>0</v>
      </c>
      <c r="AF278" s="604">
        <v>51</v>
      </c>
      <c r="AG278" s="604">
        <v>0</v>
      </c>
      <c r="AH278" s="604" t="s">
        <v>420</v>
      </c>
      <c r="AJ278" s="535" t="str">
        <f t="shared" si="45"/>
        <v>2016depbwtQuin 11000-1499</v>
      </c>
      <c r="AK278" s="604">
        <v>2016</v>
      </c>
      <c r="AL278" s="604" t="s">
        <v>454</v>
      </c>
      <c r="AM278" s="604" t="s">
        <v>447</v>
      </c>
      <c r="AN278" s="604" t="s">
        <v>421</v>
      </c>
      <c r="AO278" s="604" t="s">
        <v>429</v>
      </c>
      <c r="AP278" s="604">
        <v>51</v>
      </c>
      <c r="AR278" s="538" t="str">
        <f t="shared" si="46"/>
        <v>Quin 3depfetalHutt Valley</v>
      </c>
      <c r="AS278" s="604">
        <v>2016</v>
      </c>
      <c r="AT278" s="604" t="s">
        <v>423</v>
      </c>
      <c r="AU278" s="604" t="s">
        <v>454</v>
      </c>
      <c r="AV278" s="604" t="s">
        <v>97</v>
      </c>
      <c r="AW278" s="604">
        <v>1</v>
      </c>
      <c r="AX278" s="604">
        <v>340</v>
      </c>
      <c r="AY278" s="606">
        <v>2.9</v>
      </c>
      <c r="AZ278" s="604" t="s">
        <v>420</v>
      </c>
      <c r="BB278" s="536" t="str">
        <f t="shared" si="47"/>
        <v>Quin 2depbirthsNorthland</v>
      </c>
      <c r="BC278" s="604">
        <v>2016</v>
      </c>
      <c r="BD278" s="604" t="s">
        <v>422</v>
      </c>
      <c r="BE278" s="604" t="s">
        <v>454</v>
      </c>
      <c r="BF278" s="604" t="s">
        <v>85</v>
      </c>
      <c r="BG278" s="604">
        <v>197</v>
      </c>
      <c r="BH278" s="604" t="s">
        <v>445</v>
      </c>
      <c r="BY278" s="553" t="str">
        <f t="shared" si="48"/>
        <v>2009European or OtherethSIDS</v>
      </c>
      <c r="BZ278" s="604">
        <v>2009</v>
      </c>
      <c r="CA278" s="604" t="s">
        <v>356</v>
      </c>
      <c r="CB278" s="604" t="s">
        <v>449</v>
      </c>
      <c r="CC278" s="604">
        <v>11</v>
      </c>
      <c r="CD278" s="604" t="s">
        <v>32</v>
      </c>
      <c r="CF278" s="554" t="str">
        <f t="shared" si="49"/>
        <v>2016European or OtherTaranakidhbSUDI</v>
      </c>
      <c r="CG278" s="604">
        <v>2016</v>
      </c>
      <c r="CH278" s="604" t="s">
        <v>356</v>
      </c>
      <c r="CI278" s="604" t="s">
        <v>93</v>
      </c>
      <c r="CJ278" s="604" t="s">
        <v>448</v>
      </c>
      <c r="CK278" s="604">
        <v>1</v>
      </c>
      <c r="CL278" s="604" t="s">
        <v>33</v>
      </c>
    </row>
    <row r="279" spans="9:90">
      <c r="I279" s="578" t="str">
        <f t="shared" si="42"/>
        <v>2007ethPacific peoplesFetal</v>
      </c>
      <c r="J279" s="604">
        <v>2007</v>
      </c>
      <c r="K279" s="604" t="s">
        <v>449</v>
      </c>
      <c r="L279" s="604" t="s">
        <v>320</v>
      </c>
      <c r="M279" s="604">
        <v>58</v>
      </c>
      <c r="N279" s="604">
        <v>7063</v>
      </c>
      <c r="O279" s="604">
        <v>8.1999999999999993</v>
      </c>
      <c r="P279" s="604" t="s">
        <v>47</v>
      </c>
      <c r="Q279" s="499"/>
      <c r="R279" s="502" t="str">
        <f t="shared" si="43"/>
        <v>1996birthsdhbCounties Manukau</v>
      </c>
      <c r="S279" s="604">
        <v>1996</v>
      </c>
      <c r="T279" s="604" t="s">
        <v>445</v>
      </c>
      <c r="U279" s="604" t="s">
        <v>448</v>
      </c>
      <c r="V279" s="604" t="s">
        <v>88</v>
      </c>
      <c r="W279" s="604">
        <v>6875</v>
      </c>
      <c r="Y279" s="535" t="str">
        <f t="shared" si="44"/>
        <v>2016depbwtQuin 21000-1499fetal</v>
      </c>
      <c r="Z279" s="604">
        <v>2016</v>
      </c>
      <c r="AA279" s="604" t="s">
        <v>454</v>
      </c>
      <c r="AB279" s="604" t="s">
        <v>447</v>
      </c>
      <c r="AC279" s="604" t="s">
        <v>422</v>
      </c>
      <c r="AD279" s="604" t="s">
        <v>429</v>
      </c>
      <c r="AE279" s="604">
        <v>3</v>
      </c>
      <c r="AF279" s="604">
        <v>40</v>
      </c>
      <c r="AG279" s="604">
        <v>69.8</v>
      </c>
      <c r="AH279" s="604" t="s">
        <v>420</v>
      </c>
      <c r="AJ279" s="535" t="str">
        <f t="shared" si="45"/>
        <v>2016depbwtQuin 21000-1499</v>
      </c>
      <c r="AK279" s="604">
        <v>2016</v>
      </c>
      <c r="AL279" s="604" t="s">
        <v>454</v>
      </c>
      <c r="AM279" s="604" t="s">
        <v>447</v>
      </c>
      <c r="AN279" s="604" t="s">
        <v>422</v>
      </c>
      <c r="AO279" s="604" t="s">
        <v>429</v>
      </c>
      <c r="AP279" s="604">
        <v>40</v>
      </c>
      <c r="AR279" s="538" t="str">
        <f t="shared" si="46"/>
        <v>Quin 4depfetalHutt Valley</v>
      </c>
      <c r="AS279" s="604">
        <v>2016</v>
      </c>
      <c r="AT279" s="604" t="s">
        <v>424</v>
      </c>
      <c r="AU279" s="604" t="s">
        <v>454</v>
      </c>
      <c r="AV279" s="604" t="s">
        <v>97</v>
      </c>
      <c r="AW279" s="604">
        <v>2</v>
      </c>
      <c r="AX279" s="604">
        <v>657</v>
      </c>
      <c r="AY279" s="606">
        <v>3</v>
      </c>
      <c r="AZ279" s="604" t="s">
        <v>420</v>
      </c>
      <c r="BB279" s="536" t="str">
        <f t="shared" si="47"/>
        <v>Quin 3depbirthsNorthland</v>
      </c>
      <c r="BC279" s="604">
        <v>2016</v>
      </c>
      <c r="BD279" s="604" t="s">
        <v>423</v>
      </c>
      <c r="BE279" s="604" t="s">
        <v>454</v>
      </c>
      <c r="BF279" s="604" t="s">
        <v>85</v>
      </c>
      <c r="BG279" s="604">
        <v>307</v>
      </c>
      <c r="BH279" s="604" t="s">
        <v>445</v>
      </c>
      <c r="BY279" s="553" t="str">
        <f t="shared" si="48"/>
        <v>2009MaoriethSIDS</v>
      </c>
      <c r="BZ279" s="604">
        <v>2009</v>
      </c>
      <c r="CA279" s="604" t="s">
        <v>129</v>
      </c>
      <c r="CB279" s="604" t="s">
        <v>449</v>
      </c>
      <c r="CC279" s="604">
        <v>29</v>
      </c>
      <c r="CD279" s="604" t="s">
        <v>32</v>
      </c>
      <c r="CF279" s="554" t="str">
        <f t="shared" si="49"/>
        <v>2016MaoriTaranakidhbSUDI</v>
      </c>
      <c r="CG279" s="604">
        <v>2016</v>
      </c>
      <c r="CH279" s="604" t="s">
        <v>129</v>
      </c>
      <c r="CI279" s="604" t="s">
        <v>93</v>
      </c>
      <c r="CJ279" s="604" t="s">
        <v>448</v>
      </c>
      <c r="CK279" s="604">
        <v>2</v>
      </c>
      <c r="CL279" s="604" t="s">
        <v>33</v>
      </c>
    </row>
    <row r="280" spans="9:90">
      <c r="I280" s="578" t="str">
        <f t="shared" si="42"/>
        <v>2007ethAsianFetal</v>
      </c>
      <c r="J280" s="604">
        <v>2007</v>
      </c>
      <c r="K280" s="604" t="s">
        <v>449</v>
      </c>
      <c r="L280" s="604" t="s">
        <v>355</v>
      </c>
      <c r="M280" s="604">
        <v>44</v>
      </c>
      <c r="N280" s="604">
        <v>6430</v>
      </c>
      <c r="O280" s="604">
        <v>6.8</v>
      </c>
      <c r="P280" s="604" t="s">
        <v>47</v>
      </c>
      <c r="Q280" s="499"/>
      <c r="R280" s="502" t="str">
        <f t="shared" si="43"/>
        <v>1996birthsdhbWaikato</v>
      </c>
      <c r="S280" s="604">
        <v>1996</v>
      </c>
      <c r="T280" s="604" t="s">
        <v>445</v>
      </c>
      <c r="U280" s="604" t="s">
        <v>448</v>
      </c>
      <c r="V280" s="604" t="s">
        <v>89</v>
      </c>
      <c r="W280" s="604">
        <v>4944</v>
      </c>
      <c r="Y280" s="535" t="str">
        <f t="shared" si="44"/>
        <v>2016depbwtQuin 31000-1499fetal</v>
      </c>
      <c r="Z280" s="604">
        <v>2016</v>
      </c>
      <c r="AA280" s="604" t="s">
        <v>454</v>
      </c>
      <c r="AB280" s="604" t="s">
        <v>447</v>
      </c>
      <c r="AC280" s="604" t="s">
        <v>423</v>
      </c>
      <c r="AD280" s="604" t="s">
        <v>429</v>
      </c>
      <c r="AE280" s="604">
        <v>5</v>
      </c>
      <c r="AF280" s="604">
        <v>62</v>
      </c>
      <c r="AG280" s="604">
        <v>74.599999999999994</v>
      </c>
      <c r="AH280" s="604" t="s">
        <v>420</v>
      </c>
      <c r="AJ280" s="535" t="str">
        <f t="shared" si="45"/>
        <v>2016depbwtQuin 31000-1499</v>
      </c>
      <c r="AK280" s="604">
        <v>2016</v>
      </c>
      <c r="AL280" s="604" t="s">
        <v>454</v>
      </c>
      <c r="AM280" s="604" t="s">
        <v>447</v>
      </c>
      <c r="AN280" s="604" t="s">
        <v>423</v>
      </c>
      <c r="AO280" s="604" t="s">
        <v>429</v>
      </c>
      <c r="AP280" s="604">
        <v>62</v>
      </c>
      <c r="AR280" s="538" t="str">
        <f t="shared" si="46"/>
        <v>Quin 5depfetalHutt Valley</v>
      </c>
      <c r="AS280" s="604">
        <v>2016</v>
      </c>
      <c r="AT280" s="604" t="s">
        <v>425</v>
      </c>
      <c r="AU280" s="604" t="s">
        <v>454</v>
      </c>
      <c r="AV280" s="604" t="s">
        <v>97</v>
      </c>
      <c r="AW280" s="604">
        <v>3</v>
      </c>
      <c r="AX280" s="604">
        <v>449</v>
      </c>
      <c r="AY280" s="606">
        <v>6.7</v>
      </c>
      <c r="AZ280" s="604" t="s">
        <v>420</v>
      </c>
      <c r="BB280" s="536" t="str">
        <f t="shared" si="47"/>
        <v>Quin 4depbirthsNorthland</v>
      </c>
      <c r="BC280" s="604">
        <v>2016</v>
      </c>
      <c r="BD280" s="604" t="s">
        <v>424</v>
      </c>
      <c r="BE280" s="604" t="s">
        <v>454</v>
      </c>
      <c r="BF280" s="604" t="s">
        <v>85</v>
      </c>
      <c r="BG280" s="604">
        <v>602</v>
      </c>
      <c r="BH280" s="604" t="s">
        <v>445</v>
      </c>
      <c r="BY280" s="553" t="str">
        <f t="shared" si="48"/>
        <v>2009Pacific peoplesethSIDS</v>
      </c>
      <c r="BZ280" s="604">
        <v>2009</v>
      </c>
      <c r="CA280" s="604" t="s">
        <v>320</v>
      </c>
      <c r="CB280" s="604" t="s">
        <v>449</v>
      </c>
      <c r="CC280" s="604">
        <v>4</v>
      </c>
      <c r="CD280" s="604" t="s">
        <v>32</v>
      </c>
      <c r="CF280" s="554" t="str">
        <f t="shared" si="49"/>
        <v>2016AsianMidCentraldhbSUDI</v>
      </c>
      <c r="CG280" s="604">
        <v>2016</v>
      </c>
      <c r="CH280" s="604" t="s">
        <v>355</v>
      </c>
      <c r="CI280" s="604" t="s">
        <v>94</v>
      </c>
      <c r="CJ280" s="604" t="s">
        <v>448</v>
      </c>
      <c r="CK280" s="604">
        <v>0</v>
      </c>
      <c r="CL280" s="604" t="s">
        <v>33</v>
      </c>
    </row>
    <row r="281" spans="9:90">
      <c r="I281" s="578" t="str">
        <f t="shared" si="42"/>
        <v>2007ethEuropean or OtherFetal</v>
      </c>
      <c r="J281" s="604">
        <v>2007</v>
      </c>
      <c r="K281" s="604" t="s">
        <v>449</v>
      </c>
      <c r="L281" s="604" t="s">
        <v>356</v>
      </c>
      <c r="M281" s="604">
        <v>242</v>
      </c>
      <c r="N281" s="604">
        <v>32634</v>
      </c>
      <c r="O281" s="604">
        <v>7.4</v>
      </c>
      <c r="P281" s="604" t="s">
        <v>47</v>
      </c>
      <c r="Q281" s="499"/>
      <c r="R281" s="502" t="str">
        <f t="shared" si="43"/>
        <v>1996birthsdhbLakes</v>
      </c>
      <c r="S281" s="604">
        <v>1996</v>
      </c>
      <c r="T281" s="604" t="s">
        <v>445</v>
      </c>
      <c r="U281" s="604" t="s">
        <v>448</v>
      </c>
      <c r="V281" s="604" t="s">
        <v>90</v>
      </c>
      <c r="W281" s="604">
        <v>1732</v>
      </c>
      <c r="Y281" s="535" t="str">
        <f t="shared" si="44"/>
        <v>2016depbwtQuin 41000-1499fetal</v>
      </c>
      <c r="Z281" s="604">
        <v>2016</v>
      </c>
      <c r="AA281" s="604" t="s">
        <v>454</v>
      </c>
      <c r="AB281" s="604" t="s">
        <v>447</v>
      </c>
      <c r="AC281" s="604" t="s">
        <v>424</v>
      </c>
      <c r="AD281" s="604" t="s">
        <v>429</v>
      </c>
      <c r="AE281" s="604">
        <v>9</v>
      </c>
      <c r="AF281" s="604">
        <v>75</v>
      </c>
      <c r="AG281" s="604">
        <v>107.1</v>
      </c>
      <c r="AH281" s="604" t="s">
        <v>420</v>
      </c>
      <c r="AJ281" s="535" t="str">
        <f t="shared" si="45"/>
        <v>2016depbwtQuin 41000-1499</v>
      </c>
      <c r="AK281" s="604">
        <v>2016</v>
      </c>
      <c r="AL281" s="604" t="s">
        <v>454</v>
      </c>
      <c r="AM281" s="604" t="s">
        <v>447</v>
      </c>
      <c r="AN281" s="604" t="s">
        <v>424</v>
      </c>
      <c r="AO281" s="604" t="s">
        <v>429</v>
      </c>
      <c r="AP281" s="604">
        <v>75</v>
      </c>
      <c r="AR281" s="538" t="str">
        <f t="shared" si="46"/>
        <v>Quin 3depfetalWairarapa</v>
      </c>
      <c r="AS281" s="604">
        <v>2016</v>
      </c>
      <c r="AT281" s="604" t="s">
        <v>423</v>
      </c>
      <c r="AU281" s="604" t="s">
        <v>454</v>
      </c>
      <c r="AV281" s="604" t="s">
        <v>98</v>
      </c>
      <c r="AW281" s="604">
        <v>1</v>
      </c>
      <c r="AX281" s="604">
        <v>30</v>
      </c>
      <c r="AY281" s="606">
        <v>33.299999999999997</v>
      </c>
      <c r="AZ281" s="604" t="s">
        <v>420</v>
      </c>
      <c r="BB281" s="536" t="str">
        <f t="shared" si="47"/>
        <v>Quin 5depbirthsNorthland</v>
      </c>
      <c r="BC281" s="604">
        <v>2016</v>
      </c>
      <c r="BD281" s="604" t="s">
        <v>425</v>
      </c>
      <c r="BE281" s="604" t="s">
        <v>454</v>
      </c>
      <c r="BF281" s="604" t="s">
        <v>85</v>
      </c>
      <c r="BG281" s="604">
        <v>1200</v>
      </c>
      <c r="BH281" s="604" t="s">
        <v>445</v>
      </c>
      <c r="BY281" s="553" t="str">
        <f t="shared" si="48"/>
        <v>2010AsianethSIDS</v>
      </c>
      <c r="BZ281" s="604">
        <v>2010</v>
      </c>
      <c r="CA281" s="604" t="s">
        <v>355</v>
      </c>
      <c r="CB281" s="604" t="s">
        <v>449</v>
      </c>
      <c r="CC281" s="604">
        <v>1</v>
      </c>
      <c r="CD281" s="604" t="s">
        <v>32</v>
      </c>
      <c r="CF281" s="554" t="str">
        <f t="shared" si="49"/>
        <v>2016European or OtherMidCentraldhbSUDI</v>
      </c>
      <c r="CG281" s="604">
        <v>2016</v>
      </c>
      <c r="CH281" s="604" t="s">
        <v>356</v>
      </c>
      <c r="CI281" s="604" t="s">
        <v>94</v>
      </c>
      <c r="CJ281" s="604" t="s">
        <v>448</v>
      </c>
      <c r="CK281" s="604">
        <v>1</v>
      </c>
      <c r="CL281" s="604" t="s">
        <v>33</v>
      </c>
    </row>
    <row r="282" spans="9:90">
      <c r="I282" s="578" t="str">
        <f t="shared" si="42"/>
        <v>2008ethMaoriFetal</v>
      </c>
      <c r="J282" s="604">
        <v>2008</v>
      </c>
      <c r="K282" s="604" t="s">
        <v>449</v>
      </c>
      <c r="L282" s="604" t="s">
        <v>129</v>
      </c>
      <c r="M282" s="604">
        <v>171</v>
      </c>
      <c r="N282" s="604">
        <v>19623</v>
      </c>
      <c r="O282" s="604">
        <v>8.6999999999999993</v>
      </c>
      <c r="P282" s="604" t="s">
        <v>47</v>
      </c>
      <c r="Q282" s="499"/>
      <c r="R282" s="502" t="str">
        <f t="shared" si="43"/>
        <v>1996birthsdhbBay of Plenty</v>
      </c>
      <c r="S282" s="604">
        <v>1996</v>
      </c>
      <c r="T282" s="604" t="s">
        <v>445</v>
      </c>
      <c r="U282" s="604" t="s">
        <v>448</v>
      </c>
      <c r="V282" s="604" t="s">
        <v>91</v>
      </c>
      <c r="W282" s="604">
        <v>2575</v>
      </c>
      <c r="Y282" s="535" t="str">
        <f t="shared" si="44"/>
        <v>2016depbwtQuin 51000-1499fetal</v>
      </c>
      <c r="Z282" s="604">
        <v>2016</v>
      </c>
      <c r="AA282" s="604" t="s">
        <v>454</v>
      </c>
      <c r="AB282" s="604" t="s">
        <v>447</v>
      </c>
      <c r="AC282" s="604" t="s">
        <v>425</v>
      </c>
      <c r="AD282" s="604" t="s">
        <v>429</v>
      </c>
      <c r="AE282" s="604">
        <v>9</v>
      </c>
      <c r="AF282" s="604">
        <v>103</v>
      </c>
      <c r="AG282" s="604">
        <v>80.400000000000006</v>
      </c>
      <c r="AH282" s="604" t="s">
        <v>420</v>
      </c>
      <c r="AJ282" s="535" t="str">
        <f t="shared" si="45"/>
        <v>2016depbwtQuin 51000-1499</v>
      </c>
      <c r="AK282" s="604">
        <v>2016</v>
      </c>
      <c r="AL282" s="604" t="s">
        <v>454</v>
      </c>
      <c r="AM282" s="604" t="s">
        <v>447</v>
      </c>
      <c r="AN282" s="604" t="s">
        <v>425</v>
      </c>
      <c r="AO282" s="604" t="s">
        <v>429</v>
      </c>
      <c r="AP282" s="604">
        <v>103</v>
      </c>
      <c r="AR282" s="538" t="str">
        <f t="shared" si="46"/>
        <v>Quin 4depfetalWairarapa</v>
      </c>
      <c r="AS282" s="604">
        <v>2016</v>
      </c>
      <c r="AT282" s="604" t="s">
        <v>424</v>
      </c>
      <c r="AU282" s="604" t="s">
        <v>454</v>
      </c>
      <c r="AV282" s="604" t="s">
        <v>98</v>
      </c>
      <c r="AW282" s="604">
        <v>3</v>
      </c>
      <c r="AX282" s="604">
        <v>236</v>
      </c>
      <c r="AY282" s="606">
        <v>12.7</v>
      </c>
      <c r="AZ282" s="604" t="s">
        <v>420</v>
      </c>
      <c r="BB282" s="536" t="str">
        <f t="shared" si="47"/>
        <v>Quin 1depbirthsWaitemata</v>
      </c>
      <c r="BC282" s="604">
        <v>2016</v>
      </c>
      <c r="BD282" s="604" t="s">
        <v>421</v>
      </c>
      <c r="BE282" s="604" t="s">
        <v>454</v>
      </c>
      <c r="BF282" s="604" t="s">
        <v>86</v>
      </c>
      <c r="BG282" s="604">
        <v>1735</v>
      </c>
      <c r="BH282" s="604" t="s">
        <v>445</v>
      </c>
      <c r="BY282" s="553" t="str">
        <f t="shared" si="48"/>
        <v>2010European or OtherethSIDS</v>
      </c>
      <c r="BZ282" s="604">
        <v>2010</v>
      </c>
      <c r="CA282" s="604" t="s">
        <v>356</v>
      </c>
      <c r="CB282" s="604" t="s">
        <v>449</v>
      </c>
      <c r="CC282" s="604">
        <v>5</v>
      </c>
      <c r="CD282" s="604" t="s">
        <v>32</v>
      </c>
      <c r="CF282" s="554" t="str">
        <f t="shared" si="49"/>
        <v>2016MaoriMidCentraldhbSUDI</v>
      </c>
      <c r="CG282" s="604">
        <v>2016</v>
      </c>
      <c r="CH282" s="604" t="s">
        <v>129</v>
      </c>
      <c r="CI282" s="604" t="s">
        <v>94</v>
      </c>
      <c r="CJ282" s="604" t="s">
        <v>448</v>
      </c>
      <c r="CK282" s="604">
        <v>2</v>
      </c>
      <c r="CL282" s="604" t="s">
        <v>33</v>
      </c>
    </row>
    <row r="283" spans="9:90">
      <c r="I283" s="578" t="str">
        <f t="shared" si="42"/>
        <v>2008ethPacific peoplesFetal</v>
      </c>
      <c r="J283" s="604">
        <v>2008</v>
      </c>
      <c r="K283" s="604" t="s">
        <v>449</v>
      </c>
      <c r="L283" s="604" t="s">
        <v>320</v>
      </c>
      <c r="M283" s="604">
        <v>80</v>
      </c>
      <c r="N283" s="604">
        <v>7301</v>
      </c>
      <c r="O283" s="604">
        <v>11</v>
      </c>
      <c r="P283" s="604" t="s">
        <v>47</v>
      </c>
      <c r="Q283" s="499"/>
      <c r="R283" s="502" t="str">
        <f t="shared" si="43"/>
        <v>1996birthsdhbTairawhiti</v>
      </c>
      <c r="S283" s="604">
        <v>1996</v>
      </c>
      <c r="T283" s="604" t="s">
        <v>445</v>
      </c>
      <c r="U283" s="604" t="s">
        <v>448</v>
      </c>
      <c r="V283" s="604" t="s">
        <v>433</v>
      </c>
      <c r="W283" s="604">
        <v>871</v>
      </c>
      <c r="Y283" s="535" t="str">
        <f t="shared" si="44"/>
        <v>2016depbwtQuin 11500-2499fetal</v>
      </c>
      <c r="Z283" s="604">
        <v>2016</v>
      </c>
      <c r="AA283" s="604" t="s">
        <v>454</v>
      </c>
      <c r="AB283" s="604" t="s">
        <v>447</v>
      </c>
      <c r="AC283" s="604" t="s">
        <v>421</v>
      </c>
      <c r="AD283" s="604" t="s">
        <v>430</v>
      </c>
      <c r="AE283" s="604">
        <v>1</v>
      </c>
      <c r="AF283" s="604">
        <v>400</v>
      </c>
      <c r="AG283" s="604">
        <v>2.5</v>
      </c>
      <c r="AH283" s="604" t="s">
        <v>420</v>
      </c>
      <c r="AJ283" s="535" t="str">
        <f t="shared" si="45"/>
        <v>2016depbwtQuin 11500-2499</v>
      </c>
      <c r="AK283" s="604">
        <v>2016</v>
      </c>
      <c r="AL283" s="604" t="s">
        <v>454</v>
      </c>
      <c r="AM283" s="604" t="s">
        <v>447</v>
      </c>
      <c r="AN283" s="604" t="s">
        <v>421</v>
      </c>
      <c r="AO283" s="604" t="s">
        <v>430</v>
      </c>
      <c r="AP283" s="604">
        <v>400</v>
      </c>
      <c r="AR283" s="538" t="str">
        <f t="shared" si="46"/>
        <v>Quin 5depfetalWairarapa</v>
      </c>
      <c r="AS283" s="604">
        <v>2016</v>
      </c>
      <c r="AT283" s="604" t="s">
        <v>425</v>
      </c>
      <c r="AU283" s="604" t="s">
        <v>454</v>
      </c>
      <c r="AV283" s="604" t="s">
        <v>98</v>
      </c>
      <c r="AW283" s="604">
        <v>1</v>
      </c>
      <c r="AX283" s="604">
        <v>96</v>
      </c>
      <c r="AY283" s="606">
        <v>10.4</v>
      </c>
      <c r="AZ283" s="604" t="s">
        <v>420</v>
      </c>
      <c r="BB283" s="536" t="str">
        <f t="shared" si="47"/>
        <v>Quin 2depbirthsWaitemata</v>
      </c>
      <c r="BC283" s="604">
        <v>2016</v>
      </c>
      <c r="BD283" s="604" t="s">
        <v>422</v>
      </c>
      <c r="BE283" s="604" t="s">
        <v>454</v>
      </c>
      <c r="BF283" s="604" t="s">
        <v>86</v>
      </c>
      <c r="BG283" s="604">
        <v>1901</v>
      </c>
      <c r="BH283" s="604" t="s">
        <v>445</v>
      </c>
      <c r="BY283" s="553" t="str">
        <f t="shared" si="48"/>
        <v>2010MaoriethSIDS</v>
      </c>
      <c r="BZ283" s="604">
        <v>2010</v>
      </c>
      <c r="CA283" s="604" t="s">
        <v>129</v>
      </c>
      <c r="CB283" s="604" t="s">
        <v>449</v>
      </c>
      <c r="CC283" s="604">
        <v>17</v>
      </c>
      <c r="CD283" s="604" t="s">
        <v>32</v>
      </c>
      <c r="CF283" s="554" t="str">
        <f t="shared" si="49"/>
        <v>2016Pacific peoplesMidCentraldhbSUDI</v>
      </c>
      <c r="CG283" s="604">
        <v>2016</v>
      </c>
      <c r="CH283" s="604" t="s">
        <v>320</v>
      </c>
      <c r="CI283" s="604" t="s">
        <v>94</v>
      </c>
      <c r="CJ283" s="604" t="s">
        <v>448</v>
      </c>
      <c r="CK283" s="604">
        <v>0</v>
      </c>
      <c r="CL283" s="604" t="s">
        <v>33</v>
      </c>
    </row>
    <row r="284" spans="9:90">
      <c r="I284" s="578" t="str">
        <f t="shared" si="42"/>
        <v>2008ethAsianFetal</v>
      </c>
      <c r="J284" s="604">
        <v>2008</v>
      </c>
      <c r="K284" s="604" t="s">
        <v>449</v>
      </c>
      <c r="L284" s="604" t="s">
        <v>355</v>
      </c>
      <c r="M284" s="604">
        <v>61</v>
      </c>
      <c r="N284" s="604">
        <v>6618</v>
      </c>
      <c r="O284" s="604">
        <v>9.1999999999999993</v>
      </c>
      <c r="P284" s="604" t="s">
        <v>47</v>
      </c>
      <c r="Q284" s="499"/>
      <c r="R284" s="502" t="str">
        <f t="shared" si="43"/>
        <v>1996birthsdhbHawke's Bay</v>
      </c>
      <c r="S284" s="604">
        <v>1996</v>
      </c>
      <c r="T284" s="604" t="s">
        <v>445</v>
      </c>
      <c r="U284" s="604" t="s">
        <v>448</v>
      </c>
      <c r="V284" s="604" t="s">
        <v>92</v>
      </c>
      <c r="W284" s="604">
        <v>2405</v>
      </c>
      <c r="Y284" s="535" t="str">
        <f t="shared" si="44"/>
        <v>2016depbwtQuin 21500-2499fetal</v>
      </c>
      <c r="Z284" s="604">
        <v>2016</v>
      </c>
      <c r="AA284" s="604" t="s">
        <v>454</v>
      </c>
      <c r="AB284" s="604" t="s">
        <v>447</v>
      </c>
      <c r="AC284" s="604" t="s">
        <v>422</v>
      </c>
      <c r="AD284" s="604" t="s">
        <v>430</v>
      </c>
      <c r="AE284" s="604">
        <v>5</v>
      </c>
      <c r="AF284" s="604">
        <v>438</v>
      </c>
      <c r="AG284" s="604">
        <v>11.3</v>
      </c>
      <c r="AH284" s="604" t="s">
        <v>420</v>
      </c>
      <c r="AJ284" s="535" t="str">
        <f t="shared" si="45"/>
        <v>2016depbwtQuin 21500-2499</v>
      </c>
      <c r="AK284" s="604">
        <v>2016</v>
      </c>
      <c r="AL284" s="604" t="s">
        <v>454</v>
      </c>
      <c r="AM284" s="604" t="s">
        <v>447</v>
      </c>
      <c r="AN284" s="604" t="s">
        <v>422</v>
      </c>
      <c r="AO284" s="604" t="s">
        <v>430</v>
      </c>
      <c r="AP284" s="604">
        <v>438</v>
      </c>
      <c r="AR284" s="538" t="str">
        <f t="shared" si="46"/>
        <v>Quin 2depfetalNelson Marlborough</v>
      </c>
      <c r="AS284" s="604">
        <v>2016</v>
      </c>
      <c r="AT284" s="604" t="s">
        <v>422</v>
      </c>
      <c r="AU284" s="604" t="s">
        <v>454</v>
      </c>
      <c r="AV284" s="604" t="s">
        <v>99</v>
      </c>
      <c r="AW284" s="604">
        <v>2</v>
      </c>
      <c r="AX284" s="604">
        <v>419</v>
      </c>
      <c r="AY284" s="606">
        <v>4.8</v>
      </c>
      <c r="AZ284" s="604" t="s">
        <v>420</v>
      </c>
      <c r="BB284" s="536" t="str">
        <f t="shared" si="47"/>
        <v>Quin 3depbirthsWaitemata</v>
      </c>
      <c r="BC284" s="604">
        <v>2016</v>
      </c>
      <c r="BD284" s="604" t="s">
        <v>423</v>
      </c>
      <c r="BE284" s="604" t="s">
        <v>454</v>
      </c>
      <c r="BF284" s="604" t="s">
        <v>86</v>
      </c>
      <c r="BG284" s="604">
        <v>1819</v>
      </c>
      <c r="BH284" s="604" t="s">
        <v>445</v>
      </c>
      <c r="BY284" s="553" t="str">
        <f t="shared" si="48"/>
        <v>2010Pacific peoplesethSIDS</v>
      </c>
      <c r="BZ284" s="604">
        <v>2010</v>
      </c>
      <c r="CA284" s="604" t="s">
        <v>320</v>
      </c>
      <c r="CB284" s="604" t="s">
        <v>449</v>
      </c>
      <c r="CC284" s="604">
        <v>4</v>
      </c>
      <c r="CD284" s="604" t="s">
        <v>32</v>
      </c>
      <c r="CF284" s="554" t="str">
        <f t="shared" si="49"/>
        <v>2016AsianWhanganuidhbSUDI</v>
      </c>
      <c r="CG284" s="604">
        <v>2016</v>
      </c>
      <c r="CH284" s="604" t="s">
        <v>355</v>
      </c>
      <c r="CI284" s="604" t="s">
        <v>95</v>
      </c>
      <c r="CJ284" s="604" t="s">
        <v>448</v>
      </c>
      <c r="CK284" s="604">
        <v>0</v>
      </c>
      <c r="CL284" s="604" t="s">
        <v>33</v>
      </c>
    </row>
    <row r="285" spans="9:90">
      <c r="I285" s="578" t="str">
        <f t="shared" si="42"/>
        <v>2008ethEuropean or OtherFetal</v>
      </c>
      <c r="J285" s="604">
        <v>2008</v>
      </c>
      <c r="K285" s="604" t="s">
        <v>449</v>
      </c>
      <c r="L285" s="604" t="s">
        <v>356</v>
      </c>
      <c r="M285" s="604">
        <v>244</v>
      </c>
      <c r="N285" s="604">
        <v>32347</v>
      </c>
      <c r="O285" s="604">
        <v>7.5</v>
      </c>
      <c r="P285" s="604" t="s">
        <v>47</v>
      </c>
      <c r="Q285" s="499"/>
      <c r="R285" s="502" t="str">
        <f t="shared" si="43"/>
        <v>1996birthsdhbTaranaki</v>
      </c>
      <c r="S285" s="604">
        <v>1996</v>
      </c>
      <c r="T285" s="604" t="s">
        <v>445</v>
      </c>
      <c r="U285" s="604" t="s">
        <v>448</v>
      </c>
      <c r="V285" s="604" t="s">
        <v>93</v>
      </c>
      <c r="W285" s="604">
        <v>1538</v>
      </c>
      <c r="Y285" s="535" t="str">
        <f t="shared" si="44"/>
        <v>2016depbwtQuin 31500-2499fetal</v>
      </c>
      <c r="Z285" s="604">
        <v>2016</v>
      </c>
      <c r="AA285" s="604" t="s">
        <v>454</v>
      </c>
      <c r="AB285" s="604" t="s">
        <v>447</v>
      </c>
      <c r="AC285" s="604" t="s">
        <v>423</v>
      </c>
      <c r="AD285" s="604" t="s">
        <v>430</v>
      </c>
      <c r="AE285" s="604">
        <v>7</v>
      </c>
      <c r="AF285" s="604">
        <v>545</v>
      </c>
      <c r="AG285" s="604">
        <v>12.7</v>
      </c>
      <c r="AH285" s="604" t="s">
        <v>420</v>
      </c>
      <c r="AJ285" s="535" t="str">
        <f t="shared" si="45"/>
        <v>2016depbwtQuin 31500-2499</v>
      </c>
      <c r="AK285" s="604">
        <v>2016</v>
      </c>
      <c r="AL285" s="604" t="s">
        <v>454</v>
      </c>
      <c r="AM285" s="604" t="s">
        <v>447</v>
      </c>
      <c r="AN285" s="604" t="s">
        <v>423</v>
      </c>
      <c r="AO285" s="604" t="s">
        <v>430</v>
      </c>
      <c r="AP285" s="604">
        <v>545</v>
      </c>
      <c r="AR285" s="538" t="str">
        <f t="shared" si="46"/>
        <v>Quin 3depfetalNelson Marlborough</v>
      </c>
      <c r="AS285" s="604">
        <v>2016</v>
      </c>
      <c r="AT285" s="604" t="s">
        <v>423</v>
      </c>
      <c r="AU285" s="604" t="s">
        <v>454</v>
      </c>
      <c r="AV285" s="604" t="s">
        <v>99</v>
      </c>
      <c r="AW285" s="604">
        <v>1</v>
      </c>
      <c r="AX285" s="604">
        <v>357</v>
      </c>
      <c r="AY285" s="606">
        <v>2.8</v>
      </c>
      <c r="AZ285" s="604" t="s">
        <v>420</v>
      </c>
      <c r="BB285" s="536" t="str">
        <f t="shared" si="47"/>
        <v>Quin 4depbirthsWaitemata</v>
      </c>
      <c r="BC285" s="604">
        <v>2016</v>
      </c>
      <c r="BD285" s="604" t="s">
        <v>424</v>
      </c>
      <c r="BE285" s="604" t="s">
        <v>454</v>
      </c>
      <c r="BF285" s="604" t="s">
        <v>86</v>
      </c>
      <c r="BG285" s="604">
        <v>1652</v>
      </c>
      <c r="BH285" s="604" t="s">
        <v>445</v>
      </c>
      <c r="BY285" s="553" t="str">
        <f t="shared" si="48"/>
        <v>2011AsianethSIDS</v>
      </c>
      <c r="BZ285" s="604">
        <v>2011</v>
      </c>
      <c r="CA285" s="604" t="s">
        <v>355</v>
      </c>
      <c r="CB285" s="604" t="s">
        <v>449</v>
      </c>
      <c r="CC285" s="604">
        <v>0</v>
      </c>
      <c r="CD285" s="604" t="s">
        <v>32</v>
      </c>
      <c r="CF285" s="554" t="str">
        <f t="shared" si="49"/>
        <v>2016European or OtherWhanganuidhbSUDI</v>
      </c>
      <c r="CG285" s="604">
        <v>2016</v>
      </c>
      <c r="CH285" s="604" t="s">
        <v>356</v>
      </c>
      <c r="CI285" s="604" t="s">
        <v>95</v>
      </c>
      <c r="CJ285" s="604" t="s">
        <v>448</v>
      </c>
      <c r="CK285" s="604">
        <v>0</v>
      </c>
      <c r="CL285" s="604" t="s">
        <v>33</v>
      </c>
    </row>
    <row r="286" spans="9:90">
      <c r="I286" s="578" t="str">
        <f t="shared" si="42"/>
        <v>2009ethMaoriFetal</v>
      </c>
      <c r="J286" s="604">
        <v>2009</v>
      </c>
      <c r="K286" s="604" t="s">
        <v>449</v>
      </c>
      <c r="L286" s="604" t="s">
        <v>129</v>
      </c>
      <c r="M286" s="604">
        <v>150</v>
      </c>
      <c r="N286" s="604">
        <v>18620</v>
      </c>
      <c r="O286" s="604">
        <v>8.1</v>
      </c>
      <c r="P286" s="604" t="s">
        <v>47</v>
      </c>
      <c r="Q286" s="499"/>
      <c r="R286" s="502" t="str">
        <f t="shared" si="43"/>
        <v>1996birthsdhbMidCentral</v>
      </c>
      <c r="S286" s="604">
        <v>1996</v>
      </c>
      <c r="T286" s="604" t="s">
        <v>445</v>
      </c>
      <c r="U286" s="604" t="s">
        <v>448</v>
      </c>
      <c r="V286" s="604" t="s">
        <v>94</v>
      </c>
      <c r="W286" s="604">
        <v>2430</v>
      </c>
      <c r="Y286" s="535" t="str">
        <f t="shared" si="44"/>
        <v>2016depbwtQuin 41500-2499fetal</v>
      </c>
      <c r="Z286" s="604">
        <v>2016</v>
      </c>
      <c r="AA286" s="604" t="s">
        <v>454</v>
      </c>
      <c r="AB286" s="604" t="s">
        <v>447</v>
      </c>
      <c r="AC286" s="604" t="s">
        <v>424</v>
      </c>
      <c r="AD286" s="604" t="s">
        <v>430</v>
      </c>
      <c r="AE286" s="604">
        <v>12</v>
      </c>
      <c r="AF286" s="604">
        <v>684</v>
      </c>
      <c r="AG286" s="604">
        <v>17.2</v>
      </c>
      <c r="AH286" s="604" t="s">
        <v>420</v>
      </c>
      <c r="AJ286" s="535" t="str">
        <f t="shared" si="45"/>
        <v>2016depbwtQuin 41500-2499</v>
      </c>
      <c r="AK286" s="604">
        <v>2016</v>
      </c>
      <c r="AL286" s="604" t="s">
        <v>454</v>
      </c>
      <c r="AM286" s="604" t="s">
        <v>447</v>
      </c>
      <c r="AN286" s="604" t="s">
        <v>424</v>
      </c>
      <c r="AO286" s="604" t="s">
        <v>430</v>
      </c>
      <c r="AP286" s="604">
        <v>684</v>
      </c>
      <c r="AR286" s="538" t="str">
        <f t="shared" si="46"/>
        <v>Quin 4depfetalNelson Marlborough</v>
      </c>
      <c r="AS286" s="604">
        <v>2016</v>
      </c>
      <c r="AT286" s="604" t="s">
        <v>424</v>
      </c>
      <c r="AU286" s="604" t="s">
        <v>454</v>
      </c>
      <c r="AV286" s="604" t="s">
        <v>99</v>
      </c>
      <c r="AW286" s="604">
        <v>1</v>
      </c>
      <c r="AX286" s="604">
        <v>523</v>
      </c>
      <c r="AY286" s="606">
        <v>1.9</v>
      </c>
      <c r="AZ286" s="604" t="s">
        <v>420</v>
      </c>
      <c r="BB286" s="536" t="str">
        <f t="shared" si="47"/>
        <v>Quin 5depbirthsWaitemata</v>
      </c>
      <c r="BC286" s="604">
        <v>2016</v>
      </c>
      <c r="BD286" s="604" t="s">
        <v>425</v>
      </c>
      <c r="BE286" s="604" t="s">
        <v>454</v>
      </c>
      <c r="BF286" s="604" t="s">
        <v>86</v>
      </c>
      <c r="BG286" s="604">
        <v>944</v>
      </c>
      <c r="BH286" s="604" t="s">
        <v>445</v>
      </c>
      <c r="BY286" s="553" t="str">
        <f t="shared" si="48"/>
        <v>2011European or OtherethSIDS</v>
      </c>
      <c r="BZ286" s="604">
        <v>2011</v>
      </c>
      <c r="CA286" s="604" t="s">
        <v>356</v>
      </c>
      <c r="CB286" s="604" t="s">
        <v>449</v>
      </c>
      <c r="CC286" s="604">
        <v>5</v>
      </c>
      <c r="CD286" s="604" t="s">
        <v>32</v>
      </c>
      <c r="CF286" s="554" t="str">
        <f t="shared" si="49"/>
        <v>2016MaoriWhanganuidhbSUDI</v>
      </c>
      <c r="CG286" s="604">
        <v>2016</v>
      </c>
      <c r="CH286" s="604" t="s">
        <v>129</v>
      </c>
      <c r="CI286" s="604" t="s">
        <v>95</v>
      </c>
      <c r="CJ286" s="604" t="s">
        <v>448</v>
      </c>
      <c r="CK286" s="604">
        <v>0</v>
      </c>
      <c r="CL286" s="604" t="s">
        <v>33</v>
      </c>
    </row>
    <row r="287" spans="9:90">
      <c r="I287" s="578" t="str">
        <f t="shared" si="42"/>
        <v>2009ethPacific peoplesFetal</v>
      </c>
      <c r="J287" s="604">
        <v>2009</v>
      </c>
      <c r="K287" s="604" t="s">
        <v>449</v>
      </c>
      <c r="L287" s="604" t="s">
        <v>320</v>
      </c>
      <c r="M287" s="604">
        <v>66</v>
      </c>
      <c r="N287" s="604">
        <v>7190</v>
      </c>
      <c r="O287" s="604">
        <v>9.1999999999999993</v>
      </c>
      <c r="P287" s="604" t="s">
        <v>47</v>
      </c>
      <c r="Q287" s="499"/>
      <c r="R287" s="502" t="str">
        <f t="shared" si="43"/>
        <v>1996birthsdhbWhanganui</v>
      </c>
      <c r="S287" s="604">
        <v>1996</v>
      </c>
      <c r="T287" s="604" t="s">
        <v>445</v>
      </c>
      <c r="U287" s="604" t="s">
        <v>448</v>
      </c>
      <c r="V287" s="604" t="s">
        <v>95</v>
      </c>
      <c r="W287" s="604">
        <v>1078</v>
      </c>
      <c r="Y287" s="535" t="str">
        <f t="shared" si="44"/>
        <v>2016depbwtQuin 51500-2499fetal</v>
      </c>
      <c r="Z287" s="604">
        <v>2016</v>
      </c>
      <c r="AA287" s="604" t="s">
        <v>454</v>
      </c>
      <c r="AB287" s="604" t="s">
        <v>447</v>
      </c>
      <c r="AC287" s="604" t="s">
        <v>425</v>
      </c>
      <c r="AD287" s="604" t="s">
        <v>430</v>
      </c>
      <c r="AE287" s="604">
        <v>18</v>
      </c>
      <c r="AF287" s="604">
        <v>920</v>
      </c>
      <c r="AG287" s="604">
        <v>19.2</v>
      </c>
      <c r="AH287" s="604" t="s">
        <v>420</v>
      </c>
      <c r="AJ287" s="535" t="str">
        <f t="shared" si="45"/>
        <v>2016depbwtQuin 51500-2499</v>
      </c>
      <c r="AK287" s="604">
        <v>2016</v>
      </c>
      <c r="AL287" s="604" t="s">
        <v>454</v>
      </c>
      <c r="AM287" s="604" t="s">
        <v>447</v>
      </c>
      <c r="AN287" s="604" t="s">
        <v>425</v>
      </c>
      <c r="AO287" s="604" t="s">
        <v>430</v>
      </c>
      <c r="AP287" s="604">
        <v>920</v>
      </c>
      <c r="AR287" s="538" t="str">
        <f t="shared" si="46"/>
        <v>Quin 2depfetalWest Coast</v>
      </c>
      <c r="AS287" s="604">
        <v>2016</v>
      </c>
      <c r="AT287" s="604" t="s">
        <v>422</v>
      </c>
      <c r="AU287" s="604" t="s">
        <v>454</v>
      </c>
      <c r="AV287" s="604" t="s">
        <v>100</v>
      </c>
      <c r="AW287" s="604">
        <v>2</v>
      </c>
      <c r="AX287" s="604">
        <v>67</v>
      </c>
      <c r="AY287" s="606">
        <v>29.9</v>
      </c>
      <c r="AZ287" s="604" t="s">
        <v>420</v>
      </c>
      <c r="BB287" s="536" t="str">
        <f t="shared" si="47"/>
        <v>Quin 1depbirthsAuckland</v>
      </c>
      <c r="BC287" s="604">
        <v>2016</v>
      </c>
      <c r="BD287" s="604" t="s">
        <v>421</v>
      </c>
      <c r="BE287" s="604" t="s">
        <v>454</v>
      </c>
      <c r="BF287" s="604" t="s">
        <v>87</v>
      </c>
      <c r="BG287" s="604">
        <v>903</v>
      </c>
      <c r="BH287" s="604" t="s">
        <v>445</v>
      </c>
      <c r="BY287" s="553" t="str">
        <f t="shared" si="48"/>
        <v>2011MaoriethSIDS</v>
      </c>
      <c r="BZ287" s="604">
        <v>2011</v>
      </c>
      <c r="CA287" s="604" t="s">
        <v>129</v>
      </c>
      <c r="CB287" s="604" t="s">
        <v>449</v>
      </c>
      <c r="CC287" s="604">
        <v>20</v>
      </c>
      <c r="CD287" s="604" t="s">
        <v>32</v>
      </c>
      <c r="CF287" s="554" t="str">
        <f t="shared" si="49"/>
        <v>2016Pacific peoplesWhanganuidhbSUDI</v>
      </c>
      <c r="CG287" s="604">
        <v>2016</v>
      </c>
      <c r="CH287" s="604" t="s">
        <v>320</v>
      </c>
      <c r="CI287" s="604" t="s">
        <v>95</v>
      </c>
      <c r="CJ287" s="604" t="s">
        <v>448</v>
      </c>
      <c r="CK287" s="604">
        <v>1</v>
      </c>
      <c r="CL287" s="604" t="s">
        <v>33</v>
      </c>
    </row>
    <row r="288" spans="9:90">
      <c r="I288" s="578" t="str">
        <f t="shared" si="42"/>
        <v>2009ethAsianFetal</v>
      </c>
      <c r="J288" s="604">
        <v>2009</v>
      </c>
      <c r="K288" s="604" t="s">
        <v>449</v>
      </c>
      <c r="L288" s="604" t="s">
        <v>355</v>
      </c>
      <c r="M288" s="604">
        <v>47</v>
      </c>
      <c r="N288" s="604">
        <v>6810</v>
      </c>
      <c r="O288" s="604">
        <v>6.9</v>
      </c>
      <c r="P288" s="604" t="s">
        <v>47</v>
      </c>
      <c r="Q288" s="499"/>
      <c r="R288" s="502" t="str">
        <f t="shared" si="43"/>
        <v>1996birthsdhbCapital &amp; Coast</v>
      </c>
      <c r="S288" s="604">
        <v>1996</v>
      </c>
      <c r="T288" s="604" t="s">
        <v>445</v>
      </c>
      <c r="U288" s="604" t="s">
        <v>448</v>
      </c>
      <c r="V288" s="604" t="s">
        <v>96</v>
      </c>
      <c r="W288" s="604">
        <v>3644</v>
      </c>
      <c r="Y288" s="535" t="str">
        <f t="shared" si="44"/>
        <v>2016depbwtQuin 91500-2499fetal</v>
      </c>
      <c r="Z288" s="604">
        <v>2016</v>
      </c>
      <c r="AA288" s="604" t="s">
        <v>454</v>
      </c>
      <c r="AB288" s="604" t="s">
        <v>447</v>
      </c>
      <c r="AC288" s="604" t="s">
        <v>426</v>
      </c>
      <c r="AD288" s="604" t="s">
        <v>430</v>
      </c>
      <c r="AE288" s="604">
        <v>2</v>
      </c>
      <c r="AF288" s="604">
        <v>4</v>
      </c>
      <c r="AG288" s="604" t="s">
        <v>119</v>
      </c>
      <c r="AH288" s="604" t="s">
        <v>420</v>
      </c>
      <c r="AJ288" s="535" t="str">
        <f t="shared" si="45"/>
        <v>2016depbwtQuin 91500-2499</v>
      </c>
      <c r="AK288" s="604">
        <v>2016</v>
      </c>
      <c r="AL288" s="604" t="s">
        <v>454</v>
      </c>
      <c r="AM288" s="604" t="s">
        <v>447</v>
      </c>
      <c r="AN288" s="604" t="s">
        <v>426</v>
      </c>
      <c r="AO288" s="604" t="s">
        <v>430</v>
      </c>
      <c r="AP288" s="604">
        <v>4</v>
      </c>
      <c r="AR288" s="538" t="str">
        <f t="shared" si="46"/>
        <v>Quin 3depfetalWest Coast</v>
      </c>
      <c r="AS288" s="604">
        <v>2016</v>
      </c>
      <c r="AT288" s="604" t="s">
        <v>423</v>
      </c>
      <c r="AU288" s="604" t="s">
        <v>454</v>
      </c>
      <c r="AV288" s="604" t="s">
        <v>100</v>
      </c>
      <c r="AW288" s="604">
        <v>2</v>
      </c>
      <c r="AX288" s="604">
        <v>77</v>
      </c>
      <c r="AY288" s="606">
        <v>26</v>
      </c>
      <c r="AZ288" s="604" t="s">
        <v>420</v>
      </c>
      <c r="BB288" s="536" t="str">
        <f t="shared" si="47"/>
        <v>Quin 2depbirthsAuckland</v>
      </c>
      <c r="BC288" s="604">
        <v>2016</v>
      </c>
      <c r="BD288" s="604" t="s">
        <v>422</v>
      </c>
      <c r="BE288" s="604" t="s">
        <v>454</v>
      </c>
      <c r="BF288" s="604" t="s">
        <v>87</v>
      </c>
      <c r="BG288" s="604">
        <v>1114</v>
      </c>
      <c r="BH288" s="604" t="s">
        <v>445</v>
      </c>
      <c r="BY288" s="553" t="str">
        <f t="shared" si="48"/>
        <v>2011Pacific peoplesethSIDS</v>
      </c>
      <c r="BZ288" s="604">
        <v>2011</v>
      </c>
      <c r="CA288" s="604" t="s">
        <v>320</v>
      </c>
      <c r="CB288" s="604" t="s">
        <v>449</v>
      </c>
      <c r="CC288" s="604">
        <v>1</v>
      </c>
      <c r="CD288" s="604" t="s">
        <v>32</v>
      </c>
      <c r="CF288" s="554" t="str">
        <f t="shared" si="49"/>
        <v>2016AsianCapital &amp; CoastdhbSUDI</v>
      </c>
      <c r="CG288" s="604">
        <v>2016</v>
      </c>
      <c r="CH288" s="604" t="s">
        <v>355</v>
      </c>
      <c r="CI288" s="604" t="s">
        <v>96</v>
      </c>
      <c r="CJ288" s="604" t="s">
        <v>448</v>
      </c>
      <c r="CK288" s="604">
        <v>0</v>
      </c>
      <c r="CL288" s="604" t="s">
        <v>33</v>
      </c>
    </row>
    <row r="289" spans="9:90">
      <c r="I289" s="578" t="str">
        <f t="shared" si="42"/>
        <v>2009ethEuropean or OtherFetal</v>
      </c>
      <c r="J289" s="604">
        <v>2009</v>
      </c>
      <c r="K289" s="604" t="s">
        <v>449</v>
      </c>
      <c r="L289" s="604" t="s">
        <v>356</v>
      </c>
      <c r="M289" s="604">
        <v>219</v>
      </c>
      <c r="N289" s="604">
        <v>31147</v>
      </c>
      <c r="O289" s="604">
        <v>7</v>
      </c>
      <c r="P289" s="604" t="s">
        <v>47</v>
      </c>
      <c r="Q289" s="499"/>
      <c r="R289" s="502" t="str">
        <f t="shared" si="43"/>
        <v>1996birthsdhbHutt Valley</v>
      </c>
      <c r="S289" s="604">
        <v>1996</v>
      </c>
      <c r="T289" s="604" t="s">
        <v>445</v>
      </c>
      <c r="U289" s="604" t="s">
        <v>448</v>
      </c>
      <c r="V289" s="604" t="s">
        <v>97</v>
      </c>
      <c r="W289" s="604">
        <v>2135</v>
      </c>
      <c r="Y289" s="535" t="str">
        <f t="shared" si="44"/>
        <v>2016depbwtQuin 12500-4499fetal</v>
      </c>
      <c r="Z289" s="604">
        <v>2016</v>
      </c>
      <c r="AA289" s="604" t="s">
        <v>454</v>
      </c>
      <c r="AB289" s="604" t="s">
        <v>447</v>
      </c>
      <c r="AC289" s="604" t="s">
        <v>421</v>
      </c>
      <c r="AD289" s="604" t="s">
        <v>431</v>
      </c>
      <c r="AE289" s="604">
        <v>10</v>
      </c>
      <c r="AF289" s="604">
        <v>8513</v>
      </c>
      <c r="AG289" s="604">
        <v>1.2</v>
      </c>
      <c r="AH289" s="604" t="s">
        <v>420</v>
      </c>
      <c r="AJ289" s="535" t="str">
        <f t="shared" si="45"/>
        <v>2016depbwtQuin 12500-4499</v>
      </c>
      <c r="AK289" s="604">
        <v>2016</v>
      </c>
      <c r="AL289" s="604" t="s">
        <v>454</v>
      </c>
      <c r="AM289" s="604" t="s">
        <v>447</v>
      </c>
      <c r="AN289" s="604" t="s">
        <v>421</v>
      </c>
      <c r="AO289" s="604" t="s">
        <v>431</v>
      </c>
      <c r="AP289" s="604">
        <v>8513</v>
      </c>
      <c r="AR289" s="538" t="str">
        <f t="shared" si="46"/>
        <v>Quin 4depfetalWest Coast</v>
      </c>
      <c r="AS289" s="604">
        <v>2016</v>
      </c>
      <c r="AT289" s="604" t="s">
        <v>424</v>
      </c>
      <c r="AU289" s="604" t="s">
        <v>454</v>
      </c>
      <c r="AV289" s="604" t="s">
        <v>100</v>
      </c>
      <c r="AW289" s="604">
        <v>4</v>
      </c>
      <c r="AX289" s="604">
        <v>154</v>
      </c>
      <c r="AY289" s="606">
        <v>26</v>
      </c>
      <c r="AZ289" s="604" t="s">
        <v>420</v>
      </c>
      <c r="BB289" s="536" t="str">
        <f t="shared" si="47"/>
        <v>Quin 3depbirthsAuckland</v>
      </c>
      <c r="BC289" s="604">
        <v>2016</v>
      </c>
      <c r="BD289" s="604" t="s">
        <v>423</v>
      </c>
      <c r="BE289" s="604" t="s">
        <v>454</v>
      </c>
      <c r="BF289" s="604" t="s">
        <v>87</v>
      </c>
      <c r="BG289" s="604">
        <v>1256</v>
      </c>
      <c r="BH289" s="604" t="s">
        <v>445</v>
      </c>
      <c r="BY289" s="553" t="str">
        <f t="shared" si="48"/>
        <v>2012AsianethSIDS</v>
      </c>
      <c r="BZ289" s="604">
        <v>2012</v>
      </c>
      <c r="CA289" s="604" t="s">
        <v>355</v>
      </c>
      <c r="CB289" s="604" t="s">
        <v>449</v>
      </c>
      <c r="CC289" s="604">
        <v>0</v>
      </c>
      <c r="CD289" s="604" t="s">
        <v>32</v>
      </c>
      <c r="CF289" s="554" t="str">
        <f t="shared" si="49"/>
        <v>2016European or OtherCapital &amp; CoastdhbSUDI</v>
      </c>
      <c r="CG289" s="604">
        <v>2016</v>
      </c>
      <c r="CH289" s="604" t="s">
        <v>356</v>
      </c>
      <c r="CI289" s="604" t="s">
        <v>96</v>
      </c>
      <c r="CJ289" s="604" t="s">
        <v>448</v>
      </c>
      <c r="CK289" s="604">
        <v>0</v>
      </c>
      <c r="CL289" s="604" t="s">
        <v>33</v>
      </c>
    </row>
    <row r="290" spans="9:90">
      <c r="I290" s="578" t="str">
        <f t="shared" si="42"/>
        <v>2010ethMaoriFetal</v>
      </c>
      <c r="J290" s="604">
        <v>2010</v>
      </c>
      <c r="K290" s="604" t="s">
        <v>449</v>
      </c>
      <c r="L290" s="604" t="s">
        <v>129</v>
      </c>
      <c r="M290" s="604">
        <v>151</v>
      </c>
      <c r="N290" s="604">
        <v>19044</v>
      </c>
      <c r="O290" s="604">
        <v>7.9</v>
      </c>
      <c r="P290" s="604" t="s">
        <v>47</v>
      </c>
      <c r="Q290" s="499"/>
      <c r="R290" s="502" t="str">
        <f t="shared" si="43"/>
        <v>1996birthsdhbWairarapa</v>
      </c>
      <c r="S290" s="604">
        <v>1996</v>
      </c>
      <c r="T290" s="604" t="s">
        <v>445</v>
      </c>
      <c r="U290" s="604" t="s">
        <v>448</v>
      </c>
      <c r="V290" s="604" t="s">
        <v>98</v>
      </c>
      <c r="W290" s="604">
        <v>570</v>
      </c>
      <c r="Y290" s="535" t="str">
        <f t="shared" si="44"/>
        <v>2016depbwtQuin 22500-4499fetal</v>
      </c>
      <c r="Z290" s="604">
        <v>2016</v>
      </c>
      <c r="AA290" s="604" t="s">
        <v>454</v>
      </c>
      <c r="AB290" s="604" t="s">
        <v>447</v>
      </c>
      <c r="AC290" s="604" t="s">
        <v>422</v>
      </c>
      <c r="AD290" s="604" t="s">
        <v>431</v>
      </c>
      <c r="AE290" s="604">
        <v>15</v>
      </c>
      <c r="AF290" s="604">
        <v>9383</v>
      </c>
      <c r="AG290" s="604">
        <v>1.6</v>
      </c>
      <c r="AH290" s="604" t="s">
        <v>420</v>
      </c>
      <c r="AJ290" s="535" t="str">
        <f t="shared" si="45"/>
        <v>2016depbwtQuin 22500-4499</v>
      </c>
      <c r="AK290" s="604">
        <v>2016</v>
      </c>
      <c r="AL290" s="604" t="s">
        <v>454</v>
      </c>
      <c r="AM290" s="604" t="s">
        <v>447</v>
      </c>
      <c r="AN290" s="604" t="s">
        <v>422</v>
      </c>
      <c r="AO290" s="604" t="s">
        <v>431</v>
      </c>
      <c r="AP290" s="604">
        <v>9383</v>
      </c>
      <c r="AR290" s="538" t="str">
        <f t="shared" si="46"/>
        <v>Quin 1depfetalCanterbury</v>
      </c>
      <c r="AS290" s="604">
        <v>2016</v>
      </c>
      <c r="AT290" s="604" t="s">
        <v>421</v>
      </c>
      <c r="AU290" s="604" t="s">
        <v>454</v>
      </c>
      <c r="AV290" s="604" t="s">
        <v>101</v>
      </c>
      <c r="AW290" s="604">
        <v>10</v>
      </c>
      <c r="AX290" s="604">
        <v>1795</v>
      </c>
      <c r="AY290" s="606">
        <v>5.6</v>
      </c>
      <c r="AZ290" s="604" t="s">
        <v>420</v>
      </c>
      <c r="BB290" s="536" t="str">
        <f t="shared" si="47"/>
        <v>Quin 4depbirthsAuckland</v>
      </c>
      <c r="BC290" s="604">
        <v>2016</v>
      </c>
      <c r="BD290" s="604" t="s">
        <v>424</v>
      </c>
      <c r="BE290" s="604" t="s">
        <v>454</v>
      </c>
      <c r="BF290" s="604" t="s">
        <v>87</v>
      </c>
      <c r="BG290" s="604">
        <v>1001</v>
      </c>
      <c r="BH290" s="604" t="s">
        <v>445</v>
      </c>
      <c r="BY290" s="553" t="str">
        <f t="shared" si="48"/>
        <v>2012European or OtherethSIDS</v>
      </c>
      <c r="BZ290" s="604">
        <v>2012</v>
      </c>
      <c r="CA290" s="604" t="s">
        <v>356</v>
      </c>
      <c r="CB290" s="604" t="s">
        <v>449</v>
      </c>
      <c r="CC290" s="604">
        <v>11</v>
      </c>
      <c r="CD290" s="604" t="s">
        <v>32</v>
      </c>
      <c r="CF290" s="554" t="str">
        <f t="shared" si="49"/>
        <v>2016MaoriCapital &amp; CoastdhbSUDI</v>
      </c>
      <c r="CG290" s="604">
        <v>2016</v>
      </c>
      <c r="CH290" s="604" t="s">
        <v>129</v>
      </c>
      <c r="CI290" s="604" t="s">
        <v>96</v>
      </c>
      <c r="CJ290" s="604" t="s">
        <v>448</v>
      </c>
      <c r="CK290" s="604">
        <v>1</v>
      </c>
      <c r="CL290" s="604" t="s">
        <v>33</v>
      </c>
    </row>
    <row r="291" spans="9:90">
      <c r="I291" s="578" t="str">
        <f t="shared" si="42"/>
        <v>2010ethPacific peoplesFetal</v>
      </c>
      <c r="J291" s="604">
        <v>2010</v>
      </c>
      <c r="K291" s="604" t="s">
        <v>449</v>
      </c>
      <c r="L291" s="604" t="s">
        <v>320</v>
      </c>
      <c r="M291" s="604">
        <v>71</v>
      </c>
      <c r="N291" s="604">
        <v>7332</v>
      </c>
      <c r="O291" s="604">
        <v>9.6999999999999993</v>
      </c>
      <c r="P291" s="604" t="s">
        <v>47</v>
      </c>
      <c r="Q291" s="499"/>
      <c r="R291" s="502" t="str">
        <f t="shared" si="43"/>
        <v>1996birthsdhbNelson Marlborough</v>
      </c>
      <c r="S291" s="604">
        <v>1996</v>
      </c>
      <c r="T291" s="604" t="s">
        <v>445</v>
      </c>
      <c r="U291" s="604" t="s">
        <v>448</v>
      </c>
      <c r="V291" s="604" t="s">
        <v>99</v>
      </c>
      <c r="W291" s="604">
        <v>1476</v>
      </c>
      <c r="Y291" s="535" t="str">
        <f t="shared" si="44"/>
        <v>2016depbwtQuin 32500-4499fetal</v>
      </c>
      <c r="Z291" s="604">
        <v>2016</v>
      </c>
      <c r="AA291" s="604" t="s">
        <v>454</v>
      </c>
      <c r="AB291" s="604" t="s">
        <v>447</v>
      </c>
      <c r="AC291" s="604" t="s">
        <v>423</v>
      </c>
      <c r="AD291" s="604" t="s">
        <v>431</v>
      </c>
      <c r="AE291" s="604">
        <v>15</v>
      </c>
      <c r="AF291" s="604">
        <v>10056</v>
      </c>
      <c r="AG291" s="604">
        <v>1.5</v>
      </c>
      <c r="AH291" s="604" t="s">
        <v>420</v>
      </c>
      <c r="AJ291" s="535" t="str">
        <f t="shared" si="45"/>
        <v>2016depbwtQuin 32500-4499</v>
      </c>
      <c r="AK291" s="604">
        <v>2016</v>
      </c>
      <c r="AL291" s="604" t="s">
        <v>454</v>
      </c>
      <c r="AM291" s="604" t="s">
        <v>447</v>
      </c>
      <c r="AN291" s="604" t="s">
        <v>423</v>
      </c>
      <c r="AO291" s="604" t="s">
        <v>431</v>
      </c>
      <c r="AP291" s="604">
        <v>10056</v>
      </c>
      <c r="AR291" s="538" t="str">
        <f t="shared" si="46"/>
        <v>Quin 2depfetalCanterbury</v>
      </c>
      <c r="AS291" s="604">
        <v>2016</v>
      </c>
      <c r="AT291" s="604" t="s">
        <v>422</v>
      </c>
      <c r="AU291" s="604" t="s">
        <v>454</v>
      </c>
      <c r="AV291" s="604" t="s">
        <v>101</v>
      </c>
      <c r="AW291" s="604">
        <v>9</v>
      </c>
      <c r="AX291" s="604">
        <v>1551</v>
      </c>
      <c r="AY291" s="606">
        <v>5.8</v>
      </c>
      <c r="AZ291" s="604" t="s">
        <v>420</v>
      </c>
      <c r="BB291" s="536" t="str">
        <f t="shared" si="47"/>
        <v>Quin 5depbirthsAuckland</v>
      </c>
      <c r="BC291" s="604">
        <v>2016</v>
      </c>
      <c r="BD291" s="604" t="s">
        <v>425</v>
      </c>
      <c r="BE291" s="604" t="s">
        <v>454</v>
      </c>
      <c r="BF291" s="604" t="s">
        <v>87</v>
      </c>
      <c r="BG291" s="604">
        <v>1630</v>
      </c>
      <c r="BH291" s="604" t="s">
        <v>445</v>
      </c>
      <c r="BY291" s="553" t="str">
        <f t="shared" si="48"/>
        <v>2012MaoriethSIDS</v>
      </c>
      <c r="BZ291" s="604">
        <v>2012</v>
      </c>
      <c r="CA291" s="604" t="s">
        <v>129</v>
      </c>
      <c r="CB291" s="604" t="s">
        <v>449</v>
      </c>
      <c r="CC291" s="604">
        <v>6</v>
      </c>
      <c r="CD291" s="604" t="s">
        <v>32</v>
      </c>
      <c r="CF291" s="554" t="str">
        <f t="shared" si="49"/>
        <v>2016Pacific peoplesCapital &amp; CoastdhbSUDI</v>
      </c>
      <c r="CG291" s="604">
        <v>2016</v>
      </c>
      <c r="CH291" s="604" t="s">
        <v>320</v>
      </c>
      <c r="CI291" s="604" t="s">
        <v>96</v>
      </c>
      <c r="CJ291" s="604" t="s">
        <v>448</v>
      </c>
      <c r="CK291" s="604">
        <v>0</v>
      </c>
      <c r="CL291" s="604" t="s">
        <v>33</v>
      </c>
    </row>
    <row r="292" spans="9:90">
      <c r="I292" s="578" t="str">
        <f t="shared" si="42"/>
        <v>2010ethAsianFetal</v>
      </c>
      <c r="J292" s="604">
        <v>2010</v>
      </c>
      <c r="K292" s="604" t="s">
        <v>449</v>
      </c>
      <c r="L292" s="604" t="s">
        <v>355</v>
      </c>
      <c r="M292" s="604">
        <v>56</v>
      </c>
      <c r="N292" s="604">
        <v>7507</v>
      </c>
      <c r="O292" s="604">
        <v>7.5</v>
      </c>
      <c r="P292" s="604" t="s">
        <v>47</v>
      </c>
      <c r="Q292" s="499"/>
      <c r="R292" s="502" t="str">
        <f t="shared" si="43"/>
        <v>1996birthsdhbWest Coast</v>
      </c>
      <c r="S292" s="604">
        <v>1996</v>
      </c>
      <c r="T292" s="604" t="s">
        <v>445</v>
      </c>
      <c r="U292" s="604" t="s">
        <v>448</v>
      </c>
      <c r="V292" s="604" t="s">
        <v>100</v>
      </c>
      <c r="W292" s="604">
        <v>491</v>
      </c>
      <c r="Y292" s="535" t="str">
        <f t="shared" si="44"/>
        <v>2016depbwtQuin 42500-4499fetal</v>
      </c>
      <c r="Z292" s="604">
        <v>2016</v>
      </c>
      <c r="AA292" s="604" t="s">
        <v>454</v>
      </c>
      <c r="AB292" s="604" t="s">
        <v>447</v>
      </c>
      <c r="AC292" s="604" t="s">
        <v>424</v>
      </c>
      <c r="AD292" s="604" t="s">
        <v>431</v>
      </c>
      <c r="AE292" s="604">
        <v>16</v>
      </c>
      <c r="AF292" s="604">
        <v>12014</v>
      </c>
      <c r="AG292" s="604">
        <v>1.3</v>
      </c>
      <c r="AH292" s="604" t="s">
        <v>420</v>
      </c>
      <c r="AJ292" s="535" t="str">
        <f t="shared" si="45"/>
        <v>2016depbwtQuin 42500-4499</v>
      </c>
      <c r="AK292" s="604">
        <v>2016</v>
      </c>
      <c r="AL292" s="604" t="s">
        <v>454</v>
      </c>
      <c r="AM292" s="604" t="s">
        <v>447</v>
      </c>
      <c r="AN292" s="604" t="s">
        <v>424</v>
      </c>
      <c r="AO292" s="604" t="s">
        <v>431</v>
      </c>
      <c r="AP292" s="604">
        <v>12014</v>
      </c>
      <c r="AR292" s="538" t="str">
        <f t="shared" si="46"/>
        <v>Quin 3depfetalCanterbury</v>
      </c>
      <c r="AS292" s="604">
        <v>2016</v>
      </c>
      <c r="AT292" s="604" t="s">
        <v>423</v>
      </c>
      <c r="AU292" s="604" t="s">
        <v>454</v>
      </c>
      <c r="AV292" s="604" t="s">
        <v>101</v>
      </c>
      <c r="AW292" s="604">
        <v>8</v>
      </c>
      <c r="AX292" s="604">
        <v>961</v>
      </c>
      <c r="AY292" s="606">
        <v>8.3000000000000007</v>
      </c>
      <c r="AZ292" s="604" t="s">
        <v>420</v>
      </c>
      <c r="BB292" s="536" t="str">
        <f t="shared" si="47"/>
        <v>Quin 9depbirthsAuckland</v>
      </c>
      <c r="BC292" s="604">
        <v>2016</v>
      </c>
      <c r="BD292" s="604" t="s">
        <v>426</v>
      </c>
      <c r="BE292" s="604" t="s">
        <v>454</v>
      </c>
      <c r="BF292" s="604" t="s">
        <v>87</v>
      </c>
      <c r="BG292" s="604">
        <v>1</v>
      </c>
      <c r="BH292" s="604" t="s">
        <v>445</v>
      </c>
      <c r="BY292" s="553" t="str">
        <f t="shared" si="48"/>
        <v>2012Pacific peoplesethSIDS</v>
      </c>
      <c r="BZ292" s="604">
        <v>2012</v>
      </c>
      <c r="CA292" s="604" t="s">
        <v>320</v>
      </c>
      <c r="CB292" s="604" t="s">
        <v>449</v>
      </c>
      <c r="CC292" s="604">
        <v>1</v>
      </c>
      <c r="CD292" s="604" t="s">
        <v>32</v>
      </c>
      <c r="CF292" s="554" t="str">
        <f t="shared" si="49"/>
        <v>2016AsianHutt ValleydhbSUDI</v>
      </c>
      <c r="CG292" s="604">
        <v>2016</v>
      </c>
      <c r="CH292" s="604" t="s">
        <v>355</v>
      </c>
      <c r="CI292" s="604" t="s">
        <v>97</v>
      </c>
      <c r="CJ292" s="604" t="s">
        <v>448</v>
      </c>
      <c r="CK292" s="604">
        <v>0</v>
      </c>
      <c r="CL292" s="604" t="s">
        <v>33</v>
      </c>
    </row>
    <row r="293" spans="9:90">
      <c r="I293" s="578" t="str">
        <f t="shared" si="42"/>
        <v>2010ethEuropean or OtherFetal</v>
      </c>
      <c r="J293" s="604">
        <v>2010</v>
      </c>
      <c r="K293" s="604" t="s">
        <v>449</v>
      </c>
      <c r="L293" s="604" t="s">
        <v>356</v>
      </c>
      <c r="M293" s="604">
        <v>191</v>
      </c>
      <c r="N293" s="604">
        <v>31285</v>
      </c>
      <c r="O293" s="604">
        <v>6.1</v>
      </c>
      <c r="P293" s="604" t="s">
        <v>47</v>
      </c>
      <c r="Q293" s="499"/>
      <c r="R293" s="502" t="str">
        <f t="shared" si="43"/>
        <v>1996birthsdhbCanterbury</v>
      </c>
      <c r="S293" s="604">
        <v>1996</v>
      </c>
      <c r="T293" s="604" t="s">
        <v>445</v>
      </c>
      <c r="U293" s="604" t="s">
        <v>448</v>
      </c>
      <c r="V293" s="604" t="s">
        <v>101</v>
      </c>
      <c r="W293" s="604">
        <v>5538</v>
      </c>
      <c r="Y293" s="535" t="str">
        <f t="shared" si="44"/>
        <v>2016depbwtQuin 52500-4499fetal</v>
      </c>
      <c r="Z293" s="604">
        <v>2016</v>
      </c>
      <c r="AA293" s="604" t="s">
        <v>454</v>
      </c>
      <c r="AB293" s="604" t="s">
        <v>447</v>
      </c>
      <c r="AC293" s="604" t="s">
        <v>425</v>
      </c>
      <c r="AD293" s="604" t="s">
        <v>431</v>
      </c>
      <c r="AE293" s="604">
        <v>21</v>
      </c>
      <c r="AF293" s="604">
        <v>15318</v>
      </c>
      <c r="AG293" s="604">
        <v>1.4</v>
      </c>
      <c r="AH293" s="604" t="s">
        <v>420</v>
      </c>
      <c r="AJ293" s="535" t="str">
        <f t="shared" si="45"/>
        <v>2016depbwtQuin 52500-4499</v>
      </c>
      <c r="AK293" s="604">
        <v>2016</v>
      </c>
      <c r="AL293" s="604" t="s">
        <v>454</v>
      </c>
      <c r="AM293" s="604" t="s">
        <v>447</v>
      </c>
      <c r="AN293" s="604" t="s">
        <v>425</v>
      </c>
      <c r="AO293" s="604" t="s">
        <v>431</v>
      </c>
      <c r="AP293" s="604">
        <v>15318</v>
      </c>
      <c r="AR293" s="538" t="str">
        <f t="shared" si="46"/>
        <v>Quin 4depfetalCanterbury</v>
      </c>
      <c r="AS293" s="604">
        <v>2016</v>
      </c>
      <c r="AT293" s="604" t="s">
        <v>424</v>
      </c>
      <c r="AU293" s="604" t="s">
        <v>454</v>
      </c>
      <c r="AV293" s="604" t="s">
        <v>101</v>
      </c>
      <c r="AW293" s="604">
        <v>12</v>
      </c>
      <c r="AX293" s="604">
        <v>1635</v>
      </c>
      <c r="AY293" s="606">
        <v>7.3</v>
      </c>
      <c r="AZ293" s="604" t="s">
        <v>420</v>
      </c>
      <c r="BB293" s="536" t="str">
        <f t="shared" si="47"/>
        <v>Quin 1depbirthsCounties Manukau</v>
      </c>
      <c r="BC293" s="604">
        <v>2016</v>
      </c>
      <c r="BD293" s="604" t="s">
        <v>421</v>
      </c>
      <c r="BE293" s="604" t="s">
        <v>454</v>
      </c>
      <c r="BF293" s="604" t="s">
        <v>88</v>
      </c>
      <c r="BG293" s="604">
        <v>756</v>
      </c>
      <c r="BH293" s="604" t="s">
        <v>445</v>
      </c>
      <c r="BY293" s="553" t="str">
        <f t="shared" si="48"/>
        <v>2013AsianethSIDS</v>
      </c>
      <c r="BZ293" s="604">
        <v>2013</v>
      </c>
      <c r="CA293" s="604" t="s">
        <v>355</v>
      </c>
      <c r="CB293" s="604" t="s">
        <v>449</v>
      </c>
      <c r="CC293" s="604">
        <v>0</v>
      </c>
      <c r="CD293" s="604" t="s">
        <v>32</v>
      </c>
      <c r="CF293" s="554" t="str">
        <f t="shared" si="49"/>
        <v>2016European or OtherHutt ValleydhbSUDI</v>
      </c>
      <c r="CG293" s="604">
        <v>2016</v>
      </c>
      <c r="CH293" s="604" t="s">
        <v>356</v>
      </c>
      <c r="CI293" s="604" t="s">
        <v>97</v>
      </c>
      <c r="CJ293" s="604" t="s">
        <v>448</v>
      </c>
      <c r="CK293" s="604">
        <v>0</v>
      </c>
      <c r="CL293" s="604" t="s">
        <v>33</v>
      </c>
    </row>
    <row r="294" spans="9:90">
      <c r="I294" s="578" t="str">
        <f t="shared" si="42"/>
        <v>2011ethMaoriFetal</v>
      </c>
      <c r="J294" s="604">
        <v>2011</v>
      </c>
      <c r="K294" s="604" t="s">
        <v>449</v>
      </c>
      <c r="L294" s="604" t="s">
        <v>129</v>
      </c>
      <c r="M294" s="604">
        <v>133</v>
      </c>
      <c r="N294" s="604">
        <v>18167</v>
      </c>
      <c r="O294" s="604">
        <v>7.3</v>
      </c>
      <c r="P294" s="604" t="s">
        <v>47</v>
      </c>
      <c r="Q294" s="499"/>
      <c r="R294" s="502" t="str">
        <f t="shared" si="43"/>
        <v>1996birthsdhbSouth Canterbury</v>
      </c>
      <c r="S294" s="604">
        <v>1996</v>
      </c>
      <c r="T294" s="604" t="s">
        <v>445</v>
      </c>
      <c r="U294" s="604" t="s">
        <v>448</v>
      </c>
      <c r="V294" s="604" t="s">
        <v>102</v>
      </c>
      <c r="W294" s="604">
        <v>698</v>
      </c>
      <c r="Y294" s="535" t="str">
        <f t="shared" si="44"/>
        <v>2016depbwtQuin 92500-4499fetal</v>
      </c>
      <c r="Z294" s="604">
        <v>2016</v>
      </c>
      <c r="AA294" s="604" t="s">
        <v>454</v>
      </c>
      <c r="AB294" s="604" t="s">
        <v>447</v>
      </c>
      <c r="AC294" s="604" t="s">
        <v>426</v>
      </c>
      <c r="AD294" s="604" t="s">
        <v>431</v>
      </c>
      <c r="AE294" s="604">
        <v>4</v>
      </c>
      <c r="AF294" s="604">
        <v>123</v>
      </c>
      <c r="AG294" s="604" t="s">
        <v>119</v>
      </c>
      <c r="AH294" s="604" t="s">
        <v>420</v>
      </c>
      <c r="AJ294" s="535" t="str">
        <f t="shared" si="45"/>
        <v>2016depbwtQuin 92500-4499</v>
      </c>
      <c r="AK294" s="604">
        <v>2016</v>
      </c>
      <c r="AL294" s="604" t="s">
        <v>454</v>
      </c>
      <c r="AM294" s="604" t="s">
        <v>447</v>
      </c>
      <c r="AN294" s="604" t="s">
        <v>426</v>
      </c>
      <c r="AO294" s="604" t="s">
        <v>431</v>
      </c>
      <c r="AP294" s="604">
        <v>123</v>
      </c>
      <c r="AR294" s="538" t="str">
        <f t="shared" si="46"/>
        <v>Quin 5depfetalCanterbury</v>
      </c>
      <c r="AS294" s="604">
        <v>2016</v>
      </c>
      <c r="AT294" s="604" t="s">
        <v>425</v>
      </c>
      <c r="AU294" s="604" t="s">
        <v>454</v>
      </c>
      <c r="AV294" s="604" t="s">
        <v>101</v>
      </c>
      <c r="AW294" s="604">
        <v>1</v>
      </c>
      <c r="AX294" s="604">
        <v>497</v>
      </c>
      <c r="AY294" s="606">
        <v>2</v>
      </c>
      <c r="AZ294" s="604" t="s">
        <v>420</v>
      </c>
      <c r="BB294" s="536" t="str">
        <f t="shared" si="47"/>
        <v>Quin 2depbirthsCounties Manukau</v>
      </c>
      <c r="BC294" s="604">
        <v>2016</v>
      </c>
      <c r="BD294" s="604" t="s">
        <v>422</v>
      </c>
      <c r="BE294" s="604" t="s">
        <v>454</v>
      </c>
      <c r="BF294" s="604" t="s">
        <v>88</v>
      </c>
      <c r="BG294" s="604">
        <v>1165</v>
      </c>
      <c r="BH294" s="604" t="s">
        <v>445</v>
      </c>
      <c r="BY294" s="553" t="str">
        <f t="shared" si="48"/>
        <v>2013European or OtherethSIDS</v>
      </c>
      <c r="BZ294" s="604">
        <v>2013</v>
      </c>
      <c r="CA294" s="604" t="s">
        <v>356</v>
      </c>
      <c r="CB294" s="604" t="s">
        <v>449</v>
      </c>
      <c r="CC294" s="604">
        <v>8</v>
      </c>
      <c r="CD294" s="604" t="s">
        <v>32</v>
      </c>
      <c r="CF294" s="554" t="str">
        <f t="shared" si="49"/>
        <v>2016MaoriHutt ValleydhbSUDI</v>
      </c>
      <c r="CG294" s="604">
        <v>2016</v>
      </c>
      <c r="CH294" s="604" t="s">
        <v>129</v>
      </c>
      <c r="CI294" s="604" t="s">
        <v>97</v>
      </c>
      <c r="CJ294" s="604" t="s">
        <v>448</v>
      </c>
      <c r="CK294" s="604">
        <v>1</v>
      </c>
      <c r="CL294" s="604" t="s">
        <v>33</v>
      </c>
    </row>
    <row r="295" spans="9:90">
      <c r="I295" s="578" t="str">
        <f t="shared" si="42"/>
        <v>2011ethPacific peoplesFetal</v>
      </c>
      <c r="J295" s="604">
        <v>2011</v>
      </c>
      <c r="K295" s="604" t="s">
        <v>449</v>
      </c>
      <c r="L295" s="604" t="s">
        <v>320</v>
      </c>
      <c r="M295" s="604">
        <v>51</v>
      </c>
      <c r="N295" s="604">
        <v>7192</v>
      </c>
      <c r="O295" s="604">
        <v>7.1</v>
      </c>
      <c r="P295" s="604" t="s">
        <v>47</v>
      </c>
      <c r="Q295" s="499"/>
      <c r="R295" s="502" t="str">
        <f t="shared" si="43"/>
        <v>1996birthsdhbSouthern</v>
      </c>
      <c r="S295" s="604">
        <v>1996</v>
      </c>
      <c r="T295" s="604" t="s">
        <v>445</v>
      </c>
      <c r="U295" s="604" t="s">
        <v>448</v>
      </c>
      <c r="V295" s="604" t="s">
        <v>103</v>
      </c>
      <c r="W295" s="604">
        <v>3717</v>
      </c>
      <c r="Y295" s="535" t="str">
        <f t="shared" si="44"/>
        <v>2016depbwtQuin 14500+fetal</v>
      </c>
      <c r="Z295" s="604">
        <v>2016</v>
      </c>
      <c r="AA295" s="604" t="s">
        <v>454</v>
      </c>
      <c r="AB295" s="604" t="s">
        <v>447</v>
      </c>
      <c r="AC295" s="604" t="s">
        <v>421</v>
      </c>
      <c r="AD295" s="604" t="s">
        <v>432</v>
      </c>
      <c r="AE295" s="604">
        <v>0</v>
      </c>
      <c r="AF295" s="604">
        <v>197</v>
      </c>
      <c r="AG295" s="604">
        <v>0</v>
      </c>
      <c r="AH295" s="604" t="s">
        <v>420</v>
      </c>
      <c r="AJ295" s="535" t="str">
        <f t="shared" si="45"/>
        <v>2016depbwtQuin 14500+</v>
      </c>
      <c r="AK295" s="604">
        <v>2016</v>
      </c>
      <c r="AL295" s="604" t="s">
        <v>454</v>
      </c>
      <c r="AM295" s="604" t="s">
        <v>447</v>
      </c>
      <c r="AN295" s="604" t="s">
        <v>421</v>
      </c>
      <c r="AO295" s="604" t="s">
        <v>432</v>
      </c>
      <c r="AP295" s="604">
        <v>197</v>
      </c>
      <c r="AR295" s="538" t="str">
        <f t="shared" si="46"/>
        <v>Quin 9depfetalCanterbury</v>
      </c>
      <c r="AS295" s="604">
        <v>2016</v>
      </c>
      <c r="AT295" s="604" t="s">
        <v>426</v>
      </c>
      <c r="AU295" s="604" t="s">
        <v>454</v>
      </c>
      <c r="AV295" s="604" t="s">
        <v>101</v>
      </c>
      <c r="AW295" s="604">
        <v>4</v>
      </c>
      <c r="AX295" s="604">
        <v>4</v>
      </c>
      <c r="AY295" s="606" t="s">
        <v>119</v>
      </c>
      <c r="AZ295" s="604" t="s">
        <v>420</v>
      </c>
      <c r="BB295" s="536" t="str">
        <f t="shared" si="47"/>
        <v>Quin 3depbirthsCounties Manukau</v>
      </c>
      <c r="BC295" s="604">
        <v>2016</v>
      </c>
      <c r="BD295" s="604" t="s">
        <v>423</v>
      </c>
      <c r="BE295" s="604" t="s">
        <v>454</v>
      </c>
      <c r="BF295" s="604" t="s">
        <v>88</v>
      </c>
      <c r="BG295" s="604">
        <v>792</v>
      </c>
      <c r="BH295" s="604" t="s">
        <v>445</v>
      </c>
      <c r="BY295" s="553" t="str">
        <f t="shared" si="48"/>
        <v>2013MaoriethSIDS</v>
      </c>
      <c r="BZ295" s="604">
        <v>2013</v>
      </c>
      <c r="CA295" s="604" t="s">
        <v>129</v>
      </c>
      <c r="CB295" s="604" t="s">
        <v>449</v>
      </c>
      <c r="CC295" s="604">
        <v>11</v>
      </c>
      <c r="CD295" s="604" t="s">
        <v>32</v>
      </c>
      <c r="CF295" s="554" t="str">
        <f t="shared" si="49"/>
        <v>2016Pacific peoplesHutt ValleydhbSUDI</v>
      </c>
      <c r="CG295" s="604">
        <v>2016</v>
      </c>
      <c r="CH295" s="604" t="s">
        <v>320</v>
      </c>
      <c r="CI295" s="604" t="s">
        <v>97</v>
      </c>
      <c r="CJ295" s="604" t="s">
        <v>448</v>
      </c>
      <c r="CK295" s="604">
        <v>0</v>
      </c>
      <c r="CL295" s="604" t="s">
        <v>33</v>
      </c>
    </row>
    <row r="296" spans="9:90">
      <c r="I296" s="578" t="str">
        <f t="shared" si="42"/>
        <v>2011ethAsianFetal</v>
      </c>
      <c r="J296" s="604">
        <v>2011</v>
      </c>
      <c r="K296" s="604" t="s">
        <v>449</v>
      </c>
      <c r="L296" s="604" t="s">
        <v>355</v>
      </c>
      <c r="M296" s="604">
        <v>61</v>
      </c>
      <c r="N296" s="604">
        <v>7578</v>
      </c>
      <c r="O296" s="604">
        <v>8</v>
      </c>
      <c r="P296" s="604" t="s">
        <v>47</v>
      </c>
      <c r="Q296" s="499"/>
      <c r="R296" s="502" t="str">
        <f t="shared" si="43"/>
        <v>1996birthsdhbUnknown</v>
      </c>
      <c r="S296" s="604">
        <v>1996</v>
      </c>
      <c r="T296" s="604" t="s">
        <v>445</v>
      </c>
      <c r="U296" s="604" t="s">
        <v>448</v>
      </c>
      <c r="V296" s="604" t="s">
        <v>63</v>
      </c>
      <c r="W296" s="604">
        <v>158</v>
      </c>
      <c r="Y296" s="535" t="str">
        <f t="shared" si="44"/>
        <v>2016depbwtQuin 24500+fetal</v>
      </c>
      <c r="Z296" s="604">
        <v>2016</v>
      </c>
      <c r="AA296" s="604" t="s">
        <v>454</v>
      </c>
      <c r="AB296" s="604" t="s">
        <v>447</v>
      </c>
      <c r="AC296" s="604" t="s">
        <v>422</v>
      </c>
      <c r="AD296" s="604" t="s">
        <v>432</v>
      </c>
      <c r="AE296" s="604">
        <v>0</v>
      </c>
      <c r="AF296" s="604">
        <v>221</v>
      </c>
      <c r="AG296" s="604">
        <v>0</v>
      </c>
      <c r="AH296" s="604" t="s">
        <v>420</v>
      </c>
      <c r="AJ296" s="535" t="str">
        <f t="shared" si="45"/>
        <v>2016depbwtQuin 24500+</v>
      </c>
      <c r="AK296" s="604">
        <v>2016</v>
      </c>
      <c r="AL296" s="604" t="s">
        <v>454</v>
      </c>
      <c r="AM296" s="604" t="s">
        <v>447</v>
      </c>
      <c r="AN296" s="604" t="s">
        <v>422</v>
      </c>
      <c r="AO296" s="604" t="s">
        <v>432</v>
      </c>
      <c r="AP296" s="604">
        <v>221</v>
      </c>
      <c r="AR296" s="538" t="str">
        <f t="shared" si="46"/>
        <v>Quin 1depfetalSouth Canterbury</v>
      </c>
      <c r="AS296" s="604">
        <v>2016</v>
      </c>
      <c r="AT296" s="604" t="s">
        <v>421</v>
      </c>
      <c r="AU296" s="604" t="s">
        <v>454</v>
      </c>
      <c r="AV296" s="604" t="s">
        <v>102</v>
      </c>
      <c r="AW296" s="604">
        <v>1</v>
      </c>
      <c r="AX296" s="604">
        <v>99</v>
      </c>
      <c r="AY296" s="606">
        <v>10.1</v>
      </c>
      <c r="AZ296" s="604" t="s">
        <v>420</v>
      </c>
      <c r="BB296" s="536" t="str">
        <f t="shared" si="47"/>
        <v>Quin 4depbirthsCounties Manukau</v>
      </c>
      <c r="BC296" s="604">
        <v>2016</v>
      </c>
      <c r="BD296" s="604" t="s">
        <v>424</v>
      </c>
      <c r="BE296" s="604" t="s">
        <v>454</v>
      </c>
      <c r="BF296" s="604" t="s">
        <v>88</v>
      </c>
      <c r="BG296" s="604">
        <v>1046</v>
      </c>
      <c r="BH296" s="604" t="s">
        <v>445</v>
      </c>
      <c r="BY296" s="553" t="str">
        <f t="shared" si="48"/>
        <v>2013Pacific peoplesethSIDS</v>
      </c>
      <c r="BZ296" s="604">
        <v>2013</v>
      </c>
      <c r="CA296" s="604" t="s">
        <v>320</v>
      </c>
      <c r="CB296" s="604" t="s">
        <v>449</v>
      </c>
      <c r="CC296" s="604">
        <v>2</v>
      </c>
      <c r="CD296" s="604" t="s">
        <v>32</v>
      </c>
      <c r="CF296" s="554" t="str">
        <f t="shared" si="49"/>
        <v>2016European or OtherWairarapadhbSUDI</v>
      </c>
      <c r="CG296" s="604">
        <v>2016</v>
      </c>
      <c r="CH296" s="604" t="s">
        <v>356</v>
      </c>
      <c r="CI296" s="604" t="s">
        <v>98</v>
      </c>
      <c r="CJ296" s="604" t="s">
        <v>448</v>
      </c>
      <c r="CK296" s="604">
        <v>0</v>
      </c>
      <c r="CL296" s="604" t="s">
        <v>33</v>
      </c>
    </row>
    <row r="297" spans="9:90">
      <c r="I297" s="578" t="str">
        <f t="shared" si="42"/>
        <v>2011ethEuropean or OtherFetal</v>
      </c>
      <c r="J297" s="604">
        <v>2011</v>
      </c>
      <c r="K297" s="604" t="s">
        <v>449</v>
      </c>
      <c r="L297" s="604" t="s">
        <v>356</v>
      </c>
      <c r="M297" s="604">
        <v>206</v>
      </c>
      <c r="N297" s="604">
        <v>29688</v>
      </c>
      <c r="O297" s="604">
        <v>6.9</v>
      </c>
      <c r="P297" s="604" t="s">
        <v>47</v>
      </c>
      <c r="Q297" s="499"/>
      <c r="R297" s="502" t="str">
        <f t="shared" si="43"/>
        <v>1997birthsdhbNorthland</v>
      </c>
      <c r="S297" s="604">
        <v>1997</v>
      </c>
      <c r="T297" s="604" t="s">
        <v>445</v>
      </c>
      <c r="U297" s="604" t="s">
        <v>448</v>
      </c>
      <c r="V297" s="604" t="s">
        <v>85</v>
      </c>
      <c r="W297" s="604">
        <v>2213</v>
      </c>
      <c r="Y297" s="535" t="str">
        <f t="shared" si="44"/>
        <v>2016depbwtQuin 34500+fetal</v>
      </c>
      <c r="Z297" s="604">
        <v>2016</v>
      </c>
      <c r="AA297" s="604" t="s">
        <v>454</v>
      </c>
      <c r="AB297" s="604" t="s">
        <v>447</v>
      </c>
      <c r="AC297" s="604" t="s">
        <v>423</v>
      </c>
      <c r="AD297" s="604" t="s">
        <v>432</v>
      </c>
      <c r="AE297" s="604">
        <v>0</v>
      </c>
      <c r="AF297" s="604">
        <v>254</v>
      </c>
      <c r="AG297" s="604">
        <v>0</v>
      </c>
      <c r="AH297" s="604" t="s">
        <v>420</v>
      </c>
      <c r="AJ297" s="535" t="str">
        <f t="shared" si="45"/>
        <v>2016depbwtQuin 34500+</v>
      </c>
      <c r="AK297" s="604">
        <v>2016</v>
      </c>
      <c r="AL297" s="604" t="s">
        <v>454</v>
      </c>
      <c r="AM297" s="604" t="s">
        <v>447</v>
      </c>
      <c r="AN297" s="604" t="s">
        <v>423</v>
      </c>
      <c r="AO297" s="604" t="s">
        <v>432</v>
      </c>
      <c r="AP297" s="604">
        <v>254</v>
      </c>
      <c r="AR297" s="538" t="str">
        <f t="shared" si="46"/>
        <v>Quin 3depfetalSouth Canterbury</v>
      </c>
      <c r="AS297" s="604">
        <v>2016</v>
      </c>
      <c r="AT297" s="604" t="s">
        <v>423</v>
      </c>
      <c r="AU297" s="604" t="s">
        <v>454</v>
      </c>
      <c r="AV297" s="604" t="s">
        <v>102</v>
      </c>
      <c r="AW297" s="604">
        <v>1</v>
      </c>
      <c r="AX297" s="604">
        <v>177</v>
      </c>
      <c r="AY297" s="606">
        <v>5.6</v>
      </c>
      <c r="AZ297" s="604" t="s">
        <v>420</v>
      </c>
      <c r="BB297" s="536" t="str">
        <f t="shared" si="47"/>
        <v>Quin 5depbirthsCounties Manukau</v>
      </c>
      <c r="BC297" s="604">
        <v>2016</v>
      </c>
      <c r="BD297" s="604" t="s">
        <v>425</v>
      </c>
      <c r="BE297" s="604" t="s">
        <v>454</v>
      </c>
      <c r="BF297" s="604" t="s">
        <v>88</v>
      </c>
      <c r="BG297" s="604">
        <v>4616</v>
      </c>
      <c r="BH297" s="604" t="s">
        <v>445</v>
      </c>
      <c r="BY297" s="553" t="str">
        <f t="shared" si="48"/>
        <v>2014AsianethSIDS</v>
      </c>
      <c r="BZ297" s="604">
        <v>2014</v>
      </c>
      <c r="CA297" s="604" t="s">
        <v>355</v>
      </c>
      <c r="CB297" s="604" t="s">
        <v>449</v>
      </c>
      <c r="CC297" s="604">
        <v>2</v>
      </c>
      <c r="CD297" s="604" t="s">
        <v>32</v>
      </c>
      <c r="CF297" s="554" t="str">
        <f t="shared" si="49"/>
        <v>2016MaoriWairarapadhbSUDI</v>
      </c>
      <c r="CG297" s="604">
        <v>2016</v>
      </c>
      <c r="CH297" s="604" t="s">
        <v>129</v>
      </c>
      <c r="CI297" s="604" t="s">
        <v>98</v>
      </c>
      <c r="CJ297" s="604" t="s">
        <v>448</v>
      </c>
      <c r="CK297" s="604">
        <v>0</v>
      </c>
      <c r="CL297" s="604" t="s">
        <v>33</v>
      </c>
    </row>
    <row r="298" spans="9:90">
      <c r="I298" s="578" t="str">
        <f t="shared" si="42"/>
        <v>2012ethMaoriFetal</v>
      </c>
      <c r="J298" s="604">
        <v>2012</v>
      </c>
      <c r="K298" s="604" t="s">
        <v>449</v>
      </c>
      <c r="L298" s="604" t="s">
        <v>129</v>
      </c>
      <c r="M298" s="604">
        <v>127</v>
      </c>
      <c r="N298" s="604">
        <v>18075</v>
      </c>
      <c r="O298" s="604">
        <v>7</v>
      </c>
      <c r="P298" s="604" t="s">
        <v>47</v>
      </c>
      <c r="Q298" s="499"/>
      <c r="R298" s="502" t="str">
        <f t="shared" si="43"/>
        <v>1997birthsdhbWaitemata</v>
      </c>
      <c r="S298" s="604">
        <v>1997</v>
      </c>
      <c r="T298" s="604" t="s">
        <v>445</v>
      </c>
      <c r="U298" s="604" t="s">
        <v>448</v>
      </c>
      <c r="V298" s="604" t="s">
        <v>86</v>
      </c>
      <c r="W298" s="604">
        <v>6361</v>
      </c>
      <c r="Y298" s="535" t="str">
        <f t="shared" si="44"/>
        <v>2016depbwtQuin 44500+fetal</v>
      </c>
      <c r="Z298" s="604">
        <v>2016</v>
      </c>
      <c r="AA298" s="604" t="s">
        <v>454</v>
      </c>
      <c r="AB298" s="604" t="s">
        <v>447</v>
      </c>
      <c r="AC298" s="604" t="s">
        <v>424</v>
      </c>
      <c r="AD298" s="604" t="s">
        <v>432</v>
      </c>
      <c r="AE298" s="604">
        <v>0</v>
      </c>
      <c r="AF298" s="604">
        <v>295</v>
      </c>
      <c r="AG298" s="604">
        <v>0</v>
      </c>
      <c r="AH298" s="604" t="s">
        <v>420</v>
      </c>
      <c r="AJ298" s="535" t="str">
        <f t="shared" si="45"/>
        <v>2016depbwtQuin 44500+</v>
      </c>
      <c r="AK298" s="604">
        <v>2016</v>
      </c>
      <c r="AL298" s="604" t="s">
        <v>454</v>
      </c>
      <c r="AM298" s="604" t="s">
        <v>447</v>
      </c>
      <c r="AN298" s="604" t="s">
        <v>424</v>
      </c>
      <c r="AO298" s="604" t="s">
        <v>432</v>
      </c>
      <c r="AP298" s="604">
        <v>295</v>
      </c>
      <c r="AR298" s="538" t="str">
        <f t="shared" si="46"/>
        <v>Quin 4depfetalSouth Canterbury</v>
      </c>
      <c r="AS298" s="604">
        <v>2016</v>
      </c>
      <c r="AT298" s="604" t="s">
        <v>424</v>
      </c>
      <c r="AU298" s="604" t="s">
        <v>454</v>
      </c>
      <c r="AV298" s="604" t="s">
        <v>102</v>
      </c>
      <c r="AW298" s="604">
        <v>1</v>
      </c>
      <c r="AX298" s="604">
        <v>162</v>
      </c>
      <c r="AY298" s="606">
        <v>6.2</v>
      </c>
      <c r="AZ298" s="604" t="s">
        <v>420</v>
      </c>
      <c r="BB298" s="536" t="str">
        <f t="shared" si="47"/>
        <v>Quin 1depbirthsWaikato</v>
      </c>
      <c r="BC298" s="604">
        <v>2016</v>
      </c>
      <c r="BD298" s="604" t="s">
        <v>421</v>
      </c>
      <c r="BE298" s="604" t="s">
        <v>454</v>
      </c>
      <c r="BF298" s="604" t="s">
        <v>89</v>
      </c>
      <c r="BG298" s="604">
        <v>596</v>
      </c>
      <c r="BH298" s="604" t="s">
        <v>445</v>
      </c>
      <c r="BY298" s="553" t="str">
        <f t="shared" si="48"/>
        <v>2014European or OtherethSIDS</v>
      </c>
      <c r="BZ298" s="604">
        <v>2014</v>
      </c>
      <c r="CA298" s="604" t="s">
        <v>356</v>
      </c>
      <c r="CB298" s="604" t="s">
        <v>449</v>
      </c>
      <c r="CC298" s="604">
        <v>4</v>
      </c>
      <c r="CD298" s="604" t="s">
        <v>32</v>
      </c>
      <c r="CF298" s="554" t="str">
        <f t="shared" si="49"/>
        <v>2016European or OtherNelson MarlboroughdhbSUDI</v>
      </c>
      <c r="CG298" s="604">
        <v>2016</v>
      </c>
      <c r="CH298" s="604" t="s">
        <v>356</v>
      </c>
      <c r="CI298" s="604" t="s">
        <v>99</v>
      </c>
      <c r="CJ298" s="604" t="s">
        <v>448</v>
      </c>
      <c r="CK298" s="604">
        <v>0</v>
      </c>
      <c r="CL298" s="604" t="s">
        <v>33</v>
      </c>
    </row>
    <row r="299" spans="9:90">
      <c r="I299" s="578" t="str">
        <f t="shared" si="42"/>
        <v>2012ethPacific peoplesFetal</v>
      </c>
      <c r="J299" s="604">
        <v>2012</v>
      </c>
      <c r="K299" s="604" t="s">
        <v>449</v>
      </c>
      <c r="L299" s="604" t="s">
        <v>320</v>
      </c>
      <c r="M299" s="604">
        <v>50</v>
      </c>
      <c r="N299" s="604">
        <v>7005</v>
      </c>
      <c r="O299" s="604">
        <v>7.1</v>
      </c>
      <c r="P299" s="604" t="s">
        <v>47</v>
      </c>
      <c r="Q299" s="499"/>
      <c r="R299" s="502" t="str">
        <f t="shared" si="43"/>
        <v>1997birthsdhbAuckland</v>
      </c>
      <c r="S299" s="604">
        <v>1997</v>
      </c>
      <c r="T299" s="604" t="s">
        <v>445</v>
      </c>
      <c r="U299" s="604" t="s">
        <v>448</v>
      </c>
      <c r="V299" s="604" t="s">
        <v>87</v>
      </c>
      <c r="W299" s="604">
        <v>5926</v>
      </c>
      <c r="Y299" s="535" t="str">
        <f t="shared" si="44"/>
        <v>2016depbwtQuin 54500+fetal</v>
      </c>
      <c r="Z299" s="604">
        <v>2016</v>
      </c>
      <c r="AA299" s="604" t="s">
        <v>454</v>
      </c>
      <c r="AB299" s="604" t="s">
        <v>447</v>
      </c>
      <c r="AC299" s="604" t="s">
        <v>425</v>
      </c>
      <c r="AD299" s="604" t="s">
        <v>432</v>
      </c>
      <c r="AE299" s="604">
        <v>4</v>
      </c>
      <c r="AF299" s="604">
        <v>454</v>
      </c>
      <c r="AG299" s="604">
        <v>8.6999999999999993</v>
      </c>
      <c r="AH299" s="604" t="s">
        <v>420</v>
      </c>
      <c r="AJ299" s="535" t="str">
        <f t="shared" si="45"/>
        <v>2016depbwtQuin 54500+</v>
      </c>
      <c r="AK299" s="604">
        <v>2016</v>
      </c>
      <c r="AL299" s="604" t="s">
        <v>454</v>
      </c>
      <c r="AM299" s="604" t="s">
        <v>447</v>
      </c>
      <c r="AN299" s="604" t="s">
        <v>425</v>
      </c>
      <c r="AO299" s="604" t="s">
        <v>432</v>
      </c>
      <c r="AP299" s="604">
        <v>454</v>
      </c>
      <c r="AR299" s="538" t="str">
        <f t="shared" si="46"/>
        <v>Quin 1depfetalSouthern</v>
      </c>
      <c r="AS299" s="604">
        <v>2016</v>
      </c>
      <c r="AT299" s="604" t="s">
        <v>421</v>
      </c>
      <c r="AU299" s="604" t="s">
        <v>454</v>
      </c>
      <c r="AV299" s="604" t="s">
        <v>103</v>
      </c>
      <c r="AW299" s="604">
        <v>8</v>
      </c>
      <c r="AX299" s="604">
        <v>941</v>
      </c>
      <c r="AY299" s="606">
        <v>8.5</v>
      </c>
      <c r="AZ299" s="604" t="s">
        <v>420</v>
      </c>
      <c r="BB299" s="536" t="str">
        <f t="shared" si="47"/>
        <v>Quin 2depbirthsWaikato</v>
      </c>
      <c r="BC299" s="604">
        <v>2016</v>
      </c>
      <c r="BD299" s="604" t="s">
        <v>422</v>
      </c>
      <c r="BE299" s="604" t="s">
        <v>454</v>
      </c>
      <c r="BF299" s="604" t="s">
        <v>89</v>
      </c>
      <c r="BG299" s="604">
        <v>448</v>
      </c>
      <c r="BH299" s="604" t="s">
        <v>445</v>
      </c>
      <c r="BY299" s="553" t="str">
        <f t="shared" si="48"/>
        <v>2014MaoriethSIDS</v>
      </c>
      <c r="BZ299" s="604">
        <v>2014</v>
      </c>
      <c r="CA299" s="604" t="s">
        <v>129</v>
      </c>
      <c r="CB299" s="604" t="s">
        <v>449</v>
      </c>
      <c r="CC299" s="604">
        <v>7</v>
      </c>
      <c r="CD299" s="604" t="s">
        <v>32</v>
      </c>
      <c r="CF299" s="554" t="str">
        <f t="shared" si="49"/>
        <v>2016Pacific peoplesNelson MarlboroughdhbSUDI</v>
      </c>
      <c r="CG299" s="604">
        <v>2016</v>
      </c>
      <c r="CH299" s="604" t="s">
        <v>320</v>
      </c>
      <c r="CI299" s="604" t="s">
        <v>99</v>
      </c>
      <c r="CJ299" s="604" t="s">
        <v>448</v>
      </c>
      <c r="CK299" s="604">
        <v>0</v>
      </c>
      <c r="CL299" s="604" t="s">
        <v>33</v>
      </c>
    </row>
    <row r="300" spans="9:90">
      <c r="I300" s="578" t="str">
        <f t="shared" si="42"/>
        <v>2012ethAsianFetal</v>
      </c>
      <c r="J300" s="604">
        <v>2012</v>
      </c>
      <c r="K300" s="604" t="s">
        <v>449</v>
      </c>
      <c r="L300" s="604" t="s">
        <v>355</v>
      </c>
      <c r="M300" s="604">
        <v>76</v>
      </c>
      <c r="N300" s="604">
        <v>8689</v>
      </c>
      <c r="O300" s="604">
        <v>8.6999999999999993</v>
      </c>
      <c r="P300" s="604" t="s">
        <v>47</v>
      </c>
      <c r="Q300" s="499"/>
      <c r="R300" s="502" t="str">
        <f t="shared" si="43"/>
        <v>1997birthsdhbCounties Manukau</v>
      </c>
      <c r="S300" s="604">
        <v>1997</v>
      </c>
      <c r="T300" s="604" t="s">
        <v>445</v>
      </c>
      <c r="U300" s="604" t="s">
        <v>448</v>
      </c>
      <c r="V300" s="604" t="s">
        <v>88</v>
      </c>
      <c r="W300" s="604">
        <v>6976</v>
      </c>
      <c r="Y300" s="535" t="str">
        <f t="shared" si="44"/>
        <v>2016depbwtQuin 94500+fetal</v>
      </c>
      <c r="Z300" s="604">
        <v>2016</v>
      </c>
      <c r="AA300" s="604" t="s">
        <v>454</v>
      </c>
      <c r="AB300" s="604" t="s">
        <v>447</v>
      </c>
      <c r="AC300" s="604" t="s">
        <v>426</v>
      </c>
      <c r="AD300" s="604" t="s">
        <v>432</v>
      </c>
      <c r="AE300" s="604">
        <v>0</v>
      </c>
      <c r="AF300" s="604">
        <v>2</v>
      </c>
      <c r="AG300" s="604" t="s">
        <v>119</v>
      </c>
      <c r="AH300" s="604" t="s">
        <v>420</v>
      </c>
      <c r="AJ300" s="535" t="str">
        <f t="shared" si="45"/>
        <v>2016depbwtQuin 94500+</v>
      </c>
      <c r="AK300" s="604">
        <v>2016</v>
      </c>
      <c r="AL300" s="604" t="s">
        <v>454</v>
      </c>
      <c r="AM300" s="604" t="s">
        <v>447</v>
      </c>
      <c r="AN300" s="604" t="s">
        <v>426</v>
      </c>
      <c r="AO300" s="604" t="s">
        <v>432</v>
      </c>
      <c r="AP300" s="604">
        <v>2</v>
      </c>
      <c r="AR300" s="538" t="str">
        <f t="shared" si="46"/>
        <v>Quin 2depfetalSouthern</v>
      </c>
      <c r="AS300" s="604">
        <v>2016</v>
      </c>
      <c r="AT300" s="604" t="s">
        <v>422</v>
      </c>
      <c r="AU300" s="604" t="s">
        <v>454</v>
      </c>
      <c r="AV300" s="604" t="s">
        <v>103</v>
      </c>
      <c r="AW300" s="604">
        <v>5</v>
      </c>
      <c r="AX300" s="604">
        <v>739</v>
      </c>
      <c r="AY300" s="606">
        <v>6.8</v>
      </c>
      <c r="AZ300" s="604" t="s">
        <v>420</v>
      </c>
      <c r="BB300" s="536" t="str">
        <f t="shared" si="47"/>
        <v>Quin 3depbirthsWaikato</v>
      </c>
      <c r="BC300" s="604">
        <v>2016</v>
      </c>
      <c r="BD300" s="604" t="s">
        <v>423</v>
      </c>
      <c r="BE300" s="604" t="s">
        <v>454</v>
      </c>
      <c r="BF300" s="604" t="s">
        <v>89</v>
      </c>
      <c r="BG300" s="604">
        <v>1204</v>
      </c>
      <c r="BH300" s="604" t="s">
        <v>445</v>
      </c>
      <c r="BY300" s="553" t="str">
        <f t="shared" si="48"/>
        <v>2014Pacific peoplesethSIDS</v>
      </c>
      <c r="BZ300" s="604">
        <v>2014</v>
      </c>
      <c r="CA300" s="604" t="s">
        <v>320</v>
      </c>
      <c r="CB300" s="604" t="s">
        <v>449</v>
      </c>
      <c r="CC300" s="604">
        <v>1</v>
      </c>
      <c r="CD300" s="604" t="s">
        <v>32</v>
      </c>
      <c r="CF300" s="554" t="str">
        <f t="shared" si="49"/>
        <v>2016European or OtherWest CoastdhbSUDI</v>
      </c>
      <c r="CG300" s="604">
        <v>2016</v>
      </c>
      <c r="CH300" s="604" t="s">
        <v>356</v>
      </c>
      <c r="CI300" s="604" t="s">
        <v>100</v>
      </c>
      <c r="CJ300" s="604" t="s">
        <v>448</v>
      </c>
      <c r="CK300" s="604">
        <v>0</v>
      </c>
      <c r="CL300" s="604" t="s">
        <v>33</v>
      </c>
    </row>
    <row r="301" spans="9:90">
      <c r="I301" s="578" t="str">
        <f t="shared" si="42"/>
        <v>2012ethEuropean or OtherFetal</v>
      </c>
      <c r="J301" s="604">
        <v>2012</v>
      </c>
      <c r="K301" s="604" t="s">
        <v>449</v>
      </c>
      <c r="L301" s="604" t="s">
        <v>356</v>
      </c>
      <c r="M301" s="604">
        <v>195</v>
      </c>
      <c r="N301" s="604">
        <v>28714</v>
      </c>
      <c r="O301" s="604">
        <v>6.8</v>
      </c>
      <c r="P301" s="604" t="s">
        <v>47</v>
      </c>
      <c r="Q301" s="499"/>
      <c r="R301" s="502" t="str">
        <f t="shared" si="43"/>
        <v>1997birthsdhbWaikato</v>
      </c>
      <c r="S301" s="604">
        <v>1997</v>
      </c>
      <c r="T301" s="604" t="s">
        <v>445</v>
      </c>
      <c r="U301" s="604" t="s">
        <v>448</v>
      </c>
      <c r="V301" s="604" t="s">
        <v>89</v>
      </c>
      <c r="W301" s="604">
        <v>5239</v>
      </c>
      <c r="Y301" s="535" t="str">
        <f t="shared" si="44"/>
        <v>2016depbwtQuin 1Unknownfetal</v>
      </c>
      <c r="Z301" s="604">
        <v>2016</v>
      </c>
      <c r="AA301" s="604" t="s">
        <v>454</v>
      </c>
      <c r="AB301" s="604" t="s">
        <v>447</v>
      </c>
      <c r="AC301" s="604" t="s">
        <v>421</v>
      </c>
      <c r="AD301" s="604" t="s">
        <v>63</v>
      </c>
      <c r="AE301" s="604">
        <v>2</v>
      </c>
      <c r="AF301" s="604">
        <v>5</v>
      </c>
      <c r="AG301" s="604" t="s">
        <v>119</v>
      </c>
      <c r="AH301" s="604" t="s">
        <v>420</v>
      </c>
      <c r="AJ301" s="535" t="str">
        <f t="shared" si="45"/>
        <v>2016depbwtQuin 1Unknown</v>
      </c>
      <c r="AK301" s="604">
        <v>2016</v>
      </c>
      <c r="AL301" s="604" t="s">
        <v>454</v>
      </c>
      <c r="AM301" s="604" t="s">
        <v>447</v>
      </c>
      <c r="AN301" s="604" t="s">
        <v>421</v>
      </c>
      <c r="AO301" s="604" t="s">
        <v>63</v>
      </c>
      <c r="AP301" s="604">
        <v>5</v>
      </c>
      <c r="AR301" s="538" t="str">
        <f t="shared" si="46"/>
        <v>Quin 3depfetalSouthern</v>
      </c>
      <c r="AS301" s="604">
        <v>2016</v>
      </c>
      <c r="AT301" s="604" t="s">
        <v>423</v>
      </c>
      <c r="AU301" s="604" t="s">
        <v>454</v>
      </c>
      <c r="AV301" s="604" t="s">
        <v>103</v>
      </c>
      <c r="AW301" s="604">
        <v>8</v>
      </c>
      <c r="AX301" s="604">
        <v>773</v>
      </c>
      <c r="AY301" s="606">
        <v>10.3</v>
      </c>
      <c r="AZ301" s="604" t="s">
        <v>420</v>
      </c>
      <c r="BB301" s="536" t="str">
        <f t="shared" si="47"/>
        <v>Quin 4depbirthsWaikato</v>
      </c>
      <c r="BC301" s="604">
        <v>2016</v>
      </c>
      <c r="BD301" s="604" t="s">
        <v>424</v>
      </c>
      <c r="BE301" s="604" t="s">
        <v>454</v>
      </c>
      <c r="BF301" s="604" t="s">
        <v>89</v>
      </c>
      <c r="BG301" s="604">
        <v>1503</v>
      </c>
      <c r="BH301" s="604" t="s">
        <v>445</v>
      </c>
      <c r="BY301" s="553" t="str">
        <f t="shared" si="48"/>
        <v>2015AsianethSIDS</v>
      </c>
      <c r="BZ301" s="604">
        <v>2015</v>
      </c>
      <c r="CA301" s="604" t="s">
        <v>355</v>
      </c>
      <c r="CB301" s="604" t="s">
        <v>449</v>
      </c>
      <c r="CC301" s="604">
        <v>1</v>
      </c>
      <c r="CD301" s="604" t="s">
        <v>32</v>
      </c>
      <c r="CF301" s="554" t="str">
        <f t="shared" si="49"/>
        <v>2016MaoriWest CoastdhbSUDI</v>
      </c>
      <c r="CG301" s="604">
        <v>2016</v>
      </c>
      <c r="CH301" s="604" t="s">
        <v>129</v>
      </c>
      <c r="CI301" s="604" t="s">
        <v>100</v>
      </c>
      <c r="CJ301" s="604" t="s">
        <v>448</v>
      </c>
      <c r="CK301" s="604">
        <v>0</v>
      </c>
      <c r="CL301" s="604" t="s">
        <v>33</v>
      </c>
    </row>
    <row r="302" spans="9:90">
      <c r="I302" s="578" t="str">
        <f t="shared" si="42"/>
        <v>2013ethMaoriFetal</v>
      </c>
      <c r="J302" s="604">
        <v>2013</v>
      </c>
      <c r="K302" s="604" t="s">
        <v>449</v>
      </c>
      <c r="L302" s="604" t="s">
        <v>129</v>
      </c>
      <c r="M302" s="604">
        <v>117</v>
      </c>
      <c r="N302" s="604">
        <v>17266</v>
      </c>
      <c r="O302" s="604">
        <v>6.8</v>
      </c>
      <c r="P302" s="604" t="s">
        <v>47</v>
      </c>
      <c r="Q302" s="499"/>
      <c r="R302" s="502" t="str">
        <f t="shared" si="43"/>
        <v>1997birthsdhbLakes</v>
      </c>
      <c r="S302" s="604">
        <v>1997</v>
      </c>
      <c r="T302" s="604" t="s">
        <v>445</v>
      </c>
      <c r="U302" s="604" t="s">
        <v>448</v>
      </c>
      <c r="V302" s="604" t="s">
        <v>90</v>
      </c>
      <c r="W302" s="604">
        <v>1878</v>
      </c>
      <c r="Y302" s="535" t="str">
        <f t="shared" si="44"/>
        <v>2016depbwtQuin 2Unknownfetal</v>
      </c>
      <c r="Z302" s="604">
        <v>2016</v>
      </c>
      <c r="AA302" s="604" t="s">
        <v>454</v>
      </c>
      <c r="AB302" s="604" t="s">
        <v>447</v>
      </c>
      <c r="AC302" s="604" t="s">
        <v>422</v>
      </c>
      <c r="AD302" s="604" t="s">
        <v>63</v>
      </c>
      <c r="AE302" s="604">
        <v>2</v>
      </c>
      <c r="AF302" s="604">
        <v>7</v>
      </c>
      <c r="AG302" s="604" t="s">
        <v>119</v>
      </c>
      <c r="AH302" s="604" t="s">
        <v>420</v>
      </c>
      <c r="AJ302" s="535" t="str">
        <f t="shared" si="45"/>
        <v>2016depbwtQuin 2Unknown</v>
      </c>
      <c r="AK302" s="604">
        <v>2016</v>
      </c>
      <c r="AL302" s="604" t="s">
        <v>454</v>
      </c>
      <c r="AM302" s="604" t="s">
        <v>447</v>
      </c>
      <c r="AN302" s="604" t="s">
        <v>422</v>
      </c>
      <c r="AO302" s="604" t="s">
        <v>63</v>
      </c>
      <c r="AP302" s="604">
        <v>7</v>
      </c>
      <c r="AR302" s="538" t="str">
        <f t="shared" si="46"/>
        <v>Quin 4depfetalSouthern</v>
      </c>
      <c r="AS302" s="604">
        <v>2016</v>
      </c>
      <c r="AT302" s="604" t="s">
        <v>424</v>
      </c>
      <c r="AU302" s="604" t="s">
        <v>454</v>
      </c>
      <c r="AV302" s="604" t="s">
        <v>103</v>
      </c>
      <c r="AW302" s="604">
        <v>2</v>
      </c>
      <c r="AX302" s="604">
        <v>618</v>
      </c>
      <c r="AY302" s="606">
        <v>3.2</v>
      </c>
      <c r="AZ302" s="604" t="s">
        <v>420</v>
      </c>
      <c r="BB302" s="536" t="str">
        <f t="shared" si="47"/>
        <v>Quin 5depbirthsWaikato</v>
      </c>
      <c r="BC302" s="604">
        <v>2016</v>
      </c>
      <c r="BD302" s="604" t="s">
        <v>425</v>
      </c>
      <c r="BE302" s="604" t="s">
        <v>454</v>
      </c>
      <c r="BF302" s="604" t="s">
        <v>89</v>
      </c>
      <c r="BG302" s="604">
        <v>1756</v>
      </c>
      <c r="BH302" s="604" t="s">
        <v>445</v>
      </c>
      <c r="BY302" s="553" t="str">
        <f t="shared" si="48"/>
        <v>2015European or OtherethSIDS</v>
      </c>
      <c r="BZ302" s="604">
        <v>2015</v>
      </c>
      <c r="CA302" s="604" t="s">
        <v>356</v>
      </c>
      <c r="CB302" s="604" t="s">
        <v>449</v>
      </c>
      <c r="CC302" s="604">
        <v>4</v>
      </c>
      <c r="CD302" s="604" t="s">
        <v>32</v>
      </c>
      <c r="CF302" s="554" t="str">
        <f t="shared" si="49"/>
        <v>2016AsianCanterburydhbSUDI</v>
      </c>
      <c r="CG302" s="604">
        <v>2016</v>
      </c>
      <c r="CH302" s="604" t="s">
        <v>355</v>
      </c>
      <c r="CI302" s="604" t="s">
        <v>101</v>
      </c>
      <c r="CJ302" s="604" t="s">
        <v>448</v>
      </c>
      <c r="CK302" s="604">
        <v>0</v>
      </c>
      <c r="CL302" s="604" t="s">
        <v>33</v>
      </c>
    </row>
    <row r="303" spans="9:90">
      <c r="I303" s="578" t="str">
        <f t="shared" si="42"/>
        <v>2013ethPacific peoplesFetal</v>
      </c>
      <c r="J303" s="604">
        <v>2013</v>
      </c>
      <c r="K303" s="604" t="s">
        <v>449</v>
      </c>
      <c r="L303" s="604" t="s">
        <v>320</v>
      </c>
      <c r="M303" s="604">
        <v>49</v>
      </c>
      <c r="N303" s="604">
        <v>6487</v>
      </c>
      <c r="O303" s="604">
        <v>7.6</v>
      </c>
      <c r="P303" s="604" t="s">
        <v>47</v>
      </c>
      <c r="Q303" s="499"/>
      <c r="R303" s="502" t="str">
        <f t="shared" si="43"/>
        <v>1997birthsdhbBay of Plenty</v>
      </c>
      <c r="S303" s="604">
        <v>1997</v>
      </c>
      <c r="T303" s="604" t="s">
        <v>445</v>
      </c>
      <c r="U303" s="604" t="s">
        <v>448</v>
      </c>
      <c r="V303" s="604" t="s">
        <v>91</v>
      </c>
      <c r="W303" s="604">
        <v>2746</v>
      </c>
      <c r="Y303" s="535" t="str">
        <f t="shared" si="44"/>
        <v>2016depbwtQuin 3Unknownfetal</v>
      </c>
      <c r="Z303" s="604">
        <v>2016</v>
      </c>
      <c r="AA303" s="604" t="s">
        <v>454</v>
      </c>
      <c r="AB303" s="604" t="s">
        <v>447</v>
      </c>
      <c r="AC303" s="604" t="s">
        <v>423</v>
      </c>
      <c r="AD303" s="604" t="s">
        <v>63</v>
      </c>
      <c r="AE303" s="604">
        <v>4</v>
      </c>
      <c r="AF303" s="604">
        <v>9</v>
      </c>
      <c r="AG303" s="604" t="s">
        <v>119</v>
      </c>
      <c r="AH303" s="604" t="s">
        <v>420</v>
      </c>
      <c r="AJ303" s="535" t="str">
        <f t="shared" si="45"/>
        <v>2016depbwtQuin 3Unknown</v>
      </c>
      <c r="AK303" s="604">
        <v>2016</v>
      </c>
      <c r="AL303" s="604" t="s">
        <v>454</v>
      </c>
      <c r="AM303" s="604" t="s">
        <v>447</v>
      </c>
      <c r="AN303" s="604" t="s">
        <v>423</v>
      </c>
      <c r="AO303" s="604" t="s">
        <v>63</v>
      </c>
      <c r="AP303" s="604">
        <v>9</v>
      </c>
      <c r="AR303" s="538" t="str">
        <f t="shared" si="46"/>
        <v>Quin 5depfetalSouthern</v>
      </c>
      <c r="AS303" s="604">
        <v>2016</v>
      </c>
      <c r="AT303" s="604" t="s">
        <v>425</v>
      </c>
      <c r="AU303" s="604" t="s">
        <v>454</v>
      </c>
      <c r="AV303" s="604" t="s">
        <v>103</v>
      </c>
      <c r="AW303" s="604">
        <v>4</v>
      </c>
      <c r="AX303" s="604">
        <v>370</v>
      </c>
      <c r="AY303" s="606">
        <v>10.8</v>
      </c>
      <c r="AZ303" s="604" t="s">
        <v>420</v>
      </c>
      <c r="BB303" s="536" t="str">
        <f t="shared" si="47"/>
        <v>Quin 1depbirthsLakes</v>
      </c>
      <c r="BC303" s="604">
        <v>2016</v>
      </c>
      <c r="BD303" s="604" t="s">
        <v>421</v>
      </c>
      <c r="BE303" s="604" t="s">
        <v>454</v>
      </c>
      <c r="BF303" s="604" t="s">
        <v>90</v>
      </c>
      <c r="BG303" s="604">
        <v>55</v>
      </c>
      <c r="BH303" s="604" t="s">
        <v>445</v>
      </c>
      <c r="BY303" s="553" t="str">
        <f t="shared" si="48"/>
        <v>2015MaoriethSIDS</v>
      </c>
      <c r="BZ303" s="604">
        <v>2015</v>
      </c>
      <c r="CA303" s="604" t="s">
        <v>129</v>
      </c>
      <c r="CB303" s="604" t="s">
        <v>449</v>
      </c>
      <c r="CC303" s="604">
        <v>15</v>
      </c>
      <c r="CD303" s="604" t="s">
        <v>32</v>
      </c>
      <c r="CF303" s="554" t="str">
        <f t="shared" si="49"/>
        <v>2016European or OtherCanterburydhbSUDI</v>
      </c>
      <c r="CG303" s="604">
        <v>2016</v>
      </c>
      <c r="CH303" s="604" t="s">
        <v>356</v>
      </c>
      <c r="CI303" s="604" t="s">
        <v>101</v>
      </c>
      <c r="CJ303" s="604" t="s">
        <v>448</v>
      </c>
      <c r="CK303" s="604">
        <v>1</v>
      </c>
      <c r="CL303" s="604" t="s">
        <v>33</v>
      </c>
    </row>
    <row r="304" spans="9:90">
      <c r="I304" s="578" t="str">
        <f t="shared" si="42"/>
        <v>2013ethAsianFetal</v>
      </c>
      <c r="J304" s="604">
        <v>2013</v>
      </c>
      <c r="K304" s="604" t="s">
        <v>449</v>
      </c>
      <c r="L304" s="604" t="s">
        <v>355</v>
      </c>
      <c r="M304" s="604">
        <v>61</v>
      </c>
      <c r="N304" s="604">
        <v>8768</v>
      </c>
      <c r="O304" s="604">
        <v>7</v>
      </c>
      <c r="P304" s="604" t="s">
        <v>47</v>
      </c>
      <c r="Q304" s="499"/>
      <c r="R304" s="502" t="str">
        <f t="shared" si="43"/>
        <v>1997birthsdhbTairawhiti</v>
      </c>
      <c r="S304" s="604">
        <v>1997</v>
      </c>
      <c r="T304" s="604" t="s">
        <v>445</v>
      </c>
      <c r="U304" s="604" t="s">
        <v>448</v>
      </c>
      <c r="V304" s="604" t="s">
        <v>433</v>
      </c>
      <c r="W304" s="604">
        <v>836</v>
      </c>
      <c r="Y304" s="535" t="str">
        <f t="shared" si="44"/>
        <v>2016depbwtQuin 4Unknownfetal</v>
      </c>
      <c r="Z304" s="604">
        <v>2016</v>
      </c>
      <c r="AA304" s="604" t="s">
        <v>454</v>
      </c>
      <c r="AB304" s="604" t="s">
        <v>447</v>
      </c>
      <c r="AC304" s="604" t="s">
        <v>424</v>
      </c>
      <c r="AD304" s="604" t="s">
        <v>63</v>
      </c>
      <c r="AE304" s="604">
        <v>4</v>
      </c>
      <c r="AF304" s="604">
        <v>6</v>
      </c>
      <c r="AG304" s="604" t="s">
        <v>119</v>
      </c>
      <c r="AH304" s="604" t="s">
        <v>420</v>
      </c>
      <c r="AJ304" s="535" t="str">
        <f t="shared" si="45"/>
        <v>2016depbwtQuin 4Unknown</v>
      </c>
      <c r="AK304" s="604">
        <v>2016</v>
      </c>
      <c r="AL304" s="604" t="s">
        <v>454</v>
      </c>
      <c r="AM304" s="604" t="s">
        <v>447</v>
      </c>
      <c r="AN304" s="604" t="s">
        <v>424</v>
      </c>
      <c r="AO304" s="604" t="s">
        <v>63</v>
      </c>
      <c r="AP304" s="604">
        <v>6</v>
      </c>
      <c r="AR304" s="538" t="str">
        <f t="shared" si="46"/>
        <v>Quin 9depfetalSouthern</v>
      </c>
      <c r="AS304" s="604">
        <v>2016</v>
      </c>
      <c r="AT304" s="604" t="s">
        <v>426</v>
      </c>
      <c r="AU304" s="604" t="s">
        <v>454</v>
      </c>
      <c r="AV304" s="604" t="s">
        <v>103</v>
      </c>
      <c r="AW304" s="604">
        <v>1</v>
      </c>
      <c r="AX304" s="604">
        <v>1</v>
      </c>
      <c r="AY304" s="606" t="s">
        <v>119</v>
      </c>
      <c r="AZ304" s="604" t="s">
        <v>420</v>
      </c>
      <c r="BB304" s="536" t="str">
        <f t="shared" si="47"/>
        <v>Quin 2depbirthsLakes</v>
      </c>
      <c r="BC304" s="604">
        <v>2016</v>
      </c>
      <c r="BD304" s="604" t="s">
        <v>422</v>
      </c>
      <c r="BE304" s="604" t="s">
        <v>454</v>
      </c>
      <c r="BF304" s="604" t="s">
        <v>90</v>
      </c>
      <c r="BG304" s="604">
        <v>205</v>
      </c>
      <c r="BH304" s="604" t="s">
        <v>445</v>
      </c>
      <c r="BY304" s="553" t="str">
        <f t="shared" si="48"/>
        <v>2015Pacific peoplesethSIDS</v>
      </c>
      <c r="BZ304" s="604">
        <v>2015</v>
      </c>
      <c r="CA304" s="604" t="s">
        <v>320</v>
      </c>
      <c r="CB304" s="604" t="s">
        <v>449</v>
      </c>
      <c r="CC304" s="604">
        <v>5</v>
      </c>
      <c r="CD304" s="604" t="s">
        <v>32</v>
      </c>
      <c r="CF304" s="554" t="str">
        <f t="shared" si="49"/>
        <v>2016MaoriCanterburydhbSUDI</v>
      </c>
      <c r="CG304" s="604">
        <v>2016</v>
      </c>
      <c r="CH304" s="604" t="s">
        <v>129</v>
      </c>
      <c r="CI304" s="604" t="s">
        <v>101</v>
      </c>
      <c r="CJ304" s="604" t="s">
        <v>448</v>
      </c>
      <c r="CK304" s="604">
        <v>1</v>
      </c>
      <c r="CL304" s="604" t="s">
        <v>33</v>
      </c>
    </row>
    <row r="305" spans="9:90">
      <c r="I305" s="578" t="str">
        <f t="shared" si="42"/>
        <v>2013ethEuropean or OtherFetal</v>
      </c>
      <c r="J305" s="604">
        <v>2013</v>
      </c>
      <c r="K305" s="604" t="s">
        <v>449</v>
      </c>
      <c r="L305" s="604" t="s">
        <v>356</v>
      </c>
      <c r="M305" s="604">
        <v>166</v>
      </c>
      <c r="N305" s="604">
        <v>27573</v>
      </c>
      <c r="O305" s="604">
        <v>6</v>
      </c>
      <c r="P305" s="604" t="s">
        <v>47</v>
      </c>
      <c r="Q305" s="499"/>
      <c r="R305" s="502" t="str">
        <f t="shared" si="43"/>
        <v>1997birthsdhbHawke's Bay</v>
      </c>
      <c r="S305" s="604">
        <v>1997</v>
      </c>
      <c r="T305" s="604" t="s">
        <v>445</v>
      </c>
      <c r="U305" s="604" t="s">
        <v>448</v>
      </c>
      <c r="V305" s="604" t="s">
        <v>92</v>
      </c>
      <c r="W305" s="604">
        <v>2303</v>
      </c>
      <c r="Y305" s="535" t="str">
        <f t="shared" si="44"/>
        <v>2016depbwtQuin 5Unknownfetal</v>
      </c>
      <c r="Z305" s="604">
        <v>2016</v>
      </c>
      <c r="AA305" s="604" t="s">
        <v>454</v>
      </c>
      <c r="AB305" s="604" t="s">
        <v>447</v>
      </c>
      <c r="AC305" s="604" t="s">
        <v>425</v>
      </c>
      <c r="AD305" s="604" t="s">
        <v>63</v>
      </c>
      <c r="AE305" s="604">
        <v>6</v>
      </c>
      <c r="AF305" s="604">
        <v>7</v>
      </c>
      <c r="AG305" s="604" t="s">
        <v>119</v>
      </c>
      <c r="AH305" s="604" t="s">
        <v>420</v>
      </c>
      <c r="AJ305" s="535" t="str">
        <f t="shared" si="45"/>
        <v>2016depbwtQuin 5Unknown</v>
      </c>
      <c r="AK305" s="604">
        <v>2016</v>
      </c>
      <c r="AL305" s="604" t="s">
        <v>454</v>
      </c>
      <c r="AM305" s="604" t="s">
        <v>447</v>
      </c>
      <c r="AN305" s="604" t="s">
        <v>425</v>
      </c>
      <c r="AO305" s="604" t="s">
        <v>63</v>
      </c>
      <c r="AP305" s="604">
        <v>7</v>
      </c>
      <c r="AR305" s="538" t="str">
        <f t="shared" si="46"/>
        <v>Quin 9depfetalUnknown</v>
      </c>
      <c r="AS305" s="604">
        <v>2016</v>
      </c>
      <c r="AT305" s="604" t="s">
        <v>426</v>
      </c>
      <c r="AU305" s="604" t="s">
        <v>454</v>
      </c>
      <c r="AV305" s="604" t="s">
        <v>63</v>
      </c>
      <c r="AW305" s="604">
        <v>2</v>
      </c>
      <c r="AX305" s="604">
        <v>132</v>
      </c>
      <c r="AY305" s="606" t="s">
        <v>119</v>
      </c>
      <c r="AZ305" s="604" t="s">
        <v>420</v>
      </c>
      <c r="BB305" s="536" t="str">
        <f t="shared" si="47"/>
        <v>Quin 3depbirthsLakes</v>
      </c>
      <c r="BC305" s="604">
        <v>2016</v>
      </c>
      <c r="BD305" s="604" t="s">
        <v>423</v>
      </c>
      <c r="BE305" s="604" t="s">
        <v>454</v>
      </c>
      <c r="BF305" s="604" t="s">
        <v>90</v>
      </c>
      <c r="BG305" s="604">
        <v>197</v>
      </c>
      <c r="BH305" s="604" t="s">
        <v>445</v>
      </c>
      <c r="BY305" s="553" t="str">
        <f t="shared" si="48"/>
        <v>2016AsianethSIDS</v>
      </c>
      <c r="BZ305" s="604">
        <v>2016</v>
      </c>
      <c r="CA305" s="604" t="s">
        <v>355</v>
      </c>
      <c r="CB305" s="604" t="s">
        <v>449</v>
      </c>
      <c r="CC305" s="604">
        <v>1</v>
      </c>
      <c r="CD305" s="604" t="s">
        <v>32</v>
      </c>
      <c r="CF305" s="554" t="str">
        <f t="shared" si="49"/>
        <v>2016Pacific peoplesCanterburydhbSUDI</v>
      </c>
      <c r="CG305" s="604">
        <v>2016</v>
      </c>
      <c r="CH305" s="604" t="s">
        <v>320</v>
      </c>
      <c r="CI305" s="604" t="s">
        <v>101</v>
      </c>
      <c r="CJ305" s="604" t="s">
        <v>448</v>
      </c>
      <c r="CK305" s="604">
        <v>0</v>
      </c>
      <c r="CL305" s="604" t="s">
        <v>33</v>
      </c>
    </row>
    <row r="306" spans="9:90">
      <c r="I306" s="578" t="str">
        <f t="shared" si="42"/>
        <v>2014ethMaoriFetal</v>
      </c>
      <c r="J306" s="604">
        <v>2014</v>
      </c>
      <c r="K306" s="604" t="s">
        <v>449</v>
      </c>
      <c r="L306" s="604" t="s">
        <v>129</v>
      </c>
      <c r="M306" s="604">
        <v>124</v>
      </c>
      <c r="N306" s="604">
        <v>16603</v>
      </c>
      <c r="O306" s="604">
        <v>7.5</v>
      </c>
      <c r="P306" s="604" t="s">
        <v>47</v>
      </c>
      <c r="Q306" s="499"/>
      <c r="R306" s="502" t="str">
        <f t="shared" si="43"/>
        <v>1997birthsdhbTaranaki</v>
      </c>
      <c r="S306" s="604">
        <v>1997</v>
      </c>
      <c r="T306" s="604" t="s">
        <v>445</v>
      </c>
      <c r="U306" s="604" t="s">
        <v>448</v>
      </c>
      <c r="V306" s="604" t="s">
        <v>93</v>
      </c>
      <c r="W306" s="604">
        <v>1504</v>
      </c>
      <c r="Y306" s="535" t="str">
        <f t="shared" si="44"/>
        <v>2016depbwtQuin 9Unknownfetal</v>
      </c>
      <c r="Z306" s="604">
        <v>2016</v>
      </c>
      <c r="AA306" s="604" t="s">
        <v>454</v>
      </c>
      <c r="AB306" s="604" t="s">
        <v>447</v>
      </c>
      <c r="AC306" s="604" t="s">
        <v>426</v>
      </c>
      <c r="AD306" s="604" t="s">
        <v>63</v>
      </c>
      <c r="AE306" s="604">
        <v>0</v>
      </c>
      <c r="AF306" s="604">
        <v>1</v>
      </c>
      <c r="AG306" s="604" t="s">
        <v>119</v>
      </c>
      <c r="AH306" s="604" t="s">
        <v>420</v>
      </c>
      <c r="AJ306" s="535" t="str">
        <f t="shared" si="45"/>
        <v>2016depbwtQuin 9Unknown</v>
      </c>
      <c r="AK306" s="604">
        <v>2016</v>
      </c>
      <c r="AL306" s="604" t="s">
        <v>454</v>
      </c>
      <c r="AM306" s="604" t="s">
        <v>447</v>
      </c>
      <c r="AN306" s="604" t="s">
        <v>426</v>
      </c>
      <c r="AO306" s="604" t="s">
        <v>63</v>
      </c>
      <c r="AP306" s="604">
        <v>1</v>
      </c>
      <c r="AR306" s="538" t="str">
        <f t="shared" si="46"/>
        <v>&lt;28gestfetalNorthland</v>
      </c>
      <c r="AS306" s="604">
        <v>2016</v>
      </c>
      <c r="AT306" s="604" t="s">
        <v>375</v>
      </c>
      <c r="AU306" s="604" t="s">
        <v>450</v>
      </c>
      <c r="AV306" s="604" t="s">
        <v>85</v>
      </c>
      <c r="AW306" s="604">
        <v>13</v>
      </c>
      <c r="AX306" s="604">
        <v>25</v>
      </c>
      <c r="AY306" s="606">
        <v>520</v>
      </c>
      <c r="AZ306" s="604" t="s">
        <v>420</v>
      </c>
      <c r="BB306" s="536" t="str">
        <f t="shared" si="47"/>
        <v>Quin 4depbirthsLakes</v>
      </c>
      <c r="BC306" s="604">
        <v>2016</v>
      </c>
      <c r="BD306" s="604" t="s">
        <v>424</v>
      </c>
      <c r="BE306" s="604" t="s">
        <v>454</v>
      </c>
      <c r="BF306" s="604" t="s">
        <v>90</v>
      </c>
      <c r="BG306" s="604">
        <v>320</v>
      </c>
      <c r="BH306" s="604" t="s">
        <v>445</v>
      </c>
      <c r="BY306" s="553" t="str">
        <f t="shared" si="48"/>
        <v>2016European or OtherethSIDS</v>
      </c>
      <c r="BZ306" s="604">
        <v>2016</v>
      </c>
      <c r="CA306" s="604" t="s">
        <v>356</v>
      </c>
      <c r="CB306" s="604" t="s">
        <v>449</v>
      </c>
      <c r="CC306" s="604">
        <v>4</v>
      </c>
      <c r="CD306" s="604" t="s">
        <v>32</v>
      </c>
      <c r="CF306" s="554" t="str">
        <f t="shared" si="49"/>
        <v>2016European or OtherSouth CanterburydhbSUDI</v>
      </c>
      <c r="CG306" s="604">
        <v>2016</v>
      </c>
      <c r="CH306" s="604" t="s">
        <v>356</v>
      </c>
      <c r="CI306" s="604" t="s">
        <v>102</v>
      </c>
      <c r="CJ306" s="604" t="s">
        <v>448</v>
      </c>
      <c r="CK306" s="604">
        <v>0</v>
      </c>
      <c r="CL306" s="604" t="s">
        <v>33</v>
      </c>
    </row>
    <row r="307" spans="9:90">
      <c r="I307" s="578" t="str">
        <f t="shared" si="42"/>
        <v>2014ethPacific peoplesFetal</v>
      </c>
      <c r="J307" s="604">
        <v>2014</v>
      </c>
      <c r="K307" s="604" t="s">
        <v>449</v>
      </c>
      <c r="L307" s="604" t="s">
        <v>320</v>
      </c>
      <c r="M307" s="604">
        <v>48</v>
      </c>
      <c r="N307" s="604">
        <v>6244</v>
      </c>
      <c r="O307" s="604">
        <v>7.7</v>
      </c>
      <c r="P307" s="604" t="s">
        <v>47</v>
      </c>
      <c r="Q307" s="499"/>
      <c r="R307" s="502" t="str">
        <f t="shared" si="43"/>
        <v>1997birthsdhbMidCentral</v>
      </c>
      <c r="S307" s="604">
        <v>1997</v>
      </c>
      <c r="T307" s="604" t="s">
        <v>445</v>
      </c>
      <c r="U307" s="604" t="s">
        <v>448</v>
      </c>
      <c r="V307" s="604" t="s">
        <v>94</v>
      </c>
      <c r="W307" s="604">
        <v>2380</v>
      </c>
      <c r="Y307" s="535" t="str">
        <f t="shared" si="44"/>
        <v>2016ethdepMaoriQuin 1fetal</v>
      </c>
      <c r="Z307" s="604">
        <v>2016</v>
      </c>
      <c r="AA307" s="604" t="s">
        <v>449</v>
      </c>
      <c r="AB307" s="604" t="s">
        <v>454</v>
      </c>
      <c r="AC307" s="604" t="s">
        <v>129</v>
      </c>
      <c r="AD307" s="604" t="s">
        <v>421</v>
      </c>
      <c r="AE307" s="604">
        <v>4</v>
      </c>
      <c r="AF307" s="604">
        <v>1159</v>
      </c>
      <c r="AG307" s="604">
        <v>3.4</v>
      </c>
      <c r="AH307" s="604" t="s">
        <v>420</v>
      </c>
      <c r="AJ307" s="535" t="str">
        <f t="shared" si="45"/>
        <v>2016ethdepMaoriQuin 1</v>
      </c>
      <c r="AK307" s="604">
        <v>2016</v>
      </c>
      <c r="AL307" s="604" t="s">
        <v>449</v>
      </c>
      <c r="AM307" s="604" t="s">
        <v>454</v>
      </c>
      <c r="AN307" s="604" t="s">
        <v>129</v>
      </c>
      <c r="AO307" s="604" t="s">
        <v>421</v>
      </c>
      <c r="AP307" s="604">
        <v>1159</v>
      </c>
      <c r="AR307" s="538" t="str">
        <f t="shared" si="46"/>
        <v>28-31gestfetalNorthland</v>
      </c>
      <c r="AS307" s="604">
        <v>2016</v>
      </c>
      <c r="AT307" s="604" t="s">
        <v>395</v>
      </c>
      <c r="AU307" s="604" t="s">
        <v>450</v>
      </c>
      <c r="AV307" s="604" t="s">
        <v>85</v>
      </c>
      <c r="AW307" s="604">
        <v>2</v>
      </c>
      <c r="AX307" s="604">
        <v>12</v>
      </c>
      <c r="AY307" s="606">
        <v>166.7</v>
      </c>
      <c r="AZ307" s="604" t="s">
        <v>420</v>
      </c>
      <c r="BB307" s="536" t="str">
        <f t="shared" si="47"/>
        <v>Quin 5depbirthsLakes</v>
      </c>
      <c r="BC307" s="604">
        <v>2016</v>
      </c>
      <c r="BD307" s="604" t="s">
        <v>425</v>
      </c>
      <c r="BE307" s="604" t="s">
        <v>454</v>
      </c>
      <c r="BF307" s="604" t="s">
        <v>90</v>
      </c>
      <c r="BG307" s="604">
        <v>792</v>
      </c>
      <c r="BH307" s="604" t="s">
        <v>445</v>
      </c>
      <c r="BY307" s="553" t="str">
        <f t="shared" si="48"/>
        <v>2016MaoriethSIDS</v>
      </c>
      <c r="BZ307" s="604">
        <v>2016</v>
      </c>
      <c r="CA307" s="604" t="s">
        <v>129</v>
      </c>
      <c r="CB307" s="604" t="s">
        <v>449</v>
      </c>
      <c r="CC307" s="604">
        <v>15</v>
      </c>
      <c r="CD307" s="604" t="s">
        <v>32</v>
      </c>
      <c r="CF307" s="554" t="str">
        <f t="shared" si="49"/>
        <v>2016MaoriSouth CanterburydhbSUDI</v>
      </c>
      <c r="CG307" s="604">
        <v>2016</v>
      </c>
      <c r="CH307" s="604" t="s">
        <v>129</v>
      </c>
      <c r="CI307" s="604" t="s">
        <v>102</v>
      </c>
      <c r="CJ307" s="604" t="s">
        <v>448</v>
      </c>
      <c r="CK307" s="604">
        <v>1</v>
      </c>
      <c r="CL307" s="604" t="s">
        <v>33</v>
      </c>
    </row>
    <row r="308" spans="9:90">
      <c r="I308" s="578" t="str">
        <f t="shared" si="42"/>
        <v>2014ethAsianFetal</v>
      </c>
      <c r="J308" s="604">
        <v>2014</v>
      </c>
      <c r="K308" s="604" t="s">
        <v>449</v>
      </c>
      <c r="L308" s="604" t="s">
        <v>355</v>
      </c>
      <c r="M308" s="604">
        <v>57</v>
      </c>
      <c r="N308" s="604">
        <v>9377</v>
      </c>
      <c r="O308" s="604">
        <v>6.1</v>
      </c>
      <c r="P308" s="604" t="s">
        <v>47</v>
      </c>
      <c r="Q308" s="499"/>
      <c r="R308" s="502" t="str">
        <f t="shared" si="43"/>
        <v>1997birthsdhbWhanganui</v>
      </c>
      <c r="S308" s="604">
        <v>1997</v>
      </c>
      <c r="T308" s="604" t="s">
        <v>445</v>
      </c>
      <c r="U308" s="604" t="s">
        <v>448</v>
      </c>
      <c r="V308" s="604" t="s">
        <v>95</v>
      </c>
      <c r="W308" s="604">
        <v>1082</v>
      </c>
      <c r="Y308" s="535" t="str">
        <f t="shared" si="44"/>
        <v>2016ethdepPacific peoplesQuin 1fetal</v>
      </c>
      <c r="Z308" s="604">
        <v>2016</v>
      </c>
      <c r="AA308" s="604" t="s">
        <v>449</v>
      </c>
      <c r="AB308" s="604" t="s">
        <v>454</v>
      </c>
      <c r="AC308" s="604" t="s">
        <v>320</v>
      </c>
      <c r="AD308" s="604" t="s">
        <v>421</v>
      </c>
      <c r="AE308" s="604">
        <v>1</v>
      </c>
      <c r="AF308" s="604">
        <v>271</v>
      </c>
      <c r="AG308" s="604">
        <v>3.7</v>
      </c>
      <c r="AH308" s="604" t="s">
        <v>420</v>
      </c>
      <c r="AJ308" s="535" t="str">
        <f t="shared" si="45"/>
        <v>2016ethdepPacific peoplesQuin 1</v>
      </c>
      <c r="AK308" s="604">
        <v>2016</v>
      </c>
      <c r="AL308" s="604" t="s">
        <v>449</v>
      </c>
      <c r="AM308" s="604" t="s">
        <v>454</v>
      </c>
      <c r="AN308" s="604" t="s">
        <v>320</v>
      </c>
      <c r="AO308" s="604" t="s">
        <v>421</v>
      </c>
      <c r="AP308" s="604">
        <v>271</v>
      </c>
      <c r="AR308" s="538" t="str">
        <f t="shared" si="46"/>
        <v>32-36gestfetalNorthland</v>
      </c>
      <c r="AS308" s="604">
        <v>2016</v>
      </c>
      <c r="AT308" s="604" t="s">
        <v>136</v>
      </c>
      <c r="AU308" s="604" t="s">
        <v>450</v>
      </c>
      <c r="AV308" s="604" t="s">
        <v>85</v>
      </c>
      <c r="AW308" s="604">
        <v>2</v>
      </c>
      <c r="AX308" s="604">
        <v>128</v>
      </c>
      <c r="AY308" s="606">
        <v>15.6</v>
      </c>
      <c r="AZ308" s="604" t="s">
        <v>420</v>
      </c>
      <c r="BB308" s="536" t="str">
        <f t="shared" si="47"/>
        <v>Quin 1depbirthsBay of Plenty</v>
      </c>
      <c r="BC308" s="604">
        <v>2016</v>
      </c>
      <c r="BD308" s="604" t="s">
        <v>421</v>
      </c>
      <c r="BE308" s="604" t="s">
        <v>454</v>
      </c>
      <c r="BF308" s="604" t="s">
        <v>91</v>
      </c>
      <c r="BG308" s="604">
        <v>165</v>
      </c>
      <c r="BH308" s="604" t="s">
        <v>445</v>
      </c>
      <c r="BY308" s="553" t="str">
        <f t="shared" si="48"/>
        <v>2016Pacific peoplesethSIDS</v>
      </c>
      <c r="BZ308" s="604">
        <v>2016</v>
      </c>
      <c r="CA308" s="604" t="s">
        <v>320</v>
      </c>
      <c r="CB308" s="604" t="s">
        <v>449</v>
      </c>
      <c r="CC308" s="604">
        <v>3</v>
      </c>
      <c r="CD308" s="604" t="s">
        <v>32</v>
      </c>
      <c r="CF308" s="554" t="str">
        <f t="shared" si="49"/>
        <v>2016AsianSoutherndhbSUDI</v>
      </c>
      <c r="CG308" s="604">
        <v>2016</v>
      </c>
      <c r="CH308" s="604" t="s">
        <v>355</v>
      </c>
      <c r="CI308" s="604" t="s">
        <v>103</v>
      </c>
      <c r="CJ308" s="604" t="s">
        <v>448</v>
      </c>
      <c r="CK308" s="604">
        <v>0</v>
      </c>
      <c r="CL308" s="604" t="s">
        <v>33</v>
      </c>
    </row>
    <row r="309" spans="9:90">
      <c r="I309" s="578" t="str">
        <f t="shared" si="42"/>
        <v>2014ethEuropean or OtherFetal</v>
      </c>
      <c r="J309" s="604">
        <v>2014</v>
      </c>
      <c r="K309" s="604" t="s">
        <v>449</v>
      </c>
      <c r="L309" s="604" t="s">
        <v>356</v>
      </c>
      <c r="M309" s="604">
        <v>218</v>
      </c>
      <c r="N309" s="604">
        <v>26508</v>
      </c>
      <c r="O309" s="604">
        <v>8.1999999999999993</v>
      </c>
      <c r="P309" s="604" t="s">
        <v>47</v>
      </c>
      <c r="Q309" s="499"/>
      <c r="R309" s="502" t="str">
        <f t="shared" si="43"/>
        <v>1997birthsdhbCapital &amp; Coast</v>
      </c>
      <c r="S309" s="604">
        <v>1997</v>
      </c>
      <c r="T309" s="604" t="s">
        <v>445</v>
      </c>
      <c r="U309" s="604" t="s">
        <v>448</v>
      </c>
      <c r="V309" s="604" t="s">
        <v>96</v>
      </c>
      <c r="W309" s="604">
        <v>3566</v>
      </c>
      <c r="Y309" s="535" t="str">
        <f t="shared" si="44"/>
        <v>2016ethdepAsianQuin 1fetal</v>
      </c>
      <c r="Z309" s="604">
        <v>2016</v>
      </c>
      <c r="AA309" s="604" t="s">
        <v>449</v>
      </c>
      <c r="AB309" s="604" t="s">
        <v>454</v>
      </c>
      <c r="AC309" s="604" t="s">
        <v>355</v>
      </c>
      <c r="AD309" s="604" t="s">
        <v>421</v>
      </c>
      <c r="AE309" s="604">
        <v>13</v>
      </c>
      <c r="AF309" s="604">
        <v>1910</v>
      </c>
      <c r="AG309" s="604">
        <v>6.8</v>
      </c>
      <c r="AH309" s="604" t="s">
        <v>420</v>
      </c>
      <c r="AJ309" s="535" t="str">
        <f t="shared" si="45"/>
        <v>2016ethdepAsianQuin 1</v>
      </c>
      <c r="AK309" s="604">
        <v>2016</v>
      </c>
      <c r="AL309" s="604" t="s">
        <v>449</v>
      </c>
      <c r="AM309" s="604" t="s">
        <v>454</v>
      </c>
      <c r="AN309" s="604" t="s">
        <v>355</v>
      </c>
      <c r="AO309" s="604" t="s">
        <v>421</v>
      </c>
      <c r="AP309" s="604">
        <v>1910</v>
      </c>
      <c r="AR309" s="538" t="str">
        <f t="shared" si="46"/>
        <v>37-41gestfetalNorthland</v>
      </c>
      <c r="AS309" s="604">
        <v>2016</v>
      </c>
      <c r="AT309" s="604" t="s">
        <v>137</v>
      </c>
      <c r="AU309" s="604" t="s">
        <v>450</v>
      </c>
      <c r="AV309" s="604" t="s">
        <v>85</v>
      </c>
      <c r="AW309" s="604">
        <v>3</v>
      </c>
      <c r="AX309" s="604">
        <v>2136</v>
      </c>
      <c r="AY309" s="606">
        <v>1.4</v>
      </c>
      <c r="AZ309" s="604" t="s">
        <v>420</v>
      </c>
      <c r="BB309" s="536" t="str">
        <f t="shared" si="47"/>
        <v>Quin 2depbirthsBay of Plenty</v>
      </c>
      <c r="BC309" s="604">
        <v>2016</v>
      </c>
      <c r="BD309" s="604" t="s">
        <v>422</v>
      </c>
      <c r="BE309" s="604" t="s">
        <v>454</v>
      </c>
      <c r="BF309" s="604" t="s">
        <v>91</v>
      </c>
      <c r="BG309" s="604">
        <v>317</v>
      </c>
      <c r="BH309" s="604" t="s">
        <v>445</v>
      </c>
      <c r="BY309" s="553" t="str">
        <f t="shared" si="48"/>
        <v>2000Quin 1depSIDS</v>
      </c>
      <c r="BZ309" s="604">
        <v>2000</v>
      </c>
      <c r="CA309" s="604" t="s">
        <v>421</v>
      </c>
      <c r="CB309" s="604" t="s">
        <v>454</v>
      </c>
      <c r="CC309" s="604">
        <v>1</v>
      </c>
      <c r="CD309" s="604" t="s">
        <v>32</v>
      </c>
      <c r="CF309" s="554" t="str">
        <f t="shared" si="49"/>
        <v>2016European or OtherSoutherndhbSUDI</v>
      </c>
      <c r="CG309" s="604">
        <v>2016</v>
      </c>
      <c r="CH309" s="604" t="s">
        <v>356</v>
      </c>
      <c r="CI309" s="604" t="s">
        <v>103</v>
      </c>
      <c r="CJ309" s="604" t="s">
        <v>448</v>
      </c>
      <c r="CK309" s="604">
        <v>0</v>
      </c>
      <c r="CL309" s="604" t="s">
        <v>33</v>
      </c>
    </row>
    <row r="310" spans="9:90">
      <c r="I310" s="578" t="str">
        <f t="shared" si="42"/>
        <v>2015ethMaoriFetal</v>
      </c>
      <c r="J310" s="604">
        <v>2015</v>
      </c>
      <c r="K310" s="604" t="s">
        <v>449</v>
      </c>
      <c r="L310" s="604" t="s">
        <v>129</v>
      </c>
      <c r="M310" s="604">
        <v>100</v>
      </c>
      <c r="N310" s="604">
        <v>17881</v>
      </c>
      <c r="O310" s="604">
        <v>5.6</v>
      </c>
      <c r="P310" s="604" t="s">
        <v>47</v>
      </c>
      <c r="Q310" s="499"/>
      <c r="R310" s="502" t="str">
        <f t="shared" si="43"/>
        <v>1997birthsdhbHutt Valley</v>
      </c>
      <c r="S310" s="604">
        <v>1997</v>
      </c>
      <c r="T310" s="604" t="s">
        <v>445</v>
      </c>
      <c r="U310" s="604" t="s">
        <v>448</v>
      </c>
      <c r="V310" s="604" t="s">
        <v>97</v>
      </c>
      <c r="W310" s="604">
        <v>2116</v>
      </c>
      <c r="Y310" s="535" t="str">
        <f t="shared" si="44"/>
        <v>2016ethdepEuropean or OtherQuin 1fetal</v>
      </c>
      <c r="Z310" s="604">
        <v>2016</v>
      </c>
      <c r="AA310" s="604" t="s">
        <v>449</v>
      </c>
      <c r="AB310" s="604" t="s">
        <v>454</v>
      </c>
      <c r="AC310" s="604" t="s">
        <v>356</v>
      </c>
      <c r="AD310" s="604" t="s">
        <v>421</v>
      </c>
      <c r="AE310" s="604">
        <v>25</v>
      </c>
      <c r="AF310" s="604">
        <v>5854</v>
      </c>
      <c r="AG310" s="604">
        <v>4.3</v>
      </c>
      <c r="AH310" s="604" t="s">
        <v>420</v>
      </c>
      <c r="AJ310" s="535" t="str">
        <f t="shared" si="45"/>
        <v>2016ethdepEuropean or OtherQuin 1</v>
      </c>
      <c r="AK310" s="604">
        <v>2016</v>
      </c>
      <c r="AL310" s="604" t="s">
        <v>449</v>
      </c>
      <c r="AM310" s="604" t="s">
        <v>454</v>
      </c>
      <c r="AN310" s="604" t="s">
        <v>356</v>
      </c>
      <c r="AO310" s="604" t="s">
        <v>421</v>
      </c>
      <c r="AP310" s="604">
        <v>5854</v>
      </c>
      <c r="AR310" s="538" t="str">
        <f t="shared" si="46"/>
        <v>&lt;28gestfetalWaitemata</v>
      </c>
      <c r="AS310" s="604">
        <v>2016</v>
      </c>
      <c r="AT310" s="604" t="s">
        <v>375</v>
      </c>
      <c r="AU310" s="604" t="s">
        <v>450</v>
      </c>
      <c r="AV310" s="604" t="s">
        <v>86</v>
      </c>
      <c r="AW310" s="604">
        <v>26</v>
      </c>
      <c r="AX310" s="604">
        <v>55</v>
      </c>
      <c r="AY310" s="606">
        <v>472.7</v>
      </c>
      <c r="AZ310" s="604" t="s">
        <v>420</v>
      </c>
      <c r="BB310" s="536" t="str">
        <f t="shared" si="47"/>
        <v>Quin 3depbirthsBay of Plenty</v>
      </c>
      <c r="BC310" s="604">
        <v>2016</v>
      </c>
      <c r="BD310" s="604" t="s">
        <v>423</v>
      </c>
      <c r="BE310" s="604" t="s">
        <v>454</v>
      </c>
      <c r="BF310" s="604" t="s">
        <v>91</v>
      </c>
      <c r="BG310" s="604">
        <v>670</v>
      </c>
      <c r="BH310" s="604" t="s">
        <v>445</v>
      </c>
      <c r="BY310" s="553" t="str">
        <f t="shared" si="48"/>
        <v>2000Quin 2depSIDS</v>
      </c>
      <c r="BZ310" s="604">
        <v>2000</v>
      </c>
      <c r="CA310" s="604" t="s">
        <v>422</v>
      </c>
      <c r="CB310" s="604" t="s">
        <v>454</v>
      </c>
      <c r="CC310" s="604">
        <v>6</v>
      </c>
      <c r="CD310" s="604" t="s">
        <v>32</v>
      </c>
      <c r="CF310" s="554" t="str">
        <f t="shared" si="49"/>
        <v>2016MaoriSoutherndhbSUDI</v>
      </c>
      <c r="CG310" s="604">
        <v>2016</v>
      </c>
      <c r="CH310" s="604" t="s">
        <v>129</v>
      </c>
      <c r="CI310" s="604" t="s">
        <v>103</v>
      </c>
      <c r="CJ310" s="604" t="s">
        <v>448</v>
      </c>
      <c r="CK310" s="604">
        <v>3</v>
      </c>
      <c r="CL310" s="604" t="s">
        <v>33</v>
      </c>
    </row>
    <row r="311" spans="9:90">
      <c r="I311" s="578" t="str">
        <f t="shared" si="42"/>
        <v>2015ethPacific peoplesFetal</v>
      </c>
      <c r="J311" s="604">
        <v>2015</v>
      </c>
      <c r="K311" s="604" t="s">
        <v>449</v>
      </c>
      <c r="L311" s="604" t="s">
        <v>320</v>
      </c>
      <c r="M311" s="604">
        <v>39</v>
      </c>
      <c r="N311" s="604">
        <v>6416</v>
      </c>
      <c r="O311" s="604">
        <v>6.1</v>
      </c>
      <c r="P311" s="604" t="s">
        <v>47</v>
      </c>
      <c r="Q311" s="499"/>
      <c r="R311" s="502" t="str">
        <f t="shared" si="43"/>
        <v>1997birthsdhbWairarapa</v>
      </c>
      <c r="S311" s="604">
        <v>1997</v>
      </c>
      <c r="T311" s="604" t="s">
        <v>445</v>
      </c>
      <c r="U311" s="604" t="s">
        <v>448</v>
      </c>
      <c r="V311" s="604" t="s">
        <v>98</v>
      </c>
      <c r="W311" s="604">
        <v>563</v>
      </c>
      <c r="Y311" s="535" t="str">
        <f t="shared" si="44"/>
        <v>2016ethdepMaoriQuin 2fetal</v>
      </c>
      <c r="Z311" s="604">
        <v>2016</v>
      </c>
      <c r="AA311" s="604" t="s">
        <v>449</v>
      </c>
      <c r="AB311" s="604" t="s">
        <v>454</v>
      </c>
      <c r="AC311" s="604" t="s">
        <v>129</v>
      </c>
      <c r="AD311" s="604" t="s">
        <v>422</v>
      </c>
      <c r="AE311" s="604">
        <v>13</v>
      </c>
      <c r="AF311" s="604">
        <v>1788</v>
      </c>
      <c r="AG311" s="604">
        <v>7.2</v>
      </c>
      <c r="AH311" s="604" t="s">
        <v>420</v>
      </c>
      <c r="AJ311" s="535" t="str">
        <f t="shared" si="45"/>
        <v>2016ethdepMaoriQuin 2</v>
      </c>
      <c r="AK311" s="604">
        <v>2016</v>
      </c>
      <c r="AL311" s="604" t="s">
        <v>449</v>
      </c>
      <c r="AM311" s="604" t="s">
        <v>454</v>
      </c>
      <c r="AN311" s="604" t="s">
        <v>129</v>
      </c>
      <c r="AO311" s="604" t="s">
        <v>422</v>
      </c>
      <c r="AP311" s="604">
        <v>1788</v>
      </c>
      <c r="AR311" s="538" t="str">
        <f t="shared" si="46"/>
        <v>28-31gestfetalWaitemata</v>
      </c>
      <c r="AS311" s="604">
        <v>2016</v>
      </c>
      <c r="AT311" s="604" t="s">
        <v>395</v>
      </c>
      <c r="AU311" s="604" t="s">
        <v>450</v>
      </c>
      <c r="AV311" s="604" t="s">
        <v>86</v>
      </c>
      <c r="AW311" s="604">
        <v>5</v>
      </c>
      <c r="AX311" s="604">
        <v>55</v>
      </c>
      <c r="AY311" s="606">
        <v>90.9</v>
      </c>
      <c r="AZ311" s="604" t="s">
        <v>420</v>
      </c>
      <c r="BB311" s="536" t="str">
        <f t="shared" si="47"/>
        <v>Quin 4depbirthsBay of Plenty</v>
      </c>
      <c r="BC311" s="604">
        <v>2016</v>
      </c>
      <c r="BD311" s="604" t="s">
        <v>424</v>
      </c>
      <c r="BE311" s="604" t="s">
        <v>454</v>
      </c>
      <c r="BF311" s="604" t="s">
        <v>91</v>
      </c>
      <c r="BG311" s="604">
        <v>875</v>
      </c>
      <c r="BH311" s="604" t="s">
        <v>445</v>
      </c>
      <c r="BY311" s="553" t="str">
        <f t="shared" si="48"/>
        <v>2000Quin 3depSIDS</v>
      </c>
      <c r="BZ311" s="604">
        <v>2000</v>
      </c>
      <c r="CA311" s="604" t="s">
        <v>423</v>
      </c>
      <c r="CB311" s="604" t="s">
        <v>454</v>
      </c>
      <c r="CC311" s="604">
        <v>6</v>
      </c>
      <c r="CD311" s="604" t="s">
        <v>32</v>
      </c>
      <c r="CF311" s="554" t="str">
        <f t="shared" si="49"/>
        <v>2016Pacific peoplesSoutherndhbSUDI</v>
      </c>
      <c r="CG311" s="604">
        <v>2016</v>
      </c>
      <c r="CH311" s="604" t="s">
        <v>320</v>
      </c>
      <c r="CI311" s="604" t="s">
        <v>103</v>
      </c>
      <c r="CJ311" s="604" t="s">
        <v>448</v>
      </c>
      <c r="CK311" s="604">
        <v>0</v>
      </c>
      <c r="CL311" s="604" t="s">
        <v>33</v>
      </c>
    </row>
    <row r="312" spans="9:90">
      <c r="I312" s="578" t="str">
        <f t="shared" si="42"/>
        <v>2015ethAsianFetal</v>
      </c>
      <c r="J312" s="604">
        <v>2015</v>
      </c>
      <c r="K312" s="604" t="s">
        <v>449</v>
      </c>
      <c r="L312" s="604" t="s">
        <v>355</v>
      </c>
      <c r="M312" s="604">
        <v>63</v>
      </c>
      <c r="N312" s="604">
        <v>10252</v>
      </c>
      <c r="O312" s="604">
        <v>6.1</v>
      </c>
      <c r="P312" s="604" t="s">
        <v>47</v>
      </c>
      <c r="Q312" s="499"/>
      <c r="R312" s="502" t="str">
        <f t="shared" si="43"/>
        <v>1997birthsdhbNelson Marlborough</v>
      </c>
      <c r="S312" s="604">
        <v>1997</v>
      </c>
      <c r="T312" s="604" t="s">
        <v>445</v>
      </c>
      <c r="U312" s="604" t="s">
        <v>448</v>
      </c>
      <c r="V312" s="604" t="s">
        <v>99</v>
      </c>
      <c r="W312" s="604">
        <v>1544</v>
      </c>
      <c r="Y312" s="535" t="str">
        <f t="shared" si="44"/>
        <v>2016ethdepPacific peoplesQuin 2fetal</v>
      </c>
      <c r="Z312" s="604">
        <v>2016</v>
      </c>
      <c r="AA312" s="604" t="s">
        <v>449</v>
      </c>
      <c r="AB312" s="604" t="s">
        <v>454</v>
      </c>
      <c r="AC312" s="604" t="s">
        <v>320</v>
      </c>
      <c r="AD312" s="604" t="s">
        <v>422</v>
      </c>
      <c r="AE312" s="604">
        <v>3</v>
      </c>
      <c r="AF312" s="604">
        <v>423</v>
      </c>
      <c r="AG312" s="604">
        <v>7</v>
      </c>
      <c r="AH312" s="604" t="s">
        <v>420</v>
      </c>
      <c r="AJ312" s="535" t="str">
        <f t="shared" si="45"/>
        <v>2016ethdepPacific peoplesQuin 2</v>
      </c>
      <c r="AK312" s="604">
        <v>2016</v>
      </c>
      <c r="AL312" s="604" t="s">
        <v>449</v>
      </c>
      <c r="AM312" s="604" t="s">
        <v>454</v>
      </c>
      <c r="AN312" s="604" t="s">
        <v>320</v>
      </c>
      <c r="AO312" s="604" t="s">
        <v>422</v>
      </c>
      <c r="AP312" s="604">
        <v>423</v>
      </c>
      <c r="AR312" s="538" t="str">
        <f t="shared" si="46"/>
        <v>32-36gestfetalWaitemata</v>
      </c>
      <c r="AS312" s="604">
        <v>2016</v>
      </c>
      <c r="AT312" s="604" t="s">
        <v>136</v>
      </c>
      <c r="AU312" s="604" t="s">
        <v>450</v>
      </c>
      <c r="AV312" s="604" t="s">
        <v>86</v>
      </c>
      <c r="AW312" s="604">
        <v>4</v>
      </c>
      <c r="AX312" s="604">
        <v>483</v>
      </c>
      <c r="AY312" s="606">
        <v>8.3000000000000007</v>
      </c>
      <c r="AZ312" s="604" t="s">
        <v>420</v>
      </c>
      <c r="BB312" s="536" t="str">
        <f t="shared" si="47"/>
        <v>Quin 5depbirthsBay of Plenty</v>
      </c>
      <c r="BC312" s="604">
        <v>2016</v>
      </c>
      <c r="BD312" s="604" t="s">
        <v>425</v>
      </c>
      <c r="BE312" s="604" t="s">
        <v>454</v>
      </c>
      <c r="BF312" s="604" t="s">
        <v>91</v>
      </c>
      <c r="BG312" s="604">
        <v>913</v>
      </c>
      <c r="BH312" s="604" t="s">
        <v>445</v>
      </c>
      <c r="BY312" s="553" t="str">
        <f t="shared" si="48"/>
        <v>2000Quin 4depSIDS</v>
      </c>
      <c r="BZ312" s="604">
        <v>2000</v>
      </c>
      <c r="CA312" s="604" t="s">
        <v>424</v>
      </c>
      <c r="CB312" s="604" t="s">
        <v>454</v>
      </c>
      <c r="CC312" s="604">
        <v>13</v>
      </c>
      <c r="CD312" s="604" t="s">
        <v>32</v>
      </c>
      <c r="CF312" s="554" t="str">
        <f t="shared" si="49"/>
        <v>2016MaoriUnknowndhbSUDI</v>
      </c>
      <c r="CG312" s="604">
        <v>2016</v>
      </c>
      <c r="CH312" s="604" t="s">
        <v>129</v>
      </c>
      <c r="CI312" s="604" t="s">
        <v>63</v>
      </c>
      <c r="CJ312" s="604" t="s">
        <v>448</v>
      </c>
      <c r="CK312" s="604">
        <v>0</v>
      </c>
      <c r="CL312" s="604" t="s">
        <v>33</v>
      </c>
    </row>
    <row r="313" spans="9:90">
      <c r="I313" s="578" t="str">
        <f t="shared" si="42"/>
        <v>2015ethEuropean or OtherFetal</v>
      </c>
      <c r="J313" s="604">
        <v>2015</v>
      </c>
      <c r="K313" s="604" t="s">
        <v>449</v>
      </c>
      <c r="L313" s="604" t="s">
        <v>356</v>
      </c>
      <c r="M313" s="604">
        <v>182</v>
      </c>
      <c r="N313" s="604">
        <v>27957</v>
      </c>
      <c r="O313" s="604">
        <v>6.5</v>
      </c>
      <c r="P313" s="604" t="s">
        <v>47</v>
      </c>
      <c r="Q313" s="499"/>
      <c r="R313" s="502" t="str">
        <f t="shared" si="43"/>
        <v>1997birthsdhbWest Coast</v>
      </c>
      <c r="S313" s="604">
        <v>1997</v>
      </c>
      <c r="T313" s="604" t="s">
        <v>445</v>
      </c>
      <c r="U313" s="604" t="s">
        <v>448</v>
      </c>
      <c r="V313" s="604" t="s">
        <v>100</v>
      </c>
      <c r="W313" s="604">
        <v>428</v>
      </c>
      <c r="Y313" s="535" t="str">
        <f t="shared" si="44"/>
        <v>2016ethdepAsianQuin 2fetal</v>
      </c>
      <c r="Z313" s="604">
        <v>2016</v>
      </c>
      <c r="AA313" s="604" t="s">
        <v>449</v>
      </c>
      <c r="AB313" s="604" t="s">
        <v>454</v>
      </c>
      <c r="AC313" s="604" t="s">
        <v>355</v>
      </c>
      <c r="AD313" s="604" t="s">
        <v>422</v>
      </c>
      <c r="AE313" s="604">
        <v>9</v>
      </c>
      <c r="AF313" s="604">
        <v>2186</v>
      </c>
      <c r="AG313" s="604">
        <v>4.0999999999999996</v>
      </c>
      <c r="AH313" s="604" t="s">
        <v>420</v>
      </c>
      <c r="AJ313" s="535" t="str">
        <f t="shared" si="45"/>
        <v>2016ethdepAsianQuin 2</v>
      </c>
      <c r="AK313" s="604">
        <v>2016</v>
      </c>
      <c r="AL313" s="604" t="s">
        <v>449</v>
      </c>
      <c r="AM313" s="604" t="s">
        <v>454</v>
      </c>
      <c r="AN313" s="604" t="s">
        <v>355</v>
      </c>
      <c r="AO313" s="604" t="s">
        <v>422</v>
      </c>
      <c r="AP313" s="604">
        <v>2186</v>
      </c>
      <c r="AR313" s="538" t="str">
        <f t="shared" si="46"/>
        <v>37-41gestfetalWaitemata</v>
      </c>
      <c r="AS313" s="604">
        <v>2016</v>
      </c>
      <c r="AT313" s="604" t="s">
        <v>137</v>
      </c>
      <c r="AU313" s="604" t="s">
        <v>450</v>
      </c>
      <c r="AV313" s="604" t="s">
        <v>86</v>
      </c>
      <c r="AW313" s="604">
        <v>7</v>
      </c>
      <c r="AX313" s="604">
        <v>7347</v>
      </c>
      <c r="AY313" s="606">
        <v>1</v>
      </c>
      <c r="AZ313" s="604" t="s">
        <v>420</v>
      </c>
      <c r="BB313" s="536" t="str">
        <f t="shared" si="47"/>
        <v>Quin 1depbirthsTairawhiti</v>
      </c>
      <c r="BC313" s="604">
        <v>2016</v>
      </c>
      <c r="BD313" s="604" t="s">
        <v>421</v>
      </c>
      <c r="BE313" s="604" t="s">
        <v>454</v>
      </c>
      <c r="BF313" s="604" t="s">
        <v>433</v>
      </c>
      <c r="BG313" s="604">
        <v>25</v>
      </c>
      <c r="BH313" s="604" t="s">
        <v>445</v>
      </c>
      <c r="BY313" s="553" t="str">
        <f t="shared" si="48"/>
        <v>2000Quin 5depSIDS</v>
      </c>
      <c r="BZ313" s="604">
        <v>2000</v>
      </c>
      <c r="CA313" s="604" t="s">
        <v>425</v>
      </c>
      <c r="CB313" s="604" t="s">
        <v>454</v>
      </c>
      <c r="CC313" s="604">
        <v>35</v>
      </c>
      <c r="CD313" s="604" t="s">
        <v>32</v>
      </c>
      <c r="CF313" s="554" t="str">
        <f t="shared" si="49"/>
        <v>2016Pacific peoplesUnknowndhbSUDI</v>
      </c>
      <c r="CG313" s="604">
        <v>2016</v>
      </c>
      <c r="CH313" s="604" t="s">
        <v>320</v>
      </c>
      <c r="CI313" s="604" t="s">
        <v>63</v>
      </c>
      <c r="CJ313" s="604" t="s">
        <v>448</v>
      </c>
      <c r="CK313" s="604">
        <v>0</v>
      </c>
      <c r="CL313" s="604" t="s">
        <v>33</v>
      </c>
    </row>
    <row r="314" spans="9:90">
      <c r="I314" s="578" t="str">
        <f t="shared" si="42"/>
        <v>2016ethMaoriFetal</v>
      </c>
      <c r="J314" s="604">
        <v>2016</v>
      </c>
      <c r="K314" s="604" t="s">
        <v>449</v>
      </c>
      <c r="L314" s="604" t="s">
        <v>129</v>
      </c>
      <c r="M314" s="604">
        <v>122</v>
      </c>
      <c r="N314" s="604">
        <v>17451</v>
      </c>
      <c r="O314" s="604">
        <v>7</v>
      </c>
      <c r="P314" s="604" t="s">
        <v>47</v>
      </c>
      <c r="Q314" s="499"/>
      <c r="R314" s="502" t="str">
        <f t="shared" si="43"/>
        <v>1997birthsdhbCanterbury</v>
      </c>
      <c r="S314" s="604">
        <v>1997</v>
      </c>
      <c r="T314" s="604" t="s">
        <v>445</v>
      </c>
      <c r="U314" s="604" t="s">
        <v>448</v>
      </c>
      <c r="V314" s="604" t="s">
        <v>101</v>
      </c>
      <c r="W314" s="604">
        <v>5667</v>
      </c>
      <c r="Y314" s="535" t="str">
        <f t="shared" si="44"/>
        <v>2016ethdepEuropean or OtherQuin 2fetal</v>
      </c>
      <c r="Z314" s="604">
        <v>2016</v>
      </c>
      <c r="AA314" s="604" t="s">
        <v>449</v>
      </c>
      <c r="AB314" s="604" t="s">
        <v>454</v>
      </c>
      <c r="AC314" s="604" t="s">
        <v>356</v>
      </c>
      <c r="AD314" s="604" t="s">
        <v>422</v>
      </c>
      <c r="AE314" s="604">
        <v>39</v>
      </c>
      <c r="AF314" s="604">
        <v>5726</v>
      </c>
      <c r="AG314" s="604">
        <v>6.8</v>
      </c>
      <c r="AH314" s="604" t="s">
        <v>420</v>
      </c>
      <c r="AJ314" s="535" t="str">
        <f t="shared" si="45"/>
        <v>2016ethdepEuropean or OtherQuin 2</v>
      </c>
      <c r="AK314" s="604">
        <v>2016</v>
      </c>
      <c r="AL314" s="604" t="s">
        <v>449</v>
      </c>
      <c r="AM314" s="604" t="s">
        <v>454</v>
      </c>
      <c r="AN314" s="604" t="s">
        <v>356</v>
      </c>
      <c r="AO314" s="604" t="s">
        <v>422</v>
      </c>
      <c r="AP314" s="604">
        <v>5726</v>
      </c>
      <c r="AR314" s="538" t="str">
        <f t="shared" si="46"/>
        <v>&lt;28gestfetalAuckland</v>
      </c>
      <c r="AS314" s="604">
        <v>2016</v>
      </c>
      <c r="AT314" s="604" t="s">
        <v>375</v>
      </c>
      <c r="AU314" s="604" t="s">
        <v>450</v>
      </c>
      <c r="AV314" s="604" t="s">
        <v>87</v>
      </c>
      <c r="AW314" s="604">
        <v>15</v>
      </c>
      <c r="AX314" s="604">
        <v>40</v>
      </c>
      <c r="AY314" s="606">
        <v>375</v>
      </c>
      <c r="AZ314" s="604" t="s">
        <v>420</v>
      </c>
      <c r="BB314" s="536" t="str">
        <f t="shared" si="47"/>
        <v>Quin 2depbirthsTairawhiti</v>
      </c>
      <c r="BC314" s="604">
        <v>2016</v>
      </c>
      <c r="BD314" s="604" t="s">
        <v>422</v>
      </c>
      <c r="BE314" s="604" t="s">
        <v>454</v>
      </c>
      <c r="BF314" s="604" t="s">
        <v>433</v>
      </c>
      <c r="BG314" s="604">
        <v>59</v>
      </c>
      <c r="BH314" s="604" t="s">
        <v>445</v>
      </c>
      <c r="BY314" s="553" t="str">
        <f t="shared" si="48"/>
        <v>2000Quin 9depSIDS</v>
      </c>
      <c r="BZ314" s="604">
        <v>2000</v>
      </c>
      <c r="CA314" s="604" t="s">
        <v>426</v>
      </c>
      <c r="CB314" s="604" t="s">
        <v>454</v>
      </c>
      <c r="CC314" s="604">
        <v>2</v>
      </c>
      <c r="CD314" s="604" t="s">
        <v>32</v>
      </c>
      <c r="CF314" s="554" t="str">
        <f t="shared" si="49"/>
        <v>2016Asian&lt;500bwtSUDI</v>
      </c>
      <c r="CG314" s="604">
        <v>2016</v>
      </c>
      <c r="CH314" s="604" t="s">
        <v>355</v>
      </c>
      <c r="CI314" s="604" t="s">
        <v>427</v>
      </c>
      <c r="CJ314" s="604" t="s">
        <v>447</v>
      </c>
      <c r="CK314" s="604">
        <v>0</v>
      </c>
      <c r="CL314" s="604" t="s">
        <v>33</v>
      </c>
    </row>
    <row r="315" spans="9:90">
      <c r="I315" s="578" t="str">
        <f t="shared" si="42"/>
        <v>2016ethPacific peoplesFetal</v>
      </c>
      <c r="J315" s="604">
        <v>2016</v>
      </c>
      <c r="K315" s="604" t="s">
        <v>449</v>
      </c>
      <c r="L315" s="604" t="s">
        <v>320</v>
      </c>
      <c r="M315" s="604">
        <v>45</v>
      </c>
      <c r="N315" s="604">
        <v>6021</v>
      </c>
      <c r="O315" s="604">
        <v>7.5</v>
      </c>
      <c r="P315" s="604" t="s">
        <v>47</v>
      </c>
      <c r="Q315" s="499"/>
      <c r="R315" s="502" t="str">
        <f t="shared" si="43"/>
        <v>1997birthsdhbSouth Canterbury</v>
      </c>
      <c r="S315" s="604">
        <v>1997</v>
      </c>
      <c r="T315" s="604" t="s">
        <v>445</v>
      </c>
      <c r="U315" s="604" t="s">
        <v>448</v>
      </c>
      <c r="V315" s="604" t="s">
        <v>102</v>
      </c>
      <c r="W315" s="604">
        <v>653</v>
      </c>
      <c r="Y315" s="535" t="str">
        <f t="shared" si="44"/>
        <v>2016ethdepMaoriQuin 3fetal</v>
      </c>
      <c r="Z315" s="604">
        <v>2016</v>
      </c>
      <c r="AA315" s="604" t="s">
        <v>449</v>
      </c>
      <c r="AB315" s="604" t="s">
        <v>454</v>
      </c>
      <c r="AC315" s="604" t="s">
        <v>129</v>
      </c>
      <c r="AD315" s="604" t="s">
        <v>423</v>
      </c>
      <c r="AE315" s="604">
        <v>18</v>
      </c>
      <c r="AF315" s="604">
        <v>2643</v>
      </c>
      <c r="AG315" s="604">
        <v>6.8</v>
      </c>
      <c r="AH315" s="604" t="s">
        <v>420</v>
      </c>
      <c r="AJ315" s="535" t="str">
        <f t="shared" si="45"/>
        <v>2016ethdepMaoriQuin 3</v>
      </c>
      <c r="AK315" s="604">
        <v>2016</v>
      </c>
      <c r="AL315" s="604" t="s">
        <v>449</v>
      </c>
      <c r="AM315" s="604" t="s">
        <v>454</v>
      </c>
      <c r="AN315" s="604" t="s">
        <v>129</v>
      </c>
      <c r="AO315" s="604" t="s">
        <v>423</v>
      </c>
      <c r="AP315" s="604">
        <v>2643</v>
      </c>
      <c r="AR315" s="538" t="str">
        <f t="shared" si="46"/>
        <v>28-31gestfetalAuckland</v>
      </c>
      <c r="AS315" s="604">
        <v>2016</v>
      </c>
      <c r="AT315" s="604" t="s">
        <v>395</v>
      </c>
      <c r="AU315" s="604" t="s">
        <v>450</v>
      </c>
      <c r="AV315" s="604" t="s">
        <v>87</v>
      </c>
      <c r="AW315" s="604">
        <v>8</v>
      </c>
      <c r="AX315" s="604">
        <v>36</v>
      </c>
      <c r="AY315" s="606">
        <v>222.2</v>
      </c>
      <c r="AZ315" s="604" t="s">
        <v>420</v>
      </c>
      <c r="BB315" s="536" t="str">
        <f t="shared" si="47"/>
        <v>Quin 3depbirthsTairawhiti</v>
      </c>
      <c r="BC315" s="604">
        <v>2016</v>
      </c>
      <c r="BD315" s="604" t="s">
        <v>423</v>
      </c>
      <c r="BE315" s="604" t="s">
        <v>454</v>
      </c>
      <c r="BF315" s="604" t="s">
        <v>433</v>
      </c>
      <c r="BG315" s="604">
        <v>111</v>
      </c>
      <c r="BH315" s="604" t="s">
        <v>445</v>
      </c>
      <c r="BY315" s="553" t="str">
        <f t="shared" si="48"/>
        <v>2001Quin 1depSIDS</v>
      </c>
      <c r="BZ315" s="604">
        <v>2001</v>
      </c>
      <c r="CA315" s="604" t="s">
        <v>421</v>
      </c>
      <c r="CB315" s="604" t="s">
        <v>454</v>
      </c>
      <c r="CC315" s="604">
        <v>3</v>
      </c>
      <c r="CD315" s="604" t="s">
        <v>32</v>
      </c>
      <c r="CF315" s="554" t="str">
        <f t="shared" si="49"/>
        <v>2016European or Other&lt;500bwtSUDI</v>
      </c>
      <c r="CG315" s="604">
        <v>2016</v>
      </c>
      <c r="CH315" s="604" t="s">
        <v>356</v>
      </c>
      <c r="CI315" s="604" t="s">
        <v>427</v>
      </c>
      <c r="CJ315" s="604" t="s">
        <v>447</v>
      </c>
      <c r="CK315" s="604">
        <v>0</v>
      </c>
      <c r="CL315" s="604" t="s">
        <v>33</v>
      </c>
    </row>
    <row r="316" spans="9:90">
      <c r="I316" s="578" t="str">
        <f t="shared" si="42"/>
        <v>2016ethAsianFetal</v>
      </c>
      <c r="J316" s="604">
        <v>2016</v>
      </c>
      <c r="K316" s="604" t="s">
        <v>449</v>
      </c>
      <c r="L316" s="604" t="s">
        <v>355</v>
      </c>
      <c r="M316" s="604">
        <v>73</v>
      </c>
      <c r="N316" s="604">
        <v>10975</v>
      </c>
      <c r="O316" s="604">
        <v>6.7</v>
      </c>
      <c r="P316" s="604" t="s">
        <v>47</v>
      </c>
      <c r="Q316" s="499"/>
      <c r="R316" s="502" t="str">
        <f t="shared" si="43"/>
        <v>1997birthsdhbSouthern</v>
      </c>
      <c r="S316" s="604">
        <v>1997</v>
      </c>
      <c r="T316" s="604" t="s">
        <v>445</v>
      </c>
      <c r="U316" s="604" t="s">
        <v>448</v>
      </c>
      <c r="V316" s="604" t="s">
        <v>103</v>
      </c>
      <c r="W316" s="604">
        <v>3618</v>
      </c>
      <c r="Y316" s="535" t="str">
        <f t="shared" si="44"/>
        <v>2016ethdepPacific peoplesQuin 3fetal</v>
      </c>
      <c r="Z316" s="604">
        <v>2016</v>
      </c>
      <c r="AA316" s="604" t="s">
        <v>449</v>
      </c>
      <c r="AB316" s="604" t="s">
        <v>454</v>
      </c>
      <c r="AC316" s="604" t="s">
        <v>320</v>
      </c>
      <c r="AD316" s="604" t="s">
        <v>423</v>
      </c>
      <c r="AE316" s="604">
        <v>3</v>
      </c>
      <c r="AF316" s="604">
        <v>564</v>
      </c>
      <c r="AG316" s="604">
        <v>5.3</v>
      </c>
      <c r="AH316" s="604" t="s">
        <v>420</v>
      </c>
      <c r="AJ316" s="535" t="str">
        <f t="shared" si="45"/>
        <v>2016ethdepPacific peoplesQuin 3</v>
      </c>
      <c r="AK316" s="604">
        <v>2016</v>
      </c>
      <c r="AL316" s="604" t="s">
        <v>449</v>
      </c>
      <c r="AM316" s="604" t="s">
        <v>454</v>
      </c>
      <c r="AN316" s="604" t="s">
        <v>320</v>
      </c>
      <c r="AO316" s="604" t="s">
        <v>423</v>
      </c>
      <c r="AP316" s="604">
        <v>564</v>
      </c>
      <c r="AR316" s="538" t="str">
        <f t="shared" si="46"/>
        <v>32-36gestfetalAuckland</v>
      </c>
      <c r="AS316" s="604">
        <v>2016</v>
      </c>
      <c r="AT316" s="604" t="s">
        <v>136</v>
      </c>
      <c r="AU316" s="604" t="s">
        <v>450</v>
      </c>
      <c r="AV316" s="604" t="s">
        <v>87</v>
      </c>
      <c r="AW316" s="604">
        <v>8</v>
      </c>
      <c r="AX316" s="604">
        <v>328</v>
      </c>
      <c r="AY316" s="606">
        <v>24.4</v>
      </c>
      <c r="AZ316" s="604" t="s">
        <v>420</v>
      </c>
      <c r="BB316" s="536" t="str">
        <f t="shared" si="47"/>
        <v>Quin 4depbirthsTairawhiti</v>
      </c>
      <c r="BC316" s="604">
        <v>2016</v>
      </c>
      <c r="BD316" s="604" t="s">
        <v>424</v>
      </c>
      <c r="BE316" s="604" t="s">
        <v>454</v>
      </c>
      <c r="BF316" s="604" t="s">
        <v>433</v>
      </c>
      <c r="BG316" s="604">
        <v>30</v>
      </c>
      <c r="BH316" s="604" t="s">
        <v>445</v>
      </c>
      <c r="BY316" s="553" t="str">
        <f t="shared" si="48"/>
        <v>2001Quin 2depSIDS</v>
      </c>
      <c r="BZ316" s="604">
        <v>2001</v>
      </c>
      <c r="CA316" s="604" t="s">
        <v>422</v>
      </c>
      <c r="CB316" s="604" t="s">
        <v>454</v>
      </c>
      <c r="CC316" s="604">
        <v>2</v>
      </c>
      <c r="CD316" s="604" t="s">
        <v>32</v>
      </c>
      <c r="CF316" s="554" t="str">
        <f t="shared" si="49"/>
        <v>2016Maori&lt;500bwtSUDI</v>
      </c>
      <c r="CG316" s="604">
        <v>2016</v>
      </c>
      <c r="CH316" s="604" t="s">
        <v>129</v>
      </c>
      <c r="CI316" s="604" t="s">
        <v>427</v>
      </c>
      <c r="CJ316" s="604" t="s">
        <v>447</v>
      </c>
      <c r="CK316" s="604">
        <v>0</v>
      </c>
      <c r="CL316" s="604" t="s">
        <v>33</v>
      </c>
    </row>
    <row r="317" spans="9:90">
      <c r="I317" s="578" t="str">
        <f t="shared" si="42"/>
        <v>2016ethEuropean or OtherFetal</v>
      </c>
      <c r="J317" s="604">
        <v>2016</v>
      </c>
      <c r="K317" s="604" t="s">
        <v>449</v>
      </c>
      <c r="L317" s="604" t="s">
        <v>356</v>
      </c>
      <c r="M317" s="604">
        <v>173</v>
      </c>
      <c r="N317" s="604">
        <v>26402</v>
      </c>
      <c r="O317" s="604">
        <v>6.6</v>
      </c>
      <c r="P317" s="604" t="s">
        <v>47</v>
      </c>
      <c r="Q317" s="499"/>
      <c r="R317" s="502" t="str">
        <f t="shared" si="43"/>
        <v>1997birthsdhbUnknown</v>
      </c>
      <c r="S317" s="604">
        <v>1997</v>
      </c>
      <c r="T317" s="604" t="s">
        <v>445</v>
      </c>
      <c r="U317" s="604" t="s">
        <v>448</v>
      </c>
      <c r="V317" s="604" t="s">
        <v>63</v>
      </c>
      <c r="W317" s="604">
        <v>135</v>
      </c>
      <c r="Y317" s="535" t="str">
        <f t="shared" si="44"/>
        <v>2016ethdepAsianQuin 3fetal</v>
      </c>
      <c r="Z317" s="604">
        <v>2016</v>
      </c>
      <c r="AA317" s="604" t="s">
        <v>449</v>
      </c>
      <c r="AB317" s="604" t="s">
        <v>454</v>
      </c>
      <c r="AC317" s="604" t="s">
        <v>355</v>
      </c>
      <c r="AD317" s="604" t="s">
        <v>423</v>
      </c>
      <c r="AE317" s="604">
        <v>14</v>
      </c>
      <c r="AF317" s="604">
        <v>1969</v>
      </c>
      <c r="AG317" s="604">
        <v>7.1</v>
      </c>
      <c r="AH317" s="604" t="s">
        <v>420</v>
      </c>
      <c r="AJ317" s="535" t="str">
        <f t="shared" si="45"/>
        <v>2016ethdepAsianQuin 3</v>
      </c>
      <c r="AK317" s="604">
        <v>2016</v>
      </c>
      <c r="AL317" s="604" t="s">
        <v>449</v>
      </c>
      <c r="AM317" s="604" t="s">
        <v>454</v>
      </c>
      <c r="AN317" s="604" t="s">
        <v>355</v>
      </c>
      <c r="AO317" s="604" t="s">
        <v>423</v>
      </c>
      <c r="AP317" s="604">
        <v>1969</v>
      </c>
      <c r="AR317" s="538" t="str">
        <f t="shared" si="46"/>
        <v>37-41gestfetalAuckland</v>
      </c>
      <c r="AS317" s="604">
        <v>2016</v>
      </c>
      <c r="AT317" s="604" t="s">
        <v>137</v>
      </c>
      <c r="AU317" s="604" t="s">
        <v>450</v>
      </c>
      <c r="AV317" s="604" t="s">
        <v>87</v>
      </c>
      <c r="AW317" s="604">
        <v>8</v>
      </c>
      <c r="AX317" s="604">
        <v>5459</v>
      </c>
      <c r="AY317" s="606">
        <v>1.5</v>
      </c>
      <c r="AZ317" s="604" t="s">
        <v>420</v>
      </c>
      <c r="BB317" s="536" t="str">
        <f t="shared" si="47"/>
        <v>Quin 5depbirthsTairawhiti</v>
      </c>
      <c r="BC317" s="604">
        <v>2016</v>
      </c>
      <c r="BD317" s="604" t="s">
        <v>425</v>
      </c>
      <c r="BE317" s="604" t="s">
        <v>454</v>
      </c>
      <c r="BF317" s="604" t="s">
        <v>433</v>
      </c>
      <c r="BG317" s="604">
        <v>544</v>
      </c>
      <c r="BH317" s="604" t="s">
        <v>445</v>
      </c>
      <c r="BY317" s="553" t="str">
        <f t="shared" si="48"/>
        <v>2001Quin 3depSIDS</v>
      </c>
      <c r="BZ317" s="604">
        <v>2001</v>
      </c>
      <c r="CA317" s="604" t="s">
        <v>423</v>
      </c>
      <c r="CB317" s="604" t="s">
        <v>454</v>
      </c>
      <c r="CC317" s="604">
        <v>9</v>
      </c>
      <c r="CD317" s="604" t="s">
        <v>32</v>
      </c>
      <c r="CF317" s="554" t="str">
        <f t="shared" si="49"/>
        <v>2016Pacific peoples&lt;500bwtSUDI</v>
      </c>
      <c r="CG317" s="604">
        <v>2016</v>
      </c>
      <c r="CH317" s="604" t="s">
        <v>320</v>
      </c>
      <c r="CI317" s="604" t="s">
        <v>427</v>
      </c>
      <c r="CJ317" s="604" t="s">
        <v>447</v>
      </c>
      <c r="CK317" s="604">
        <v>0</v>
      </c>
      <c r="CL317" s="604" t="s">
        <v>33</v>
      </c>
    </row>
    <row r="318" spans="9:90">
      <c r="I318" s="578" t="str">
        <f t="shared" si="42"/>
        <v>1996depQuin 1Fetal</v>
      </c>
      <c r="J318" s="604">
        <v>1996</v>
      </c>
      <c r="K318" s="604" t="s">
        <v>454</v>
      </c>
      <c r="L318" s="604" t="s">
        <v>421</v>
      </c>
      <c r="M318" s="604">
        <v>38</v>
      </c>
      <c r="N318" s="604">
        <v>6262</v>
      </c>
      <c r="O318" s="604">
        <v>6.1</v>
      </c>
      <c r="P318" s="604" t="s">
        <v>47</v>
      </c>
      <c r="Q318" s="499"/>
      <c r="R318" s="502" t="str">
        <f t="shared" si="43"/>
        <v>1998birthsdhbNorthland</v>
      </c>
      <c r="S318" s="604">
        <v>1998</v>
      </c>
      <c r="T318" s="604" t="s">
        <v>445</v>
      </c>
      <c r="U318" s="604" t="s">
        <v>448</v>
      </c>
      <c r="V318" s="604" t="s">
        <v>85</v>
      </c>
      <c r="W318" s="604">
        <v>2177</v>
      </c>
      <c r="Y318" s="535" t="str">
        <f t="shared" si="44"/>
        <v>2016ethdepEuropean or OtherQuin 3fetal</v>
      </c>
      <c r="Z318" s="604">
        <v>2016</v>
      </c>
      <c r="AA318" s="604" t="s">
        <v>449</v>
      </c>
      <c r="AB318" s="604" t="s">
        <v>454</v>
      </c>
      <c r="AC318" s="604" t="s">
        <v>356</v>
      </c>
      <c r="AD318" s="604" t="s">
        <v>423</v>
      </c>
      <c r="AE318" s="604">
        <v>33</v>
      </c>
      <c r="AF318" s="604">
        <v>5795</v>
      </c>
      <c r="AG318" s="604">
        <v>5.7</v>
      </c>
      <c r="AH318" s="604" t="s">
        <v>420</v>
      </c>
      <c r="AJ318" s="535" t="str">
        <f t="shared" si="45"/>
        <v>2016ethdepEuropean or OtherQuin 3</v>
      </c>
      <c r="AK318" s="604">
        <v>2016</v>
      </c>
      <c r="AL318" s="604" t="s">
        <v>449</v>
      </c>
      <c r="AM318" s="604" t="s">
        <v>454</v>
      </c>
      <c r="AN318" s="604" t="s">
        <v>356</v>
      </c>
      <c r="AO318" s="604" t="s">
        <v>423</v>
      </c>
      <c r="AP318" s="604">
        <v>5795</v>
      </c>
      <c r="AR318" s="538" t="str">
        <f t="shared" si="46"/>
        <v>&lt;28gestfetalCounties Manukau</v>
      </c>
      <c r="AS318" s="604">
        <v>2016</v>
      </c>
      <c r="AT318" s="604" t="s">
        <v>375</v>
      </c>
      <c r="AU318" s="604" t="s">
        <v>450</v>
      </c>
      <c r="AV318" s="604" t="s">
        <v>88</v>
      </c>
      <c r="AW318" s="604">
        <v>35</v>
      </c>
      <c r="AX318" s="604">
        <v>86</v>
      </c>
      <c r="AY318" s="606">
        <v>407</v>
      </c>
      <c r="AZ318" s="604" t="s">
        <v>420</v>
      </c>
      <c r="BB318" s="536" t="str">
        <f t="shared" si="47"/>
        <v>Quin 1depbirthsHawke's Bay</v>
      </c>
      <c r="BC318" s="604">
        <v>2016</v>
      </c>
      <c r="BD318" s="604" t="s">
        <v>421</v>
      </c>
      <c r="BE318" s="604" t="s">
        <v>454</v>
      </c>
      <c r="BF318" s="604" t="s">
        <v>92</v>
      </c>
      <c r="BG318" s="604">
        <v>135</v>
      </c>
      <c r="BH318" s="604" t="s">
        <v>445</v>
      </c>
      <c r="BY318" s="553" t="str">
        <f t="shared" si="48"/>
        <v>2001Quin 4depSIDS</v>
      </c>
      <c r="BZ318" s="604">
        <v>2001</v>
      </c>
      <c r="CA318" s="604" t="s">
        <v>424</v>
      </c>
      <c r="CB318" s="604" t="s">
        <v>454</v>
      </c>
      <c r="CC318" s="604">
        <v>9</v>
      </c>
      <c r="CD318" s="604" t="s">
        <v>32</v>
      </c>
      <c r="CF318" s="554" t="str">
        <f t="shared" si="49"/>
        <v>2016Asian500-999bwtSUDI</v>
      </c>
      <c r="CG318" s="604">
        <v>2016</v>
      </c>
      <c r="CH318" s="604" t="s">
        <v>355</v>
      </c>
      <c r="CI318" s="604" t="s">
        <v>428</v>
      </c>
      <c r="CJ318" s="604" t="s">
        <v>447</v>
      </c>
      <c r="CK318" s="604">
        <v>0</v>
      </c>
      <c r="CL318" s="604" t="s">
        <v>33</v>
      </c>
    </row>
    <row r="319" spans="9:90">
      <c r="I319" s="578" t="str">
        <f t="shared" si="42"/>
        <v>1996depQuin 2Fetal</v>
      </c>
      <c r="J319" s="604">
        <v>1996</v>
      </c>
      <c r="K319" s="604" t="s">
        <v>454</v>
      </c>
      <c r="L319" s="604" t="s">
        <v>422</v>
      </c>
      <c r="M319" s="604">
        <v>46</v>
      </c>
      <c r="N319" s="604">
        <v>7259</v>
      </c>
      <c r="O319" s="604">
        <v>6.3</v>
      </c>
      <c r="P319" s="604" t="s">
        <v>47</v>
      </c>
      <c r="Q319" s="499"/>
      <c r="R319" s="502" t="str">
        <f t="shared" si="43"/>
        <v>1998birthsdhbWaitemata</v>
      </c>
      <c r="S319" s="604">
        <v>1998</v>
      </c>
      <c r="T319" s="604" t="s">
        <v>445</v>
      </c>
      <c r="U319" s="604" t="s">
        <v>448</v>
      </c>
      <c r="V319" s="604" t="s">
        <v>86</v>
      </c>
      <c r="W319" s="604">
        <v>6190</v>
      </c>
      <c r="Y319" s="535" t="str">
        <f t="shared" si="44"/>
        <v>2016ethdepMaoriQuin 4fetal</v>
      </c>
      <c r="Z319" s="604">
        <v>2016</v>
      </c>
      <c r="AA319" s="604" t="s">
        <v>449</v>
      </c>
      <c r="AB319" s="604" t="s">
        <v>454</v>
      </c>
      <c r="AC319" s="604" t="s">
        <v>129</v>
      </c>
      <c r="AD319" s="604" t="s">
        <v>424</v>
      </c>
      <c r="AE319" s="604">
        <v>32</v>
      </c>
      <c r="AF319" s="604">
        <v>4019</v>
      </c>
      <c r="AG319" s="604">
        <v>7.9</v>
      </c>
      <c r="AH319" s="604" t="s">
        <v>420</v>
      </c>
      <c r="AJ319" s="535" t="str">
        <f t="shared" si="45"/>
        <v>2016ethdepMaoriQuin 4</v>
      </c>
      <c r="AK319" s="604">
        <v>2016</v>
      </c>
      <c r="AL319" s="604" t="s">
        <v>449</v>
      </c>
      <c r="AM319" s="604" t="s">
        <v>454</v>
      </c>
      <c r="AN319" s="604" t="s">
        <v>129</v>
      </c>
      <c r="AO319" s="604" t="s">
        <v>424</v>
      </c>
      <c r="AP319" s="604">
        <v>4019</v>
      </c>
      <c r="AR319" s="538" t="str">
        <f t="shared" si="46"/>
        <v>28-31gestfetalCounties Manukau</v>
      </c>
      <c r="AS319" s="604">
        <v>2016</v>
      </c>
      <c r="AT319" s="604" t="s">
        <v>395</v>
      </c>
      <c r="AU319" s="604" t="s">
        <v>450</v>
      </c>
      <c r="AV319" s="604" t="s">
        <v>88</v>
      </c>
      <c r="AW319" s="604">
        <v>6</v>
      </c>
      <c r="AX319" s="604">
        <v>55</v>
      </c>
      <c r="AY319" s="606">
        <v>109.1</v>
      </c>
      <c r="AZ319" s="604" t="s">
        <v>420</v>
      </c>
      <c r="BB319" s="536" t="str">
        <f t="shared" si="47"/>
        <v>Quin 2depbirthsHawke's Bay</v>
      </c>
      <c r="BC319" s="604">
        <v>2016</v>
      </c>
      <c r="BD319" s="604" t="s">
        <v>422</v>
      </c>
      <c r="BE319" s="604" t="s">
        <v>454</v>
      </c>
      <c r="BF319" s="604" t="s">
        <v>92</v>
      </c>
      <c r="BG319" s="604">
        <v>364</v>
      </c>
      <c r="BH319" s="604" t="s">
        <v>445</v>
      </c>
      <c r="BY319" s="553" t="str">
        <f t="shared" si="48"/>
        <v>2001Quin 5depSIDS</v>
      </c>
      <c r="BZ319" s="604">
        <v>2001</v>
      </c>
      <c r="CA319" s="604" t="s">
        <v>425</v>
      </c>
      <c r="CB319" s="604" t="s">
        <v>454</v>
      </c>
      <c r="CC319" s="604">
        <v>22</v>
      </c>
      <c r="CD319" s="604" t="s">
        <v>32</v>
      </c>
      <c r="CF319" s="554" t="str">
        <f t="shared" si="49"/>
        <v>2016European or Other500-999bwtSUDI</v>
      </c>
      <c r="CG319" s="604">
        <v>2016</v>
      </c>
      <c r="CH319" s="604" t="s">
        <v>356</v>
      </c>
      <c r="CI319" s="604" t="s">
        <v>428</v>
      </c>
      <c r="CJ319" s="604" t="s">
        <v>447</v>
      </c>
      <c r="CK319" s="604">
        <v>0</v>
      </c>
      <c r="CL319" s="604" t="s">
        <v>33</v>
      </c>
    </row>
    <row r="320" spans="9:90">
      <c r="I320" s="578" t="str">
        <f t="shared" si="42"/>
        <v>1996depQuin 3Fetal</v>
      </c>
      <c r="J320" s="604">
        <v>1996</v>
      </c>
      <c r="K320" s="604" t="s">
        <v>454</v>
      </c>
      <c r="L320" s="604" t="s">
        <v>423</v>
      </c>
      <c r="M320" s="604">
        <v>58</v>
      </c>
      <c r="N320" s="604">
        <v>9081</v>
      </c>
      <c r="O320" s="604">
        <v>6.4</v>
      </c>
      <c r="P320" s="604" t="s">
        <v>47</v>
      </c>
      <c r="Q320" s="499"/>
      <c r="R320" s="502" t="str">
        <f t="shared" si="43"/>
        <v>1998birthsdhbAuckland</v>
      </c>
      <c r="S320" s="604">
        <v>1998</v>
      </c>
      <c r="T320" s="604" t="s">
        <v>445</v>
      </c>
      <c r="U320" s="604" t="s">
        <v>448</v>
      </c>
      <c r="V320" s="604" t="s">
        <v>87</v>
      </c>
      <c r="W320" s="604">
        <v>5732</v>
      </c>
      <c r="Y320" s="535" t="str">
        <f t="shared" si="44"/>
        <v>2016ethdepPacific peoplesQuin 4fetal</v>
      </c>
      <c r="Z320" s="604">
        <v>2016</v>
      </c>
      <c r="AA320" s="604" t="s">
        <v>449</v>
      </c>
      <c r="AB320" s="604" t="s">
        <v>454</v>
      </c>
      <c r="AC320" s="604" t="s">
        <v>320</v>
      </c>
      <c r="AD320" s="604" t="s">
        <v>424</v>
      </c>
      <c r="AE320" s="604">
        <v>5</v>
      </c>
      <c r="AF320" s="604">
        <v>1186</v>
      </c>
      <c r="AG320" s="604">
        <v>4.2</v>
      </c>
      <c r="AH320" s="604" t="s">
        <v>420</v>
      </c>
      <c r="AJ320" s="535" t="str">
        <f t="shared" si="45"/>
        <v>2016ethdepPacific peoplesQuin 4</v>
      </c>
      <c r="AK320" s="604">
        <v>2016</v>
      </c>
      <c r="AL320" s="604" t="s">
        <v>449</v>
      </c>
      <c r="AM320" s="604" t="s">
        <v>454</v>
      </c>
      <c r="AN320" s="604" t="s">
        <v>320</v>
      </c>
      <c r="AO320" s="604" t="s">
        <v>424</v>
      </c>
      <c r="AP320" s="604">
        <v>1186</v>
      </c>
      <c r="AR320" s="538" t="str">
        <f t="shared" si="46"/>
        <v>32-36gestfetalCounties Manukau</v>
      </c>
      <c r="AS320" s="604">
        <v>2016</v>
      </c>
      <c r="AT320" s="604" t="s">
        <v>136</v>
      </c>
      <c r="AU320" s="604" t="s">
        <v>450</v>
      </c>
      <c r="AV320" s="604" t="s">
        <v>88</v>
      </c>
      <c r="AW320" s="604">
        <v>13</v>
      </c>
      <c r="AX320" s="604">
        <v>550</v>
      </c>
      <c r="AY320" s="606">
        <v>23.6</v>
      </c>
      <c r="AZ320" s="604" t="s">
        <v>420</v>
      </c>
      <c r="BB320" s="536" t="str">
        <f t="shared" si="47"/>
        <v>Quin 3depbirthsHawke's Bay</v>
      </c>
      <c r="BC320" s="604">
        <v>2016</v>
      </c>
      <c r="BD320" s="604" t="s">
        <v>423</v>
      </c>
      <c r="BE320" s="604" t="s">
        <v>454</v>
      </c>
      <c r="BF320" s="604" t="s">
        <v>92</v>
      </c>
      <c r="BG320" s="604">
        <v>201</v>
      </c>
      <c r="BH320" s="604" t="s">
        <v>445</v>
      </c>
      <c r="BY320" s="553" t="str">
        <f t="shared" si="48"/>
        <v>2001Quin 9depSIDS</v>
      </c>
      <c r="BZ320" s="604">
        <v>2001</v>
      </c>
      <c r="CA320" s="604" t="s">
        <v>426</v>
      </c>
      <c r="CB320" s="604" t="s">
        <v>454</v>
      </c>
      <c r="CC320" s="604">
        <v>4</v>
      </c>
      <c r="CD320" s="604" t="s">
        <v>32</v>
      </c>
      <c r="CF320" s="554" t="str">
        <f t="shared" si="49"/>
        <v>2016Maori500-999bwtSUDI</v>
      </c>
      <c r="CG320" s="604">
        <v>2016</v>
      </c>
      <c r="CH320" s="604" t="s">
        <v>129</v>
      </c>
      <c r="CI320" s="604" t="s">
        <v>428</v>
      </c>
      <c r="CJ320" s="604" t="s">
        <v>447</v>
      </c>
      <c r="CK320" s="604">
        <v>0</v>
      </c>
      <c r="CL320" s="604" t="s">
        <v>33</v>
      </c>
    </row>
    <row r="321" spans="9:90">
      <c r="I321" s="578" t="str">
        <f t="shared" si="42"/>
        <v>1996depQuin 4Fetal</v>
      </c>
      <c r="J321" s="604">
        <v>1996</v>
      </c>
      <c r="K321" s="604" t="s">
        <v>454</v>
      </c>
      <c r="L321" s="604" t="s">
        <v>424</v>
      </c>
      <c r="M321" s="604">
        <v>97</v>
      </c>
      <c r="N321" s="604">
        <v>11650</v>
      </c>
      <c r="O321" s="604">
        <v>8.3000000000000007</v>
      </c>
      <c r="P321" s="604" t="s">
        <v>47</v>
      </c>
      <c r="Q321" s="499"/>
      <c r="R321" s="502" t="str">
        <f t="shared" si="43"/>
        <v>1998birthsdhbCounties Manukau</v>
      </c>
      <c r="S321" s="604">
        <v>1998</v>
      </c>
      <c r="T321" s="604" t="s">
        <v>445</v>
      </c>
      <c r="U321" s="604" t="s">
        <v>448</v>
      </c>
      <c r="V321" s="604" t="s">
        <v>88</v>
      </c>
      <c r="W321" s="604">
        <v>6740</v>
      </c>
      <c r="Y321" s="535" t="str">
        <f t="shared" si="44"/>
        <v>2016ethdepAsianQuin 4fetal</v>
      </c>
      <c r="Z321" s="604">
        <v>2016</v>
      </c>
      <c r="AA321" s="604" t="s">
        <v>449</v>
      </c>
      <c r="AB321" s="604" t="s">
        <v>454</v>
      </c>
      <c r="AC321" s="604" t="s">
        <v>355</v>
      </c>
      <c r="AD321" s="604" t="s">
        <v>424</v>
      </c>
      <c r="AE321" s="604">
        <v>14</v>
      </c>
      <c r="AF321" s="604">
        <v>2431</v>
      </c>
      <c r="AG321" s="604">
        <v>5.7</v>
      </c>
      <c r="AH321" s="604" t="s">
        <v>420</v>
      </c>
      <c r="AJ321" s="535" t="str">
        <f t="shared" si="45"/>
        <v>2016ethdepAsianQuin 4</v>
      </c>
      <c r="AK321" s="604">
        <v>2016</v>
      </c>
      <c r="AL321" s="604" t="s">
        <v>449</v>
      </c>
      <c r="AM321" s="604" t="s">
        <v>454</v>
      </c>
      <c r="AN321" s="604" t="s">
        <v>355</v>
      </c>
      <c r="AO321" s="604" t="s">
        <v>424</v>
      </c>
      <c r="AP321" s="604">
        <v>2431</v>
      </c>
      <c r="AR321" s="538" t="str">
        <f t="shared" si="46"/>
        <v>37-41gestfetalCounties Manukau</v>
      </c>
      <c r="AS321" s="604">
        <v>2016</v>
      </c>
      <c r="AT321" s="604" t="s">
        <v>137</v>
      </c>
      <c r="AU321" s="604" t="s">
        <v>450</v>
      </c>
      <c r="AV321" s="604" t="s">
        <v>88</v>
      </c>
      <c r="AW321" s="604">
        <v>10</v>
      </c>
      <c r="AX321" s="604">
        <v>7620</v>
      </c>
      <c r="AY321" s="606">
        <v>1.3</v>
      </c>
      <c r="AZ321" s="604" t="s">
        <v>420</v>
      </c>
      <c r="BB321" s="536" t="str">
        <f t="shared" si="47"/>
        <v>Quin 4depbirthsHawke's Bay</v>
      </c>
      <c r="BC321" s="604">
        <v>2016</v>
      </c>
      <c r="BD321" s="604" t="s">
        <v>424</v>
      </c>
      <c r="BE321" s="604" t="s">
        <v>454</v>
      </c>
      <c r="BF321" s="604" t="s">
        <v>92</v>
      </c>
      <c r="BG321" s="604">
        <v>416</v>
      </c>
      <c r="BH321" s="604" t="s">
        <v>445</v>
      </c>
      <c r="BY321" s="553" t="str">
        <f t="shared" si="48"/>
        <v>2002Quin 1depSIDS</v>
      </c>
      <c r="BZ321" s="604">
        <v>2002</v>
      </c>
      <c r="CA321" s="604" t="s">
        <v>421</v>
      </c>
      <c r="CB321" s="604" t="s">
        <v>454</v>
      </c>
      <c r="CC321" s="604">
        <v>1</v>
      </c>
      <c r="CD321" s="604" t="s">
        <v>32</v>
      </c>
      <c r="CF321" s="554" t="str">
        <f t="shared" si="49"/>
        <v>2016Pacific peoples500-999bwtSUDI</v>
      </c>
      <c r="CG321" s="604">
        <v>2016</v>
      </c>
      <c r="CH321" s="604" t="s">
        <v>320</v>
      </c>
      <c r="CI321" s="604" t="s">
        <v>428</v>
      </c>
      <c r="CJ321" s="604" t="s">
        <v>447</v>
      </c>
      <c r="CK321" s="604">
        <v>0</v>
      </c>
      <c r="CL321" s="604" t="s">
        <v>33</v>
      </c>
    </row>
    <row r="322" spans="9:90">
      <c r="I322" s="578" t="str">
        <f t="shared" si="42"/>
        <v>1996depQuin 5Fetal</v>
      </c>
      <c r="J322" s="604">
        <v>1996</v>
      </c>
      <c r="K322" s="604" t="s">
        <v>454</v>
      </c>
      <c r="L322" s="604" t="s">
        <v>425</v>
      </c>
      <c r="M322" s="604">
        <v>117</v>
      </c>
      <c r="N322" s="604">
        <v>15278</v>
      </c>
      <c r="O322" s="604">
        <v>7.7</v>
      </c>
      <c r="P322" s="604" t="s">
        <v>47</v>
      </c>
      <c r="Q322" s="499"/>
      <c r="R322" s="502" t="str">
        <f t="shared" si="43"/>
        <v>1998birthsdhbWaikato</v>
      </c>
      <c r="S322" s="604">
        <v>1998</v>
      </c>
      <c r="T322" s="604" t="s">
        <v>445</v>
      </c>
      <c r="U322" s="604" t="s">
        <v>448</v>
      </c>
      <c r="V322" s="604" t="s">
        <v>89</v>
      </c>
      <c r="W322" s="604">
        <v>4946</v>
      </c>
      <c r="Y322" s="535" t="str">
        <f t="shared" si="44"/>
        <v>2016ethdepEuropean or OtherQuin 4fetal</v>
      </c>
      <c r="Z322" s="604">
        <v>2016</v>
      </c>
      <c r="AA322" s="604" t="s">
        <v>449</v>
      </c>
      <c r="AB322" s="604" t="s">
        <v>454</v>
      </c>
      <c r="AC322" s="604" t="s">
        <v>356</v>
      </c>
      <c r="AD322" s="604" t="s">
        <v>424</v>
      </c>
      <c r="AE322" s="604">
        <v>39</v>
      </c>
      <c r="AF322" s="604">
        <v>5495</v>
      </c>
      <c r="AG322" s="604">
        <v>7</v>
      </c>
      <c r="AH322" s="604" t="s">
        <v>420</v>
      </c>
      <c r="AJ322" s="535" t="str">
        <f t="shared" si="45"/>
        <v>2016ethdepEuropean or OtherQuin 4</v>
      </c>
      <c r="AK322" s="604">
        <v>2016</v>
      </c>
      <c r="AL322" s="604" t="s">
        <v>449</v>
      </c>
      <c r="AM322" s="604" t="s">
        <v>454</v>
      </c>
      <c r="AN322" s="604" t="s">
        <v>356</v>
      </c>
      <c r="AO322" s="604" t="s">
        <v>424</v>
      </c>
      <c r="AP322" s="604">
        <v>5495</v>
      </c>
      <c r="AR322" s="538" t="str">
        <f t="shared" si="46"/>
        <v>UnknowngestfetalCounties Manukau</v>
      </c>
      <c r="AS322" s="604">
        <v>2016</v>
      </c>
      <c r="AT322" s="604" t="s">
        <v>63</v>
      </c>
      <c r="AU322" s="604" t="s">
        <v>450</v>
      </c>
      <c r="AV322" s="604" t="s">
        <v>88</v>
      </c>
      <c r="AW322" s="604">
        <v>2</v>
      </c>
      <c r="AX322" s="604">
        <v>5</v>
      </c>
      <c r="AY322" s="606" t="s">
        <v>119</v>
      </c>
      <c r="AZ322" s="604" t="s">
        <v>420</v>
      </c>
      <c r="BB322" s="536" t="str">
        <f t="shared" si="47"/>
        <v>Quin 5depbirthsHawke's Bay</v>
      </c>
      <c r="BC322" s="604">
        <v>2016</v>
      </c>
      <c r="BD322" s="604" t="s">
        <v>425</v>
      </c>
      <c r="BE322" s="604" t="s">
        <v>454</v>
      </c>
      <c r="BF322" s="604" t="s">
        <v>92</v>
      </c>
      <c r="BG322" s="604">
        <v>982</v>
      </c>
      <c r="BH322" s="604" t="s">
        <v>445</v>
      </c>
      <c r="BY322" s="553" t="str">
        <f t="shared" si="48"/>
        <v>2002Quin 2depSIDS</v>
      </c>
      <c r="BZ322" s="604">
        <v>2002</v>
      </c>
      <c r="CA322" s="604" t="s">
        <v>422</v>
      </c>
      <c r="CB322" s="604" t="s">
        <v>454</v>
      </c>
      <c r="CC322" s="604">
        <v>3</v>
      </c>
      <c r="CD322" s="604" t="s">
        <v>32</v>
      </c>
      <c r="CF322" s="554" t="str">
        <f t="shared" si="49"/>
        <v>2016Asian1000-1499bwtSUDI</v>
      </c>
      <c r="CG322" s="604">
        <v>2016</v>
      </c>
      <c r="CH322" s="604" t="s">
        <v>355</v>
      </c>
      <c r="CI322" s="604" t="s">
        <v>429</v>
      </c>
      <c r="CJ322" s="604" t="s">
        <v>447</v>
      </c>
      <c r="CK322" s="604">
        <v>0</v>
      </c>
      <c r="CL322" s="604" t="s">
        <v>33</v>
      </c>
    </row>
    <row r="323" spans="9:90">
      <c r="I323" s="578" t="str">
        <f t="shared" si="42"/>
        <v>1996depQuin 9Fetal</v>
      </c>
      <c r="J323" s="604">
        <v>1996</v>
      </c>
      <c r="K323" s="604" t="s">
        <v>454</v>
      </c>
      <c r="L323" s="604" t="s">
        <v>426</v>
      </c>
      <c r="M323" s="604">
        <v>53</v>
      </c>
      <c r="N323" s="604">
        <v>8313</v>
      </c>
      <c r="O323" s="604" t="s">
        <v>119</v>
      </c>
      <c r="P323" s="604" t="s">
        <v>47</v>
      </c>
      <c r="Q323" s="499"/>
      <c r="R323" s="502" t="str">
        <f t="shared" si="43"/>
        <v>1998birthsdhbLakes</v>
      </c>
      <c r="S323" s="604">
        <v>1998</v>
      </c>
      <c r="T323" s="604" t="s">
        <v>445</v>
      </c>
      <c r="U323" s="604" t="s">
        <v>448</v>
      </c>
      <c r="V323" s="604" t="s">
        <v>90</v>
      </c>
      <c r="W323" s="604">
        <v>1644</v>
      </c>
      <c r="Y323" s="535" t="str">
        <f t="shared" si="44"/>
        <v>2016ethdepMaoriQuin 5fetal</v>
      </c>
      <c r="Z323" s="604">
        <v>2016</v>
      </c>
      <c r="AA323" s="604" t="s">
        <v>449</v>
      </c>
      <c r="AB323" s="604" t="s">
        <v>454</v>
      </c>
      <c r="AC323" s="604" t="s">
        <v>129</v>
      </c>
      <c r="AD323" s="604" t="s">
        <v>425</v>
      </c>
      <c r="AE323" s="604">
        <v>52</v>
      </c>
      <c r="AF323" s="604">
        <v>7702</v>
      </c>
      <c r="AG323" s="604">
        <v>6.7</v>
      </c>
      <c r="AH323" s="604" t="s">
        <v>420</v>
      </c>
      <c r="AJ323" s="535" t="str">
        <f t="shared" si="45"/>
        <v>2016ethdepMaoriQuin 5</v>
      </c>
      <c r="AK323" s="604">
        <v>2016</v>
      </c>
      <c r="AL323" s="604" t="s">
        <v>449</v>
      </c>
      <c r="AM323" s="604" t="s">
        <v>454</v>
      </c>
      <c r="AN323" s="604" t="s">
        <v>129</v>
      </c>
      <c r="AO323" s="604" t="s">
        <v>425</v>
      </c>
      <c r="AP323" s="604">
        <v>7702</v>
      </c>
      <c r="AR323" s="538" t="str">
        <f t="shared" si="46"/>
        <v>&lt;28gestfetalWaikato</v>
      </c>
      <c r="AS323" s="604">
        <v>2016</v>
      </c>
      <c r="AT323" s="604" t="s">
        <v>375</v>
      </c>
      <c r="AU323" s="604" t="s">
        <v>450</v>
      </c>
      <c r="AV323" s="604" t="s">
        <v>89</v>
      </c>
      <c r="AW323" s="604">
        <v>30</v>
      </c>
      <c r="AX323" s="604">
        <v>50</v>
      </c>
      <c r="AY323" s="606">
        <v>600</v>
      </c>
      <c r="AZ323" s="604" t="s">
        <v>420</v>
      </c>
      <c r="BB323" s="536" t="str">
        <f t="shared" si="47"/>
        <v>Quin 1depbirthsTaranaki</v>
      </c>
      <c r="BC323" s="604">
        <v>2016</v>
      </c>
      <c r="BD323" s="604" t="s">
        <v>421</v>
      </c>
      <c r="BE323" s="604" t="s">
        <v>454</v>
      </c>
      <c r="BF323" s="604" t="s">
        <v>93</v>
      </c>
      <c r="BG323" s="604">
        <v>180</v>
      </c>
      <c r="BH323" s="604" t="s">
        <v>445</v>
      </c>
      <c r="BY323" s="553" t="str">
        <f t="shared" si="48"/>
        <v>2002Quin 3depSIDS</v>
      </c>
      <c r="BZ323" s="604">
        <v>2002</v>
      </c>
      <c r="CA323" s="604" t="s">
        <v>423</v>
      </c>
      <c r="CB323" s="604" t="s">
        <v>454</v>
      </c>
      <c r="CC323" s="604">
        <v>3</v>
      </c>
      <c r="CD323" s="604" t="s">
        <v>32</v>
      </c>
      <c r="CF323" s="554" t="str">
        <f t="shared" si="49"/>
        <v>2016European or Other1000-1499bwtSUDI</v>
      </c>
      <c r="CG323" s="604">
        <v>2016</v>
      </c>
      <c r="CH323" s="604" t="s">
        <v>356</v>
      </c>
      <c r="CI323" s="604" t="s">
        <v>429</v>
      </c>
      <c r="CJ323" s="604" t="s">
        <v>447</v>
      </c>
      <c r="CK323" s="604">
        <v>0</v>
      </c>
      <c r="CL323" s="604" t="s">
        <v>33</v>
      </c>
    </row>
    <row r="324" spans="9:90">
      <c r="I324" s="578" t="str">
        <f t="shared" ref="I324:I387" si="50">J324&amp;K324&amp;L324&amp;P324</f>
        <v>1997depQuin 1Fetal</v>
      </c>
      <c r="J324" s="604">
        <v>1997</v>
      </c>
      <c r="K324" s="604" t="s">
        <v>454</v>
      </c>
      <c r="L324" s="604" t="s">
        <v>421</v>
      </c>
      <c r="M324" s="604">
        <v>33</v>
      </c>
      <c r="N324" s="604">
        <v>6347</v>
      </c>
      <c r="O324" s="604">
        <v>5.2</v>
      </c>
      <c r="P324" s="604" t="s">
        <v>47</v>
      </c>
      <c r="Q324" s="499"/>
      <c r="R324" s="502" t="str">
        <f t="shared" ref="R324:R387" si="51">S324&amp;T324&amp;U324&amp;V324</f>
        <v>1998birthsdhbBay of Plenty</v>
      </c>
      <c r="S324" s="604">
        <v>1998</v>
      </c>
      <c r="T324" s="604" t="s">
        <v>445</v>
      </c>
      <c r="U324" s="604" t="s">
        <v>448</v>
      </c>
      <c r="V324" s="604" t="s">
        <v>91</v>
      </c>
      <c r="W324" s="604">
        <v>2613</v>
      </c>
      <c r="Y324" s="535" t="str">
        <f t="shared" ref="Y324:Y387" si="52">Z324&amp;AA324&amp;AB324&amp;AC324&amp;AD324&amp;AH324</f>
        <v>2016ethdepPacific peoplesQuin 5fetal</v>
      </c>
      <c r="Z324" s="604">
        <v>2016</v>
      </c>
      <c r="AA324" s="604" t="s">
        <v>449</v>
      </c>
      <c r="AB324" s="604" t="s">
        <v>454</v>
      </c>
      <c r="AC324" s="604" t="s">
        <v>320</v>
      </c>
      <c r="AD324" s="604" t="s">
        <v>425</v>
      </c>
      <c r="AE324" s="604">
        <v>29</v>
      </c>
      <c r="AF324" s="604">
        <v>3503</v>
      </c>
      <c r="AG324" s="604">
        <v>8.1999999999999993</v>
      </c>
      <c r="AH324" s="604" t="s">
        <v>420</v>
      </c>
      <c r="AJ324" s="535" t="str">
        <f t="shared" ref="AJ324:AJ387" si="53">AK324&amp;AL324&amp;AM324&amp;AN324&amp;AO324</f>
        <v>2016ethdepPacific peoplesQuin 5</v>
      </c>
      <c r="AK324" s="604">
        <v>2016</v>
      </c>
      <c r="AL324" s="604" t="s">
        <v>449</v>
      </c>
      <c r="AM324" s="604" t="s">
        <v>454</v>
      </c>
      <c r="AN324" s="604" t="s">
        <v>320</v>
      </c>
      <c r="AO324" s="604" t="s">
        <v>425</v>
      </c>
      <c r="AP324" s="604">
        <v>3503</v>
      </c>
      <c r="AR324" s="538" t="str">
        <f t="shared" ref="AR324:AR387" si="54">AT324&amp;AU324&amp;AZ324&amp;AV324</f>
        <v>28-31gestfetalWaikato</v>
      </c>
      <c r="AS324" s="604">
        <v>2016</v>
      </c>
      <c r="AT324" s="604" t="s">
        <v>395</v>
      </c>
      <c r="AU324" s="604" t="s">
        <v>450</v>
      </c>
      <c r="AV324" s="604" t="s">
        <v>89</v>
      </c>
      <c r="AW324" s="604">
        <v>2</v>
      </c>
      <c r="AX324" s="604">
        <v>45</v>
      </c>
      <c r="AY324" s="606">
        <v>44.4</v>
      </c>
      <c r="AZ324" s="604" t="s">
        <v>420</v>
      </c>
      <c r="BB324" s="536" t="str">
        <f t="shared" ref="BB324:BB387" si="55">BD324&amp;BE324&amp;BH324&amp;BF324</f>
        <v>Quin 2depbirthsTaranaki</v>
      </c>
      <c r="BC324" s="604">
        <v>2016</v>
      </c>
      <c r="BD324" s="604" t="s">
        <v>422</v>
      </c>
      <c r="BE324" s="604" t="s">
        <v>454</v>
      </c>
      <c r="BF324" s="604" t="s">
        <v>93</v>
      </c>
      <c r="BG324" s="604">
        <v>147</v>
      </c>
      <c r="BH324" s="604" t="s">
        <v>445</v>
      </c>
      <c r="BY324" s="553" t="str">
        <f t="shared" ref="BY324:BY387" si="56">BZ324&amp;CA324&amp;CB324&amp;CD324</f>
        <v>2002Quin 4depSIDS</v>
      </c>
      <c r="BZ324" s="604">
        <v>2002</v>
      </c>
      <c r="CA324" s="604" t="s">
        <v>424</v>
      </c>
      <c r="CB324" s="604" t="s">
        <v>454</v>
      </c>
      <c r="CC324" s="604">
        <v>14</v>
      </c>
      <c r="CD324" s="604" t="s">
        <v>32</v>
      </c>
      <c r="CF324" s="554" t="str">
        <f t="shared" ref="CF324:CF387" si="57">CG324&amp;CH324&amp;CI324&amp;CJ324&amp;CL324</f>
        <v>2016Maori1000-1499bwtSUDI</v>
      </c>
      <c r="CG324" s="604">
        <v>2016</v>
      </c>
      <c r="CH324" s="604" t="s">
        <v>129</v>
      </c>
      <c r="CI324" s="604" t="s">
        <v>429</v>
      </c>
      <c r="CJ324" s="604" t="s">
        <v>447</v>
      </c>
      <c r="CK324" s="604">
        <v>0</v>
      </c>
      <c r="CL324" s="604" t="s">
        <v>33</v>
      </c>
    </row>
    <row r="325" spans="9:90">
      <c r="I325" s="578" t="str">
        <f t="shared" si="50"/>
        <v>1997depQuin 2Fetal</v>
      </c>
      <c r="J325" s="604">
        <v>1997</v>
      </c>
      <c r="K325" s="604" t="s">
        <v>454</v>
      </c>
      <c r="L325" s="604" t="s">
        <v>422</v>
      </c>
      <c r="M325" s="604">
        <v>56</v>
      </c>
      <c r="N325" s="604">
        <v>7247</v>
      </c>
      <c r="O325" s="604">
        <v>7.7</v>
      </c>
      <c r="P325" s="604" t="s">
        <v>47</v>
      </c>
      <c r="Q325" s="499"/>
      <c r="R325" s="502" t="str">
        <f t="shared" si="51"/>
        <v>1998birthsdhbTairawhiti</v>
      </c>
      <c r="S325" s="604">
        <v>1998</v>
      </c>
      <c r="T325" s="604" t="s">
        <v>445</v>
      </c>
      <c r="U325" s="604" t="s">
        <v>448</v>
      </c>
      <c r="V325" s="604" t="s">
        <v>433</v>
      </c>
      <c r="W325" s="604">
        <v>753</v>
      </c>
      <c r="Y325" s="535" t="str">
        <f t="shared" si="52"/>
        <v>2016ethdepAsianQuin 5fetal</v>
      </c>
      <c r="Z325" s="604">
        <v>2016</v>
      </c>
      <c r="AA325" s="604" t="s">
        <v>449</v>
      </c>
      <c r="AB325" s="604" t="s">
        <v>454</v>
      </c>
      <c r="AC325" s="604" t="s">
        <v>355</v>
      </c>
      <c r="AD325" s="604" t="s">
        <v>425</v>
      </c>
      <c r="AE325" s="604">
        <v>19</v>
      </c>
      <c r="AF325" s="604">
        <v>2354</v>
      </c>
      <c r="AG325" s="604">
        <v>8</v>
      </c>
      <c r="AH325" s="604" t="s">
        <v>420</v>
      </c>
      <c r="AJ325" s="535" t="str">
        <f t="shared" si="53"/>
        <v>2016ethdepAsianQuin 5</v>
      </c>
      <c r="AK325" s="604">
        <v>2016</v>
      </c>
      <c r="AL325" s="604" t="s">
        <v>449</v>
      </c>
      <c r="AM325" s="604" t="s">
        <v>454</v>
      </c>
      <c r="AN325" s="604" t="s">
        <v>355</v>
      </c>
      <c r="AO325" s="604" t="s">
        <v>425</v>
      </c>
      <c r="AP325" s="604">
        <v>2354</v>
      </c>
      <c r="AR325" s="538" t="str">
        <f t="shared" si="54"/>
        <v>32-36gestfetalWaikato</v>
      </c>
      <c r="AS325" s="604">
        <v>2016</v>
      </c>
      <c r="AT325" s="604" t="s">
        <v>136</v>
      </c>
      <c r="AU325" s="604" t="s">
        <v>450</v>
      </c>
      <c r="AV325" s="604" t="s">
        <v>89</v>
      </c>
      <c r="AW325" s="604">
        <v>6</v>
      </c>
      <c r="AX325" s="604">
        <v>341</v>
      </c>
      <c r="AY325" s="606">
        <v>17.600000000000001</v>
      </c>
      <c r="AZ325" s="604" t="s">
        <v>420</v>
      </c>
      <c r="BB325" s="536" t="str">
        <f t="shared" si="55"/>
        <v>Quin 3depbirthsTaranaki</v>
      </c>
      <c r="BC325" s="604">
        <v>2016</v>
      </c>
      <c r="BD325" s="604" t="s">
        <v>423</v>
      </c>
      <c r="BE325" s="604" t="s">
        <v>454</v>
      </c>
      <c r="BF325" s="604" t="s">
        <v>93</v>
      </c>
      <c r="BG325" s="604">
        <v>520</v>
      </c>
      <c r="BH325" s="604" t="s">
        <v>445</v>
      </c>
      <c r="BY325" s="553" t="str">
        <f t="shared" si="56"/>
        <v>2002Quin 5depSIDS</v>
      </c>
      <c r="BZ325" s="604">
        <v>2002</v>
      </c>
      <c r="CA325" s="604" t="s">
        <v>425</v>
      </c>
      <c r="CB325" s="604" t="s">
        <v>454</v>
      </c>
      <c r="CC325" s="604">
        <v>21</v>
      </c>
      <c r="CD325" s="604" t="s">
        <v>32</v>
      </c>
      <c r="CF325" s="554" t="str">
        <f t="shared" si="57"/>
        <v>2016Pacific peoples1000-1499bwtSUDI</v>
      </c>
      <c r="CG325" s="604">
        <v>2016</v>
      </c>
      <c r="CH325" s="604" t="s">
        <v>320</v>
      </c>
      <c r="CI325" s="604" t="s">
        <v>429</v>
      </c>
      <c r="CJ325" s="604" t="s">
        <v>447</v>
      </c>
      <c r="CK325" s="604">
        <v>0</v>
      </c>
      <c r="CL325" s="604" t="s">
        <v>33</v>
      </c>
    </row>
    <row r="326" spans="9:90">
      <c r="I326" s="578" t="str">
        <f t="shared" si="50"/>
        <v>1997depQuin 3Fetal</v>
      </c>
      <c r="J326" s="604">
        <v>1997</v>
      </c>
      <c r="K326" s="604" t="s">
        <v>454</v>
      </c>
      <c r="L326" s="604" t="s">
        <v>423</v>
      </c>
      <c r="M326" s="604">
        <v>65</v>
      </c>
      <c r="N326" s="604">
        <v>9124</v>
      </c>
      <c r="O326" s="604">
        <v>7.1</v>
      </c>
      <c r="P326" s="604" t="s">
        <v>47</v>
      </c>
      <c r="Q326" s="499"/>
      <c r="R326" s="502" t="str">
        <f t="shared" si="51"/>
        <v>1998birthsdhbHawke's Bay</v>
      </c>
      <c r="S326" s="604">
        <v>1998</v>
      </c>
      <c r="T326" s="604" t="s">
        <v>445</v>
      </c>
      <c r="U326" s="604" t="s">
        <v>448</v>
      </c>
      <c r="V326" s="604" t="s">
        <v>92</v>
      </c>
      <c r="W326" s="604">
        <v>2118</v>
      </c>
      <c r="Y326" s="535" t="str">
        <f t="shared" si="52"/>
        <v>2016ethdepEuropean or OtherQuin 5fetal</v>
      </c>
      <c r="Z326" s="604">
        <v>2016</v>
      </c>
      <c r="AA326" s="604" t="s">
        <v>449</v>
      </c>
      <c r="AB326" s="604" t="s">
        <v>454</v>
      </c>
      <c r="AC326" s="604" t="s">
        <v>356</v>
      </c>
      <c r="AD326" s="604" t="s">
        <v>425</v>
      </c>
      <c r="AE326" s="604">
        <v>26</v>
      </c>
      <c r="AF326" s="604">
        <v>3327</v>
      </c>
      <c r="AG326" s="604">
        <v>7.8</v>
      </c>
      <c r="AH326" s="604" t="s">
        <v>420</v>
      </c>
      <c r="AJ326" s="535" t="str">
        <f t="shared" si="53"/>
        <v>2016ethdepEuropean or OtherQuin 5</v>
      </c>
      <c r="AK326" s="604">
        <v>2016</v>
      </c>
      <c r="AL326" s="604" t="s">
        <v>449</v>
      </c>
      <c r="AM326" s="604" t="s">
        <v>454</v>
      </c>
      <c r="AN326" s="604" t="s">
        <v>356</v>
      </c>
      <c r="AO326" s="604" t="s">
        <v>425</v>
      </c>
      <c r="AP326" s="604">
        <v>3327</v>
      </c>
      <c r="AR326" s="538" t="str">
        <f t="shared" si="54"/>
        <v>37-41gestfetalWaikato</v>
      </c>
      <c r="AS326" s="604">
        <v>2016</v>
      </c>
      <c r="AT326" s="604" t="s">
        <v>137</v>
      </c>
      <c r="AU326" s="604" t="s">
        <v>450</v>
      </c>
      <c r="AV326" s="604" t="s">
        <v>89</v>
      </c>
      <c r="AW326" s="604">
        <v>18</v>
      </c>
      <c r="AX326" s="604">
        <v>4920</v>
      </c>
      <c r="AY326" s="606">
        <v>3.7</v>
      </c>
      <c r="AZ326" s="604" t="s">
        <v>420</v>
      </c>
      <c r="BB326" s="536" t="str">
        <f t="shared" si="55"/>
        <v>Quin 4depbirthsTaranaki</v>
      </c>
      <c r="BC326" s="604">
        <v>2016</v>
      </c>
      <c r="BD326" s="604" t="s">
        <v>424</v>
      </c>
      <c r="BE326" s="604" t="s">
        <v>454</v>
      </c>
      <c r="BF326" s="604" t="s">
        <v>93</v>
      </c>
      <c r="BG326" s="604">
        <v>361</v>
      </c>
      <c r="BH326" s="604" t="s">
        <v>445</v>
      </c>
      <c r="BY326" s="553" t="str">
        <f t="shared" si="56"/>
        <v>2002Quin 9depSIDS</v>
      </c>
      <c r="BZ326" s="604">
        <v>2002</v>
      </c>
      <c r="CA326" s="604" t="s">
        <v>426</v>
      </c>
      <c r="CB326" s="604" t="s">
        <v>454</v>
      </c>
      <c r="CC326" s="604">
        <v>2</v>
      </c>
      <c r="CD326" s="604" t="s">
        <v>32</v>
      </c>
      <c r="CF326" s="554" t="str">
        <f t="shared" si="57"/>
        <v>2016Asian1500-2499bwtSUDI</v>
      </c>
      <c r="CG326" s="604">
        <v>2016</v>
      </c>
      <c r="CH326" s="604" t="s">
        <v>355</v>
      </c>
      <c r="CI326" s="604" t="s">
        <v>430</v>
      </c>
      <c r="CJ326" s="604" t="s">
        <v>447</v>
      </c>
      <c r="CK326" s="604">
        <v>0</v>
      </c>
      <c r="CL326" s="604" t="s">
        <v>33</v>
      </c>
    </row>
    <row r="327" spans="9:90">
      <c r="I327" s="578" t="str">
        <f t="shared" si="50"/>
        <v>1997depQuin 4Fetal</v>
      </c>
      <c r="J327" s="604">
        <v>1997</v>
      </c>
      <c r="K327" s="604" t="s">
        <v>454</v>
      </c>
      <c r="L327" s="604" t="s">
        <v>424</v>
      </c>
      <c r="M327" s="604">
        <v>94</v>
      </c>
      <c r="N327" s="604">
        <v>11742</v>
      </c>
      <c r="O327" s="604">
        <v>8</v>
      </c>
      <c r="P327" s="604" t="s">
        <v>47</v>
      </c>
      <c r="Q327" s="499"/>
      <c r="R327" s="502" t="str">
        <f t="shared" si="51"/>
        <v>1998birthsdhbTaranaki</v>
      </c>
      <c r="S327" s="604">
        <v>1998</v>
      </c>
      <c r="T327" s="604" t="s">
        <v>445</v>
      </c>
      <c r="U327" s="604" t="s">
        <v>448</v>
      </c>
      <c r="V327" s="604" t="s">
        <v>93</v>
      </c>
      <c r="W327" s="604">
        <v>1540</v>
      </c>
      <c r="Y327" s="535" t="str">
        <f t="shared" si="52"/>
        <v>2016ethdepMaoriQuin 9fetal</v>
      </c>
      <c r="Z327" s="604">
        <v>2016</v>
      </c>
      <c r="AA327" s="604" t="s">
        <v>449</v>
      </c>
      <c r="AB327" s="604" t="s">
        <v>454</v>
      </c>
      <c r="AC327" s="604" t="s">
        <v>129</v>
      </c>
      <c r="AD327" s="604" t="s">
        <v>426</v>
      </c>
      <c r="AE327" s="604">
        <v>3</v>
      </c>
      <c r="AF327" s="604">
        <v>18</v>
      </c>
      <c r="AG327" s="604" t="s">
        <v>119</v>
      </c>
      <c r="AH327" s="604" t="s">
        <v>420</v>
      </c>
      <c r="AJ327" s="535" t="str">
        <f t="shared" si="53"/>
        <v>2016ethdepMaoriQuin 9</v>
      </c>
      <c r="AK327" s="604">
        <v>2016</v>
      </c>
      <c r="AL327" s="604" t="s">
        <v>449</v>
      </c>
      <c r="AM327" s="604" t="s">
        <v>454</v>
      </c>
      <c r="AN327" s="604" t="s">
        <v>129</v>
      </c>
      <c r="AO327" s="604" t="s">
        <v>426</v>
      </c>
      <c r="AP327" s="604">
        <v>18</v>
      </c>
      <c r="AR327" s="538" t="str">
        <f t="shared" si="54"/>
        <v>UnknowngestfetalWaikato</v>
      </c>
      <c r="AS327" s="604">
        <v>2016</v>
      </c>
      <c r="AT327" s="604" t="s">
        <v>63</v>
      </c>
      <c r="AU327" s="604" t="s">
        <v>450</v>
      </c>
      <c r="AV327" s="604" t="s">
        <v>89</v>
      </c>
      <c r="AW327" s="604">
        <v>2</v>
      </c>
      <c r="AX327" s="604">
        <v>13</v>
      </c>
      <c r="AY327" s="606" t="s">
        <v>119</v>
      </c>
      <c r="AZ327" s="604" t="s">
        <v>420</v>
      </c>
      <c r="BB327" s="536" t="str">
        <f t="shared" si="55"/>
        <v>Quin 5depbirthsTaranaki</v>
      </c>
      <c r="BC327" s="604">
        <v>2016</v>
      </c>
      <c r="BD327" s="604" t="s">
        <v>425</v>
      </c>
      <c r="BE327" s="604" t="s">
        <v>454</v>
      </c>
      <c r="BF327" s="604" t="s">
        <v>93</v>
      </c>
      <c r="BG327" s="604">
        <v>283</v>
      </c>
      <c r="BH327" s="604" t="s">
        <v>445</v>
      </c>
      <c r="BY327" s="553" t="str">
        <f t="shared" si="56"/>
        <v>2003Quin 1depSIDS</v>
      </c>
      <c r="BZ327" s="604">
        <v>2003</v>
      </c>
      <c r="CA327" s="604" t="s">
        <v>421</v>
      </c>
      <c r="CB327" s="604" t="s">
        <v>454</v>
      </c>
      <c r="CC327" s="604">
        <v>2</v>
      </c>
      <c r="CD327" s="604" t="s">
        <v>32</v>
      </c>
      <c r="CF327" s="554" t="str">
        <f t="shared" si="57"/>
        <v>2016European or Other1500-2499bwtSUDI</v>
      </c>
      <c r="CG327" s="604">
        <v>2016</v>
      </c>
      <c r="CH327" s="604" t="s">
        <v>356</v>
      </c>
      <c r="CI327" s="604" t="s">
        <v>430</v>
      </c>
      <c r="CJ327" s="604" t="s">
        <v>447</v>
      </c>
      <c r="CK327" s="604">
        <v>1</v>
      </c>
      <c r="CL327" s="604" t="s">
        <v>33</v>
      </c>
    </row>
    <row r="328" spans="9:90">
      <c r="I328" s="578" t="str">
        <f t="shared" si="50"/>
        <v>1997depQuin 5Fetal</v>
      </c>
      <c r="J328" s="604">
        <v>1997</v>
      </c>
      <c r="K328" s="604" t="s">
        <v>454</v>
      </c>
      <c r="L328" s="604" t="s">
        <v>425</v>
      </c>
      <c r="M328" s="604">
        <v>115</v>
      </c>
      <c r="N328" s="604">
        <v>15187</v>
      </c>
      <c r="O328" s="604">
        <v>7.6</v>
      </c>
      <c r="P328" s="604" t="s">
        <v>47</v>
      </c>
      <c r="Q328" s="499"/>
      <c r="R328" s="502" t="str">
        <f t="shared" si="51"/>
        <v>1998birthsdhbMidCentral</v>
      </c>
      <c r="S328" s="604">
        <v>1998</v>
      </c>
      <c r="T328" s="604" t="s">
        <v>445</v>
      </c>
      <c r="U328" s="604" t="s">
        <v>448</v>
      </c>
      <c r="V328" s="604" t="s">
        <v>94</v>
      </c>
      <c r="W328" s="604">
        <v>2181</v>
      </c>
      <c r="Y328" s="535" t="str">
        <f t="shared" si="52"/>
        <v>2016ethdepPacific peoplesQuin 9fetal</v>
      </c>
      <c r="Z328" s="604">
        <v>2016</v>
      </c>
      <c r="AA328" s="604" t="s">
        <v>449</v>
      </c>
      <c r="AB328" s="604" t="s">
        <v>454</v>
      </c>
      <c r="AC328" s="604" t="s">
        <v>320</v>
      </c>
      <c r="AD328" s="604" t="s">
        <v>426</v>
      </c>
      <c r="AE328" s="604">
        <v>4</v>
      </c>
      <c r="AF328" s="604">
        <v>29</v>
      </c>
      <c r="AG328" s="604" t="s">
        <v>119</v>
      </c>
      <c r="AH328" s="604" t="s">
        <v>420</v>
      </c>
      <c r="AJ328" s="535" t="str">
        <f t="shared" si="53"/>
        <v>2016ethdepPacific peoplesQuin 9</v>
      </c>
      <c r="AK328" s="604">
        <v>2016</v>
      </c>
      <c r="AL328" s="604" t="s">
        <v>449</v>
      </c>
      <c r="AM328" s="604" t="s">
        <v>454</v>
      </c>
      <c r="AN328" s="604" t="s">
        <v>320</v>
      </c>
      <c r="AO328" s="604" t="s">
        <v>426</v>
      </c>
      <c r="AP328" s="604">
        <v>29</v>
      </c>
      <c r="AR328" s="538" t="str">
        <f t="shared" si="54"/>
        <v>&lt;28gestfetalLakes</v>
      </c>
      <c r="AS328" s="604">
        <v>2016</v>
      </c>
      <c r="AT328" s="604" t="s">
        <v>375</v>
      </c>
      <c r="AU328" s="604" t="s">
        <v>450</v>
      </c>
      <c r="AV328" s="604" t="s">
        <v>90</v>
      </c>
      <c r="AW328" s="604">
        <v>5</v>
      </c>
      <c r="AX328" s="604">
        <v>15</v>
      </c>
      <c r="AY328" s="606">
        <v>333.3</v>
      </c>
      <c r="AZ328" s="604" t="s">
        <v>420</v>
      </c>
      <c r="BB328" s="536" t="str">
        <f t="shared" si="55"/>
        <v>Quin 1depbirthsMidCentral</v>
      </c>
      <c r="BC328" s="604">
        <v>2016</v>
      </c>
      <c r="BD328" s="604" t="s">
        <v>421</v>
      </c>
      <c r="BE328" s="604" t="s">
        <v>454</v>
      </c>
      <c r="BF328" s="604" t="s">
        <v>94</v>
      </c>
      <c r="BG328" s="604">
        <v>136</v>
      </c>
      <c r="BH328" s="604" t="s">
        <v>445</v>
      </c>
      <c r="BY328" s="553" t="str">
        <f t="shared" si="56"/>
        <v>2003Quin 2depSIDS</v>
      </c>
      <c r="BZ328" s="604">
        <v>2003</v>
      </c>
      <c r="CA328" s="604" t="s">
        <v>422</v>
      </c>
      <c r="CB328" s="604" t="s">
        <v>454</v>
      </c>
      <c r="CC328" s="604">
        <v>4</v>
      </c>
      <c r="CD328" s="604" t="s">
        <v>32</v>
      </c>
      <c r="CF328" s="554" t="str">
        <f t="shared" si="57"/>
        <v>2016Maori1500-2499bwtSUDI</v>
      </c>
      <c r="CG328" s="604">
        <v>2016</v>
      </c>
      <c r="CH328" s="604" t="s">
        <v>129</v>
      </c>
      <c r="CI328" s="604" t="s">
        <v>430</v>
      </c>
      <c r="CJ328" s="604" t="s">
        <v>447</v>
      </c>
      <c r="CK328" s="604">
        <v>4</v>
      </c>
      <c r="CL328" s="604" t="s">
        <v>33</v>
      </c>
    </row>
    <row r="329" spans="9:90">
      <c r="I329" s="578" t="str">
        <f t="shared" si="50"/>
        <v>1997depQuin 9Fetal</v>
      </c>
      <c r="J329" s="604">
        <v>1997</v>
      </c>
      <c r="K329" s="604" t="s">
        <v>454</v>
      </c>
      <c r="L329" s="604" t="s">
        <v>426</v>
      </c>
      <c r="M329" s="604">
        <v>54</v>
      </c>
      <c r="N329" s="604">
        <v>8504</v>
      </c>
      <c r="O329" s="604" t="s">
        <v>119</v>
      </c>
      <c r="P329" s="604" t="s">
        <v>47</v>
      </c>
      <c r="Q329" s="499"/>
      <c r="R329" s="502" t="str">
        <f t="shared" si="51"/>
        <v>1998birthsdhbWhanganui</v>
      </c>
      <c r="S329" s="604">
        <v>1998</v>
      </c>
      <c r="T329" s="604" t="s">
        <v>445</v>
      </c>
      <c r="U329" s="604" t="s">
        <v>448</v>
      </c>
      <c r="V329" s="604" t="s">
        <v>95</v>
      </c>
      <c r="W329" s="604">
        <v>979</v>
      </c>
      <c r="Y329" s="535" t="str">
        <f t="shared" si="52"/>
        <v>2016ethdepAsianQuin 9fetal</v>
      </c>
      <c r="Z329" s="604">
        <v>2016</v>
      </c>
      <c r="AA329" s="604" t="s">
        <v>449</v>
      </c>
      <c r="AB329" s="604" t="s">
        <v>454</v>
      </c>
      <c r="AC329" s="604" t="s">
        <v>355</v>
      </c>
      <c r="AD329" s="604" t="s">
        <v>426</v>
      </c>
      <c r="AE329" s="604">
        <v>4</v>
      </c>
      <c r="AF329" s="604">
        <v>52</v>
      </c>
      <c r="AG329" s="604" t="s">
        <v>119</v>
      </c>
      <c r="AH329" s="604" t="s">
        <v>420</v>
      </c>
      <c r="AJ329" s="535" t="str">
        <f t="shared" si="53"/>
        <v>2016ethdepAsianQuin 9</v>
      </c>
      <c r="AK329" s="604">
        <v>2016</v>
      </c>
      <c r="AL329" s="604" t="s">
        <v>449</v>
      </c>
      <c r="AM329" s="604" t="s">
        <v>454</v>
      </c>
      <c r="AN329" s="604" t="s">
        <v>355</v>
      </c>
      <c r="AO329" s="604" t="s">
        <v>426</v>
      </c>
      <c r="AP329" s="604">
        <v>52</v>
      </c>
      <c r="AR329" s="538" t="str">
        <f t="shared" si="54"/>
        <v>32-36gestfetalLakes</v>
      </c>
      <c r="AS329" s="604">
        <v>2016</v>
      </c>
      <c r="AT329" s="604" t="s">
        <v>136</v>
      </c>
      <c r="AU329" s="604" t="s">
        <v>450</v>
      </c>
      <c r="AV329" s="604" t="s">
        <v>90</v>
      </c>
      <c r="AW329" s="604">
        <v>3</v>
      </c>
      <c r="AX329" s="604">
        <v>89</v>
      </c>
      <c r="AY329" s="606">
        <v>33.700000000000003</v>
      </c>
      <c r="AZ329" s="604" t="s">
        <v>420</v>
      </c>
      <c r="BB329" s="536" t="str">
        <f t="shared" si="55"/>
        <v>Quin 2depbirthsMidCentral</v>
      </c>
      <c r="BC329" s="604">
        <v>2016</v>
      </c>
      <c r="BD329" s="604" t="s">
        <v>422</v>
      </c>
      <c r="BE329" s="604" t="s">
        <v>454</v>
      </c>
      <c r="BF329" s="604" t="s">
        <v>94</v>
      </c>
      <c r="BG329" s="604">
        <v>301</v>
      </c>
      <c r="BH329" s="604" t="s">
        <v>445</v>
      </c>
      <c r="BY329" s="553" t="str">
        <f t="shared" si="56"/>
        <v>2003Quin 3depSIDS</v>
      </c>
      <c r="BZ329" s="604">
        <v>2003</v>
      </c>
      <c r="CA329" s="604" t="s">
        <v>423</v>
      </c>
      <c r="CB329" s="604" t="s">
        <v>454</v>
      </c>
      <c r="CC329" s="604">
        <v>7</v>
      </c>
      <c r="CD329" s="604" t="s">
        <v>32</v>
      </c>
      <c r="CF329" s="554" t="str">
        <f t="shared" si="57"/>
        <v>2016Pacific peoples1500-2499bwtSUDI</v>
      </c>
      <c r="CG329" s="604">
        <v>2016</v>
      </c>
      <c r="CH329" s="604" t="s">
        <v>320</v>
      </c>
      <c r="CI329" s="604" t="s">
        <v>430</v>
      </c>
      <c r="CJ329" s="604" t="s">
        <v>447</v>
      </c>
      <c r="CK329" s="604">
        <v>2</v>
      </c>
      <c r="CL329" s="604" t="s">
        <v>33</v>
      </c>
    </row>
    <row r="330" spans="9:90">
      <c r="I330" s="578" t="str">
        <f t="shared" si="50"/>
        <v>1998depQuin 1Fetal</v>
      </c>
      <c r="J330" s="604">
        <v>1998</v>
      </c>
      <c r="K330" s="604" t="s">
        <v>454</v>
      </c>
      <c r="L330" s="604" t="s">
        <v>421</v>
      </c>
      <c r="M330" s="604">
        <v>25</v>
      </c>
      <c r="N330" s="604">
        <v>6339</v>
      </c>
      <c r="O330" s="604">
        <v>3.9</v>
      </c>
      <c r="P330" s="604" t="s">
        <v>47</v>
      </c>
      <c r="Q330" s="499"/>
      <c r="R330" s="502" t="str">
        <f t="shared" si="51"/>
        <v>1998birthsdhbCapital &amp; Coast</v>
      </c>
      <c r="S330" s="604">
        <v>1998</v>
      </c>
      <c r="T330" s="604" t="s">
        <v>445</v>
      </c>
      <c r="U330" s="604" t="s">
        <v>448</v>
      </c>
      <c r="V330" s="604" t="s">
        <v>96</v>
      </c>
      <c r="W330" s="604">
        <v>3585</v>
      </c>
      <c r="Y330" s="535" t="str">
        <f t="shared" si="52"/>
        <v>2016ethdepEuropean or OtherQuin 9fetal</v>
      </c>
      <c r="Z330" s="604">
        <v>2016</v>
      </c>
      <c r="AA330" s="604" t="s">
        <v>449</v>
      </c>
      <c r="AB330" s="604" t="s">
        <v>454</v>
      </c>
      <c r="AC330" s="604" t="s">
        <v>356</v>
      </c>
      <c r="AD330" s="604" t="s">
        <v>426</v>
      </c>
      <c r="AE330" s="604">
        <v>11</v>
      </c>
      <c r="AF330" s="604">
        <v>32</v>
      </c>
      <c r="AG330" s="604" t="s">
        <v>119</v>
      </c>
      <c r="AH330" s="604" t="s">
        <v>420</v>
      </c>
      <c r="AJ330" s="535" t="str">
        <f t="shared" si="53"/>
        <v>2016ethdepEuropean or OtherQuin 9</v>
      </c>
      <c r="AK330" s="604">
        <v>2016</v>
      </c>
      <c r="AL330" s="604" t="s">
        <v>449</v>
      </c>
      <c r="AM330" s="604" t="s">
        <v>454</v>
      </c>
      <c r="AN330" s="604" t="s">
        <v>356</v>
      </c>
      <c r="AO330" s="604" t="s">
        <v>426</v>
      </c>
      <c r="AP330" s="604">
        <v>32</v>
      </c>
      <c r="AR330" s="538" t="str">
        <f t="shared" si="54"/>
        <v>37-41gestfetalLakes</v>
      </c>
      <c r="AS330" s="604">
        <v>2016</v>
      </c>
      <c r="AT330" s="604" t="s">
        <v>137</v>
      </c>
      <c r="AU330" s="604" t="s">
        <v>450</v>
      </c>
      <c r="AV330" s="604" t="s">
        <v>90</v>
      </c>
      <c r="AW330" s="604">
        <v>5</v>
      </c>
      <c r="AX330" s="604">
        <v>1457</v>
      </c>
      <c r="AY330" s="606">
        <v>3.4</v>
      </c>
      <c r="AZ330" s="604" t="s">
        <v>420</v>
      </c>
      <c r="BB330" s="536" t="str">
        <f t="shared" si="55"/>
        <v>Quin 3depbirthsMidCentral</v>
      </c>
      <c r="BC330" s="604">
        <v>2016</v>
      </c>
      <c r="BD330" s="604" t="s">
        <v>423</v>
      </c>
      <c r="BE330" s="604" t="s">
        <v>454</v>
      </c>
      <c r="BF330" s="604" t="s">
        <v>94</v>
      </c>
      <c r="BG330" s="604">
        <v>439</v>
      </c>
      <c r="BH330" s="604" t="s">
        <v>445</v>
      </c>
      <c r="BY330" s="553" t="str">
        <f t="shared" si="56"/>
        <v>2003Quin 4depSIDS</v>
      </c>
      <c r="BZ330" s="604">
        <v>2003</v>
      </c>
      <c r="CA330" s="604" t="s">
        <v>424</v>
      </c>
      <c r="CB330" s="604" t="s">
        <v>454</v>
      </c>
      <c r="CC330" s="604">
        <v>7</v>
      </c>
      <c r="CD330" s="604" t="s">
        <v>32</v>
      </c>
      <c r="CF330" s="554" t="str">
        <f t="shared" si="57"/>
        <v>2016Asian2500-4499bwtSUDI</v>
      </c>
      <c r="CG330" s="604">
        <v>2016</v>
      </c>
      <c r="CH330" s="604" t="s">
        <v>355</v>
      </c>
      <c r="CI330" s="604" t="s">
        <v>431</v>
      </c>
      <c r="CJ330" s="604" t="s">
        <v>447</v>
      </c>
      <c r="CK330" s="604">
        <v>1</v>
      </c>
      <c r="CL330" s="604" t="s">
        <v>33</v>
      </c>
    </row>
    <row r="331" spans="9:90">
      <c r="I331" s="578" t="str">
        <f t="shared" si="50"/>
        <v>1998depQuin 2Fetal</v>
      </c>
      <c r="J331" s="604">
        <v>1998</v>
      </c>
      <c r="K331" s="604" t="s">
        <v>454</v>
      </c>
      <c r="L331" s="604" t="s">
        <v>422</v>
      </c>
      <c r="M331" s="604">
        <v>51</v>
      </c>
      <c r="N331" s="604">
        <v>7242</v>
      </c>
      <c r="O331" s="604">
        <v>7</v>
      </c>
      <c r="P331" s="604" t="s">
        <v>47</v>
      </c>
      <c r="Q331" s="499"/>
      <c r="R331" s="502" t="str">
        <f t="shared" si="51"/>
        <v>1998birthsdhbHutt Valley</v>
      </c>
      <c r="S331" s="604">
        <v>1998</v>
      </c>
      <c r="T331" s="604" t="s">
        <v>445</v>
      </c>
      <c r="U331" s="604" t="s">
        <v>448</v>
      </c>
      <c r="V331" s="604" t="s">
        <v>97</v>
      </c>
      <c r="W331" s="604">
        <v>2176</v>
      </c>
      <c r="Y331" s="535" t="str">
        <f t="shared" si="52"/>
        <v>2016sexdepMaleQuin 1fetal</v>
      </c>
      <c r="Z331" s="604">
        <v>2016</v>
      </c>
      <c r="AA331" s="604" t="s">
        <v>451</v>
      </c>
      <c r="AB331" s="604" t="s">
        <v>454</v>
      </c>
      <c r="AC331" s="604" t="s">
        <v>70</v>
      </c>
      <c r="AD331" s="604" t="s">
        <v>421</v>
      </c>
      <c r="AE331" s="604">
        <v>24</v>
      </c>
      <c r="AF331" s="604">
        <v>4809</v>
      </c>
      <c r="AG331" s="604">
        <v>5</v>
      </c>
      <c r="AH331" s="604" t="s">
        <v>420</v>
      </c>
      <c r="AJ331" s="535" t="str">
        <f t="shared" si="53"/>
        <v>2016sexdepMaleQuin 1</v>
      </c>
      <c r="AK331" s="604">
        <v>2016</v>
      </c>
      <c r="AL331" s="604" t="s">
        <v>451</v>
      </c>
      <c r="AM331" s="604" t="s">
        <v>454</v>
      </c>
      <c r="AN331" s="604" t="s">
        <v>70</v>
      </c>
      <c r="AO331" s="604" t="s">
        <v>421</v>
      </c>
      <c r="AP331" s="604">
        <v>4809</v>
      </c>
      <c r="AR331" s="538" t="str">
        <f t="shared" si="54"/>
        <v>&lt;28gestfetalBay of Plenty</v>
      </c>
      <c r="AS331" s="604">
        <v>2016</v>
      </c>
      <c r="AT331" s="604" t="s">
        <v>375</v>
      </c>
      <c r="AU331" s="604" t="s">
        <v>450</v>
      </c>
      <c r="AV331" s="604" t="s">
        <v>91</v>
      </c>
      <c r="AW331" s="604">
        <v>14</v>
      </c>
      <c r="AX331" s="604">
        <v>25</v>
      </c>
      <c r="AY331" s="606">
        <v>560</v>
      </c>
      <c r="AZ331" s="604" t="s">
        <v>420</v>
      </c>
      <c r="BB331" s="536" t="str">
        <f t="shared" si="55"/>
        <v>Quin 4depbirthsMidCentral</v>
      </c>
      <c r="BC331" s="604">
        <v>2016</v>
      </c>
      <c r="BD331" s="604" t="s">
        <v>424</v>
      </c>
      <c r="BE331" s="604" t="s">
        <v>454</v>
      </c>
      <c r="BF331" s="604" t="s">
        <v>94</v>
      </c>
      <c r="BG331" s="604">
        <v>431</v>
      </c>
      <c r="BH331" s="604" t="s">
        <v>445</v>
      </c>
      <c r="BY331" s="553" t="str">
        <f t="shared" si="56"/>
        <v>2003Quin 5depSIDS</v>
      </c>
      <c r="BZ331" s="604">
        <v>2003</v>
      </c>
      <c r="CA331" s="604" t="s">
        <v>425</v>
      </c>
      <c r="CB331" s="604" t="s">
        <v>454</v>
      </c>
      <c r="CC331" s="604">
        <v>23</v>
      </c>
      <c r="CD331" s="604" t="s">
        <v>32</v>
      </c>
      <c r="CF331" s="554" t="str">
        <f t="shared" si="57"/>
        <v>2016European or Other2500-4499bwtSUDI</v>
      </c>
      <c r="CG331" s="604">
        <v>2016</v>
      </c>
      <c r="CH331" s="604" t="s">
        <v>356</v>
      </c>
      <c r="CI331" s="604" t="s">
        <v>431</v>
      </c>
      <c r="CJ331" s="604" t="s">
        <v>447</v>
      </c>
      <c r="CK331" s="604">
        <v>7</v>
      </c>
      <c r="CL331" s="604" t="s">
        <v>33</v>
      </c>
    </row>
    <row r="332" spans="9:90">
      <c r="I332" s="578" t="str">
        <f t="shared" si="50"/>
        <v>1998depQuin 3Fetal</v>
      </c>
      <c r="J332" s="604">
        <v>1998</v>
      </c>
      <c r="K332" s="604" t="s">
        <v>454</v>
      </c>
      <c r="L332" s="604" t="s">
        <v>423</v>
      </c>
      <c r="M332" s="604">
        <v>50</v>
      </c>
      <c r="N332" s="604">
        <v>9109</v>
      </c>
      <c r="O332" s="604">
        <v>5.5</v>
      </c>
      <c r="P332" s="604" t="s">
        <v>47</v>
      </c>
      <c r="Q332" s="499"/>
      <c r="R332" s="502" t="str">
        <f t="shared" si="51"/>
        <v>1998birthsdhbWairarapa</v>
      </c>
      <c r="S332" s="604">
        <v>1998</v>
      </c>
      <c r="T332" s="604" t="s">
        <v>445</v>
      </c>
      <c r="U332" s="604" t="s">
        <v>448</v>
      </c>
      <c r="V332" s="604" t="s">
        <v>98</v>
      </c>
      <c r="W332" s="604">
        <v>569</v>
      </c>
      <c r="Y332" s="535" t="str">
        <f t="shared" si="52"/>
        <v>2016sexdepFemaleQuin 1fetal</v>
      </c>
      <c r="Z332" s="604">
        <v>2016</v>
      </c>
      <c r="AA332" s="604" t="s">
        <v>451</v>
      </c>
      <c r="AB332" s="604" t="s">
        <v>454</v>
      </c>
      <c r="AC332" s="604" t="s">
        <v>71</v>
      </c>
      <c r="AD332" s="604" t="s">
        <v>421</v>
      </c>
      <c r="AE332" s="604">
        <v>19</v>
      </c>
      <c r="AF332" s="604">
        <v>4385</v>
      </c>
      <c r="AG332" s="604">
        <v>4.3</v>
      </c>
      <c r="AH332" s="604" t="s">
        <v>420</v>
      </c>
      <c r="AJ332" s="535" t="str">
        <f t="shared" si="53"/>
        <v>2016sexdepFemaleQuin 1</v>
      </c>
      <c r="AK332" s="604">
        <v>2016</v>
      </c>
      <c r="AL332" s="604" t="s">
        <v>451</v>
      </c>
      <c r="AM332" s="604" t="s">
        <v>454</v>
      </c>
      <c r="AN332" s="604" t="s">
        <v>71</v>
      </c>
      <c r="AO332" s="604" t="s">
        <v>421</v>
      </c>
      <c r="AP332" s="604">
        <v>4385</v>
      </c>
      <c r="AR332" s="538" t="str">
        <f t="shared" si="54"/>
        <v>28-31gestfetalBay of Plenty</v>
      </c>
      <c r="AS332" s="604">
        <v>2016</v>
      </c>
      <c r="AT332" s="604" t="s">
        <v>395</v>
      </c>
      <c r="AU332" s="604" t="s">
        <v>450</v>
      </c>
      <c r="AV332" s="604" t="s">
        <v>91</v>
      </c>
      <c r="AW332" s="604">
        <v>2</v>
      </c>
      <c r="AX332" s="604">
        <v>26</v>
      </c>
      <c r="AY332" s="606">
        <v>76.900000000000006</v>
      </c>
      <c r="AZ332" s="604" t="s">
        <v>420</v>
      </c>
      <c r="BB332" s="536" t="str">
        <f t="shared" si="55"/>
        <v>Quin 5depbirthsMidCentral</v>
      </c>
      <c r="BC332" s="604">
        <v>2016</v>
      </c>
      <c r="BD332" s="604" t="s">
        <v>425</v>
      </c>
      <c r="BE332" s="604" t="s">
        <v>454</v>
      </c>
      <c r="BF332" s="604" t="s">
        <v>94</v>
      </c>
      <c r="BG332" s="604">
        <v>799</v>
      </c>
      <c r="BH332" s="604" t="s">
        <v>445</v>
      </c>
      <c r="BY332" s="553" t="str">
        <f t="shared" si="56"/>
        <v>2003Quin 9depSIDS</v>
      </c>
      <c r="BZ332" s="604">
        <v>2003</v>
      </c>
      <c r="CA332" s="604" t="s">
        <v>426</v>
      </c>
      <c r="CB332" s="604" t="s">
        <v>454</v>
      </c>
      <c r="CC332" s="604">
        <v>6</v>
      </c>
      <c r="CD332" s="604" t="s">
        <v>32</v>
      </c>
      <c r="CF332" s="554" t="str">
        <f t="shared" si="57"/>
        <v>2016Maori2500-4499bwtSUDI</v>
      </c>
      <c r="CG332" s="604">
        <v>2016</v>
      </c>
      <c r="CH332" s="604" t="s">
        <v>129</v>
      </c>
      <c r="CI332" s="604" t="s">
        <v>431</v>
      </c>
      <c r="CJ332" s="604" t="s">
        <v>447</v>
      </c>
      <c r="CK332" s="604">
        <v>22</v>
      </c>
      <c r="CL332" s="604" t="s">
        <v>33</v>
      </c>
    </row>
    <row r="333" spans="9:90">
      <c r="I333" s="578" t="str">
        <f t="shared" si="50"/>
        <v>1998depQuin 4Fetal</v>
      </c>
      <c r="J333" s="604">
        <v>1998</v>
      </c>
      <c r="K333" s="604" t="s">
        <v>454</v>
      </c>
      <c r="L333" s="604" t="s">
        <v>424</v>
      </c>
      <c r="M333" s="604">
        <v>66</v>
      </c>
      <c r="N333" s="604">
        <v>11714</v>
      </c>
      <c r="O333" s="604">
        <v>5.6</v>
      </c>
      <c r="P333" s="604" t="s">
        <v>47</v>
      </c>
      <c r="Q333" s="499"/>
      <c r="R333" s="502" t="str">
        <f t="shared" si="51"/>
        <v>1998birthsdhbNelson Marlborough</v>
      </c>
      <c r="S333" s="604">
        <v>1998</v>
      </c>
      <c r="T333" s="604" t="s">
        <v>445</v>
      </c>
      <c r="U333" s="604" t="s">
        <v>448</v>
      </c>
      <c r="V333" s="604" t="s">
        <v>99</v>
      </c>
      <c r="W333" s="604">
        <v>1443</v>
      </c>
      <c r="Y333" s="535" t="str">
        <f t="shared" si="52"/>
        <v>2016sexdepMaleQuin 2fetal</v>
      </c>
      <c r="Z333" s="604">
        <v>2016</v>
      </c>
      <c r="AA333" s="604" t="s">
        <v>451</v>
      </c>
      <c r="AB333" s="604" t="s">
        <v>454</v>
      </c>
      <c r="AC333" s="604" t="s">
        <v>70</v>
      </c>
      <c r="AD333" s="604" t="s">
        <v>422</v>
      </c>
      <c r="AE333" s="604">
        <v>28</v>
      </c>
      <c r="AF333" s="604">
        <v>5230</v>
      </c>
      <c r="AG333" s="604">
        <v>5.3</v>
      </c>
      <c r="AH333" s="604" t="s">
        <v>420</v>
      </c>
      <c r="AJ333" s="535" t="str">
        <f t="shared" si="53"/>
        <v>2016sexdepMaleQuin 2</v>
      </c>
      <c r="AK333" s="604">
        <v>2016</v>
      </c>
      <c r="AL333" s="604" t="s">
        <v>451</v>
      </c>
      <c r="AM333" s="604" t="s">
        <v>454</v>
      </c>
      <c r="AN333" s="604" t="s">
        <v>70</v>
      </c>
      <c r="AO333" s="604" t="s">
        <v>422</v>
      </c>
      <c r="AP333" s="604">
        <v>5230</v>
      </c>
      <c r="AR333" s="538" t="str">
        <f t="shared" si="54"/>
        <v>32-36gestfetalBay of Plenty</v>
      </c>
      <c r="AS333" s="604">
        <v>2016</v>
      </c>
      <c r="AT333" s="604" t="s">
        <v>136</v>
      </c>
      <c r="AU333" s="604" t="s">
        <v>450</v>
      </c>
      <c r="AV333" s="604" t="s">
        <v>91</v>
      </c>
      <c r="AW333" s="604">
        <v>1</v>
      </c>
      <c r="AX333" s="604">
        <v>181</v>
      </c>
      <c r="AY333" s="606">
        <v>5.5</v>
      </c>
      <c r="AZ333" s="604" t="s">
        <v>420</v>
      </c>
      <c r="BB333" s="536" t="str">
        <f t="shared" si="55"/>
        <v>Quin 1depbirthsWhanganui</v>
      </c>
      <c r="BC333" s="604">
        <v>2016</v>
      </c>
      <c r="BD333" s="604" t="s">
        <v>421</v>
      </c>
      <c r="BE333" s="604" t="s">
        <v>454</v>
      </c>
      <c r="BF333" s="604" t="s">
        <v>95</v>
      </c>
      <c r="BG333" s="604">
        <v>8</v>
      </c>
      <c r="BH333" s="604" t="s">
        <v>445</v>
      </c>
      <c r="BY333" s="553" t="str">
        <f t="shared" si="56"/>
        <v>2004Quin 1depSIDS</v>
      </c>
      <c r="BZ333" s="604">
        <v>2004</v>
      </c>
      <c r="CA333" s="604" t="s">
        <v>421</v>
      </c>
      <c r="CB333" s="604" t="s">
        <v>454</v>
      </c>
      <c r="CC333" s="604">
        <v>3</v>
      </c>
      <c r="CD333" s="604" t="s">
        <v>32</v>
      </c>
      <c r="CF333" s="554" t="str">
        <f t="shared" si="57"/>
        <v>2016Pacific peoples2500-4499bwtSUDI</v>
      </c>
      <c r="CG333" s="604">
        <v>2016</v>
      </c>
      <c r="CH333" s="604" t="s">
        <v>320</v>
      </c>
      <c r="CI333" s="604" t="s">
        <v>431</v>
      </c>
      <c r="CJ333" s="604" t="s">
        <v>447</v>
      </c>
      <c r="CK333" s="604">
        <v>4</v>
      </c>
      <c r="CL333" s="604" t="s">
        <v>33</v>
      </c>
    </row>
    <row r="334" spans="9:90">
      <c r="I334" s="578" t="str">
        <f t="shared" si="50"/>
        <v>1998depQuin 5Fetal</v>
      </c>
      <c r="J334" s="604">
        <v>1998</v>
      </c>
      <c r="K334" s="604" t="s">
        <v>454</v>
      </c>
      <c r="L334" s="604" t="s">
        <v>425</v>
      </c>
      <c r="M334" s="604">
        <v>112</v>
      </c>
      <c r="N334" s="604">
        <v>15184</v>
      </c>
      <c r="O334" s="604">
        <v>7.4</v>
      </c>
      <c r="P334" s="604" t="s">
        <v>47</v>
      </c>
      <c r="Q334" s="499"/>
      <c r="R334" s="502" t="str">
        <f t="shared" si="51"/>
        <v>1998birthsdhbWest Coast</v>
      </c>
      <c r="S334" s="604">
        <v>1998</v>
      </c>
      <c r="T334" s="604" t="s">
        <v>445</v>
      </c>
      <c r="U334" s="604" t="s">
        <v>448</v>
      </c>
      <c r="V334" s="604" t="s">
        <v>100</v>
      </c>
      <c r="W334" s="604">
        <v>403</v>
      </c>
      <c r="Y334" s="535" t="str">
        <f t="shared" si="52"/>
        <v>2016sexdepFemaleQuin 2fetal</v>
      </c>
      <c r="Z334" s="604">
        <v>2016</v>
      </c>
      <c r="AA334" s="604" t="s">
        <v>451</v>
      </c>
      <c r="AB334" s="604" t="s">
        <v>454</v>
      </c>
      <c r="AC334" s="604" t="s">
        <v>71</v>
      </c>
      <c r="AD334" s="604" t="s">
        <v>422</v>
      </c>
      <c r="AE334" s="604">
        <v>35</v>
      </c>
      <c r="AF334" s="604">
        <v>4893</v>
      </c>
      <c r="AG334" s="604">
        <v>7.1</v>
      </c>
      <c r="AH334" s="604" t="s">
        <v>420</v>
      </c>
      <c r="AJ334" s="535" t="str">
        <f t="shared" si="53"/>
        <v>2016sexdepFemaleQuin 2</v>
      </c>
      <c r="AK334" s="604">
        <v>2016</v>
      </c>
      <c r="AL334" s="604" t="s">
        <v>451</v>
      </c>
      <c r="AM334" s="604" t="s">
        <v>454</v>
      </c>
      <c r="AN334" s="604" t="s">
        <v>71</v>
      </c>
      <c r="AO334" s="604" t="s">
        <v>422</v>
      </c>
      <c r="AP334" s="604">
        <v>4893</v>
      </c>
      <c r="AR334" s="538" t="str">
        <f t="shared" si="54"/>
        <v>37-41gestfetalBay of Plenty</v>
      </c>
      <c r="AS334" s="604">
        <v>2016</v>
      </c>
      <c r="AT334" s="604" t="s">
        <v>137</v>
      </c>
      <c r="AU334" s="604" t="s">
        <v>450</v>
      </c>
      <c r="AV334" s="604" t="s">
        <v>91</v>
      </c>
      <c r="AW334" s="604">
        <v>2</v>
      </c>
      <c r="AX334" s="604">
        <v>2676</v>
      </c>
      <c r="AY334" s="606">
        <v>0.7</v>
      </c>
      <c r="AZ334" s="604" t="s">
        <v>420</v>
      </c>
      <c r="BB334" s="536" t="str">
        <f t="shared" si="55"/>
        <v>Quin 2depbirthsWhanganui</v>
      </c>
      <c r="BC334" s="604">
        <v>2016</v>
      </c>
      <c r="BD334" s="604" t="s">
        <v>422</v>
      </c>
      <c r="BE334" s="604" t="s">
        <v>454</v>
      </c>
      <c r="BF334" s="604" t="s">
        <v>95</v>
      </c>
      <c r="BG334" s="604">
        <v>49</v>
      </c>
      <c r="BH334" s="604" t="s">
        <v>445</v>
      </c>
      <c r="BY334" s="553" t="str">
        <f t="shared" si="56"/>
        <v>2004Quin 2depSIDS</v>
      </c>
      <c r="BZ334" s="604">
        <v>2004</v>
      </c>
      <c r="CA334" s="604" t="s">
        <v>422</v>
      </c>
      <c r="CB334" s="604" t="s">
        <v>454</v>
      </c>
      <c r="CC334" s="604">
        <v>6</v>
      </c>
      <c r="CD334" s="604" t="s">
        <v>32</v>
      </c>
      <c r="CF334" s="554" t="str">
        <f t="shared" si="57"/>
        <v>2016European or Other4500+bwtSUDI</v>
      </c>
      <c r="CG334" s="604">
        <v>2016</v>
      </c>
      <c r="CH334" s="604" t="s">
        <v>356</v>
      </c>
      <c r="CI334" s="604" t="s">
        <v>432</v>
      </c>
      <c r="CJ334" s="604" t="s">
        <v>447</v>
      </c>
      <c r="CK334" s="604">
        <v>0</v>
      </c>
      <c r="CL334" s="604" t="s">
        <v>33</v>
      </c>
    </row>
    <row r="335" spans="9:90">
      <c r="I335" s="578" t="str">
        <f t="shared" si="50"/>
        <v>1998depQuin 9Fetal</v>
      </c>
      <c r="J335" s="604">
        <v>1998</v>
      </c>
      <c r="K335" s="604" t="s">
        <v>454</v>
      </c>
      <c r="L335" s="604" t="s">
        <v>426</v>
      </c>
      <c r="M335" s="604">
        <v>44</v>
      </c>
      <c r="N335" s="604">
        <v>8494</v>
      </c>
      <c r="O335" s="604" t="s">
        <v>119</v>
      </c>
      <c r="P335" s="604" t="s">
        <v>47</v>
      </c>
      <c r="Q335" s="499"/>
      <c r="R335" s="502" t="str">
        <f t="shared" si="51"/>
        <v>1998birthsdhbCanterbury</v>
      </c>
      <c r="S335" s="604">
        <v>1998</v>
      </c>
      <c r="T335" s="604" t="s">
        <v>445</v>
      </c>
      <c r="U335" s="604" t="s">
        <v>448</v>
      </c>
      <c r="V335" s="604" t="s">
        <v>101</v>
      </c>
      <c r="W335" s="604">
        <v>5244</v>
      </c>
      <c r="Y335" s="535" t="str">
        <f t="shared" si="52"/>
        <v>2016sexdepMaleQuin 3fetal</v>
      </c>
      <c r="Z335" s="604">
        <v>2016</v>
      </c>
      <c r="AA335" s="604" t="s">
        <v>451</v>
      </c>
      <c r="AB335" s="604" t="s">
        <v>454</v>
      </c>
      <c r="AC335" s="604" t="s">
        <v>70</v>
      </c>
      <c r="AD335" s="604" t="s">
        <v>423</v>
      </c>
      <c r="AE335" s="604">
        <v>34</v>
      </c>
      <c r="AF335" s="604">
        <v>5582</v>
      </c>
      <c r="AG335" s="604">
        <v>6.1</v>
      </c>
      <c r="AH335" s="604" t="s">
        <v>420</v>
      </c>
      <c r="AJ335" s="535" t="str">
        <f t="shared" si="53"/>
        <v>2016sexdepMaleQuin 3</v>
      </c>
      <c r="AK335" s="604">
        <v>2016</v>
      </c>
      <c r="AL335" s="604" t="s">
        <v>451</v>
      </c>
      <c r="AM335" s="604" t="s">
        <v>454</v>
      </c>
      <c r="AN335" s="604" t="s">
        <v>70</v>
      </c>
      <c r="AO335" s="604" t="s">
        <v>423</v>
      </c>
      <c r="AP335" s="604">
        <v>5582</v>
      </c>
      <c r="AR335" s="538" t="str">
        <f t="shared" si="54"/>
        <v>&lt;28gestfetalTairawhiti</v>
      </c>
      <c r="AS335" s="604">
        <v>2016</v>
      </c>
      <c r="AT335" s="604" t="s">
        <v>375</v>
      </c>
      <c r="AU335" s="604" t="s">
        <v>450</v>
      </c>
      <c r="AV335" s="604" t="s">
        <v>433</v>
      </c>
      <c r="AW335" s="604">
        <v>2</v>
      </c>
      <c r="AX335" s="604">
        <v>5</v>
      </c>
      <c r="AY335" s="606">
        <v>400</v>
      </c>
      <c r="AZ335" s="604" t="s">
        <v>420</v>
      </c>
      <c r="BB335" s="536" t="str">
        <f t="shared" si="55"/>
        <v>Quin 3depbirthsWhanganui</v>
      </c>
      <c r="BC335" s="604">
        <v>2016</v>
      </c>
      <c r="BD335" s="604" t="s">
        <v>423</v>
      </c>
      <c r="BE335" s="604" t="s">
        <v>454</v>
      </c>
      <c r="BF335" s="604" t="s">
        <v>95</v>
      </c>
      <c r="BG335" s="604">
        <v>125</v>
      </c>
      <c r="BH335" s="604" t="s">
        <v>445</v>
      </c>
      <c r="BY335" s="553" t="str">
        <f t="shared" si="56"/>
        <v>2004Quin 3depSIDS</v>
      </c>
      <c r="BZ335" s="604">
        <v>2004</v>
      </c>
      <c r="CA335" s="604" t="s">
        <v>423</v>
      </c>
      <c r="CB335" s="604" t="s">
        <v>454</v>
      </c>
      <c r="CC335" s="604">
        <v>5</v>
      </c>
      <c r="CD335" s="604" t="s">
        <v>32</v>
      </c>
      <c r="CF335" s="554" t="str">
        <f t="shared" si="57"/>
        <v>2016Maori4500+bwtSUDI</v>
      </c>
      <c r="CG335" s="604">
        <v>2016</v>
      </c>
      <c r="CH335" s="604" t="s">
        <v>129</v>
      </c>
      <c r="CI335" s="604" t="s">
        <v>432</v>
      </c>
      <c r="CJ335" s="604" t="s">
        <v>447</v>
      </c>
      <c r="CK335" s="604">
        <v>0</v>
      </c>
      <c r="CL335" s="604" t="s">
        <v>33</v>
      </c>
    </row>
    <row r="336" spans="9:90">
      <c r="I336" s="578" t="str">
        <f t="shared" si="50"/>
        <v>1999depQuin 1Fetal</v>
      </c>
      <c r="J336" s="604">
        <v>1999</v>
      </c>
      <c r="K336" s="604" t="s">
        <v>454</v>
      </c>
      <c r="L336" s="604" t="s">
        <v>421</v>
      </c>
      <c r="M336" s="604">
        <v>47</v>
      </c>
      <c r="N336" s="604">
        <v>7297</v>
      </c>
      <c r="O336" s="604">
        <v>6.4</v>
      </c>
      <c r="P336" s="604" t="s">
        <v>47</v>
      </c>
      <c r="Q336" s="499"/>
      <c r="R336" s="502" t="str">
        <f t="shared" si="51"/>
        <v>1998birthsdhbSouth Canterbury</v>
      </c>
      <c r="S336" s="604">
        <v>1998</v>
      </c>
      <c r="T336" s="604" t="s">
        <v>445</v>
      </c>
      <c r="U336" s="604" t="s">
        <v>448</v>
      </c>
      <c r="V336" s="604" t="s">
        <v>102</v>
      </c>
      <c r="W336" s="604">
        <v>642</v>
      </c>
      <c r="Y336" s="535" t="str">
        <f t="shared" si="52"/>
        <v>2016sexdepFemaleQuin 3fetal</v>
      </c>
      <c r="Z336" s="604">
        <v>2016</v>
      </c>
      <c r="AA336" s="604" t="s">
        <v>451</v>
      </c>
      <c r="AB336" s="604" t="s">
        <v>454</v>
      </c>
      <c r="AC336" s="604" t="s">
        <v>71</v>
      </c>
      <c r="AD336" s="604" t="s">
        <v>423</v>
      </c>
      <c r="AE336" s="604">
        <v>34</v>
      </c>
      <c r="AF336" s="604">
        <v>5389</v>
      </c>
      <c r="AG336" s="604">
        <v>6.3</v>
      </c>
      <c r="AH336" s="604" t="s">
        <v>420</v>
      </c>
      <c r="AJ336" s="535" t="str">
        <f t="shared" si="53"/>
        <v>2016sexdepFemaleQuin 3</v>
      </c>
      <c r="AK336" s="604">
        <v>2016</v>
      </c>
      <c r="AL336" s="604" t="s">
        <v>451</v>
      </c>
      <c r="AM336" s="604" t="s">
        <v>454</v>
      </c>
      <c r="AN336" s="604" t="s">
        <v>71</v>
      </c>
      <c r="AO336" s="604" t="s">
        <v>423</v>
      </c>
      <c r="AP336" s="604">
        <v>5389</v>
      </c>
      <c r="AR336" s="538" t="str">
        <f t="shared" si="54"/>
        <v>&lt;28gestfetalHawke's Bay</v>
      </c>
      <c r="AS336" s="604">
        <v>2016</v>
      </c>
      <c r="AT336" s="604" t="s">
        <v>375</v>
      </c>
      <c r="AU336" s="604" t="s">
        <v>450</v>
      </c>
      <c r="AV336" s="604" t="s">
        <v>92</v>
      </c>
      <c r="AW336" s="604">
        <v>3</v>
      </c>
      <c r="AX336" s="604">
        <v>9</v>
      </c>
      <c r="AY336" s="606">
        <v>333.3</v>
      </c>
      <c r="AZ336" s="604" t="s">
        <v>420</v>
      </c>
      <c r="BB336" s="536" t="str">
        <f t="shared" si="55"/>
        <v>Quin 4depbirthsWhanganui</v>
      </c>
      <c r="BC336" s="604">
        <v>2016</v>
      </c>
      <c r="BD336" s="604" t="s">
        <v>424</v>
      </c>
      <c r="BE336" s="604" t="s">
        <v>454</v>
      </c>
      <c r="BF336" s="604" t="s">
        <v>95</v>
      </c>
      <c r="BG336" s="604">
        <v>266</v>
      </c>
      <c r="BH336" s="604" t="s">
        <v>445</v>
      </c>
      <c r="BY336" s="553" t="str">
        <f t="shared" si="56"/>
        <v>2004Quin 4depSIDS</v>
      </c>
      <c r="BZ336" s="604">
        <v>2004</v>
      </c>
      <c r="CA336" s="604" t="s">
        <v>424</v>
      </c>
      <c r="CB336" s="604" t="s">
        <v>454</v>
      </c>
      <c r="CC336" s="604">
        <v>10</v>
      </c>
      <c r="CD336" s="604" t="s">
        <v>32</v>
      </c>
      <c r="CF336" s="554" t="str">
        <f t="shared" si="57"/>
        <v>2016Pacific peoples4500+bwtSUDI</v>
      </c>
      <c r="CG336" s="604">
        <v>2016</v>
      </c>
      <c r="CH336" s="604" t="s">
        <v>320</v>
      </c>
      <c r="CI336" s="604" t="s">
        <v>432</v>
      </c>
      <c r="CJ336" s="604" t="s">
        <v>447</v>
      </c>
      <c r="CK336" s="604">
        <v>0</v>
      </c>
      <c r="CL336" s="604" t="s">
        <v>33</v>
      </c>
    </row>
    <row r="337" spans="9:90">
      <c r="I337" s="578" t="str">
        <f t="shared" si="50"/>
        <v>1999depQuin 2Fetal</v>
      </c>
      <c r="J337" s="604">
        <v>1999</v>
      </c>
      <c r="K337" s="604" t="s">
        <v>454</v>
      </c>
      <c r="L337" s="604" t="s">
        <v>422</v>
      </c>
      <c r="M337" s="604">
        <v>57</v>
      </c>
      <c r="N337" s="604">
        <v>8123</v>
      </c>
      <c r="O337" s="604">
        <v>7</v>
      </c>
      <c r="P337" s="604" t="s">
        <v>47</v>
      </c>
      <c r="Q337" s="499"/>
      <c r="R337" s="502" t="str">
        <f t="shared" si="51"/>
        <v>1998birthsdhbSouthern</v>
      </c>
      <c r="S337" s="604">
        <v>1998</v>
      </c>
      <c r="T337" s="604" t="s">
        <v>445</v>
      </c>
      <c r="U337" s="604" t="s">
        <v>448</v>
      </c>
      <c r="V337" s="604" t="s">
        <v>103</v>
      </c>
      <c r="W337" s="604">
        <v>3380</v>
      </c>
      <c r="Y337" s="535" t="str">
        <f t="shared" si="52"/>
        <v>2016sexdepMaleQuin 4fetal</v>
      </c>
      <c r="Z337" s="604">
        <v>2016</v>
      </c>
      <c r="AA337" s="604" t="s">
        <v>451</v>
      </c>
      <c r="AB337" s="604" t="s">
        <v>454</v>
      </c>
      <c r="AC337" s="604" t="s">
        <v>70</v>
      </c>
      <c r="AD337" s="604" t="s">
        <v>424</v>
      </c>
      <c r="AE337" s="604">
        <v>53</v>
      </c>
      <c r="AF337" s="604">
        <v>6703</v>
      </c>
      <c r="AG337" s="604">
        <v>7.8</v>
      </c>
      <c r="AH337" s="604" t="s">
        <v>420</v>
      </c>
      <c r="AJ337" s="535" t="str">
        <f t="shared" si="53"/>
        <v>2016sexdepMaleQuin 4</v>
      </c>
      <c r="AK337" s="604">
        <v>2016</v>
      </c>
      <c r="AL337" s="604" t="s">
        <v>451</v>
      </c>
      <c r="AM337" s="604" t="s">
        <v>454</v>
      </c>
      <c r="AN337" s="604" t="s">
        <v>70</v>
      </c>
      <c r="AO337" s="604" t="s">
        <v>424</v>
      </c>
      <c r="AP337" s="604">
        <v>6703</v>
      </c>
      <c r="AR337" s="538" t="str">
        <f t="shared" si="54"/>
        <v>37-41gestfetalHawke's Bay</v>
      </c>
      <c r="AS337" s="604">
        <v>2016</v>
      </c>
      <c r="AT337" s="604" t="s">
        <v>137</v>
      </c>
      <c r="AU337" s="604" t="s">
        <v>450</v>
      </c>
      <c r="AV337" s="604" t="s">
        <v>92</v>
      </c>
      <c r="AW337" s="604">
        <v>4</v>
      </c>
      <c r="AX337" s="604">
        <v>1889</v>
      </c>
      <c r="AY337" s="606">
        <v>2.1</v>
      </c>
      <c r="AZ337" s="604" t="s">
        <v>420</v>
      </c>
      <c r="BB337" s="536" t="str">
        <f t="shared" si="55"/>
        <v>Quin 5depbirthsWhanganui</v>
      </c>
      <c r="BC337" s="604">
        <v>2016</v>
      </c>
      <c r="BD337" s="604" t="s">
        <v>425</v>
      </c>
      <c r="BE337" s="604" t="s">
        <v>454</v>
      </c>
      <c r="BF337" s="604" t="s">
        <v>95</v>
      </c>
      <c r="BG337" s="604">
        <v>395</v>
      </c>
      <c r="BH337" s="604" t="s">
        <v>445</v>
      </c>
      <c r="BY337" s="553" t="str">
        <f t="shared" si="56"/>
        <v>2004Quin 5depSIDS</v>
      </c>
      <c r="BZ337" s="604">
        <v>2004</v>
      </c>
      <c r="CA337" s="604" t="s">
        <v>425</v>
      </c>
      <c r="CB337" s="604" t="s">
        <v>454</v>
      </c>
      <c r="CC337" s="604">
        <v>20</v>
      </c>
      <c r="CD337" s="604" t="s">
        <v>32</v>
      </c>
      <c r="CF337" s="554" t="str">
        <f t="shared" si="57"/>
        <v>2016AsianUnknownbwtSUDI</v>
      </c>
      <c r="CG337" s="604">
        <v>2016</v>
      </c>
      <c r="CH337" s="604" t="s">
        <v>355</v>
      </c>
      <c r="CI337" s="604" t="s">
        <v>63</v>
      </c>
      <c r="CJ337" s="604" t="s">
        <v>447</v>
      </c>
      <c r="CK337" s="604">
        <v>0</v>
      </c>
      <c r="CL337" s="604" t="s">
        <v>33</v>
      </c>
    </row>
    <row r="338" spans="9:90">
      <c r="I338" s="578" t="str">
        <f t="shared" si="50"/>
        <v>1999depQuin 3Fetal</v>
      </c>
      <c r="J338" s="604">
        <v>1999</v>
      </c>
      <c r="K338" s="604" t="s">
        <v>454</v>
      </c>
      <c r="L338" s="604" t="s">
        <v>423</v>
      </c>
      <c r="M338" s="604">
        <v>66</v>
      </c>
      <c r="N338" s="604">
        <v>9774</v>
      </c>
      <c r="O338" s="604">
        <v>6.8</v>
      </c>
      <c r="P338" s="604" t="s">
        <v>47</v>
      </c>
      <c r="Q338" s="499"/>
      <c r="R338" s="502" t="str">
        <f t="shared" si="51"/>
        <v>1998birthsdhbUnknown</v>
      </c>
      <c r="S338" s="604">
        <v>1998</v>
      </c>
      <c r="T338" s="604" t="s">
        <v>445</v>
      </c>
      <c r="U338" s="604" t="s">
        <v>448</v>
      </c>
      <c r="V338" s="604" t="s">
        <v>63</v>
      </c>
      <c r="W338" s="604">
        <v>466</v>
      </c>
      <c r="Y338" s="535" t="str">
        <f t="shared" si="52"/>
        <v>2016sexdepFemaleQuin 4fetal</v>
      </c>
      <c r="Z338" s="604">
        <v>2016</v>
      </c>
      <c r="AA338" s="604" t="s">
        <v>451</v>
      </c>
      <c r="AB338" s="604" t="s">
        <v>454</v>
      </c>
      <c r="AC338" s="604" t="s">
        <v>71</v>
      </c>
      <c r="AD338" s="604" t="s">
        <v>424</v>
      </c>
      <c r="AE338" s="604">
        <v>36</v>
      </c>
      <c r="AF338" s="604">
        <v>6428</v>
      </c>
      <c r="AG338" s="604">
        <v>5.6</v>
      </c>
      <c r="AH338" s="604" t="s">
        <v>420</v>
      </c>
      <c r="AJ338" s="535" t="str">
        <f t="shared" si="53"/>
        <v>2016sexdepFemaleQuin 4</v>
      </c>
      <c r="AK338" s="604">
        <v>2016</v>
      </c>
      <c r="AL338" s="604" t="s">
        <v>451</v>
      </c>
      <c r="AM338" s="604" t="s">
        <v>454</v>
      </c>
      <c r="AN338" s="604" t="s">
        <v>71</v>
      </c>
      <c r="AO338" s="604" t="s">
        <v>424</v>
      </c>
      <c r="AP338" s="604">
        <v>6428</v>
      </c>
      <c r="AR338" s="538" t="str">
        <f t="shared" si="54"/>
        <v>&lt;28gestfetalTaranaki</v>
      </c>
      <c r="AS338" s="604">
        <v>2016</v>
      </c>
      <c r="AT338" s="604" t="s">
        <v>375</v>
      </c>
      <c r="AU338" s="604" t="s">
        <v>450</v>
      </c>
      <c r="AV338" s="604" t="s">
        <v>93</v>
      </c>
      <c r="AW338" s="604">
        <v>5</v>
      </c>
      <c r="AX338" s="604">
        <v>13</v>
      </c>
      <c r="AY338" s="606">
        <v>384.6</v>
      </c>
      <c r="AZ338" s="604" t="s">
        <v>420</v>
      </c>
      <c r="BB338" s="536" t="str">
        <f t="shared" si="55"/>
        <v>Quin 1depbirthsCapital &amp; Coast</v>
      </c>
      <c r="BC338" s="604">
        <v>2016</v>
      </c>
      <c r="BD338" s="604" t="s">
        <v>421</v>
      </c>
      <c r="BE338" s="604" t="s">
        <v>454</v>
      </c>
      <c r="BF338" s="604" t="s">
        <v>96</v>
      </c>
      <c r="BG338" s="604">
        <v>1072</v>
      </c>
      <c r="BH338" s="604" t="s">
        <v>445</v>
      </c>
      <c r="BY338" s="553" t="str">
        <f t="shared" si="56"/>
        <v>2004Quin 9depSIDS</v>
      </c>
      <c r="BZ338" s="604">
        <v>2004</v>
      </c>
      <c r="CA338" s="604" t="s">
        <v>426</v>
      </c>
      <c r="CB338" s="604" t="s">
        <v>454</v>
      </c>
      <c r="CC338" s="604">
        <v>1</v>
      </c>
      <c r="CD338" s="604" t="s">
        <v>32</v>
      </c>
      <c r="CF338" s="554" t="str">
        <f t="shared" si="57"/>
        <v>2016European or OtherUnknownbwtSUDI</v>
      </c>
      <c r="CG338" s="604">
        <v>2016</v>
      </c>
      <c r="CH338" s="604" t="s">
        <v>356</v>
      </c>
      <c r="CI338" s="604" t="s">
        <v>63</v>
      </c>
      <c r="CJ338" s="604" t="s">
        <v>447</v>
      </c>
      <c r="CK338" s="604">
        <v>0</v>
      </c>
      <c r="CL338" s="604" t="s">
        <v>33</v>
      </c>
    </row>
    <row r="339" spans="9:90">
      <c r="I339" s="578" t="str">
        <f t="shared" si="50"/>
        <v>1999depQuin 4Fetal</v>
      </c>
      <c r="J339" s="604">
        <v>1999</v>
      </c>
      <c r="K339" s="604" t="s">
        <v>454</v>
      </c>
      <c r="L339" s="604" t="s">
        <v>424</v>
      </c>
      <c r="M339" s="604">
        <v>95</v>
      </c>
      <c r="N339" s="604">
        <v>12293</v>
      </c>
      <c r="O339" s="604">
        <v>7.7</v>
      </c>
      <c r="P339" s="604" t="s">
        <v>47</v>
      </c>
      <c r="Q339" s="499"/>
      <c r="R339" s="502" t="str">
        <f t="shared" si="51"/>
        <v>1999birthsdhbNorthland</v>
      </c>
      <c r="S339" s="604">
        <v>1999</v>
      </c>
      <c r="T339" s="604" t="s">
        <v>445</v>
      </c>
      <c r="U339" s="604" t="s">
        <v>448</v>
      </c>
      <c r="V339" s="604" t="s">
        <v>85</v>
      </c>
      <c r="W339" s="604">
        <v>2158</v>
      </c>
      <c r="Y339" s="535" t="str">
        <f t="shared" si="52"/>
        <v>2016sexdepMaleQuin 5fetal</v>
      </c>
      <c r="Z339" s="604">
        <v>2016</v>
      </c>
      <c r="AA339" s="604" t="s">
        <v>451</v>
      </c>
      <c r="AB339" s="604" t="s">
        <v>454</v>
      </c>
      <c r="AC339" s="604" t="s">
        <v>70</v>
      </c>
      <c r="AD339" s="604" t="s">
        <v>425</v>
      </c>
      <c r="AE339" s="604">
        <v>65</v>
      </c>
      <c r="AF339" s="604">
        <v>8622</v>
      </c>
      <c r="AG339" s="604">
        <v>7.5</v>
      </c>
      <c r="AH339" s="604" t="s">
        <v>420</v>
      </c>
      <c r="AJ339" s="535" t="str">
        <f t="shared" si="53"/>
        <v>2016sexdepMaleQuin 5</v>
      </c>
      <c r="AK339" s="604">
        <v>2016</v>
      </c>
      <c r="AL339" s="604" t="s">
        <v>451</v>
      </c>
      <c r="AM339" s="604" t="s">
        <v>454</v>
      </c>
      <c r="AN339" s="604" t="s">
        <v>70</v>
      </c>
      <c r="AO339" s="604" t="s">
        <v>425</v>
      </c>
      <c r="AP339" s="604">
        <v>8622</v>
      </c>
      <c r="AR339" s="538" t="str">
        <f t="shared" si="54"/>
        <v>28-31gestfetalTaranaki</v>
      </c>
      <c r="AS339" s="604">
        <v>2016</v>
      </c>
      <c r="AT339" s="604" t="s">
        <v>395</v>
      </c>
      <c r="AU339" s="604" t="s">
        <v>450</v>
      </c>
      <c r="AV339" s="604" t="s">
        <v>93</v>
      </c>
      <c r="AW339" s="604">
        <v>1</v>
      </c>
      <c r="AX339" s="604">
        <v>7</v>
      </c>
      <c r="AY339" s="606">
        <v>142.9</v>
      </c>
      <c r="AZ339" s="604" t="s">
        <v>420</v>
      </c>
      <c r="BB339" s="536" t="str">
        <f t="shared" si="55"/>
        <v>Quin 2depbirthsCapital &amp; Coast</v>
      </c>
      <c r="BC339" s="604">
        <v>2016</v>
      </c>
      <c r="BD339" s="604" t="s">
        <v>422</v>
      </c>
      <c r="BE339" s="604" t="s">
        <v>454</v>
      </c>
      <c r="BF339" s="604" t="s">
        <v>96</v>
      </c>
      <c r="BG339" s="604">
        <v>661</v>
      </c>
      <c r="BH339" s="604" t="s">
        <v>445</v>
      </c>
      <c r="BY339" s="553" t="str">
        <f t="shared" si="56"/>
        <v>2005Quin 1depSIDS</v>
      </c>
      <c r="BZ339" s="604">
        <v>2005</v>
      </c>
      <c r="CA339" s="604" t="s">
        <v>421</v>
      </c>
      <c r="CB339" s="604" t="s">
        <v>454</v>
      </c>
      <c r="CC339" s="604">
        <v>2</v>
      </c>
      <c r="CD339" s="604" t="s">
        <v>32</v>
      </c>
      <c r="CF339" s="554" t="str">
        <f t="shared" si="57"/>
        <v>2016MaoriUnknownbwtSUDI</v>
      </c>
      <c r="CG339" s="604">
        <v>2016</v>
      </c>
      <c r="CH339" s="604" t="s">
        <v>129</v>
      </c>
      <c r="CI339" s="604" t="s">
        <v>63</v>
      </c>
      <c r="CJ339" s="604" t="s">
        <v>447</v>
      </c>
      <c r="CK339" s="604">
        <v>1</v>
      </c>
      <c r="CL339" s="604" t="s">
        <v>33</v>
      </c>
    </row>
    <row r="340" spans="9:90">
      <c r="I340" s="578" t="str">
        <f t="shared" si="50"/>
        <v>1999depQuin 5Fetal</v>
      </c>
      <c r="J340" s="604">
        <v>1999</v>
      </c>
      <c r="K340" s="604" t="s">
        <v>454</v>
      </c>
      <c r="L340" s="604" t="s">
        <v>425</v>
      </c>
      <c r="M340" s="604">
        <v>135</v>
      </c>
      <c r="N340" s="604">
        <v>14880</v>
      </c>
      <c r="O340" s="604">
        <v>9.1</v>
      </c>
      <c r="P340" s="604" t="s">
        <v>47</v>
      </c>
      <c r="Q340" s="499"/>
      <c r="R340" s="502" t="str">
        <f t="shared" si="51"/>
        <v>1999birthsdhbWaitemata</v>
      </c>
      <c r="S340" s="604">
        <v>1999</v>
      </c>
      <c r="T340" s="604" t="s">
        <v>445</v>
      </c>
      <c r="U340" s="604" t="s">
        <v>448</v>
      </c>
      <c r="V340" s="604" t="s">
        <v>86</v>
      </c>
      <c r="W340" s="604">
        <v>6422</v>
      </c>
      <c r="Y340" s="535" t="str">
        <f t="shared" si="52"/>
        <v>2016sexdepFemaleQuin 5fetal</v>
      </c>
      <c r="Z340" s="604">
        <v>2016</v>
      </c>
      <c r="AA340" s="604" t="s">
        <v>451</v>
      </c>
      <c r="AB340" s="604" t="s">
        <v>454</v>
      </c>
      <c r="AC340" s="604" t="s">
        <v>71</v>
      </c>
      <c r="AD340" s="604" t="s">
        <v>425</v>
      </c>
      <c r="AE340" s="604">
        <v>56</v>
      </c>
      <c r="AF340" s="604">
        <v>8264</v>
      </c>
      <c r="AG340" s="604">
        <v>6.7</v>
      </c>
      <c r="AH340" s="604" t="s">
        <v>420</v>
      </c>
      <c r="AJ340" s="535" t="str">
        <f t="shared" si="53"/>
        <v>2016sexdepFemaleQuin 5</v>
      </c>
      <c r="AK340" s="604">
        <v>2016</v>
      </c>
      <c r="AL340" s="604" t="s">
        <v>451</v>
      </c>
      <c r="AM340" s="604" t="s">
        <v>454</v>
      </c>
      <c r="AN340" s="604" t="s">
        <v>71</v>
      </c>
      <c r="AO340" s="604" t="s">
        <v>425</v>
      </c>
      <c r="AP340" s="604">
        <v>8264</v>
      </c>
      <c r="AR340" s="538" t="str">
        <f t="shared" si="54"/>
        <v>32-36gestfetalTaranaki</v>
      </c>
      <c r="AS340" s="604">
        <v>2016</v>
      </c>
      <c r="AT340" s="604" t="s">
        <v>136</v>
      </c>
      <c r="AU340" s="604" t="s">
        <v>450</v>
      </c>
      <c r="AV340" s="604" t="s">
        <v>93</v>
      </c>
      <c r="AW340" s="604">
        <v>2</v>
      </c>
      <c r="AX340" s="604">
        <v>97</v>
      </c>
      <c r="AY340" s="606">
        <v>20.6</v>
      </c>
      <c r="AZ340" s="604" t="s">
        <v>420</v>
      </c>
      <c r="BB340" s="536" t="str">
        <f t="shared" si="55"/>
        <v>Quin 3depbirthsCapital &amp; Coast</v>
      </c>
      <c r="BC340" s="604">
        <v>2016</v>
      </c>
      <c r="BD340" s="604" t="s">
        <v>423</v>
      </c>
      <c r="BE340" s="604" t="s">
        <v>454</v>
      </c>
      <c r="BF340" s="604" t="s">
        <v>96</v>
      </c>
      <c r="BG340" s="604">
        <v>637</v>
      </c>
      <c r="BH340" s="604" t="s">
        <v>445</v>
      </c>
      <c r="BY340" s="553" t="str">
        <f t="shared" si="56"/>
        <v>2005Quin 2depSIDS</v>
      </c>
      <c r="BZ340" s="604">
        <v>2005</v>
      </c>
      <c r="CA340" s="604" t="s">
        <v>422</v>
      </c>
      <c r="CB340" s="604" t="s">
        <v>454</v>
      </c>
      <c r="CC340" s="604">
        <v>5</v>
      </c>
      <c r="CD340" s="604" t="s">
        <v>32</v>
      </c>
      <c r="CF340" s="554" t="str">
        <f t="shared" si="57"/>
        <v>2016Pacific peoplesUnknownbwtSUDI</v>
      </c>
      <c r="CG340" s="604">
        <v>2016</v>
      </c>
      <c r="CH340" s="604" t="s">
        <v>320</v>
      </c>
      <c r="CI340" s="604" t="s">
        <v>63</v>
      </c>
      <c r="CJ340" s="604" t="s">
        <v>447</v>
      </c>
      <c r="CK340" s="604">
        <v>0</v>
      </c>
      <c r="CL340" s="604" t="s">
        <v>33</v>
      </c>
    </row>
    <row r="341" spans="9:90">
      <c r="I341" s="578" t="str">
        <f t="shared" si="50"/>
        <v>1999depQuin 9Fetal</v>
      </c>
      <c r="J341" s="604">
        <v>1999</v>
      </c>
      <c r="K341" s="604" t="s">
        <v>454</v>
      </c>
      <c r="L341" s="604" t="s">
        <v>426</v>
      </c>
      <c r="M341" s="604">
        <v>26</v>
      </c>
      <c r="N341" s="604">
        <v>5480</v>
      </c>
      <c r="O341" s="604" t="s">
        <v>119</v>
      </c>
      <c r="P341" s="604" t="s">
        <v>47</v>
      </c>
      <c r="Q341" s="499"/>
      <c r="R341" s="502" t="str">
        <f t="shared" si="51"/>
        <v>1999birthsdhbAuckland</v>
      </c>
      <c r="S341" s="604">
        <v>1999</v>
      </c>
      <c r="T341" s="604" t="s">
        <v>445</v>
      </c>
      <c r="U341" s="604" t="s">
        <v>448</v>
      </c>
      <c r="V341" s="604" t="s">
        <v>87</v>
      </c>
      <c r="W341" s="604">
        <v>5896</v>
      </c>
      <c r="Y341" s="535" t="str">
        <f t="shared" si="52"/>
        <v>2016sexdepMaleQuin 9fetal</v>
      </c>
      <c r="Z341" s="604">
        <v>2016</v>
      </c>
      <c r="AA341" s="604" t="s">
        <v>451</v>
      </c>
      <c r="AB341" s="604" t="s">
        <v>454</v>
      </c>
      <c r="AC341" s="604" t="s">
        <v>70</v>
      </c>
      <c r="AD341" s="604" t="s">
        <v>426</v>
      </c>
      <c r="AE341" s="604">
        <v>12</v>
      </c>
      <c r="AF341" s="604">
        <v>63</v>
      </c>
      <c r="AG341" s="604" t="s">
        <v>119</v>
      </c>
      <c r="AH341" s="604" t="s">
        <v>420</v>
      </c>
      <c r="AJ341" s="535" t="str">
        <f t="shared" si="53"/>
        <v>2016sexdepMaleQuin 9</v>
      </c>
      <c r="AK341" s="604">
        <v>2016</v>
      </c>
      <c r="AL341" s="604" t="s">
        <v>451</v>
      </c>
      <c r="AM341" s="604" t="s">
        <v>454</v>
      </c>
      <c r="AN341" s="604" t="s">
        <v>70</v>
      </c>
      <c r="AO341" s="604" t="s">
        <v>426</v>
      </c>
      <c r="AP341" s="604">
        <v>63</v>
      </c>
      <c r="AR341" s="538" t="str">
        <f t="shared" si="54"/>
        <v>37-41gestfetalTaranaki</v>
      </c>
      <c r="AS341" s="604">
        <v>2016</v>
      </c>
      <c r="AT341" s="604" t="s">
        <v>137</v>
      </c>
      <c r="AU341" s="604" t="s">
        <v>450</v>
      </c>
      <c r="AV341" s="604" t="s">
        <v>93</v>
      </c>
      <c r="AW341" s="604">
        <v>5</v>
      </c>
      <c r="AX341" s="604">
        <v>1366</v>
      </c>
      <c r="AY341" s="606">
        <v>3.7</v>
      </c>
      <c r="AZ341" s="604" t="s">
        <v>420</v>
      </c>
      <c r="BB341" s="536" t="str">
        <f t="shared" si="55"/>
        <v>Quin 4depbirthsCapital &amp; Coast</v>
      </c>
      <c r="BC341" s="604">
        <v>2016</v>
      </c>
      <c r="BD341" s="604" t="s">
        <v>424</v>
      </c>
      <c r="BE341" s="604" t="s">
        <v>454</v>
      </c>
      <c r="BF341" s="604" t="s">
        <v>96</v>
      </c>
      <c r="BG341" s="604">
        <v>668</v>
      </c>
      <c r="BH341" s="604" t="s">
        <v>445</v>
      </c>
      <c r="BY341" s="553" t="str">
        <f t="shared" si="56"/>
        <v>2005Quin 3depSIDS</v>
      </c>
      <c r="BZ341" s="604">
        <v>2005</v>
      </c>
      <c r="CA341" s="604" t="s">
        <v>423</v>
      </c>
      <c r="CB341" s="604" t="s">
        <v>454</v>
      </c>
      <c r="CC341" s="604">
        <v>6</v>
      </c>
      <c r="CD341" s="604" t="s">
        <v>32</v>
      </c>
      <c r="CF341" s="554" t="str">
        <f t="shared" si="57"/>
        <v>2016Asian&lt;28gestSUDI</v>
      </c>
      <c r="CG341" s="604">
        <v>2016</v>
      </c>
      <c r="CH341" s="604" t="s">
        <v>355</v>
      </c>
      <c r="CI341" s="604" t="s">
        <v>375</v>
      </c>
      <c r="CJ341" s="604" t="s">
        <v>450</v>
      </c>
      <c r="CK341" s="604">
        <v>0</v>
      </c>
      <c r="CL341" s="604" t="s">
        <v>33</v>
      </c>
    </row>
    <row r="342" spans="9:90">
      <c r="I342" s="578" t="str">
        <f t="shared" si="50"/>
        <v>2000depQuin 1Fetal</v>
      </c>
      <c r="J342" s="604">
        <v>2000</v>
      </c>
      <c r="K342" s="604" t="s">
        <v>454</v>
      </c>
      <c r="L342" s="604" t="s">
        <v>421</v>
      </c>
      <c r="M342" s="604">
        <v>33</v>
      </c>
      <c r="N342" s="604">
        <v>7085</v>
      </c>
      <c r="O342" s="604">
        <v>4.7</v>
      </c>
      <c r="P342" s="604" t="s">
        <v>47</v>
      </c>
      <c r="Q342" s="499"/>
      <c r="R342" s="502" t="str">
        <f t="shared" si="51"/>
        <v>1999birthsdhbCounties Manukau</v>
      </c>
      <c r="S342" s="604">
        <v>1999</v>
      </c>
      <c r="T342" s="604" t="s">
        <v>445</v>
      </c>
      <c r="U342" s="604" t="s">
        <v>448</v>
      </c>
      <c r="V342" s="604" t="s">
        <v>88</v>
      </c>
      <c r="W342" s="604">
        <v>7217</v>
      </c>
      <c r="Y342" s="535" t="str">
        <f t="shared" si="52"/>
        <v>2016sexdepFemaleQuin 9fetal</v>
      </c>
      <c r="Z342" s="604">
        <v>2016</v>
      </c>
      <c r="AA342" s="604" t="s">
        <v>451</v>
      </c>
      <c r="AB342" s="604" t="s">
        <v>454</v>
      </c>
      <c r="AC342" s="604" t="s">
        <v>71</v>
      </c>
      <c r="AD342" s="604" t="s">
        <v>426</v>
      </c>
      <c r="AE342" s="604">
        <v>9</v>
      </c>
      <c r="AF342" s="604">
        <v>68</v>
      </c>
      <c r="AG342" s="604" t="s">
        <v>119</v>
      </c>
      <c r="AH342" s="604" t="s">
        <v>420</v>
      </c>
      <c r="AJ342" s="535" t="str">
        <f t="shared" si="53"/>
        <v>2016sexdepFemaleQuin 9</v>
      </c>
      <c r="AK342" s="604">
        <v>2016</v>
      </c>
      <c r="AL342" s="604" t="s">
        <v>451</v>
      </c>
      <c r="AM342" s="604" t="s">
        <v>454</v>
      </c>
      <c r="AN342" s="604" t="s">
        <v>71</v>
      </c>
      <c r="AO342" s="604" t="s">
        <v>426</v>
      </c>
      <c r="AP342" s="604">
        <v>68</v>
      </c>
      <c r="AR342" s="538" t="str">
        <f t="shared" si="54"/>
        <v>&lt;28gestfetalMidCentral</v>
      </c>
      <c r="AS342" s="604">
        <v>2016</v>
      </c>
      <c r="AT342" s="604" t="s">
        <v>375</v>
      </c>
      <c r="AU342" s="604" t="s">
        <v>450</v>
      </c>
      <c r="AV342" s="604" t="s">
        <v>94</v>
      </c>
      <c r="AW342" s="604">
        <v>5</v>
      </c>
      <c r="AX342" s="604">
        <v>12</v>
      </c>
      <c r="AY342" s="606">
        <v>416.7</v>
      </c>
      <c r="AZ342" s="604" t="s">
        <v>420</v>
      </c>
      <c r="BB342" s="536" t="str">
        <f t="shared" si="55"/>
        <v>Quin 5depbirthsCapital &amp; Coast</v>
      </c>
      <c r="BC342" s="604">
        <v>2016</v>
      </c>
      <c r="BD342" s="604" t="s">
        <v>425</v>
      </c>
      <c r="BE342" s="604" t="s">
        <v>454</v>
      </c>
      <c r="BF342" s="604" t="s">
        <v>96</v>
      </c>
      <c r="BG342" s="604">
        <v>489</v>
      </c>
      <c r="BH342" s="604" t="s">
        <v>445</v>
      </c>
      <c r="BY342" s="553" t="str">
        <f t="shared" si="56"/>
        <v>2005Quin 4depSIDS</v>
      </c>
      <c r="BZ342" s="604">
        <v>2005</v>
      </c>
      <c r="CA342" s="604" t="s">
        <v>424</v>
      </c>
      <c r="CB342" s="604" t="s">
        <v>454</v>
      </c>
      <c r="CC342" s="604">
        <v>5</v>
      </c>
      <c r="CD342" s="604" t="s">
        <v>32</v>
      </c>
      <c r="CF342" s="554" t="str">
        <f t="shared" si="57"/>
        <v>2016European or Other&lt;28gestSUDI</v>
      </c>
      <c r="CG342" s="604">
        <v>2016</v>
      </c>
      <c r="CH342" s="604" t="s">
        <v>356</v>
      </c>
      <c r="CI342" s="604" t="s">
        <v>375</v>
      </c>
      <c r="CJ342" s="604" t="s">
        <v>450</v>
      </c>
      <c r="CK342" s="604">
        <v>0</v>
      </c>
      <c r="CL342" s="604" t="s">
        <v>33</v>
      </c>
    </row>
    <row r="343" spans="9:90">
      <c r="I343" s="578" t="str">
        <f t="shared" si="50"/>
        <v>2000depQuin 2Fetal</v>
      </c>
      <c r="J343" s="604">
        <v>2000</v>
      </c>
      <c r="K343" s="604" t="s">
        <v>454</v>
      </c>
      <c r="L343" s="604" t="s">
        <v>422</v>
      </c>
      <c r="M343" s="604">
        <v>71</v>
      </c>
      <c r="N343" s="604">
        <v>8103</v>
      </c>
      <c r="O343" s="604">
        <v>8.8000000000000007</v>
      </c>
      <c r="P343" s="604" t="s">
        <v>47</v>
      </c>
      <c r="Q343" s="499"/>
      <c r="R343" s="502" t="str">
        <f t="shared" si="51"/>
        <v>1999birthsdhbWaikato</v>
      </c>
      <c r="S343" s="604">
        <v>1999</v>
      </c>
      <c r="T343" s="604" t="s">
        <v>445</v>
      </c>
      <c r="U343" s="604" t="s">
        <v>448</v>
      </c>
      <c r="V343" s="604" t="s">
        <v>89</v>
      </c>
      <c r="W343" s="604">
        <v>5194</v>
      </c>
      <c r="Y343" s="535" t="str">
        <f t="shared" si="52"/>
        <v>2016bwtdep&lt;500Quin 1fetal</v>
      </c>
      <c r="Z343" s="604">
        <v>2016</v>
      </c>
      <c r="AA343" s="604" t="s">
        <v>447</v>
      </c>
      <c r="AB343" s="604" t="s">
        <v>454</v>
      </c>
      <c r="AC343" s="604" t="s">
        <v>427</v>
      </c>
      <c r="AD343" s="604" t="s">
        <v>421</v>
      </c>
      <c r="AE343" s="604">
        <v>14</v>
      </c>
      <c r="AF343" s="604">
        <v>11</v>
      </c>
      <c r="AG343" s="604" t="s">
        <v>119</v>
      </c>
      <c r="AH343" s="604" t="s">
        <v>420</v>
      </c>
      <c r="AJ343" s="535" t="str">
        <f t="shared" si="53"/>
        <v>2016bwtdep&lt;500Quin 1</v>
      </c>
      <c r="AK343" s="604">
        <v>2016</v>
      </c>
      <c r="AL343" s="604" t="s">
        <v>447</v>
      </c>
      <c r="AM343" s="604" t="s">
        <v>454</v>
      </c>
      <c r="AN343" s="604" t="s">
        <v>427</v>
      </c>
      <c r="AO343" s="604" t="s">
        <v>421</v>
      </c>
      <c r="AP343" s="604">
        <v>11</v>
      </c>
      <c r="AR343" s="538" t="str">
        <f t="shared" si="54"/>
        <v>32-36gestfetalMidCentral</v>
      </c>
      <c r="AS343" s="604">
        <v>2016</v>
      </c>
      <c r="AT343" s="604" t="s">
        <v>136</v>
      </c>
      <c r="AU343" s="604" t="s">
        <v>450</v>
      </c>
      <c r="AV343" s="604" t="s">
        <v>94</v>
      </c>
      <c r="AW343" s="604">
        <v>5</v>
      </c>
      <c r="AX343" s="604">
        <v>168</v>
      </c>
      <c r="AY343" s="606">
        <v>29.8</v>
      </c>
      <c r="AZ343" s="604" t="s">
        <v>420</v>
      </c>
      <c r="BB343" s="536" t="str">
        <f t="shared" si="55"/>
        <v>Quin 1depbirthsHutt Valley</v>
      </c>
      <c r="BC343" s="604">
        <v>2016</v>
      </c>
      <c r="BD343" s="604" t="s">
        <v>421</v>
      </c>
      <c r="BE343" s="604" t="s">
        <v>454</v>
      </c>
      <c r="BF343" s="604" t="s">
        <v>97</v>
      </c>
      <c r="BG343" s="604">
        <v>368</v>
      </c>
      <c r="BH343" s="604" t="s">
        <v>445</v>
      </c>
      <c r="BY343" s="553" t="str">
        <f t="shared" si="56"/>
        <v>2005Quin 5depSIDS</v>
      </c>
      <c r="BZ343" s="604">
        <v>2005</v>
      </c>
      <c r="CA343" s="604" t="s">
        <v>425</v>
      </c>
      <c r="CB343" s="604" t="s">
        <v>454</v>
      </c>
      <c r="CC343" s="604">
        <v>21</v>
      </c>
      <c r="CD343" s="604" t="s">
        <v>32</v>
      </c>
      <c r="CF343" s="554" t="str">
        <f t="shared" si="57"/>
        <v>2016Maori&lt;28gestSUDI</v>
      </c>
      <c r="CG343" s="604">
        <v>2016</v>
      </c>
      <c r="CH343" s="604" t="s">
        <v>129</v>
      </c>
      <c r="CI343" s="604" t="s">
        <v>375</v>
      </c>
      <c r="CJ343" s="604" t="s">
        <v>450</v>
      </c>
      <c r="CK343" s="604">
        <v>0</v>
      </c>
      <c r="CL343" s="604" t="s">
        <v>33</v>
      </c>
    </row>
    <row r="344" spans="9:90">
      <c r="I344" s="578" t="str">
        <f t="shared" si="50"/>
        <v>2000depQuin 3Fetal</v>
      </c>
      <c r="J344" s="604">
        <v>2000</v>
      </c>
      <c r="K344" s="604" t="s">
        <v>454</v>
      </c>
      <c r="L344" s="604" t="s">
        <v>423</v>
      </c>
      <c r="M344" s="604">
        <v>51</v>
      </c>
      <c r="N344" s="604">
        <v>9879</v>
      </c>
      <c r="O344" s="604">
        <v>5.2</v>
      </c>
      <c r="P344" s="604" t="s">
        <v>47</v>
      </c>
      <c r="Q344" s="499"/>
      <c r="R344" s="502" t="str">
        <f t="shared" si="51"/>
        <v>1999birthsdhbLakes</v>
      </c>
      <c r="S344" s="604">
        <v>1999</v>
      </c>
      <c r="T344" s="604" t="s">
        <v>445</v>
      </c>
      <c r="U344" s="604" t="s">
        <v>448</v>
      </c>
      <c r="V344" s="604" t="s">
        <v>90</v>
      </c>
      <c r="W344" s="604">
        <v>1696</v>
      </c>
      <c r="Y344" s="535" t="str">
        <f t="shared" si="52"/>
        <v>2016bwtdep500-999Quin 1fetal</v>
      </c>
      <c r="Z344" s="604">
        <v>2016</v>
      </c>
      <c r="AA344" s="604" t="s">
        <v>447</v>
      </c>
      <c r="AB344" s="604" t="s">
        <v>454</v>
      </c>
      <c r="AC344" s="604" t="s">
        <v>428</v>
      </c>
      <c r="AD344" s="604" t="s">
        <v>421</v>
      </c>
      <c r="AE344" s="604">
        <v>16</v>
      </c>
      <c r="AF344" s="604">
        <v>17</v>
      </c>
      <c r="AG344" s="604">
        <v>484.8</v>
      </c>
      <c r="AH344" s="604" t="s">
        <v>420</v>
      </c>
      <c r="AJ344" s="535" t="str">
        <f t="shared" si="53"/>
        <v>2016bwtdep500-999Quin 1</v>
      </c>
      <c r="AK344" s="604">
        <v>2016</v>
      </c>
      <c r="AL344" s="604" t="s">
        <v>447</v>
      </c>
      <c r="AM344" s="604" t="s">
        <v>454</v>
      </c>
      <c r="AN344" s="604" t="s">
        <v>428</v>
      </c>
      <c r="AO344" s="604" t="s">
        <v>421</v>
      </c>
      <c r="AP344" s="604">
        <v>17</v>
      </c>
      <c r="AR344" s="538" t="str">
        <f t="shared" si="54"/>
        <v>37-41gestfetalMidCentral</v>
      </c>
      <c r="AS344" s="604">
        <v>2016</v>
      </c>
      <c r="AT344" s="604" t="s">
        <v>137</v>
      </c>
      <c r="AU344" s="604" t="s">
        <v>450</v>
      </c>
      <c r="AV344" s="604" t="s">
        <v>94</v>
      </c>
      <c r="AW344" s="604">
        <v>1</v>
      </c>
      <c r="AX344" s="604">
        <v>1873</v>
      </c>
      <c r="AY344" s="606">
        <v>0.5</v>
      </c>
      <c r="AZ344" s="604" t="s">
        <v>420</v>
      </c>
      <c r="BB344" s="536" t="str">
        <f t="shared" si="55"/>
        <v>Quin 2depbirthsHutt Valley</v>
      </c>
      <c r="BC344" s="604">
        <v>2016</v>
      </c>
      <c r="BD344" s="604" t="s">
        <v>422</v>
      </c>
      <c r="BE344" s="604" t="s">
        <v>454</v>
      </c>
      <c r="BF344" s="604" t="s">
        <v>97</v>
      </c>
      <c r="BG344" s="604">
        <v>196</v>
      </c>
      <c r="BH344" s="604" t="s">
        <v>445</v>
      </c>
      <c r="BY344" s="553" t="str">
        <f t="shared" si="56"/>
        <v>2005Quin 9depSIDS</v>
      </c>
      <c r="BZ344" s="604">
        <v>2005</v>
      </c>
      <c r="CA344" s="604" t="s">
        <v>426</v>
      </c>
      <c r="CB344" s="604" t="s">
        <v>454</v>
      </c>
      <c r="CC344" s="604">
        <v>1</v>
      </c>
      <c r="CD344" s="604" t="s">
        <v>32</v>
      </c>
      <c r="CF344" s="554" t="str">
        <f t="shared" si="57"/>
        <v>2016Pacific peoples&lt;28gestSUDI</v>
      </c>
      <c r="CG344" s="604">
        <v>2016</v>
      </c>
      <c r="CH344" s="604" t="s">
        <v>320</v>
      </c>
      <c r="CI344" s="604" t="s">
        <v>375</v>
      </c>
      <c r="CJ344" s="604" t="s">
        <v>450</v>
      </c>
      <c r="CK344" s="604">
        <v>0</v>
      </c>
      <c r="CL344" s="604" t="s">
        <v>33</v>
      </c>
    </row>
    <row r="345" spans="9:90">
      <c r="I345" s="578" t="str">
        <f t="shared" si="50"/>
        <v>2000depQuin 4Fetal</v>
      </c>
      <c r="J345" s="604">
        <v>2000</v>
      </c>
      <c r="K345" s="604" t="s">
        <v>454</v>
      </c>
      <c r="L345" s="604" t="s">
        <v>424</v>
      </c>
      <c r="M345" s="604">
        <v>88</v>
      </c>
      <c r="N345" s="604">
        <v>12522</v>
      </c>
      <c r="O345" s="604">
        <v>7</v>
      </c>
      <c r="P345" s="604" t="s">
        <v>47</v>
      </c>
      <c r="Q345" s="499"/>
      <c r="R345" s="502" t="str">
        <f t="shared" si="51"/>
        <v>1999birthsdhbBay of Plenty</v>
      </c>
      <c r="S345" s="604">
        <v>1999</v>
      </c>
      <c r="T345" s="604" t="s">
        <v>445</v>
      </c>
      <c r="U345" s="604" t="s">
        <v>448</v>
      </c>
      <c r="V345" s="604" t="s">
        <v>91</v>
      </c>
      <c r="W345" s="604">
        <v>2699</v>
      </c>
      <c r="Y345" s="535" t="str">
        <f t="shared" si="52"/>
        <v>2016bwtdep1000-1499Quin 1fetal</v>
      </c>
      <c r="Z345" s="604">
        <v>2016</v>
      </c>
      <c r="AA345" s="604" t="s">
        <v>447</v>
      </c>
      <c r="AB345" s="604" t="s">
        <v>454</v>
      </c>
      <c r="AC345" s="604" t="s">
        <v>429</v>
      </c>
      <c r="AD345" s="604" t="s">
        <v>421</v>
      </c>
      <c r="AE345" s="604">
        <v>0</v>
      </c>
      <c r="AF345" s="604">
        <v>51</v>
      </c>
      <c r="AG345" s="604">
        <v>0</v>
      </c>
      <c r="AH345" s="604" t="s">
        <v>420</v>
      </c>
      <c r="AJ345" s="535" t="str">
        <f t="shared" si="53"/>
        <v>2016bwtdep1000-1499Quin 1</v>
      </c>
      <c r="AK345" s="604">
        <v>2016</v>
      </c>
      <c r="AL345" s="604" t="s">
        <v>447</v>
      </c>
      <c r="AM345" s="604" t="s">
        <v>454</v>
      </c>
      <c r="AN345" s="604" t="s">
        <v>429</v>
      </c>
      <c r="AO345" s="604" t="s">
        <v>421</v>
      </c>
      <c r="AP345" s="604">
        <v>51</v>
      </c>
      <c r="AR345" s="538" t="str">
        <f t="shared" si="54"/>
        <v>&lt;28gestfetalWhanganui</v>
      </c>
      <c r="AS345" s="604">
        <v>2016</v>
      </c>
      <c r="AT345" s="604" t="s">
        <v>375</v>
      </c>
      <c r="AU345" s="604" t="s">
        <v>450</v>
      </c>
      <c r="AV345" s="604" t="s">
        <v>95</v>
      </c>
      <c r="AW345" s="604">
        <v>3</v>
      </c>
      <c r="AX345" s="604">
        <v>3</v>
      </c>
      <c r="AY345" s="606">
        <v>1000</v>
      </c>
      <c r="AZ345" s="604" t="s">
        <v>420</v>
      </c>
      <c r="BB345" s="536" t="str">
        <f t="shared" si="55"/>
        <v>Quin 3depbirthsHutt Valley</v>
      </c>
      <c r="BC345" s="604">
        <v>2016</v>
      </c>
      <c r="BD345" s="604" t="s">
        <v>423</v>
      </c>
      <c r="BE345" s="604" t="s">
        <v>454</v>
      </c>
      <c r="BF345" s="604" t="s">
        <v>97</v>
      </c>
      <c r="BG345" s="604">
        <v>339</v>
      </c>
      <c r="BH345" s="604" t="s">
        <v>445</v>
      </c>
      <c r="BY345" s="553" t="str">
        <f t="shared" si="56"/>
        <v>2006Quin 1depSIDS</v>
      </c>
      <c r="BZ345" s="604">
        <v>2006</v>
      </c>
      <c r="CA345" s="604" t="s">
        <v>421</v>
      </c>
      <c r="CB345" s="604" t="s">
        <v>454</v>
      </c>
      <c r="CC345" s="604">
        <v>2</v>
      </c>
      <c r="CD345" s="604" t="s">
        <v>32</v>
      </c>
      <c r="CF345" s="554" t="str">
        <f t="shared" si="57"/>
        <v>2016Asian28-31gestSUDI</v>
      </c>
      <c r="CG345" s="604">
        <v>2016</v>
      </c>
      <c r="CH345" s="604" t="s">
        <v>355</v>
      </c>
      <c r="CI345" s="604" t="s">
        <v>395</v>
      </c>
      <c r="CJ345" s="604" t="s">
        <v>450</v>
      </c>
      <c r="CK345" s="604">
        <v>0</v>
      </c>
      <c r="CL345" s="604" t="s">
        <v>33</v>
      </c>
    </row>
    <row r="346" spans="9:90">
      <c r="I346" s="578" t="str">
        <f t="shared" si="50"/>
        <v>2000depQuin 5Fetal</v>
      </c>
      <c r="J346" s="604">
        <v>2000</v>
      </c>
      <c r="K346" s="604" t="s">
        <v>454</v>
      </c>
      <c r="L346" s="604" t="s">
        <v>425</v>
      </c>
      <c r="M346" s="604">
        <v>93</v>
      </c>
      <c r="N346" s="604">
        <v>14199</v>
      </c>
      <c r="O346" s="604">
        <v>6.5</v>
      </c>
      <c r="P346" s="604" t="s">
        <v>47</v>
      </c>
      <c r="Q346" s="499"/>
      <c r="R346" s="502" t="str">
        <f t="shared" si="51"/>
        <v>1999birthsdhbTairawhiti</v>
      </c>
      <c r="S346" s="604">
        <v>1999</v>
      </c>
      <c r="T346" s="604" t="s">
        <v>445</v>
      </c>
      <c r="U346" s="604" t="s">
        <v>448</v>
      </c>
      <c r="V346" s="604" t="s">
        <v>433</v>
      </c>
      <c r="W346" s="604">
        <v>771</v>
      </c>
      <c r="Y346" s="535" t="str">
        <f t="shared" si="52"/>
        <v>2016bwtdep1500-2499Quin 1fetal</v>
      </c>
      <c r="Z346" s="604">
        <v>2016</v>
      </c>
      <c r="AA346" s="604" t="s">
        <v>447</v>
      </c>
      <c r="AB346" s="604" t="s">
        <v>454</v>
      </c>
      <c r="AC346" s="604" t="s">
        <v>430</v>
      </c>
      <c r="AD346" s="604" t="s">
        <v>421</v>
      </c>
      <c r="AE346" s="604">
        <v>1</v>
      </c>
      <c r="AF346" s="604">
        <v>400</v>
      </c>
      <c r="AG346" s="604">
        <v>2.5</v>
      </c>
      <c r="AH346" s="604" t="s">
        <v>420</v>
      </c>
      <c r="AJ346" s="535" t="str">
        <f t="shared" si="53"/>
        <v>2016bwtdep1500-2499Quin 1</v>
      </c>
      <c r="AK346" s="604">
        <v>2016</v>
      </c>
      <c r="AL346" s="604" t="s">
        <v>447</v>
      </c>
      <c r="AM346" s="604" t="s">
        <v>454</v>
      </c>
      <c r="AN346" s="604" t="s">
        <v>430</v>
      </c>
      <c r="AO346" s="604" t="s">
        <v>421</v>
      </c>
      <c r="AP346" s="604">
        <v>400</v>
      </c>
      <c r="AR346" s="538" t="str">
        <f t="shared" si="54"/>
        <v>UnknowngestfetalWhanganui</v>
      </c>
      <c r="AS346" s="604">
        <v>2016</v>
      </c>
      <c r="AT346" s="604" t="s">
        <v>63</v>
      </c>
      <c r="AU346" s="604" t="s">
        <v>450</v>
      </c>
      <c r="AV346" s="604" t="s">
        <v>95</v>
      </c>
      <c r="AW346" s="604">
        <v>1</v>
      </c>
      <c r="AX346" s="604">
        <v>1</v>
      </c>
      <c r="AY346" s="606" t="s">
        <v>119</v>
      </c>
      <c r="AZ346" s="604" t="s">
        <v>420</v>
      </c>
      <c r="BB346" s="536" t="str">
        <f t="shared" si="55"/>
        <v>Quin 4depbirthsHutt Valley</v>
      </c>
      <c r="BC346" s="604">
        <v>2016</v>
      </c>
      <c r="BD346" s="604" t="s">
        <v>424</v>
      </c>
      <c r="BE346" s="604" t="s">
        <v>454</v>
      </c>
      <c r="BF346" s="604" t="s">
        <v>97</v>
      </c>
      <c r="BG346" s="604">
        <v>655</v>
      </c>
      <c r="BH346" s="604" t="s">
        <v>445</v>
      </c>
      <c r="BY346" s="553" t="str">
        <f t="shared" si="56"/>
        <v>2006Quin 2depSIDS</v>
      </c>
      <c r="BZ346" s="604">
        <v>2006</v>
      </c>
      <c r="CA346" s="604" t="s">
        <v>422</v>
      </c>
      <c r="CB346" s="604" t="s">
        <v>454</v>
      </c>
      <c r="CC346" s="604">
        <v>6</v>
      </c>
      <c r="CD346" s="604" t="s">
        <v>32</v>
      </c>
      <c r="CF346" s="554" t="str">
        <f t="shared" si="57"/>
        <v>2016European or Other28-31gestSUDI</v>
      </c>
      <c r="CG346" s="604">
        <v>2016</v>
      </c>
      <c r="CH346" s="604" t="s">
        <v>356</v>
      </c>
      <c r="CI346" s="604" t="s">
        <v>395</v>
      </c>
      <c r="CJ346" s="604" t="s">
        <v>450</v>
      </c>
      <c r="CK346" s="604">
        <v>0</v>
      </c>
      <c r="CL346" s="604" t="s">
        <v>33</v>
      </c>
    </row>
    <row r="347" spans="9:90">
      <c r="I347" s="578" t="str">
        <f t="shared" si="50"/>
        <v>2000depQuin 9Fetal</v>
      </c>
      <c r="J347" s="604">
        <v>2000</v>
      </c>
      <c r="K347" s="604" t="s">
        <v>454</v>
      </c>
      <c r="L347" s="604" t="s">
        <v>426</v>
      </c>
      <c r="M347" s="604">
        <v>33</v>
      </c>
      <c r="N347" s="604">
        <v>5575</v>
      </c>
      <c r="O347" s="604" t="s">
        <v>119</v>
      </c>
      <c r="P347" s="604" t="s">
        <v>47</v>
      </c>
      <c r="Q347" s="499"/>
      <c r="R347" s="502" t="str">
        <f t="shared" si="51"/>
        <v>1999birthsdhbHawke's Bay</v>
      </c>
      <c r="S347" s="604">
        <v>1999</v>
      </c>
      <c r="T347" s="604" t="s">
        <v>445</v>
      </c>
      <c r="U347" s="604" t="s">
        <v>448</v>
      </c>
      <c r="V347" s="604" t="s">
        <v>92</v>
      </c>
      <c r="W347" s="604">
        <v>2164</v>
      </c>
      <c r="Y347" s="535" t="str">
        <f t="shared" si="52"/>
        <v>2016bwtdep2500-4499Quin 1fetal</v>
      </c>
      <c r="Z347" s="604">
        <v>2016</v>
      </c>
      <c r="AA347" s="604" t="s">
        <v>447</v>
      </c>
      <c r="AB347" s="604" t="s">
        <v>454</v>
      </c>
      <c r="AC347" s="604" t="s">
        <v>431</v>
      </c>
      <c r="AD347" s="604" t="s">
        <v>421</v>
      </c>
      <c r="AE347" s="604">
        <v>10</v>
      </c>
      <c r="AF347" s="604">
        <v>8513</v>
      </c>
      <c r="AG347" s="604">
        <v>1.2</v>
      </c>
      <c r="AH347" s="604" t="s">
        <v>420</v>
      </c>
      <c r="AJ347" s="535" t="str">
        <f t="shared" si="53"/>
        <v>2016bwtdep2500-4499Quin 1</v>
      </c>
      <c r="AK347" s="604">
        <v>2016</v>
      </c>
      <c r="AL347" s="604" t="s">
        <v>447</v>
      </c>
      <c r="AM347" s="604" t="s">
        <v>454</v>
      </c>
      <c r="AN347" s="604" t="s">
        <v>431</v>
      </c>
      <c r="AO347" s="604" t="s">
        <v>421</v>
      </c>
      <c r="AP347" s="604">
        <v>8513</v>
      </c>
      <c r="AR347" s="538" t="str">
        <f t="shared" si="54"/>
        <v>&lt;28gestfetalCapital &amp; Coast</v>
      </c>
      <c r="AS347" s="604">
        <v>2016</v>
      </c>
      <c r="AT347" s="604" t="s">
        <v>375</v>
      </c>
      <c r="AU347" s="604" t="s">
        <v>450</v>
      </c>
      <c r="AV347" s="604" t="s">
        <v>96</v>
      </c>
      <c r="AW347" s="604">
        <v>9</v>
      </c>
      <c r="AX347" s="604">
        <v>22</v>
      </c>
      <c r="AY347" s="606">
        <v>409.1</v>
      </c>
      <c r="AZ347" s="604" t="s">
        <v>420</v>
      </c>
      <c r="BB347" s="536" t="str">
        <f t="shared" si="55"/>
        <v>Quin 5depbirthsHutt Valley</v>
      </c>
      <c r="BC347" s="604">
        <v>2016</v>
      </c>
      <c r="BD347" s="604" t="s">
        <v>425</v>
      </c>
      <c r="BE347" s="604" t="s">
        <v>454</v>
      </c>
      <c r="BF347" s="604" t="s">
        <v>97</v>
      </c>
      <c r="BG347" s="604">
        <v>446</v>
      </c>
      <c r="BH347" s="604" t="s">
        <v>445</v>
      </c>
      <c r="BY347" s="553" t="str">
        <f t="shared" si="56"/>
        <v>2006Quin 3depSIDS</v>
      </c>
      <c r="BZ347" s="604">
        <v>2006</v>
      </c>
      <c r="CA347" s="604" t="s">
        <v>423</v>
      </c>
      <c r="CB347" s="604" t="s">
        <v>454</v>
      </c>
      <c r="CC347" s="604">
        <v>6</v>
      </c>
      <c r="CD347" s="604" t="s">
        <v>32</v>
      </c>
      <c r="CF347" s="554" t="str">
        <f t="shared" si="57"/>
        <v>2016Maori28-31gestSUDI</v>
      </c>
      <c r="CG347" s="604">
        <v>2016</v>
      </c>
      <c r="CH347" s="604" t="s">
        <v>129</v>
      </c>
      <c r="CI347" s="604" t="s">
        <v>395</v>
      </c>
      <c r="CJ347" s="604" t="s">
        <v>450</v>
      </c>
      <c r="CK347" s="604">
        <v>0</v>
      </c>
      <c r="CL347" s="604" t="s">
        <v>33</v>
      </c>
    </row>
    <row r="348" spans="9:90">
      <c r="I348" s="578" t="str">
        <f t="shared" si="50"/>
        <v>2001depQuin 1Fetal</v>
      </c>
      <c r="J348" s="604">
        <v>2001</v>
      </c>
      <c r="K348" s="604" t="s">
        <v>454</v>
      </c>
      <c r="L348" s="604" t="s">
        <v>421</v>
      </c>
      <c r="M348" s="604">
        <v>51</v>
      </c>
      <c r="N348" s="604">
        <v>7157</v>
      </c>
      <c r="O348" s="604">
        <v>7.1</v>
      </c>
      <c r="P348" s="604" t="s">
        <v>47</v>
      </c>
      <c r="Q348" s="499"/>
      <c r="R348" s="502" t="str">
        <f t="shared" si="51"/>
        <v>1999birthsdhbTaranaki</v>
      </c>
      <c r="S348" s="604">
        <v>1999</v>
      </c>
      <c r="T348" s="604" t="s">
        <v>445</v>
      </c>
      <c r="U348" s="604" t="s">
        <v>448</v>
      </c>
      <c r="V348" s="604" t="s">
        <v>93</v>
      </c>
      <c r="W348" s="604">
        <v>1497</v>
      </c>
      <c r="Y348" s="535" t="str">
        <f t="shared" si="52"/>
        <v>2016bwtdep4500+Quin 1fetal</v>
      </c>
      <c r="Z348" s="604">
        <v>2016</v>
      </c>
      <c r="AA348" s="604" t="s">
        <v>447</v>
      </c>
      <c r="AB348" s="604" t="s">
        <v>454</v>
      </c>
      <c r="AC348" s="604" t="s">
        <v>432</v>
      </c>
      <c r="AD348" s="604" t="s">
        <v>421</v>
      </c>
      <c r="AE348" s="604">
        <v>0</v>
      </c>
      <c r="AF348" s="604">
        <v>197</v>
      </c>
      <c r="AG348" s="604">
        <v>0</v>
      </c>
      <c r="AH348" s="604" t="s">
        <v>420</v>
      </c>
      <c r="AJ348" s="535" t="str">
        <f t="shared" si="53"/>
        <v>2016bwtdep4500+Quin 1</v>
      </c>
      <c r="AK348" s="604">
        <v>2016</v>
      </c>
      <c r="AL348" s="604" t="s">
        <v>447</v>
      </c>
      <c r="AM348" s="604" t="s">
        <v>454</v>
      </c>
      <c r="AN348" s="604" t="s">
        <v>432</v>
      </c>
      <c r="AO348" s="604" t="s">
        <v>421</v>
      </c>
      <c r="AP348" s="604">
        <v>197</v>
      </c>
      <c r="AR348" s="538" t="str">
        <f t="shared" si="54"/>
        <v>28-31gestfetalCapital &amp; Coast</v>
      </c>
      <c r="AS348" s="604">
        <v>2016</v>
      </c>
      <c r="AT348" s="604" t="s">
        <v>395</v>
      </c>
      <c r="AU348" s="604" t="s">
        <v>450</v>
      </c>
      <c r="AV348" s="604" t="s">
        <v>96</v>
      </c>
      <c r="AW348" s="604">
        <v>1</v>
      </c>
      <c r="AX348" s="604">
        <v>25</v>
      </c>
      <c r="AY348" s="606">
        <v>40</v>
      </c>
      <c r="AZ348" s="604" t="s">
        <v>420</v>
      </c>
      <c r="BB348" s="536" t="str">
        <f t="shared" si="55"/>
        <v>Quin 1depbirthsWairarapa</v>
      </c>
      <c r="BC348" s="604">
        <v>2016</v>
      </c>
      <c r="BD348" s="604" t="s">
        <v>421</v>
      </c>
      <c r="BE348" s="604" t="s">
        <v>454</v>
      </c>
      <c r="BF348" s="604" t="s">
        <v>98</v>
      </c>
      <c r="BG348" s="604">
        <v>68</v>
      </c>
      <c r="BH348" s="604" t="s">
        <v>445</v>
      </c>
      <c r="BY348" s="553" t="str">
        <f t="shared" si="56"/>
        <v>2006Quin 4depSIDS</v>
      </c>
      <c r="BZ348" s="604">
        <v>2006</v>
      </c>
      <c r="CA348" s="604" t="s">
        <v>424</v>
      </c>
      <c r="CB348" s="604" t="s">
        <v>454</v>
      </c>
      <c r="CC348" s="604">
        <v>6</v>
      </c>
      <c r="CD348" s="604" t="s">
        <v>32</v>
      </c>
      <c r="CF348" s="554" t="str">
        <f t="shared" si="57"/>
        <v>2016Pacific peoples28-31gestSUDI</v>
      </c>
      <c r="CG348" s="604">
        <v>2016</v>
      </c>
      <c r="CH348" s="604" t="s">
        <v>320</v>
      </c>
      <c r="CI348" s="604" t="s">
        <v>395</v>
      </c>
      <c r="CJ348" s="604" t="s">
        <v>450</v>
      </c>
      <c r="CK348" s="604">
        <v>1</v>
      </c>
      <c r="CL348" s="604" t="s">
        <v>33</v>
      </c>
    </row>
    <row r="349" spans="9:90">
      <c r="I349" s="578" t="str">
        <f t="shared" si="50"/>
        <v>2001depQuin 2Fetal</v>
      </c>
      <c r="J349" s="604">
        <v>2001</v>
      </c>
      <c r="K349" s="604" t="s">
        <v>454</v>
      </c>
      <c r="L349" s="604" t="s">
        <v>422</v>
      </c>
      <c r="M349" s="604">
        <v>54</v>
      </c>
      <c r="N349" s="604">
        <v>8081</v>
      </c>
      <c r="O349" s="604">
        <v>6.7</v>
      </c>
      <c r="P349" s="604" t="s">
        <v>47</v>
      </c>
      <c r="Q349" s="499"/>
      <c r="R349" s="502" t="str">
        <f t="shared" si="51"/>
        <v>1999birthsdhbMidCentral</v>
      </c>
      <c r="S349" s="604">
        <v>1999</v>
      </c>
      <c r="T349" s="604" t="s">
        <v>445</v>
      </c>
      <c r="U349" s="604" t="s">
        <v>448</v>
      </c>
      <c r="V349" s="604" t="s">
        <v>94</v>
      </c>
      <c r="W349" s="604">
        <v>2191</v>
      </c>
      <c r="Y349" s="535" t="str">
        <f t="shared" si="52"/>
        <v>2016bwtdepUnknownQuin 1fetal</v>
      </c>
      <c r="Z349" s="604">
        <v>2016</v>
      </c>
      <c r="AA349" s="604" t="s">
        <v>447</v>
      </c>
      <c r="AB349" s="604" t="s">
        <v>454</v>
      </c>
      <c r="AC349" s="604" t="s">
        <v>63</v>
      </c>
      <c r="AD349" s="604" t="s">
        <v>421</v>
      </c>
      <c r="AE349" s="604">
        <v>2</v>
      </c>
      <c r="AF349" s="604">
        <v>5</v>
      </c>
      <c r="AG349" s="604" t="s">
        <v>119</v>
      </c>
      <c r="AH349" s="604" t="s">
        <v>420</v>
      </c>
      <c r="AJ349" s="535" t="str">
        <f t="shared" si="53"/>
        <v>2016bwtdepUnknownQuin 1</v>
      </c>
      <c r="AK349" s="604">
        <v>2016</v>
      </c>
      <c r="AL349" s="604" t="s">
        <v>447</v>
      </c>
      <c r="AM349" s="604" t="s">
        <v>454</v>
      </c>
      <c r="AN349" s="604" t="s">
        <v>63</v>
      </c>
      <c r="AO349" s="604" t="s">
        <v>421</v>
      </c>
      <c r="AP349" s="604">
        <v>5</v>
      </c>
      <c r="AR349" s="538" t="str">
        <f t="shared" si="54"/>
        <v>32-36gestfetalCapital &amp; Coast</v>
      </c>
      <c r="AS349" s="604">
        <v>2016</v>
      </c>
      <c r="AT349" s="604" t="s">
        <v>136</v>
      </c>
      <c r="AU349" s="604" t="s">
        <v>450</v>
      </c>
      <c r="AV349" s="604" t="s">
        <v>96</v>
      </c>
      <c r="AW349" s="604">
        <v>2</v>
      </c>
      <c r="AX349" s="604">
        <v>234</v>
      </c>
      <c r="AY349" s="606">
        <v>8.5</v>
      </c>
      <c r="AZ349" s="604" t="s">
        <v>420</v>
      </c>
      <c r="BB349" s="536" t="str">
        <f t="shared" si="55"/>
        <v>Quin 2depbirthsWairarapa</v>
      </c>
      <c r="BC349" s="604">
        <v>2016</v>
      </c>
      <c r="BD349" s="604" t="s">
        <v>422</v>
      </c>
      <c r="BE349" s="604" t="s">
        <v>454</v>
      </c>
      <c r="BF349" s="604" t="s">
        <v>98</v>
      </c>
      <c r="BG349" s="604">
        <v>56</v>
      </c>
      <c r="BH349" s="604" t="s">
        <v>445</v>
      </c>
      <c r="BY349" s="553" t="str">
        <f t="shared" si="56"/>
        <v>2006Quin 5depSIDS</v>
      </c>
      <c r="BZ349" s="604">
        <v>2006</v>
      </c>
      <c r="CA349" s="604" t="s">
        <v>425</v>
      </c>
      <c r="CB349" s="604" t="s">
        <v>454</v>
      </c>
      <c r="CC349" s="604">
        <v>26</v>
      </c>
      <c r="CD349" s="604" t="s">
        <v>32</v>
      </c>
      <c r="CF349" s="554" t="str">
        <f t="shared" si="57"/>
        <v>2016Asian32-36gestSUDI</v>
      </c>
      <c r="CG349" s="604">
        <v>2016</v>
      </c>
      <c r="CH349" s="604" t="s">
        <v>355</v>
      </c>
      <c r="CI349" s="604" t="s">
        <v>136</v>
      </c>
      <c r="CJ349" s="604" t="s">
        <v>450</v>
      </c>
      <c r="CK349" s="604">
        <v>0</v>
      </c>
      <c r="CL349" s="604" t="s">
        <v>33</v>
      </c>
    </row>
    <row r="350" spans="9:90">
      <c r="I350" s="578" t="str">
        <f t="shared" si="50"/>
        <v>2001depQuin 3Fetal</v>
      </c>
      <c r="J350" s="604">
        <v>2001</v>
      </c>
      <c r="K350" s="604" t="s">
        <v>454</v>
      </c>
      <c r="L350" s="604" t="s">
        <v>423</v>
      </c>
      <c r="M350" s="604">
        <v>63</v>
      </c>
      <c r="N350" s="604">
        <v>9681</v>
      </c>
      <c r="O350" s="604">
        <v>6.5</v>
      </c>
      <c r="P350" s="604" t="s">
        <v>47</v>
      </c>
      <c r="Q350" s="499"/>
      <c r="R350" s="502" t="str">
        <f t="shared" si="51"/>
        <v>1999birthsdhbWhanganui</v>
      </c>
      <c r="S350" s="604">
        <v>1999</v>
      </c>
      <c r="T350" s="604" t="s">
        <v>445</v>
      </c>
      <c r="U350" s="604" t="s">
        <v>448</v>
      </c>
      <c r="V350" s="604" t="s">
        <v>95</v>
      </c>
      <c r="W350" s="604">
        <v>959</v>
      </c>
      <c r="Y350" s="535" t="str">
        <f t="shared" si="52"/>
        <v>2016bwtdep&lt;500Quin 2fetal</v>
      </c>
      <c r="Z350" s="604">
        <v>2016</v>
      </c>
      <c r="AA350" s="604" t="s">
        <v>447</v>
      </c>
      <c r="AB350" s="604" t="s">
        <v>454</v>
      </c>
      <c r="AC350" s="604" t="s">
        <v>427</v>
      </c>
      <c r="AD350" s="604" t="s">
        <v>422</v>
      </c>
      <c r="AE350" s="604">
        <v>21</v>
      </c>
      <c r="AF350" s="604">
        <v>5</v>
      </c>
      <c r="AG350" s="604" t="s">
        <v>119</v>
      </c>
      <c r="AH350" s="604" t="s">
        <v>420</v>
      </c>
      <c r="AJ350" s="535" t="str">
        <f t="shared" si="53"/>
        <v>2016bwtdep&lt;500Quin 2</v>
      </c>
      <c r="AK350" s="604">
        <v>2016</v>
      </c>
      <c r="AL350" s="604" t="s">
        <v>447</v>
      </c>
      <c r="AM350" s="604" t="s">
        <v>454</v>
      </c>
      <c r="AN350" s="604" t="s">
        <v>427</v>
      </c>
      <c r="AO350" s="604" t="s">
        <v>422</v>
      </c>
      <c r="AP350" s="604">
        <v>5</v>
      </c>
      <c r="AR350" s="538" t="str">
        <f t="shared" si="54"/>
        <v>37-41gestfetalCapital &amp; Coast</v>
      </c>
      <c r="AS350" s="604">
        <v>2016</v>
      </c>
      <c r="AT350" s="604" t="s">
        <v>137</v>
      </c>
      <c r="AU350" s="604" t="s">
        <v>450</v>
      </c>
      <c r="AV350" s="604" t="s">
        <v>96</v>
      </c>
      <c r="AW350" s="604">
        <v>6</v>
      </c>
      <c r="AX350" s="604">
        <v>3232</v>
      </c>
      <c r="AY350" s="606">
        <v>1.9</v>
      </c>
      <c r="AZ350" s="604" t="s">
        <v>420</v>
      </c>
      <c r="BB350" s="536" t="str">
        <f t="shared" si="55"/>
        <v>Quin 3depbirthsWairarapa</v>
      </c>
      <c r="BC350" s="604">
        <v>2016</v>
      </c>
      <c r="BD350" s="604" t="s">
        <v>423</v>
      </c>
      <c r="BE350" s="604" t="s">
        <v>454</v>
      </c>
      <c r="BF350" s="604" t="s">
        <v>98</v>
      </c>
      <c r="BG350" s="604">
        <v>29</v>
      </c>
      <c r="BH350" s="604" t="s">
        <v>445</v>
      </c>
      <c r="BY350" s="553" t="str">
        <f t="shared" si="56"/>
        <v>2006Quin 9depSIDS</v>
      </c>
      <c r="BZ350" s="604">
        <v>2006</v>
      </c>
      <c r="CA350" s="604" t="s">
        <v>426</v>
      </c>
      <c r="CB350" s="604" t="s">
        <v>454</v>
      </c>
      <c r="CC350" s="604">
        <v>3</v>
      </c>
      <c r="CD350" s="604" t="s">
        <v>32</v>
      </c>
      <c r="CF350" s="554" t="str">
        <f t="shared" si="57"/>
        <v>2016European or Other32-36gestSUDI</v>
      </c>
      <c r="CG350" s="604">
        <v>2016</v>
      </c>
      <c r="CH350" s="604" t="s">
        <v>356</v>
      </c>
      <c r="CI350" s="604" t="s">
        <v>136</v>
      </c>
      <c r="CJ350" s="604" t="s">
        <v>450</v>
      </c>
      <c r="CK350" s="604">
        <v>1</v>
      </c>
      <c r="CL350" s="604" t="s">
        <v>33</v>
      </c>
    </row>
    <row r="351" spans="9:90">
      <c r="I351" s="578" t="str">
        <f t="shared" si="50"/>
        <v>2001depQuin 4Fetal</v>
      </c>
      <c r="J351" s="604">
        <v>2001</v>
      </c>
      <c r="K351" s="604" t="s">
        <v>454</v>
      </c>
      <c r="L351" s="604" t="s">
        <v>424</v>
      </c>
      <c r="M351" s="604">
        <v>74</v>
      </c>
      <c r="N351" s="604">
        <v>12016</v>
      </c>
      <c r="O351" s="604">
        <v>6.2</v>
      </c>
      <c r="P351" s="604" t="s">
        <v>47</v>
      </c>
      <c r="Q351" s="499"/>
      <c r="R351" s="502" t="str">
        <f t="shared" si="51"/>
        <v>1999birthsdhbCapital &amp; Coast</v>
      </c>
      <c r="S351" s="604">
        <v>1999</v>
      </c>
      <c r="T351" s="604" t="s">
        <v>445</v>
      </c>
      <c r="U351" s="604" t="s">
        <v>448</v>
      </c>
      <c r="V351" s="604" t="s">
        <v>96</v>
      </c>
      <c r="W351" s="604">
        <v>3812</v>
      </c>
      <c r="Y351" s="535" t="str">
        <f t="shared" si="52"/>
        <v>2016bwtdep500-999Quin 2fetal</v>
      </c>
      <c r="Z351" s="604">
        <v>2016</v>
      </c>
      <c r="AA351" s="604" t="s">
        <v>447</v>
      </c>
      <c r="AB351" s="604" t="s">
        <v>454</v>
      </c>
      <c r="AC351" s="604" t="s">
        <v>428</v>
      </c>
      <c r="AD351" s="604" t="s">
        <v>422</v>
      </c>
      <c r="AE351" s="604">
        <v>18</v>
      </c>
      <c r="AF351" s="604">
        <v>29</v>
      </c>
      <c r="AG351" s="604">
        <v>383</v>
      </c>
      <c r="AH351" s="604" t="s">
        <v>420</v>
      </c>
      <c r="AJ351" s="535" t="str">
        <f t="shared" si="53"/>
        <v>2016bwtdep500-999Quin 2</v>
      </c>
      <c r="AK351" s="604">
        <v>2016</v>
      </c>
      <c r="AL351" s="604" t="s">
        <v>447</v>
      </c>
      <c r="AM351" s="604" t="s">
        <v>454</v>
      </c>
      <c r="AN351" s="604" t="s">
        <v>428</v>
      </c>
      <c r="AO351" s="604" t="s">
        <v>422</v>
      </c>
      <c r="AP351" s="604">
        <v>29</v>
      </c>
      <c r="AR351" s="538" t="str">
        <f t="shared" si="54"/>
        <v>&lt;28gestfetalHutt Valley</v>
      </c>
      <c r="AS351" s="604">
        <v>2016</v>
      </c>
      <c r="AT351" s="604" t="s">
        <v>375</v>
      </c>
      <c r="AU351" s="604" t="s">
        <v>450</v>
      </c>
      <c r="AV351" s="604" t="s">
        <v>97</v>
      </c>
      <c r="AW351" s="604">
        <v>4</v>
      </c>
      <c r="AX351" s="604">
        <v>15</v>
      </c>
      <c r="AY351" s="606">
        <v>266.7</v>
      </c>
      <c r="AZ351" s="604" t="s">
        <v>420</v>
      </c>
      <c r="BB351" s="536" t="str">
        <f t="shared" si="55"/>
        <v>Quin 4depbirthsWairarapa</v>
      </c>
      <c r="BC351" s="604">
        <v>2016</v>
      </c>
      <c r="BD351" s="604" t="s">
        <v>424</v>
      </c>
      <c r="BE351" s="604" t="s">
        <v>454</v>
      </c>
      <c r="BF351" s="604" t="s">
        <v>98</v>
      </c>
      <c r="BG351" s="604">
        <v>233</v>
      </c>
      <c r="BH351" s="604" t="s">
        <v>445</v>
      </c>
      <c r="BY351" s="553" t="str">
        <f t="shared" si="56"/>
        <v>2007Quin 1depSIDS</v>
      </c>
      <c r="BZ351" s="604">
        <v>2007</v>
      </c>
      <c r="CA351" s="604" t="s">
        <v>421</v>
      </c>
      <c r="CB351" s="604" t="s">
        <v>454</v>
      </c>
      <c r="CC351" s="604">
        <v>5</v>
      </c>
      <c r="CD351" s="604" t="s">
        <v>32</v>
      </c>
      <c r="CF351" s="554" t="str">
        <f t="shared" si="57"/>
        <v>2016Maori32-36gestSUDI</v>
      </c>
      <c r="CG351" s="604">
        <v>2016</v>
      </c>
      <c r="CH351" s="604" t="s">
        <v>129</v>
      </c>
      <c r="CI351" s="604" t="s">
        <v>136</v>
      </c>
      <c r="CJ351" s="604" t="s">
        <v>450</v>
      </c>
      <c r="CK351" s="604">
        <v>4</v>
      </c>
      <c r="CL351" s="604" t="s">
        <v>33</v>
      </c>
    </row>
    <row r="352" spans="9:90">
      <c r="I352" s="578" t="str">
        <f t="shared" si="50"/>
        <v>2001depQuin 5Fetal</v>
      </c>
      <c r="J352" s="604">
        <v>2001</v>
      </c>
      <c r="K352" s="604" t="s">
        <v>454</v>
      </c>
      <c r="L352" s="604" t="s">
        <v>425</v>
      </c>
      <c r="M352" s="604">
        <v>113</v>
      </c>
      <c r="N352" s="604">
        <v>14026</v>
      </c>
      <c r="O352" s="604">
        <v>8.1</v>
      </c>
      <c r="P352" s="604" t="s">
        <v>47</v>
      </c>
      <c r="Q352" s="499"/>
      <c r="R352" s="502" t="str">
        <f t="shared" si="51"/>
        <v>1999birthsdhbHutt Valley</v>
      </c>
      <c r="S352" s="604">
        <v>1999</v>
      </c>
      <c r="T352" s="604" t="s">
        <v>445</v>
      </c>
      <c r="U352" s="604" t="s">
        <v>448</v>
      </c>
      <c r="V352" s="604" t="s">
        <v>97</v>
      </c>
      <c r="W352" s="604">
        <v>2105</v>
      </c>
      <c r="Y352" s="535" t="str">
        <f t="shared" si="52"/>
        <v>2016bwtdep1000-1499Quin 2fetal</v>
      </c>
      <c r="Z352" s="604">
        <v>2016</v>
      </c>
      <c r="AA352" s="604" t="s">
        <v>447</v>
      </c>
      <c r="AB352" s="604" t="s">
        <v>454</v>
      </c>
      <c r="AC352" s="604" t="s">
        <v>429</v>
      </c>
      <c r="AD352" s="604" t="s">
        <v>422</v>
      </c>
      <c r="AE352" s="604">
        <v>3</v>
      </c>
      <c r="AF352" s="604">
        <v>40</v>
      </c>
      <c r="AG352" s="604">
        <v>69.8</v>
      </c>
      <c r="AH352" s="604" t="s">
        <v>420</v>
      </c>
      <c r="AJ352" s="535" t="str">
        <f t="shared" si="53"/>
        <v>2016bwtdep1000-1499Quin 2</v>
      </c>
      <c r="AK352" s="604">
        <v>2016</v>
      </c>
      <c r="AL352" s="604" t="s">
        <v>447</v>
      </c>
      <c r="AM352" s="604" t="s">
        <v>454</v>
      </c>
      <c r="AN352" s="604" t="s">
        <v>429</v>
      </c>
      <c r="AO352" s="604" t="s">
        <v>422</v>
      </c>
      <c r="AP352" s="604">
        <v>40</v>
      </c>
      <c r="AR352" s="538" t="str">
        <f t="shared" si="54"/>
        <v>28-31gestfetalHutt Valley</v>
      </c>
      <c r="AS352" s="604">
        <v>2016</v>
      </c>
      <c r="AT352" s="604" t="s">
        <v>395</v>
      </c>
      <c r="AU352" s="604" t="s">
        <v>450</v>
      </c>
      <c r="AV352" s="604" t="s">
        <v>97</v>
      </c>
      <c r="AW352" s="604">
        <v>2</v>
      </c>
      <c r="AX352" s="604">
        <v>20</v>
      </c>
      <c r="AY352" s="606">
        <v>100</v>
      </c>
      <c r="AZ352" s="604" t="s">
        <v>420</v>
      </c>
      <c r="BB352" s="536" t="str">
        <f t="shared" si="55"/>
        <v>Quin 5depbirthsWairarapa</v>
      </c>
      <c r="BC352" s="604">
        <v>2016</v>
      </c>
      <c r="BD352" s="604" t="s">
        <v>425</v>
      </c>
      <c r="BE352" s="604" t="s">
        <v>454</v>
      </c>
      <c r="BF352" s="604" t="s">
        <v>98</v>
      </c>
      <c r="BG352" s="604">
        <v>95</v>
      </c>
      <c r="BH352" s="604" t="s">
        <v>445</v>
      </c>
      <c r="BY352" s="553" t="str">
        <f t="shared" si="56"/>
        <v>2007Quin 2depSIDS</v>
      </c>
      <c r="BZ352" s="604">
        <v>2007</v>
      </c>
      <c r="CA352" s="604" t="s">
        <v>422</v>
      </c>
      <c r="CB352" s="604" t="s">
        <v>454</v>
      </c>
      <c r="CC352" s="604">
        <v>4</v>
      </c>
      <c r="CD352" s="604" t="s">
        <v>32</v>
      </c>
      <c r="CF352" s="554" t="str">
        <f t="shared" si="57"/>
        <v>2016Pacific peoples32-36gestSUDI</v>
      </c>
      <c r="CG352" s="604">
        <v>2016</v>
      </c>
      <c r="CH352" s="604" t="s">
        <v>320</v>
      </c>
      <c r="CI352" s="604" t="s">
        <v>136</v>
      </c>
      <c r="CJ352" s="604" t="s">
        <v>450</v>
      </c>
      <c r="CK352" s="604">
        <v>2</v>
      </c>
      <c r="CL352" s="604" t="s">
        <v>33</v>
      </c>
    </row>
    <row r="353" spans="9:90">
      <c r="I353" s="578" t="str">
        <f t="shared" si="50"/>
        <v>2001depQuin 9Fetal</v>
      </c>
      <c r="J353" s="604">
        <v>2001</v>
      </c>
      <c r="K353" s="604" t="s">
        <v>454</v>
      </c>
      <c r="L353" s="604" t="s">
        <v>426</v>
      </c>
      <c r="M353" s="604">
        <v>31</v>
      </c>
      <c r="N353" s="604">
        <v>5649</v>
      </c>
      <c r="O353" s="604" t="s">
        <v>119</v>
      </c>
      <c r="P353" s="604" t="s">
        <v>47</v>
      </c>
      <c r="Q353" s="499"/>
      <c r="R353" s="502" t="str">
        <f t="shared" si="51"/>
        <v>1999birthsdhbWairarapa</v>
      </c>
      <c r="S353" s="604">
        <v>1999</v>
      </c>
      <c r="T353" s="604" t="s">
        <v>445</v>
      </c>
      <c r="U353" s="604" t="s">
        <v>448</v>
      </c>
      <c r="V353" s="604" t="s">
        <v>98</v>
      </c>
      <c r="W353" s="604">
        <v>553</v>
      </c>
      <c r="Y353" s="535" t="str">
        <f t="shared" si="52"/>
        <v>2016bwtdep1500-2499Quin 2fetal</v>
      </c>
      <c r="Z353" s="604">
        <v>2016</v>
      </c>
      <c r="AA353" s="604" t="s">
        <v>447</v>
      </c>
      <c r="AB353" s="604" t="s">
        <v>454</v>
      </c>
      <c r="AC353" s="604" t="s">
        <v>430</v>
      </c>
      <c r="AD353" s="604" t="s">
        <v>422</v>
      </c>
      <c r="AE353" s="604">
        <v>5</v>
      </c>
      <c r="AF353" s="604">
        <v>438</v>
      </c>
      <c r="AG353" s="604">
        <v>11.3</v>
      </c>
      <c r="AH353" s="604" t="s">
        <v>420</v>
      </c>
      <c r="AJ353" s="535" t="str">
        <f t="shared" si="53"/>
        <v>2016bwtdep1500-2499Quin 2</v>
      </c>
      <c r="AK353" s="604">
        <v>2016</v>
      </c>
      <c r="AL353" s="604" t="s">
        <v>447</v>
      </c>
      <c r="AM353" s="604" t="s">
        <v>454</v>
      </c>
      <c r="AN353" s="604" t="s">
        <v>430</v>
      </c>
      <c r="AO353" s="604" t="s">
        <v>422</v>
      </c>
      <c r="AP353" s="604">
        <v>438</v>
      </c>
      <c r="AR353" s="538" t="str">
        <f t="shared" si="54"/>
        <v>32-36gestfetalHutt Valley</v>
      </c>
      <c r="AS353" s="604">
        <v>2016</v>
      </c>
      <c r="AT353" s="604" t="s">
        <v>136</v>
      </c>
      <c r="AU353" s="604" t="s">
        <v>450</v>
      </c>
      <c r="AV353" s="604" t="s">
        <v>97</v>
      </c>
      <c r="AW353" s="604">
        <v>1</v>
      </c>
      <c r="AX353" s="604">
        <v>152</v>
      </c>
      <c r="AY353" s="606">
        <v>6.6</v>
      </c>
      <c r="AZ353" s="604" t="s">
        <v>420</v>
      </c>
      <c r="BB353" s="536" t="str">
        <f t="shared" si="55"/>
        <v>Quin 1depbirthsNelson Marlborough</v>
      </c>
      <c r="BC353" s="604">
        <v>2016</v>
      </c>
      <c r="BD353" s="604" t="s">
        <v>421</v>
      </c>
      <c r="BE353" s="604" t="s">
        <v>454</v>
      </c>
      <c r="BF353" s="604" t="s">
        <v>99</v>
      </c>
      <c r="BG353" s="604">
        <v>142</v>
      </c>
      <c r="BH353" s="604" t="s">
        <v>445</v>
      </c>
      <c r="BY353" s="553" t="str">
        <f t="shared" si="56"/>
        <v>2007Quin 3depSIDS</v>
      </c>
      <c r="BZ353" s="604">
        <v>2007</v>
      </c>
      <c r="CA353" s="604" t="s">
        <v>423</v>
      </c>
      <c r="CB353" s="604" t="s">
        <v>454</v>
      </c>
      <c r="CC353" s="604">
        <v>8</v>
      </c>
      <c r="CD353" s="604" t="s">
        <v>32</v>
      </c>
      <c r="CF353" s="554" t="str">
        <f t="shared" si="57"/>
        <v>2016Asian37-41gestSUDI</v>
      </c>
      <c r="CG353" s="604">
        <v>2016</v>
      </c>
      <c r="CH353" s="604" t="s">
        <v>355</v>
      </c>
      <c r="CI353" s="604" t="s">
        <v>137</v>
      </c>
      <c r="CJ353" s="604" t="s">
        <v>450</v>
      </c>
      <c r="CK353" s="604">
        <v>1</v>
      </c>
      <c r="CL353" s="604" t="s">
        <v>33</v>
      </c>
    </row>
    <row r="354" spans="9:90">
      <c r="I354" s="578" t="str">
        <f t="shared" si="50"/>
        <v>2002depQuin 1Fetal</v>
      </c>
      <c r="J354" s="604">
        <v>2002</v>
      </c>
      <c r="K354" s="604" t="s">
        <v>454</v>
      </c>
      <c r="L354" s="604" t="s">
        <v>421</v>
      </c>
      <c r="M354" s="604">
        <v>34</v>
      </c>
      <c r="N354" s="604">
        <v>7838</v>
      </c>
      <c r="O354" s="604">
        <v>4.3</v>
      </c>
      <c r="P354" s="604" t="s">
        <v>47</v>
      </c>
      <c r="Q354" s="499"/>
      <c r="R354" s="502" t="str">
        <f t="shared" si="51"/>
        <v>1999birthsdhbNelson Marlborough</v>
      </c>
      <c r="S354" s="604">
        <v>1999</v>
      </c>
      <c r="T354" s="604" t="s">
        <v>445</v>
      </c>
      <c r="U354" s="604" t="s">
        <v>448</v>
      </c>
      <c r="V354" s="604" t="s">
        <v>99</v>
      </c>
      <c r="W354" s="604">
        <v>1494</v>
      </c>
      <c r="Y354" s="535" t="str">
        <f t="shared" si="52"/>
        <v>2016bwtdep2500-4499Quin 2fetal</v>
      </c>
      <c r="Z354" s="604">
        <v>2016</v>
      </c>
      <c r="AA354" s="604" t="s">
        <v>447</v>
      </c>
      <c r="AB354" s="604" t="s">
        <v>454</v>
      </c>
      <c r="AC354" s="604" t="s">
        <v>431</v>
      </c>
      <c r="AD354" s="604" t="s">
        <v>422</v>
      </c>
      <c r="AE354" s="604">
        <v>15</v>
      </c>
      <c r="AF354" s="604">
        <v>9383</v>
      </c>
      <c r="AG354" s="604">
        <v>1.6</v>
      </c>
      <c r="AH354" s="604" t="s">
        <v>420</v>
      </c>
      <c r="AJ354" s="535" t="str">
        <f t="shared" si="53"/>
        <v>2016bwtdep2500-4499Quin 2</v>
      </c>
      <c r="AK354" s="604">
        <v>2016</v>
      </c>
      <c r="AL354" s="604" t="s">
        <v>447</v>
      </c>
      <c r="AM354" s="604" t="s">
        <v>454</v>
      </c>
      <c r="AN354" s="604" t="s">
        <v>431</v>
      </c>
      <c r="AO354" s="604" t="s">
        <v>422</v>
      </c>
      <c r="AP354" s="604">
        <v>9383</v>
      </c>
      <c r="AR354" s="538" t="str">
        <f t="shared" si="54"/>
        <v>&lt;28gestfetalWairarapa</v>
      </c>
      <c r="AS354" s="604">
        <v>2016</v>
      </c>
      <c r="AT354" s="604" t="s">
        <v>375</v>
      </c>
      <c r="AU354" s="604" t="s">
        <v>450</v>
      </c>
      <c r="AV354" s="604" t="s">
        <v>98</v>
      </c>
      <c r="AW354" s="604">
        <v>3</v>
      </c>
      <c r="AX354" s="604">
        <v>7</v>
      </c>
      <c r="AY354" s="606">
        <v>428.6</v>
      </c>
      <c r="AZ354" s="604" t="s">
        <v>420</v>
      </c>
      <c r="BB354" s="536" t="str">
        <f t="shared" si="55"/>
        <v>Quin 2depbirthsNelson Marlborough</v>
      </c>
      <c r="BC354" s="604">
        <v>2016</v>
      </c>
      <c r="BD354" s="604" t="s">
        <v>422</v>
      </c>
      <c r="BE354" s="604" t="s">
        <v>454</v>
      </c>
      <c r="BF354" s="604" t="s">
        <v>99</v>
      </c>
      <c r="BG354" s="604">
        <v>417</v>
      </c>
      <c r="BH354" s="604" t="s">
        <v>445</v>
      </c>
      <c r="BY354" s="553" t="str">
        <f t="shared" si="56"/>
        <v>2007Quin 4depSIDS</v>
      </c>
      <c r="BZ354" s="604">
        <v>2007</v>
      </c>
      <c r="CA354" s="604" t="s">
        <v>424</v>
      </c>
      <c r="CB354" s="604" t="s">
        <v>454</v>
      </c>
      <c r="CC354" s="604">
        <v>7</v>
      </c>
      <c r="CD354" s="604" t="s">
        <v>32</v>
      </c>
      <c r="CF354" s="554" t="str">
        <f t="shared" si="57"/>
        <v>2016European or Other37-41gestSUDI</v>
      </c>
      <c r="CG354" s="604">
        <v>2016</v>
      </c>
      <c r="CH354" s="604" t="s">
        <v>356</v>
      </c>
      <c r="CI354" s="604" t="s">
        <v>137</v>
      </c>
      <c r="CJ354" s="604" t="s">
        <v>450</v>
      </c>
      <c r="CK354" s="604">
        <v>7</v>
      </c>
      <c r="CL354" s="604" t="s">
        <v>33</v>
      </c>
    </row>
    <row r="355" spans="9:90">
      <c r="I355" s="578" t="str">
        <f t="shared" si="50"/>
        <v>2002depQuin 2Fetal</v>
      </c>
      <c r="J355" s="604">
        <v>2002</v>
      </c>
      <c r="K355" s="604" t="s">
        <v>454</v>
      </c>
      <c r="L355" s="604" t="s">
        <v>422</v>
      </c>
      <c r="M355" s="604">
        <v>53</v>
      </c>
      <c r="N355" s="604">
        <v>8211</v>
      </c>
      <c r="O355" s="604">
        <v>6.5</v>
      </c>
      <c r="P355" s="604" t="s">
        <v>47</v>
      </c>
      <c r="Q355" s="499"/>
      <c r="R355" s="502" t="str">
        <f t="shared" si="51"/>
        <v>1999birthsdhbWest Coast</v>
      </c>
      <c r="S355" s="604">
        <v>1999</v>
      </c>
      <c r="T355" s="604" t="s">
        <v>445</v>
      </c>
      <c r="U355" s="604" t="s">
        <v>448</v>
      </c>
      <c r="V355" s="604" t="s">
        <v>100</v>
      </c>
      <c r="W355" s="604">
        <v>403</v>
      </c>
      <c r="Y355" s="535" t="str">
        <f t="shared" si="52"/>
        <v>2016bwtdep4500+Quin 2fetal</v>
      </c>
      <c r="Z355" s="604">
        <v>2016</v>
      </c>
      <c r="AA355" s="604" t="s">
        <v>447</v>
      </c>
      <c r="AB355" s="604" t="s">
        <v>454</v>
      </c>
      <c r="AC355" s="604" t="s">
        <v>432</v>
      </c>
      <c r="AD355" s="604" t="s">
        <v>422</v>
      </c>
      <c r="AE355" s="604">
        <v>0</v>
      </c>
      <c r="AF355" s="604">
        <v>221</v>
      </c>
      <c r="AG355" s="604">
        <v>0</v>
      </c>
      <c r="AH355" s="604" t="s">
        <v>420</v>
      </c>
      <c r="AJ355" s="535" t="str">
        <f t="shared" si="53"/>
        <v>2016bwtdep4500+Quin 2</v>
      </c>
      <c r="AK355" s="604">
        <v>2016</v>
      </c>
      <c r="AL355" s="604" t="s">
        <v>447</v>
      </c>
      <c r="AM355" s="604" t="s">
        <v>454</v>
      </c>
      <c r="AN355" s="604" t="s">
        <v>432</v>
      </c>
      <c r="AO355" s="604" t="s">
        <v>422</v>
      </c>
      <c r="AP355" s="604">
        <v>221</v>
      </c>
      <c r="AR355" s="538" t="str">
        <f t="shared" si="54"/>
        <v>32-36gestfetalWairarapa</v>
      </c>
      <c r="AS355" s="604">
        <v>2016</v>
      </c>
      <c r="AT355" s="604" t="s">
        <v>136</v>
      </c>
      <c r="AU355" s="604" t="s">
        <v>450</v>
      </c>
      <c r="AV355" s="604" t="s">
        <v>98</v>
      </c>
      <c r="AW355" s="604">
        <v>1</v>
      </c>
      <c r="AX355" s="604">
        <v>28</v>
      </c>
      <c r="AY355" s="606">
        <v>35.700000000000003</v>
      </c>
      <c r="AZ355" s="604" t="s">
        <v>420</v>
      </c>
      <c r="BB355" s="536" t="str">
        <f t="shared" si="55"/>
        <v>Quin 3depbirthsNelson Marlborough</v>
      </c>
      <c r="BC355" s="604">
        <v>2016</v>
      </c>
      <c r="BD355" s="604" t="s">
        <v>423</v>
      </c>
      <c r="BE355" s="604" t="s">
        <v>454</v>
      </c>
      <c r="BF355" s="604" t="s">
        <v>99</v>
      </c>
      <c r="BG355" s="604">
        <v>356</v>
      </c>
      <c r="BH355" s="604" t="s">
        <v>445</v>
      </c>
      <c r="BY355" s="553" t="str">
        <f t="shared" si="56"/>
        <v>2007Quin 5depSIDS</v>
      </c>
      <c r="BZ355" s="604">
        <v>2007</v>
      </c>
      <c r="CA355" s="604" t="s">
        <v>425</v>
      </c>
      <c r="CB355" s="604" t="s">
        <v>454</v>
      </c>
      <c r="CC355" s="604">
        <v>24</v>
      </c>
      <c r="CD355" s="604" t="s">
        <v>32</v>
      </c>
      <c r="CF355" s="554" t="str">
        <f t="shared" si="57"/>
        <v>2016Maori37-41gestSUDI</v>
      </c>
      <c r="CG355" s="604">
        <v>2016</v>
      </c>
      <c r="CH355" s="604" t="s">
        <v>129</v>
      </c>
      <c r="CI355" s="604" t="s">
        <v>137</v>
      </c>
      <c r="CJ355" s="604" t="s">
        <v>450</v>
      </c>
      <c r="CK355" s="604">
        <v>22</v>
      </c>
      <c r="CL355" s="604" t="s">
        <v>33</v>
      </c>
    </row>
    <row r="356" spans="9:90">
      <c r="I356" s="578" t="str">
        <f t="shared" si="50"/>
        <v>2002depQuin 3Fetal</v>
      </c>
      <c r="J356" s="604">
        <v>2002</v>
      </c>
      <c r="K356" s="604" t="s">
        <v>454</v>
      </c>
      <c r="L356" s="604" t="s">
        <v>423</v>
      </c>
      <c r="M356" s="604">
        <v>72</v>
      </c>
      <c r="N356" s="604">
        <v>9834</v>
      </c>
      <c r="O356" s="604">
        <v>7.3</v>
      </c>
      <c r="P356" s="604" t="s">
        <v>47</v>
      </c>
      <c r="Q356" s="499"/>
      <c r="R356" s="502" t="str">
        <f t="shared" si="51"/>
        <v>1999birthsdhbCanterbury</v>
      </c>
      <c r="S356" s="604">
        <v>1999</v>
      </c>
      <c r="T356" s="604" t="s">
        <v>445</v>
      </c>
      <c r="U356" s="604" t="s">
        <v>448</v>
      </c>
      <c r="V356" s="604" t="s">
        <v>101</v>
      </c>
      <c r="W356" s="604">
        <v>5576</v>
      </c>
      <c r="Y356" s="535" t="str">
        <f t="shared" si="52"/>
        <v>2016bwtdepUnknownQuin 2fetal</v>
      </c>
      <c r="Z356" s="604">
        <v>2016</v>
      </c>
      <c r="AA356" s="604" t="s">
        <v>447</v>
      </c>
      <c r="AB356" s="604" t="s">
        <v>454</v>
      </c>
      <c r="AC356" s="604" t="s">
        <v>63</v>
      </c>
      <c r="AD356" s="604" t="s">
        <v>422</v>
      </c>
      <c r="AE356" s="604">
        <v>2</v>
      </c>
      <c r="AF356" s="604">
        <v>7</v>
      </c>
      <c r="AG356" s="604" t="s">
        <v>119</v>
      </c>
      <c r="AH356" s="604" t="s">
        <v>420</v>
      </c>
      <c r="AJ356" s="535" t="str">
        <f t="shared" si="53"/>
        <v>2016bwtdepUnknownQuin 2</v>
      </c>
      <c r="AK356" s="604">
        <v>2016</v>
      </c>
      <c r="AL356" s="604" t="s">
        <v>447</v>
      </c>
      <c r="AM356" s="604" t="s">
        <v>454</v>
      </c>
      <c r="AN356" s="604" t="s">
        <v>63</v>
      </c>
      <c r="AO356" s="604" t="s">
        <v>422</v>
      </c>
      <c r="AP356" s="604">
        <v>7</v>
      </c>
      <c r="AR356" s="538" t="str">
        <f t="shared" si="54"/>
        <v>37-41gestfetalWairarapa</v>
      </c>
      <c r="AS356" s="604">
        <v>2016</v>
      </c>
      <c r="AT356" s="604" t="s">
        <v>137</v>
      </c>
      <c r="AU356" s="604" t="s">
        <v>450</v>
      </c>
      <c r="AV356" s="604" t="s">
        <v>98</v>
      </c>
      <c r="AW356" s="604">
        <v>1</v>
      </c>
      <c r="AX356" s="604">
        <v>439</v>
      </c>
      <c r="AY356" s="606">
        <v>2.2999999999999998</v>
      </c>
      <c r="AZ356" s="604" t="s">
        <v>420</v>
      </c>
      <c r="BB356" s="536" t="str">
        <f t="shared" si="55"/>
        <v>Quin 4depbirthsNelson Marlborough</v>
      </c>
      <c r="BC356" s="604">
        <v>2016</v>
      </c>
      <c r="BD356" s="604" t="s">
        <v>424</v>
      </c>
      <c r="BE356" s="604" t="s">
        <v>454</v>
      </c>
      <c r="BF356" s="604" t="s">
        <v>99</v>
      </c>
      <c r="BG356" s="604">
        <v>522</v>
      </c>
      <c r="BH356" s="604" t="s">
        <v>445</v>
      </c>
      <c r="BY356" s="553" t="str">
        <f t="shared" si="56"/>
        <v>2007Quin 9depSIDS</v>
      </c>
      <c r="BZ356" s="604">
        <v>2007</v>
      </c>
      <c r="CA356" s="604" t="s">
        <v>426</v>
      </c>
      <c r="CB356" s="604" t="s">
        <v>454</v>
      </c>
      <c r="CC356" s="604">
        <v>6</v>
      </c>
      <c r="CD356" s="604" t="s">
        <v>32</v>
      </c>
      <c r="CF356" s="554" t="str">
        <f t="shared" si="57"/>
        <v>2016Pacific peoples37-41gestSUDI</v>
      </c>
      <c r="CG356" s="604">
        <v>2016</v>
      </c>
      <c r="CH356" s="604" t="s">
        <v>320</v>
      </c>
      <c r="CI356" s="604" t="s">
        <v>137</v>
      </c>
      <c r="CJ356" s="604" t="s">
        <v>450</v>
      </c>
      <c r="CK356" s="604">
        <v>3</v>
      </c>
      <c r="CL356" s="604" t="s">
        <v>33</v>
      </c>
    </row>
    <row r="357" spans="9:90">
      <c r="I357" s="578" t="str">
        <f t="shared" si="50"/>
        <v>2002depQuin 4Fetal</v>
      </c>
      <c r="J357" s="604">
        <v>2002</v>
      </c>
      <c r="K357" s="604" t="s">
        <v>454</v>
      </c>
      <c r="L357" s="604" t="s">
        <v>424</v>
      </c>
      <c r="M357" s="604">
        <v>72</v>
      </c>
      <c r="N357" s="604">
        <v>11772</v>
      </c>
      <c r="O357" s="604">
        <v>6.1</v>
      </c>
      <c r="P357" s="604" t="s">
        <v>47</v>
      </c>
      <c r="Q357" s="499"/>
      <c r="R357" s="502" t="str">
        <f t="shared" si="51"/>
        <v>1999birthsdhbSouth Canterbury</v>
      </c>
      <c r="S357" s="604">
        <v>1999</v>
      </c>
      <c r="T357" s="604" t="s">
        <v>445</v>
      </c>
      <c r="U357" s="604" t="s">
        <v>448</v>
      </c>
      <c r="V357" s="604" t="s">
        <v>102</v>
      </c>
      <c r="W357" s="604">
        <v>616</v>
      </c>
      <c r="Y357" s="535" t="str">
        <f t="shared" si="52"/>
        <v>2016bwtdep&lt;500Quin 3fetal</v>
      </c>
      <c r="Z357" s="604">
        <v>2016</v>
      </c>
      <c r="AA357" s="604" t="s">
        <v>447</v>
      </c>
      <c r="AB357" s="604" t="s">
        <v>454</v>
      </c>
      <c r="AC357" s="604" t="s">
        <v>427</v>
      </c>
      <c r="AD357" s="604" t="s">
        <v>423</v>
      </c>
      <c r="AE357" s="604">
        <v>26</v>
      </c>
      <c r="AF357" s="604">
        <v>9</v>
      </c>
      <c r="AG357" s="604" t="s">
        <v>119</v>
      </c>
      <c r="AH357" s="604" t="s">
        <v>420</v>
      </c>
      <c r="AJ357" s="535" t="str">
        <f t="shared" si="53"/>
        <v>2016bwtdep&lt;500Quin 3</v>
      </c>
      <c r="AK357" s="604">
        <v>2016</v>
      </c>
      <c r="AL357" s="604" t="s">
        <v>447</v>
      </c>
      <c r="AM357" s="604" t="s">
        <v>454</v>
      </c>
      <c r="AN357" s="604" t="s">
        <v>427</v>
      </c>
      <c r="AO357" s="604" t="s">
        <v>423</v>
      </c>
      <c r="AP357" s="604">
        <v>9</v>
      </c>
      <c r="AR357" s="538" t="str">
        <f t="shared" si="54"/>
        <v>&lt;28gestfetalNelson Marlborough</v>
      </c>
      <c r="AS357" s="604">
        <v>2016</v>
      </c>
      <c r="AT357" s="604" t="s">
        <v>375</v>
      </c>
      <c r="AU357" s="604" t="s">
        <v>450</v>
      </c>
      <c r="AV357" s="604" t="s">
        <v>99</v>
      </c>
      <c r="AW357" s="604">
        <v>3</v>
      </c>
      <c r="AX357" s="604">
        <v>9</v>
      </c>
      <c r="AY357" s="606">
        <v>333.3</v>
      </c>
      <c r="AZ357" s="604" t="s">
        <v>420</v>
      </c>
      <c r="BB357" s="536" t="str">
        <f t="shared" si="55"/>
        <v>Quin 5depbirthsNelson Marlborough</v>
      </c>
      <c r="BC357" s="604">
        <v>2016</v>
      </c>
      <c r="BD357" s="604" t="s">
        <v>425</v>
      </c>
      <c r="BE357" s="604" t="s">
        <v>454</v>
      </c>
      <c r="BF357" s="604" t="s">
        <v>99</v>
      </c>
      <c r="BG357" s="604">
        <v>102</v>
      </c>
      <c r="BH357" s="604" t="s">
        <v>445</v>
      </c>
      <c r="BY357" s="553" t="str">
        <f t="shared" si="56"/>
        <v>2008Quin 1depSIDS</v>
      </c>
      <c r="BZ357" s="604">
        <v>2008</v>
      </c>
      <c r="CA357" s="604" t="s">
        <v>421</v>
      </c>
      <c r="CB357" s="604" t="s">
        <v>454</v>
      </c>
      <c r="CC357" s="604">
        <v>1</v>
      </c>
      <c r="CD357" s="604" t="s">
        <v>32</v>
      </c>
      <c r="CF357" s="554" t="str">
        <f t="shared" si="57"/>
        <v>2016Asian42+gestSUDI</v>
      </c>
      <c r="CG357" s="604">
        <v>2016</v>
      </c>
      <c r="CH357" s="604" t="s">
        <v>355</v>
      </c>
      <c r="CI357" s="604" t="s">
        <v>138</v>
      </c>
      <c r="CJ357" s="604" t="s">
        <v>450</v>
      </c>
      <c r="CK357" s="604">
        <v>0</v>
      </c>
      <c r="CL357" s="604" t="s">
        <v>33</v>
      </c>
    </row>
    <row r="358" spans="9:90">
      <c r="I358" s="578" t="str">
        <f t="shared" si="50"/>
        <v>2002depQuin 5Fetal</v>
      </c>
      <c r="J358" s="604">
        <v>2002</v>
      </c>
      <c r="K358" s="604" t="s">
        <v>454</v>
      </c>
      <c r="L358" s="604" t="s">
        <v>425</v>
      </c>
      <c r="M358" s="604">
        <v>114</v>
      </c>
      <c r="N358" s="604">
        <v>13656</v>
      </c>
      <c r="O358" s="604">
        <v>8.3000000000000007</v>
      </c>
      <c r="P358" s="604" t="s">
        <v>47</v>
      </c>
      <c r="Q358" s="499"/>
      <c r="R358" s="502" t="str">
        <f t="shared" si="51"/>
        <v>1999birthsdhbSouthern</v>
      </c>
      <c r="S358" s="604">
        <v>1999</v>
      </c>
      <c r="T358" s="604" t="s">
        <v>445</v>
      </c>
      <c r="U358" s="604" t="s">
        <v>448</v>
      </c>
      <c r="V358" s="604" t="s">
        <v>103</v>
      </c>
      <c r="W358" s="604">
        <v>3419</v>
      </c>
      <c r="Y358" s="535" t="str">
        <f t="shared" si="52"/>
        <v>2016bwtdep500-999Quin 3fetal</v>
      </c>
      <c r="Z358" s="604">
        <v>2016</v>
      </c>
      <c r="AA358" s="604" t="s">
        <v>447</v>
      </c>
      <c r="AB358" s="604" t="s">
        <v>454</v>
      </c>
      <c r="AC358" s="604" t="s">
        <v>428</v>
      </c>
      <c r="AD358" s="604" t="s">
        <v>423</v>
      </c>
      <c r="AE358" s="604">
        <v>11</v>
      </c>
      <c r="AF358" s="604">
        <v>36</v>
      </c>
      <c r="AG358" s="604">
        <v>234</v>
      </c>
      <c r="AH358" s="604" t="s">
        <v>420</v>
      </c>
      <c r="AJ358" s="535" t="str">
        <f t="shared" si="53"/>
        <v>2016bwtdep500-999Quin 3</v>
      </c>
      <c r="AK358" s="604">
        <v>2016</v>
      </c>
      <c r="AL358" s="604" t="s">
        <v>447</v>
      </c>
      <c r="AM358" s="604" t="s">
        <v>454</v>
      </c>
      <c r="AN358" s="604" t="s">
        <v>428</v>
      </c>
      <c r="AO358" s="604" t="s">
        <v>423</v>
      </c>
      <c r="AP358" s="604">
        <v>36</v>
      </c>
      <c r="AR358" s="538" t="str">
        <f t="shared" si="54"/>
        <v>37-41gestfetalNelson Marlborough</v>
      </c>
      <c r="AS358" s="604">
        <v>2016</v>
      </c>
      <c r="AT358" s="604" t="s">
        <v>137</v>
      </c>
      <c r="AU358" s="604" t="s">
        <v>450</v>
      </c>
      <c r="AV358" s="604" t="s">
        <v>99</v>
      </c>
      <c r="AW358" s="604">
        <v>1</v>
      </c>
      <c r="AX358" s="604">
        <v>1426</v>
      </c>
      <c r="AY358" s="606">
        <v>0.7</v>
      </c>
      <c r="AZ358" s="604" t="s">
        <v>420</v>
      </c>
      <c r="BB358" s="536" t="str">
        <f t="shared" si="55"/>
        <v>Quin 1depbirthsWest Coast</v>
      </c>
      <c r="BC358" s="604">
        <v>2016</v>
      </c>
      <c r="BD358" s="604" t="s">
        <v>421</v>
      </c>
      <c r="BE358" s="604" t="s">
        <v>454</v>
      </c>
      <c r="BF358" s="604" t="s">
        <v>100</v>
      </c>
      <c r="BG358" s="604">
        <v>20</v>
      </c>
      <c r="BH358" s="604" t="s">
        <v>445</v>
      </c>
      <c r="BY358" s="553" t="str">
        <f t="shared" si="56"/>
        <v>2008Quin 2depSIDS</v>
      </c>
      <c r="BZ358" s="604">
        <v>2008</v>
      </c>
      <c r="CA358" s="604" t="s">
        <v>422</v>
      </c>
      <c r="CB358" s="604" t="s">
        <v>454</v>
      </c>
      <c r="CC358" s="604">
        <v>3</v>
      </c>
      <c r="CD358" s="604" t="s">
        <v>32</v>
      </c>
      <c r="CF358" s="554" t="str">
        <f t="shared" si="57"/>
        <v>2016Maori42+gestSUDI</v>
      </c>
      <c r="CG358" s="604">
        <v>2016</v>
      </c>
      <c r="CH358" s="604" t="s">
        <v>129</v>
      </c>
      <c r="CI358" s="604" t="s">
        <v>138</v>
      </c>
      <c r="CJ358" s="604" t="s">
        <v>450</v>
      </c>
      <c r="CK358" s="604">
        <v>0</v>
      </c>
      <c r="CL358" s="604" t="s">
        <v>33</v>
      </c>
    </row>
    <row r="359" spans="9:90">
      <c r="I359" s="578" t="str">
        <f t="shared" si="50"/>
        <v>2002depQuin 9Fetal</v>
      </c>
      <c r="J359" s="604">
        <v>2002</v>
      </c>
      <c r="K359" s="604" t="s">
        <v>454</v>
      </c>
      <c r="L359" s="604" t="s">
        <v>426</v>
      </c>
      <c r="M359" s="604">
        <v>45</v>
      </c>
      <c r="N359" s="604">
        <v>3594</v>
      </c>
      <c r="O359" s="604" t="s">
        <v>119</v>
      </c>
      <c r="P359" s="604" t="s">
        <v>47</v>
      </c>
      <c r="Q359" s="499"/>
      <c r="R359" s="502" t="str">
        <f t="shared" si="51"/>
        <v>1999birthsdhbUnknown</v>
      </c>
      <c r="S359" s="604">
        <v>1999</v>
      </c>
      <c r="T359" s="604" t="s">
        <v>445</v>
      </c>
      <c r="U359" s="604" t="s">
        <v>448</v>
      </c>
      <c r="V359" s="604" t="s">
        <v>63</v>
      </c>
      <c r="W359" s="604">
        <v>579</v>
      </c>
      <c r="Y359" s="535" t="str">
        <f t="shared" si="52"/>
        <v>2016bwtdep1000-1499Quin 3fetal</v>
      </c>
      <c r="Z359" s="604">
        <v>2016</v>
      </c>
      <c r="AA359" s="604" t="s">
        <v>447</v>
      </c>
      <c r="AB359" s="604" t="s">
        <v>454</v>
      </c>
      <c r="AC359" s="604" t="s">
        <v>429</v>
      </c>
      <c r="AD359" s="604" t="s">
        <v>423</v>
      </c>
      <c r="AE359" s="604">
        <v>5</v>
      </c>
      <c r="AF359" s="604">
        <v>62</v>
      </c>
      <c r="AG359" s="604">
        <v>74.599999999999994</v>
      </c>
      <c r="AH359" s="604" t="s">
        <v>420</v>
      </c>
      <c r="AJ359" s="535" t="str">
        <f t="shared" si="53"/>
        <v>2016bwtdep1000-1499Quin 3</v>
      </c>
      <c r="AK359" s="604">
        <v>2016</v>
      </c>
      <c r="AL359" s="604" t="s">
        <v>447</v>
      </c>
      <c r="AM359" s="604" t="s">
        <v>454</v>
      </c>
      <c r="AN359" s="604" t="s">
        <v>429</v>
      </c>
      <c r="AO359" s="604" t="s">
        <v>423</v>
      </c>
      <c r="AP359" s="604">
        <v>62</v>
      </c>
      <c r="AR359" s="538" t="str">
        <f t="shared" si="54"/>
        <v>&lt;28gestfetalWest Coast</v>
      </c>
      <c r="AS359" s="604">
        <v>2016</v>
      </c>
      <c r="AT359" s="604" t="s">
        <v>375</v>
      </c>
      <c r="AU359" s="604" t="s">
        <v>450</v>
      </c>
      <c r="AV359" s="604" t="s">
        <v>100</v>
      </c>
      <c r="AW359" s="604">
        <v>5</v>
      </c>
      <c r="AX359" s="604">
        <v>6</v>
      </c>
      <c r="AY359" s="606">
        <v>833.3</v>
      </c>
      <c r="AZ359" s="604" t="s">
        <v>420</v>
      </c>
      <c r="BB359" s="536" t="str">
        <f t="shared" si="55"/>
        <v>Quin 2depbirthsWest Coast</v>
      </c>
      <c r="BC359" s="604">
        <v>2016</v>
      </c>
      <c r="BD359" s="604" t="s">
        <v>422</v>
      </c>
      <c r="BE359" s="604" t="s">
        <v>454</v>
      </c>
      <c r="BF359" s="604" t="s">
        <v>100</v>
      </c>
      <c r="BG359" s="604">
        <v>65</v>
      </c>
      <c r="BH359" s="604" t="s">
        <v>445</v>
      </c>
      <c r="BY359" s="553" t="str">
        <f t="shared" si="56"/>
        <v>2008Quin 3depSIDS</v>
      </c>
      <c r="BZ359" s="604">
        <v>2008</v>
      </c>
      <c r="CA359" s="604" t="s">
        <v>423</v>
      </c>
      <c r="CB359" s="604" t="s">
        <v>454</v>
      </c>
      <c r="CC359" s="604">
        <v>1</v>
      </c>
      <c r="CD359" s="604" t="s">
        <v>32</v>
      </c>
      <c r="CF359" s="554" t="str">
        <f t="shared" si="57"/>
        <v>2016AsianUnknowngestSUDI</v>
      </c>
      <c r="CG359" s="604">
        <v>2016</v>
      </c>
      <c r="CH359" s="604" t="s">
        <v>355</v>
      </c>
      <c r="CI359" s="604" t="s">
        <v>63</v>
      </c>
      <c r="CJ359" s="604" t="s">
        <v>450</v>
      </c>
      <c r="CK359" s="604">
        <v>0</v>
      </c>
      <c r="CL359" s="604" t="s">
        <v>33</v>
      </c>
    </row>
    <row r="360" spans="9:90">
      <c r="I360" s="578" t="str">
        <f t="shared" si="50"/>
        <v>2003depQuin 1Fetal</v>
      </c>
      <c r="J360" s="604">
        <v>2003</v>
      </c>
      <c r="K360" s="604" t="s">
        <v>454</v>
      </c>
      <c r="L360" s="604" t="s">
        <v>421</v>
      </c>
      <c r="M360" s="604">
        <v>36</v>
      </c>
      <c r="N360" s="604">
        <v>7976</v>
      </c>
      <c r="O360" s="604">
        <v>4.5</v>
      </c>
      <c r="P360" s="604" t="s">
        <v>47</v>
      </c>
      <c r="Q360" s="499"/>
      <c r="R360" s="502" t="str">
        <f t="shared" si="51"/>
        <v>2000birthsdhbNorthland</v>
      </c>
      <c r="S360" s="604">
        <v>2000</v>
      </c>
      <c r="T360" s="604" t="s">
        <v>445</v>
      </c>
      <c r="U360" s="604" t="s">
        <v>448</v>
      </c>
      <c r="V360" s="604" t="s">
        <v>85</v>
      </c>
      <c r="W360" s="604">
        <v>2122</v>
      </c>
      <c r="Y360" s="535" t="str">
        <f t="shared" si="52"/>
        <v>2016bwtdep1500-2499Quin 3fetal</v>
      </c>
      <c r="Z360" s="604">
        <v>2016</v>
      </c>
      <c r="AA360" s="604" t="s">
        <v>447</v>
      </c>
      <c r="AB360" s="604" t="s">
        <v>454</v>
      </c>
      <c r="AC360" s="604" t="s">
        <v>430</v>
      </c>
      <c r="AD360" s="604" t="s">
        <v>423</v>
      </c>
      <c r="AE360" s="604">
        <v>7</v>
      </c>
      <c r="AF360" s="604">
        <v>545</v>
      </c>
      <c r="AG360" s="604">
        <v>12.7</v>
      </c>
      <c r="AH360" s="604" t="s">
        <v>420</v>
      </c>
      <c r="AJ360" s="535" t="str">
        <f t="shared" si="53"/>
        <v>2016bwtdep1500-2499Quin 3</v>
      </c>
      <c r="AK360" s="604">
        <v>2016</v>
      </c>
      <c r="AL360" s="604" t="s">
        <v>447</v>
      </c>
      <c r="AM360" s="604" t="s">
        <v>454</v>
      </c>
      <c r="AN360" s="604" t="s">
        <v>430</v>
      </c>
      <c r="AO360" s="604" t="s">
        <v>423</v>
      </c>
      <c r="AP360" s="604">
        <v>545</v>
      </c>
      <c r="AR360" s="538" t="str">
        <f t="shared" si="54"/>
        <v>28-31gestfetalWest Coast</v>
      </c>
      <c r="AS360" s="604">
        <v>2016</v>
      </c>
      <c r="AT360" s="604" t="s">
        <v>395</v>
      </c>
      <c r="AU360" s="604" t="s">
        <v>450</v>
      </c>
      <c r="AV360" s="604" t="s">
        <v>100</v>
      </c>
      <c r="AW360" s="604">
        <v>1</v>
      </c>
      <c r="AX360" s="604">
        <v>3</v>
      </c>
      <c r="AY360" s="606">
        <v>333.3</v>
      </c>
      <c r="AZ360" s="604" t="s">
        <v>420</v>
      </c>
      <c r="BB360" s="536" t="str">
        <f t="shared" si="55"/>
        <v>Quin 3depbirthsWest Coast</v>
      </c>
      <c r="BC360" s="604">
        <v>2016</v>
      </c>
      <c r="BD360" s="604" t="s">
        <v>423</v>
      </c>
      <c r="BE360" s="604" t="s">
        <v>454</v>
      </c>
      <c r="BF360" s="604" t="s">
        <v>100</v>
      </c>
      <c r="BG360" s="604">
        <v>75</v>
      </c>
      <c r="BH360" s="604" t="s">
        <v>445</v>
      </c>
      <c r="BY360" s="553" t="str">
        <f t="shared" si="56"/>
        <v>2008Quin 4depSIDS</v>
      </c>
      <c r="BZ360" s="604">
        <v>2008</v>
      </c>
      <c r="CA360" s="604" t="s">
        <v>424</v>
      </c>
      <c r="CB360" s="604" t="s">
        <v>454</v>
      </c>
      <c r="CC360" s="604">
        <v>17</v>
      </c>
      <c r="CD360" s="604" t="s">
        <v>32</v>
      </c>
      <c r="CF360" s="554" t="str">
        <f t="shared" si="57"/>
        <v>2016European or OtherUnknowngestSUDI</v>
      </c>
      <c r="CG360" s="604">
        <v>2016</v>
      </c>
      <c r="CH360" s="604" t="s">
        <v>356</v>
      </c>
      <c r="CI360" s="604" t="s">
        <v>63</v>
      </c>
      <c r="CJ360" s="604" t="s">
        <v>450</v>
      </c>
      <c r="CK360" s="604">
        <v>0</v>
      </c>
      <c r="CL360" s="604" t="s">
        <v>33</v>
      </c>
    </row>
    <row r="361" spans="9:90">
      <c r="I361" s="578" t="str">
        <f t="shared" si="50"/>
        <v>2003depQuin 2Fetal</v>
      </c>
      <c r="J361" s="604">
        <v>2003</v>
      </c>
      <c r="K361" s="604" t="s">
        <v>454</v>
      </c>
      <c r="L361" s="604" t="s">
        <v>422</v>
      </c>
      <c r="M361" s="604">
        <v>54</v>
      </c>
      <c r="N361" s="604">
        <v>8650</v>
      </c>
      <c r="O361" s="604">
        <v>6.2</v>
      </c>
      <c r="P361" s="604" t="s">
        <v>47</v>
      </c>
      <c r="Q361" s="499"/>
      <c r="R361" s="502" t="str">
        <f t="shared" si="51"/>
        <v>2000birthsdhbWaitemata</v>
      </c>
      <c r="S361" s="604">
        <v>2000</v>
      </c>
      <c r="T361" s="604" t="s">
        <v>445</v>
      </c>
      <c r="U361" s="604" t="s">
        <v>448</v>
      </c>
      <c r="V361" s="604" t="s">
        <v>86</v>
      </c>
      <c r="W361" s="604">
        <v>6562</v>
      </c>
      <c r="Y361" s="535" t="str">
        <f t="shared" si="52"/>
        <v>2016bwtdep2500-4499Quin 3fetal</v>
      </c>
      <c r="Z361" s="604">
        <v>2016</v>
      </c>
      <c r="AA361" s="604" t="s">
        <v>447</v>
      </c>
      <c r="AB361" s="604" t="s">
        <v>454</v>
      </c>
      <c r="AC361" s="604" t="s">
        <v>431</v>
      </c>
      <c r="AD361" s="604" t="s">
        <v>423</v>
      </c>
      <c r="AE361" s="604">
        <v>15</v>
      </c>
      <c r="AF361" s="604">
        <v>10056</v>
      </c>
      <c r="AG361" s="604">
        <v>1.5</v>
      </c>
      <c r="AH361" s="604" t="s">
        <v>420</v>
      </c>
      <c r="AJ361" s="535" t="str">
        <f t="shared" si="53"/>
        <v>2016bwtdep2500-4499Quin 3</v>
      </c>
      <c r="AK361" s="604">
        <v>2016</v>
      </c>
      <c r="AL361" s="604" t="s">
        <v>447</v>
      </c>
      <c r="AM361" s="604" t="s">
        <v>454</v>
      </c>
      <c r="AN361" s="604" t="s">
        <v>431</v>
      </c>
      <c r="AO361" s="604" t="s">
        <v>423</v>
      </c>
      <c r="AP361" s="604">
        <v>10056</v>
      </c>
      <c r="AR361" s="538" t="str">
        <f t="shared" si="54"/>
        <v>32-36gestfetalWest Coast</v>
      </c>
      <c r="AS361" s="604">
        <v>2016</v>
      </c>
      <c r="AT361" s="604" t="s">
        <v>136</v>
      </c>
      <c r="AU361" s="604" t="s">
        <v>450</v>
      </c>
      <c r="AV361" s="604" t="s">
        <v>100</v>
      </c>
      <c r="AW361" s="604">
        <v>1</v>
      </c>
      <c r="AX361" s="604">
        <v>13</v>
      </c>
      <c r="AY361" s="606">
        <v>76.900000000000006</v>
      </c>
      <c r="AZ361" s="604" t="s">
        <v>420</v>
      </c>
      <c r="BB361" s="536" t="str">
        <f t="shared" si="55"/>
        <v>Quin 4depbirthsWest Coast</v>
      </c>
      <c r="BC361" s="604">
        <v>2016</v>
      </c>
      <c r="BD361" s="604" t="s">
        <v>424</v>
      </c>
      <c r="BE361" s="604" t="s">
        <v>454</v>
      </c>
      <c r="BF361" s="604" t="s">
        <v>100</v>
      </c>
      <c r="BG361" s="604">
        <v>150</v>
      </c>
      <c r="BH361" s="604" t="s">
        <v>445</v>
      </c>
      <c r="BY361" s="553" t="str">
        <f t="shared" si="56"/>
        <v>2008Quin 5depSIDS</v>
      </c>
      <c r="BZ361" s="604">
        <v>2008</v>
      </c>
      <c r="CA361" s="604" t="s">
        <v>425</v>
      </c>
      <c r="CB361" s="604" t="s">
        <v>454</v>
      </c>
      <c r="CC361" s="604">
        <v>24</v>
      </c>
      <c r="CD361" s="604" t="s">
        <v>32</v>
      </c>
      <c r="CF361" s="554" t="str">
        <f t="shared" si="57"/>
        <v>2016MaoriUnknowngestSUDI</v>
      </c>
      <c r="CG361" s="604">
        <v>2016</v>
      </c>
      <c r="CH361" s="604" t="s">
        <v>129</v>
      </c>
      <c r="CI361" s="604" t="s">
        <v>63</v>
      </c>
      <c r="CJ361" s="604" t="s">
        <v>450</v>
      </c>
      <c r="CK361" s="604">
        <v>1</v>
      </c>
      <c r="CL361" s="604" t="s">
        <v>33</v>
      </c>
    </row>
    <row r="362" spans="9:90">
      <c r="I362" s="578" t="str">
        <f t="shared" si="50"/>
        <v>2003depQuin 3Fetal</v>
      </c>
      <c r="J362" s="604">
        <v>2003</v>
      </c>
      <c r="K362" s="604" t="s">
        <v>454</v>
      </c>
      <c r="L362" s="604" t="s">
        <v>423</v>
      </c>
      <c r="M362" s="604">
        <v>62</v>
      </c>
      <c r="N362" s="604">
        <v>10171</v>
      </c>
      <c r="O362" s="604">
        <v>6.1</v>
      </c>
      <c r="P362" s="604" t="s">
        <v>47</v>
      </c>
      <c r="Q362" s="499"/>
      <c r="R362" s="502" t="str">
        <f t="shared" si="51"/>
        <v>2000birthsdhbAuckland</v>
      </c>
      <c r="S362" s="604">
        <v>2000</v>
      </c>
      <c r="T362" s="604" t="s">
        <v>445</v>
      </c>
      <c r="U362" s="604" t="s">
        <v>448</v>
      </c>
      <c r="V362" s="604" t="s">
        <v>87</v>
      </c>
      <c r="W362" s="604">
        <v>6023</v>
      </c>
      <c r="Y362" s="535" t="str">
        <f t="shared" si="52"/>
        <v>2016bwtdep4500+Quin 3fetal</v>
      </c>
      <c r="Z362" s="604">
        <v>2016</v>
      </c>
      <c r="AA362" s="604" t="s">
        <v>447</v>
      </c>
      <c r="AB362" s="604" t="s">
        <v>454</v>
      </c>
      <c r="AC362" s="604" t="s">
        <v>432</v>
      </c>
      <c r="AD362" s="604" t="s">
        <v>423</v>
      </c>
      <c r="AE362" s="604">
        <v>0</v>
      </c>
      <c r="AF362" s="604">
        <v>254</v>
      </c>
      <c r="AG362" s="604">
        <v>0</v>
      </c>
      <c r="AH362" s="604" t="s">
        <v>420</v>
      </c>
      <c r="AJ362" s="535" t="str">
        <f t="shared" si="53"/>
        <v>2016bwtdep4500+Quin 3</v>
      </c>
      <c r="AK362" s="604">
        <v>2016</v>
      </c>
      <c r="AL362" s="604" t="s">
        <v>447</v>
      </c>
      <c r="AM362" s="604" t="s">
        <v>454</v>
      </c>
      <c r="AN362" s="604" t="s">
        <v>432</v>
      </c>
      <c r="AO362" s="604" t="s">
        <v>423</v>
      </c>
      <c r="AP362" s="604">
        <v>254</v>
      </c>
      <c r="AR362" s="538" t="str">
        <f t="shared" si="54"/>
        <v>37-41gestfetalWest Coast</v>
      </c>
      <c r="AS362" s="604">
        <v>2016</v>
      </c>
      <c r="AT362" s="604" t="s">
        <v>137</v>
      </c>
      <c r="AU362" s="604" t="s">
        <v>450</v>
      </c>
      <c r="AV362" s="604" t="s">
        <v>100</v>
      </c>
      <c r="AW362" s="604">
        <v>1</v>
      </c>
      <c r="AX362" s="604">
        <v>307</v>
      </c>
      <c r="AY362" s="606">
        <v>3.3</v>
      </c>
      <c r="AZ362" s="604" t="s">
        <v>420</v>
      </c>
      <c r="BB362" s="536" t="str">
        <f t="shared" si="55"/>
        <v>Quin 5depbirthsWest Coast</v>
      </c>
      <c r="BC362" s="604">
        <v>2016</v>
      </c>
      <c r="BD362" s="604" t="s">
        <v>425</v>
      </c>
      <c r="BE362" s="604" t="s">
        <v>454</v>
      </c>
      <c r="BF362" s="604" t="s">
        <v>100</v>
      </c>
      <c r="BG362" s="604">
        <v>17</v>
      </c>
      <c r="BH362" s="604" t="s">
        <v>445</v>
      </c>
      <c r="BY362" s="553" t="str">
        <f t="shared" si="56"/>
        <v>2008Quin 9depSIDS</v>
      </c>
      <c r="BZ362" s="604">
        <v>2008</v>
      </c>
      <c r="CA362" s="604" t="s">
        <v>426</v>
      </c>
      <c r="CB362" s="604" t="s">
        <v>454</v>
      </c>
      <c r="CC362" s="604">
        <v>5</v>
      </c>
      <c r="CD362" s="604" t="s">
        <v>32</v>
      </c>
      <c r="CF362" s="554" t="str">
        <f t="shared" si="57"/>
        <v>2016Pacific peoplesUnknowngestSUDI</v>
      </c>
      <c r="CG362" s="604">
        <v>2016</v>
      </c>
      <c r="CH362" s="604" t="s">
        <v>320</v>
      </c>
      <c r="CI362" s="604" t="s">
        <v>63</v>
      </c>
      <c r="CJ362" s="604" t="s">
        <v>450</v>
      </c>
      <c r="CK362" s="604">
        <v>0</v>
      </c>
      <c r="CL362" s="604" t="s">
        <v>33</v>
      </c>
    </row>
    <row r="363" spans="9:90">
      <c r="I363" s="578" t="str">
        <f t="shared" si="50"/>
        <v>2003depQuin 4Fetal</v>
      </c>
      <c r="J363" s="604">
        <v>2003</v>
      </c>
      <c r="K363" s="604" t="s">
        <v>454</v>
      </c>
      <c r="L363" s="604" t="s">
        <v>424</v>
      </c>
      <c r="M363" s="604">
        <v>99</v>
      </c>
      <c r="N363" s="604">
        <v>12136</v>
      </c>
      <c r="O363" s="604">
        <v>8.1999999999999993</v>
      </c>
      <c r="P363" s="604" t="s">
        <v>47</v>
      </c>
      <c r="Q363" s="499"/>
      <c r="R363" s="502" t="str">
        <f t="shared" si="51"/>
        <v>2000birthsdhbCounties Manukau</v>
      </c>
      <c r="S363" s="604">
        <v>2000</v>
      </c>
      <c r="T363" s="604" t="s">
        <v>445</v>
      </c>
      <c r="U363" s="604" t="s">
        <v>448</v>
      </c>
      <c r="V363" s="604" t="s">
        <v>88</v>
      </c>
      <c r="W363" s="604">
        <v>7309</v>
      </c>
      <c r="Y363" s="535" t="str">
        <f t="shared" si="52"/>
        <v>2016bwtdepUnknownQuin 3fetal</v>
      </c>
      <c r="Z363" s="604">
        <v>2016</v>
      </c>
      <c r="AA363" s="604" t="s">
        <v>447</v>
      </c>
      <c r="AB363" s="604" t="s">
        <v>454</v>
      </c>
      <c r="AC363" s="604" t="s">
        <v>63</v>
      </c>
      <c r="AD363" s="604" t="s">
        <v>423</v>
      </c>
      <c r="AE363" s="604">
        <v>4</v>
      </c>
      <c r="AF363" s="604">
        <v>9</v>
      </c>
      <c r="AG363" s="604" t="s">
        <v>119</v>
      </c>
      <c r="AH363" s="604" t="s">
        <v>420</v>
      </c>
      <c r="AJ363" s="535" t="str">
        <f t="shared" si="53"/>
        <v>2016bwtdepUnknownQuin 3</v>
      </c>
      <c r="AK363" s="604">
        <v>2016</v>
      </c>
      <c r="AL363" s="604" t="s">
        <v>447</v>
      </c>
      <c r="AM363" s="604" t="s">
        <v>454</v>
      </c>
      <c r="AN363" s="604" t="s">
        <v>63</v>
      </c>
      <c r="AO363" s="604" t="s">
        <v>423</v>
      </c>
      <c r="AP363" s="604">
        <v>9</v>
      </c>
      <c r="AR363" s="538" t="str">
        <f t="shared" si="54"/>
        <v>&lt;28gestfetalCanterbury</v>
      </c>
      <c r="AS363" s="604">
        <v>2016</v>
      </c>
      <c r="AT363" s="604" t="s">
        <v>375</v>
      </c>
      <c r="AU363" s="604" t="s">
        <v>450</v>
      </c>
      <c r="AV363" s="604" t="s">
        <v>101</v>
      </c>
      <c r="AW363" s="604">
        <v>25</v>
      </c>
      <c r="AX363" s="604">
        <v>45</v>
      </c>
      <c r="AY363" s="606">
        <v>555.6</v>
      </c>
      <c r="AZ363" s="604" t="s">
        <v>420</v>
      </c>
      <c r="BB363" s="536" t="str">
        <f t="shared" si="55"/>
        <v>Quin 1depbirthsCanterbury</v>
      </c>
      <c r="BC363" s="604">
        <v>2016</v>
      </c>
      <c r="BD363" s="604" t="s">
        <v>421</v>
      </c>
      <c r="BE363" s="604" t="s">
        <v>454</v>
      </c>
      <c r="BF363" s="604" t="s">
        <v>101</v>
      </c>
      <c r="BG363" s="604">
        <v>1785</v>
      </c>
      <c r="BH363" s="604" t="s">
        <v>445</v>
      </c>
      <c r="BY363" s="553" t="str">
        <f t="shared" si="56"/>
        <v>2009Quin 1depSIDS</v>
      </c>
      <c r="BZ363" s="604">
        <v>2009</v>
      </c>
      <c r="CA363" s="604" t="s">
        <v>421</v>
      </c>
      <c r="CB363" s="604" t="s">
        <v>454</v>
      </c>
      <c r="CC363" s="604">
        <v>3</v>
      </c>
      <c r="CD363" s="604" t="s">
        <v>32</v>
      </c>
      <c r="CF363" s="554" t="str">
        <f t="shared" si="57"/>
        <v>2016AsianTotalOverallSUDI</v>
      </c>
      <c r="CG363" s="604">
        <v>2016</v>
      </c>
      <c r="CH363" s="604" t="s">
        <v>355</v>
      </c>
      <c r="CI363" s="604" t="s">
        <v>44</v>
      </c>
      <c r="CJ363" s="604" t="s">
        <v>104</v>
      </c>
      <c r="CK363" s="604">
        <v>1</v>
      </c>
      <c r="CL363" s="604" t="s">
        <v>33</v>
      </c>
    </row>
    <row r="364" spans="9:90">
      <c r="I364" s="578" t="str">
        <f t="shared" si="50"/>
        <v>2003depQuin 5Fetal</v>
      </c>
      <c r="J364" s="604">
        <v>2003</v>
      </c>
      <c r="K364" s="604" t="s">
        <v>454</v>
      </c>
      <c r="L364" s="604" t="s">
        <v>425</v>
      </c>
      <c r="M364" s="604">
        <v>118</v>
      </c>
      <c r="N364" s="604">
        <v>14362</v>
      </c>
      <c r="O364" s="604">
        <v>8.1999999999999993</v>
      </c>
      <c r="P364" s="604" t="s">
        <v>47</v>
      </c>
      <c r="Q364" s="499"/>
      <c r="R364" s="502" t="str">
        <f t="shared" si="51"/>
        <v>2000birthsdhbWaikato</v>
      </c>
      <c r="S364" s="604">
        <v>2000</v>
      </c>
      <c r="T364" s="604" t="s">
        <v>445</v>
      </c>
      <c r="U364" s="604" t="s">
        <v>448</v>
      </c>
      <c r="V364" s="604" t="s">
        <v>89</v>
      </c>
      <c r="W364" s="604">
        <v>4792</v>
      </c>
      <c r="Y364" s="535" t="str">
        <f t="shared" si="52"/>
        <v>2016bwtdep&lt;500Quin 4fetal</v>
      </c>
      <c r="Z364" s="604">
        <v>2016</v>
      </c>
      <c r="AA364" s="604" t="s">
        <v>447</v>
      </c>
      <c r="AB364" s="604" t="s">
        <v>454</v>
      </c>
      <c r="AC364" s="604" t="s">
        <v>427</v>
      </c>
      <c r="AD364" s="604" t="s">
        <v>424</v>
      </c>
      <c r="AE364" s="604">
        <v>28</v>
      </c>
      <c r="AF364" s="604">
        <v>11</v>
      </c>
      <c r="AG364" s="604" t="s">
        <v>119</v>
      </c>
      <c r="AH364" s="604" t="s">
        <v>420</v>
      </c>
      <c r="AJ364" s="535" t="str">
        <f t="shared" si="53"/>
        <v>2016bwtdep&lt;500Quin 4</v>
      </c>
      <c r="AK364" s="604">
        <v>2016</v>
      </c>
      <c r="AL364" s="604" t="s">
        <v>447</v>
      </c>
      <c r="AM364" s="604" t="s">
        <v>454</v>
      </c>
      <c r="AN364" s="604" t="s">
        <v>427</v>
      </c>
      <c r="AO364" s="604" t="s">
        <v>424</v>
      </c>
      <c r="AP364" s="604">
        <v>11</v>
      </c>
      <c r="AR364" s="538" t="str">
        <f t="shared" si="54"/>
        <v>28-31gestfetalCanterbury</v>
      </c>
      <c r="AS364" s="604">
        <v>2016</v>
      </c>
      <c r="AT364" s="604" t="s">
        <v>395</v>
      </c>
      <c r="AU364" s="604" t="s">
        <v>450</v>
      </c>
      <c r="AV364" s="604" t="s">
        <v>101</v>
      </c>
      <c r="AW364" s="604">
        <v>5</v>
      </c>
      <c r="AX364" s="604">
        <v>63</v>
      </c>
      <c r="AY364" s="606">
        <v>79.400000000000006</v>
      </c>
      <c r="AZ364" s="604" t="s">
        <v>420</v>
      </c>
      <c r="BB364" s="536" t="str">
        <f t="shared" si="55"/>
        <v>Quin 2depbirthsCanterbury</v>
      </c>
      <c r="BC364" s="604">
        <v>2016</v>
      </c>
      <c r="BD364" s="604" t="s">
        <v>422</v>
      </c>
      <c r="BE364" s="604" t="s">
        <v>454</v>
      </c>
      <c r="BF364" s="604" t="s">
        <v>101</v>
      </c>
      <c r="BG364" s="604">
        <v>1542</v>
      </c>
      <c r="BH364" s="604" t="s">
        <v>445</v>
      </c>
      <c r="BY364" s="553" t="str">
        <f t="shared" si="56"/>
        <v>2009Quin 2depSIDS</v>
      </c>
      <c r="BZ364" s="604">
        <v>2009</v>
      </c>
      <c r="CA364" s="604" t="s">
        <v>422</v>
      </c>
      <c r="CB364" s="604" t="s">
        <v>454</v>
      </c>
      <c r="CC364" s="604">
        <v>3</v>
      </c>
      <c r="CD364" s="604" t="s">
        <v>32</v>
      </c>
      <c r="CF364" s="554" t="str">
        <f t="shared" si="57"/>
        <v>2016European or OtherTotalOverallSUDI</v>
      </c>
      <c r="CG364" s="604">
        <v>2016</v>
      </c>
      <c r="CH364" s="604" t="s">
        <v>356</v>
      </c>
      <c r="CI364" s="604" t="s">
        <v>44</v>
      </c>
      <c r="CJ364" s="604" t="s">
        <v>104</v>
      </c>
      <c r="CK364" s="604">
        <v>8</v>
      </c>
      <c r="CL364" s="604" t="s">
        <v>33</v>
      </c>
    </row>
    <row r="365" spans="9:90">
      <c r="I365" s="578" t="str">
        <f t="shared" si="50"/>
        <v>2003depQuin 9Fetal</v>
      </c>
      <c r="J365" s="604">
        <v>2003</v>
      </c>
      <c r="K365" s="604" t="s">
        <v>454</v>
      </c>
      <c r="L365" s="604" t="s">
        <v>426</v>
      </c>
      <c r="M365" s="604">
        <v>24</v>
      </c>
      <c r="N365" s="604">
        <v>3674</v>
      </c>
      <c r="O365" s="604" t="s">
        <v>119</v>
      </c>
      <c r="P365" s="604" t="s">
        <v>47</v>
      </c>
      <c r="Q365" s="499"/>
      <c r="R365" s="502" t="str">
        <f t="shared" si="51"/>
        <v>2000birthsdhbLakes</v>
      </c>
      <c r="S365" s="604">
        <v>2000</v>
      </c>
      <c r="T365" s="604" t="s">
        <v>445</v>
      </c>
      <c r="U365" s="604" t="s">
        <v>448</v>
      </c>
      <c r="V365" s="604" t="s">
        <v>90</v>
      </c>
      <c r="W365" s="604">
        <v>1576</v>
      </c>
      <c r="Y365" s="535" t="str">
        <f t="shared" si="52"/>
        <v>2016bwtdep500-999Quin 4fetal</v>
      </c>
      <c r="Z365" s="604">
        <v>2016</v>
      </c>
      <c r="AA365" s="604" t="s">
        <v>447</v>
      </c>
      <c r="AB365" s="604" t="s">
        <v>454</v>
      </c>
      <c r="AC365" s="604" t="s">
        <v>428</v>
      </c>
      <c r="AD365" s="604" t="s">
        <v>424</v>
      </c>
      <c r="AE365" s="604">
        <v>21</v>
      </c>
      <c r="AF365" s="604">
        <v>46</v>
      </c>
      <c r="AG365" s="604">
        <v>313.39999999999998</v>
      </c>
      <c r="AH365" s="604" t="s">
        <v>420</v>
      </c>
      <c r="AJ365" s="535" t="str">
        <f t="shared" si="53"/>
        <v>2016bwtdep500-999Quin 4</v>
      </c>
      <c r="AK365" s="604">
        <v>2016</v>
      </c>
      <c r="AL365" s="604" t="s">
        <v>447</v>
      </c>
      <c r="AM365" s="604" t="s">
        <v>454</v>
      </c>
      <c r="AN365" s="604" t="s">
        <v>428</v>
      </c>
      <c r="AO365" s="604" t="s">
        <v>424</v>
      </c>
      <c r="AP365" s="604">
        <v>46</v>
      </c>
      <c r="AR365" s="538" t="str">
        <f t="shared" si="54"/>
        <v>32-36gestfetalCanterbury</v>
      </c>
      <c r="AS365" s="604">
        <v>2016</v>
      </c>
      <c r="AT365" s="604" t="s">
        <v>136</v>
      </c>
      <c r="AU365" s="604" t="s">
        <v>450</v>
      </c>
      <c r="AV365" s="604" t="s">
        <v>101</v>
      </c>
      <c r="AW365" s="604">
        <v>3</v>
      </c>
      <c r="AX365" s="604">
        <v>418</v>
      </c>
      <c r="AY365" s="606">
        <v>7.2</v>
      </c>
      <c r="AZ365" s="604" t="s">
        <v>420</v>
      </c>
      <c r="BB365" s="536" t="str">
        <f t="shared" si="55"/>
        <v>Quin 3depbirthsCanterbury</v>
      </c>
      <c r="BC365" s="604">
        <v>2016</v>
      </c>
      <c r="BD365" s="604" t="s">
        <v>423</v>
      </c>
      <c r="BE365" s="604" t="s">
        <v>454</v>
      </c>
      <c r="BF365" s="604" t="s">
        <v>101</v>
      </c>
      <c r="BG365" s="604">
        <v>953</v>
      </c>
      <c r="BH365" s="604" t="s">
        <v>445</v>
      </c>
      <c r="BY365" s="553" t="str">
        <f t="shared" si="56"/>
        <v>2009Quin 3depSIDS</v>
      </c>
      <c r="BZ365" s="604">
        <v>2009</v>
      </c>
      <c r="CA365" s="604" t="s">
        <v>423</v>
      </c>
      <c r="CB365" s="604" t="s">
        <v>454</v>
      </c>
      <c r="CC365" s="604">
        <v>6</v>
      </c>
      <c r="CD365" s="604" t="s">
        <v>32</v>
      </c>
      <c r="CF365" s="554" t="str">
        <f t="shared" si="57"/>
        <v>2016MaoriTotalOverallSUDI</v>
      </c>
      <c r="CG365" s="604">
        <v>2016</v>
      </c>
      <c r="CH365" s="604" t="s">
        <v>129</v>
      </c>
      <c r="CI365" s="604" t="s">
        <v>44</v>
      </c>
      <c r="CJ365" s="604" t="s">
        <v>104</v>
      </c>
      <c r="CK365" s="604">
        <v>27</v>
      </c>
      <c r="CL365" s="604" t="s">
        <v>33</v>
      </c>
    </row>
    <row r="366" spans="9:90">
      <c r="I366" s="578" t="str">
        <f t="shared" si="50"/>
        <v>2004depQuin 1Fetal</v>
      </c>
      <c r="J366" s="604">
        <v>2004</v>
      </c>
      <c r="K366" s="604" t="s">
        <v>454</v>
      </c>
      <c r="L366" s="604" t="s">
        <v>421</v>
      </c>
      <c r="M366" s="604">
        <v>55</v>
      </c>
      <c r="N366" s="604">
        <v>8303</v>
      </c>
      <c r="O366" s="604">
        <v>6.6</v>
      </c>
      <c r="P366" s="604" t="s">
        <v>47</v>
      </c>
      <c r="Q366" s="499"/>
      <c r="R366" s="502" t="str">
        <f t="shared" si="51"/>
        <v>2000birthsdhbBay of Plenty</v>
      </c>
      <c r="S366" s="604">
        <v>2000</v>
      </c>
      <c r="T366" s="604" t="s">
        <v>445</v>
      </c>
      <c r="U366" s="604" t="s">
        <v>448</v>
      </c>
      <c r="V366" s="604" t="s">
        <v>91</v>
      </c>
      <c r="W366" s="604">
        <v>2628</v>
      </c>
      <c r="Y366" s="535" t="str">
        <f t="shared" si="52"/>
        <v>2016bwtdep1000-1499Quin 4fetal</v>
      </c>
      <c r="Z366" s="604">
        <v>2016</v>
      </c>
      <c r="AA366" s="604" t="s">
        <v>447</v>
      </c>
      <c r="AB366" s="604" t="s">
        <v>454</v>
      </c>
      <c r="AC366" s="604" t="s">
        <v>429</v>
      </c>
      <c r="AD366" s="604" t="s">
        <v>424</v>
      </c>
      <c r="AE366" s="604">
        <v>9</v>
      </c>
      <c r="AF366" s="604">
        <v>75</v>
      </c>
      <c r="AG366" s="604">
        <v>107.1</v>
      </c>
      <c r="AH366" s="604" t="s">
        <v>420</v>
      </c>
      <c r="AJ366" s="535" t="str">
        <f t="shared" si="53"/>
        <v>2016bwtdep1000-1499Quin 4</v>
      </c>
      <c r="AK366" s="604">
        <v>2016</v>
      </c>
      <c r="AL366" s="604" t="s">
        <v>447</v>
      </c>
      <c r="AM366" s="604" t="s">
        <v>454</v>
      </c>
      <c r="AN366" s="604" t="s">
        <v>429</v>
      </c>
      <c r="AO366" s="604" t="s">
        <v>424</v>
      </c>
      <c r="AP366" s="604">
        <v>75</v>
      </c>
      <c r="AR366" s="538" t="str">
        <f t="shared" si="54"/>
        <v>37-41gestfetalCanterbury</v>
      </c>
      <c r="AS366" s="604">
        <v>2016</v>
      </c>
      <c r="AT366" s="604" t="s">
        <v>137</v>
      </c>
      <c r="AU366" s="604" t="s">
        <v>450</v>
      </c>
      <c r="AV366" s="604" t="s">
        <v>101</v>
      </c>
      <c r="AW366" s="604">
        <v>10</v>
      </c>
      <c r="AX366" s="604">
        <v>5815</v>
      </c>
      <c r="AY366" s="606">
        <v>1.7</v>
      </c>
      <c r="AZ366" s="604" t="s">
        <v>420</v>
      </c>
      <c r="BB366" s="536" t="str">
        <f t="shared" si="55"/>
        <v>Quin 4depbirthsCanterbury</v>
      </c>
      <c r="BC366" s="604">
        <v>2016</v>
      </c>
      <c r="BD366" s="604" t="s">
        <v>424</v>
      </c>
      <c r="BE366" s="604" t="s">
        <v>454</v>
      </c>
      <c r="BF366" s="604" t="s">
        <v>101</v>
      </c>
      <c r="BG366" s="604">
        <v>1623</v>
      </c>
      <c r="BH366" s="604" t="s">
        <v>445</v>
      </c>
      <c r="BY366" s="553" t="str">
        <f t="shared" si="56"/>
        <v>2009Quin 4depSIDS</v>
      </c>
      <c r="BZ366" s="604">
        <v>2009</v>
      </c>
      <c r="CA366" s="604" t="s">
        <v>424</v>
      </c>
      <c r="CB366" s="604" t="s">
        <v>454</v>
      </c>
      <c r="CC366" s="604">
        <v>7</v>
      </c>
      <c r="CD366" s="604" t="s">
        <v>32</v>
      </c>
      <c r="CF366" s="554" t="str">
        <f t="shared" si="57"/>
        <v>2016Pacific peoplesTotalOverallSUDI</v>
      </c>
      <c r="CG366" s="604">
        <v>2016</v>
      </c>
      <c r="CH366" s="604" t="s">
        <v>320</v>
      </c>
      <c r="CI366" s="604" t="s">
        <v>44</v>
      </c>
      <c r="CJ366" s="604" t="s">
        <v>104</v>
      </c>
      <c r="CK366" s="604">
        <v>6</v>
      </c>
      <c r="CL366" s="604" t="s">
        <v>33</v>
      </c>
    </row>
    <row r="367" spans="9:90">
      <c r="I367" s="578" t="str">
        <f t="shared" si="50"/>
        <v>2004depQuin 2Fetal</v>
      </c>
      <c r="J367" s="604">
        <v>2004</v>
      </c>
      <c r="K367" s="604" t="s">
        <v>454</v>
      </c>
      <c r="L367" s="604" t="s">
        <v>422</v>
      </c>
      <c r="M367" s="604">
        <v>66</v>
      </c>
      <c r="N367" s="604">
        <v>8824</v>
      </c>
      <c r="O367" s="604">
        <v>7.5</v>
      </c>
      <c r="P367" s="604" t="s">
        <v>47</v>
      </c>
      <c r="Q367" s="499"/>
      <c r="R367" s="502" t="str">
        <f t="shared" si="51"/>
        <v>2000birthsdhbTairawhiti</v>
      </c>
      <c r="S367" s="604">
        <v>2000</v>
      </c>
      <c r="T367" s="604" t="s">
        <v>445</v>
      </c>
      <c r="U367" s="604" t="s">
        <v>448</v>
      </c>
      <c r="V367" s="604" t="s">
        <v>433</v>
      </c>
      <c r="W367" s="604">
        <v>773</v>
      </c>
      <c r="Y367" s="535" t="str">
        <f t="shared" si="52"/>
        <v>2016bwtdep1500-2499Quin 4fetal</v>
      </c>
      <c r="Z367" s="604">
        <v>2016</v>
      </c>
      <c r="AA367" s="604" t="s">
        <v>447</v>
      </c>
      <c r="AB367" s="604" t="s">
        <v>454</v>
      </c>
      <c r="AC367" s="604" t="s">
        <v>430</v>
      </c>
      <c r="AD367" s="604" t="s">
        <v>424</v>
      </c>
      <c r="AE367" s="604">
        <v>12</v>
      </c>
      <c r="AF367" s="604">
        <v>684</v>
      </c>
      <c r="AG367" s="604">
        <v>17.2</v>
      </c>
      <c r="AH367" s="604" t="s">
        <v>420</v>
      </c>
      <c r="AJ367" s="535" t="str">
        <f t="shared" si="53"/>
        <v>2016bwtdep1500-2499Quin 4</v>
      </c>
      <c r="AK367" s="604">
        <v>2016</v>
      </c>
      <c r="AL367" s="604" t="s">
        <v>447</v>
      </c>
      <c r="AM367" s="604" t="s">
        <v>454</v>
      </c>
      <c r="AN367" s="604" t="s">
        <v>430</v>
      </c>
      <c r="AO367" s="604" t="s">
        <v>424</v>
      </c>
      <c r="AP367" s="604">
        <v>684</v>
      </c>
      <c r="AR367" s="538" t="str">
        <f t="shared" si="54"/>
        <v>UnknowngestfetalCanterbury</v>
      </c>
      <c r="AS367" s="604">
        <v>2016</v>
      </c>
      <c r="AT367" s="604" t="s">
        <v>63</v>
      </c>
      <c r="AU367" s="604" t="s">
        <v>450</v>
      </c>
      <c r="AV367" s="604" t="s">
        <v>101</v>
      </c>
      <c r="AW367" s="604">
        <v>1</v>
      </c>
      <c r="AX367" s="604">
        <v>1</v>
      </c>
      <c r="AY367" s="606" t="s">
        <v>119</v>
      </c>
      <c r="AZ367" s="604" t="s">
        <v>420</v>
      </c>
      <c r="BB367" s="536" t="str">
        <f t="shared" si="55"/>
        <v>Quin 5depbirthsCanterbury</v>
      </c>
      <c r="BC367" s="604">
        <v>2016</v>
      </c>
      <c r="BD367" s="604" t="s">
        <v>425</v>
      </c>
      <c r="BE367" s="604" t="s">
        <v>454</v>
      </c>
      <c r="BF367" s="604" t="s">
        <v>101</v>
      </c>
      <c r="BG367" s="604">
        <v>496</v>
      </c>
      <c r="BH367" s="604" t="s">
        <v>445</v>
      </c>
      <c r="BY367" s="553" t="str">
        <f t="shared" si="56"/>
        <v>2009Quin 5depSIDS</v>
      </c>
      <c r="BZ367" s="604">
        <v>2009</v>
      </c>
      <c r="CA367" s="604" t="s">
        <v>425</v>
      </c>
      <c r="CB367" s="604" t="s">
        <v>454</v>
      </c>
      <c r="CC367" s="604">
        <v>26</v>
      </c>
      <c r="CD367" s="604" t="s">
        <v>32</v>
      </c>
      <c r="CF367" s="554" t="str">
        <f t="shared" si="57"/>
        <v>5yearsAsian&lt;20ageSIDS</v>
      </c>
      <c r="CG367" s="604" t="s">
        <v>475</v>
      </c>
      <c r="CH367" s="604" t="s">
        <v>355</v>
      </c>
      <c r="CI367" s="604" t="s">
        <v>339</v>
      </c>
      <c r="CJ367" s="604" t="s">
        <v>453</v>
      </c>
      <c r="CK367" s="604">
        <v>0</v>
      </c>
      <c r="CL367" s="604" t="s">
        <v>32</v>
      </c>
    </row>
    <row r="368" spans="9:90">
      <c r="I368" s="578" t="str">
        <f t="shared" si="50"/>
        <v>2004depQuin 3Fetal</v>
      </c>
      <c r="J368" s="604">
        <v>2004</v>
      </c>
      <c r="K368" s="604" t="s">
        <v>454</v>
      </c>
      <c r="L368" s="604" t="s">
        <v>423</v>
      </c>
      <c r="M368" s="604">
        <v>102</v>
      </c>
      <c r="N368" s="604">
        <v>10621</v>
      </c>
      <c r="O368" s="604">
        <v>9.6</v>
      </c>
      <c r="P368" s="604" t="s">
        <v>47</v>
      </c>
      <c r="Q368" s="499"/>
      <c r="R368" s="502" t="str">
        <f t="shared" si="51"/>
        <v>2000birthsdhbHawke's Bay</v>
      </c>
      <c r="S368" s="604">
        <v>2000</v>
      </c>
      <c r="T368" s="604" t="s">
        <v>445</v>
      </c>
      <c r="U368" s="604" t="s">
        <v>448</v>
      </c>
      <c r="V368" s="604" t="s">
        <v>92</v>
      </c>
      <c r="W368" s="604">
        <v>2175</v>
      </c>
      <c r="Y368" s="535" t="str">
        <f t="shared" si="52"/>
        <v>2016bwtdep2500-4499Quin 4fetal</v>
      </c>
      <c r="Z368" s="604">
        <v>2016</v>
      </c>
      <c r="AA368" s="604" t="s">
        <v>447</v>
      </c>
      <c r="AB368" s="604" t="s">
        <v>454</v>
      </c>
      <c r="AC368" s="604" t="s">
        <v>431</v>
      </c>
      <c r="AD368" s="604" t="s">
        <v>424</v>
      </c>
      <c r="AE368" s="604">
        <v>16</v>
      </c>
      <c r="AF368" s="604">
        <v>12014</v>
      </c>
      <c r="AG368" s="604">
        <v>1.3</v>
      </c>
      <c r="AH368" s="604" t="s">
        <v>420</v>
      </c>
      <c r="AJ368" s="535" t="str">
        <f t="shared" si="53"/>
        <v>2016bwtdep2500-4499Quin 4</v>
      </c>
      <c r="AK368" s="604">
        <v>2016</v>
      </c>
      <c r="AL368" s="604" t="s">
        <v>447</v>
      </c>
      <c r="AM368" s="604" t="s">
        <v>454</v>
      </c>
      <c r="AN368" s="604" t="s">
        <v>431</v>
      </c>
      <c r="AO368" s="604" t="s">
        <v>424</v>
      </c>
      <c r="AP368" s="604">
        <v>12014</v>
      </c>
      <c r="AR368" s="538" t="str">
        <f t="shared" si="54"/>
        <v>&lt;28gestfetalSouth Canterbury</v>
      </c>
      <c r="AS368" s="604">
        <v>2016</v>
      </c>
      <c r="AT368" s="604" t="s">
        <v>375</v>
      </c>
      <c r="AU368" s="604" t="s">
        <v>450</v>
      </c>
      <c r="AV368" s="604" t="s">
        <v>102</v>
      </c>
      <c r="AW368" s="604">
        <v>2</v>
      </c>
      <c r="AX368" s="604">
        <v>7</v>
      </c>
      <c r="AY368" s="606">
        <v>285.7</v>
      </c>
      <c r="AZ368" s="604" t="s">
        <v>420</v>
      </c>
      <c r="BB368" s="536" t="str">
        <f t="shared" si="55"/>
        <v>Quin 1depbirthsSouth Canterbury</v>
      </c>
      <c r="BC368" s="604">
        <v>2016</v>
      </c>
      <c r="BD368" s="604" t="s">
        <v>421</v>
      </c>
      <c r="BE368" s="604" t="s">
        <v>454</v>
      </c>
      <c r="BF368" s="604" t="s">
        <v>102</v>
      </c>
      <c r="BG368" s="604">
        <v>98</v>
      </c>
      <c r="BH368" s="604" t="s">
        <v>445</v>
      </c>
      <c r="BY368" s="553" t="str">
        <f t="shared" si="56"/>
        <v>2009Quin 9depSIDS</v>
      </c>
      <c r="BZ368" s="604">
        <v>2009</v>
      </c>
      <c r="CA368" s="604" t="s">
        <v>426</v>
      </c>
      <c r="CB368" s="604" t="s">
        <v>454</v>
      </c>
      <c r="CC368" s="604">
        <v>0</v>
      </c>
      <c r="CD368" s="604" t="s">
        <v>32</v>
      </c>
      <c r="CF368" s="554" t="str">
        <f t="shared" si="57"/>
        <v>5yearsEuropean or Other&lt;20ageSIDS</v>
      </c>
      <c r="CG368" s="604" t="s">
        <v>475</v>
      </c>
      <c r="CH368" s="604" t="s">
        <v>356</v>
      </c>
      <c r="CI368" s="604" t="s">
        <v>339</v>
      </c>
      <c r="CJ368" s="604" t="s">
        <v>453</v>
      </c>
      <c r="CK368" s="604">
        <v>5</v>
      </c>
      <c r="CL368" s="604" t="s">
        <v>32</v>
      </c>
    </row>
    <row r="369" spans="9:90">
      <c r="I369" s="578" t="str">
        <f t="shared" si="50"/>
        <v>2004depQuin 4Fetal</v>
      </c>
      <c r="J369" s="604">
        <v>2004</v>
      </c>
      <c r="K369" s="604" t="s">
        <v>454</v>
      </c>
      <c r="L369" s="604" t="s">
        <v>424</v>
      </c>
      <c r="M369" s="604">
        <v>98</v>
      </c>
      <c r="N369" s="604">
        <v>12715</v>
      </c>
      <c r="O369" s="604">
        <v>7.7</v>
      </c>
      <c r="P369" s="604" t="s">
        <v>47</v>
      </c>
      <c r="Q369" s="499"/>
      <c r="R369" s="502" t="str">
        <f t="shared" si="51"/>
        <v>2000birthsdhbTaranaki</v>
      </c>
      <c r="S369" s="604">
        <v>2000</v>
      </c>
      <c r="T369" s="604" t="s">
        <v>445</v>
      </c>
      <c r="U369" s="604" t="s">
        <v>448</v>
      </c>
      <c r="V369" s="604" t="s">
        <v>93</v>
      </c>
      <c r="W369" s="604">
        <v>1427</v>
      </c>
      <c r="Y369" s="535" t="str">
        <f t="shared" si="52"/>
        <v>2016bwtdep4500+Quin 4fetal</v>
      </c>
      <c r="Z369" s="604">
        <v>2016</v>
      </c>
      <c r="AA369" s="604" t="s">
        <v>447</v>
      </c>
      <c r="AB369" s="604" t="s">
        <v>454</v>
      </c>
      <c r="AC369" s="604" t="s">
        <v>432</v>
      </c>
      <c r="AD369" s="604" t="s">
        <v>424</v>
      </c>
      <c r="AE369" s="604">
        <v>0</v>
      </c>
      <c r="AF369" s="604">
        <v>295</v>
      </c>
      <c r="AG369" s="604">
        <v>0</v>
      </c>
      <c r="AH369" s="604" t="s">
        <v>420</v>
      </c>
      <c r="AJ369" s="535" t="str">
        <f t="shared" si="53"/>
        <v>2016bwtdep4500+Quin 4</v>
      </c>
      <c r="AK369" s="604">
        <v>2016</v>
      </c>
      <c r="AL369" s="604" t="s">
        <v>447</v>
      </c>
      <c r="AM369" s="604" t="s">
        <v>454</v>
      </c>
      <c r="AN369" s="604" t="s">
        <v>432</v>
      </c>
      <c r="AO369" s="604" t="s">
        <v>424</v>
      </c>
      <c r="AP369" s="604">
        <v>295</v>
      </c>
      <c r="AR369" s="538" t="str">
        <f t="shared" si="54"/>
        <v>32-36gestfetalSouth Canterbury</v>
      </c>
      <c r="AS369" s="604">
        <v>2016</v>
      </c>
      <c r="AT369" s="604" t="s">
        <v>136</v>
      </c>
      <c r="AU369" s="604" t="s">
        <v>450</v>
      </c>
      <c r="AV369" s="604" t="s">
        <v>102</v>
      </c>
      <c r="AW369" s="604">
        <v>1</v>
      </c>
      <c r="AX369" s="604">
        <v>49</v>
      </c>
      <c r="AY369" s="606">
        <v>20.399999999999999</v>
      </c>
      <c r="AZ369" s="604" t="s">
        <v>420</v>
      </c>
      <c r="BB369" s="536" t="str">
        <f t="shared" si="55"/>
        <v>Quin 2depbirthsSouth Canterbury</v>
      </c>
      <c r="BC369" s="604">
        <v>2016</v>
      </c>
      <c r="BD369" s="604" t="s">
        <v>422</v>
      </c>
      <c r="BE369" s="604" t="s">
        <v>454</v>
      </c>
      <c r="BF369" s="604" t="s">
        <v>102</v>
      </c>
      <c r="BG369" s="604">
        <v>185</v>
      </c>
      <c r="BH369" s="604" t="s">
        <v>445</v>
      </c>
      <c r="BY369" s="553" t="str">
        <f t="shared" si="56"/>
        <v>2010Quin 1depSIDS</v>
      </c>
      <c r="BZ369" s="604">
        <v>2010</v>
      </c>
      <c r="CA369" s="604" t="s">
        <v>421</v>
      </c>
      <c r="CB369" s="604" t="s">
        <v>454</v>
      </c>
      <c r="CC369" s="604">
        <v>1</v>
      </c>
      <c r="CD369" s="604" t="s">
        <v>32</v>
      </c>
      <c r="CF369" s="554" t="str">
        <f t="shared" si="57"/>
        <v>5yearsMaori&lt;20ageSIDS</v>
      </c>
      <c r="CG369" s="604" t="s">
        <v>475</v>
      </c>
      <c r="CH369" s="604" t="s">
        <v>129</v>
      </c>
      <c r="CI369" s="604" t="s">
        <v>339</v>
      </c>
      <c r="CJ369" s="604" t="s">
        <v>453</v>
      </c>
      <c r="CK369" s="604">
        <v>11</v>
      </c>
      <c r="CL369" s="604" t="s">
        <v>32</v>
      </c>
    </row>
    <row r="370" spans="9:90">
      <c r="I370" s="578" t="str">
        <f t="shared" si="50"/>
        <v>2004depQuin 5Fetal</v>
      </c>
      <c r="J370" s="604">
        <v>2004</v>
      </c>
      <c r="K370" s="604" t="s">
        <v>454</v>
      </c>
      <c r="L370" s="604" t="s">
        <v>425</v>
      </c>
      <c r="M370" s="604">
        <v>156</v>
      </c>
      <c r="N370" s="604">
        <v>14940</v>
      </c>
      <c r="O370" s="604">
        <v>10.4</v>
      </c>
      <c r="P370" s="604" t="s">
        <v>47</v>
      </c>
      <c r="Q370" s="499"/>
      <c r="R370" s="502" t="str">
        <f t="shared" si="51"/>
        <v>2000birthsdhbMidCentral</v>
      </c>
      <c r="S370" s="604">
        <v>2000</v>
      </c>
      <c r="T370" s="604" t="s">
        <v>445</v>
      </c>
      <c r="U370" s="604" t="s">
        <v>448</v>
      </c>
      <c r="V370" s="604" t="s">
        <v>94</v>
      </c>
      <c r="W370" s="604">
        <v>2290</v>
      </c>
      <c r="Y370" s="535" t="str">
        <f t="shared" si="52"/>
        <v>2016bwtdepUnknownQuin 4fetal</v>
      </c>
      <c r="Z370" s="604">
        <v>2016</v>
      </c>
      <c r="AA370" s="604" t="s">
        <v>447</v>
      </c>
      <c r="AB370" s="604" t="s">
        <v>454</v>
      </c>
      <c r="AC370" s="604" t="s">
        <v>63</v>
      </c>
      <c r="AD370" s="604" t="s">
        <v>424</v>
      </c>
      <c r="AE370" s="604">
        <v>4</v>
      </c>
      <c r="AF370" s="604">
        <v>6</v>
      </c>
      <c r="AG370" s="604" t="s">
        <v>119</v>
      </c>
      <c r="AH370" s="604" t="s">
        <v>420</v>
      </c>
      <c r="AJ370" s="535" t="str">
        <f t="shared" si="53"/>
        <v>2016bwtdepUnknownQuin 4</v>
      </c>
      <c r="AK370" s="604">
        <v>2016</v>
      </c>
      <c r="AL370" s="604" t="s">
        <v>447</v>
      </c>
      <c r="AM370" s="604" t="s">
        <v>454</v>
      </c>
      <c r="AN370" s="604" t="s">
        <v>63</v>
      </c>
      <c r="AO370" s="604" t="s">
        <v>424</v>
      </c>
      <c r="AP370" s="604">
        <v>6</v>
      </c>
      <c r="AR370" s="538" t="str">
        <f t="shared" si="54"/>
        <v>&lt;28gestfetalSouthern</v>
      </c>
      <c r="AS370" s="604">
        <v>2016</v>
      </c>
      <c r="AT370" s="604" t="s">
        <v>375</v>
      </c>
      <c r="AU370" s="604" t="s">
        <v>450</v>
      </c>
      <c r="AV370" s="604" t="s">
        <v>103</v>
      </c>
      <c r="AW370" s="604">
        <v>19</v>
      </c>
      <c r="AX370" s="604">
        <v>36</v>
      </c>
      <c r="AY370" s="606">
        <v>527.79999999999995</v>
      </c>
      <c r="AZ370" s="604" t="s">
        <v>420</v>
      </c>
      <c r="BB370" s="536" t="str">
        <f t="shared" si="55"/>
        <v>Quin 3depbirthsSouth Canterbury</v>
      </c>
      <c r="BC370" s="604">
        <v>2016</v>
      </c>
      <c r="BD370" s="604" t="s">
        <v>423</v>
      </c>
      <c r="BE370" s="604" t="s">
        <v>454</v>
      </c>
      <c r="BF370" s="604" t="s">
        <v>102</v>
      </c>
      <c r="BG370" s="604">
        <v>176</v>
      </c>
      <c r="BH370" s="604" t="s">
        <v>445</v>
      </c>
      <c r="BY370" s="553" t="str">
        <f t="shared" si="56"/>
        <v>2010Quin 2depSIDS</v>
      </c>
      <c r="BZ370" s="604">
        <v>2010</v>
      </c>
      <c r="CA370" s="604" t="s">
        <v>422</v>
      </c>
      <c r="CB370" s="604" t="s">
        <v>454</v>
      </c>
      <c r="CC370" s="604">
        <v>4</v>
      </c>
      <c r="CD370" s="604" t="s">
        <v>32</v>
      </c>
      <c r="CF370" s="554" t="str">
        <f t="shared" si="57"/>
        <v>5yearsPacific peoples&lt;20ageSIDS</v>
      </c>
      <c r="CG370" s="604" t="s">
        <v>475</v>
      </c>
      <c r="CH370" s="604" t="s">
        <v>320</v>
      </c>
      <c r="CI370" s="604" t="s">
        <v>339</v>
      </c>
      <c r="CJ370" s="604" t="s">
        <v>453</v>
      </c>
      <c r="CK370" s="604">
        <v>1</v>
      </c>
      <c r="CL370" s="604" t="s">
        <v>32</v>
      </c>
    </row>
    <row r="371" spans="9:90">
      <c r="I371" s="578" t="str">
        <f t="shared" si="50"/>
        <v>2004depQuin 9Fetal</v>
      </c>
      <c r="J371" s="604">
        <v>2004</v>
      </c>
      <c r="K371" s="604" t="s">
        <v>454</v>
      </c>
      <c r="L371" s="604" t="s">
        <v>426</v>
      </c>
      <c r="M371" s="604">
        <v>29</v>
      </c>
      <c r="N371" s="604">
        <v>3826</v>
      </c>
      <c r="O371" s="604" t="s">
        <v>119</v>
      </c>
      <c r="P371" s="604" t="s">
        <v>47</v>
      </c>
      <c r="Q371" s="499"/>
      <c r="R371" s="502" t="str">
        <f t="shared" si="51"/>
        <v>2000birthsdhbWhanganui</v>
      </c>
      <c r="S371" s="604">
        <v>2000</v>
      </c>
      <c r="T371" s="604" t="s">
        <v>445</v>
      </c>
      <c r="U371" s="604" t="s">
        <v>448</v>
      </c>
      <c r="V371" s="604" t="s">
        <v>95</v>
      </c>
      <c r="W371" s="604">
        <v>993</v>
      </c>
      <c r="Y371" s="535" t="str">
        <f t="shared" si="52"/>
        <v>2016bwtdep&lt;500Quin 5fetal</v>
      </c>
      <c r="Z371" s="604">
        <v>2016</v>
      </c>
      <c r="AA371" s="604" t="s">
        <v>447</v>
      </c>
      <c r="AB371" s="604" t="s">
        <v>454</v>
      </c>
      <c r="AC371" s="604" t="s">
        <v>427</v>
      </c>
      <c r="AD371" s="604" t="s">
        <v>425</v>
      </c>
      <c r="AE371" s="604">
        <v>44</v>
      </c>
      <c r="AF371" s="604">
        <v>17</v>
      </c>
      <c r="AG371" s="604" t="s">
        <v>119</v>
      </c>
      <c r="AH371" s="604" t="s">
        <v>420</v>
      </c>
      <c r="AJ371" s="535" t="str">
        <f t="shared" si="53"/>
        <v>2016bwtdep&lt;500Quin 5</v>
      </c>
      <c r="AK371" s="604">
        <v>2016</v>
      </c>
      <c r="AL371" s="604" t="s">
        <v>447</v>
      </c>
      <c r="AM371" s="604" t="s">
        <v>454</v>
      </c>
      <c r="AN371" s="604" t="s">
        <v>427</v>
      </c>
      <c r="AO371" s="604" t="s">
        <v>425</v>
      </c>
      <c r="AP371" s="604">
        <v>17</v>
      </c>
      <c r="AR371" s="538" t="str">
        <f t="shared" si="54"/>
        <v>28-31gestfetalSouthern</v>
      </c>
      <c r="AS371" s="604">
        <v>2016</v>
      </c>
      <c r="AT371" s="604" t="s">
        <v>395</v>
      </c>
      <c r="AU371" s="604" t="s">
        <v>450</v>
      </c>
      <c r="AV371" s="604" t="s">
        <v>103</v>
      </c>
      <c r="AW371" s="604">
        <v>3</v>
      </c>
      <c r="AX371" s="604">
        <v>32</v>
      </c>
      <c r="AY371" s="606">
        <v>93.8</v>
      </c>
      <c r="AZ371" s="604" t="s">
        <v>420</v>
      </c>
      <c r="BB371" s="536" t="str">
        <f t="shared" si="55"/>
        <v>Quin 4depbirthsSouth Canterbury</v>
      </c>
      <c r="BC371" s="604">
        <v>2016</v>
      </c>
      <c r="BD371" s="604" t="s">
        <v>424</v>
      </c>
      <c r="BE371" s="604" t="s">
        <v>454</v>
      </c>
      <c r="BF371" s="604" t="s">
        <v>102</v>
      </c>
      <c r="BG371" s="604">
        <v>161</v>
      </c>
      <c r="BH371" s="604" t="s">
        <v>445</v>
      </c>
      <c r="BY371" s="553" t="str">
        <f t="shared" si="56"/>
        <v>2010Quin 3depSIDS</v>
      </c>
      <c r="BZ371" s="604">
        <v>2010</v>
      </c>
      <c r="CA371" s="604" t="s">
        <v>423</v>
      </c>
      <c r="CB371" s="604" t="s">
        <v>454</v>
      </c>
      <c r="CC371" s="604">
        <v>1</v>
      </c>
      <c r="CD371" s="604" t="s">
        <v>32</v>
      </c>
      <c r="CF371" s="554" t="str">
        <f t="shared" si="57"/>
        <v>5yearsAsian20-24ageSIDS</v>
      </c>
      <c r="CG371" s="604" t="s">
        <v>475</v>
      </c>
      <c r="CH371" s="604" t="s">
        <v>355</v>
      </c>
      <c r="CI371" s="604" t="s">
        <v>130</v>
      </c>
      <c r="CJ371" s="604" t="s">
        <v>453</v>
      </c>
      <c r="CK371" s="604">
        <v>0</v>
      </c>
      <c r="CL371" s="604" t="s">
        <v>32</v>
      </c>
    </row>
    <row r="372" spans="9:90">
      <c r="I372" s="578" t="str">
        <f t="shared" si="50"/>
        <v>2005depQuin 1Fetal</v>
      </c>
      <c r="J372" s="604">
        <v>2005</v>
      </c>
      <c r="K372" s="604" t="s">
        <v>454</v>
      </c>
      <c r="L372" s="604" t="s">
        <v>421</v>
      </c>
      <c r="M372" s="604">
        <v>62</v>
      </c>
      <c r="N372" s="604">
        <v>8531</v>
      </c>
      <c r="O372" s="604">
        <v>7.3</v>
      </c>
      <c r="P372" s="604" t="s">
        <v>47</v>
      </c>
      <c r="Q372" s="499"/>
      <c r="R372" s="502" t="str">
        <f t="shared" si="51"/>
        <v>2000birthsdhbCapital &amp; Coast</v>
      </c>
      <c r="S372" s="604">
        <v>2000</v>
      </c>
      <c r="T372" s="604" t="s">
        <v>445</v>
      </c>
      <c r="U372" s="604" t="s">
        <v>448</v>
      </c>
      <c r="V372" s="604" t="s">
        <v>96</v>
      </c>
      <c r="W372" s="604">
        <v>3753</v>
      </c>
      <c r="Y372" s="535" t="str">
        <f t="shared" si="52"/>
        <v>2016bwtdep500-999Quin 5fetal</v>
      </c>
      <c r="Z372" s="604">
        <v>2016</v>
      </c>
      <c r="AA372" s="604" t="s">
        <v>447</v>
      </c>
      <c r="AB372" s="604" t="s">
        <v>454</v>
      </c>
      <c r="AC372" s="604" t="s">
        <v>428</v>
      </c>
      <c r="AD372" s="604" t="s">
        <v>425</v>
      </c>
      <c r="AE372" s="604">
        <v>24</v>
      </c>
      <c r="AF372" s="604">
        <v>67</v>
      </c>
      <c r="AG372" s="604">
        <v>263.7</v>
      </c>
      <c r="AH372" s="604" t="s">
        <v>420</v>
      </c>
      <c r="AJ372" s="535" t="str">
        <f t="shared" si="53"/>
        <v>2016bwtdep500-999Quin 5</v>
      </c>
      <c r="AK372" s="604">
        <v>2016</v>
      </c>
      <c r="AL372" s="604" t="s">
        <v>447</v>
      </c>
      <c r="AM372" s="604" t="s">
        <v>454</v>
      </c>
      <c r="AN372" s="604" t="s">
        <v>428</v>
      </c>
      <c r="AO372" s="604" t="s">
        <v>425</v>
      </c>
      <c r="AP372" s="604">
        <v>67</v>
      </c>
      <c r="AR372" s="538" t="str">
        <f t="shared" si="54"/>
        <v>32-36gestfetalSouthern</v>
      </c>
      <c r="AS372" s="604">
        <v>2016</v>
      </c>
      <c r="AT372" s="604" t="s">
        <v>136</v>
      </c>
      <c r="AU372" s="604" t="s">
        <v>450</v>
      </c>
      <c r="AV372" s="604" t="s">
        <v>103</v>
      </c>
      <c r="AW372" s="604">
        <v>2</v>
      </c>
      <c r="AX372" s="604">
        <v>253</v>
      </c>
      <c r="AY372" s="606">
        <v>7.9</v>
      </c>
      <c r="AZ372" s="604" t="s">
        <v>420</v>
      </c>
      <c r="BB372" s="536" t="str">
        <f t="shared" si="55"/>
        <v>Quin 5depbirthsSouth Canterbury</v>
      </c>
      <c r="BC372" s="604">
        <v>2016</v>
      </c>
      <c r="BD372" s="604" t="s">
        <v>425</v>
      </c>
      <c r="BE372" s="604" t="s">
        <v>454</v>
      </c>
      <c r="BF372" s="604" t="s">
        <v>102</v>
      </c>
      <c r="BG372" s="604">
        <v>21</v>
      </c>
      <c r="BH372" s="604" t="s">
        <v>445</v>
      </c>
      <c r="BY372" s="553" t="str">
        <f t="shared" si="56"/>
        <v>2010Quin 4depSIDS</v>
      </c>
      <c r="BZ372" s="604">
        <v>2010</v>
      </c>
      <c r="CA372" s="604" t="s">
        <v>424</v>
      </c>
      <c r="CB372" s="604" t="s">
        <v>454</v>
      </c>
      <c r="CC372" s="604">
        <v>3</v>
      </c>
      <c r="CD372" s="604" t="s">
        <v>32</v>
      </c>
      <c r="CF372" s="554" t="str">
        <f t="shared" si="57"/>
        <v>5yearsEuropean or Other20-24ageSIDS</v>
      </c>
      <c r="CG372" s="604" t="s">
        <v>475</v>
      </c>
      <c r="CH372" s="604" t="s">
        <v>356</v>
      </c>
      <c r="CI372" s="604" t="s">
        <v>130</v>
      </c>
      <c r="CJ372" s="604" t="s">
        <v>453</v>
      </c>
      <c r="CK372" s="604">
        <v>10</v>
      </c>
      <c r="CL372" s="604" t="s">
        <v>32</v>
      </c>
    </row>
    <row r="373" spans="9:90">
      <c r="I373" s="578" t="str">
        <f t="shared" si="50"/>
        <v>2005depQuin 2Fetal</v>
      </c>
      <c r="J373" s="604">
        <v>2005</v>
      </c>
      <c r="K373" s="604" t="s">
        <v>454</v>
      </c>
      <c r="L373" s="604" t="s">
        <v>422</v>
      </c>
      <c r="M373" s="604">
        <v>58</v>
      </c>
      <c r="N373" s="604">
        <v>8920</v>
      </c>
      <c r="O373" s="604">
        <v>6.5</v>
      </c>
      <c r="P373" s="604" t="s">
        <v>47</v>
      </c>
      <c r="Q373" s="499"/>
      <c r="R373" s="502" t="str">
        <f t="shared" si="51"/>
        <v>2000birthsdhbHutt Valley</v>
      </c>
      <c r="S373" s="604">
        <v>2000</v>
      </c>
      <c r="T373" s="604" t="s">
        <v>445</v>
      </c>
      <c r="U373" s="604" t="s">
        <v>448</v>
      </c>
      <c r="V373" s="604" t="s">
        <v>97</v>
      </c>
      <c r="W373" s="604">
        <v>2085</v>
      </c>
      <c r="Y373" s="535" t="str">
        <f t="shared" si="52"/>
        <v>2016bwtdep1000-1499Quin 5fetal</v>
      </c>
      <c r="Z373" s="604">
        <v>2016</v>
      </c>
      <c r="AA373" s="604" t="s">
        <v>447</v>
      </c>
      <c r="AB373" s="604" t="s">
        <v>454</v>
      </c>
      <c r="AC373" s="604" t="s">
        <v>429</v>
      </c>
      <c r="AD373" s="604" t="s">
        <v>425</v>
      </c>
      <c r="AE373" s="604">
        <v>9</v>
      </c>
      <c r="AF373" s="604">
        <v>103</v>
      </c>
      <c r="AG373" s="604">
        <v>80.400000000000006</v>
      </c>
      <c r="AH373" s="604" t="s">
        <v>420</v>
      </c>
      <c r="AJ373" s="535" t="str">
        <f t="shared" si="53"/>
        <v>2016bwtdep1000-1499Quin 5</v>
      </c>
      <c r="AK373" s="604">
        <v>2016</v>
      </c>
      <c r="AL373" s="604" t="s">
        <v>447</v>
      </c>
      <c r="AM373" s="604" t="s">
        <v>454</v>
      </c>
      <c r="AN373" s="604" t="s">
        <v>429</v>
      </c>
      <c r="AO373" s="604" t="s">
        <v>425</v>
      </c>
      <c r="AP373" s="604">
        <v>103</v>
      </c>
      <c r="AR373" s="538" t="str">
        <f t="shared" si="54"/>
        <v>37-41gestfetalSouthern</v>
      </c>
      <c r="AS373" s="604">
        <v>2016</v>
      </c>
      <c r="AT373" s="604" t="s">
        <v>137</v>
      </c>
      <c r="AU373" s="604" t="s">
        <v>450</v>
      </c>
      <c r="AV373" s="604" t="s">
        <v>103</v>
      </c>
      <c r="AW373" s="604">
        <v>4</v>
      </c>
      <c r="AX373" s="604">
        <v>3080</v>
      </c>
      <c r="AY373" s="606">
        <v>1.3</v>
      </c>
      <c r="AZ373" s="604" t="s">
        <v>420</v>
      </c>
      <c r="BB373" s="536" t="str">
        <f t="shared" si="55"/>
        <v>Quin 1depbirthsSouthern</v>
      </c>
      <c r="BC373" s="604">
        <v>2016</v>
      </c>
      <c r="BD373" s="604" t="s">
        <v>421</v>
      </c>
      <c r="BE373" s="604" t="s">
        <v>454</v>
      </c>
      <c r="BF373" s="604" t="s">
        <v>103</v>
      </c>
      <c r="BG373" s="604">
        <v>933</v>
      </c>
      <c r="BH373" s="604" t="s">
        <v>445</v>
      </c>
      <c r="BY373" s="553" t="str">
        <f t="shared" si="56"/>
        <v>2010Quin 5depSIDS</v>
      </c>
      <c r="BZ373" s="604">
        <v>2010</v>
      </c>
      <c r="CA373" s="604" t="s">
        <v>425</v>
      </c>
      <c r="CB373" s="604" t="s">
        <v>454</v>
      </c>
      <c r="CC373" s="604">
        <v>17</v>
      </c>
      <c r="CD373" s="604" t="s">
        <v>32</v>
      </c>
      <c r="CF373" s="554" t="str">
        <f t="shared" si="57"/>
        <v>5yearsMaori20-24ageSIDS</v>
      </c>
      <c r="CG373" s="604" t="s">
        <v>475</v>
      </c>
      <c r="CH373" s="604" t="s">
        <v>129</v>
      </c>
      <c r="CI373" s="604" t="s">
        <v>130</v>
      </c>
      <c r="CJ373" s="604" t="s">
        <v>453</v>
      </c>
      <c r="CK373" s="604">
        <v>19</v>
      </c>
      <c r="CL373" s="604" t="s">
        <v>32</v>
      </c>
    </row>
    <row r="374" spans="9:90">
      <c r="I374" s="578" t="str">
        <f t="shared" si="50"/>
        <v>2005depQuin 3Fetal</v>
      </c>
      <c r="J374" s="604">
        <v>2005</v>
      </c>
      <c r="K374" s="604" t="s">
        <v>454</v>
      </c>
      <c r="L374" s="604" t="s">
        <v>423</v>
      </c>
      <c r="M374" s="604">
        <v>65</v>
      </c>
      <c r="N374" s="604">
        <v>10482</v>
      </c>
      <c r="O374" s="604">
        <v>6.2</v>
      </c>
      <c r="P374" s="604" t="s">
        <v>47</v>
      </c>
      <c r="Q374" s="499"/>
      <c r="R374" s="502" t="str">
        <f t="shared" si="51"/>
        <v>2000birthsdhbWairarapa</v>
      </c>
      <c r="S374" s="604">
        <v>2000</v>
      </c>
      <c r="T374" s="604" t="s">
        <v>445</v>
      </c>
      <c r="U374" s="604" t="s">
        <v>448</v>
      </c>
      <c r="V374" s="604" t="s">
        <v>98</v>
      </c>
      <c r="W374" s="604">
        <v>496</v>
      </c>
      <c r="Y374" s="535" t="str">
        <f t="shared" si="52"/>
        <v>2016bwtdep1500-2499Quin 5fetal</v>
      </c>
      <c r="Z374" s="604">
        <v>2016</v>
      </c>
      <c r="AA374" s="604" t="s">
        <v>447</v>
      </c>
      <c r="AB374" s="604" t="s">
        <v>454</v>
      </c>
      <c r="AC374" s="604" t="s">
        <v>430</v>
      </c>
      <c r="AD374" s="604" t="s">
        <v>425</v>
      </c>
      <c r="AE374" s="604">
        <v>18</v>
      </c>
      <c r="AF374" s="604">
        <v>920</v>
      </c>
      <c r="AG374" s="604">
        <v>19.2</v>
      </c>
      <c r="AH374" s="604" t="s">
        <v>420</v>
      </c>
      <c r="AJ374" s="535" t="str">
        <f t="shared" si="53"/>
        <v>2016bwtdep1500-2499Quin 5</v>
      </c>
      <c r="AK374" s="604">
        <v>2016</v>
      </c>
      <c r="AL374" s="604" t="s">
        <v>447</v>
      </c>
      <c r="AM374" s="604" t="s">
        <v>454</v>
      </c>
      <c r="AN374" s="604" t="s">
        <v>430</v>
      </c>
      <c r="AO374" s="604" t="s">
        <v>425</v>
      </c>
      <c r="AP374" s="604">
        <v>920</v>
      </c>
      <c r="AR374" s="538" t="str">
        <f t="shared" si="54"/>
        <v>&lt;28gestfetalUnknown</v>
      </c>
      <c r="AS374" s="604">
        <v>2016</v>
      </c>
      <c r="AT374" s="604" t="s">
        <v>375</v>
      </c>
      <c r="AU374" s="604" t="s">
        <v>450</v>
      </c>
      <c r="AV374" s="604" t="s">
        <v>63</v>
      </c>
      <c r="AW374" s="604">
        <v>1</v>
      </c>
      <c r="AX374" s="604">
        <v>2</v>
      </c>
      <c r="AY374" s="606" t="s">
        <v>119</v>
      </c>
      <c r="AZ374" s="604" t="s">
        <v>420</v>
      </c>
      <c r="BB374" s="536" t="str">
        <f t="shared" si="55"/>
        <v>Quin 2depbirthsSouthern</v>
      </c>
      <c r="BC374" s="604">
        <v>2016</v>
      </c>
      <c r="BD374" s="604" t="s">
        <v>422</v>
      </c>
      <c r="BE374" s="604" t="s">
        <v>454</v>
      </c>
      <c r="BF374" s="604" t="s">
        <v>103</v>
      </c>
      <c r="BG374" s="604">
        <v>734</v>
      </c>
      <c r="BH374" s="604" t="s">
        <v>445</v>
      </c>
      <c r="BY374" s="553" t="str">
        <f t="shared" si="56"/>
        <v>2010Quin 9depSIDS</v>
      </c>
      <c r="BZ374" s="604">
        <v>2010</v>
      </c>
      <c r="CA374" s="604" t="s">
        <v>426</v>
      </c>
      <c r="CB374" s="604" t="s">
        <v>454</v>
      </c>
      <c r="CC374" s="604">
        <v>1</v>
      </c>
      <c r="CD374" s="604" t="s">
        <v>32</v>
      </c>
      <c r="CF374" s="554" t="str">
        <f t="shared" si="57"/>
        <v>5yearsPacific peoples20-24ageSIDS</v>
      </c>
      <c r="CG374" s="604" t="s">
        <v>475</v>
      </c>
      <c r="CH374" s="604" t="s">
        <v>320</v>
      </c>
      <c r="CI374" s="604" t="s">
        <v>130</v>
      </c>
      <c r="CJ374" s="604" t="s">
        <v>453</v>
      </c>
      <c r="CK374" s="604">
        <v>7</v>
      </c>
      <c r="CL374" s="604" t="s">
        <v>32</v>
      </c>
    </row>
    <row r="375" spans="9:90">
      <c r="I375" s="578" t="str">
        <f t="shared" si="50"/>
        <v>2005depQuin 4Fetal</v>
      </c>
      <c r="J375" s="604">
        <v>2005</v>
      </c>
      <c r="K375" s="604" t="s">
        <v>454</v>
      </c>
      <c r="L375" s="604" t="s">
        <v>424</v>
      </c>
      <c r="M375" s="604">
        <v>101</v>
      </c>
      <c r="N375" s="604">
        <v>12579</v>
      </c>
      <c r="O375" s="604">
        <v>8</v>
      </c>
      <c r="P375" s="604" t="s">
        <v>47</v>
      </c>
      <c r="Q375" s="499"/>
      <c r="R375" s="502" t="str">
        <f t="shared" si="51"/>
        <v>2000birthsdhbNelson Marlborough</v>
      </c>
      <c r="S375" s="604">
        <v>2000</v>
      </c>
      <c r="T375" s="604" t="s">
        <v>445</v>
      </c>
      <c r="U375" s="604" t="s">
        <v>448</v>
      </c>
      <c r="V375" s="604" t="s">
        <v>99</v>
      </c>
      <c r="W375" s="604">
        <v>1544</v>
      </c>
      <c r="Y375" s="535" t="str">
        <f t="shared" si="52"/>
        <v>2016bwtdep2500-4499Quin 5fetal</v>
      </c>
      <c r="Z375" s="604">
        <v>2016</v>
      </c>
      <c r="AA375" s="604" t="s">
        <v>447</v>
      </c>
      <c r="AB375" s="604" t="s">
        <v>454</v>
      </c>
      <c r="AC375" s="604" t="s">
        <v>431</v>
      </c>
      <c r="AD375" s="604" t="s">
        <v>425</v>
      </c>
      <c r="AE375" s="604">
        <v>21</v>
      </c>
      <c r="AF375" s="604">
        <v>15318</v>
      </c>
      <c r="AG375" s="604">
        <v>1.4</v>
      </c>
      <c r="AH375" s="604" t="s">
        <v>420</v>
      </c>
      <c r="AJ375" s="535" t="str">
        <f t="shared" si="53"/>
        <v>2016bwtdep2500-4499Quin 5</v>
      </c>
      <c r="AK375" s="604">
        <v>2016</v>
      </c>
      <c r="AL375" s="604" t="s">
        <v>447</v>
      </c>
      <c r="AM375" s="604" t="s">
        <v>454</v>
      </c>
      <c r="AN375" s="604" t="s">
        <v>431</v>
      </c>
      <c r="AO375" s="604" t="s">
        <v>425</v>
      </c>
      <c r="AP375" s="604">
        <v>15318</v>
      </c>
      <c r="AR375" s="538" t="str">
        <f t="shared" si="54"/>
        <v>32-36gestfetalUnknown</v>
      </c>
      <c r="AS375" s="604">
        <v>2016</v>
      </c>
      <c r="AT375" s="604" t="s">
        <v>136</v>
      </c>
      <c r="AU375" s="604" t="s">
        <v>450</v>
      </c>
      <c r="AV375" s="604" t="s">
        <v>63</v>
      </c>
      <c r="AW375" s="604">
        <v>1</v>
      </c>
      <c r="AX375" s="604">
        <v>13</v>
      </c>
      <c r="AY375" s="606" t="s">
        <v>119</v>
      </c>
      <c r="AZ375" s="604" t="s">
        <v>420</v>
      </c>
      <c r="BB375" s="536" t="str">
        <f t="shared" si="55"/>
        <v>Quin 3depbirthsSouthern</v>
      </c>
      <c r="BC375" s="604">
        <v>2016</v>
      </c>
      <c r="BD375" s="604" t="s">
        <v>423</v>
      </c>
      <c r="BE375" s="604" t="s">
        <v>454</v>
      </c>
      <c r="BF375" s="604" t="s">
        <v>103</v>
      </c>
      <c r="BG375" s="604">
        <v>765</v>
      </c>
      <c r="BH375" s="604" t="s">
        <v>445</v>
      </c>
      <c r="BY375" s="553" t="str">
        <f t="shared" si="56"/>
        <v>2011Quin 1depSIDS</v>
      </c>
      <c r="BZ375" s="604">
        <v>2011</v>
      </c>
      <c r="CA375" s="604" t="s">
        <v>421</v>
      </c>
      <c r="CB375" s="604" t="s">
        <v>454</v>
      </c>
      <c r="CC375" s="604">
        <v>0</v>
      </c>
      <c r="CD375" s="604" t="s">
        <v>32</v>
      </c>
      <c r="CF375" s="554" t="str">
        <f t="shared" si="57"/>
        <v>5yearsAsian25-29ageSIDS</v>
      </c>
      <c r="CG375" s="604" t="s">
        <v>475</v>
      </c>
      <c r="CH375" s="604" t="s">
        <v>355</v>
      </c>
      <c r="CI375" s="604" t="s">
        <v>131</v>
      </c>
      <c r="CJ375" s="604" t="s">
        <v>453</v>
      </c>
      <c r="CK375" s="604">
        <v>2</v>
      </c>
      <c r="CL375" s="604" t="s">
        <v>32</v>
      </c>
    </row>
    <row r="376" spans="9:90">
      <c r="I376" s="578" t="str">
        <f t="shared" si="50"/>
        <v>2005depQuin 5Fetal</v>
      </c>
      <c r="J376" s="604">
        <v>2005</v>
      </c>
      <c r="K376" s="604" t="s">
        <v>454</v>
      </c>
      <c r="L376" s="604" t="s">
        <v>425</v>
      </c>
      <c r="M376" s="604">
        <v>96</v>
      </c>
      <c r="N376" s="604">
        <v>14909</v>
      </c>
      <c r="O376" s="604">
        <v>6.4</v>
      </c>
      <c r="P376" s="604" t="s">
        <v>47</v>
      </c>
      <c r="Q376" s="499"/>
      <c r="R376" s="502" t="str">
        <f t="shared" si="51"/>
        <v>2000birthsdhbWest Coast</v>
      </c>
      <c r="S376" s="604">
        <v>2000</v>
      </c>
      <c r="T376" s="604" t="s">
        <v>445</v>
      </c>
      <c r="U376" s="604" t="s">
        <v>448</v>
      </c>
      <c r="V376" s="604" t="s">
        <v>100</v>
      </c>
      <c r="W376" s="604">
        <v>361</v>
      </c>
      <c r="Y376" s="535" t="str">
        <f t="shared" si="52"/>
        <v>2016bwtdep4500+Quin 5fetal</v>
      </c>
      <c r="Z376" s="604">
        <v>2016</v>
      </c>
      <c r="AA376" s="604" t="s">
        <v>447</v>
      </c>
      <c r="AB376" s="604" t="s">
        <v>454</v>
      </c>
      <c r="AC376" s="604" t="s">
        <v>432</v>
      </c>
      <c r="AD376" s="604" t="s">
        <v>425</v>
      </c>
      <c r="AE376" s="604">
        <v>4</v>
      </c>
      <c r="AF376" s="604">
        <v>454</v>
      </c>
      <c r="AG376" s="604">
        <v>8.6999999999999993</v>
      </c>
      <c r="AH376" s="604" t="s">
        <v>420</v>
      </c>
      <c r="AJ376" s="535" t="str">
        <f t="shared" si="53"/>
        <v>2016bwtdep4500+Quin 5</v>
      </c>
      <c r="AK376" s="604">
        <v>2016</v>
      </c>
      <c r="AL376" s="604" t="s">
        <v>447</v>
      </c>
      <c r="AM376" s="604" t="s">
        <v>454</v>
      </c>
      <c r="AN376" s="604" t="s">
        <v>432</v>
      </c>
      <c r="AO376" s="604" t="s">
        <v>425</v>
      </c>
      <c r="AP376" s="604">
        <v>454</v>
      </c>
      <c r="AR376" s="538" t="str">
        <f t="shared" si="54"/>
        <v>&lt;500bwtfetalNorthland</v>
      </c>
      <c r="AS376" s="604">
        <v>2016</v>
      </c>
      <c r="AT376" s="604" t="s">
        <v>427</v>
      </c>
      <c r="AU376" s="604" t="s">
        <v>447</v>
      </c>
      <c r="AV376" s="604" t="s">
        <v>85</v>
      </c>
      <c r="AW376" s="604">
        <v>8</v>
      </c>
      <c r="AX376" s="604">
        <v>8</v>
      </c>
      <c r="AY376" s="606">
        <v>1000</v>
      </c>
      <c r="AZ376" s="604" t="s">
        <v>420</v>
      </c>
      <c r="BB376" s="536" t="str">
        <f t="shared" si="55"/>
        <v>Quin 4depbirthsSouthern</v>
      </c>
      <c r="BC376" s="604">
        <v>2016</v>
      </c>
      <c r="BD376" s="604" t="s">
        <v>424</v>
      </c>
      <c r="BE376" s="604" t="s">
        <v>454</v>
      </c>
      <c r="BF376" s="604" t="s">
        <v>103</v>
      </c>
      <c r="BG376" s="604">
        <v>616</v>
      </c>
      <c r="BH376" s="604" t="s">
        <v>445</v>
      </c>
      <c r="BY376" s="553" t="str">
        <f t="shared" si="56"/>
        <v>2011Quin 2depSIDS</v>
      </c>
      <c r="BZ376" s="604">
        <v>2011</v>
      </c>
      <c r="CA376" s="604" t="s">
        <v>422</v>
      </c>
      <c r="CB376" s="604" t="s">
        <v>454</v>
      </c>
      <c r="CC376" s="604">
        <v>2</v>
      </c>
      <c r="CD376" s="604" t="s">
        <v>32</v>
      </c>
      <c r="CF376" s="554" t="str">
        <f t="shared" si="57"/>
        <v>5yearsEuropean or Other25-29ageSIDS</v>
      </c>
      <c r="CG376" s="604" t="s">
        <v>475</v>
      </c>
      <c r="CH376" s="604" t="s">
        <v>356</v>
      </c>
      <c r="CI376" s="604" t="s">
        <v>131</v>
      </c>
      <c r="CJ376" s="604" t="s">
        <v>453</v>
      </c>
      <c r="CK376" s="604">
        <v>7</v>
      </c>
      <c r="CL376" s="604" t="s">
        <v>32</v>
      </c>
    </row>
    <row r="377" spans="9:90">
      <c r="I377" s="578" t="str">
        <f t="shared" si="50"/>
        <v>2005depQuin 9Fetal</v>
      </c>
      <c r="J377" s="604">
        <v>2005</v>
      </c>
      <c r="K377" s="604" t="s">
        <v>454</v>
      </c>
      <c r="L377" s="604" t="s">
        <v>426</v>
      </c>
      <c r="M377" s="604">
        <v>21</v>
      </c>
      <c r="N377" s="604">
        <v>3709</v>
      </c>
      <c r="O377" s="604" t="s">
        <v>119</v>
      </c>
      <c r="P377" s="604" t="s">
        <v>47</v>
      </c>
      <c r="Q377" s="499"/>
      <c r="R377" s="502" t="str">
        <f t="shared" si="51"/>
        <v>2000birthsdhbCanterbury</v>
      </c>
      <c r="S377" s="604">
        <v>2000</v>
      </c>
      <c r="T377" s="604" t="s">
        <v>445</v>
      </c>
      <c r="U377" s="604" t="s">
        <v>448</v>
      </c>
      <c r="V377" s="604" t="s">
        <v>101</v>
      </c>
      <c r="W377" s="604">
        <v>5542</v>
      </c>
      <c r="Y377" s="535" t="str">
        <f t="shared" si="52"/>
        <v>2016bwtdepUnknownQuin 5fetal</v>
      </c>
      <c r="Z377" s="604">
        <v>2016</v>
      </c>
      <c r="AA377" s="604" t="s">
        <v>447</v>
      </c>
      <c r="AB377" s="604" t="s">
        <v>454</v>
      </c>
      <c r="AC377" s="604" t="s">
        <v>63</v>
      </c>
      <c r="AD377" s="604" t="s">
        <v>425</v>
      </c>
      <c r="AE377" s="604">
        <v>6</v>
      </c>
      <c r="AF377" s="604">
        <v>7</v>
      </c>
      <c r="AG377" s="604" t="s">
        <v>119</v>
      </c>
      <c r="AH377" s="604" t="s">
        <v>420</v>
      </c>
      <c r="AJ377" s="535" t="str">
        <f t="shared" si="53"/>
        <v>2016bwtdepUnknownQuin 5</v>
      </c>
      <c r="AK377" s="604">
        <v>2016</v>
      </c>
      <c r="AL377" s="604" t="s">
        <v>447</v>
      </c>
      <c r="AM377" s="604" t="s">
        <v>454</v>
      </c>
      <c r="AN377" s="604" t="s">
        <v>63</v>
      </c>
      <c r="AO377" s="604" t="s">
        <v>425</v>
      </c>
      <c r="AP377" s="604">
        <v>7</v>
      </c>
      <c r="AR377" s="538" t="str">
        <f t="shared" si="54"/>
        <v>500-999bwtfetalNorthland</v>
      </c>
      <c r="AS377" s="604">
        <v>2016</v>
      </c>
      <c r="AT377" s="604" t="s">
        <v>428</v>
      </c>
      <c r="AU377" s="604" t="s">
        <v>447</v>
      </c>
      <c r="AV377" s="604" t="s">
        <v>85</v>
      </c>
      <c r="AW377" s="604">
        <v>5</v>
      </c>
      <c r="AX377" s="604">
        <v>11</v>
      </c>
      <c r="AY377" s="606">
        <v>454.5</v>
      </c>
      <c r="AZ377" s="604" t="s">
        <v>420</v>
      </c>
      <c r="BB377" s="536" t="str">
        <f t="shared" si="55"/>
        <v>Quin 5depbirthsSouthern</v>
      </c>
      <c r="BC377" s="604">
        <v>2016</v>
      </c>
      <c r="BD377" s="604" t="s">
        <v>425</v>
      </c>
      <c r="BE377" s="604" t="s">
        <v>454</v>
      </c>
      <c r="BF377" s="604" t="s">
        <v>103</v>
      </c>
      <c r="BG377" s="604">
        <v>366</v>
      </c>
      <c r="BH377" s="604" t="s">
        <v>445</v>
      </c>
      <c r="BY377" s="553" t="str">
        <f t="shared" si="56"/>
        <v>2011Quin 3depSIDS</v>
      </c>
      <c r="BZ377" s="604">
        <v>2011</v>
      </c>
      <c r="CA377" s="604" t="s">
        <v>423</v>
      </c>
      <c r="CB377" s="604" t="s">
        <v>454</v>
      </c>
      <c r="CC377" s="604">
        <v>5</v>
      </c>
      <c r="CD377" s="604" t="s">
        <v>32</v>
      </c>
      <c r="CF377" s="554" t="str">
        <f t="shared" si="57"/>
        <v>5yearsMaori25-29ageSIDS</v>
      </c>
      <c r="CG377" s="604" t="s">
        <v>475</v>
      </c>
      <c r="CH377" s="604" t="s">
        <v>129</v>
      </c>
      <c r="CI377" s="604" t="s">
        <v>131</v>
      </c>
      <c r="CJ377" s="604" t="s">
        <v>453</v>
      </c>
      <c r="CK377" s="604">
        <v>12</v>
      </c>
      <c r="CL377" s="604" t="s">
        <v>32</v>
      </c>
    </row>
    <row r="378" spans="9:90">
      <c r="I378" s="578" t="str">
        <f t="shared" si="50"/>
        <v>2006depQuin 1Fetal</v>
      </c>
      <c r="J378" s="604">
        <v>2006</v>
      </c>
      <c r="K378" s="604" t="s">
        <v>454</v>
      </c>
      <c r="L378" s="604" t="s">
        <v>421</v>
      </c>
      <c r="M378" s="604">
        <v>40</v>
      </c>
      <c r="N378" s="604">
        <v>8585</v>
      </c>
      <c r="O378" s="604">
        <v>4.7</v>
      </c>
      <c r="P378" s="604" t="s">
        <v>47</v>
      </c>
      <c r="Q378" s="499"/>
      <c r="R378" s="502" t="str">
        <f t="shared" si="51"/>
        <v>2000birthsdhbSouth Canterbury</v>
      </c>
      <c r="S378" s="604">
        <v>2000</v>
      </c>
      <c r="T378" s="604" t="s">
        <v>445</v>
      </c>
      <c r="U378" s="604" t="s">
        <v>448</v>
      </c>
      <c r="V378" s="604" t="s">
        <v>102</v>
      </c>
      <c r="W378" s="604">
        <v>625</v>
      </c>
      <c r="Y378" s="535" t="str">
        <f t="shared" si="52"/>
        <v>2016bwtdep500-999Quin 9fetal</v>
      </c>
      <c r="Z378" s="604">
        <v>2016</v>
      </c>
      <c r="AA378" s="604" t="s">
        <v>447</v>
      </c>
      <c r="AB378" s="604" t="s">
        <v>454</v>
      </c>
      <c r="AC378" s="604" t="s">
        <v>428</v>
      </c>
      <c r="AD378" s="604" t="s">
        <v>426</v>
      </c>
      <c r="AE378" s="604">
        <v>7</v>
      </c>
      <c r="AF378" s="604">
        <v>1</v>
      </c>
      <c r="AG378" s="604" t="s">
        <v>119</v>
      </c>
      <c r="AH378" s="604" t="s">
        <v>420</v>
      </c>
      <c r="AJ378" s="535" t="str">
        <f t="shared" si="53"/>
        <v>2016bwtdep500-999Quin 9</v>
      </c>
      <c r="AK378" s="604">
        <v>2016</v>
      </c>
      <c r="AL378" s="604" t="s">
        <v>447</v>
      </c>
      <c r="AM378" s="604" t="s">
        <v>454</v>
      </c>
      <c r="AN378" s="604" t="s">
        <v>428</v>
      </c>
      <c r="AO378" s="604" t="s">
        <v>426</v>
      </c>
      <c r="AP378" s="604">
        <v>1</v>
      </c>
      <c r="AR378" s="538" t="str">
        <f t="shared" si="54"/>
        <v>1000-1499bwtfetalNorthland</v>
      </c>
      <c r="AS378" s="604">
        <v>2016</v>
      </c>
      <c r="AT378" s="604" t="s">
        <v>429</v>
      </c>
      <c r="AU378" s="604" t="s">
        <v>447</v>
      </c>
      <c r="AV378" s="604" t="s">
        <v>85</v>
      </c>
      <c r="AW378" s="604">
        <v>2</v>
      </c>
      <c r="AX378" s="604">
        <v>18</v>
      </c>
      <c r="AY378" s="606">
        <v>111.1</v>
      </c>
      <c r="AZ378" s="604" t="s">
        <v>420</v>
      </c>
      <c r="BB378" s="536" t="str">
        <f t="shared" si="55"/>
        <v>Quin 9depbirthsUnknown</v>
      </c>
      <c r="BC378" s="604">
        <v>2016</v>
      </c>
      <c r="BD378" s="604" t="s">
        <v>426</v>
      </c>
      <c r="BE378" s="604" t="s">
        <v>454</v>
      </c>
      <c r="BF378" s="604" t="s">
        <v>63</v>
      </c>
      <c r="BG378" s="604">
        <v>130</v>
      </c>
      <c r="BH378" s="604" t="s">
        <v>445</v>
      </c>
      <c r="BY378" s="553" t="str">
        <f t="shared" si="56"/>
        <v>2011Quin 4depSIDS</v>
      </c>
      <c r="BZ378" s="604">
        <v>2011</v>
      </c>
      <c r="CA378" s="604" t="s">
        <v>424</v>
      </c>
      <c r="CB378" s="604" t="s">
        <v>454</v>
      </c>
      <c r="CC378" s="604">
        <v>8</v>
      </c>
      <c r="CD378" s="604" t="s">
        <v>32</v>
      </c>
      <c r="CF378" s="554" t="str">
        <f t="shared" si="57"/>
        <v>5yearsPacific peoples25-29ageSIDS</v>
      </c>
      <c r="CG378" s="604" t="s">
        <v>475</v>
      </c>
      <c r="CH378" s="604" t="s">
        <v>320</v>
      </c>
      <c r="CI378" s="604" t="s">
        <v>131</v>
      </c>
      <c r="CJ378" s="604" t="s">
        <v>453</v>
      </c>
      <c r="CK378" s="604">
        <v>0</v>
      </c>
      <c r="CL378" s="604" t="s">
        <v>32</v>
      </c>
    </row>
    <row r="379" spans="9:90">
      <c r="I379" s="578" t="str">
        <f t="shared" si="50"/>
        <v>2006depQuin 2Fetal</v>
      </c>
      <c r="J379" s="604">
        <v>2006</v>
      </c>
      <c r="K379" s="604" t="s">
        <v>454</v>
      </c>
      <c r="L379" s="604" t="s">
        <v>422</v>
      </c>
      <c r="M379" s="604">
        <v>59</v>
      </c>
      <c r="N379" s="604">
        <v>9029</v>
      </c>
      <c r="O379" s="604">
        <v>6.5</v>
      </c>
      <c r="P379" s="604" t="s">
        <v>47</v>
      </c>
      <c r="Q379" s="499"/>
      <c r="R379" s="502" t="str">
        <f t="shared" si="51"/>
        <v>2000birthsdhbSouthern</v>
      </c>
      <c r="S379" s="604">
        <v>2000</v>
      </c>
      <c r="T379" s="604" t="s">
        <v>445</v>
      </c>
      <c r="U379" s="604" t="s">
        <v>448</v>
      </c>
      <c r="V379" s="604" t="s">
        <v>103</v>
      </c>
      <c r="W379" s="604">
        <v>3435</v>
      </c>
      <c r="Y379" s="535" t="str">
        <f t="shared" si="52"/>
        <v>2016bwtdep1500-2499Quin 9fetal</v>
      </c>
      <c r="Z379" s="604">
        <v>2016</v>
      </c>
      <c r="AA379" s="604" t="s">
        <v>447</v>
      </c>
      <c r="AB379" s="604" t="s">
        <v>454</v>
      </c>
      <c r="AC379" s="604" t="s">
        <v>430</v>
      </c>
      <c r="AD379" s="604" t="s">
        <v>426</v>
      </c>
      <c r="AE379" s="604">
        <v>2</v>
      </c>
      <c r="AF379" s="604">
        <v>4</v>
      </c>
      <c r="AG379" s="604" t="s">
        <v>119</v>
      </c>
      <c r="AH379" s="604" t="s">
        <v>420</v>
      </c>
      <c r="AJ379" s="535" t="str">
        <f t="shared" si="53"/>
        <v>2016bwtdep1500-2499Quin 9</v>
      </c>
      <c r="AK379" s="604">
        <v>2016</v>
      </c>
      <c r="AL379" s="604" t="s">
        <v>447</v>
      </c>
      <c r="AM379" s="604" t="s">
        <v>454</v>
      </c>
      <c r="AN379" s="604" t="s">
        <v>430</v>
      </c>
      <c r="AO379" s="604" t="s">
        <v>426</v>
      </c>
      <c r="AP379" s="604">
        <v>4</v>
      </c>
      <c r="AR379" s="538" t="str">
        <f t="shared" si="54"/>
        <v>1500-2499bwtfetalNorthland</v>
      </c>
      <c r="AS379" s="604">
        <v>2016</v>
      </c>
      <c r="AT379" s="604" t="s">
        <v>430</v>
      </c>
      <c r="AU379" s="604" t="s">
        <v>447</v>
      </c>
      <c r="AV379" s="604" t="s">
        <v>85</v>
      </c>
      <c r="AW379" s="604">
        <v>2</v>
      </c>
      <c r="AX379" s="604">
        <v>107</v>
      </c>
      <c r="AY379" s="606">
        <v>18.7</v>
      </c>
      <c r="AZ379" s="604" t="s">
        <v>420</v>
      </c>
      <c r="BB379" s="536" t="str">
        <f t="shared" si="55"/>
        <v>&lt;28gestbirthsNorthland</v>
      </c>
      <c r="BC379" s="604">
        <v>2016</v>
      </c>
      <c r="BD379" s="604" t="s">
        <v>375</v>
      </c>
      <c r="BE379" s="604" t="s">
        <v>450</v>
      </c>
      <c r="BF379" s="604" t="s">
        <v>85</v>
      </c>
      <c r="BG379" s="604">
        <v>12</v>
      </c>
      <c r="BH379" s="604" t="s">
        <v>445</v>
      </c>
      <c r="BY379" s="553" t="str">
        <f t="shared" si="56"/>
        <v>2011Quin 5depSIDS</v>
      </c>
      <c r="BZ379" s="604">
        <v>2011</v>
      </c>
      <c r="CA379" s="604" t="s">
        <v>425</v>
      </c>
      <c r="CB379" s="604" t="s">
        <v>454</v>
      </c>
      <c r="CC379" s="604">
        <v>11</v>
      </c>
      <c r="CD379" s="604" t="s">
        <v>32</v>
      </c>
      <c r="CF379" s="554" t="str">
        <f t="shared" si="57"/>
        <v>5yearsAsian30-34ageSIDS</v>
      </c>
      <c r="CG379" s="604" t="s">
        <v>475</v>
      </c>
      <c r="CH379" s="604" t="s">
        <v>355</v>
      </c>
      <c r="CI379" s="604" t="s">
        <v>132</v>
      </c>
      <c r="CJ379" s="604" t="s">
        <v>453</v>
      </c>
      <c r="CK379" s="604">
        <v>2</v>
      </c>
      <c r="CL379" s="604" t="s">
        <v>32</v>
      </c>
    </row>
    <row r="380" spans="9:90">
      <c r="I380" s="578" t="str">
        <f t="shared" si="50"/>
        <v>2006depQuin 3Fetal</v>
      </c>
      <c r="J380" s="604">
        <v>2006</v>
      </c>
      <c r="K380" s="604" t="s">
        <v>454</v>
      </c>
      <c r="L380" s="604" t="s">
        <v>423</v>
      </c>
      <c r="M380" s="604">
        <v>90</v>
      </c>
      <c r="N380" s="604">
        <v>10980</v>
      </c>
      <c r="O380" s="604">
        <v>8.1999999999999993</v>
      </c>
      <c r="P380" s="604" t="s">
        <v>47</v>
      </c>
      <c r="Q380" s="499"/>
      <c r="R380" s="502" t="str">
        <f t="shared" si="51"/>
        <v>2000birthsdhbUnknown</v>
      </c>
      <c r="S380" s="604">
        <v>2000</v>
      </c>
      <c r="T380" s="604" t="s">
        <v>445</v>
      </c>
      <c r="U380" s="604" t="s">
        <v>448</v>
      </c>
      <c r="V380" s="604" t="s">
        <v>63</v>
      </c>
      <c r="W380" s="604">
        <v>483</v>
      </c>
      <c r="Y380" s="535" t="str">
        <f t="shared" si="52"/>
        <v>2016bwtdep2500-4499Quin 9fetal</v>
      </c>
      <c r="Z380" s="604">
        <v>2016</v>
      </c>
      <c r="AA380" s="604" t="s">
        <v>447</v>
      </c>
      <c r="AB380" s="604" t="s">
        <v>454</v>
      </c>
      <c r="AC380" s="604" t="s">
        <v>431</v>
      </c>
      <c r="AD380" s="604" t="s">
        <v>426</v>
      </c>
      <c r="AE380" s="604">
        <v>4</v>
      </c>
      <c r="AF380" s="604">
        <v>123</v>
      </c>
      <c r="AG380" s="604" t="s">
        <v>119</v>
      </c>
      <c r="AH380" s="604" t="s">
        <v>420</v>
      </c>
      <c r="AJ380" s="535" t="str">
        <f t="shared" si="53"/>
        <v>2016bwtdep2500-4499Quin 9</v>
      </c>
      <c r="AK380" s="604">
        <v>2016</v>
      </c>
      <c r="AL380" s="604" t="s">
        <v>447</v>
      </c>
      <c r="AM380" s="604" t="s">
        <v>454</v>
      </c>
      <c r="AN380" s="604" t="s">
        <v>431</v>
      </c>
      <c r="AO380" s="604" t="s">
        <v>426</v>
      </c>
      <c r="AP380" s="604">
        <v>123</v>
      </c>
      <c r="AR380" s="538" t="str">
        <f t="shared" si="54"/>
        <v>2500-4499bwtfetalNorthland</v>
      </c>
      <c r="AS380" s="604">
        <v>2016</v>
      </c>
      <c r="AT380" s="604" t="s">
        <v>431</v>
      </c>
      <c r="AU380" s="604" t="s">
        <v>447</v>
      </c>
      <c r="AV380" s="604" t="s">
        <v>85</v>
      </c>
      <c r="AW380" s="604">
        <v>1</v>
      </c>
      <c r="AX380" s="604">
        <v>2133</v>
      </c>
      <c r="AY380" s="606">
        <v>0.5</v>
      </c>
      <c r="AZ380" s="604" t="s">
        <v>420</v>
      </c>
      <c r="BB380" s="536" t="str">
        <f t="shared" si="55"/>
        <v>28-31gestbirthsNorthland</v>
      </c>
      <c r="BC380" s="604">
        <v>2016</v>
      </c>
      <c r="BD380" s="604" t="s">
        <v>395</v>
      </c>
      <c r="BE380" s="604" t="s">
        <v>450</v>
      </c>
      <c r="BF380" s="604" t="s">
        <v>85</v>
      </c>
      <c r="BG380" s="604">
        <v>10</v>
      </c>
      <c r="BH380" s="604" t="s">
        <v>445</v>
      </c>
      <c r="BY380" s="553" t="str">
        <f t="shared" si="56"/>
        <v>2011Quin 9depSIDS</v>
      </c>
      <c r="BZ380" s="604">
        <v>2011</v>
      </c>
      <c r="CA380" s="604" t="s">
        <v>426</v>
      </c>
      <c r="CB380" s="604" t="s">
        <v>454</v>
      </c>
      <c r="CC380" s="604">
        <v>0</v>
      </c>
      <c r="CD380" s="604" t="s">
        <v>32</v>
      </c>
      <c r="CF380" s="554" t="str">
        <f t="shared" si="57"/>
        <v>5yearsEuropean or Other30-34ageSIDS</v>
      </c>
      <c r="CG380" s="604" t="s">
        <v>475</v>
      </c>
      <c r="CH380" s="604" t="s">
        <v>356</v>
      </c>
      <c r="CI380" s="604" t="s">
        <v>132</v>
      </c>
      <c r="CJ380" s="604" t="s">
        <v>453</v>
      </c>
      <c r="CK380" s="604">
        <v>2</v>
      </c>
      <c r="CL380" s="604" t="s">
        <v>32</v>
      </c>
    </row>
    <row r="381" spans="9:90">
      <c r="I381" s="578" t="str">
        <f t="shared" si="50"/>
        <v>2006depQuin 4Fetal</v>
      </c>
      <c r="J381" s="604">
        <v>2006</v>
      </c>
      <c r="K381" s="604" t="s">
        <v>454</v>
      </c>
      <c r="L381" s="604" t="s">
        <v>424</v>
      </c>
      <c r="M381" s="604">
        <v>88</v>
      </c>
      <c r="N381" s="604">
        <v>12919</v>
      </c>
      <c r="O381" s="604">
        <v>6.8</v>
      </c>
      <c r="P381" s="604" t="s">
        <v>47</v>
      </c>
      <c r="Q381" s="499"/>
      <c r="R381" s="502" t="str">
        <f t="shared" si="51"/>
        <v>2001birthsdhbNorthland</v>
      </c>
      <c r="S381" s="604">
        <v>2001</v>
      </c>
      <c r="T381" s="604" t="s">
        <v>445</v>
      </c>
      <c r="U381" s="604" t="s">
        <v>448</v>
      </c>
      <c r="V381" s="604" t="s">
        <v>85</v>
      </c>
      <c r="W381" s="604">
        <v>1994</v>
      </c>
      <c r="Y381" s="535" t="str">
        <f t="shared" si="52"/>
        <v>2016bwtdep4500+Quin 9fetal</v>
      </c>
      <c r="Z381" s="604">
        <v>2016</v>
      </c>
      <c r="AA381" s="604" t="s">
        <v>447</v>
      </c>
      <c r="AB381" s="604" t="s">
        <v>454</v>
      </c>
      <c r="AC381" s="604" t="s">
        <v>432</v>
      </c>
      <c r="AD381" s="604" t="s">
        <v>426</v>
      </c>
      <c r="AE381" s="604">
        <v>0</v>
      </c>
      <c r="AF381" s="604">
        <v>2</v>
      </c>
      <c r="AG381" s="604" t="s">
        <v>119</v>
      </c>
      <c r="AH381" s="604" t="s">
        <v>420</v>
      </c>
      <c r="AJ381" s="535" t="str">
        <f t="shared" si="53"/>
        <v>2016bwtdep4500+Quin 9</v>
      </c>
      <c r="AK381" s="604">
        <v>2016</v>
      </c>
      <c r="AL381" s="604" t="s">
        <v>447</v>
      </c>
      <c r="AM381" s="604" t="s">
        <v>454</v>
      </c>
      <c r="AN381" s="604" t="s">
        <v>432</v>
      </c>
      <c r="AO381" s="604" t="s">
        <v>426</v>
      </c>
      <c r="AP381" s="604">
        <v>2</v>
      </c>
      <c r="AR381" s="538" t="str">
        <f t="shared" si="54"/>
        <v>UnknownbwtfetalNorthland</v>
      </c>
      <c r="AS381" s="604">
        <v>2016</v>
      </c>
      <c r="AT381" s="604" t="s">
        <v>63</v>
      </c>
      <c r="AU381" s="604" t="s">
        <v>447</v>
      </c>
      <c r="AV381" s="604" t="s">
        <v>85</v>
      </c>
      <c r="AW381" s="604">
        <v>2</v>
      </c>
      <c r="AX381" s="604">
        <v>3</v>
      </c>
      <c r="AY381" s="606" t="s">
        <v>119</v>
      </c>
      <c r="AZ381" s="604" t="s">
        <v>420</v>
      </c>
      <c r="BB381" s="536" t="str">
        <f t="shared" si="55"/>
        <v>32-36gestbirthsNorthland</v>
      </c>
      <c r="BC381" s="604">
        <v>2016</v>
      </c>
      <c r="BD381" s="604" t="s">
        <v>136</v>
      </c>
      <c r="BE381" s="604" t="s">
        <v>450</v>
      </c>
      <c r="BF381" s="604" t="s">
        <v>85</v>
      </c>
      <c r="BG381" s="604">
        <v>126</v>
      </c>
      <c r="BH381" s="604" t="s">
        <v>445</v>
      </c>
      <c r="BY381" s="553" t="str">
        <f t="shared" si="56"/>
        <v>2012Quin 1depSIDS</v>
      </c>
      <c r="BZ381" s="604">
        <v>2012</v>
      </c>
      <c r="CA381" s="604" t="s">
        <v>421</v>
      </c>
      <c r="CB381" s="604" t="s">
        <v>454</v>
      </c>
      <c r="CC381" s="604">
        <v>2</v>
      </c>
      <c r="CD381" s="604" t="s">
        <v>32</v>
      </c>
      <c r="CF381" s="554" t="str">
        <f t="shared" si="57"/>
        <v>5yearsMaori30-34ageSIDS</v>
      </c>
      <c r="CG381" s="604" t="s">
        <v>475</v>
      </c>
      <c r="CH381" s="604" t="s">
        <v>129</v>
      </c>
      <c r="CI381" s="604" t="s">
        <v>132</v>
      </c>
      <c r="CJ381" s="604" t="s">
        <v>453</v>
      </c>
      <c r="CK381" s="604">
        <v>11</v>
      </c>
      <c r="CL381" s="604" t="s">
        <v>32</v>
      </c>
    </row>
    <row r="382" spans="9:90">
      <c r="I382" s="578" t="str">
        <f t="shared" si="50"/>
        <v>2006depQuin 5Fetal</v>
      </c>
      <c r="J382" s="604">
        <v>2006</v>
      </c>
      <c r="K382" s="604" t="s">
        <v>454</v>
      </c>
      <c r="L382" s="604" t="s">
        <v>425</v>
      </c>
      <c r="M382" s="604">
        <v>107</v>
      </c>
      <c r="N382" s="604">
        <v>15140</v>
      </c>
      <c r="O382" s="604">
        <v>7.1</v>
      </c>
      <c r="P382" s="604" t="s">
        <v>47</v>
      </c>
      <c r="Q382" s="499"/>
      <c r="R382" s="502" t="str">
        <f t="shared" si="51"/>
        <v>2001birthsdhbWaitemata</v>
      </c>
      <c r="S382" s="604">
        <v>2001</v>
      </c>
      <c r="T382" s="604" t="s">
        <v>445</v>
      </c>
      <c r="U382" s="604" t="s">
        <v>448</v>
      </c>
      <c r="V382" s="604" t="s">
        <v>86</v>
      </c>
      <c r="W382" s="604">
        <v>6440</v>
      </c>
      <c r="Y382" s="535" t="str">
        <f t="shared" si="52"/>
        <v>2016bwtdepUnknownQuin 9fetal</v>
      </c>
      <c r="Z382" s="604">
        <v>2016</v>
      </c>
      <c r="AA382" s="604" t="s">
        <v>447</v>
      </c>
      <c r="AB382" s="604" t="s">
        <v>454</v>
      </c>
      <c r="AC382" s="604" t="s">
        <v>63</v>
      </c>
      <c r="AD382" s="604" t="s">
        <v>426</v>
      </c>
      <c r="AE382" s="604">
        <v>0</v>
      </c>
      <c r="AF382" s="604">
        <v>1</v>
      </c>
      <c r="AG382" s="604" t="s">
        <v>119</v>
      </c>
      <c r="AH382" s="604" t="s">
        <v>420</v>
      </c>
      <c r="AJ382" s="535" t="str">
        <f t="shared" si="53"/>
        <v>2016bwtdepUnknownQuin 9</v>
      </c>
      <c r="AK382" s="604">
        <v>2016</v>
      </c>
      <c r="AL382" s="604" t="s">
        <v>447</v>
      </c>
      <c r="AM382" s="604" t="s">
        <v>454</v>
      </c>
      <c r="AN382" s="604" t="s">
        <v>63</v>
      </c>
      <c r="AO382" s="604" t="s">
        <v>426</v>
      </c>
      <c r="AP382" s="604">
        <v>1</v>
      </c>
      <c r="AR382" s="538" t="str">
        <f t="shared" si="54"/>
        <v>&lt;500bwtfetalWaitemata</v>
      </c>
      <c r="AS382" s="604">
        <v>2016</v>
      </c>
      <c r="AT382" s="604" t="s">
        <v>427</v>
      </c>
      <c r="AU382" s="604" t="s">
        <v>447</v>
      </c>
      <c r="AV382" s="604" t="s">
        <v>86</v>
      </c>
      <c r="AW382" s="604">
        <v>16</v>
      </c>
      <c r="AX382" s="604">
        <v>25</v>
      </c>
      <c r="AY382" s="606">
        <v>640</v>
      </c>
      <c r="AZ382" s="604" t="s">
        <v>420</v>
      </c>
      <c r="BB382" s="536" t="str">
        <f t="shared" si="55"/>
        <v>37-41gestbirthsNorthland</v>
      </c>
      <c r="BC382" s="604">
        <v>2016</v>
      </c>
      <c r="BD382" s="604" t="s">
        <v>137</v>
      </c>
      <c r="BE382" s="604" t="s">
        <v>450</v>
      </c>
      <c r="BF382" s="604" t="s">
        <v>85</v>
      </c>
      <c r="BG382" s="604">
        <v>2133</v>
      </c>
      <c r="BH382" s="604" t="s">
        <v>445</v>
      </c>
      <c r="BY382" s="553" t="str">
        <f t="shared" si="56"/>
        <v>2012Quin 2depSIDS</v>
      </c>
      <c r="BZ382" s="604">
        <v>2012</v>
      </c>
      <c r="CA382" s="604" t="s">
        <v>422</v>
      </c>
      <c r="CB382" s="604" t="s">
        <v>454</v>
      </c>
      <c r="CC382" s="604">
        <v>3</v>
      </c>
      <c r="CD382" s="604" t="s">
        <v>32</v>
      </c>
      <c r="CF382" s="554" t="str">
        <f t="shared" si="57"/>
        <v>5yearsPacific peoples30-34ageSIDS</v>
      </c>
      <c r="CG382" s="604" t="s">
        <v>475</v>
      </c>
      <c r="CH382" s="604" t="s">
        <v>320</v>
      </c>
      <c r="CI382" s="604" t="s">
        <v>132</v>
      </c>
      <c r="CJ382" s="604" t="s">
        <v>453</v>
      </c>
      <c r="CK382" s="604">
        <v>2</v>
      </c>
      <c r="CL382" s="604" t="s">
        <v>32</v>
      </c>
    </row>
    <row r="383" spans="9:90">
      <c r="I383" s="578" t="str">
        <f t="shared" si="50"/>
        <v>2006depQuin 9Fetal</v>
      </c>
      <c r="J383" s="604">
        <v>2006</v>
      </c>
      <c r="K383" s="604" t="s">
        <v>454</v>
      </c>
      <c r="L383" s="604" t="s">
        <v>426</v>
      </c>
      <c r="M383" s="604">
        <v>25</v>
      </c>
      <c r="N383" s="604">
        <v>4030</v>
      </c>
      <c r="O383" s="604" t="s">
        <v>119</v>
      </c>
      <c r="P383" s="604" t="s">
        <v>47</v>
      </c>
      <c r="Q383" s="499"/>
      <c r="R383" s="502" t="str">
        <f t="shared" si="51"/>
        <v>2001birthsdhbAuckland</v>
      </c>
      <c r="S383" s="604">
        <v>2001</v>
      </c>
      <c r="T383" s="604" t="s">
        <v>445</v>
      </c>
      <c r="U383" s="604" t="s">
        <v>448</v>
      </c>
      <c r="V383" s="604" t="s">
        <v>87</v>
      </c>
      <c r="W383" s="604">
        <v>5979</v>
      </c>
      <c r="Y383" s="535" t="str">
        <f t="shared" si="52"/>
        <v>2016agedep&lt;20Quin 1fetal</v>
      </c>
      <c r="Z383" s="604">
        <v>2016</v>
      </c>
      <c r="AA383" s="604" t="s">
        <v>453</v>
      </c>
      <c r="AB383" s="604" t="s">
        <v>454</v>
      </c>
      <c r="AC383" s="604" t="s">
        <v>339</v>
      </c>
      <c r="AD383" s="604" t="s">
        <v>421</v>
      </c>
      <c r="AE383" s="604">
        <v>3</v>
      </c>
      <c r="AF383" s="604">
        <v>118</v>
      </c>
      <c r="AG383" s="604">
        <v>24.8</v>
      </c>
      <c r="AH383" s="604" t="s">
        <v>420</v>
      </c>
      <c r="AJ383" s="535" t="str">
        <f t="shared" si="53"/>
        <v>2016agedep&lt;20Quin 1</v>
      </c>
      <c r="AK383" s="604">
        <v>2016</v>
      </c>
      <c r="AL383" s="604" t="s">
        <v>453</v>
      </c>
      <c r="AM383" s="604" t="s">
        <v>454</v>
      </c>
      <c r="AN383" s="604" t="s">
        <v>339</v>
      </c>
      <c r="AO383" s="604" t="s">
        <v>421</v>
      </c>
      <c r="AP383" s="604">
        <v>118</v>
      </c>
      <c r="AR383" s="538" t="str">
        <f t="shared" si="54"/>
        <v>500-999bwtfetalWaitemata</v>
      </c>
      <c r="AS383" s="604">
        <v>2016</v>
      </c>
      <c r="AT383" s="604" t="s">
        <v>428</v>
      </c>
      <c r="AU383" s="604" t="s">
        <v>447</v>
      </c>
      <c r="AV383" s="604" t="s">
        <v>86</v>
      </c>
      <c r="AW383" s="604">
        <v>14</v>
      </c>
      <c r="AX383" s="604">
        <v>31</v>
      </c>
      <c r="AY383" s="606">
        <v>451.6</v>
      </c>
      <c r="AZ383" s="604" t="s">
        <v>420</v>
      </c>
      <c r="BB383" s="536" t="str">
        <f t="shared" si="55"/>
        <v>42+gestbirthsNorthland</v>
      </c>
      <c r="BC383" s="604">
        <v>2016</v>
      </c>
      <c r="BD383" s="604" t="s">
        <v>138</v>
      </c>
      <c r="BE383" s="604" t="s">
        <v>450</v>
      </c>
      <c r="BF383" s="604" t="s">
        <v>85</v>
      </c>
      <c r="BG383" s="604">
        <v>39</v>
      </c>
      <c r="BH383" s="604" t="s">
        <v>445</v>
      </c>
      <c r="BY383" s="553" t="str">
        <f t="shared" si="56"/>
        <v>2012Quin 3depSIDS</v>
      </c>
      <c r="BZ383" s="604">
        <v>2012</v>
      </c>
      <c r="CA383" s="604" t="s">
        <v>423</v>
      </c>
      <c r="CB383" s="604" t="s">
        <v>454</v>
      </c>
      <c r="CC383" s="604">
        <v>0</v>
      </c>
      <c r="CD383" s="604" t="s">
        <v>32</v>
      </c>
      <c r="CF383" s="554" t="str">
        <f t="shared" si="57"/>
        <v>5yearsAsian35-39ageSIDS</v>
      </c>
      <c r="CG383" s="604" t="s">
        <v>475</v>
      </c>
      <c r="CH383" s="604" t="s">
        <v>355</v>
      </c>
      <c r="CI383" s="604" t="s">
        <v>133</v>
      </c>
      <c r="CJ383" s="604" t="s">
        <v>453</v>
      </c>
      <c r="CK383" s="604">
        <v>0</v>
      </c>
      <c r="CL383" s="604" t="s">
        <v>32</v>
      </c>
    </row>
    <row r="384" spans="9:90">
      <c r="I384" s="578" t="str">
        <f t="shared" si="50"/>
        <v>2007depQuin 1Fetal</v>
      </c>
      <c r="J384" s="604">
        <v>2007</v>
      </c>
      <c r="K384" s="604" t="s">
        <v>454</v>
      </c>
      <c r="L384" s="604" t="s">
        <v>421</v>
      </c>
      <c r="M384" s="604">
        <v>59</v>
      </c>
      <c r="N384" s="604">
        <v>9250</v>
      </c>
      <c r="O384" s="604">
        <v>6.4</v>
      </c>
      <c r="P384" s="604" t="s">
        <v>47</v>
      </c>
      <c r="Q384" s="499"/>
      <c r="R384" s="502" t="str">
        <f t="shared" si="51"/>
        <v>2001birthsdhbCounties Manukau</v>
      </c>
      <c r="S384" s="604">
        <v>2001</v>
      </c>
      <c r="T384" s="604" t="s">
        <v>445</v>
      </c>
      <c r="U384" s="604" t="s">
        <v>448</v>
      </c>
      <c r="V384" s="604" t="s">
        <v>88</v>
      </c>
      <c r="W384" s="604">
        <v>7216</v>
      </c>
      <c r="Y384" s="535" t="str">
        <f t="shared" si="52"/>
        <v>2016agedep20-24Quin 1fetal</v>
      </c>
      <c r="Z384" s="604">
        <v>2016</v>
      </c>
      <c r="AA384" s="604" t="s">
        <v>453</v>
      </c>
      <c r="AB384" s="604" t="s">
        <v>454</v>
      </c>
      <c r="AC384" s="604" t="s">
        <v>130</v>
      </c>
      <c r="AD384" s="604" t="s">
        <v>421</v>
      </c>
      <c r="AE384" s="604">
        <v>2</v>
      </c>
      <c r="AF384" s="604">
        <v>662</v>
      </c>
      <c r="AG384" s="604">
        <v>3</v>
      </c>
      <c r="AH384" s="604" t="s">
        <v>420</v>
      </c>
      <c r="AJ384" s="535" t="str">
        <f t="shared" si="53"/>
        <v>2016agedep20-24Quin 1</v>
      </c>
      <c r="AK384" s="604">
        <v>2016</v>
      </c>
      <c r="AL384" s="604" t="s">
        <v>453</v>
      </c>
      <c r="AM384" s="604" t="s">
        <v>454</v>
      </c>
      <c r="AN384" s="604" t="s">
        <v>130</v>
      </c>
      <c r="AO384" s="604" t="s">
        <v>421</v>
      </c>
      <c r="AP384" s="604">
        <v>662</v>
      </c>
      <c r="AR384" s="538" t="str">
        <f t="shared" si="54"/>
        <v>1000-1499bwtfetalWaitemata</v>
      </c>
      <c r="AS384" s="604">
        <v>2016</v>
      </c>
      <c r="AT384" s="604" t="s">
        <v>429</v>
      </c>
      <c r="AU384" s="604" t="s">
        <v>447</v>
      </c>
      <c r="AV384" s="604" t="s">
        <v>86</v>
      </c>
      <c r="AW384" s="604">
        <v>1</v>
      </c>
      <c r="AX384" s="604">
        <v>41</v>
      </c>
      <c r="AY384" s="606">
        <v>24.4</v>
      </c>
      <c r="AZ384" s="604" t="s">
        <v>420</v>
      </c>
      <c r="BB384" s="536" t="str">
        <f t="shared" si="55"/>
        <v>&lt;28gestbirthsWaitemata</v>
      </c>
      <c r="BC384" s="604">
        <v>2016</v>
      </c>
      <c r="BD384" s="604" t="s">
        <v>375</v>
      </c>
      <c r="BE384" s="604" t="s">
        <v>450</v>
      </c>
      <c r="BF384" s="604" t="s">
        <v>86</v>
      </c>
      <c r="BG384" s="604">
        <v>29</v>
      </c>
      <c r="BH384" s="604" t="s">
        <v>445</v>
      </c>
      <c r="BY384" s="553" t="str">
        <f t="shared" si="56"/>
        <v>2012Quin 4depSIDS</v>
      </c>
      <c r="BZ384" s="604">
        <v>2012</v>
      </c>
      <c r="CA384" s="604" t="s">
        <v>424</v>
      </c>
      <c r="CB384" s="604" t="s">
        <v>454</v>
      </c>
      <c r="CC384" s="604">
        <v>6</v>
      </c>
      <c r="CD384" s="604" t="s">
        <v>32</v>
      </c>
      <c r="CF384" s="554" t="str">
        <f t="shared" si="57"/>
        <v>5yearsEuropean or Other35-39ageSIDS</v>
      </c>
      <c r="CG384" s="604" t="s">
        <v>475</v>
      </c>
      <c r="CH384" s="604" t="s">
        <v>356</v>
      </c>
      <c r="CI384" s="604" t="s">
        <v>133</v>
      </c>
      <c r="CJ384" s="604" t="s">
        <v>453</v>
      </c>
      <c r="CK384" s="604">
        <v>4</v>
      </c>
      <c r="CL384" s="604" t="s">
        <v>32</v>
      </c>
    </row>
    <row r="385" spans="9:90">
      <c r="I385" s="578" t="str">
        <f t="shared" si="50"/>
        <v>2007depQuin 2Fetal</v>
      </c>
      <c r="J385" s="604">
        <v>2007</v>
      </c>
      <c r="K385" s="604" t="s">
        <v>454</v>
      </c>
      <c r="L385" s="604" t="s">
        <v>422</v>
      </c>
      <c r="M385" s="604">
        <v>60</v>
      </c>
      <c r="N385" s="604">
        <v>9772</v>
      </c>
      <c r="O385" s="604">
        <v>6.1</v>
      </c>
      <c r="P385" s="604" t="s">
        <v>47</v>
      </c>
      <c r="Q385" s="499"/>
      <c r="R385" s="502" t="str">
        <f t="shared" si="51"/>
        <v>2001birthsdhbWaikato</v>
      </c>
      <c r="S385" s="604">
        <v>2001</v>
      </c>
      <c r="T385" s="604" t="s">
        <v>445</v>
      </c>
      <c r="U385" s="604" t="s">
        <v>448</v>
      </c>
      <c r="V385" s="604" t="s">
        <v>89</v>
      </c>
      <c r="W385" s="604">
        <v>4897</v>
      </c>
      <c r="Y385" s="535" t="str">
        <f t="shared" si="52"/>
        <v>2016agedep25-29Quin 1fetal</v>
      </c>
      <c r="Z385" s="604">
        <v>2016</v>
      </c>
      <c r="AA385" s="604" t="s">
        <v>453</v>
      </c>
      <c r="AB385" s="604" t="s">
        <v>454</v>
      </c>
      <c r="AC385" s="604" t="s">
        <v>131</v>
      </c>
      <c r="AD385" s="604" t="s">
        <v>421</v>
      </c>
      <c r="AE385" s="604">
        <v>13</v>
      </c>
      <c r="AF385" s="604">
        <v>2066</v>
      </c>
      <c r="AG385" s="604">
        <v>6.3</v>
      </c>
      <c r="AH385" s="604" t="s">
        <v>420</v>
      </c>
      <c r="AJ385" s="535" t="str">
        <f t="shared" si="53"/>
        <v>2016agedep25-29Quin 1</v>
      </c>
      <c r="AK385" s="604">
        <v>2016</v>
      </c>
      <c r="AL385" s="604" t="s">
        <v>453</v>
      </c>
      <c r="AM385" s="604" t="s">
        <v>454</v>
      </c>
      <c r="AN385" s="604" t="s">
        <v>131</v>
      </c>
      <c r="AO385" s="604" t="s">
        <v>421</v>
      </c>
      <c r="AP385" s="604">
        <v>2066</v>
      </c>
      <c r="AR385" s="538" t="str">
        <f t="shared" si="54"/>
        <v>1500-2499bwtfetalWaitemata</v>
      </c>
      <c r="AS385" s="604">
        <v>2016</v>
      </c>
      <c r="AT385" s="604" t="s">
        <v>430</v>
      </c>
      <c r="AU385" s="604" t="s">
        <v>447</v>
      </c>
      <c r="AV385" s="604" t="s">
        <v>86</v>
      </c>
      <c r="AW385" s="604">
        <v>5</v>
      </c>
      <c r="AX385" s="604">
        <v>382</v>
      </c>
      <c r="AY385" s="606">
        <v>13.1</v>
      </c>
      <c r="AZ385" s="604" t="s">
        <v>420</v>
      </c>
      <c r="BB385" s="536" t="str">
        <f t="shared" si="55"/>
        <v>28-31gestbirthsWaitemata</v>
      </c>
      <c r="BC385" s="604">
        <v>2016</v>
      </c>
      <c r="BD385" s="604" t="s">
        <v>395</v>
      </c>
      <c r="BE385" s="604" t="s">
        <v>450</v>
      </c>
      <c r="BF385" s="604" t="s">
        <v>86</v>
      </c>
      <c r="BG385" s="604">
        <v>50</v>
      </c>
      <c r="BH385" s="604" t="s">
        <v>445</v>
      </c>
      <c r="BY385" s="553" t="str">
        <f t="shared" si="56"/>
        <v>2012Quin 5depSIDS</v>
      </c>
      <c r="BZ385" s="604">
        <v>2012</v>
      </c>
      <c r="CA385" s="604" t="s">
        <v>425</v>
      </c>
      <c r="CB385" s="604" t="s">
        <v>454</v>
      </c>
      <c r="CC385" s="604">
        <v>7</v>
      </c>
      <c r="CD385" s="604" t="s">
        <v>32</v>
      </c>
      <c r="CF385" s="554" t="str">
        <f t="shared" si="57"/>
        <v>5yearsMaori35-39ageSIDS</v>
      </c>
      <c r="CG385" s="604" t="s">
        <v>475</v>
      </c>
      <c r="CH385" s="604" t="s">
        <v>129</v>
      </c>
      <c r="CI385" s="604" t="s">
        <v>133</v>
      </c>
      <c r="CJ385" s="604" t="s">
        <v>453</v>
      </c>
      <c r="CK385" s="604">
        <v>0</v>
      </c>
      <c r="CL385" s="604" t="s">
        <v>32</v>
      </c>
    </row>
    <row r="386" spans="9:90">
      <c r="I386" s="578" t="str">
        <f t="shared" si="50"/>
        <v>2007depQuin 3Fetal</v>
      </c>
      <c r="J386" s="604">
        <v>2007</v>
      </c>
      <c r="K386" s="604" t="s">
        <v>454</v>
      </c>
      <c r="L386" s="604" t="s">
        <v>423</v>
      </c>
      <c r="M386" s="604">
        <v>88</v>
      </c>
      <c r="N386" s="604">
        <v>11687</v>
      </c>
      <c r="O386" s="604">
        <v>7.5</v>
      </c>
      <c r="P386" s="604" t="s">
        <v>47</v>
      </c>
      <c r="Q386" s="499"/>
      <c r="R386" s="502" t="str">
        <f t="shared" si="51"/>
        <v>2001birthsdhbLakes</v>
      </c>
      <c r="S386" s="604">
        <v>2001</v>
      </c>
      <c r="T386" s="604" t="s">
        <v>445</v>
      </c>
      <c r="U386" s="604" t="s">
        <v>448</v>
      </c>
      <c r="V386" s="604" t="s">
        <v>90</v>
      </c>
      <c r="W386" s="604">
        <v>1523</v>
      </c>
      <c r="Y386" s="535" t="str">
        <f t="shared" si="52"/>
        <v>2016agedep30-34Quin 1fetal</v>
      </c>
      <c r="Z386" s="604">
        <v>2016</v>
      </c>
      <c r="AA386" s="604" t="s">
        <v>453</v>
      </c>
      <c r="AB386" s="604" t="s">
        <v>454</v>
      </c>
      <c r="AC386" s="604" t="s">
        <v>132</v>
      </c>
      <c r="AD386" s="604" t="s">
        <v>421</v>
      </c>
      <c r="AE386" s="604">
        <v>15</v>
      </c>
      <c r="AF386" s="604">
        <v>3536</v>
      </c>
      <c r="AG386" s="604">
        <v>4.2</v>
      </c>
      <c r="AH386" s="604" t="s">
        <v>420</v>
      </c>
      <c r="AJ386" s="535" t="str">
        <f t="shared" si="53"/>
        <v>2016agedep30-34Quin 1</v>
      </c>
      <c r="AK386" s="604">
        <v>2016</v>
      </c>
      <c r="AL386" s="604" t="s">
        <v>453</v>
      </c>
      <c r="AM386" s="604" t="s">
        <v>454</v>
      </c>
      <c r="AN386" s="604" t="s">
        <v>132</v>
      </c>
      <c r="AO386" s="604" t="s">
        <v>421</v>
      </c>
      <c r="AP386" s="604">
        <v>3536</v>
      </c>
      <c r="AR386" s="538" t="str">
        <f t="shared" si="54"/>
        <v>2500-4499bwtfetalWaitemata</v>
      </c>
      <c r="AS386" s="604">
        <v>2016</v>
      </c>
      <c r="AT386" s="604" t="s">
        <v>431</v>
      </c>
      <c r="AU386" s="604" t="s">
        <v>447</v>
      </c>
      <c r="AV386" s="604" t="s">
        <v>86</v>
      </c>
      <c r="AW386" s="604">
        <v>5</v>
      </c>
      <c r="AX386" s="604">
        <v>7450</v>
      </c>
      <c r="AY386" s="606">
        <v>0.7</v>
      </c>
      <c r="AZ386" s="604" t="s">
        <v>420</v>
      </c>
      <c r="BB386" s="536" t="str">
        <f t="shared" si="55"/>
        <v>32-36gestbirthsWaitemata</v>
      </c>
      <c r="BC386" s="604">
        <v>2016</v>
      </c>
      <c r="BD386" s="604" t="s">
        <v>136</v>
      </c>
      <c r="BE386" s="604" t="s">
        <v>450</v>
      </c>
      <c r="BF386" s="604" t="s">
        <v>86</v>
      </c>
      <c r="BG386" s="604">
        <v>479</v>
      </c>
      <c r="BH386" s="604" t="s">
        <v>445</v>
      </c>
      <c r="BY386" s="553" t="str">
        <f t="shared" si="56"/>
        <v>2012Quin 9depSIDS</v>
      </c>
      <c r="BZ386" s="604">
        <v>2012</v>
      </c>
      <c r="CA386" s="604" t="s">
        <v>426</v>
      </c>
      <c r="CB386" s="604" t="s">
        <v>454</v>
      </c>
      <c r="CC386" s="604">
        <v>0</v>
      </c>
      <c r="CD386" s="604" t="s">
        <v>32</v>
      </c>
      <c r="CF386" s="554" t="str">
        <f t="shared" si="57"/>
        <v>5yearsPacific peoples35-39ageSIDS</v>
      </c>
      <c r="CG386" s="604" t="s">
        <v>475</v>
      </c>
      <c r="CH386" s="604" t="s">
        <v>320</v>
      </c>
      <c r="CI386" s="604" t="s">
        <v>133</v>
      </c>
      <c r="CJ386" s="604" t="s">
        <v>453</v>
      </c>
      <c r="CK386" s="604">
        <v>2</v>
      </c>
      <c r="CL386" s="604" t="s">
        <v>32</v>
      </c>
    </row>
    <row r="387" spans="9:90">
      <c r="I387" s="578" t="str">
        <f t="shared" si="50"/>
        <v>2007depQuin 4Fetal</v>
      </c>
      <c r="J387" s="604">
        <v>2007</v>
      </c>
      <c r="K387" s="604" t="s">
        <v>454</v>
      </c>
      <c r="L387" s="604" t="s">
        <v>424</v>
      </c>
      <c r="M387" s="604">
        <v>103</v>
      </c>
      <c r="N387" s="604">
        <v>14182</v>
      </c>
      <c r="O387" s="604">
        <v>7.3</v>
      </c>
      <c r="P387" s="604" t="s">
        <v>47</v>
      </c>
      <c r="Q387" s="499"/>
      <c r="R387" s="502" t="str">
        <f t="shared" si="51"/>
        <v>2001birthsdhbBay of Plenty</v>
      </c>
      <c r="S387" s="604">
        <v>2001</v>
      </c>
      <c r="T387" s="604" t="s">
        <v>445</v>
      </c>
      <c r="U387" s="604" t="s">
        <v>448</v>
      </c>
      <c r="V387" s="604" t="s">
        <v>91</v>
      </c>
      <c r="W387" s="604">
        <v>2604</v>
      </c>
      <c r="Y387" s="535" t="str">
        <f t="shared" si="52"/>
        <v>2016agedep35-39Quin 1fetal</v>
      </c>
      <c r="Z387" s="604">
        <v>2016</v>
      </c>
      <c r="AA387" s="604" t="s">
        <v>453</v>
      </c>
      <c r="AB387" s="604" t="s">
        <v>454</v>
      </c>
      <c r="AC387" s="604" t="s">
        <v>133</v>
      </c>
      <c r="AD387" s="604" t="s">
        <v>421</v>
      </c>
      <c r="AE387" s="604">
        <v>7</v>
      </c>
      <c r="AF387" s="604">
        <v>2263</v>
      </c>
      <c r="AG387" s="604">
        <v>3.1</v>
      </c>
      <c r="AH387" s="604" t="s">
        <v>420</v>
      </c>
      <c r="AJ387" s="535" t="str">
        <f t="shared" si="53"/>
        <v>2016agedep35-39Quin 1</v>
      </c>
      <c r="AK387" s="604">
        <v>2016</v>
      </c>
      <c r="AL387" s="604" t="s">
        <v>453</v>
      </c>
      <c r="AM387" s="604" t="s">
        <v>454</v>
      </c>
      <c r="AN387" s="604" t="s">
        <v>133</v>
      </c>
      <c r="AO387" s="604" t="s">
        <v>421</v>
      </c>
      <c r="AP387" s="604">
        <v>2263</v>
      </c>
      <c r="AR387" s="538" t="str">
        <f t="shared" si="54"/>
        <v>UnknownbwtfetalWaitemata</v>
      </c>
      <c r="AS387" s="604">
        <v>2016</v>
      </c>
      <c r="AT387" s="604" t="s">
        <v>63</v>
      </c>
      <c r="AU387" s="604" t="s">
        <v>447</v>
      </c>
      <c r="AV387" s="604" t="s">
        <v>86</v>
      </c>
      <c r="AW387" s="604">
        <v>1</v>
      </c>
      <c r="AX387" s="604">
        <v>6</v>
      </c>
      <c r="AY387" s="606" t="s">
        <v>119</v>
      </c>
      <c r="AZ387" s="604" t="s">
        <v>420</v>
      </c>
      <c r="BB387" s="536" t="str">
        <f t="shared" si="55"/>
        <v>37-41gestbirthsWaitemata</v>
      </c>
      <c r="BC387" s="604">
        <v>2016</v>
      </c>
      <c r="BD387" s="604" t="s">
        <v>137</v>
      </c>
      <c r="BE387" s="604" t="s">
        <v>450</v>
      </c>
      <c r="BF387" s="604" t="s">
        <v>86</v>
      </c>
      <c r="BG387" s="604">
        <v>7340</v>
      </c>
      <c r="BH387" s="604" t="s">
        <v>445</v>
      </c>
      <c r="BY387" s="553" t="str">
        <f t="shared" si="56"/>
        <v>2013Quin 1depSIDS</v>
      </c>
      <c r="BZ387" s="604">
        <v>2013</v>
      </c>
      <c r="CA387" s="604" t="s">
        <v>421</v>
      </c>
      <c r="CB387" s="604" t="s">
        <v>454</v>
      </c>
      <c r="CC387" s="604">
        <v>1</v>
      </c>
      <c r="CD387" s="604" t="s">
        <v>32</v>
      </c>
      <c r="CF387" s="554" t="str">
        <f t="shared" si="57"/>
        <v>5yearsAsian40+ageSIDS</v>
      </c>
      <c r="CG387" s="604" t="s">
        <v>475</v>
      </c>
      <c r="CH387" s="604" t="s">
        <v>355</v>
      </c>
      <c r="CI387" s="604" t="s">
        <v>134</v>
      </c>
      <c r="CJ387" s="604" t="s">
        <v>453</v>
      </c>
      <c r="CK387" s="604">
        <v>0</v>
      </c>
      <c r="CL387" s="604" t="s">
        <v>32</v>
      </c>
    </row>
    <row r="388" spans="9:90">
      <c r="I388" s="578" t="str">
        <f t="shared" ref="I388:I451" si="58">J388&amp;K388&amp;L388&amp;P388</f>
        <v>2007depQuin 5Fetal</v>
      </c>
      <c r="J388" s="604">
        <v>2007</v>
      </c>
      <c r="K388" s="604" t="s">
        <v>454</v>
      </c>
      <c r="L388" s="604" t="s">
        <v>425</v>
      </c>
      <c r="M388" s="604">
        <v>129</v>
      </c>
      <c r="N388" s="604">
        <v>16260</v>
      </c>
      <c r="O388" s="604">
        <v>7.9</v>
      </c>
      <c r="P388" s="604" t="s">
        <v>47</v>
      </c>
      <c r="Q388" s="499"/>
      <c r="R388" s="502" t="str">
        <f t="shared" ref="R388:R451" si="59">S388&amp;T388&amp;U388&amp;V388</f>
        <v>2001birthsdhbTairawhiti</v>
      </c>
      <c r="S388" s="604">
        <v>2001</v>
      </c>
      <c r="T388" s="604" t="s">
        <v>445</v>
      </c>
      <c r="U388" s="604" t="s">
        <v>448</v>
      </c>
      <c r="V388" s="604" t="s">
        <v>433</v>
      </c>
      <c r="W388" s="604">
        <v>766</v>
      </c>
      <c r="Y388" s="535" t="str">
        <f t="shared" ref="Y388:Y451" si="60">Z388&amp;AA388&amp;AB388&amp;AC388&amp;AD388&amp;AH388</f>
        <v>2016agedep40+Quin 1fetal</v>
      </c>
      <c r="Z388" s="604">
        <v>2016</v>
      </c>
      <c r="AA388" s="604" t="s">
        <v>453</v>
      </c>
      <c r="AB388" s="604" t="s">
        <v>454</v>
      </c>
      <c r="AC388" s="604" t="s">
        <v>134</v>
      </c>
      <c r="AD388" s="604" t="s">
        <v>421</v>
      </c>
      <c r="AE388" s="604">
        <v>3</v>
      </c>
      <c r="AF388" s="604">
        <v>549</v>
      </c>
      <c r="AG388" s="604">
        <v>5.4</v>
      </c>
      <c r="AH388" s="604" t="s">
        <v>420</v>
      </c>
      <c r="AJ388" s="535" t="str">
        <f t="shared" ref="AJ388:AJ451" si="61">AK388&amp;AL388&amp;AM388&amp;AN388&amp;AO388</f>
        <v>2016agedep40+Quin 1</v>
      </c>
      <c r="AK388" s="604">
        <v>2016</v>
      </c>
      <c r="AL388" s="604" t="s">
        <v>453</v>
      </c>
      <c r="AM388" s="604" t="s">
        <v>454</v>
      </c>
      <c r="AN388" s="604" t="s">
        <v>134</v>
      </c>
      <c r="AO388" s="604" t="s">
        <v>421</v>
      </c>
      <c r="AP388" s="604">
        <v>549</v>
      </c>
      <c r="AR388" s="538" t="str">
        <f t="shared" ref="AR388:AR451" si="62">AT388&amp;AU388&amp;AZ388&amp;AV388</f>
        <v>&lt;500bwtfetalAuckland</v>
      </c>
      <c r="AS388" s="604">
        <v>2016</v>
      </c>
      <c r="AT388" s="604" t="s">
        <v>427</v>
      </c>
      <c r="AU388" s="604" t="s">
        <v>447</v>
      </c>
      <c r="AV388" s="604" t="s">
        <v>87</v>
      </c>
      <c r="AW388" s="604">
        <v>9</v>
      </c>
      <c r="AX388" s="604">
        <v>15</v>
      </c>
      <c r="AY388" s="606">
        <v>600</v>
      </c>
      <c r="AZ388" s="604" t="s">
        <v>420</v>
      </c>
      <c r="BB388" s="536" t="str">
        <f t="shared" ref="BB388:BB451" si="63">BD388&amp;BE388&amp;BH388&amp;BF388</f>
        <v>42+gestbirthsWaitemata</v>
      </c>
      <c r="BC388" s="604">
        <v>2016</v>
      </c>
      <c r="BD388" s="604" t="s">
        <v>138</v>
      </c>
      <c r="BE388" s="604" t="s">
        <v>450</v>
      </c>
      <c r="BF388" s="604" t="s">
        <v>86</v>
      </c>
      <c r="BG388" s="604">
        <v>152</v>
      </c>
      <c r="BH388" s="604" t="s">
        <v>445</v>
      </c>
      <c r="BY388" s="553" t="str">
        <f t="shared" ref="BY388:BY451" si="64">BZ388&amp;CA388&amp;CB388&amp;CD388</f>
        <v>2013Quin 2depSIDS</v>
      </c>
      <c r="BZ388" s="604">
        <v>2013</v>
      </c>
      <c r="CA388" s="604" t="s">
        <v>422</v>
      </c>
      <c r="CB388" s="604" t="s">
        <v>454</v>
      </c>
      <c r="CC388" s="604">
        <v>2</v>
      </c>
      <c r="CD388" s="604" t="s">
        <v>32</v>
      </c>
      <c r="CF388" s="554" t="str">
        <f t="shared" ref="CF388:CF451" si="65">CG388&amp;CH388&amp;CI388&amp;CJ388&amp;CL388</f>
        <v>5yearsEuropean or Other40+ageSIDS</v>
      </c>
      <c r="CG388" s="604" t="s">
        <v>475</v>
      </c>
      <c r="CH388" s="604" t="s">
        <v>356</v>
      </c>
      <c r="CI388" s="604" t="s">
        <v>134</v>
      </c>
      <c r="CJ388" s="604" t="s">
        <v>453</v>
      </c>
      <c r="CK388" s="604">
        <v>1</v>
      </c>
      <c r="CL388" s="604" t="s">
        <v>32</v>
      </c>
    </row>
    <row r="389" spans="9:90">
      <c r="I389" s="578" t="str">
        <f t="shared" si="58"/>
        <v>2007depQuin 9Fetal</v>
      </c>
      <c r="J389" s="604">
        <v>2007</v>
      </c>
      <c r="K389" s="604" t="s">
        <v>454</v>
      </c>
      <c r="L389" s="604" t="s">
        <v>426</v>
      </c>
      <c r="M389" s="604">
        <v>31</v>
      </c>
      <c r="N389" s="604">
        <v>4440</v>
      </c>
      <c r="O389" s="604" t="s">
        <v>119</v>
      </c>
      <c r="P389" s="604" t="s">
        <v>47</v>
      </c>
      <c r="Q389" s="499"/>
      <c r="R389" s="502" t="str">
        <f t="shared" si="59"/>
        <v>2001birthsdhbHawke's Bay</v>
      </c>
      <c r="S389" s="604">
        <v>2001</v>
      </c>
      <c r="T389" s="604" t="s">
        <v>445</v>
      </c>
      <c r="U389" s="604" t="s">
        <v>448</v>
      </c>
      <c r="V389" s="604" t="s">
        <v>92</v>
      </c>
      <c r="W389" s="604">
        <v>2141</v>
      </c>
      <c r="Y389" s="535" t="str">
        <f t="shared" si="60"/>
        <v>2016agedep&lt;20Quin 2fetal</v>
      </c>
      <c r="Z389" s="604">
        <v>2016</v>
      </c>
      <c r="AA389" s="604" t="s">
        <v>453</v>
      </c>
      <c r="AB389" s="604" t="s">
        <v>454</v>
      </c>
      <c r="AC389" s="604" t="s">
        <v>339</v>
      </c>
      <c r="AD389" s="604" t="s">
        <v>422</v>
      </c>
      <c r="AE389" s="604">
        <v>3</v>
      </c>
      <c r="AF389" s="604">
        <v>232</v>
      </c>
      <c r="AG389" s="604">
        <v>12.8</v>
      </c>
      <c r="AH389" s="604" t="s">
        <v>420</v>
      </c>
      <c r="AJ389" s="535" t="str">
        <f t="shared" si="61"/>
        <v>2016agedep&lt;20Quin 2</v>
      </c>
      <c r="AK389" s="604">
        <v>2016</v>
      </c>
      <c r="AL389" s="604" t="s">
        <v>453</v>
      </c>
      <c r="AM389" s="604" t="s">
        <v>454</v>
      </c>
      <c r="AN389" s="604" t="s">
        <v>339</v>
      </c>
      <c r="AO389" s="604" t="s">
        <v>422</v>
      </c>
      <c r="AP389" s="604">
        <v>232</v>
      </c>
      <c r="AR389" s="538" t="str">
        <f t="shared" si="62"/>
        <v>500-999bwtfetalAuckland</v>
      </c>
      <c r="AS389" s="604">
        <v>2016</v>
      </c>
      <c r="AT389" s="604" t="s">
        <v>428</v>
      </c>
      <c r="AU389" s="604" t="s">
        <v>447</v>
      </c>
      <c r="AV389" s="604" t="s">
        <v>87</v>
      </c>
      <c r="AW389" s="604">
        <v>9</v>
      </c>
      <c r="AX389" s="604">
        <v>31</v>
      </c>
      <c r="AY389" s="606">
        <v>290.3</v>
      </c>
      <c r="AZ389" s="604" t="s">
        <v>420</v>
      </c>
      <c r="BB389" s="536" t="str">
        <f t="shared" si="63"/>
        <v>UnknowngestbirthsWaitemata</v>
      </c>
      <c r="BC389" s="604">
        <v>2016</v>
      </c>
      <c r="BD389" s="604" t="s">
        <v>63</v>
      </c>
      <c r="BE389" s="604" t="s">
        <v>450</v>
      </c>
      <c r="BF389" s="604" t="s">
        <v>86</v>
      </c>
      <c r="BG389" s="604">
        <v>1</v>
      </c>
      <c r="BH389" s="604" t="s">
        <v>445</v>
      </c>
      <c r="BY389" s="553" t="str">
        <f t="shared" si="64"/>
        <v>2013Quin 3depSIDS</v>
      </c>
      <c r="BZ389" s="604">
        <v>2013</v>
      </c>
      <c r="CA389" s="604" t="s">
        <v>423</v>
      </c>
      <c r="CB389" s="604" t="s">
        <v>454</v>
      </c>
      <c r="CC389" s="604">
        <v>3</v>
      </c>
      <c r="CD389" s="604" t="s">
        <v>32</v>
      </c>
      <c r="CF389" s="554" t="str">
        <f t="shared" si="65"/>
        <v>5yearsMaori40+ageSIDS</v>
      </c>
      <c r="CG389" s="604" t="s">
        <v>475</v>
      </c>
      <c r="CH389" s="604" t="s">
        <v>129</v>
      </c>
      <c r="CI389" s="604" t="s">
        <v>134</v>
      </c>
      <c r="CJ389" s="604" t="s">
        <v>453</v>
      </c>
      <c r="CK389" s="604">
        <v>0</v>
      </c>
      <c r="CL389" s="604" t="s">
        <v>32</v>
      </c>
    </row>
    <row r="390" spans="9:90">
      <c r="I390" s="578" t="str">
        <f t="shared" si="58"/>
        <v>2008depQuin 1Fetal</v>
      </c>
      <c r="J390" s="604">
        <v>2008</v>
      </c>
      <c r="K390" s="604" t="s">
        <v>454</v>
      </c>
      <c r="L390" s="604" t="s">
        <v>421</v>
      </c>
      <c r="M390" s="604">
        <v>63</v>
      </c>
      <c r="N390" s="604">
        <v>9682</v>
      </c>
      <c r="O390" s="604">
        <v>6.5</v>
      </c>
      <c r="P390" s="604" t="s">
        <v>47</v>
      </c>
      <c r="Q390" s="499"/>
      <c r="R390" s="502" t="str">
        <f t="shared" si="59"/>
        <v>2001birthsdhbTaranaki</v>
      </c>
      <c r="S390" s="604">
        <v>2001</v>
      </c>
      <c r="T390" s="604" t="s">
        <v>445</v>
      </c>
      <c r="U390" s="604" t="s">
        <v>448</v>
      </c>
      <c r="V390" s="604" t="s">
        <v>93</v>
      </c>
      <c r="W390" s="604">
        <v>1368</v>
      </c>
      <c r="Y390" s="535" t="str">
        <f t="shared" si="60"/>
        <v>2016agedep20-24Quin 2fetal</v>
      </c>
      <c r="Z390" s="604">
        <v>2016</v>
      </c>
      <c r="AA390" s="604" t="s">
        <v>453</v>
      </c>
      <c r="AB390" s="604" t="s">
        <v>454</v>
      </c>
      <c r="AC390" s="604" t="s">
        <v>130</v>
      </c>
      <c r="AD390" s="604" t="s">
        <v>422</v>
      </c>
      <c r="AE390" s="604">
        <v>8</v>
      </c>
      <c r="AF390" s="604">
        <v>1044</v>
      </c>
      <c r="AG390" s="604">
        <v>7.6</v>
      </c>
      <c r="AH390" s="604" t="s">
        <v>420</v>
      </c>
      <c r="AJ390" s="535" t="str">
        <f t="shared" si="61"/>
        <v>2016agedep20-24Quin 2</v>
      </c>
      <c r="AK390" s="604">
        <v>2016</v>
      </c>
      <c r="AL390" s="604" t="s">
        <v>453</v>
      </c>
      <c r="AM390" s="604" t="s">
        <v>454</v>
      </c>
      <c r="AN390" s="604" t="s">
        <v>130</v>
      </c>
      <c r="AO390" s="604" t="s">
        <v>422</v>
      </c>
      <c r="AP390" s="604">
        <v>1044</v>
      </c>
      <c r="AR390" s="538" t="str">
        <f t="shared" si="62"/>
        <v>1000-1499bwtfetalAuckland</v>
      </c>
      <c r="AS390" s="604">
        <v>2016</v>
      </c>
      <c r="AT390" s="604" t="s">
        <v>429</v>
      </c>
      <c r="AU390" s="604" t="s">
        <v>447</v>
      </c>
      <c r="AV390" s="604" t="s">
        <v>87</v>
      </c>
      <c r="AW390" s="604">
        <v>6</v>
      </c>
      <c r="AX390" s="604">
        <v>34</v>
      </c>
      <c r="AY390" s="606">
        <v>176.5</v>
      </c>
      <c r="AZ390" s="604" t="s">
        <v>420</v>
      </c>
      <c r="BB390" s="536" t="str">
        <f t="shared" si="63"/>
        <v>&lt;28gestbirthsAuckland</v>
      </c>
      <c r="BC390" s="604">
        <v>2016</v>
      </c>
      <c r="BD390" s="604" t="s">
        <v>375</v>
      </c>
      <c r="BE390" s="604" t="s">
        <v>450</v>
      </c>
      <c r="BF390" s="604" t="s">
        <v>87</v>
      </c>
      <c r="BG390" s="604">
        <v>25</v>
      </c>
      <c r="BH390" s="604" t="s">
        <v>445</v>
      </c>
      <c r="BY390" s="553" t="str">
        <f t="shared" si="64"/>
        <v>2013Quin 4depSIDS</v>
      </c>
      <c r="BZ390" s="604">
        <v>2013</v>
      </c>
      <c r="CA390" s="604" t="s">
        <v>424</v>
      </c>
      <c r="CB390" s="604" t="s">
        <v>454</v>
      </c>
      <c r="CC390" s="604">
        <v>2</v>
      </c>
      <c r="CD390" s="604" t="s">
        <v>32</v>
      </c>
      <c r="CF390" s="559" t="str">
        <f t="shared" si="65"/>
        <v>5yearsPacific peoples40+ageSIDS</v>
      </c>
      <c r="CG390" s="604" t="s">
        <v>475</v>
      </c>
      <c r="CH390" s="604" t="s">
        <v>320</v>
      </c>
      <c r="CI390" s="604" t="s">
        <v>134</v>
      </c>
      <c r="CJ390" s="604" t="s">
        <v>453</v>
      </c>
      <c r="CK390" s="604">
        <v>0</v>
      </c>
      <c r="CL390" s="604" t="s">
        <v>32</v>
      </c>
    </row>
    <row r="391" spans="9:90">
      <c r="I391" s="578" t="str">
        <f t="shared" si="58"/>
        <v>2008depQuin 2Fetal</v>
      </c>
      <c r="J391" s="604">
        <v>2008</v>
      </c>
      <c r="K391" s="604" t="s">
        <v>454</v>
      </c>
      <c r="L391" s="604" t="s">
        <v>422</v>
      </c>
      <c r="M391" s="604">
        <v>75</v>
      </c>
      <c r="N391" s="604">
        <v>10559</v>
      </c>
      <c r="O391" s="604">
        <v>7.1</v>
      </c>
      <c r="P391" s="604" t="s">
        <v>47</v>
      </c>
      <c r="Q391" s="499"/>
      <c r="R391" s="502" t="str">
        <f t="shared" si="59"/>
        <v>2001birthsdhbMidCentral</v>
      </c>
      <c r="S391" s="604">
        <v>2001</v>
      </c>
      <c r="T391" s="604" t="s">
        <v>445</v>
      </c>
      <c r="U391" s="604" t="s">
        <v>448</v>
      </c>
      <c r="V391" s="604" t="s">
        <v>94</v>
      </c>
      <c r="W391" s="604">
        <v>2148</v>
      </c>
      <c r="Y391" s="535" t="str">
        <f t="shared" si="60"/>
        <v>2016agedep25-29Quin 2fetal</v>
      </c>
      <c r="Z391" s="604">
        <v>2016</v>
      </c>
      <c r="AA391" s="604" t="s">
        <v>453</v>
      </c>
      <c r="AB391" s="604" t="s">
        <v>454</v>
      </c>
      <c r="AC391" s="604" t="s">
        <v>131</v>
      </c>
      <c r="AD391" s="604" t="s">
        <v>422</v>
      </c>
      <c r="AE391" s="604">
        <v>17</v>
      </c>
      <c r="AF391" s="604">
        <v>2592</v>
      </c>
      <c r="AG391" s="604">
        <v>6.5</v>
      </c>
      <c r="AH391" s="604" t="s">
        <v>420</v>
      </c>
      <c r="AJ391" s="535" t="str">
        <f t="shared" si="61"/>
        <v>2016agedep25-29Quin 2</v>
      </c>
      <c r="AK391" s="604">
        <v>2016</v>
      </c>
      <c r="AL391" s="604" t="s">
        <v>453</v>
      </c>
      <c r="AM391" s="604" t="s">
        <v>454</v>
      </c>
      <c r="AN391" s="604" t="s">
        <v>131</v>
      </c>
      <c r="AO391" s="604" t="s">
        <v>422</v>
      </c>
      <c r="AP391" s="604">
        <v>2592</v>
      </c>
      <c r="AR391" s="538" t="str">
        <f t="shared" si="62"/>
        <v>1500-2499bwtfetalAuckland</v>
      </c>
      <c r="AS391" s="604">
        <v>2016</v>
      </c>
      <c r="AT391" s="604" t="s">
        <v>430</v>
      </c>
      <c r="AU391" s="604" t="s">
        <v>447</v>
      </c>
      <c r="AV391" s="604" t="s">
        <v>87</v>
      </c>
      <c r="AW391" s="604">
        <v>7</v>
      </c>
      <c r="AX391" s="604">
        <v>306</v>
      </c>
      <c r="AY391" s="606">
        <v>22.9</v>
      </c>
      <c r="AZ391" s="604" t="s">
        <v>420</v>
      </c>
      <c r="BB391" s="536" t="str">
        <f t="shared" si="63"/>
        <v>28-31gestbirthsAuckland</v>
      </c>
      <c r="BC391" s="604">
        <v>2016</v>
      </c>
      <c r="BD391" s="604" t="s">
        <v>395</v>
      </c>
      <c r="BE391" s="604" t="s">
        <v>450</v>
      </c>
      <c r="BF391" s="604" t="s">
        <v>87</v>
      </c>
      <c r="BG391" s="604">
        <v>28</v>
      </c>
      <c r="BH391" s="604" t="s">
        <v>445</v>
      </c>
      <c r="BY391" s="553" t="str">
        <f t="shared" si="64"/>
        <v>2013Quin 5depSIDS</v>
      </c>
      <c r="BZ391" s="604">
        <v>2013</v>
      </c>
      <c r="CA391" s="604" t="s">
        <v>425</v>
      </c>
      <c r="CB391" s="604" t="s">
        <v>454</v>
      </c>
      <c r="CC391" s="604">
        <v>13</v>
      </c>
      <c r="CD391" s="604" t="s">
        <v>32</v>
      </c>
      <c r="CF391" s="559" t="str">
        <f t="shared" si="65"/>
        <v>5yearsAsianUnknownageSIDS</v>
      </c>
      <c r="CG391" s="604" t="s">
        <v>475</v>
      </c>
      <c r="CH391" s="604" t="s">
        <v>355</v>
      </c>
      <c r="CI391" s="604" t="s">
        <v>63</v>
      </c>
      <c r="CJ391" s="604" t="s">
        <v>453</v>
      </c>
      <c r="CK391" s="604">
        <v>0</v>
      </c>
      <c r="CL391" s="604" t="s">
        <v>32</v>
      </c>
    </row>
    <row r="392" spans="9:90">
      <c r="I392" s="578" t="str">
        <f t="shared" si="58"/>
        <v>2008depQuin 3Fetal</v>
      </c>
      <c r="J392" s="604">
        <v>2008</v>
      </c>
      <c r="K392" s="604" t="s">
        <v>454</v>
      </c>
      <c r="L392" s="604" t="s">
        <v>423</v>
      </c>
      <c r="M392" s="604">
        <v>108</v>
      </c>
      <c r="N392" s="604">
        <v>12271</v>
      </c>
      <c r="O392" s="604">
        <v>8.8000000000000007</v>
      </c>
      <c r="P392" s="604" t="s">
        <v>47</v>
      </c>
      <c r="Q392" s="499"/>
      <c r="R392" s="502" t="str">
        <f t="shared" si="59"/>
        <v>2001birthsdhbWhanganui</v>
      </c>
      <c r="S392" s="604">
        <v>2001</v>
      </c>
      <c r="T392" s="604" t="s">
        <v>445</v>
      </c>
      <c r="U392" s="604" t="s">
        <v>448</v>
      </c>
      <c r="V392" s="604" t="s">
        <v>95</v>
      </c>
      <c r="W392" s="604">
        <v>904</v>
      </c>
      <c r="Y392" s="535" t="str">
        <f t="shared" si="60"/>
        <v>2016agedep30-34Quin 2fetal</v>
      </c>
      <c r="Z392" s="604">
        <v>2016</v>
      </c>
      <c r="AA392" s="604" t="s">
        <v>453</v>
      </c>
      <c r="AB392" s="604" t="s">
        <v>454</v>
      </c>
      <c r="AC392" s="604" t="s">
        <v>132</v>
      </c>
      <c r="AD392" s="604" t="s">
        <v>422</v>
      </c>
      <c r="AE392" s="604">
        <v>24</v>
      </c>
      <c r="AF392" s="604">
        <v>3702</v>
      </c>
      <c r="AG392" s="604">
        <v>6.4</v>
      </c>
      <c r="AH392" s="604" t="s">
        <v>420</v>
      </c>
      <c r="AJ392" s="535" t="str">
        <f t="shared" si="61"/>
        <v>2016agedep30-34Quin 2</v>
      </c>
      <c r="AK392" s="604">
        <v>2016</v>
      </c>
      <c r="AL392" s="604" t="s">
        <v>453</v>
      </c>
      <c r="AM392" s="604" t="s">
        <v>454</v>
      </c>
      <c r="AN392" s="604" t="s">
        <v>132</v>
      </c>
      <c r="AO392" s="604" t="s">
        <v>422</v>
      </c>
      <c r="AP392" s="604">
        <v>3702</v>
      </c>
      <c r="AR392" s="538" t="str">
        <f t="shared" si="62"/>
        <v>2500-4499bwtfetalAuckland</v>
      </c>
      <c r="AS392" s="604">
        <v>2016</v>
      </c>
      <c r="AT392" s="604" t="s">
        <v>431</v>
      </c>
      <c r="AU392" s="604" t="s">
        <v>447</v>
      </c>
      <c r="AV392" s="604" t="s">
        <v>87</v>
      </c>
      <c r="AW392" s="604">
        <v>8</v>
      </c>
      <c r="AX392" s="604">
        <v>5457</v>
      </c>
      <c r="AY392" s="606">
        <v>1.5</v>
      </c>
      <c r="AZ392" s="604" t="s">
        <v>420</v>
      </c>
      <c r="BB392" s="536" t="str">
        <f t="shared" si="63"/>
        <v>32-36gestbirthsAuckland</v>
      </c>
      <c r="BC392" s="604">
        <v>2016</v>
      </c>
      <c r="BD392" s="604" t="s">
        <v>136</v>
      </c>
      <c r="BE392" s="604" t="s">
        <v>450</v>
      </c>
      <c r="BF392" s="604" t="s">
        <v>87</v>
      </c>
      <c r="BG392" s="604">
        <v>320</v>
      </c>
      <c r="BH392" s="604" t="s">
        <v>445</v>
      </c>
      <c r="BY392" s="553" t="str">
        <f t="shared" si="64"/>
        <v>2013Quin 9depSIDS</v>
      </c>
      <c r="BZ392" s="604">
        <v>2013</v>
      </c>
      <c r="CA392" s="604" t="s">
        <v>426</v>
      </c>
      <c r="CB392" s="604" t="s">
        <v>454</v>
      </c>
      <c r="CC392" s="604">
        <v>0</v>
      </c>
      <c r="CD392" s="604" t="s">
        <v>32</v>
      </c>
      <c r="CF392" s="559" t="str">
        <f t="shared" si="65"/>
        <v>5yearsEuropean or OtherUnknownageSIDS</v>
      </c>
      <c r="CG392" s="604" t="s">
        <v>475</v>
      </c>
      <c r="CH392" s="604" t="s">
        <v>356</v>
      </c>
      <c r="CI392" s="604" t="s">
        <v>63</v>
      </c>
      <c r="CJ392" s="604" t="s">
        <v>453</v>
      </c>
      <c r="CK392" s="604">
        <v>2</v>
      </c>
      <c r="CL392" s="604" t="s">
        <v>32</v>
      </c>
    </row>
    <row r="393" spans="9:90">
      <c r="I393" s="578" t="str">
        <f t="shared" si="58"/>
        <v>2008depQuin 4Fetal</v>
      </c>
      <c r="J393" s="604">
        <v>2008</v>
      </c>
      <c r="K393" s="604" t="s">
        <v>454</v>
      </c>
      <c r="L393" s="604" t="s">
        <v>424</v>
      </c>
      <c r="M393" s="604">
        <v>108</v>
      </c>
      <c r="N393" s="604">
        <v>14914</v>
      </c>
      <c r="O393" s="604">
        <v>7.2</v>
      </c>
      <c r="P393" s="604" t="s">
        <v>47</v>
      </c>
      <c r="Q393" s="499"/>
      <c r="R393" s="502" t="str">
        <f t="shared" si="59"/>
        <v>2001birthsdhbCapital &amp; Coast</v>
      </c>
      <c r="S393" s="604">
        <v>2001</v>
      </c>
      <c r="T393" s="604" t="s">
        <v>445</v>
      </c>
      <c r="U393" s="604" t="s">
        <v>448</v>
      </c>
      <c r="V393" s="604" t="s">
        <v>96</v>
      </c>
      <c r="W393" s="604">
        <v>3702</v>
      </c>
      <c r="Y393" s="535" t="str">
        <f t="shared" si="60"/>
        <v>2016agedep35-39Quin 2fetal</v>
      </c>
      <c r="Z393" s="604">
        <v>2016</v>
      </c>
      <c r="AA393" s="604" t="s">
        <v>453</v>
      </c>
      <c r="AB393" s="604" t="s">
        <v>454</v>
      </c>
      <c r="AC393" s="604" t="s">
        <v>133</v>
      </c>
      <c r="AD393" s="604" t="s">
        <v>422</v>
      </c>
      <c r="AE393" s="604">
        <v>9</v>
      </c>
      <c r="AF393" s="604">
        <v>2080</v>
      </c>
      <c r="AG393" s="604">
        <v>4.3</v>
      </c>
      <c r="AH393" s="604" t="s">
        <v>420</v>
      </c>
      <c r="AJ393" s="535" t="str">
        <f t="shared" si="61"/>
        <v>2016agedep35-39Quin 2</v>
      </c>
      <c r="AK393" s="604">
        <v>2016</v>
      </c>
      <c r="AL393" s="604" t="s">
        <v>453</v>
      </c>
      <c r="AM393" s="604" t="s">
        <v>454</v>
      </c>
      <c r="AN393" s="604" t="s">
        <v>133</v>
      </c>
      <c r="AO393" s="604" t="s">
        <v>422</v>
      </c>
      <c r="AP393" s="604">
        <v>2080</v>
      </c>
      <c r="AR393" s="538" t="str">
        <f t="shared" si="62"/>
        <v>&lt;500bwtfetalCounties Manukau</v>
      </c>
      <c r="AS393" s="604">
        <v>2016</v>
      </c>
      <c r="AT393" s="604" t="s">
        <v>427</v>
      </c>
      <c r="AU393" s="604" t="s">
        <v>447</v>
      </c>
      <c r="AV393" s="604" t="s">
        <v>88</v>
      </c>
      <c r="AW393" s="604">
        <v>24</v>
      </c>
      <c r="AX393" s="604">
        <v>39</v>
      </c>
      <c r="AY393" s="606">
        <v>615.4</v>
      </c>
      <c r="AZ393" s="604" t="s">
        <v>420</v>
      </c>
      <c r="BB393" s="536" t="str">
        <f t="shared" si="63"/>
        <v>37-41gestbirthsAuckland</v>
      </c>
      <c r="BC393" s="604">
        <v>2016</v>
      </c>
      <c r="BD393" s="604" t="s">
        <v>137</v>
      </c>
      <c r="BE393" s="604" t="s">
        <v>450</v>
      </c>
      <c r="BF393" s="604" t="s">
        <v>87</v>
      </c>
      <c r="BG393" s="604">
        <v>5451</v>
      </c>
      <c r="BH393" s="604" t="s">
        <v>445</v>
      </c>
      <c r="BY393" s="553" t="str">
        <f t="shared" si="64"/>
        <v>2014Quin 1depSIDS</v>
      </c>
      <c r="BZ393" s="604">
        <v>2014</v>
      </c>
      <c r="CA393" s="604" t="s">
        <v>421</v>
      </c>
      <c r="CB393" s="604" t="s">
        <v>454</v>
      </c>
      <c r="CC393" s="604">
        <v>1</v>
      </c>
      <c r="CD393" s="604" t="s">
        <v>32</v>
      </c>
      <c r="CF393" s="559" t="str">
        <f t="shared" si="65"/>
        <v>5yearsMaoriUnknownageSIDS</v>
      </c>
      <c r="CG393" s="604" t="s">
        <v>475</v>
      </c>
      <c r="CH393" s="604" t="s">
        <v>129</v>
      </c>
      <c r="CI393" s="604" t="s">
        <v>63</v>
      </c>
      <c r="CJ393" s="604" t="s">
        <v>453</v>
      </c>
      <c r="CK393" s="604">
        <v>1</v>
      </c>
      <c r="CL393" s="604" t="s">
        <v>32</v>
      </c>
    </row>
    <row r="394" spans="9:90">
      <c r="I394" s="578" t="str">
        <f t="shared" si="58"/>
        <v>2008depQuin 5Fetal</v>
      </c>
      <c r="J394" s="604">
        <v>2008</v>
      </c>
      <c r="K394" s="604" t="s">
        <v>454</v>
      </c>
      <c r="L394" s="604" t="s">
        <v>425</v>
      </c>
      <c r="M394" s="604">
        <v>173</v>
      </c>
      <c r="N394" s="604">
        <v>18138</v>
      </c>
      <c r="O394" s="604">
        <v>9.5</v>
      </c>
      <c r="P394" s="604" t="s">
        <v>47</v>
      </c>
      <c r="Q394" s="499"/>
      <c r="R394" s="502" t="str">
        <f t="shared" si="59"/>
        <v>2001birthsdhbHutt Valley</v>
      </c>
      <c r="S394" s="604">
        <v>2001</v>
      </c>
      <c r="T394" s="604" t="s">
        <v>445</v>
      </c>
      <c r="U394" s="604" t="s">
        <v>448</v>
      </c>
      <c r="V394" s="604" t="s">
        <v>97</v>
      </c>
      <c r="W394" s="604">
        <v>2165</v>
      </c>
      <c r="Y394" s="535" t="str">
        <f t="shared" si="60"/>
        <v>2016agedep40+Quin 2fetal</v>
      </c>
      <c r="Z394" s="604">
        <v>2016</v>
      </c>
      <c r="AA394" s="604" t="s">
        <v>453</v>
      </c>
      <c r="AB394" s="604" t="s">
        <v>454</v>
      </c>
      <c r="AC394" s="604" t="s">
        <v>134</v>
      </c>
      <c r="AD394" s="604" t="s">
        <v>422</v>
      </c>
      <c r="AE394" s="604">
        <v>3</v>
      </c>
      <c r="AF394" s="604">
        <v>473</v>
      </c>
      <c r="AG394" s="604">
        <v>6.3</v>
      </c>
      <c r="AH394" s="604" t="s">
        <v>420</v>
      </c>
      <c r="AJ394" s="535" t="str">
        <f t="shared" si="61"/>
        <v>2016agedep40+Quin 2</v>
      </c>
      <c r="AK394" s="604">
        <v>2016</v>
      </c>
      <c r="AL394" s="604" t="s">
        <v>453</v>
      </c>
      <c r="AM394" s="604" t="s">
        <v>454</v>
      </c>
      <c r="AN394" s="604" t="s">
        <v>134</v>
      </c>
      <c r="AO394" s="604" t="s">
        <v>422</v>
      </c>
      <c r="AP394" s="604">
        <v>473</v>
      </c>
      <c r="AR394" s="538" t="str">
        <f t="shared" si="62"/>
        <v>500-999bwtfetalCounties Manukau</v>
      </c>
      <c r="AS394" s="604">
        <v>2016</v>
      </c>
      <c r="AT394" s="604" t="s">
        <v>428</v>
      </c>
      <c r="AU394" s="604" t="s">
        <v>447</v>
      </c>
      <c r="AV394" s="604" t="s">
        <v>88</v>
      </c>
      <c r="AW394" s="604">
        <v>14</v>
      </c>
      <c r="AX394" s="604">
        <v>45</v>
      </c>
      <c r="AY394" s="606">
        <v>311.10000000000002</v>
      </c>
      <c r="AZ394" s="604" t="s">
        <v>420</v>
      </c>
      <c r="BB394" s="536" t="str">
        <f t="shared" si="63"/>
        <v>42+gestbirthsAuckland</v>
      </c>
      <c r="BC394" s="604">
        <v>2016</v>
      </c>
      <c r="BD394" s="604" t="s">
        <v>138</v>
      </c>
      <c r="BE394" s="604" t="s">
        <v>450</v>
      </c>
      <c r="BF394" s="604" t="s">
        <v>87</v>
      </c>
      <c r="BG394" s="604">
        <v>78</v>
      </c>
      <c r="BH394" s="604" t="s">
        <v>445</v>
      </c>
      <c r="BY394" s="553" t="str">
        <f t="shared" si="64"/>
        <v>2014Quin 2depSIDS</v>
      </c>
      <c r="BZ394" s="604">
        <v>2014</v>
      </c>
      <c r="CA394" s="604" t="s">
        <v>422</v>
      </c>
      <c r="CB394" s="604" t="s">
        <v>454</v>
      </c>
      <c r="CC394" s="604">
        <v>2</v>
      </c>
      <c r="CD394" s="604" t="s">
        <v>32</v>
      </c>
      <c r="CF394" s="559" t="str">
        <f t="shared" si="65"/>
        <v>5yearsPacific peoplesUnknownageSIDS</v>
      </c>
      <c r="CG394" s="604" t="s">
        <v>475</v>
      </c>
      <c r="CH394" s="604" t="s">
        <v>320</v>
      </c>
      <c r="CI394" s="604" t="s">
        <v>63</v>
      </c>
      <c r="CJ394" s="604" t="s">
        <v>453</v>
      </c>
      <c r="CK394" s="604">
        <v>0</v>
      </c>
      <c r="CL394" s="604" t="s">
        <v>32</v>
      </c>
    </row>
    <row r="395" spans="9:90">
      <c r="I395" s="578" t="str">
        <f t="shared" si="58"/>
        <v>2008depQuin 9Fetal</v>
      </c>
      <c r="J395" s="604">
        <v>2008</v>
      </c>
      <c r="K395" s="604" t="s">
        <v>454</v>
      </c>
      <c r="L395" s="604" t="s">
        <v>426</v>
      </c>
      <c r="M395" s="604">
        <v>29</v>
      </c>
      <c r="N395" s="604">
        <v>325</v>
      </c>
      <c r="O395" s="604" t="s">
        <v>119</v>
      </c>
      <c r="P395" s="604" t="s">
        <v>47</v>
      </c>
      <c r="Q395" s="499"/>
      <c r="R395" s="502" t="str">
        <f t="shared" si="59"/>
        <v>2001birthsdhbWairarapa</v>
      </c>
      <c r="S395" s="604">
        <v>2001</v>
      </c>
      <c r="T395" s="604" t="s">
        <v>445</v>
      </c>
      <c r="U395" s="604" t="s">
        <v>448</v>
      </c>
      <c r="V395" s="604" t="s">
        <v>98</v>
      </c>
      <c r="W395" s="604">
        <v>498</v>
      </c>
      <c r="Y395" s="535" t="str">
        <f t="shared" si="60"/>
        <v>2016agedep&lt;20Quin 3fetal</v>
      </c>
      <c r="Z395" s="604">
        <v>2016</v>
      </c>
      <c r="AA395" s="604" t="s">
        <v>453</v>
      </c>
      <c r="AB395" s="604" t="s">
        <v>454</v>
      </c>
      <c r="AC395" s="604" t="s">
        <v>339</v>
      </c>
      <c r="AD395" s="604" t="s">
        <v>423</v>
      </c>
      <c r="AE395" s="604">
        <v>3</v>
      </c>
      <c r="AF395" s="604">
        <v>325</v>
      </c>
      <c r="AG395" s="604">
        <v>9.1</v>
      </c>
      <c r="AH395" s="604" t="s">
        <v>420</v>
      </c>
      <c r="AJ395" s="535" t="str">
        <f t="shared" si="61"/>
        <v>2016agedep&lt;20Quin 3</v>
      </c>
      <c r="AK395" s="604">
        <v>2016</v>
      </c>
      <c r="AL395" s="604" t="s">
        <v>453</v>
      </c>
      <c r="AM395" s="604" t="s">
        <v>454</v>
      </c>
      <c r="AN395" s="604" t="s">
        <v>339</v>
      </c>
      <c r="AO395" s="604" t="s">
        <v>423</v>
      </c>
      <c r="AP395" s="604">
        <v>325</v>
      </c>
      <c r="AR395" s="538" t="str">
        <f t="shared" si="62"/>
        <v>1000-1499bwtfetalCounties Manukau</v>
      </c>
      <c r="AS395" s="604">
        <v>2016</v>
      </c>
      <c r="AT395" s="604" t="s">
        <v>429</v>
      </c>
      <c r="AU395" s="604" t="s">
        <v>447</v>
      </c>
      <c r="AV395" s="604" t="s">
        <v>88</v>
      </c>
      <c r="AW395" s="604">
        <v>7</v>
      </c>
      <c r="AX395" s="604">
        <v>51</v>
      </c>
      <c r="AY395" s="606">
        <v>137.30000000000001</v>
      </c>
      <c r="AZ395" s="604" t="s">
        <v>420</v>
      </c>
      <c r="BB395" s="536" t="str">
        <f t="shared" si="63"/>
        <v>UnknowngestbirthsAuckland</v>
      </c>
      <c r="BC395" s="604">
        <v>2016</v>
      </c>
      <c r="BD395" s="604" t="s">
        <v>63</v>
      </c>
      <c r="BE395" s="604" t="s">
        <v>450</v>
      </c>
      <c r="BF395" s="604" t="s">
        <v>87</v>
      </c>
      <c r="BG395" s="604">
        <v>3</v>
      </c>
      <c r="BH395" s="604" t="s">
        <v>445</v>
      </c>
      <c r="BY395" s="553" t="str">
        <f t="shared" si="64"/>
        <v>2014Quin 3depSIDS</v>
      </c>
      <c r="BZ395" s="604">
        <v>2014</v>
      </c>
      <c r="CA395" s="604" t="s">
        <v>423</v>
      </c>
      <c r="CB395" s="604" t="s">
        <v>454</v>
      </c>
      <c r="CC395" s="604">
        <v>1</v>
      </c>
      <c r="CD395" s="604" t="s">
        <v>32</v>
      </c>
      <c r="CF395" s="559" t="str">
        <f t="shared" si="65"/>
        <v>5yearsAsianMalesexSIDS</v>
      </c>
      <c r="CG395" s="604" t="s">
        <v>475</v>
      </c>
      <c r="CH395" s="604" t="s">
        <v>355</v>
      </c>
      <c r="CI395" s="604" t="s">
        <v>70</v>
      </c>
      <c r="CJ395" s="604" t="s">
        <v>451</v>
      </c>
      <c r="CK395" s="604">
        <v>2</v>
      </c>
      <c r="CL395" s="604" t="s">
        <v>32</v>
      </c>
    </row>
    <row r="396" spans="9:90">
      <c r="I396" s="578" t="str">
        <f t="shared" si="58"/>
        <v>2009depQuin 1Fetal</v>
      </c>
      <c r="J396" s="604">
        <v>2009</v>
      </c>
      <c r="K396" s="604" t="s">
        <v>454</v>
      </c>
      <c r="L396" s="604" t="s">
        <v>421</v>
      </c>
      <c r="M396" s="604">
        <v>60</v>
      </c>
      <c r="N396" s="604">
        <v>9437</v>
      </c>
      <c r="O396" s="604">
        <v>6.4</v>
      </c>
      <c r="P396" s="604" t="s">
        <v>47</v>
      </c>
      <c r="Q396" s="499"/>
      <c r="R396" s="502" t="str">
        <f t="shared" si="59"/>
        <v>2001birthsdhbNelson Marlborough</v>
      </c>
      <c r="S396" s="604">
        <v>2001</v>
      </c>
      <c r="T396" s="604" t="s">
        <v>445</v>
      </c>
      <c r="U396" s="604" t="s">
        <v>448</v>
      </c>
      <c r="V396" s="604" t="s">
        <v>99</v>
      </c>
      <c r="W396" s="604">
        <v>1488</v>
      </c>
      <c r="Y396" s="535" t="str">
        <f t="shared" si="60"/>
        <v>2016agedep20-24Quin 3fetal</v>
      </c>
      <c r="Z396" s="604">
        <v>2016</v>
      </c>
      <c r="AA396" s="604" t="s">
        <v>453</v>
      </c>
      <c r="AB396" s="604" t="s">
        <v>454</v>
      </c>
      <c r="AC396" s="604" t="s">
        <v>130</v>
      </c>
      <c r="AD396" s="604" t="s">
        <v>423</v>
      </c>
      <c r="AE396" s="604">
        <v>13</v>
      </c>
      <c r="AF396" s="604">
        <v>1564</v>
      </c>
      <c r="AG396" s="604">
        <v>8.1999999999999993</v>
      </c>
      <c r="AH396" s="604" t="s">
        <v>420</v>
      </c>
      <c r="AJ396" s="535" t="str">
        <f t="shared" si="61"/>
        <v>2016agedep20-24Quin 3</v>
      </c>
      <c r="AK396" s="604">
        <v>2016</v>
      </c>
      <c r="AL396" s="604" t="s">
        <v>453</v>
      </c>
      <c r="AM396" s="604" t="s">
        <v>454</v>
      </c>
      <c r="AN396" s="604" t="s">
        <v>130</v>
      </c>
      <c r="AO396" s="604" t="s">
        <v>423</v>
      </c>
      <c r="AP396" s="604">
        <v>1564</v>
      </c>
      <c r="AR396" s="538" t="str">
        <f t="shared" si="62"/>
        <v>1500-2499bwtfetalCounties Manukau</v>
      </c>
      <c r="AS396" s="604">
        <v>2016</v>
      </c>
      <c r="AT396" s="604" t="s">
        <v>430</v>
      </c>
      <c r="AU396" s="604" t="s">
        <v>447</v>
      </c>
      <c r="AV396" s="604" t="s">
        <v>88</v>
      </c>
      <c r="AW396" s="604">
        <v>5</v>
      </c>
      <c r="AX396" s="604">
        <v>416</v>
      </c>
      <c r="AY396" s="606">
        <v>12</v>
      </c>
      <c r="AZ396" s="604" t="s">
        <v>420</v>
      </c>
      <c r="BB396" s="536" t="str">
        <f t="shared" si="63"/>
        <v>&lt;28gestbirthsCounties Manukau</v>
      </c>
      <c r="BC396" s="604">
        <v>2016</v>
      </c>
      <c r="BD396" s="604" t="s">
        <v>375</v>
      </c>
      <c r="BE396" s="604" t="s">
        <v>450</v>
      </c>
      <c r="BF396" s="604" t="s">
        <v>88</v>
      </c>
      <c r="BG396" s="604">
        <v>51</v>
      </c>
      <c r="BH396" s="604" t="s">
        <v>445</v>
      </c>
      <c r="BY396" s="553" t="str">
        <f t="shared" si="64"/>
        <v>2014Quin 4depSIDS</v>
      </c>
      <c r="BZ396" s="604">
        <v>2014</v>
      </c>
      <c r="CA396" s="604" t="s">
        <v>424</v>
      </c>
      <c r="CB396" s="604" t="s">
        <v>454</v>
      </c>
      <c r="CC396" s="604">
        <v>4</v>
      </c>
      <c r="CD396" s="604" t="s">
        <v>32</v>
      </c>
      <c r="CF396" s="559" t="str">
        <f t="shared" si="65"/>
        <v>5yearsEuropean or OtherMalesexSIDS</v>
      </c>
      <c r="CG396" s="604" t="s">
        <v>475</v>
      </c>
      <c r="CH396" s="604" t="s">
        <v>356</v>
      </c>
      <c r="CI396" s="604" t="s">
        <v>70</v>
      </c>
      <c r="CJ396" s="604" t="s">
        <v>451</v>
      </c>
      <c r="CK396" s="604">
        <v>17</v>
      </c>
      <c r="CL396" s="604" t="s">
        <v>32</v>
      </c>
    </row>
    <row r="397" spans="9:90">
      <c r="I397" s="578" t="str">
        <f t="shared" si="58"/>
        <v>2009depQuin 2Fetal</v>
      </c>
      <c r="J397" s="604">
        <v>2009</v>
      </c>
      <c r="K397" s="604" t="s">
        <v>454</v>
      </c>
      <c r="L397" s="604" t="s">
        <v>422</v>
      </c>
      <c r="M397" s="604">
        <v>61</v>
      </c>
      <c r="N397" s="604">
        <v>10112</v>
      </c>
      <c r="O397" s="604">
        <v>6</v>
      </c>
      <c r="P397" s="604" t="s">
        <v>47</v>
      </c>
      <c r="Q397" s="499"/>
      <c r="R397" s="502" t="str">
        <f t="shared" si="59"/>
        <v>2001birthsdhbWest Coast</v>
      </c>
      <c r="S397" s="604">
        <v>2001</v>
      </c>
      <c r="T397" s="604" t="s">
        <v>445</v>
      </c>
      <c r="U397" s="604" t="s">
        <v>448</v>
      </c>
      <c r="V397" s="604" t="s">
        <v>100</v>
      </c>
      <c r="W397" s="604">
        <v>396</v>
      </c>
      <c r="Y397" s="535" t="str">
        <f t="shared" si="60"/>
        <v>2016agedep25-29Quin 3fetal</v>
      </c>
      <c r="Z397" s="604">
        <v>2016</v>
      </c>
      <c r="AA397" s="604" t="s">
        <v>453</v>
      </c>
      <c r="AB397" s="604" t="s">
        <v>454</v>
      </c>
      <c r="AC397" s="604" t="s">
        <v>131</v>
      </c>
      <c r="AD397" s="604" t="s">
        <v>423</v>
      </c>
      <c r="AE397" s="604">
        <v>13</v>
      </c>
      <c r="AF397" s="604">
        <v>3067</v>
      </c>
      <c r="AG397" s="604">
        <v>4.2</v>
      </c>
      <c r="AH397" s="604" t="s">
        <v>420</v>
      </c>
      <c r="AJ397" s="535" t="str">
        <f t="shared" si="61"/>
        <v>2016agedep25-29Quin 3</v>
      </c>
      <c r="AK397" s="604">
        <v>2016</v>
      </c>
      <c r="AL397" s="604" t="s">
        <v>453</v>
      </c>
      <c r="AM397" s="604" t="s">
        <v>454</v>
      </c>
      <c r="AN397" s="604" t="s">
        <v>131</v>
      </c>
      <c r="AO397" s="604" t="s">
        <v>423</v>
      </c>
      <c r="AP397" s="604">
        <v>3067</v>
      </c>
      <c r="AR397" s="538" t="str">
        <f t="shared" si="62"/>
        <v>2500-4499bwtfetalCounties Manukau</v>
      </c>
      <c r="AS397" s="604">
        <v>2016</v>
      </c>
      <c r="AT397" s="604" t="s">
        <v>431</v>
      </c>
      <c r="AU397" s="604" t="s">
        <v>447</v>
      </c>
      <c r="AV397" s="604" t="s">
        <v>88</v>
      </c>
      <c r="AW397" s="604">
        <v>14</v>
      </c>
      <c r="AX397" s="604">
        <v>7688</v>
      </c>
      <c r="AY397" s="606">
        <v>1.8</v>
      </c>
      <c r="AZ397" s="604" t="s">
        <v>420</v>
      </c>
      <c r="BB397" s="536" t="str">
        <f t="shared" si="63"/>
        <v>28-31gestbirthsCounties Manukau</v>
      </c>
      <c r="BC397" s="604">
        <v>2016</v>
      </c>
      <c r="BD397" s="604" t="s">
        <v>395</v>
      </c>
      <c r="BE397" s="604" t="s">
        <v>450</v>
      </c>
      <c r="BF397" s="604" t="s">
        <v>88</v>
      </c>
      <c r="BG397" s="604">
        <v>49</v>
      </c>
      <c r="BH397" s="604" t="s">
        <v>445</v>
      </c>
      <c r="BY397" s="553" t="str">
        <f t="shared" si="64"/>
        <v>2014Quin 5depSIDS</v>
      </c>
      <c r="BZ397" s="604">
        <v>2014</v>
      </c>
      <c r="CA397" s="604" t="s">
        <v>425</v>
      </c>
      <c r="CB397" s="604" t="s">
        <v>454</v>
      </c>
      <c r="CC397" s="604">
        <v>6</v>
      </c>
      <c r="CD397" s="604" t="s">
        <v>32</v>
      </c>
      <c r="CF397" s="559" t="str">
        <f t="shared" si="65"/>
        <v>5yearsMaoriMalesexSIDS</v>
      </c>
      <c r="CG397" s="604" t="s">
        <v>475</v>
      </c>
      <c r="CH397" s="604" t="s">
        <v>129</v>
      </c>
      <c r="CI397" s="604" t="s">
        <v>70</v>
      </c>
      <c r="CJ397" s="604" t="s">
        <v>451</v>
      </c>
      <c r="CK397" s="604">
        <v>39</v>
      </c>
      <c r="CL397" s="604" t="s">
        <v>32</v>
      </c>
    </row>
    <row r="398" spans="9:90">
      <c r="I398" s="578" t="str">
        <f t="shared" si="58"/>
        <v>2009depQuin 3Fetal</v>
      </c>
      <c r="J398" s="604">
        <v>2009</v>
      </c>
      <c r="K398" s="604" t="s">
        <v>454</v>
      </c>
      <c r="L398" s="604" t="s">
        <v>423</v>
      </c>
      <c r="M398" s="604">
        <v>94</v>
      </c>
      <c r="N398" s="604">
        <v>11930</v>
      </c>
      <c r="O398" s="604">
        <v>7.9</v>
      </c>
      <c r="P398" s="604" t="s">
        <v>47</v>
      </c>
      <c r="Q398" s="499"/>
      <c r="R398" s="502" t="str">
        <f t="shared" si="59"/>
        <v>2001birthsdhbCanterbury</v>
      </c>
      <c r="S398" s="604">
        <v>2001</v>
      </c>
      <c r="T398" s="604" t="s">
        <v>445</v>
      </c>
      <c r="U398" s="604" t="s">
        <v>448</v>
      </c>
      <c r="V398" s="604" t="s">
        <v>101</v>
      </c>
      <c r="W398" s="604">
        <v>5651</v>
      </c>
      <c r="Y398" s="535" t="str">
        <f t="shared" si="60"/>
        <v>2016agedep30-34Quin 3fetal</v>
      </c>
      <c r="Z398" s="604">
        <v>2016</v>
      </c>
      <c r="AA398" s="604" t="s">
        <v>453</v>
      </c>
      <c r="AB398" s="604" t="s">
        <v>454</v>
      </c>
      <c r="AC398" s="604" t="s">
        <v>132</v>
      </c>
      <c r="AD398" s="604" t="s">
        <v>423</v>
      </c>
      <c r="AE398" s="604">
        <v>24</v>
      </c>
      <c r="AF398" s="604">
        <v>3667</v>
      </c>
      <c r="AG398" s="604">
        <v>6.5</v>
      </c>
      <c r="AH398" s="604" t="s">
        <v>420</v>
      </c>
      <c r="AJ398" s="535" t="str">
        <f t="shared" si="61"/>
        <v>2016agedep30-34Quin 3</v>
      </c>
      <c r="AK398" s="604">
        <v>2016</v>
      </c>
      <c r="AL398" s="604" t="s">
        <v>453</v>
      </c>
      <c r="AM398" s="604" t="s">
        <v>454</v>
      </c>
      <c r="AN398" s="604" t="s">
        <v>132</v>
      </c>
      <c r="AO398" s="604" t="s">
        <v>423</v>
      </c>
      <c r="AP398" s="604">
        <v>3667</v>
      </c>
      <c r="AR398" s="538" t="str">
        <f t="shared" si="62"/>
        <v>4500+bwtfetalCounties Manukau</v>
      </c>
      <c r="AS398" s="604">
        <v>2016</v>
      </c>
      <c r="AT398" s="604" t="s">
        <v>432</v>
      </c>
      <c r="AU398" s="604" t="s">
        <v>447</v>
      </c>
      <c r="AV398" s="604" t="s">
        <v>88</v>
      </c>
      <c r="AW398" s="604">
        <v>1</v>
      </c>
      <c r="AX398" s="604">
        <v>197</v>
      </c>
      <c r="AY398" s="606">
        <v>5.0999999999999996</v>
      </c>
      <c r="AZ398" s="604" t="s">
        <v>420</v>
      </c>
      <c r="BB398" s="536" t="str">
        <f t="shared" si="63"/>
        <v>32-36gestbirthsCounties Manukau</v>
      </c>
      <c r="BC398" s="604">
        <v>2016</v>
      </c>
      <c r="BD398" s="604" t="s">
        <v>136</v>
      </c>
      <c r="BE398" s="604" t="s">
        <v>450</v>
      </c>
      <c r="BF398" s="604" t="s">
        <v>88</v>
      </c>
      <c r="BG398" s="604">
        <v>537</v>
      </c>
      <c r="BH398" s="604" t="s">
        <v>445</v>
      </c>
      <c r="BY398" s="553" t="str">
        <f t="shared" si="64"/>
        <v>2014Quin 9depSIDS</v>
      </c>
      <c r="BZ398" s="604">
        <v>2014</v>
      </c>
      <c r="CA398" s="604" t="s">
        <v>426</v>
      </c>
      <c r="CB398" s="604" t="s">
        <v>454</v>
      </c>
      <c r="CC398" s="604">
        <v>0</v>
      </c>
      <c r="CD398" s="604" t="s">
        <v>32</v>
      </c>
      <c r="CF398" s="559" t="str">
        <f t="shared" si="65"/>
        <v>5yearsPacific peoplesMalesexSIDS</v>
      </c>
      <c r="CG398" s="604" t="s">
        <v>475</v>
      </c>
      <c r="CH398" s="604" t="s">
        <v>320</v>
      </c>
      <c r="CI398" s="604" t="s">
        <v>70</v>
      </c>
      <c r="CJ398" s="604" t="s">
        <v>451</v>
      </c>
      <c r="CK398" s="604">
        <v>8</v>
      </c>
      <c r="CL398" s="604" t="s">
        <v>32</v>
      </c>
    </row>
    <row r="399" spans="9:90">
      <c r="I399" s="578" t="str">
        <f t="shared" si="58"/>
        <v>2009depQuin 4Fetal</v>
      </c>
      <c r="J399" s="604">
        <v>2009</v>
      </c>
      <c r="K399" s="604" t="s">
        <v>454</v>
      </c>
      <c r="L399" s="604" t="s">
        <v>424</v>
      </c>
      <c r="M399" s="604">
        <v>120</v>
      </c>
      <c r="N399" s="604">
        <v>14710</v>
      </c>
      <c r="O399" s="604">
        <v>8.1999999999999993</v>
      </c>
      <c r="P399" s="604" t="s">
        <v>47</v>
      </c>
      <c r="Q399" s="499"/>
      <c r="R399" s="502" t="str">
        <f t="shared" si="59"/>
        <v>2001birthsdhbSouth Canterbury</v>
      </c>
      <c r="S399" s="604">
        <v>2001</v>
      </c>
      <c r="T399" s="604" t="s">
        <v>445</v>
      </c>
      <c r="U399" s="604" t="s">
        <v>448</v>
      </c>
      <c r="V399" s="604" t="s">
        <v>102</v>
      </c>
      <c r="W399" s="604">
        <v>591</v>
      </c>
      <c r="Y399" s="535" t="str">
        <f t="shared" si="60"/>
        <v>2016agedep35-39Quin 3fetal</v>
      </c>
      <c r="Z399" s="604">
        <v>2016</v>
      </c>
      <c r="AA399" s="604" t="s">
        <v>453</v>
      </c>
      <c r="AB399" s="604" t="s">
        <v>454</v>
      </c>
      <c r="AC399" s="604" t="s">
        <v>133</v>
      </c>
      <c r="AD399" s="604" t="s">
        <v>423</v>
      </c>
      <c r="AE399" s="604">
        <v>13</v>
      </c>
      <c r="AF399" s="604">
        <v>1919</v>
      </c>
      <c r="AG399" s="604">
        <v>6.7</v>
      </c>
      <c r="AH399" s="604" t="s">
        <v>420</v>
      </c>
      <c r="AJ399" s="535" t="str">
        <f t="shared" si="61"/>
        <v>2016agedep35-39Quin 3</v>
      </c>
      <c r="AK399" s="604">
        <v>2016</v>
      </c>
      <c r="AL399" s="604" t="s">
        <v>453</v>
      </c>
      <c r="AM399" s="604" t="s">
        <v>454</v>
      </c>
      <c r="AN399" s="604" t="s">
        <v>133</v>
      </c>
      <c r="AO399" s="604" t="s">
        <v>423</v>
      </c>
      <c r="AP399" s="604">
        <v>1919</v>
      </c>
      <c r="AR399" s="538" t="str">
        <f t="shared" si="62"/>
        <v>UnknownbwtfetalCounties Manukau</v>
      </c>
      <c r="AS399" s="604">
        <v>2016</v>
      </c>
      <c r="AT399" s="604" t="s">
        <v>63</v>
      </c>
      <c r="AU399" s="604" t="s">
        <v>447</v>
      </c>
      <c r="AV399" s="604" t="s">
        <v>88</v>
      </c>
      <c r="AW399" s="604">
        <v>1</v>
      </c>
      <c r="AX399" s="604">
        <v>5</v>
      </c>
      <c r="AY399" s="606" t="s">
        <v>119</v>
      </c>
      <c r="AZ399" s="604" t="s">
        <v>420</v>
      </c>
      <c r="BB399" s="536" t="str">
        <f t="shared" si="63"/>
        <v>37-41gestbirthsCounties Manukau</v>
      </c>
      <c r="BC399" s="604">
        <v>2016</v>
      </c>
      <c r="BD399" s="604" t="s">
        <v>137</v>
      </c>
      <c r="BE399" s="604" t="s">
        <v>450</v>
      </c>
      <c r="BF399" s="604" t="s">
        <v>88</v>
      </c>
      <c r="BG399" s="604">
        <v>7610</v>
      </c>
      <c r="BH399" s="604" t="s">
        <v>445</v>
      </c>
      <c r="BY399" s="553" t="str">
        <f t="shared" si="64"/>
        <v>2015Quin 1depSIDS</v>
      </c>
      <c r="BZ399" s="604">
        <v>2015</v>
      </c>
      <c r="CA399" s="604" t="s">
        <v>421</v>
      </c>
      <c r="CB399" s="604" t="s">
        <v>454</v>
      </c>
      <c r="CC399" s="604">
        <v>2</v>
      </c>
      <c r="CD399" s="604" t="s">
        <v>32</v>
      </c>
      <c r="CF399" s="559" t="str">
        <f t="shared" si="65"/>
        <v>5yearsAsianFemalesexSIDS</v>
      </c>
      <c r="CG399" s="604" t="s">
        <v>475</v>
      </c>
      <c r="CH399" s="604" t="s">
        <v>355</v>
      </c>
      <c r="CI399" s="604" t="s">
        <v>71</v>
      </c>
      <c r="CJ399" s="604" t="s">
        <v>451</v>
      </c>
      <c r="CK399" s="604">
        <v>2</v>
      </c>
      <c r="CL399" s="604" t="s">
        <v>32</v>
      </c>
    </row>
    <row r="400" spans="9:90">
      <c r="I400" s="578" t="str">
        <f t="shared" si="58"/>
        <v>2009depQuin 5Fetal</v>
      </c>
      <c r="J400" s="604">
        <v>2009</v>
      </c>
      <c r="K400" s="604" t="s">
        <v>454</v>
      </c>
      <c r="L400" s="604" t="s">
        <v>425</v>
      </c>
      <c r="M400" s="604">
        <v>140</v>
      </c>
      <c r="N400" s="604">
        <v>17297</v>
      </c>
      <c r="O400" s="604">
        <v>8.1</v>
      </c>
      <c r="P400" s="604" t="s">
        <v>47</v>
      </c>
      <c r="Q400" s="499"/>
      <c r="R400" s="502" t="str">
        <f t="shared" si="59"/>
        <v>2001birthsdhbSouthern</v>
      </c>
      <c r="S400" s="604">
        <v>2001</v>
      </c>
      <c r="T400" s="604" t="s">
        <v>445</v>
      </c>
      <c r="U400" s="604" t="s">
        <v>448</v>
      </c>
      <c r="V400" s="604" t="s">
        <v>103</v>
      </c>
      <c r="W400" s="604">
        <v>3263</v>
      </c>
      <c r="Y400" s="535" t="str">
        <f t="shared" si="60"/>
        <v>2016agedep40+Quin 3fetal</v>
      </c>
      <c r="Z400" s="604">
        <v>2016</v>
      </c>
      <c r="AA400" s="604" t="s">
        <v>453</v>
      </c>
      <c r="AB400" s="604" t="s">
        <v>454</v>
      </c>
      <c r="AC400" s="604" t="s">
        <v>134</v>
      </c>
      <c r="AD400" s="604" t="s">
        <v>423</v>
      </c>
      <c r="AE400" s="604">
        <v>2</v>
      </c>
      <c r="AF400" s="604">
        <v>429</v>
      </c>
      <c r="AG400" s="604">
        <v>4.5999999999999996</v>
      </c>
      <c r="AH400" s="604" t="s">
        <v>420</v>
      </c>
      <c r="AJ400" s="535" t="str">
        <f t="shared" si="61"/>
        <v>2016agedep40+Quin 3</v>
      </c>
      <c r="AK400" s="604">
        <v>2016</v>
      </c>
      <c r="AL400" s="604" t="s">
        <v>453</v>
      </c>
      <c r="AM400" s="604" t="s">
        <v>454</v>
      </c>
      <c r="AN400" s="604" t="s">
        <v>134</v>
      </c>
      <c r="AO400" s="604" t="s">
        <v>423</v>
      </c>
      <c r="AP400" s="604">
        <v>429</v>
      </c>
      <c r="AR400" s="538" t="str">
        <f t="shared" si="62"/>
        <v>&lt;500bwtfetalWaikato</v>
      </c>
      <c r="AS400" s="604">
        <v>2016</v>
      </c>
      <c r="AT400" s="604" t="s">
        <v>427</v>
      </c>
      <c r="AU400" s="604" t="s">
        <v>447</v>
      </c>
      <c r="AV400" s="604" t="s">
        <v>89</v>
      </c>
      <c r="AW400" s="604">
        <v>16</v>
      </c>
      <c r="AX400" s="604">
        <v>22</v>
      </c>
      <c r="AY400" s="606">
        <v>727.3</v>
      </c>
      <c r="AZ400" s="604" t="s">
        <v>420</v>
      </c>
      <c r="BB400" s="536" t="str">
        <f t="shared" si="63"/>
        <v>42+gestbirthsCounties Manukau</v>
      </c>
      <c r="BC400" s="604">
        <v>2016</v>
      </c>
      <c r="BD400" s="604" t="s">
        <v>138</v>
      </c>
      <c r="BE400" s="604" t="s">
        <v>450</v>
      </c>
      <c r="BF400" s="604" t="s">
        <v>88</v>
      </c>
      <c r="BG400" s="604">
        <v>125</v>
      </c>
      <c r="BH400" s="604" t="s">
        <v>445</v>
      </c>
      <c r="BY400" s="553" t="str">
        <f t="shared" si="64"/>
        <v>2015Quin 2depSIDS</v>
      </c>
      <c r="BZ400" s="604">
        <v>2015</v>
      </c>
      <c r="CA400" s="604" t="s">
        <v>422</v>
      </c>
      <c r="CB400" s="604" t="s">
        <v>454</v>
      </c>
      <c r="CC400" s="604">
        <v>2</v>
      </c>
      <c r="CD400" s="604" t="s">
        <v>32</v>
      </c>
      <c r="CF400" s="559" t="str">
        <f t="shared" si="65"/>
        <v>5yearsEuropean or OtherFemalesexSIDS</v>
      </c>
      <c r="CG400" s="604" t="s">
        <v>475</v>
      </c>
      <c r="CH400" s="604" t="s">
        <v>356</v>
      </c>
      <c r="CI400" s="604" t="s">
        <v>71</v>
      </c>
      <c r="CJ400" s="604" t="s">
        <v>451</v>
      </c>
      <c r="CK400" s="604">
        <v>14</v>
      </c>
      <c r="CL400" s="604" t="s">
        <v>32</v>
      </c>
    </row>
    <row r="401" spans="9:90">
      <c r="I401" s="578" t="str">
        <f t="shared" si="58"/>
        <v>2009depQuin 9Fetal</v>
      </c>
      <c r="J401" s="604">
        <v>2009</v>
      </c>
      <c r="K401" s="604" t="s">
        <v>454</v>
      </c>
      <c r="L401" s="604" t="s">
        <v>426</v>
      </c>
      <c r="M401" s="604">
        <v>7</v>
      </c>
      <c r="N401" s="604">
        <v>281</v>
      </c>
      <c r="O401" s="604" t="s">
        <v>119</v>
      </c>
      <c r="P401" s="604" t="s">
        <v>47</v>
      </c>
      <c r="Q401" s="499"/>
      <c r="R401" s="502" t="str">
        <f t="shared" si="59"/>
        <v>2001birthsdhbUnknown</v>
      </c>
      <c r="S401" s="604">
        <v>2001</v>
      </c>
      <c r="T401" s="604" t="s">
        <v>445</v>
      </c>
      <c r="U401" s="604" t="s">
        <v>448</v>
      </c>
      <c r="V401" s="604" t="s">
        <v>63</v>
      </c>
      <c r="W401" s="604">
        <v>490</v>
      </c>
      <c r="Y401" s="535" t="str">
        <f t="shared" si="60"/>
        <v>2016agedep&lt;20Quin 4fetal</v>
      </c>
      <c r="Z401" s="604">
        <v>2016</v>
      </c>
      <c r="AA401" s="604" t="s">
        <v>453</v>
      </c>
      <c r="AB401" s="604" t="s">
        <v>454</v>
      </c>
      <c r="AC401" s="604" t="s">
        <v>339</v>
      </c>
      <c r="AD401" s="604" t="s">
        <v>424</v>
      </c>
      <c r="AE401" s="604">
        <v>10</v>
      </c>
      <c r="AF401" s="604">
        <v>591</v>
      </c>
      <c r="AG401" s="604">
        <v>16.600000000000001</v>
      </c>
      <c r="AH401" s="604" t="s">
        <v>420</v>
      </c>
      <c r="AJ401" s="535" t="str">
        <f t="shared" si="61"/>
        <v>2016agedep&lt;20Quin 4</v>
      </c>
      <c r="AK401" s="604">
        <v>2016</v>
      </c>
      <c r="AL401" s="604" t="s">
        <v>453</v>
      </c>
      <c r="AM401" s="604" t="s">
        <v>454</v>
      </c>
      <c r="AN401" s="604" t="s">
        <v>339</v>
      </c>
      <c r="AO401" s="604" t="s">
        <v>424</v>
      </c>
      <c r="AP401" s="604">
        <v>591</v>
      </c>
      <c r="AR401" s="538" t="str">
        <f t="shared" si="62"/>
        <v>500-999bwtfetalWaikato</v>
      </c>
      <c r="AS401" s="604">
        <v>2016</v>
      </c>
      <c r="AT401" s="604" t="s">
        <v>428</v>
      </c>
      <c r="AU401" s="604" t="s">
        <v>447</v>
      </c>
      <c r="AV401" s="604" t="s">
        <v>89</v>
      </c>
      <c r="AW401" s="604">
        <v>12</v>
      </c>
      <c r="AX401" s="604">
        <v>31</v>
      </c>
      <c r="AY401" s="606">
        <v>387.1</v>
      </c>
      <c r="AZ401" s="604" t="s">
        <v>420</v>
      </c>
      <c r="BB401" s="536" t="str">
        <f t="shared" si="63"/>
        <v>UnknowngestbirthsCounties Manukau</v>
      </c>
      <c r="BC401" s="604">
        <v>2016</v>
      </c>
      <c r="BD401" s="604" t="s">
        <v>63</v>
      </c>
      <c r="BE401" s="604" t="s">
        <v>450</v>
      </c>
      <c r="BF401" s="604" t="s">
        <v>88</v>
      </c>
      <c r="BG401" s="604">
        <v>3</v>
      </c>
      <c r="BH401" s="604" t="s">
        <v>445</v>
      </c>
      <c r="BY401" s="553" t="str">
        <f t="shared" si="64"/>
        <v>2015Quin 3depSIDS</v>
      </c>
      <c r="BZ401" s="604">
        <v>2015</v>
      </c>
      <c r="CA401" s="604" t="s">
        <v>423</v>
      </c>
      <c r="CB401" s="604" t="s">
        <v>454</v>
      </c>
      <c r="CC401" s="604">
        <v>2</v>
      </c>
      <c r="CD401" s="604" t="s">
        <v>32</v>
      </c>
      <c r="CF401" s="559" t="str">
        <f t="shared" si="65"/>
        <v>5yearsMaoriFemalesexSIDS</v>
      </c>
      <c r="CG401" s="604" t="s">
        <v>475</v>
      </c>
      <c r="CH401" s="604" t="s">
        <v>129</v>
      </c>
      <c r="CI401" s="604" t="s">
        <v>71</v>
      </c>
      <c r="CJ401" s="604" t="s">
        <v>451</v>
      </c>
      <c r="CK401" s="604">
        <v>15</v>
      </c>
      <c r="CL401" s="604" t="s">
        <v>32</v>
      </c>
    </row>
    <row r="402" spans="9:90">
      <c r="I402" s="578" t="str">
        <f t="shared" si="58"/>
        <v>2010depQuin 1Fetal</v>
      </c>
      <c r="J402" s="604">
        <v>2010</v>
      </c>
      <c r="K402" s="604" t="s">
        <v>454</v>
      </c>
      <c r="L402" s="604" t="s">
        <v>421</v>
      </c>
      <c r="M402" s="604">
        <v>56</v>
      </c>
      <c r="N402" s="604">
        <v>8738</v>
      </c>
      <c r="O402" s="604">
        <v>6.4</v>
      </c>
      <c r="P402" s="604" t="s">
        <v>47</v>
      </c>
      <c r="Q402" s="499"/>
      <c r="R402" s="502" t="str">
        <f t="shared" si="59"/>
        <v>2002birthsdhbNorthland</v>
      </c>
      <c r="S402" s="604">
        <v>2002</v>
      </c>
      <c r="T402" s="604" t="s">
        <v>445</v>
      </c>
      <c r="U402" s="604" t="s">
        <v>448</v>
      </c>
      <c r="V402" s="604" t="s">
        <v>85</v>
      </c>
      <c r="W402" s="604">
        <v>1918</v>
      </c>
      <c r="Y402" s="535" t="str">
        <f t="shared" si="60"/>
        <v>2016agedep20-24Quin 4fetal</v>
      </c>
      <c r="Z402" s="604">
        <v>2016</v>
      </c>
      <c r="AA402" s="604" t="s">
        <v>453</v>
      </c>
      <c r="AB402" s="604" t="s">
        <v>454</v>
      </c>
      <c r="AC402" s="604" t="s">
        <v>130</v>
      </c>
      <c r="AD402" s="604" t="s">
        <v>424</v>
      </c>
      <c r="AE402" s="604">
        <v>8</v>
      </c>
      <c r="AF402" s="604">
        <v>2364</v>
      </c>
      <c r="AG402" s="604">
        <v>3.4</v>
      </c>
      <c r="AH402" s="604" t="s">
        <v>420</v>
      </c>
      <c r="AJ402" s="535" t="str">
        <f t="shared" si="61"/>
        <v>2016agedep20-24Quin 4</v>
      </c>
      <c r="AK402" s="604">
        <v>2016</v>
      </c>
      <c r="AL402" s="604" t="s">
        <v>453</v>
      </c>
      <c r="AM402" s="604" t="s">
        <v>454</v>
      </c>
      <c r="AN402" s="604" t="s">
        <v>130</v>
      </c>
      <c r="AO402" s="604" t="s">
        <v>424</v>
      </c>
      <c r="AP402" s="604">
        <v>2364</v>
      </c>
      <c r="AR402" s="538" t="str">
        <f t="shared" si="62"/>
        <v>1000-1499bwtfetalWaikato</v>
      </c>
      <c r="AS402" s="604">
        <v>2016</v>
      </c>
      <c r="AT402" s="604" t="s">
        <v>429</v>
      </c>
      <c r="AU402" s="604" t="s">
        <v>447</v>
      </c>
      <c r="AV402" s="604" t="s">
        <v>89</v>
      </c>
      <c r="AW402" s="604">
        <v>2</v>
      </c>
      <c r="AX402" s="604">
        <v>35</v>
      </c>
      <c r="AY402" s="606">
        <v>57.1</v>
      </c>
      <c r="AZ402" s="604" t="s">
        <v>420</v>
      </c>
      <c r="BB402" s="536" t="str">
        <f t="shared" si="63"/>
        <v>&lt;28gestbirthsWaikato</v>
      </c>
      <c r="BC402" s="604">
        <v>2016</v>
      </c>
      <c r="BD402" s="604" t="s">
        <v>375</v>
      </c>
      <c r="BE402" s="604" t="s">
        <v>450</v>
      </c>
      <c r="BF402" s="604" t="s">
        <v>89</v>
      </c>
      <c r="BG402" s="604">
        <v>20</v>
      </c>
      <c r="BH402" s="604" t="s">
        <v>445</v>
      </c>
      <c r="BY402" s="553" t="str">
        <f t="shared" si="64"/>
        <v>2015Quin 4depSIDS</v>
      </c>
      <c r="BZ402" s="604">
        <v>2015</v>
      </c>
      <c r="CA402" s="604" t="s">
        <v>424</v>
      </c>
      <c r="CB402" s="604" t="s">
        <v>454</v>
      </c>
      <c r="CC402" s="604">
        <v>6</v>
      </c>
      <c r="CD402" s="604" t="s">
        <v>32</v>
      </c>
      <c r="CF402" s="559" t="str">
        <f t="shared" si="65"/>
        <v>5yearsPacific peoplesFemalesexSIDS</v>
      </c>
      <c r="CG402" s="604" t="s">
        <v>475</v>
      </c>
      <c r="CH402" s="604" t="s">
        <v>320</v>
      </c>
      <c r="CI402" s="604" t="s">
        <v>71</v>
      </c>
      <c r="CJ402" s="604" t="s">
        <v>451</v>
      </c>
      <c r="CK402" s="604">
        <v>4</v>
      </c>
      <c r="CL402" s="604" t="s">
        <v>32</v>
      </c>
    </row>
    <row r="403" spans="9:90">
      <c r="I403" s="578" t="str">
        <f t="shared" si="58"/>
        <v>2010depQuin 2Fetal</v>
      </c>
      <c r="J403" s="604">
        <v>2010</v>
      </c>
      <c r="K403" s="604" t="s">
        <v>454</v>
      </c>
      <c r="L403" s="604" t="s">
        <v>422</v>
      </c>
      <c r="M403" s="604">
        <v>62</v>
      </c>
      <c r="N403" s="604">
        <v>9601</v>
      </c>
      <c r="O403" s="604">
        <v>6.5</v>
      </c>
      <c r="P403" s="604" t="s">
        <v>47</v>
      </c>
      <c r="Q403" s="499"/>
      <c r="R403" s="502" t="str">
        <f t="shared" si="59"/>
        <v>2002birthsdhbWaitemata</v>
      </c>
      <c r="S403" s="604">
        <v>2002</v>
      </c>
      <c r="T403" s="604" t="s">
        <v>445</v>
      </c>
      <c r="U403" s="604" t="s">
        <v>448</v>
      </c>
      <c r="V403" s="604" t="s">
        <v>86</v>
      </c>
      <c r="W403" s="604">
        <v>6459</v>
      </c>
      <c r="Y403" s="535" t="str">
        <f t="shared" si="60"/>
        <v>2016agedep25-29Quin 4fetal</v>
      </c>
      <c r="Z403" s="604">
        <v>2016</v>
      </c>
      <c r="AA403" s="604" t="s">
        <v>453</v>
      </c>
      <c r="AB403" s="604" t="s">
        <v>454</v>
      </c>
      <c r="AC403" s="604" t="s">
        <v>131</v>
      </c>
      <c r="AD403" s="604" t="s">
        <v>424</v>
      </c>
      <c r="AE403" s="604">
        <v>21</v>
      </c>
      <c r="AF403" s="604">
        <v>3866</v>
      </c>
      <c r="AG403" s="604">
        <v>5.4</v>
      </c>
      <c r="AH403" s="604" t="s">
        <v>420</v>
      </c>
      <c r="AJ403" s="535" t="str">
        <f t="shared" si="61"/>
        <v>2016agedep25-29Quin 4</v>
      </c>
      <c r="AK403" s="604">
        <v>2016</v>
      </c>
      <c r="AL403" s="604" t="s">
        <v>453</v>
      </c>
      <c r="AM403" s="604" t="s">
        <v>454</v>
      </c>
      <c r="AN403" s="604" t="s">
        <v>131</v>
      </c>
      <c r="AO403" s="604" t="s">
        <v>424</v>
      </c>
      <c r="AP403" s="604">
        <v>3866</v>
      </c>
      <c r="AR403" s="538" t="str">
        <f t="shared" si="62"/>
        <v>1500-2499bwtfetalWaikato</v>
      </c>
      <c r="AS403" s="604">
        <v>2016</v>
      </c>
      <c r="AT403" s="604" t="s">
        <v>430</v>
      </c>
      <c r="AU403" s="604" t="s">
        <v>447</v>
      </c>
      <c r="AV403" s="604" t="s">
        <v>89</v>
      </c>
      <c r="AW403" s="604">
        <v>9</v>
      </c>
      <c r="AX403" s="604">
        <v>279</v>
      </c>
      <c r="AY403" s="606">
        <v>32.299999999999997</v>
      </c>
      <c r="AZ403" s="604" t="s">
        <v>420</v>
      </c>
      <c r="BB403" s="536" t="str">
        <f t="shared" si="63"/>
        <v>28-31gestbirthsWaikato</v>
      </c>
      <c r="BC403" s="604">
        <v>2016</v>
      </c>
      <c r="BD403" s="604" t="s">
        <v>395</v>
      </c>
      <c r="BE403" s="604" t="s">
        <v>450</v>
      </c>
      <c r="BF403" s="604" t="s">
        <v>89</v>
      </c>
      <c r="BG403" s="604">
        <v>43</v>
      </c>
      <c r="BH403" s="604" t="s">
        <v>445</v>
      </c>
      <c r="BY403" s="553" t="str">
        <f t="shared" si="64"/>
        <v>2015Quin 5depSIDS</v>
      </c>
      <c r="BZ403" s="604">
        <v>2015</v>
      </c>
      <c r="CA403" s="604" t="s">
        <v>425</v>
      </c>
      <c r="CB403" s="604" t="s">
        <v>454</v>
      </c>
      <c r="CC403" s="604">
        <v>13</v>
      </c>
      <c r="CD403" s="604" t="s">
        <v>32</v>
      </c>
      <c r="CF403" s="559" t="str">
        <f t="shared" si="65"/>
        <v>5yearsAsianInd/UnksexSIDS</v>
      </c>
      <c r="CG403" s="604" t="s">
        <v>475</v>
      </c>
      <c r="CH403" s="604" t="s">
        <v>355</v>
      </c>
      <c r="CI403" s="604" t="s">
        <v>458</v>
      </c>
      <c r="CJ403" s="604" t="s">
        <v>451</v>
      </c>
      <c r="CK403" s="604">
        <v>0</v>
      </c>
      <c r="CL403" s="604" t="s">
        <v>32</v>
      </c>
    </row>
    <row r="404" spans="9:90">
      <c r="I404" s="578" t="str">
        <f t="shared" si="58"/>
        <v>2010depQuin 3Fetal</v>
      </c>
      <c r="J404" s="604">
        <v>2010</v>
      </c>
      <c r="K404" s="604" t="s">
        <v>454</v>
      </c>
      <c r="L404" s="604" t="s">
        <v>423</v>
      </c>
      <c r="M404" s="604">
        <v>73</v>
      </c>
      <c r="N404" s="604">
        <v>11461</v>
      </c>
      <c r="O404" s="604">
        <v>6.4</v>
      </c>
      <c r="P404" s="604" t="s">
        <v>47</v>
      </c>
      <c r="Q404" s="499"/>
      <c r="R404" s="502" t="str">
        <f t="shared" si="59"/>
        <v>2002birthsdhbAuckland</v>
      </c>
      <c r="S404" s="604">
        <v>2002</v>
      </c>
      <c r="T404" s="604" t="s">
        <v>445</v>
      </c>
      <c r="U404" s="604" t="s">
        <v>448</v>
      </c>
      <c r="V404" s="604" t="s">
        <v>87</v>
      </c>
      <c r="W404" s="604">
        <v>5903</v>
      </c>
      <c r="Y404" s="535" t="str">
        <f t="shared" si="60"/>
        <v>2016agedep30-34Quin 4fetal</v>
      </c>
      <c r="Z404" s="604">
        <v>2016</v>
      </c>
      <c r="AA404" s="604" t="s">
        <v>453</v>
      </c>
      <c r="AB404" s="604" t="s">
        <v>454</v>
      </c>
      <c r="AC404" s="604" t="s">
        <v>132</v>
      </c>
      <c r="AD404" s="604" t="s">
        <v>424</v>
      </c>
      <c r="AE404" s="604">
        <v>29</v>
      </c>
      <c r="AF404" s="604">
        <v>3942</v>
      </c>
      <c r="AG404" s="604">
        <v>7.3</v>
      </c>
      <c r="AH404" s="604" t="s">
        <v>420</v>
      </c>
      <c r="AJ404" s="535" t="str">
        <f t="shared" si="61"/>
        <v>2016agedep30-34Quin 4</v>
      </c>
      <c r="AK404" s="604">
        <v>2016</v>
      </c>
      <c r="AL404" s="604" t="s">
        <v>453</v>
      </c>
      <c r="AM404" s="604" t="s">
        <v>454</v>
      </c>
      <c r="AN404" s="604" t="s">
        <v>132</v>
      </c>
      <c r="AO404" s="604" t="s">
        <v>424</v>
      </c>
      <c r="AP404" s="604">
        <v>3942</v>
      </c>
      <c r="AR404" s="538" t="str">
        <f t="shared" si="62"/>
        <v>2500-4499bwtfetalWaikato</v>
      </c>
      <c r="AS404" s="604">
        <v>2016</v>
      </c>
      <c r="AT404" s="604" t="s">
        <v>431</v>
      </c>
      <c r="AU404" s="604" t="s">
        <v>447</v>
      </c>
      <c r="AV404" s="604" t="s">
        <v>89</v>
      </c>
      <c r="AW404" s="604">
        <v>12</v>
      </c>
      <c r="AX404" s="604">
        <v>5029</v>
      </c>
      <c r="AY404" s="606">
        <v>2.4</v>
      </c>
      <c r="AZ404" s="604" t="s">
        <v>420</v>
      </c>
      <c r="BB404" s="536" t="str">
        <f t="shared" si="63"/>
        <v>32-36gestbirthsWaikato</v>
      </c>
      <c r="BC404" s="604">
        <v>2016</v>
      </c>
      <c r="BD404" s="604" t="s">
        <v>136</v>
      </c>
      <c r="BE404" s="604" t="s">
        <v>450</v>
      </c>
      <c r="BF404" s="604" t="s">
        <v>89</v>
      </c>
      <c r="BG404" s="604">
        <v>335</v>
      </c>
      <c r="BH404" s="604" t="s">
        <v>445</v>
      </c>
      <c r="BY404" s="553" t="str">
        <f t="shared" si="64"/>
        <v>2015Quin 9depSIDS</v>
      </c>
      <c r="BZ404" s="604">
        <v>2015</v>
      </c>
      <c r="CA404" s="604" t="s">
        <v>426</v>
      </c>
      <c r="CB404" s="604" t="s">
        <v>454</v>
      </c>
      <c r="CC404" s="604">
        <v>0</v>
      </c>
      <c r="CD404" s="604" t="s">
        <v>32</v>
      </c>
      <c r="CF404" s="559" t="str">
        <f t="shared" si="65"/>
        <v>5yearsEuropean or OtherInd/UnksexSIDS</v>
      </c>
      <c r="CG404" s="604" t="s">
        <v>475</v>
      </c>
      <c r="CH404" s="604" t="s">
        <v>356</v>
      </c>
      <c r="CI404" s="604" t="s">
        <v>458</v>
      </c>
      <c r="CJ404" s="604" t="s">
        <v>451</v>
      </c>
      <c r="CK404" s="604">
        <v>0</v>
      </c>
      <c r="CL404" s="604" t="s">
        <v>32</v>
      </c>
    </row>
    <row r="405" spans="9:90">
      <c r="I405" s="578" t="str">
        <f t="shared" si="58"/>
        <v>2010depQuin 4Fetal</v>
      </c>
      <c r="J405" s="604">
        <v>2010</v>
      </c>
      <c r="K405" s="604" t="s">
        <v>454</v>
      </c>
      <c r="L405" s="604" t="s">
        <v>424</v>
      </c>
      <c r="M405" s="604">
        <v>89</v>
      </c>
      <c r="N405" s="604">
        <v>13884</v>
      </c>
      <c r="O405" s="604">
        <v>6.4</v>
      </c>
      <c r="P405" s="604" t="s">
        <v>47</v>
      </c>
      <c r="Q405" s="499"/>
      <c r="R405" s="502" t="str">
        <f t="shared" si="59"/>
        <v>2002birthsdhbCounties Manukau</v>
      </c>
      <c r="S405" s="604">
        <v>2002</v>
      </c>
      <c r="T405" s="604" t="s">
        <v>445</v>
      </c>
      <c r="U405" s="604" t="s">
        <v>448</v>
      </c>
      <c r="V405" s="604" t="s">
        <v>88</v>
      </c>
      <c r="W405" s="604">
        <v>7203</v>
      </c>
      <c r="Y405" s="535" t="str">
        <f t="shared" si="60"/>
        <v>2016agedep35-39Quin 4fetal</v>
      </c>
      <c r="Z405" s="604">
        <v>2016</v>
      </c>
      <c r="AA405" s="604" t="s">
        <v>453</v>
      </c>
      <c r="AB405" s="604" t="s">
        <v>454</v>
      </c>
      <c r="AC405" s="604" t="s">
        <v>133</v>
      </c>
      <c r="AD405" s="604" t="s">
        <v>424</v>
      </c>
      <c r="AE405" s="604">
        <v>20</v>
      </c>
      <c r="AF405" s="604">
        <v>1934</v>
      </c>
      <c r="AG405" s="604">
        <v>10.199999999999999</v>
      </c>
      <c r="AH405" s="604" t="s">
        <v>420</v>
      </c>
      <c r="AJ405" s="535" t="str">
        <f t="shared" si="61"/>
        <v>2016agedep35-39Quin 4</v>
      </c>
      <c r="AK405" s="604">
        <v>2016</v>
      </c>
      <c r="AL405" s="604" t="s">
        <v>453</v>
      </c>
      <c r="AM405" s="604" t="s">
        <v>454</v>
      </c>
      <c r="AN405" s="604" t="s">
        <v>133</v>
      </c>
      <c r="AO405" s="604" t="s">
        <v>424</v>
      </c>
      <c r="AP405" s="604">
        <v>1934</v>
      </c>
      <c r="AR405" s="538" t="str">
        <f t="shared" si="62"/>
        <v>4500+bwtfetalWaikato</v>
      </c>
      <c r="AS405" s="604">
        <v>2016</v>
      </c>
      <c r="AT405" s="604" t="s">
        <v>432</v>
      </c>
      <c r="AU405" s="604" t="s">
        <v>447</v>
      </c>
      <c r="AV405" s="604" t="s">
        <v>89</v>
      </c>
      <c r="AW405" s="604">
        <v>2</v>
      </c>
      <c r="AX405" s="604">
        <v>160</v>
      </c>
      <c r="AY405" s="606">
        <v>12.5</v>
      </c>
      <c r="AZ405" s="604" t="s">
        <v>420</v>
      </c>
      <c r="BB405" s="536" t="str">
        <f t="shared" si="63"/>
        <v>37-41gestbirthsWaikato</v>
      </c>
      <c r="BC405" s="604">
        <v>2016</v>
      </c>
      <c r="BD405" s="604" t="s">
        <v>137</v>
      </c>
      <c r="BE405" s="604" t="s">
        <v>450</v>
      </c>
      <c r="BF405" s="604" t="s">
        <v>89</v>
      </c>
      <c r="BG405" s="604">
        <v>4902</v>
      </c>
      <c r="BH405" s="604" t="s">
        <v>445</v>
      </c>
      <c r="BY405" s="553" t="str">
        <f t="shared" si="64"/>
        <v>2016Quin 1depSIDS</v>
      </c>
      <c r="BZ405" s="604">
        <v>2016</v>
      </c>
      <c r="CA405" s="604" t="s">
        <v>421</v>
      </c>
      <c r="CB405" s="604" t="s">
        <v>454</v>
      </c>
      <c r="CC405" s="604">
        <v>0</v>
      </c>
      <c r="CD405" s="604" t="s">
        <v>32</v>
      </c>
      <c r="CF405" s="559" t="str">
        <f t="shared" si="65"/>
        <v>5yearsMaoriInd/UnksexSIDS</v>
      </c>
      <c r="CG405" s="604" t="s">
        <v>475</v>
      </c>
      <c r="CH405" s="604" t="s">
        <v>129</v>
      </c>
      <c r="CI405" s="604" t="s">
        <v>458</v>
      </c>
      <c r="CJ405" s="604" t="s">
        <v>451</v>
      </c>
      <c r="CK405" s="604">
        <v>0</v>
      </c>
      <c r="CL405" s="604" t="s">
        <v>32</v>
      </c>
    </row>
    <row r="406" spans="9:90">
      <c r="I406" s="578" t="str">
        <f t="shared" si="58"/>
        <v>2010depQuin 5Fetal</v>
      </c>
      <c r="J406" s="604">
        <v>2010</v>
      </c>
      <c r="K406" s="604" t="s">
        <v>454</v>
      </c>
      <c r="L406" s="604" t="s">
        <v>425</v>
      </c>
      <c r="M406" s="604">
        <v>163</v>
      </c>
      <c r="N406" s="604">
        <v>18632</v>
      </c>
      <c r="O406" s="604">
        <v>8.6999999999999993</v>
      </c>
      <c r="P406" s="604" t="s">
        <v>47</v>
      </c>
      <c r="Q406" s="499"/>
      <c r="R406" s="502" t="str">
        <f t="shared" si="59"/>
        <v>2002birthsdhbWaikato</v>
      </c>
      <c r="S406" s="604">
        <v>2002</v>
      </c>
      <c r="T406" s="604" t="s">
        <v>445</v>
      </c>
      <c r="U406" s="604" t="s">
        <v>448</v>
      </c>
      <c r="V406" s="604" t="s">
        <v>89</v>
      </c>
      <c r="W406" s="604">
        <v>4608</v>
      </c>
      <c r="Y406" s="535" t="str">
        <f t="shared" si="60"/>
        <v>2016agedep40+Quin 4fetal</v>
      </c>
      <c r="Z406" s="604">
        <v>2016</v>
      </c>
      <c r="AA406" s="604" t="s">
        <v>453</v>
      </c>
      <c r="AB406" s="604" t="s">
        <v>454</v>
      </c>
      <c r="AC406" s="604" t="s">
        <v>134</v>
      </c>
      <c r="AD406" s="604" t="s">
        <v>424</v>
      </c>
      <c r="AE406" s="604">
        <v>2</v>
      </c>
      <c r="AF406" s="604">
        <v>434</v>
      </c>
      <c r="AG406" s="604">
        <v>4.5999999999999996</v>
      </c>
      <c r="AH406" s="604" t="s">
        <v>420</v>
      </c>
      <c r="AJ406" s="535" t="str">
        <f t="shared" si="61"/>
        <v>2016agedep40+Quin 4</v>
      </c>
      <c r="AK406" s="604">
        <v>2016</v>
      </c>
      <c r="AL406" s="604" t="s">
        <v>453</v>
      </c>
      <c r="AM406" s="604" t="s">
        <v>454</v>
      </c>
      <c r="AN406" s="604" t="s">
        <v>134</v>
      </c>
      <c r="AO406" s="604" t="s">
        <v>424</v>
      </c>
      <c r="AP406" s="604">
        <v>434</v>
      </c>
      <c r="AR406" s="538" t="str">
        <f t="shared" si="62"/>
        <v>UnknownbwtfetalWaikato</v>
      </c>
      <c r="AS406" s="604">
        <v>2016</v>
      </c>
      <c r="AT406" s="604" t="s">
        <v>63</v>
      </c>
      <c r="AU406" s="604" t="s">
        <v>447</v>
      </c>
      <c r="AV406" s="604" t="s">
        <v>89</v>
      </c>
      <c r="AW406" s="604">
        <v>5</v>
      </c>
      <c r="AX406" s="604">
        <v>9</v>
      </c>
      <c r="AY406" s="606" t="s">
        <v>119</v>
      </c>
      <c r="AZ406" s="604" t="s">
        <v>420</v>
      </c>
      <c r="BB406" s="536" t="str">
        <f t="shared" si="63"/>
        <v>42+gestbirthsWaikato</v>
      </c>
      <c r="BC406" s="604">
        <v>2016</v>
      </c>
      <c r="BD406" s="604" t="s">
        <v>138</v>
      </c>
      <c r="BE406" s="604" t="s">
        <v>450</v>
      </c>
      <c r="BF406" s="604" t="s">
        <v>89</v>
      </c>
      <c r="BG406" s="604">
        <v>196</v>
      </c>
      <c r="BH406" s="604" t="s">
        <v>445</v>
      </c>
      <c r="BY406" s="553" t="str">
        <f t="shared" si="64"/>
        <v>2016Quin 2depSIDS</v>
      </c>
      <c r="BZ406" s="604">
        <v>2016</v>
      </c>
      <c r="CA406" s="604" t="s">
        <v>422</v>
      </c>
      <c r="CB406" s="604" t="s">
        <v>454</v>
      </c>
      <c r="CC406" s="604">
        <v>2</v>
      </c>
      <c r="CD406" s="604" t="s">
        <v>32</v>
      </c>
      <c r="CF406" s="559" t="str">
        <f t="shared" si="65"/>
        <v>5yearsPacific peoplesInd/UnksexSIDS</v>
      </c>
      <c r="CG406" s="604" t="s">
        <v>475</v>
      </c>
      <c r="CH406" s="604" t="s">
        <v>320</v>
      </c>
      <c r="CI406" s="604" t="s">
        <v>458</v>
      </c>
      <c r="CJ406" s="604" t="s">
        <v>451</v>
      </c>
      <c r="CK406" s="604">
        <v>0</v>
      </c>
      <c r="CL406" s="604" t="s">
        <v>32</v>
      </c>
    </row>
    <row r="407" spans="9:90">
      <c r="I407" s="578" t="str">
        <f t="shared" si="58"/>
        <v>2010depQuin 9Fetal</v>
      </c>
      <c r="J407" s="604">
        <v>2010</v>
      </c>
      <c r="K407" s="604" t="s">
        <v>454</v>
      </c>
      <c r="L407" s="604" t="s">
        <v>426</v>
      </c>
      <c r="M407" s="604">
        <v>26</v>
      </c>
      <c r="N407" s="604">
        <v>2852</v>
      </c>
      <c r="O407" s="604" t="s">
        <v>119</v>
      </c>
      <c r="P407" s="604" t="s">
        <v>47</v>
      </c>
      <c r="Q407" s="499"/>
      <c r="R407" s="502" t="str">
        <f t="shared" si="59"/>
        <v>2002birthsdhbLakes</v>
      </c>
      <c r="S407" s="604">
        <v>2002</v>
      </c>
      <c r="T407" s="604" t="s">
        <v>445</v>
      </c>
      <c r="U407" s="604" t="s">
        <v>448</v>
      </c>
      <c r="V407" s="604" t="s">
        <v>90</v>
      </c>
      <c r="W407" s="604">
        <v>1500</v>
      </c>
      <c r="Y407" s="535" t="str">
        <f t="shared" si="60"/>
        <v>2016agedep&lt;20Quin 5fetal</v>
      </c>
      <c r="Z407" s="604">
        <v>2016</v>
      </c>
      <c r="AA407" s="604" t="s">
        <v>453</v>
      </c>
      <c r="AB407" s="604" t="s">
        <v>454</v>
      </c>
      <c r="AC407" s="604" t="s">
        <v>339</v>
      </c>
      <c r="AD407" s="604" t="s">
        <v>425</v>
      </c>
      <c r="AE407" s="604">
        <v>15</v>
      </c>
      <c r="AF407" s="604">
        <v>1291</v>
      </c>
      <c r="AG407" s="604">
        <v>11.5</v>
      </c>
      <c r="AH407" s="604" t="s">
        <v>420</v>
      </c>
      <c r="AJ407" s="535" t="str">
        <f t="shared" si="61"/>
        <v>2016agedep&lt;20Quin 5</v>
      </c>
      <c r="AK407" s="604">
        <v>2016</v>
      </c>
      <c r="AL407" s="604" t="s">
        <v>453</v>
      </c>
      <c r="AM407" s="604" t="s">
        <v>454</v>
      </c>
      <c r="AN407" s="604" t="s">
        <v>339</v>
      </c>
      <c r="AO407" s="604" t="s">
        <v>425</v>
      </c>
      <c r="AP407" s="604">
        <v>1291</v>
      </c>
      <c r="AR407" s="538" t="str">
        <f t="shared" si="62"/>
        <v>&lt;500bwtfetalLakes</v>
      </c>
      <c r="AS407" s="604">
        <v>2016</v>
      </c>
      <c r="AT407" s="604" t="s">
        <v>427</v>
      </c>
      <c r="AU407" s="604" t="s">
        <v>447</v>
      </c>
      <c r="AV407" s="604" t="s">
        <v>90</v>
      </c>
      <c r="AW407" s="604">
        <v>2</v>
      </c>
      <c r="AX407" s="604">
        <v>4</v>
      </c>
      <c r="AY407" s="606">
        <v>500</v>
      </c>
      <c r="AZ407" s="604" t="s">
        <v>420</v>
      </c>
      <c r="BB407" s="536" t="str">
        <f t="shared" si="63"/>
        <v>UnknowngestbirthsWaikato</v>
      </c>
      <c r="BC407" s="604">
        <v>2016</v>
      </c>
      <c r="BD407" s="604" t="s">
        <v>63</v>
      </c>
      <c r="BE407" s="604" t="s">
        <v>450</v>
      </c>
      <c r="BF407" s="604" t="s">
        <v>89</v>
      </c>
      <c r="BG407" s="604">
        <v>11</v>
      </c>
      <c r="BH407" s="604" t="s">
        <v>445</v>
      </c>
      <c r="BY407" s="553" t="str">
        <f t="shared" si="64"/>
        <v>2016Quin 3depSIDS</v>
      </c>
      <c r="BZ407" s="604">
        <v>2016</v>
      </c>
      <c r="CA407" s="604" t="s">
        <v>423</v>
      </c>
      <c r="CB407" s="604" t="s">
        <v>454</v>
      </c>
      <c r="CC407" s="604">
        <v>2</v>
      </c>
      <c r="CD407" s="604" t="s">
        <v>32</v>
      </c>
      <c r="CF407" s="559" t="str">
        <f t="shared" si="65"/>
        <v>5yearsAsianQuin 1depSIDS</v>
      </c>
      <c r="CG407" s="604" t="s">
        <v>475</v>
      </c>
      <c r="CH407" s="604" t="s">
        <v>355</v>
      </c>
      <c r="CI407" s="604" t="s">
        <v>421</v>
      </c>
      <c r="CJ407" s="604" t="s">
        <v>454</v>
      </c>
      <c r="CK407" s="604">
        <v>0</v>
      </c>
      <c r="CL407" s="604" t="s">
        <v>32</v>
      </c>
    </row>
    <row r="408" spans="9:90">
      <c r="I408" s="578" t="str">
        <f t="shared" si="58"/>
        <v>2011depQuin 1Fetal</v>
      </c>
      <c r="J408" s="604">
        <v>2011</v>
      </c>
      <c r="K408" s="604" t="s">
        <v>454</v>
      </c>
      <c r="L408" s="604" t="s">
        <v>421</v>
      </c>
      <c r="M408" s="604">
        <v>68</v>
      </c>
      <c r="N408" s="604">
        <v>8455</v>
      </c>
      <c r="O408" s="604">
        <v>8</v>
      </c>
      <c r="P408" s="604" t="s">
        <v>47</v>
      </c>
      <c r="Q408" s="499"/>
      <c r="R408" s="502" t="str">
        <f t="shared" si="59"/>
        <v>2002birthsdhbBay of Plenty</v>
      </c>
      <c r="S408" s="604">
        <v>2002</v>
      </c>
      <c r="T408" s="604" t="s">
        <v>445</v>
      </c>
      <c r="U408" s="604" t="s">
        <v>448</v>
      </c>
      <c r="V408" s="604" t="s">
        <v>91</v>
      </c>
      <c r="W408" s="604">
        <v>2560</v>
      </c>
      <c r="Y408" s="535" t="str">
        <f t="shared" si="60"/>
        <v>2016agedep20-24Quin 5fetal</v>
      </c>
      <c r="Z408" s="604">
        <v>2016</v>
      </c>
      <c r="AA408" s="604" t="s">
        <v>453</v>
      </c>
      <c r="AB408" s="604" t="s">
        <v>454</v>
      </c>
      <c r="AC408" s="604" t="s">
        <v>130</v>
      </c>
      <c r="AD408" s="604" t="s">
        <v>425</v>
      </c>
      <c r="AE408" s="604">
        <v>38</v>
      </c>
      <c r="AF408" s="604">
        <v>4284</v>
      </c>
      <c r="AG408" s="604">
        <v>8.8000000000000007</v>
      </c>
      <c r="AH408" s="604" t="s">
        <v>420</v>
      </c>
      <c r="AJ408" s="535" t="str">
        <f t="shared" si="61"/>
        <v>2016agedep20-24Quin 5</v>
      </c>
      <c r="AK408" s="604">
        <v>2016</v>
      </c>
      <c r="AL408" s="604" t="s">
        <v>453</v>
      </c>
      <c r="AM408" s="604" t="s">
        <v>454</v>
      </c>
      <c r="AN408" s="604" t="s">
        <v>130</v>
      </c>
      <c r="AO408" s="604" t="s">
        <v>425</v>
      </c>
      <c r="AP408" s="604">
        <v>4284</v>
      </c>
      <c r="AR408" s="538" t="str">
        <f t="shared" si="62"/>
        <v>500-999bwtfetalLakes</v>
      </c>
      <c r="AS408" s="604">
        <v>2016</v>
      </c>
      <c r="AT408" s="604" t="s">
        <v>428</v>
      </c>
      <c r="AU408" s="604" t="s">
        <v>447</v>
      </c>
      <c r="AV408" s="604" t="s">
        <v>90</v>
      </c>
      <c r="AW408" s="604">
        <v>3</v>
      </c>
      <c r="AX408" s="604">
        <v>10</v>
      </c>
      <c r="AY408" s="606">
        <v>300</v>
      </c>
      <c r="AZ408" s="604" t="s">
        <v>420</v>
      </c>
      <c r="BB408" s="536" t="str">
        <f t="shared" si="63"/>
        <v>&lt;28gestbirthsLakes</v>
      </c>
      <c r="BC408" s="604">
        <v>2016</v>
      </c>
      <c r="BD408" s="604" t="s">
        <v>375</v>
      </c>
      <c r="BE408" s="604" t="s">
        <v>450</v>
      </c>
      <c r="BF408" s="604" t="s">
        <v>90</v>
      </c>
      <c r="BG408" s="604">
        <v>10</v>
      </c>
      <c r="BH408" s="604" t="s">
        <v>445</v>
      </c>
      <c r="BY408" s="553" t="str">
        <f t="shared" si="64"/>
        <v>2016Quin 4depSIDS</v>
      </c>
      <c r="BZ408" s="604">
        <v>2016</v>
      </c>
      <c r="CA408" s="604" t="s">
        <v>424</v>
      </c>
      <c r="CB408" s="604" t="s">
        <v>454</v>
      </c>
      <c r="CC408" s="604">
        <v>6</v>
      </c>
      <c r="CD408" s="604" t="s">
        <v>32</v>
      </c>
      <c r="CF408" s="559" t="str">
        <f t="shared" si="65"/>
        <v>5yearsEuropean or OtherQuin 1depSIDS</v>
      </c>
      <c r="CG408" s="604" t="s">
        <v>475</v>
      </c>
      <c r="CH408" s="604" t="s">
        <v>356</v>
      </c>
      <c r="CI408" s="604" t="s">
        <v>421</v>
      </c>
      <c r="CJ408" s="604" t="s">
        <v>454</v>
      </c>
      <c r="CK408" s="604">
        <v>4</v>
      </c>
      <c r="CL408" s="604" t="s">
        <v>32</v>
      </c>
    </row>
    <row r="409" spans="9:90">
      <c r="I409" s="578" t="str">
        <f t="shared" si="58"/>
        <v>2011depQuin 2Fetal</v>
      </c>
      <c r="J409" s="604">
        <v>2011</v>
      </c>
      <c r="K409" s="604" t="s">
        <v>454</v>
      </c>
      <c r="L409" s="604" t="s">
        <v>422</v>
      </c>
      <c r="M409" s="604">
        <v>63</v>
      </c>
      <c r="N409" s="604">
        <v>9400</v>
      </c>
      <c r="O409" s="604">
        <v>6.7</v>
      </c>
      <c r="P409" s="604" t="s">
        <v>47</v>
      </c>
      <c r="Q409" s="499"/>
      <c r="R409" s="502" t="str">
        <f t="shared" si="59"/>
        <v>2002birthsdhbTairawhiti</v>
      </c>
      <c r="S409" s="604">
        <v>2002</v>
      </c>
      <c r="T409" s="604" t="s">
        <v>445</v>
      </c>
      <c r="U409" s="604" t="s">
        <v>448</v>
      </c>
      <c r="V409" s="604" t="s">
        <v>433</v>
      </c>
      <c r="W409" s="604">
        <v>759</v>
      </c>
      <c r="Y409" s="535" t="str">
        <f t="shared" si="60"/>
        <v>2016agedep25-29Quin 5fetal</v>
      </c>
      <c r="Z409" s="604">
        <v>2016</v>
      </c>
      <c r="AA409" s="604" t="s">
        <v>453</v>
      </c>
      <c r="AB409" s="604" t="s">
        <v>454</v>
      </c>
      <c r="AC409" s="604" t="s">
        <v>131</v>
      </c>
      <c r="AD409" s="604" t="s">
        <v>425</v>
      </c>
      <c r="AE409" s="604">
        <v>32</v>
      </c>
      <c r="AF409" s="604">
        <v>5031</v>
      </c>
      <c r="AG409" s="604">
        <v>6.3</v>
      </c>
      <c r="AH409" s="604" t="s">
        <v>420</v>
      </c>
      <c r="AJ409" s="535" t="str">
        <f t="shared" si="61"/>
        <v>2016agedep25-29Quin 5</v>
      </c>
      <c r="AK409" s="604">
        <v>2016</v>
      </c>
      <c r="AL409" s="604" t="s">
        <v>453</v>
      </c>
      <c r="AM409" s="604" t="s">
        <v>454</v>
      </c>
      <c r="AN409" s="604" t="s">
        <v>131</v>
      </c>
      <c r="AO409" s="604" t="s">
        <v>425</v>
      </c>
      <c r="AP409" s="604">
        <v>5031</v>
      </c>
      <c r="AR409" s="538" t="str">
        <f t="shared" si="62"/>
        <v>1500-2499bwtfetalLakes</v>
      </c>
      <c r="AS409" s="604">
        <v>2016</v>
      </c>
      <c r="AT409" s="604" t="s">
        <v>430</v>
      </c>
      <c r="AU409" s="604" t="s">
        <v>447</v>
      </c>
      <c r="AV409" s="604" t="s">
        <v>90</v>
      </c>
      <c r="AW409" s="604">
        <v>2</v>
      </c>
      <c r="AX409" s="604">
        <v>76</v>
      </c>
      <c r="AY409" s="606">
        <v>26.3</v>
      </c>
      <c r="AZ409" s="604" t="s">
        <v>420</v>
      </c>
      <c r="BB409" s="536" t="str">
        <f t="shared" si="63"/>
        <v>28-31gestbirthsLakes</v>
      </c>
      <c r="BC409" s="604">
        <v>2016</v>
      </c>
      <c r="BD409" s="604" t="s">
        <v>395</v>
      </c>
      <c r="BE409" s="604" t="s">
        <v>450</v>
      </c>
      <c r="BF409" s="604" t="s">
        <v>90</v>
      </c>
      <c r="BG409" s="604">
        <v>8</v>
      </c>
      <c r="BH409" s="604" t="s">
        <v>445</v>
      </c>
      <c r="BY409" s="553" t="str">
        <f t="shared" si="64"/>
        <v>2016Quin 5depSIDS</v>
      </c>
      <c r="BZ409" s="604">
        <v>2016</v>
      </c>
      <c r="CA409" s="604" t="s">
        <v>425</v>
      </c>
      <c r="CB409" s="604" t="s">
        <v>454</v>
      </c>
      <c r="CC409" s="604">
        <v>13</v>
      </c>
      <c r="CD409" s="604" t="s">
        <v>32</v>
      </c>
      <c r="CF409" s="559" t="str">
        <f t="shared" si="65"/>
        <v>5yearsMaoriQuin 1depSIDS</v>
      </c>
      <c r="CG409" s="604" t="s">
        <v>475</v>
      </c>
      <c r="CH409" s="604" t="s">
        <v>129</v>
      </c>
      <c r="CI409" s="604" t="s">
        <v>421</v>
      </c>
      <c r="CJ409" s="604" t="s">
        <v>454</v>
      </c>
      <c r="CK409" s="604">
        <v>2</v>
      </c>
      <c r="CL409" s="604" t="s">
        <v>32</v>
      </c>
    </row>
    <row r="410" spans="9:90">
      <c r="I410" s="578" t="str">
        <f t="shared" si="58"/>
        <v>2011depQuin 3Fetal</v>
      </c>
      <c r="J410" s="604">
        <v>2011</v>
      </c>
      <c r="K410" s="604" t="s">
        <v>454</v>
      </c>
      <c r="L410" s="604" t="s">
        <v>423</v>
      </c>
      <c r="M410" s="604">
        <v>77</v>
      </c>
      <c r="N410" s="604">
        <v>10879</v>
      </c>
      <c r="O410" s="604">
        <v>7.1</v>
      </c>
      <c r="P410" s="604" t="s">
        <v>47</v>
      </c>
      <c r="Q410" s="499"/>
      <c r="R410" s="502" t="str">
        <f t="shared" si="59"/>
        <v>2002birthsdhbHawke's Bay</v>
      </c>
      <c r="S410" s="604">
        <v>2002</v>
      </c>
      <c r="T410" s="604" t="s">
        <v>445</v>
      </c>
      <c r="U410" s="604" t="s">
        <v>448</v>
      </c>
      <c r="V410" s="604" t="s">
        <v>92</v>
      </c>
      <c r="W410" s="604">
        <v>2053</v>
      </c>
      <c r="Y410" s="535" t="str">
        <f t="shared" si="60"/>
        <v>2016agedep30-34Quin 5fetal</v>
      </c>
      <c r="Z410" s="604">
        <v>2016</v>
      </c>
      <c r="AA410" s="604" t="s">
        <v>453</v>
      </c>
      <c r="AB410" s="604" t="s">
        <v>454</v>
      </c>
      <c r="AC410" s="604" t="s">
        <v>132</v>
      </c>
      <c r="AD410" s="604" t="s">
        <v>425</v>
      </c>
      <c r="AE410" s="604">
        <v>20</v>
      </c>
      <c r="AF410" s="604">
        <v>3829</v>
      </c>
      <c r="AG410" s="604">
        <v>5.2</v>
      </c>
      <c r="AH410" s="604" t="s">
        <v>420</v>
      </c>
      <c r="AJ410" s="535" t="str">
        <f t="shared" si="61"/>
        <v>2016agedep30-34Quin 5</v>
      </c>
      <c r="AK410" s="604">
        <v>2016</v>
      </c>
      <c r="AL410" s="604" t="s">
        <v>453</v>
      </c>
      <c r="AM410" s="604" t="s">
        <v>454</v>
      </c>
      <c r="AN410" s="604" t="s">
        <v>132</v>
      </c>
      <c r="AO410" s="604" t="s">
        <v>425</v>
      </c>
      <c r="AP410" s="604">
        <v>3829</v>
      </c>
      <c r="AR410" s="538" t="str">
        <f t="shared" si="62"/>
        <v>2500-4499bwtfetalLakes</v>
      </c>
      <c r="AS410" s="604">
        <v>2016</v>
      </c>
      <c r="AT410" s="604" t="s">
        <v>431</v>
      </c>
      <c r="AU410" s="604" t="s">
        <v>447</v>
      </c>
      <c r="AV410" s="604" t="s">
        <v>90</v>
      </c>
      <c r="AW410" s="604">
        <v>6</v>
      </c>
      <c r="AX410" s="604">
        <v>1448</v>
      </c>
      <c r="AY410" s="606">
        <v>4.0999999999999996</v>
      </c>
      <c r="AZ410" s="604" t="s">
        <v>420</v>
      </c>
      <c r="BB410" s="536" t="str">
        <f t="shared" si="63"/>
        <v>32-36gestbirthsLakes</v>
      </c>
      <c r="BC410" s="604">
        <v>2016</v>
      </c>
      <c r="BD410" s="604" t="s">
        <v>136</v>
      </c>
      <c r="BE410" s="604" t="s">
        <v>450</v>
      </c>
      <c r="BF410" s="604" t="s">
        <v>90</v>
      </c>
      <c r="BG410" s="604">
        <v>86</v>
      </c>
      <c r="BH410" s="604" t="s">
        <v>445</v>
      </c>
      <c r="BY410" s="553" t="str">
        <f t="shared" si="64"/>
        <v>2016Quin 9depSIDS</v>
      </c>
      <c r="BZ410" s="604">
        <v>2016</v>
      </c>
      <c r="CA410" s="604" t="s">
        <v>426</v>
      </c>
      <c r="CB410" s="604" t="s">
        <v>454</v>
      </c>
      <c r="CC410" s="604">
        <v>0</v>
      </c>
      <c r="CD410" s="604" t="s">
        <v>32</v>
      </c>
      <c r="CF410" s="559" t="str">
        <f t="shared" si="65"/>
        <v>5yearsPacific peoplesQuin 1depSIDS</v>
      </c>
      <c r="CG410" s="604" t="s">
        <v>475</v>
      </c>
      <c r="CH410" s="604" t="s">
        <v>320</v>
      </c>
      <c r="CI410" s="604" t="s">
        <v>421</v>
      </c>
      <c r="CJ410" s="604" t="s">
        <v>454</v>
      </c>
      <c r="CK410" s="604">
        <v>0</v>
      </c>
      <c r="CL410" s="604" t="s">
        <v>32</v>
      </c>
    </row>
    <row r="411" spans="9:90">
      <c r="I411" s="578" t="str">
        <f t="shared" si="58"/>
        <v>2011depQuin 4Fetal</v>
      </c>
      <c r="J411" s="604">
        <v>2011</v>
      </c>
      <c r="K411" s="604" t="s">
        <v>454</v>
      </c>
      <c r="L411" s="604" t="s">
        <v>424</v>
      </c>
      <c r="M411" s="604">
        <v>97</v>
      </c>
      <c r="N411" s="604">
        <v>13374</v>
      </c>
      <c r="O411" s="604">
        <v>7.3</v>
      </c>
      <c r="P411" s="604" t="s">
        <v>47</v>
      </c>
      <c r="Q411" s="499"/>
      <c r="R411" s="502" t="str">
        <f t="shared" si="59"/>
        <v>2002birthsdhbTaranaki</v>
      </c>
      <c r="S411" s="604">
        <v>2002</v>
      </c>
      <c r="T411" s="604" t="s">
        <v>445</v>
      </c>
      <c r="U411" s="604" t="s">
        <v>448</v>
      </c>
      <c r="V411" s="604" t="s">
        <v>93</v>
      </c>
      <c r="W411" s="604">
        <v>1310</v>
      </c>
      <c r="Y411" s="535" t="str">
        <f t="shared" si="60"/>
        <v>2016agedep35-39Quin 5fetal</v>
      </c>
      <c r="Z411" s="604">
        <v>2016</v>
      </c>
      <c r="AA411" s="604" t="s">
        <v>453</v>
      </c>
      <c r="AB411" s="604" t="s">
        <v>454</v>
      </c>
      <c r="AC411" s="604" t="s">
        <v>133</v>
      </c>
      <c r="AD411" s="604" t="s">
        <v>425</v>
      </c>
      <c r="AE411" s="604">
        <v>17</v>
      </c>
      <c r="AF411" s="604">
        <v>1887</v>
      </c>
      <c r="AG411" s="604">
        <v>8.9</v>
      </c>
      <c r="AH411" s="604" t="s">
        <v>420</v>
      </c>
      <c r="AJ411" s="535" t="str">
        <f t="shared" si="61"/>
        <v>2016agedep35-39Quin 5</v>
      </c>
      <c r="AK411" s="604">
        <v>2016</v>
      </c>
      <c r="AL411" s="604" t="s">
        <v>453</v>
      </c>
      <c r="AM411" s="604" t="s">
        <v>454</v>
      </c>
      <c r="AN411" s="604" t="s">
        <v>133</v>
      </c>
      <c r="AO411" s="604" t="s">
        <v>425</v>
      </c>
      <c r="AP411" s="604">
        <v>1887</v>
      </c>
      <c r="AR411" s="538" t="str">
        <f t="shared" si="62"/>
        <v>&lt;500bwtfetalBay of Plenty</v>
      </c>
      <c r="AS411" s="604">
        <v>2016</v>
      </c>
      <c r="AT411" s="604" t="s">
        <v>427</v>
      </c>
      <c r="AU411" s="604" t="s">
        <v>447</v>
      </c>
      <c r="AV411" s="604" t="s">
        <v>91</v>
      </c>
      <c r="AW411" s="604">
        <v>12</v>
      </c>
      <c r="AX411" s="604">
        <v>15</v>
      </c>
      <c r="AY411" s="606">
        <v>800</v>
      </c>
      <c r="AZ411" s="604" t="s">
        <v>420</v>
      </c>
      <c r="BB411" s="536" t="str">
        <f t="shared" si="63"/>
        <v>37-41gestbirthsLakes</v>
      </c>
      <c r="BC411" s="604">
        <v>2016</v>
      </c>
      <c r="BD411" s="604" t="s">
        <v>137</v>
      </c>
      <c r="BE411" s="604" t="s">
        <v>450</v>
      </c>
      <c r="BF411" s="604" t="s">
        <v>90</v>
      </c>
      <c r="BG411" s="604">
        <v>1452</v>
      </c>
      <c r="BH411" s="604" t="s">
        <v>445</v>
      </c>
      <c r="BY411" s="553" t="str">
        <f t="shared" si="64"/>
        <v>2000NorthlanddhbSIDS</v>
      </c>
      <c r="BZ411" s="604">
        <v>2000</v>
      </c>
      <c r="CA411" s="604" t="s">
        <v>85</v>
      </c>
      <c r="CB411" s="604" t="s">
        <v>448</v>
      </c>
      <c r="CC411" s="604">
        <v>6</v>
      </c>
      <c r="CD411" s="604" t="s">
        <v>32</v>
      </c>
      <c r="CF411" s="559" t="str">
        <f t="shared" si="65"/>
        <v>5yearsAsianQuin 2depSIDS</v>
      </c>
      <c r="CG411" s="604" t="s">
        <v>475</v>
      </c>
      <c r="CH411" s="604" t="s">
        <v>355</v>
      </c>
      <c r="CI411" s="604" t="s">
        <v>422</v>
      </c>
      <c r="CJ411" s="604" t="s">
        <v>454</v>
      </c>
      <c r="CK411" s="604">
        <v>3</v>
      </c>
      <c r="CL411" s="604" t="s">
        <v>32</v>
      </c>
    </row>
    <row r="412" spans="9:90">
      <c r="I412" s="578" t="str">
        <f t="shared" si="58"/>
        <v>2011depQuin 5Fetal</v>
      </c>
      <c r="J412" s="604">
        <v>2011</v>
      </c>
      <c r="K412" s="604" t="s">
        <v>454</v>
      </c>
      <c r="L412" s="604" t="s">
        <v>425</v>
      </c>
      <c r="M412" s="604">
        <v>124</v>
      </c>
      <c r="N412" s="604">
        <v>17829</v>
      </c>
      <c r="O412" s="604">
        <v>7</v>
      </c>
      <c r="P412" s="604" t="s">
        <v>47</v>
      </c>
      <c r="Q412" s="499"/>
      <c r="R412" s="502" t="str">
        <f t="shared" si="59"/>
        <v>2002birthsdhbMidCentral</v>
      </c>
      <c r="S412" s="604">
        <v>2002</v>
      </c>
      <c r="T412" s="604" t="s">
        <v>445</v>
      </c>
      <c r="U412" s="604" t="s">
        <v>448</v>
      </c>
      <c r="V412" s="604" t="s">
        <v>94</v>
      </c>
      <c r="W412" s="604">
        <v>1974</v>
      </c>
      <c r="Y412" s="535" t="str">
        <f t="shared" si="60"/>
        <v>2016agedep40+Quin 5fetal</v>
      </c>
      <c r="Z412" s="604">
        <v>2016</v>
      </c>
      <c r="AA412" s="604" t="s">
        <v>453</v>
      </c>
      <c r="AB412" s="604" t="s">
        <v>454</v>
      </c>
      <c r="AC412" s="604" t="s">
        <v>134</v>
      </c>
      <c r="AD412" s="604" t="s">
        <v>425</v>
      </c>
      <c r="AE412" s="604">
        <v>4</v>
      </c>
      <c r="AF412" s="604">
        <v>564</v>
      </c>
      <c r="AG412" s="604">
        <v>7</v>
      </c>
      <c r="AH412" s="604" t="s">
        <v>420</v>
      </c>
      <c r="AJ412" s="535" t="str">
        <f t="shared" si="61"/>
        <v>2016agedep40+Quin 5</v>
      </c>
      <c r="AK412" s="604">
        <v>2016</v>
      </c>
      <c r="AL412" s="604" t="s">
        <v>453</v>
      </c>
      <c r="AM412" s="604" t="s">
        <v>454</v>
      </c>
      <c r="AN412" s="604" t="s">
        <v>134</v>
      </c>
      <c r="AO412" s="604" t="s">
        <v>425</v>
      </c>
      <c r="AP412" s="604">
        <v>564</v>
      </c>
      <c r="AR412" s="538" t="str">
        <f t="shared" si="62"/>
        <v>500-999bwtfetalBay of Plenty</v>
      </c>
      <c r="AS412" s="604">
        <v>2016</v>
      </c>
      <c r="AT412" s="604" t="s">
        <v>428</v>
      </c>
      <c r="AU412" s="604" t="s">
        <v>447</v>
      </c>
      <c r="AV412" s="604" t="s">
        <v>91</v>
      </c>
      <c r="AW412" s="604">
        <v>4</v>
      </c>
      <c r="AX412" s="604">
        <v>13</v>
      </c>
      <c r="AY412" s="606">
        <v>307.7</v>
      </c>
      <c r="AZ412" s="604" t="s">
        <v>420</v>
      </c>
      <c r="BB412" s="536" t="str">
        <f t="shared" si="63"/>
        <v>42+gestbirthsLakes</v>
      </c>
      <c r="BC412" s="604">
        <v>2016</v>
      </c>
      <c r="BD412" s="604" t="s">
        <v>138</v>
      </c>
      <c r="BE412" s="604" t="s">
        <v>450</v>
      </c>
      <c r="BF412" s="604" t="s">
        <v>90</v>
      </c>
      <c r="BG412" s="604">
        <v>12</v>
      </c>
      <c r="BH412" s="604" t="s">
        <v>445</v>
      </c>
      <c r="BY412" s="553" t="str">
        <f t="shared" si="64"/>
        <v>2000WaitematadhbSIDS</v>
      </c>
      <c r="BZ412" s="604">
        <v>2000</v>
      </c>
      <c r="CA412" s="604" t="s">
        <v>86</v>
      </c>
      <c r="CB412" s="604" t="s">
        <v>448</v>
      </c>
      <c r="CC412" s="604">
        <v>5</v>
      </c>
      <c r="CD412" s="604" t="s">
        <v>32</v>
      </c>
      <c r="CF412" s="559" t="str">
        <f t="shared" si="65"/>
        <v>5yearsEuropean or OtherQuin 2depSIDS</v>
      </c>
      <c r="CG412" s="604" t="s">
        <v>475</v>
      </c>
      <c r="CH412" s="604" t="s">
        <v>356</v>
      </c>
      <c r="CI412" s="604" t="s">
        <v>422</v>
      </c>
      <c r="CJ412" s="604" t="s">
        <v>454</v>
      </c>
      <c r="CK412" s="604">
        <v>7</v>
      </c>
      <c r="CL412" s="604" t="s">
        <v>32</v>
      </c>
    </row>
    <row r="413" spans="9:90">
      <c r="I413" s="578" t="str">
        <f t="shared" si="58"/>
        <v>2011depQuin 9Fetal</v>
      </c>
      <c r="J413" s="604">
        <v>2011</v>
      </c>
      <c r="K413" s="604" t="s">
        <v>454</v>
      </c>
      <c r="L413" s="604" t="s">
        <v>426</v>
      </c>
      <c r="M413" s="604">
        <v>22</v>
      </c>
      <c r="N413" s="604">
        <v>2688</v>
      </c>
      <c r="O413" s="604" t="s">
        <v>119</v>
      </c>
      <c r="P413" s="604" t="s">
        <v>47</v>
      </c>
      <c r="Q413" s="499"/>
      <c r="R413" s="502" t="str">
        <f t="shared" si="59"/>
        <v>2002birthsdhbWhanganui</v>
      </c>
      <c r="S413" s="604">
        <v>2002</v>
      </c>
      <c r="T413" s="604" t="s">
        <v>445</v>
      </c>
      <c r="U413" s="604" t="s">
        <v>448</v>
      </c>
      <c r="V413" s="604" t="s">
        <v>95</v>
      </c>
      <c r="W413" s="604">
        <v>861</v>
      </c>
      <c r="Y413" s="535" t="str">
        <f t="shared" si="60"/>
        <v>2016agedep&lt;20Quin 9fetal</v>
      </c>
      <c r="Z413" s="604">
        <v>2016</v>
      </c>
      <c r="AA413" s="604" t="s">
        <v>453</v>
      </c>
      <c r="AB413" s="604" t="s">
        <v>454</v>
      </c>
      <c r="AC413" s="604" t="s">
        <v>339</v>
      </c>
      <c r="AD413" s="604" t="s">
        <v>426</v>
      </c>
      <c r="AE413" s="604">
        <v>2</v>
      </c>
      <c r="AF413" s="604">
        <v>2</v>
      </c>
      <c r="AG413" s="604" t="s">
        <v>119</v>
      </c>
      <c r="AH413" s="604" t="s">
        <v>420</v>
      </c>
      <c r="AJ413" s="535" t="str">
        <f t="shared" si="61"/>
        <v>2016agedep&lt;20Quin 9</v>
      </c>
      <c r="AK413" s="604">
        <v>2016</v>
      </c>
      <c r="AL413" s="604" t="s">
        <v>453</v>
      </c>
      <c r="AM413" s="604" t="s">
        <v>454</v>
      </c>
      <c r="AN413" s="604" t="s">
        <v>339</v>
      </c>
      <c r="AO413" s="604" t="s">
        <v>426</v>
      </c>
      <c r="AP413" s="604">
        <v>2</v>
      </c>
      <c r="AR413" s="538" t="str">
        <f t="shared" si="62"/>
        <v>2500-4499bwtfetalBay of Plenty</v>
      </c>
      <c r="AS413" s="604">
        <v>2016</v>
      </c>
      <c r="AT413" s="604" t="s">
        <v>431</v>
      </c>
      <c r="AU413" s="604" t="s">
        <v>447</v>
      </c>
      <c r="AV413" s="604" t="s">
        <v>91</v>
      </c>
      <c r="AW413" s="604">
        <v>3</v>
      </c>
      <c r="AX413" s="604">
        <v>2719</v>
      </c>
      <c r="AY413" s="606">
        <v>1.1000000000000001</v>
      </c>
      <c r="AZ413" s="604" t="s">
        <v>420</v>
      </c>
      <c r="BB413" s="536" t="str">
        <f t="shared" si="63"/>
        <v>UnknowngestbirthsLakes</v>
      </c>
      <c r="BC413" s="604">
        <v>2016</v>
      </c>
      <c r="BD413" s="604" t="s">
        <v>63</v>
      </c>
      <c r="BE413" s="604" t="s">
        <v>450</v>
      </c>
      <c r="BF413" s="604" t="s">
        <v>90</v>
      </c>
      <c r="BG413" s="604">
        <v>1</v>
      </c>
      <c r="BH413" s="604" t="s">
        <v>445</v>
      </c>
      <c r="BY413" s="553" t="str">
        <f t="shared" si="64"/>
        <v>2000AucklanddhbSIDS</v>
      </c>
      <c r="BZ413" s="604">
        <v>2000</v>
      </c>
      <c r="CA413" s="604" t="s">
        <v>87</v>
      </c>
      <c r="CB413" s="604" t="s">
        <v>448</v>
      </c>
      <c r="CC413" s="604">
        <v>3</v>
      </c>
      <c r="CD413" s="604" t="s">
        <v>32</v>
      </c>
      <c r="CF413" s="559" t="str">
        <f t="shared" si="65"/>
        <v>5yearsMaoriQuin 2depSIDS</v>
      </c>
      <c r="CG413" s="604" t="s">
        <v>475</v>
      </c>
      <c r="CH413" s="604" t="s">
        <v>129</v>
      </c>
      <c r="CI413" s="604" t="s">
        <v>422</v>
      </c>
      <c r="CJ413" s="604" t="s">
        <v>454</v>
      </c>
      <c r="CK413" s="604">
        <v>1</v>
      </c>
      <c r="CL413" s="604" t="s">
        <v>32</v>
      </c>
    </row>
    <row r="414" spans="9:90">
      <c r="I414" s="578" t="str">
        <f t="shared" si="58"/>
        <v>2012depQuin 1Fetal</v>
      </c>
      <c r="J414" s="604">
        <v>2012</v>
      </c>
      <c r="K414" s="604" t="s">
        <v>454</v>
      </c>
      <c r="L414" s="604" t="s">
        <v>421</v>
      </c>
      <c r="M414" s="604">
        <v>50</v>
      </c>
      <c r="N414" s="604">
        <v>8351</v>
      </c>
      <c r="O414" s="604">
        <v>6</v>
      </c>
      <c r="P414" s="604" t="s">
        <v>47</v>
      </c>
      <c r="Q414" s="499"/>
      <c r="R414" s="502" t="str">
        <f t="shared" si="59"/>
        <v>2002birthsdhbCapital &amp; Coast</v>
      </c>
      <c r="S414" s="604">
        <v>2002</v>
      </c>
      <c r="T414" s="604" t="s">
        <v>445</v>
      </c>
      <c r="U414" s="604" t="s">
        <v>448</v>
      </c>
      <c r="V414" s="604" t="s">
        <v>96</v>
      </c>
      <c r="W414" s="604">
        <v>3562</v>
      </c>
      <c r="Y414" s="535" t="str">
        <f t="shared" si="60"/>
        <v>2016agedep20-24Quin 9fetal</v>
      </c>
      <c r="Z414" s="604">
        <v>2016</v>
      </c>
      <c r="AA414" s="604" t="s">
        <v>453</v>
      </c>
      <c r="AB414" s="604" t="s">
        <v>454</v>
      </c>
      <c r="AC414" s="604" t="s">
        <v>130</v>
      </c>
      <c r="AD414" s="604" t="s">
        <v>426</v>
      </c>
      <c r="AE414" s="604">
        <v>4</v>
      </c>
      <c r="AF414" s="604">
        <v>16</v>
      </c>
      <c r="AG414" s="604" t="s">
        <v>119</v>
      </c>
      <c r="AH414" s="604" t="s">
        <v>420</v>
      </c>
      <c r="AJ414" s="535" t="str">
        <f t="shared" si="61"/>
        <v>2016agedep20-24Quin 9</v>
      </c>
      <c r="AK414" s="604">
        <v>2016</v>
      </c>
      <c r="AL414" s="604" t="s">
        <v>453</v>
      </c>
      <c r="AM414" s="604" t="s">
        <v>454</v>
      </c>
      <c r="AN414" s="604" t="s">
        <v>130</v>
      </c>
      <c r="AO414" s="604" t="s">
        <v>426</v>
      </c>
      <c r="AP414" s="604">
        <v>16</v>
      </c>
      <c r="AR414" s="538" t="str">
        <f t="shared" si="62"/>
        <v>500-999bwtfetalTairawhiti</v>
      </c>
      <c r="AS414" s="604">
        <v>2016</v>
      </c>
      <c r="AT414" s="604" t="s">
        <v>428</v>
      </c>
      <c r="AU414" s="604" t="s">
        <v>447</v>
      </c>
      <c r="AV414" s="604" t="s">
        <v>433</v>
      </c>
      <c r="AW414" s="604">
        <v>2</v>
      </c>
      <c r="AX414" s="604">
        <v>4</v>
      </c>
      <c r="AY414" s="606">
        <v>500</v>
      </c>
      <c r="AZ414" s="604" t="s">
        <v>420</v>
      </c>
      <c r="BB414" s="536" t="str">
        <f t="shared" si="63"/>
        <v>&lt;28gestbirthsBay of Plenty</v>
      </c>
      <c r="BC414" s="604">
        <v>2016</v>
      </c>
      <c r="BD414" s="604" t="s">
        <v>375</v>
      </c>
      <c r="BE414" s="604" t="s">
        <v>450</v>
      </c>
      <c r="BF414" s="604" t="s">
        <v>91</v>
      </c>
      <c r="BG414" s="604">
        <v>11</v>
      </c>
      <c r="BH414" s="604" t="s">
        <v>445</v>
      </c>
      <c r="BY414" s="553" t="str">
        <f t="shared" si="64"/>
        <v>2000Counties ManukaudhbSIDS</v>
      </c>
      <c r="BZ414" s="604">
        <v>2000</v>
      </c>
      <c r="CA414" s="604" t="s">
        <v>88</v>
      </c>
      <c r="CB414" s="604" t="s">
        <v>448</v>
      </c>
      <c r="CC414" s="604">
        <v>10</v>
      </c>
      <c r="CD414" s="604" t="s">
        <v>32</v>
      </c>
      <c r="CF414" s="559" t="str">
        <f t="shared" si="65"/>
        <v>5yearsPacific peoplesQuin 2depSIDS</v>
      </c>
      <c r="CG414" s="604" t="s">
        <v>475</v>
      </c>
      <c r="CH414" s="604" t="s">
        <v>320</v>
      </c>
      <c r="CI414" s="604" t="s">
        <v>422</v>
      </c>
      <c r="CJ414" s="604" t="s">
        <v>454</v>
      </c>
      <c r="CK414" s="604">
        <v>0</v>
      </c>
      <c r="CL414" s="604" t="s">
        <v>32</v>
      </c>
    </row>
    <row r="415" spans="9:90">
      <c r="I415" s="578" t="str">
        <f t="shared" si="58"/>
        <v>2012depQuin 2Fetal</v>
      </c>
      <c r="J415" s="604">
        <v>2012</v>
      </c>
      <c r="K415" s="604" t="s">
        <v>454</v>
      </c>
      <c r="L415" s="604" t="s">
        <v>422</v>
      </c>
      <c r="M415" s="604">
        <v>67</v>
      </c>
      <c r="N415" s="604">
        <v>9423</v>
      </c>
      <c r="O415" s="604">
        <v>7.1</v>
      </c>
      <c r="P415" s="604" t="s">
        <v>47</v>
      </c>
      <c r="Q415" s="499"/>
      <c r="R415" s="502" t="str">
        <f t="shared" si="59"/>
        <v>2002birthsdhbHutt Valley</v>
      </c>
      <c r="S415" s="604">
        <v>2002</v>
      </c>
      <c r="T415" s="604" t="s">
        <v>445</v>
      </c>
      <c r="U415" s="604" t="s">
        <v>448</v>
      </c>
      <c r="V415" s="604" t="s">
        <v>97</v>
      </c>
      <c r="W415" s="604">
        <v>1894</v>
      </c>
      <c r="Y415" s="535" t="str">
        <f t="shared" si="60"/>
        <v>2016agedep25-29Quin 9fetal</v>
      </c>
      <c r="Z415" s="604">
        <v>2016</v>
      </c>
      <c r="AA415" s="604" t="s">
        <v>453</v>
      </c>
      <c r="AB415" s="604" t="s">
        <v>454</v>
      </c>
      <c r="AC415" s="604" t="s">
        <v>131</v>
      </c>
      <c r="AD415" s="604" t="s">
        <v>426</v>
      </c>
      <c r="AE415" s="604">
        <v>7</v>
      </c>
      <c r="AF415" s="604">
        <v>42</v>
      </c>
      <c r="AG415" s="604" t="s">
        <v>119</v>
      </c>
      <c r="AH415" s="604" t="s">
        <v>420</v>
      </c>
      <c r="AJ415" s="535" t="str">
        <f t="shared" si="61"/>
        <v>2016agedep25-29Quin 9</v>
      </c>
      <c r="AK415" s="604">
        <v>2016</v>
      </c>
      <c r="AL415" s="604" t="s">
        <v>453</v>
      </c>
      <c r="AM415" s="604" t="s">
        <v>454</v>
      </c>
      <c r="AN415" s="604" t="s">
        <v>131</v>
      </c>
      <c r="AO415" s="604" t="s">
        <v>426</v>
      </c>
      <c r="AP415" s="604">
        <v>42</v>
      </c>
      <c r="AR415" s="538" t="str">
        <f t="shared" si="62"/>
        <v>&lt;500bwtfetalHawke's Bay</v>
      </c>
      <c r="AS415" s="604">
        <v>2016</v>
      </c>
      <c r="AT415" s="604" t="s">
        <v>427</v>
      </c>
      <c r="AU415" s="604" t="s">
        <v>447</v>
      </c>
      <c r="AV415" s="604" t="s">
        <v>92</v>
      </c>
      <c r="AW415" s="604">
        <v>2</v>
      </c>
      <c r="AX415" s="604">
        <v>2</v>
      </c>
      <c r="AY415" s="606">
        <v>1000</v>
      </c>
      <c r="AZ415" s="604" t="s">
        <v>420</v>
      </c>
      <c r="BB415" s="536" t="str">
        <f t="shared" si="63"/>
        <v>28-31gestbirthsBay of Plenty</v>
      </c>
      <c r="BC415" s="604">
        <v>2016</v>
      </c>
      <c r="BD415" s="604" t="s">
        <v>395</v>
      </c>
      <c r="BE415" s="604" t="s">
        <v>450</v>
      </c>
      <c r="BF415" s="604" t="s">
        <v>91</v>
      </c>
      <c r="BG415" s="604">
        <v>24</v>
      </c>
      <c r="BH415" s="604" t="s">
        <v>445</v>
      </c>
      <c r="BY415" s="553" t="str">
        <f t="shared" si="64"/>
        <v>2000WaikatodhbSIDS</v>
      </c>
      <c r="BZ415" s="604">
        <v>2000</v>
      </c>
      <c r="CA415" s="604" t="s">
        <v>89</v>
      </c>
      <c r="CB415" s="604" t="s">
        <v>448</v>
      </c>
      <c r="CC415" s="604">
        <v>2</v>
      </c>
      <c r="CD415" s="604" t="s">
        <v>32</v>
      </c>
      <c r="CF415" s="559" t="str">
        <f t="shared" si="65"/>
        <v>5yearsAsianQuin 3depSIDS</v>
      </c>
      <c r="CG415" s="604" t="s">
        <v>475</v>
      </c>
      <c r="CH415" s="604" t="s">
        <v>355</v>
      </c>
      <c r="CI415" s="604" t="s">
        <v>423</v>
      </c>
      <c r="CJ415" s="604" t="s">
        <v>454</v>
      </c>
      <c r="CK415" s="604">
        <v>0</v>
      </c>
      <c r="CL415" s="604" t="s">
        <v>32</v>
      </c>
    </row>
    <row r="416" spans="9:90">
      <c r="I416" s="578" t="str">
        <f t="shared" si="58"/>
        <v>2012depQuin 3Fetal</v>
      </c>
      <c r="J416" s="604">
        <v>2012</v>
      </c>
      <c r="K416" s="604" t="s">
        <v>454</v>
      </c>
      <c r="L416" s="604" t="s">
        <v>423</v>
      </c>
      <c r="M416" s="604">
        <v>57</v>
      </c>
      <c r="N416" s="604">
        <v>10806</v>
      </c>
      <c r="O416" s="604">
        <v>5.3</v>
      </c>
      <c r="P416" s="604" t="s">
        <v>47</v>
      </c>
      <c r="Q416" s="499"/>
      <c r="R416" s="502" t="str">
        <f t="shared" si="59"/>
        <v>2002birthsdhbWairarapa</v>
      </c>
      <c r="S416" s="604">
        <v>2002</v>
      </c>
      <c r="T416" s="604" t="s">
        <v>445</v>
      </c>
      <c r="U416" s="604" t="s">
        <v>448</v>
      </c>
      <c r="V416" s="604" t="s">
        <v>98</v>
      </c>
      <c r="W416" s="604">
        <v>462</v>
      </c>
      <c r="Y416" s="535" t="str">
        <f t="shared" si="60"/>
        <v>2016agedep30-34Quin 9fetal</v>
      </c>
      <c r="Z416" s="604">
        <v>2016</v>
      </c>
      <c r="AA416" s="604" t="s">
        <v>453</v>
      </c>
      <c r="AB416" s="604" t="s">
        <v>454</v>
      </c>
      <c r="AC416" s="604" t="s">
        <v>132</v>
      </c>
      <c r="AD416" s="604" t="s">
        <v>426</v>
      </c>
      <c r="AE416" s="604">
        <v>3</v>
      </c>
      <c r="AF416" s="604">
        <v>44</v>
      </c>
      <c r="AG416" s="604" t="s">
        <v>119</v>
      </c>
      <c r="AH416" s="604" t="s">
        <v>420</v>
      </c>
      <c r="AJ416" s="535" t="str">
        <f t="shared" si="61"/>
        <v>2016agedep30-34Quin 9</v>
      </c>
      <c r="AK416" s="604">
        <v>2016</v>
      </c>
      <c r="AL416" s="604" t="s">
        <v>453</v>
      </c>
      <c r="AM416" s="604" t="s">
        <v>454</v>
      </c>
      <c r="AN416" s="604" t="s">
        <v>132</v>
      </c>
      <c r="AO416" s="604" t="s">
        <v>426</v>
      </c>
      <c r="AP416" s="604">
        <v>44</v>
      </c>
      <c r="AR416" s="538" t="str">
        <f t="shared" si="62"/>
        <v>1000-1499bwtfetalHawke's Bay</v>
      </c>
      <c r="AS416" s="604">
        <v>2016</v>
      </c>
      <c r="AT416" s="604" t="s">
        <v>429</v>
      </c>
      <c r="AU416" s="604" t="s">
        <v>447</v>
      </c>
      <c r="AV416" s="604" t="s">
        <v>92</v>
      </c>
      <c r="AW416" s="604">
        <v>1</v>
      </c>
      <c r="AX416" s="604">
        <v>10</v>
      </c>
      <c r="AY416" s="606">
        <v>100</v>
      </c>
      <c r="AZ416" s="604" t="s">
        <v>420</v>
      </c>
      <c r="BB416" s="536" t="str">
        <f t="shared" si="63"/>
        <v>32-36gestbirthsBay of Plenty</v>
      </c>
      <c r="BC416" s="604">
        <v>2016</v>
      </c>
      <c r="BD416" s="604" t="s">
        <v>136</v>
      </c>
      <c r="BE416" s="604" t="s">
        <v>450</v>
      </c>
      <c r="BF416" s="604" t="s">
        <v>91</v>
      </c>
      <c r="BG416" s="604">
        <v>180</v>
      </c>
      <c r="BH416" s="604" t="s">
        <v>445</v>
      </c>
      <c r="BY416" s="553" t="str">
        <f t="shared" si="64"/>
        <v>2000LakesdhbSIDS</v>
      </c>
      <c r="BZ416" s="604">
        <v>2000</v>
      </c>
      <c r="CA416" s="604" t="s">
        <v>90</v>
      </c>
      <c r="CB416" s="604" t="s">
        <v>448</v>
      </c>
      <c r="CC416" s="604">
        <v>2</v>
      </c>
      <c r="CD416" s="604" t="s">
        <v>32</v>
      </c>
      <c r="CF416" s="559" t="str">
        <f t="shared" si="65"/>
        <v>5yearsEuropean or OtherQuin 3depSIDS</v>
      </c>
      <c r="CG416" s="604" t="s">
        <v>475</v>
      </c>
      <c r="CH416" s="604" t="s">
        <v>356</v>
      </c>
      <c r="CI416" s="604" t="s">
        <v>423</v>
      </c>
      <c r="CJ416" s="604" t="s">
        <v>454</v>
      </c>
      <c r="CK416" s="604">
        <v>2</v>
      </c>
      <c r="CL416" s="604" t="s">
        <v>32</v>
      </c>
    </row>
    <row r="417" spans="9:90">
      <c r="I417" s="578" t="str">
        <f t="shared" si="58"/>
        <v>2012depQuin 4Fetal</v>
      </c>
      <c r="J417" s="604">
        <v>2012</v>
      </c>
      <c r="K417" s="604" t="s">
        <v>454</v>
      </c>
      <c r="L417" s="604" t="s">
        <v>424</v>
      </c>
      <c r="M417" s="604">
        <v>91</v>
      </c>
      <c r="N417" s="604">
        <v>13404</v>
      </c>
      <c r="O417" s="604">
        <v>6.8</v>
      </c>
      <c r="P417" s="604" t="s">
        <v>47</v>
      </c>
      <c r="Q417" s="499"/>
      <c r="R417" s="502" t="str">
        <f t="shared" si="59"/>
        <v>2002birthsdhbNelson Marlborough</v>
      </c>
      <c r="S417" s="604">
        <v>2002</v>
      </c>
      <c r="T417" s="604" t="s">
        <v>445</v>
      </c>
      <c r="U417" s="604" t="s">
        <v>448</v>
      </c>
      <c r="V417" s="604" t="s">
        <v>99</v>
      </c>
      <c r="W417" s="604">
        <v>1442</v>
      </c>
      <c r="Y417" s="535" t="str">
        <f t="shared" si="60"/>
        <v>2016agedep35-39Quin 9fetal</v>
      </c>
      <c r="Z417" s="604">
        <v>2016</v>
      </c>
      <c r="AA417" s="604" t="s">
        <v>453</v>
      </c>
      <c r="AB417" s="604" t="s">
        <v>454</v>
      </c>
      <c r="AC417" s="604" t="s">
        <v>133</v>
      </c>
      <c r="AD417" s="604" t="s">
        <v>426</v>
      </c>
      <c r="AE417" s="604">
        <v>4</v>
      </c>
      <c r="AF417" s="604">
        <v>22</v>
      </c>
      <c r="AG417" s="604" t="s">
        <v>119</v>
      </c>
      <c r="AH417" s="604" t="s">
        <v>420</v>
      </c>
      <c r="AJ417" s="535" t="str">
        <f t="shared" si="61"/>
        <v>2016agedep35-39Quin 9</v>
      </c>
      <c r="AK417" s="604">
        <v>2016</v>
      </c>
      <c r="AL417" s="604" t="s">
        <v>453</v>
      </c>
      <c r="AM417" s="604" t="s">
        <v>454</v>
      </c>
      <c r="AN417" s="604" t="s">
        <v>133</v>
      </c>
      <c r="AO417" s="604" t="s">
        <v>426</v>
      </c>
      <c r="AP417" s="604">
        <v>22</v>
      </c>
      <c r="AR417" s="538" t="str">
        <f t="shared" si="62"/>
        <v>2500-4499bwtfetalHawke's Bay</v>
      </c>
      <c r="AS417" s="604">
        <v>2016</v>
      </c>
      <c r="AT417" s="604" t="s">
        <v>431</v>
      </c>
      <c r="AU417" s="604" t="s">
        <v>447</v>
      </c>
      <c r="AV417" s="604" t="s">
        <v>92</v>
      </c>
      <c r="AW417" s="604">
        <v>3</v>
      </c>
      <c r="AX417" s="604">
        <v>1914</v>
      </c>
      <c r="AY417" s="606">
        <v>1.6</v>
      </c>
      <c r="AZ417" s="604" t="s">
        <v>420</v>
      </c>
      <c r="BB417" s="536" t="str">
        <f t="shared" si="63"/>
        <v>37-41gestbirthsBay of Plenty</v>
      </c>
      <c r="BC417" s="604">
        <v>2016</v>
      </c>
      <c r="BD417" s="604" t="s">
        <v>137</v>
      </c>
      <c r="BE417" s="604" t="s">
        <v>450</v>
      </c>
      <c r="BF417" s="604" t="s">
        <v>91</v>
      </c>
      <c r="BG417" s="604">
        <v>2674</v>
      </c>
      <c r="BH417" s="604" t="s">
        <v>445</v>
      </c>
      <c r="BY417" s="553" t="str">
        <f t="shared" si="64"/>
        <v>2000Bay of PlentydhbSIDS</v>
      </c>
      <c r="BZ417" s="604">
        <v>2000</v>
      </c>
      <c r="CA417" s="604" t="s">
        <v>91</v>
      </c>
      <c r="CB417" s="604" t="s">
        <v>448</v>
      </c>
      <c r="CC417" s="604">
        <v>6</v>
      </c>
      <c r="CD417" s="604" t="s">
        <v>32</v>
      </c>
      <c r="CF417" s="559" t="str">
        <f t="shared" si="65"/>
        <v>5yearsMaoriQuin 3depSIDS</v>
      </c>
      <c r="CG417" s="604" t="s">
        <v>475</v>
      </c>
      <c r="CH417" s="604" t="s">
        <v>129</v>
      </c>
      <c r="CI417" s="604" t="s">
        <v>423</v>
      </c>
      <c r="CJ417" s="604" t="s">
        <v>454</v>
      </c>
      <c r="CK417" s="604">
        <v>4</v>
      </c>
      <c r="CL417" s="604" t="s">
        <v>32</v>
      </c>
    </row>
    <row r="418" spans="9:90">
      <c r="I418" s="578" t="str">
        <f t="shared" si="58"/>
        <v>2012depQuin 5Fetal</v>
      </c>
      <c r="J418" s="604">
        <v>2012</v>
      </c>
      <c r="K418" s="604" t="s">
        <v>454</v>
      </c>
      <c r="L418" s="604" t="s">
        <v>425</v>
      </c>
      <c r="M418" s="604">
        <v>159</v>
      </c>
      <c r="N418" s="604">
        <v>17830</v>
      </c>
      <c r="O418" s="604">
        <v>8.9</v>
      </c>
      <c r="P418" s="604" t="s">
        <v>47</v>
      </c>
      <c r="Q418" s="499"/>
      <c r="R418" s="502" t="str">
        <f t="shared" si="59"/>
        <v>2002birthsdhbWest Coast</v>
      </c>
      <c r="S418" s="604">
        <v>2002</v>
      </c>
      <c r="T418" s="604" t="s">
        <v>445</v>
      </c>
      <c r="U418" s="604" t="s">
        <v>448</v>
      </c>
      <c r="V418" s="604" t="s">
        <v>100</v>
      </c>
      <c r="W418" s="604">
        <v>330</v>
      </c>
      <c r="Y418" s="535" t="str">
        <f t="shared" si="60"/>
        <v>2016agedep40+Quin 9fetal</v>
      </c>
      <c r="Z418" s="604">
        <v>2016</v>
      </c>
      <c r="AA418" s="604" t="s">
        <v>453</v>
      </c>
      <c r="AB418" s="604" t="s">
        <v>454</v>
      </c>
      <c r="AC418" s="604" t="s">
        <v>134</v>
      </c>
      <c r="AD418" s="604" t="s">
        <v>426</v>
      </c>
      <c r="AE418" s="604">
        <v>2</v>
      </c>
      <c r="AF418" s="604">
        <v>5</v>
      </c>
      <c r="AG418" s="604" t="s">
        <v>119</v>
      </c>
      <c r="AH418" s="604" t="s">
        <v>420</v>
      </c>
      <c r="AJ418" s="535" t="str">
        <f t="shared" si="61"/>
        <v>2016agedep40+Quin 9</v>
      </c>
      <c r="AK418" s="604">
        <v>2016</v>
      </c>
      <c r="AL418" s="604" t="s">
        <v>453</v>
      </c>
      <c r="AM418" s="604" t="s">
        <v>454</v>
      </c>
      <c r="AN418" s="604" t="s">
        <v>134</v>
      </c>
      <c r="AO418" s="604" t="s">
        <v>426</v>
      </c>
      <c r="AP418" s="604">
        <v>5</v>
      </c>
      <c r="AR418" s="538" t="str">
        <f t="shared" si="62"/>
        <v>UnknownbwtfetalHawke's Bay</v>
      </c>
      <c r="AS418" s="604">
        <v>2016</v>
      </c>
      <c r="AT418" s="604" t="s">
        <v>63</v>
      </c>
      <c r="AU418" s="604" t="s">
        <v>447</v>
      </c>
      <c r="AV418" s="604" t="s">
        <v>92</v>
      </c>
      <c r="AW418" s="604">
        <v>1</v>
      </c>
      <c r="AX418" s="604">
        <v>4</v>
      </c>
      <c r="AY418" s="606" t="s">
        <v>119</v>
      </c>
      <c r="AZ418" s="604" t="s">
        <v>420</v>
      </c>
      <c r="BB418" s="536" t="str">
        <f t="shared" si="63"/>
        <v>42+gestbirthsBay of Plenty</v>
      </c>
      <c r="BC418" s="604">
        <v>2016</v>
      </c>
      <c r="BD418" s="604" t="s">
        <v>138</v>
      </c>
      <c r="BE418" s="604" t="s">
        <v>450</v>
      </c>
      <c r="BF418" s="604" t="s">
        <v>91</v>
      </c>
      <c r="BG418" s="604">
        <v>46</v>
      </c>
      <c r="BH418" s="604" t="s">
        <v>445</v>
      </c>
      <c r="BY418" s="553" t="str">
        <f t="shared" si="64"/>
        <v>2000TairawhitidhbSIDS</v>
      </c>
      <c r="BZ418" s="604">
        <v>2000</v>
      </c>
      <c r="CA418" s="604" t="s">
        <v>433</v>
      </c>
      <c r="CB418" s="604" t="s">
        <v>448</v>
      </c>
      <c r="CC418" s="604">
        <v>2</v>
      </c>
      <c r="CD418" s="604" t="s">
        <v>32</v>
      </c>
      <c r="CF418" s="559" t="str">
        <f t="shared" si="65"/>
        <v>5yearsPacific peoplesQuin 3depSIDS</v>
      </c>
      <c r="CG418" s="604" t="s">
        <v>475</v>
      </c>
      <c r="CH418" s="604" t="s">
        <v>320</v>
      </c>
      <c r="CI418" s="604" t="s">
        <v>423</v>
      </c>
      <c r="CJ418" s="604" t="s">
        <v>454</v>
      </c>
      <c r="CK418" s="604">
        <v>2</v>
      </c>
      <c r="CL418" s="604" t="s">
        <v>32</v>
      </c>
    </row>
    <row r="419" spans="9:90">
      <c r="I419" s="578" t="str">
        <f t="shared" si="58"/>
        <v>2012depQuin 9Fetal</v>
      </c>
      <c r="J419" s="604">
        <v>2012</v>
      </c>
      <c r="K419" s="604" t="s">
        <v>454</v>
      </c>
      <c r="L419" s="604" t="s">
        <v>426</v>
      </c>
      <c r="M419" s="604">
        <v>24</v>
      </c>
      <c r="N419" s="604">
        <v>2669</v>
      </c>
      <c r="O419" s="604" t="s">
        <v>119</v>
      </c>
      <c r="P419" s="604" t="s">
        <v>47</v>
      </c>
      <c r="Q419" s="499"/>
      <c r="R419" s="502" t="str">
        <f t="shared" si="59"/>
        <v>2002birthsdhbCanterbury</v>
      </c>
      <c r="S419" s="604">
        <v>2002</v>
      </c>
      <c r="T419" s="604" t="s">
        <v>445</v>
      </c>
      <c r="U419" s="604" t="s">
        <v>448</v>
      </c>
      <c r="V419" s="604" t="s">
        <v>101</v>
      </c>
      <c r="W419" s="604">
        <v>5342</v>
      </c>
      <c r="Y419" s="535" t="str">
        <f t="shared" si="60"/>
        <v>2016gestdep&lt;28Quin 1fetal</v>
      </c>
      <c r="Z419" s="604">
        <v>2016</v>
      </c>
      <c r="AA419" s="604" t="s">
        <v>450</v>
      </c>
      <c r="AB419" s="604" t="s">
        <v>454</v>
      </c>
      <c r="AC419" s="604" t="s">
        <v>375</v>
      </c>
      <c r="AD419" s="604" t="s">
        <v>421</v>
      </c>
      <c r="AE419" s="604">
        <v>28</v>
      </c>
      <c r="AF419" s="604">
        <v>36</v>
      </c>
      <c r="AG419" s="604">
        <v>437.5</v>
      </c>
      <c r="AH419" s="604" t="s">
        <v>420</v>
      </c>
      <c r="AJ419" s="535" t="str">
        <f t="shared" si="61"/>
        <v>2016gestdep&lt;28Quin 1</v>
      </c>
      <c r="AK419" s="604">
        <v>2016</v>
      </c>
      <c r="AL419" s="604" t="s">
        <v>450</v>
      </c>
      <c r="AM419" s="604" t="s">
        <v>454</v>
      </c>
      <c r="AN419" s="604" t="s">
        <v>375</v>
      </c>
      <c r="AO419" s="604" t="s">
        <v>421</v>
      </c>
      <c r="AP419" s="604">
        <v>36</v>
      </c>
      <c r="AR419" s="538" t="str">
        <f t="shared" si="62"/>
        <v>&lt;500bwtfetalTaranaki</v>
      </c>
      <c r="AS419" s="604">
        <v>2016</v>
      </c>
      <c r="AT419" s="604" t="s">
        <v>427</v>
      </c>
      <c r="AU419" s="604" t="s">
        <v>447</v>
      </c>
      <c r="AV419" s="604" t="s">
        <v>93</v>
      </c>
      <c r="AW419" s="604">
        <v>3</v>
      </c>
      <c r="AX419" s="604">
        <v>5</v>
      </c>
      <c r="AY419" s="606">
        <v>600</v>
      </c>
      <c r="AZ419" s="604" t="s">
        <v>420</v>
      </c>
      <c r="BB419" s="536" t="str">
        <f t="shared" si="63"/>
        <v>UnknowngestbirthsBay of Plenty</v>
      </c>
      <c r="BC419" s="604">
        <v>2016</v>
      </c>
      <c r="BD419" s="604" t="s">
        <v>63</v>
      </c>
      <c r="BE419" s="604" t="s">
        <v>450</v>
      </c>
      <c r="BF419" s="604" t="s">
        <v>91</v>
      </c>
      <c r="BG419" s="604">
        <v>5</v>
      </c>
      <c r="BH419" s="604" t="s">
        <v>445</v>
      </c>
      <c r="BY419" s="553" t="str">
        <f t="shared" si="64"/>
        <v>2000Hawke's BaydhbSIDS</v>
      </c>
      <c r="BZ419" s="604">
        <v>2000</v>
      </c>
      <c r="CA419" s="604" t="s">
        <v>92</v>
      </c>
      <c r="CB419" s="604" t="s">
        <v>448</v>
      </c>
      <c r="CC419" s="604">
        <v>5</v>
      </c>
      <c r="CD419" s="604" t="s">
        <v>32</v>
      </c>
      <c r="CF419" s="559" t="str">
        <f t="shared" si="65"/>
        <v>5yearsAsianQuin 4depSIDS</v>
      </c>
      <c r="CG419" s="604" t="s">
        <v>475</v>
      </c>
      <c r="CH419" s="604" t="s">
        <v>355</v>
      </c>
      <c r="CI419" s="604" t="s">
        <v>424</v>
      </c>
      <c r="CJ419" s="604" t="s">
        <v>454</v>
      </c>
      <c r="CK419" s="604">
        <v>0</v>
      </c>
      <c r="CL419" s="604" t="s">
        <v>32</v>
      </c>
    </row>
    <row r="420" spans="9:90">
      <c r="I420" s="578" t="str">
        <f t="shared" si="58"/>
        <v>2013depQuin 1Fetal</v>
      </c>
      <c r="J420" s="604">
        <v>2013</v>
      </c>
      <c r="K420" s="604" t="s">
        <v>454</v>
      </c>
      <c r="L420" s="604" t="s">
        <v>421</v>
      </c>
      <c r="M420" s="604">
        <v>44</v>
      </c>
      <c r="N420" s="604">
        <v>8231</v>
      </c>
      <c r="O420" s="604">
        <v>5.3</v>
      </c>
      <c r="P420" s="604" t="s">
        <v>47</v>
      </c>
      <c r="Q420" s="499"/>
      <c r="R420" s="502" t="str">
        <f t="shared" si="59"/>
        <v>2002birthsdhbSouth Canterbury</v>
      </c>
      <c r="S420" s="604">
        <v>2002</v>
      </c>
      <c r="T420" s="604" t="s">
        <v>445</v>
      </c>
      <c r="U420" s="604" t="s">
        <v>448</v>
      </c>
      <c r="V420" s="604" t="s">
        <v>102</v>
      </c>
      <c r="W420" s="604">
        <v>547</v>
      </c>
      <c r="Y420" s="535" t="str">
        <f t="shared" si="60"/>
        <v>2016gestdep28-31Quin 1fetal</v>
      </c>
      <c r="Z420" s="604">
        <v>2016</v>
      </c>
      <c r="AA420" s="604" t="s">
        <v>450</v>
      </c>
      <c r="AB420" s="604" t="s">
        <v>454</v>
      </c>
      <c r="AC420" s="604" t="s">
        <v>395</v>
      </c>
      <c r="AD420" s="604" t="s">
        <v>421</v>
      </c>
      <c r="AE420" s="604">
        <v>4</v>
      </c>
      <c r="AF420" s="604">
        <v>60</v>
      </c>
      <c r="AG420" s="604">
        <v>62.5</v>
      </c>
      <c r="AH420" s="604" t="s">
        <v>420</v>
      </c>
      <c r="AJ420" s="535" t="str">
        <f t="shared" si="61"/>
        <v>2016gestdep28-31Quin 1</v>
      </c>
      <c r="AK420" s="604">
        <v>2016</v>
      </c>
      <c r="AL420" s="604" t="s">
        <v>450</v>
      </c>
      <c r="AM420" s="604" t="s">
        <v>454</v>
      </c>
      <c r="AN420" s="604" t="s">
        <v>395</v>
      </c>
      <c r="AO420" s="604" t="s">
        <v>421</v>
      </c>
      <c r="AP420" s="604">
        <v>60</v>
      </c>
      <c r="AR420" s="538" t="str">
        <f t="shared" si="62"/>
        <v>500-999bwtfetalTaranaki</v>
      </c>
      <c r="AS420" s="604">
        <v>2016</v>
      </c>
      <c r="AT420" s="604" t="s">
        <v>428</v>
      </c>
      <c r="AU420" s="604" t="s">
        <v>447</v>
      </c>
      <c r="AV420" s="604" t="s">
        <v>93</v>
      </c>
      <c r="AW420" s="604">
        <v>2</v>
      </c>
      <c r="AX420" s="604">
        <v>6</v>
      </c>
      <c r="AY420" s="606">
        <v>333.3</v>
      </c>
      <c r="AZ420" s="604" t="s">
        <v>420</v>
      </c>
      <c r="BB420" s="536" t="str">
        <f t="shared" si="63"/>
        <v>&lt;28gestbirthsTairawhiti</v>
      </c>
      <c r="BC420" s="604">
        <v>2016</v>
      </c>
      <c r="BD420" s="604" t="s">
        <v>375</v>
      </c>
      <c r="BE420" s="604" t="s">
        <v>450</v>
      </c>
      <c r="BF420" s="604" t="s">
        <v>433</v>
      </c>
      <c r="BG420" s="604">
        <v>3</v>
      </c>
      <c r="BH420" s="604" t="s">
        <v>445</v>
      </c>
      <c r="BY420" s="553" t="str">
        <f t="shared" si="64"/>
        <v>2000TaranakidhbSIDS</v>
      </c>
      <c r="BZ420" s="604">
        <v>2000</v>
      </c>
      <c r="CA420" s="604" t="s">
        <v>93</v>
      </c>
      <c r="CB420" s="604" t="s">
        <v>448</v>
      </c>
      <c r="CC420" s="604">
        <v>2</v>
      </c>
      <c r="CD420" s="604" t="s">
        <v>32</v>
      </c>
      <c r="CF420" s="559" t="str">
        <f t="shared" si="65"/>
        <v>5yearsEuropean or OtherQuin 4depSIDS</v>
      </c>
      <c r="CG420" s="604" t="s">
        <v>475</v>
      </c>
      <c r="CH420" s="604" t="s">
        <v>356</v>
      </c>
      <c r="CI420" s="604" t="s">
        <v>424</v>
      </c>
      <c r="CJ420" s="604" t="s">
        <v>454</v>
      </c>
      <c r="CK420" s="604">
        <v>12</v>
      </c>
      <c r="CL420" s="604" t="s">
        <v>32</v>
      </c>
    </row>
    <row r="421" spans="9:90">
      <c r="I421" s="578" t="str">
        <f t="shared" si="58"/>
        <v>2013depQuin 2Fetal</v>
      </c>
      <c r="J421" s="604">
        <v>2013</v>
      </c>
      <c r="K421" s="604" t="s">
        <v>454</v>
      </c>
      <c r="L421" s="604" t="s">
        <v>422</v>
      </c>
      <c r="M421" s="604">
        <v>50</v>
      </c>
      <c r="N421" s="604">
        <v>9307</v>
      </c>
      <c r="O421" s="604">
        <v>5.4</v>
      </c>
      <c r="P421" s="604" t="s">
        <v>47</v>
      </c>
      <c r="Q421" s="499"/>
      <c r="R421" s="502" t="str">
        <f t="shared" si="59"/>
        <v>2002birthsdhbSouthern</v>
      </c>
      <c r="S421" s="604">
        <v>2002</v>
      </c>
      <c r="T421" s="604" t="s">
        <v>445</v>
      </c>
      <c r="U421" s="604" t="s">
        <v>448</v>
      </c>
      <c r="V421" s="604" t="s">
        <v>103</v>
      </c>
      <c r="W421" s="604">
        <v>3285</v>
      </c>
      <c r="Y421" s="535" t="str">
        <f t="shared" si="60"/>
        <v>2016gestdep32-36Quin 1fetal</v>
      </c>
      <c r="Z421" s="604">
        <v>2016</v>
      </c>
      <c r="AA421" s="604" t="s">
        <v>450</v>
      </c>
      <c r="AB421" s="604" t="s">
        <v>454</v>
      </c>
      <c r="AC421" s="604" t="s">
        <v>136</v>
      </c>
      <c r="AD421" s="604" t="s">
        <v>421</v>
      </c>
      <c r="AE421" s="604">
        <v>2</v>
      </c>
      <c r="AF421" s="604">
        <v>574</v>
      </c>
      <c r="AG421" s="604">
        <v>3.5</v>
      </c>
      <c r="AH421" s="604" t="s">
        <v>420</v>
      </c>
      <c r="AJ421" s="535" t="str">
        <f t="shared" si="61"/>
        <v>2016gestdep32-36Quin 1</v>
      </c>
      <c r="AK421" s="604">
        <v>2016</v>
      </c>
      <c r="AL421" s="604" t="s">
        <v>450</v>
      </c>
      <c r="AM421" s="604" t="s">
        <v>454</v>
      </c>
      <c r="AN421" s="604" t="s">
        <v>136</v>
      </c>
      <c r="AO421" s="604" t="s">
        <v>421</v>
      </c>
      <c r="AP421" s="604">
        <v>574</v>
      </c>
      <c r="AR421" s="538" t="str">
        <f t="shared" si="62"/>
        <v>1500-2499bwtfetalTaranaki</v>
      </c>
      <c r="AS421" s="604">
        <v>2016</v>
      </c>
      <c r="AT421" s="604" t="s">
        <v>430</v>
      </c>
      <c r="AU421" s="604" t="s">
        <v>447</v>
      </c>
      <c r="AV421" s="604" t="s">
        <v>93</v>
      </c>
      <c r="AW421" s="604">
        <v>3</v>
      </c>
      <c r="AX421" s="604">
        <v>88</v>
      </c>
      <c r="AY421" s="606">
        <v>34.1</v>
      </c>
      <c r="AZ421" s="604" t="s">
        <v>420</v>
      </c>
      <c r="BB421" s="536" t="str">
        <f t="shared" si="63"/>
        <v>28-31gestbirthsTairawhiti</v>
      </c>
      <c r="BC421" s="604">
        <v>2016</v>
      </c>
      <c r="BD421" s="604" t="s">
        <v>395</v>
      </c>
      <c r="BE421" s="604" t="s">
        <v>450</v>
      </c>
      <c r="BF421" s="604" t="s">
        <v>433</v>
      </c>
      <c r="BG421" s="604">
        <v>4</v>
      </c>
      <c r="BH421" s="604" t="s">
        <v>445</v>
      </c>
      <c r="BY421" s="553" t="str">
        <f t="shared" si="64"/>
        <v>2000MidCentraldhbSIDS</v>
      </c>
      <c r="BZ421" s="604">
        <v>2000</v>
      </c>
      <c r="CA421" s="604" t="s">
        <v>94</v>
      </c>
      <c r="CB421" s="604" t="s">
        <v>448</v>
      </c>
      <c r="CC421" s="604">
        <v>5</v>
      </c>
      <c r="CD421" s="604" t="s">
        <v>32</v>
      </c>
      <c r="CF421" s="559" t="str">
        <f t="shared" si="65"/>
        <v>5yearsMaoriQuin 4depSIDS</v>
      </c>
      <c r="CG421" s="604" t="s">
        <v>475</v>
      </c>
      <c r="CH421" s="604" t="s">
        <v>129</v>
      </c>
      <c r="CI421" s="604" t="s">
        <v>424</v>
      </c>
      <c r="CJ421" s="604" t="s">
        <v>454</v>
      </c>
      <c r="CK421" s="604">
        <v>12</v>
      </c>
      <c r="CL421" s="604" t="s">
        <v>32</v>
      </c>
    </row>
    <row r="422" spans="9:90">
      <c r="I422" s="578" t="str">
        <f t="shared" si="58"/>
        <v>2013depQuin 3Fetal</v>
      </c>
      <c r="J422" s="604">
        <v>2013</v>
      </c>
      <c r="K422" s="604" t="s">
        <v>454</v>
      </c>
      <c r="L422" s="604" t="s">
        <v>423</v>
      </c>
      <c r="M422" s="604">
        <v>83</v>
      </c>
      <c r="N422" s="604">
        <v>10397</v>
      </c>
      <c r="O422" s="604">
        <v>8</v>
      </c>
      <c r="P422" s="604" t="s">
        <v>47</v>
      </c>
      <c r="Q422" s="499"/>
      <c r="R422" s="502" t="str">
        <f t="shared" si="59"/>
        <v>2002birthsdhbUnknown</v>
      </c>
      <c r="S422" s="604">
        <v>2002</v>
      </c>
      <c r="T422" s="604" t="s">
        <v>445</v>
      </c>
      <c r="U422" s="604" t="s">
        <v>448</v>
      </c>
      <c r="V422" s="604" t="s">
        <v>63</v>
      </c>
      <c r="W422" s="604">
        <v>543</v>
      </c>
      <c r="Y422" s="535" t="str">
        <f t="shared" si="60"/>
        <v>2016gestdep37-41Quin 1fetal</v>
      </c>
      <c r="Z422" s="604">
        <v>2016</v>
      </c>
      <c r="AA422" s="604" t="s">
        <v>450</v>
      </c>
      <c r="AB422" s="604" t="s">
        <v>454</v>
      </c>
      <c r="AC422" s="604" t="s">
        <v>137</v>
      </c>
      <c r="AD422" s="604" t="s">
        <v>421</v>
      </c>
      <c r="AE422" s="604">
        <v>9</v>
      </c>
      <c r="AF422" s="604">
        <v>8377</v>
      </c>
      <c r="AG422" s="604">
        <v>1.1000000000000001</v>
      </c>
      <c r="AH422" s="604" t="s">
        <v>420</v>
      </c>
      <c r="AJ422" s="535" t="str">
        <f t="shared" si="61"/>
        <v>2016gestdep37-41Quin 1</v>
      </c>
      <c r="AK422" s="604">
        <v>2016</v>
      </c>
      <c r="AL422" s="604" t="s">
        <v>450</v>
      </c>
      <c r="AM422" s="604" t="s">
        <v>454</v>
      </c>
      <c r="AN422" s="604" t="s">
        <v>137</v>
      </c>
      <c r="AO422" s="604" t="s">
        <v>421</v>
      </c>
      <c r="AP422" s="604">
        <v>8377</v>
      </c>
      <c r="AR422" s="538" t="str">
        <f t="shared" si="62"/>
        <v>2500-4499bwtfetalTaranaki</v>
      </c>
      <c r="AS422" s="604">
        <v>2016</v>
      </c>
      <c r="AT422" s="604" t="s">
        <v>431</v>
      </c>
      <c r="AU422" s="604" t="s">
        <v>447</v>
      </c>
      <c r="AV422" s="604" t="s">
        <v>93</v>
      </c>
      <c r="AW422" s="604">
        <v>4</v>
      </c>
      <c r="AX422" s="604">
        <v>1371</v>
      </c>
      <c r="AY422" s="606">
        <v>2.9</v>
      </c>
      <c r="AZ422" s="604" t="s">
        <v>420</v>
      </c>
      <c r="BB422" s="536" t="str">
        <f t="shared" si="63"/>
        <v>32-36gestbirthsTairawhiti</v>
      </c>
      <c r="BC422" s="604">
        <v>2016</v>
      </c>
      <c r="BD422" s="604" t="s">
        <v>136</v>
      </c>
      <c r="BE422" s="604" t="s">
        <v>450</v>
      </c>
      <c r="BF422" s="604" t="s">
        <v>433</v>
      </c>
      <c r="BG422" s="604">
        <v>70</v>
      </c>
      <c r="BH422" s="604" t="s">
        <v>445</v>
      </c>
      <c r="BY422" s="553" t="str">
        <f t="shared" si="64"/>
        <v>2000WhanganuidhbSIDS</v>
      </c>
      <c r="BZ422" s="604">
        <v>2000</v>
      </c>
      <c r="CA422" s="604" t="s">
        <v>95</v>
      </c>
      <c r="CB422" s="604" t="s">
        <v>448</v>
      </c>
      <c r="CC422" s="604">
        <v>0</v>
      </c>
      <c r="CD422" s="604" t="s">
        <v>32</v>
      </c>
      <c r="CF422" s="559" t="str">
        <f t="shared" si="65"/>
        <v>5yearsPacific peoplesQuin 4depSIDS</v>
      </c>
      <c r="CG422" s="604" t="s">
        <v>475</v>
      </c>
      <c r="CH422" s="604" t="s">
        <v>320</v>
      </c>
      <c r="CI422" s="604" t="s">
        <v>424</v>
      </c>
      <c r="CJ422" s="604" t="s">
        <v>454</v>
      </c>
      <c r="CK422" s="604">
        <v>0</v>
      </c>
      <c r="CL422" s="604" t="s">
        <v>32</v>
      </c>
    </row>
    <row r="423" spans="9:90">
      <c r="I423" s="578" t="str">
        <f t="shared" si="58"/>
        <v>2013depQuin 4Fetal</v>
      </c>
      <c r="J423" s="604">
        <v>2013</v>
      </c>
      <c r="K423" s="604" t="s">
        <v>454</v>
      </c>
      <c r="L423" s="604" t="s">
        <v>424</v>
      </c>
      <c r="M423" s="604">
        <v>82</v>
      </c>
      <c r="N423" s="604">
        <v>12920</v>
      </c>
      <c r="O423" s="604">
        <v>6.3</v>
      </c>
      <c r="P423" s="604" t="s">
        <v>47</v>
      </c>
      <c r="Q423" s="499"/>
      <c r="R423" s="502" t="str">
        <f t="shared" si="59"/>
        <v>2003birthsdhbNorthland</v>
      </c>
      <c r="S423" s="604">
        <v>2003</v>
      </c>
      <c r="T423" s="604" t="s">
        <v>445</v>
      </c>
      <c r="U423" s="604" t="s">
        <v>448</v>
      </c>
      <c r="V423" s="604" t="s">
        <v>85</v>
      </c>
      <c r="W423" s="604">
        <v>2024</v>
      </c>
      <c r="Y423" s="535" t="str">
        <f t="shared" si="60"/>
        <v>2016gestdep42+Quin 1fetal</v>
      </c>
      <c r="Z423" s="604">
        <v>2016</v>
      </c>
      <c r="AA423" s="604" t="s">
        <v>450</v>
      </c>
      <c r="AB423" s="604" t="s">
        <v>454</v>
      </c>
      <c r="AC423" s="604" t="s">
        <v>138</v>
      </c>
      <c r="AD423" s="604" t="s">
        <v>421</v>
      </c>
      <c r="AE423" s="604">
        <v>0</v>
      </c>
      <c r="AF423" s="604">
        <v>144</v>
      </c>
      <c r="AG423" s="604">
        <v>0</v>
      </c>
      <c r="AH423" s="604" t="s">
        <v>420</v>
      </c>
      <c r="AJ423" s="535" t="str">
        <f t="shared" si="61"/>
        <v>2016gestdep42+Quin 1</v>
      </c>
      <c r="AK423" s="604">
        <v>2016</v>
      </c>
      <c r="AL423" s="604" t="s">
        <v>450</v>
      </c>
      <c r="AM423" s="604" t="s">
        <v>454</v>
      </c>
      <c r="AN423" s="604" t="s">
        <v>138</v>
      </c>
      <c r="AO423" s="604" t="s">
        <v>421</v>
      </c>
      <c r="AP423" s="604">
        <v>144</v>
      </c>
      <c r="AR423" s="538" t="str">
        <f t="shared" si="62"/>
        <v>UnknownbwtfetalTaranaki</v>
      </c>
      <c r="AS423" s="604">
        <v>2016</v>
      </c>
      <c r="AT423" s="604" t="s">
        <v>63</v>
      </c>
      <c r="AU423" s="604" t="s">
        <v>447</v>
      </c>
      <c r="AV423" s="604" t="s">
        <v>93</v>
      </c>
      <c r="AW423" s="604">
        <v>1</v>
      </c>
      <c r="AX423" s="604">
        <v>2</v>
      </c>
      <c r="AY423" s="606" t="s">
        <v>119</v>
      </c>
      <c r="AZ423" s="604" t="s">
        <v>420</v>
      </c>
      <c r="BB423" s="536" t="str">
        <f t="shared" si="63"/>
        <v>37-41gestbirthsTairawhiti</v>
      </c>
      <c r="BC423" s="604">
        <v>2016</v>
      </c>
      <c r="BD423" s="604" t="s">
        <v>137</v>
      </c>
      <c r="BE423" s="604" t="s">
        <v>450</v>
      </c>
      <c r="BF423" s="604" t="s">
        <v>433</v>
      </c>
      <c r="BG423" s="604">
        <v>680</v>
      </c>
      <c r="BH423" s="604" t="s">
        <v>445</v>
      </c>
      <c r="BY423" s="553" t="str">
        <f t="shared" si="64"/>
        <v>2000Capital &amp; CoastdhbSIDS</v>
      </c>
      <c r="BZ423" s="604">
        <v>2000</v>
      </c>
      <c r="CA423" s="604" t="s">
        <v>96</v>
      </c>
      <c r="CB423" s="604" t="s">
        <v>448</v>
      </c>
      <c r="CC423" s="604">
        <v>3</v>
      </c>
      <c r="CD423" s="604" t="s">
        <v>32</v>
      </c>
      <c r="CF423" s="559" t="str">
        <f t="shared" si="65"/>
        <v>5yearsAsianQuin 5depSIDS</v>
      </c>
      <c r="CG423" s="604" t="s">
        <v>475</v>
      </c>
      <c r="CH423" s="604" t="s">
        <v>355</v>
      </c>
      <c r="CI423" s="604" t="s">
        <v>425</v>
      </c>
      <c r="CJ423" s="604" t="s">
        <v>454</v>
      </c>
      <c r="CK423" s="604">
        <v>1</v>
      </c>
      <c r="CL423" s="604" t="s">
        <v>32</v>
      </c>
    </row>
    <row r="424" spans="9:90">
      <c r="I424" s="578" t="str">
        <f t="shared" si="58"/>
        <v>2013depQuin 5Fetal</v>
      </c>
      <c r="J424" s="604">
        <v>2013</v>
      </c>
      <c r="K424" s="604" t="s">
        <v>454</v>
      </c>
      <c r="L424" s="604" t="s">
        <v>425</v>
      </c>
      <c r="M424" s="604">
        <v>119</v>
      </c>
      <c r="N424" s="604">
        <v>16644</v>
      </c>
      <c r="O424" s="604">
        <v>7.1</v>
      </c>
      <c r="P424" s="604" t="s">
        <v>47</v>
      </c>
      <c r="Q424" s="499"/>
      <c r="R424" s="502" t="str">
        <f t="shared" si="59"/>
        <v>2003birthsdhbWaitemata</v>
      </c>
      <c r="S424" s="604">
        <v>2003</v>
      </c>
      <c r="T424" s="604" t="s">
        <v>445</v>
      </c>
      <c r="U424" s="604" t="s">
        <v>448</v>
      </c>
      <c r="V424" s="604" t="s">
        <v>86</v>
      </c>
      <c r="W424" s="604">
        <v>6822</v>
      </c>
      <c r="Y424" s="535" t="str">
        <f t="shared" si="60"/>
        <v>2016gestdepUnknownQuin 1fetal</v>
      </c>
      <c r="Z424" s="604">
        <v>2016</v>
      </c>
      <c r="AA424" s="604" t="s">
        <v>450</v>
      </c>
      <c r="AB424" s="604" t="s">
        <v>454</v>
      </c>
      <c r="AC424" s="604" t="s">
        <v>63</v>
      </c>
      <c r="AD424" s="604" t="s">
        <v>421</v>
      </c>
      <c r="AE424" s="604">
        <v>0</v>
      </c>
      <c r="AF424" s="604">
        <v>3</v>
      </c>
      <c r="AG424" s="604" t="s">
        <v>119</v>
      </c>
      <c r="AH424" s="604" t="s">
        <v>420</v>
      </c>
      <c r="AJ424" s="535" t="str">
        <f t="shared" si="61"/>
        <v>2016gestdepUnknownQuin 1</v>
      </c>
      <c r="AK424" s="604">
        <v>2016</v>
      </c>
      <c r="AL424" s="604" t="s">
        <v>450</v>
      </c>
      <c r="AM424" s="604" t="s">
        <v>454</v>
      </c>
      <c r="AN424" s="604" t="s">
        <v>63</v>
      </c>
      <c r="AO424" s="604" t="s">
        <v>421</v>
      </c>
      <c r="AP424" s="604">
        <v>3</v>
      </c>
      <c r="AR424" s="538" t="str">
        <f t="shared" si="62"/>
        <v>&lt;500bwtfetalMidCentral</v>
      </c>
      <c r="AS424" s="604">
        <v>2016</v>
      </c>
      <c r="AT424" s="604" t="s">
        <v>427</v>
      </c>
      <c r="AU424" s="604" t="s">
        <v>447</v>
      </c>
      <c r="AV424" s="604" t="s">
        <v>94</v>
      </c>
      <c r="AW424" s="604">
        <v>3</v>
      </c>
      <c r="AX424" s="604">
        <v>4</v>
      </c>
      <c r="AY424" s="606">
        <v>750</v>
      </c>
      <c r="AZ424" s="604" t="s">
        <v>420</v>
      </c>
      <c r="BB424" s="536" t="str">
        <f t="shared" si="63"/>
        <v>42+gestbirthsTairawhiti</v>
      </c>
      <c r="BC424" s="604">
        <v>2016</v>
      </c>
      <c r="BD424" s="604" t="s">
        <v>138</v>
      </c>
      <c r="BE424" s="604" t="s">
        <v>450</v>
      </c>
      <c r="BF424" s="604" t="s">
        <v>433</v>
      </c>
      <c r="BG424" s="604">
        <v>12</v>
      </c>
      <c r="BH424" s="604" t="s">
        <v>445</v>
      </c>
      <c r="BY424" s="553" t="str">
        <f t="shared" si="64"/>
        <v>2000Hutt ValleydhbSIDS</v>
      </c>
      <c r="BZ424" s="604">
        <v>2000</v>
      </c>
      <c r="CA424" s="604" t="s">
        <v>97</v>
      </c>
      <c r="CB424" s="604" t="s">
        <v>448</v>
      </c>
      <c r="CC424" s="604">
        <v>1</v>
      </c>
      <c r="CD424" s="604" t="s">
        <v>32</v>
      </c>
      <c r="CF424" s="559" t="str">
        <f t="shared" si="65"/>
        <v>5yearsEuropean or OtherQuin 5depSIDS</v>
      </c>
      <c r="CG424" s="604" t="s">
        <v>475</v>
      </c>
      <c r="CH424" s="604" t="s">
        <v>356</v>
      </c>
      <c r="CI424" s="604" t="s">
        <v>425</v>
      </c>
      <c r="CJ424" s="604" t="s">
        <v>454</v>
      </c>
      <c r="CK424" s="604">
        <v>6</v>
      </c>
      <c r="CL424" s="604" t="s">
        <v>32</v>
      </c>
    </row>
    <row r="425" spans="9:90">
      <c r="I425" s="578" t="str">
        <f t="shared" si="58"/>
        <v>2013depQuin 9Fetal</v>
      </c>
      <c r="J425" s="604">
        <v>2013</v>
      </c>
      <c r="K425" s="604" t="s">
        <v>454</v>
      </c>
      <c r="L425" s="604" t="s">
        <v>426</v>
      </c>
      <c r="M425" s="604">
        <v>15</v>
      </c>
      <c r="N425" s="604">
        <v>2595</v>
      </c>
      <c r="O425" s="604" t="s">
        <v>119</v>
      </c>
      <c r="P425" s="604" t="s">
        <v>47</v>
      </c>
      <c r="Q425" s="499"/>
      <c r="R425" s="502" t="str">
        <f t="shared" si="59"/>
        <v>2003birthsdhbAuckland</v>
      </c>
      <c r="S425" s="604">
        <v>2003</v>
      </c>
      <c r="T425" s="604" t="s">
        <v>445</v>
      </c>
      <c r="U425" s="604" t="s">
        <v>448</v>
      </c>
      <c r="V425" s="604" t="s">
        <v>87</v>
      </c>
      <c r="W425" s="604">
        <v>5975</v>
      </c>
      <c r="Y425" s="535" t="str">
        <f t="shared" si="60"/>
        <v>2016gestdep&lt;28Quin 2fetal</v>
      </c>
      <c r="Z425" s="604">
        <v>2016</v>
      </c>
      <c r="AA425" s="604" t="s">
        <v>450</v>
      </c>
      <c r="AB425" s="604" t="s">
        <v>454</v>
      </c>
      <c r="AC425" s="604" t="s">
        <v>375</v>
      </c>
      <c r="AD425" s="604" t="s">
        <v>422</v>
      </c>
      <c r="AE425" s="604">
        <v>39</v>
      </c>
      <c r="AF425" s="604">
        <v>30</v>
      </c>
      <c r="AG425" s="604" t="s">
        <v>119</v>
      </c>
      <c r="AH425" s="604" t="s">
        <v>420</v>
      </c>
      <c r="AJ425" s="535" t="str">
        <f t="shared" si="61"/>
        <v>2016gestdep&lt;28Quin 2</v>
      </c>
      <c r="AK425" s="604">
        <v>2016</v>
      </c>
      <c r="AL425" s="604" t="s">
        <v>450</v>
      </c>
      <c r="AM425" s="604" t="s">
        <v>454</v>
      </c>
      <c r="AN425" s="604" t="s">
        <v>375</v>
      </c>
      <c r="AO425" s="604" t="s">
        <v>422</v>
      </c>
      <c r="AP425" s="604">
        <v>30</v>
      </c>
      <c r="AR425" s="538" t="str">
        <f t="shared" si="62"/>
        <v>500-999bwtfetalMidCentral</v>
      </c>
      <c r="AS425" s="604">
        <v>2016</v>
      </c>
      <c r="AT425" s="604" t="s">
        <v>428</v>
      </c>
      <c r="AU425" s="604" t="s">
        <v>447</v>
      </c>
      <c r="AV425" s="604" t="s">
        <v>94</v>
      </c>
      <c r="AW425" s="604">
        <v>2</v>
      </c>
      <c r="AX425" s="604">
        <v>12</v>
      </c>
      <c r="AY425" s="606">
        <v>166.7</v>
      </c>
      <c r="AZ425" s="604" t="s">
        <v>420</v>
      </c>
      <c r="BB425" s="536" t="str">
        <f t="shared" si="63"/>
        <v>&lt;28gestbirthsHawke's Bay</v>
      </c>
      <c r="BC425" s="604">
        <v>2016</v>
      </c>
      <c r="BD425" s="604" t="s">
        <v>375</v>
      </c>
      <c r="BE425" s="604" t="s">
        <v>450</v>
      </c>
      <c r="BF425" s="604" t="s">
        <v>92</v>
      </c>
      <c r="BG425" s="604">
        <v>6</v>
      </c>
      <c r="BH425" s="604" t="s">
        <v>445</v>
      </c>
      <c r="BY425" s="553" t="str">
        <f t="shared" si="64"/>
        <v>2000WairarapadhbSIDS</v>
      </c>
      <c r="BZ425" s="604">
        <v>2000</v>
      </c>
      <c r="CA425" s="604" t="s">
        <v>98</v>
      </c>
      <c r="CB425" s="604" t="s">
        <v>448</v>
      </c>
      <c r="CC425" s="604">
        <v>0</v>
      </c>
      <c r="CD425" s="604" t="s">
        <v>32</v>
      </c>
      <c r="CF425" s="559" t="str">
        <f t="shared" si="65"/>
        <v>5yearsMaoriQuin 5depSIDS</v>
      </c>
      <c r="CG425" s="604" t="s">
        <v>475</v>
      </c>
      <c r="CH425" s="604" t="s">
        <v>129</v>
      </c>
      <c r="CI425" s="604" t="s">
        <v>425</v>
      </c>
      <c r="CJ425" s="604" t="s">
        <v>454</v>
      </c>
      <c r="CK425" s="604">
        <v>35</v>
      </c>
      <c r="CL425" s="604" t="s">
        <v>32</v>
      </c>
    </row>
    <row r="426" spans="9:90">
      <c r="I426" s="578" t="str">
        <f t="shared" si="58"/>
        <v>2014depQuin 1Fetal</v>
      </c>
      <c r="J426" s="604">
        <v>2014</v>
      </c>
      <c r="K426" s="604" t="s">
        <v>454</v>
      </c>
      <c r="L426" s="604" t="s">
        <v>421</v>
      </c>
      <c r="M426" s="604">
        <v>64</v>
      </c>
      <c r="N426" s="604">
        <v>8285</v>
      </c>
      <c r="O426" s="604">
        <v>7.7</v>
      </c>
      <c r="P426" s="604" t="s">
        <v>47</v>
      </c>
      <c r="Q426" s="499"/>
      <c r="R426" s="502" t="str">
        <f t="shared" si="59"/>
        <v>2003birthsdhbCounties Manukau</v>
      </c>
      <c r="S426" s="604">
        <v>2003</v>
      </c>
      <c r="T426" s="604" t="s">
        <v>445</v>
      </c>
      <c r="U426" s="604" t="s">
        <v>448</v>
      </c>
      <c r="V426" s="604" t="s">
        <v>88</v>
      </c>
      <c r="W426" s="604">
        <v>7547</v>
      </c>
      <c r="Y426" s="535" t="str">
        <f t="shared" si="60"/>
        <v>2016gestdep28-31Quin 2fetal</v>
      </c>
      <c r="Z426" s="604">
        <v>2016</v>
      </c>
      <c r="AA426" s="604" t="s">
        <v>450</v>
      </c>
      <c r="AB426" s="604" t="s">
        <v>454</v>
      </c>
      <c r="AC426" s="604" t="s">
        <v>395</v>
      </c>
      <c r="AD426" s="604" t="s">
        <v>422</v>
      </c>
      <c r="AE426" s="604">
        <v>6</v>
      </c>
      <c r="AF426" s="604">
        <v>65</v>
      </c>
      <c r="AG426" s="604">
        <v>84.5</v>
      </c>
      <c r="AH426" s="604" t="s">
        <v>420</v>
      </c>
      <c r="AJ426" s="535" t="str">
        <f t="shared" si="61"/>
        <v>2016gestdep28-31Quin 2</v>
      </c>
      <c r="AK426" s="604">
        <v>2016</v>
      </c>
      <c r="AL426" s="604" t="s">
        <v>450</v>
      </c>
      <c r="AM426" s="604" t="s">
        <v>454</v>
      </c>
      <c r="AN426" s="604" t="s">
        <v>395</v>
      </c>
      <c r="AO426" s="604" t="s">
        <v>422</v>
      </c>
      <c r="AP426" s="604">
        <v>65</v>
      </c>
      <c r="AR426" s="538" t="str">
        <f t="shared" si="62"/>
        <v>1000-1499bwtfetalMidCentral</v>
      </c>
      <c r="AS426" s="604">
        <v>2016</v>
      </c>
      <c r="AT426" s="604" t="s">
        <v>429</v>
      </c>
      <c r="AU426" s="604" t="s">
        <v>447</v>
      </c>
      <c r="AV426" s="604" t="s">
        <v>94</v>
      </c>
      <c r="AW426" s="604">
        <v>1</v>
      </c>
      <c r="AX426" s="604">
        <v>20</v>
      </c>
      <c r="AY426" s="606">
        <v>50</v>
      </c>
      <c r="AZ426" s="604" t="s">
        <v>420</v>
      </c>
      <c r="BB426" s="536" t="str">
        <f t="shared" si="63"/>
        <v>28-31gestbirthsHawke's Bay</v>
      </c>
      <c r="BC426" s="604">
        <v>2016</v>
      </c>
      <c r="BD426" s="604" t="s">
        <v>395</v>
      </c>
      <c r="BE426" s="604" t="s">
        <v>450</v>
      </c>
      <c r="BF426" s="604" t="s">
        <v>92</v>
      </c>
      <c r="BG426" s="604">
        <v>13</v>
      </c>
      <c r="BH426" s="604" t="s">
        <v>445</v>
      </c>
      <c r="BY426" s="553" t="str">
        <f t="shared" si="64"/>
        <v>2000Nelson MarlboroughdhbSIDS</v>
      </c>
      <c r="BZ426" s="604">
        <v>2000</v>
      </c>
      <c r="CA426" s="604" t="s">
        <v>99</v>
      </c>
      <c r="CB426" s="604" t="s">
        <v>448</v>
      </c>
      <c r="CC426" s="604">
        <v>2</v>
      </c>
      <c r="CD426" s="604" t="s">
        <v>32</v>
      </c>
      <c r="CF426" s="559" t="str">
        <f t="shared" si="65"/>
        <v>5yearsPacific peoplesQuin 5depSIDS</v>
      </c>
      <c r="CG426" s="604" t="s">
        <v>475</v>
      </c>
      <c r="CH426" s="604" t="s">
        <v>320</v>
      </c>
      <c r="CI426" s="604" t="s">
        <v>425</v>
      </c>
      <c r="CJ426" s="604" t="s">
        <v>454</v>
      </c>
      <c r="CK426" s="604">
        <v>10</v>
      </c>
      <c r="CL426" s="604" t="s">
        <v>32</v>
      </c>
    </row>
    <row r="427" spans="9:90">
      <c r="I427" s="578" t="str">
        <f t="shared" si="58"/>
        <v>2014depQuin 2Fetal</v>
      </c>
      <c r="J427" s="604">
        <v>2014</v>
      </c>
      <c r="K427" s="604" t="s">
        <v>454</v>
      </c>
      <c r="L427" s="604" t="s">
        <v>422</v>
      </c>
      <c r="M427" s="604">
        <v>66</v>
      </c>
      <c r="N427" s="604">
        <v>8955</v>
      </c>
      <c r="O427" s="604">
        <v>7.4</v>
      </c>
      <c r="P427" s="604" t="s">
        <v>47</v>
      </c>
      <c r="Q427" s="499"/>
      <c r="R427" s="502" t="str">
        <f t="shared" si="59"/>
        <v>2003birthsdhbWaikato</v>
      </c>
      <c r="S427" s="604">
        <v>2003</v>
      </c>
      <c r="T427" s="604" t="s">
        <v>445</v>
      </c>
      <c r="U427" s="604" t="s">
        <v>448</v>
      </c>
      <c r="V427" s="604" t="s">
        <v>89</v>
      </c>
      <c r="W427" s="604">
        <v>4800</v>
      </c>
      <c r="Y427" s="535" t="str">
        <f t="shared" si="60"/>
        <v>2016gestdep32-36Quin 2fetal</v>
      </c>
      <c r="Z427" s="604">
        <v>2016</v>
      </c>
      <c r="AA427" s="604" t="s">
        <v>450</v>
      </c>
      <c r="AB427" s="604" t="s">
        <v>454</v>
      </c>
      <c r="AC427" s="604" t="s">
        <v>136</v>
      </c>
      <c r="AD427" s="604" t="s">
        <v>422</v>
      </c>
      <c r="AE427" s="604">
        <v>6</v>
      </c>
      <c r="AF427" s="604">
        <v>580</v>
      </c>
      <c r="AG427" s="604">
        <v>10.199999999999999</v>
      </c>
      <c r="AH427" s="604" t="s">
        <v>420</v>
      </c>
      <c r="AJ427" s="535" t="str">
        <f t="shared" si="61"/>
        <v>2016gestdep32-36Quin 2</v>
      </c>
      <c r="AK427" s="604">
        <v>2016</v>
      </c>
      <c r="AL427" s="604" t="s">
        <v>450</v>
      </c>
      <c r="AM427" s="604" t="s">
        <v>454</v>
      </c>
      <c r="AN427" s="604" t="s">
        <v>136</v>
      </c>
      <c r="AO427" s="604" t="s">
        <v>422</v>
      </c>
      <c r="AP427" s="604">
        <v>580</v>
      </c>
      <c r="AR427" s="538" t="str">
        <f t="shared" si="62"/>
        <v>1500-2499bwtfetalMidCentral</v>
      </c>
      <c r="AS427" s="604">
        <v>2016</v>
      </c>
      <c r="AT427" s="604" t="s">
        <v>430</v>
      </c>
      <c r="AU427" s="604" t="s">
        <v>447</v>
      </c>
      <c r="AV427" s="604" t="s">
        <v>94</v>
      </c>
      <c r="AW427" s="604">
        <v>3</v>
      </c>
      <c r="AX427" s="604">
        <v>132</v>
      </c>
      <c r="AY427" s="606">
        <v>22.7</v>
      </c>
      <c r="AZ427" s="604" t="s">
        <v>420</v>
      </c>
      <c r="BB427" s="536" t="str">
        <f t="shared" si="63"/>
        <v>32-36gestbirthsHawke's Bay</v>
      </c>
      <c r="BC427" s="604">
        <v>2016</v>
      </c>
      <c r="BD427" s="604" t="s">
        <v>136</v>
      </c>
      <c r="BE427" s="604" t="s">
        <v>450</v>
      </c>
      <c r="BF427" s="604" t="s">
        <v>92</v>
      </c>
      <c r="BG427" s="604">
        <v>134</v>
      </c>
      <c r="BH427" s="604" t="s">
        <v>445</v>
      </c>
      <c r="BY427" s="553" t="str">
        <f t="shared" si="64"/>
        <v>2000West CoastdhbSIDS</v>
      </c>
      <c r="BZ427" s="604">
        <v>2000</v>
      </c>
      <c r="CA427" s="604" t="s">
        <v>100</v>
      </c>
      <c r="CB427" s="604" t="s">
        <v>448</v>
      </c>
      <c r="CC427" s="604">
        <v>0</v>
      </c>
      <c r="CD427" s="604" t="s">
        <v>32</v>
      </c>
      <c r="CF427" s="559" t="str">
        <f t="shared" si="65"/>
        <v>5yearsAsianQuin 9depSIDS</v>
      </c>
      <c r="CG427" s="604" t="s">
        <v>475</v>
      </c>
      <c r="CH427" s="604" t="s">
        <v>355</v>
      </c>
      <c r="CI427" s="604" t="s">
        <v>426</v>
      </c>
      <c r="CJ427" s="604" t="s">
        <v>454</v>
      </c>
      <c r="CK427" s="604">
        <v>0</v>
      </c>
      <c r="CL427" s="604" t="s">
        <v>32</v>
      </c>
    </row>
    <row r="428" spans="9:90">
      <c r="I428" s="578" t="str">
        <f t="shared" si="58"/>
        <v>2014depQuin 3Fetal</v>
      </c>
      <c r="J428" s="604">
        <v>2014</v>
      </c>
      <c r="K428" s="604" t="s">
        <v>454</v>
      </c>
      <c r="L428" s="604" t="s">
        <v>423</v>
      </c>
      <c r="M428" s="604">
        <v>69</v>
      </c>
      <c r="N428" s="604">
        <v>10114</v>
      </c>
      <c r="O428" s="604">
        <v>6.8</v>
      </c>
      <c r="P428" s="604" t="s">
        <v>47</v>
      </c>
      <c r="Q428" s="499"/>
      <c r="R428" s="502" t="str">
        <f t="shared" si="59"/>
        <v>2003birthsdhbLakes</v>
      </c>
      <c r="S428" s="604">
        <v>2003</v>
      </c>
      <c r="T428" s="604" t="s">
        <v>445</v>
      </c>
      <c r="U428" s="604" t="s">
        <v>448</v>
      </c>
      <c r="V428" s="604" t="s">
        <v>90</v>
      </c>
      <c r="W428" s="604">
        <v>1553</v>
      </c>
      <c r="Y428" s="535" t="str">
        <f t="shared" si="60"/>
        <v>2016gestdep37-41Quin 2fetal</v>
      </c>
      <c r="Z428" s="604">
        <v>2016</v>
      </c>
      <c r="AA428" s="604" t="s">
        <v>450</v>
      </c>
      <c r="AB428" s="604" t="s">
        <v>454</v>
      </c>
      <c r="AC428" s="604" t="s">
        <v>137</v>
      </c>
      <c r="AD428" s="604" t="s">
        <v>422</v>
      </c>
      <c r="AE428" s="604">
        <v>13</v>
      </c>
      <c r="AF428" s="604">
        <v>9282</v>
      </c>
      <c r="AG428" s="604">
        <v>1.4</v>
      </c>
      <c r="AH428" s="604" t="s">
        <v>420</v>
      </c>
      <c r="AJ428" s="535" t="str">
        <f t="shared" si="61"/>
        <v>2016gestdep37-41Quin 2</v>
      </c>
      <c r="AK428" s="604">
        <v>2016</v>
      </c>
      <c r="AL428" s="604" t="s">
        <v>450</v>
      </c>
      <c r="AM428" s="604" t="s">
        <v>454</v>
      </c>
      <c r="AN428" s="604" t="s">
        <v>137</v>
      </c>
      <c r="AO428" s="604" t="s">
        <v>422</v>
      </c>
      <c r="AP428" s="604">
        <v>9282</v>
      </c>
      <c r="AR428" s="538" t="str">
        <f t="shared" si="62"/>
        <v>2500-4499bwtfetalMidCentral</v>
      </c>
      <c r="AS428" s="604">
        <v>2016</v>
      </c>
      <c r="AT428" s="604" t="s">
        <v>431</v>
      </c>
      <c r="AU428" s="604" t="s">
        <v>447</v>
      </c>
      <c r="AV428" s="604" t="s">
        <v>94</v>
      </c>
      <c r="AW428" s="604">
        <v>1</v>
      </c>
      <c r="AX428" s="604">
        <v>1893</v>
      </c>
      <c r="AY428" s="606">
        <v>0.5</v>
      </c>
      <c r="AZ428" s="604" t="s">
        <v>420</v>
      </c>
      <c r="BB428" s="536" t="str">
        <f t="shared" si="63"/>
        <v>37-41gestbirthsHawke's Bay</v>
      </c>
      <c r="BC428" s="604">
        <v>2016</v>
      </c>
      <c r="BD428" s="604" t="s">
        <v>137</v>
      </c>
      <c r="BE428" s="604" t="s">
        <v>450</v>
      </c>
      <c r="BF428" s="604" t="s">
        <v>92</v>
      </c>
      <c r="BG428" s="604">
        <v>1885</v>
      </c>
      <c r="BH428" s="604" t="s">
        <v>445</v>
      </c>
      <c r="BY428" s="553" t="str">
        <f t="shared" si="64"/>
        <v>2000CanterburydhbSIDS</v>
      </c>
      <c r="BZ428" s="604">
        <v>2000</v>
      </c>
      <c r="CA428" s="604" t="s">
        <v>101</v>
      </c>
      <c r="CB428" s="604" t="s">
        <v>448</v>
      </c>
      <c r="CC428" s="604">
        <v>2</v>
      </c>
      <c r="CD428" s="604" t="s">
        <v>32</v>
      </c>
      <c r="CF428" s="559" t="str">
        <f t="shared" si="65"/>
        <v>5yearsEuropean or OtherQuin 9depSIDS</v>
      </c>
      <c r="CG428" s="604" t="s">
        <v>475</v>
      </c>
      <c r="CH428" s="604" t="s">
        <v>356</v>
      </c>
      <c r="CI428" s="604" t="s">
        <v>426</v>
      </c>
      <c r="CJ428" s="604" t="s">
        <v>454</v>
      </c>
      <c r="CK428" s="604">
        <v>0</v>
      </c>
      <c r="CL428" s="604" t="s">
        <v>32</v>
      </c>
    </row>
    <row r="429" spans="9:90">
      <c r="I429" s="578" t="str">
        <f t="shared" si="58"/>
        <v>2014depQuin 4Fetal</v>
      </c>
      <c r="J429" s="604">
        <v>2014</v>
      </c>
      <c r="K429" s="604" t="s">
        <v>454</v>
      </c>
      <c r="L429" s="604" t="s">
        <v>424</v>
      </c>
      <c r="M429" s="604">
        <v>99</v>
      </c>
      <c r="N429" s="604">
        <v>12541</v>
      </c>
      <c r="O429" s="604">
        <v>7.9</v>
      </c>
      <c r="P429" s="604" t="s">
        <v>47</v>
      </c>
      <c r="Q429" s="499"/>
      <c r="R429" s="502" t="str">
        <f t="shared" si="59"/>
        <v>2003birthsdhbBay of Plenty</v>
      </c>
      <c r="S429" s="604">
        <v>2003</v>
      </c>
      <c r="T429" s="604" t="s">
        <v>445</v>
      </c>
      <c r="U429" s="604" t="s">
        <v>448</v>
      </c>
      <c r="V429" s="604" t="s">
        <v>91</v>
      </c>
      <c r="W429" s="604">
        <v>2602</v>
      </c>
      <c r="Y429" s="535" t="str">
        <f t="shared" si="60"/>
        <v>2016gestdep42+Quin 2fetal</v>
      </c>
      <c r="Z429" s="604">
        <v>2016</v>
      </c>
      <c r="AA429" s="604" t="s">
        <v>450</v>
      </c>
      <c r="AB429" s="604" t="s">
        <v>454</v>
      </c>
      <c r="AC429" s="604" t="s">
        <v>138</v>
      </c>
      <c r="AD429" s="604" t="s">
        <v>422</v>
      </c>
      <c r="AE429" s="604">
        <v>0</v>
      </c>
      <c r="AF429" s="604">
        <v>165</v>
      </c>
      <c r="AG429" s="604">
        <v>0</v>
      </c>
      <c r="AH429" s="604" t="s">
        <v>420</v>
      </c>
      <c r="AJ429" s="535" t="str">
        <f t="shared" si="61"/>
        <v>2016gestdep42+Quin 2</v>
      </c>
      <c r="AK429" s="604">
        <v>2016</v>
      </c>
      <c r="AL429" s="604" t="s">
        <v>450</v>
      </c>
      <c r="AM429" s="604" t="s">
        <v>454</v>
      </c>
      <c r="AN429" s="604" t="s">
        <v>138</v>
      </c>
      <c r="AO429" s="604" t="s">
        <v>422</v>
      </c>
      <c r="AP429" s="604">
        <v>165</v>
      </c>
      <c r="AR429" s="538" t="str">
        <f t="shared" si="62"/>
        <v>UnknownbwtfetalMidCentral</v>
      </c>
      <c r="AS429" s="604">
        <v>2016</v>
      </c>
      <c r="AT429" s="604" t="s">
        <v>63</v>
      </c>
      <c r="AU429" s="604" t="s">
        <v>447</v>
      </c>
      <c r="AV429" s="604" t="s">
        <v>94</v>
      </c>
      <c r="AW429" s="604">
        <v>1</v>
      </c>
      <c r="AX429" s="604">
        <v>2</v>
      </c>
      <c r="AY429" s="606" t="s">
        <v>119</v>
      </c>
      <c r="AZ429" s="604" t="s">
        <v>420</v>
      </c>
      <c r="BB429" s="536" t="str">
        <f t="shared" si="63"/>
        <v>42+gestbirthsHawke's Bay</v>
      </c>
      <c r="BC429" s="604">
        <v>2016</v>
      </c>
      <c r="BD429" s="604" t="s">
        <v>138</v>
      </c>
      <c r="BE429" s="604" t="s">
        <v>450</v>
      </c>
      <c r="BF429" s="604" t="s">
        <v>92</v>
      </c>
      <c r="BG429" s="604">
        <v>59</v>
      </c>
      <c r="BH429" s="604" t="s">
        <v>445</v>
      </c>
      <c r="BY429" s="553" t="str">
        <f t="shared" si="64"/>
        <v>2000South CanterburydhbSIDS</v>
      </c>
      <c r="BZ429" s="604">
        <v>2000</v>
      </c>
      <c r="CA429" s="604" t="s">
        <v>102</v>
      </c>
      <c r="CB429" s="604" t="s">
        <v>448</v>
      </c>
      <c r="CC429" s="604">
        <v>1</v>
      </c>
      <c r="CD429" s="604" t="s">
        <v>32</v>
      </c>
      <c r="CF429" s="559" t="str">
        <f t="shared" si="65"/>
        <v>5yearsMaoriQuin 9depSIDS</v>
      </c>
      <c r="CG429" s="604" t="s">
        <v>475</v>
      </c>
      <c r="CH429" s="604" t="s">
        <v>129</v>
      </c>
      <c r="CI429" s="604" t="s">
        <v>426</v>
      </c>
      <c r="CJ429" s="604" t="s">
        <v>454</v>
      </c>
      <c r="CK429" s="604">
        <v>0</v>
      </c>
      <c r="CL429" s="604" t="s">
        <v>32</v>
      </c>
    </row>
    <row r="430" spans="9:90">
      <c r="I430" s="578" t="str">
        <f t="shared" si="58"/>
        <v>2014depQuin 5Fetal</v>
      </c>
      <c r="J430" s="604">
        <v>2014</v>
      </c>
      <c r="K430" s="604" t="s">
        <v>454</v>
      </c>
      <c r="L430" s="604" t="s">
        <v>425</v>
      </c>
      <c r="M430" s="604">
        <v>130</v>
      </c>
      <c r="N430" s="604">
        <v>16230</v>
      </c>
      <c r="O430" s="604">
        <v>8</v>
      </c>
      <c r="P430" s="604" t="s">
        <v>47</v>
      </c>
      <c r="Q430" s="499"/>
      <c r="R430" s="502" t="str">
        <f t="shared" si="59"/>
        <v>2003birthsdhbTairawhiti</v>
      </c>
      <c r="S430" s="604">
        <v>2003</v>
      </c>
      <c r="T430" s="604" t="s">
        <v>445</v>
      </c>
      <c r="U430" s="604" t="s">
        <v>448</v>
      </c>
      <c r="V430" s="604" t="s">
        <v>433</v>
      </c>
      <c r="W430" s="604">
        <v>703</v>
      </c>
      <c r="Y430" s="535" t="str">
        <f t="shared" si="60"/>
        <v>2016gestdepUnknownQuin 2fetal</v>
      </c>
      <c r="Z430" s="604">
        <v>2016</v>
      </c>
      <c r="AA430" s="604" t="s">
        <v>450</v>
      </c>
      <c r="AB430" s="604" t="s">
        <v>454</v>
      </c>
      <c r="AC430" s="604" t="s">
        <v>63</v>
      </c>
      <c r="AD430" s="604" t="s">
        <v>422</v>
      </c>
      <c r="AE430" s="604">
        <v>0</v>
      </c>
      <c r="AF430" s="604">
        <v>1</v>
      </c>
      <c r="AG430" s="604" t="s">
        <v>119</v>
      </c>
      <c r="AH430" s="604" t="s">
        <v>420</v>
      </c>
      <c r="AJ430" s="535" t="str">
        <f t="shared" si="61"/>
        <v>2016gestdepUnknownQuin 2</v>
      </c>
      <c r="AK430" s="604">
        <v>2016</v>
      </c>
      <c r="AL430" s="604" t="s">
        <v>450</v>
      </c>
      <c r="AM430" s="604" t="s">
        <v>454</v>
      </c>
      <c r="AN430" s="604" t="s">
        <v>63</v>
      </c>
      <c r="AO430" s="604" t="s">
        <v>422</v>
      </c>
      <c r="AP430" s="604">
        <v>1</v>
      </c>
      <c r="AR430" s="538" t="str">
        <f t="shared" si="62"/>
        <v>&lt;500bwtfetalWhanganui</v>
      </c>
      <c r="AS430" s="604">
        <v>2016</v>
      </c>
      <c r="AT430" s="604" t="s">
        <v>427</v>
      </c>
      <c r="AU430" s="604" t="s">
        <v>447</v>
      </c>
      <c r="AV430" s="604" t="s">
        <v>95</v>
      </c>
      <c r="AW430" s="604">
        <v>1</v>
      </c>
      <c r="AX430" s="604">
        <v>1</v>
      </c>
      <c r="AY430" s="606">
        <v>1000</v>
      </c>
      <c r="AZ430" s="604" t="s">
        <v>420</v>
      </c>
      <c r="BB430" s="536" t="str">
        <f t="shared" si="63"/>
        <v>UnknowngestbirthsHawke's Bay</v>
      </c>
      <c r="BC430" s="604">
        <v>2016</v>
      </c>
      <c r="BD430" s="604" t="s">
        <v>63</v>
      </c>
      <c r="BE430" s="604" t="s">
        <v>450</v>
      </c>
      <c r="BF430" s="604" t="s">
        <v>92</v>
      </c>
      <c r="BG430" s="604">
        <v>1</v>
      </c>
      <c r="BH430" s="604" t="s">
        <v>445</v>
      </c>
      <c r="BY430" s="553" t="str">
        <f t="shared" si="64"/>
        <v>2000SoutherndhbSIDS</v>
      </c>
      <c r="BZ430" s="604">
        <v>2000</v>
      </c>
      <c r="CA430" s="604" t="s">
        <v>103</v>
      </c>
      <c r="CB430" s="604" t="s">
        <v>448</v>
      </c>
      <c r="CC430" s="604">
        <v>6</v>
      </c>
      <c r="CD430" s="604" t="s">
        <v>32</v>
      </c>
      <c r="CF430" s="559" t="str">
        <f t="shared" si="65"/>
        <v>5yearsPacific peoplesQuin 9depSIDS</v>
      </c>
      <c r="CG430" s="604" t="s">
        <v>475</v>
      </c>
      <c r="CH430" s="604" t="s">
        <v>320</v>
      </c>
      <c r="CI430" s="604" t="s">
        <v>426</v>
      </c>
      <c r="CJ430" s="604" t="s">
        <v>454</v>
      </c>
      <c r="CK430" s="604">
        <v>0</v>
      </c>
      <c r="CL430" s="604" t="s">
        <v>32</v>
      </c>
    </row>
    <row r="431" spans="9:90">
      <c r="I431" s="578" t="str">
        <f t="shared" si="58"/>
        <v>2014depQuin 9Fetal</v>
      </c>
      <c r="J431" s="604">
        <v>2014</v>
      </c>
      <c r="K431" s="604" t="s">
        <v>454</v>
      </c>
      <c r="L431" s="604" t="s">
        <v>426</v>
      </c>
      <c r="M431" s="604">
        <v>19</v>
      </c>
      <c r="N431" s="604">
        <v>2607</v>
      </c>
      <c r="O431" s="604" t="s">
        <v>119</v>
      </c>
      <c r="P431" s="604" t="s">
        <v>47</v>
      </c>
      <c r="Q431" s="499"/>
      <c r="R431" s="502" t="str">
        <f t="shared" si="59"/>
        <v>2003birthsdhbHawke's Bay</v>
      </c>
      <c r="S431" s="604">
        <v>2003</v>
      </c>
      <c r="T431" s="604" t="s">
        <v>445</v>
      </c>
      <c r="U431" s="604" t="s">
        <v>448</v>
      </c>
      <c r="V431" s="604" t="s">
        <v>92</v>
      </c>
      <c r="W431" s="604">
        <v>2078</v>
      </c>
      <c r="Y431" s="535" t="str">
        <f t="shared" si="60"/>
        <v>2016gestdep&lt;28Quin 3fetal</v>
      </c>
      <c r="Z431" s="604">
        <v>2016</v>
      </c>
      <c r="AA431" s="604" t="s">
        <v>450</v>
      </c>
      <c r="AB431" s="604" t="s">
        <v>454</v>
      </c>
      <c r="AC431" s="604" t="s">
        <v>375</v>
      </c>
      <c r="AD431" s="604" t="s">
        <v>423</v>
      </c>
      <c r="AE431" s="604">
        <v>33</v>
      </c>
      <c r="AF431" s="604">
        <v>44</v>
      </c>
      <c r="AG431" s="604">
        <v>428.6</v>
      </c>
      <c r="AH431" s="604" t="s">
        <v>420</v>
      </c>
      <c r="AJ431" s="535" t="str">
        <f t="shared" si="61"/>
        <v>2016gestdep&lt;28Quin 3</v>
      </c>
      <c r="AK431" s="604">
        <v>2016</v>
      </c>
      <c r="AL431" s="604" t="s">
        <v>450</v>
      </c>
      <c r="AM431" s="604" t="s">
        <v>454</v>
      </c>
      <c r="AN431" s="604" t="s">
        <v>375</v>
      </c>
      <c r="AO431" s="604" t="s">
        <v>423</v>
      </c>
      <c r="AP431" s="604">
        <v>44</v>
      </c>
      <c r="AR431" s="538" t="str">
        <f t="shared" si="62"/>
        <v>500-999bwtfetalWhanganui</v>
      </c>
      <c r="AS431" s="604">
        <v>2016</v>
      </c>
      <c r="AT431" s="604" t="s">
        <v>428</v>
      </c>
      <c r="AU431" s="604" t="s">
        <v>447</v>
      </c>
      <c r="AV431" s="604" t="s">
        <v>95</v>
      </c>
      <c r="AW431" s="604">
        <v>2</v>
      </c>
      <c r="AX431" s="604">
        <v>3</v>
      </c>
      <c r="AY431" s="606">
        <v>666.7</v>
      </c>
      <c r="AZ431" s="604" t="s">
        <v>420</v>
      </c>
      <c r="BB431" s="536" t="str">
        <f t="shared" si="63"/>
        <v>&lt;28gestbirthsTaranaki</v>
      </c>
      <c r="BC431" s="604">
        <v>2016</v>
      </c>
      <c r="BD431" s="604" t="s">
        <v>375</v>
      </c>
      <c r="BE431" s="604" t="s">
        <v>450</v>
      </c>
      <c r="BF431" s="604" t="s">
        <v>93</v>
      </c>
      <c r="BG431" s="604">
        <v>8</v>
      </c>
      <c r="BH431" s="604" t="s">
        <v>445</v>
      </c>
      <c r="BY431" s="553" t="str">
        <f t="shared" si="64"/>
        <v>2000UnknowndhbSIDS</v>
      </c>
      <c r="BZ431" s="604">
        <v>2000</v>
      </c>
      <c r="CA431" s="604" t="s">
        <v>63</v>
      </c>
      <c r="CB431" s="604" t="s">
        <v>448</v>
      </c>
      <c r="CC431" s="604">
        <v>0</v>
      </c>
      <c r="CD431" s="604" t="s">
        <v>32</v>
      </c>
      <c r="CF431" s="559" t="str">
        <f t="shared" si="65"/>
        <v>5yearsAsianNorthlanddhbSIDS</v>
      </c>
      <c r="CG431" s="604" t="s">
        <v>475</v>
      </c>
      <c r="CH431" s="604" t="s">
        <v>355</v>
      </c>
      <c r="CI431" s="604" t="s">
        <v>85</v>
      </c>
      <c r="CJ431" s="604" t="s">
        <v>448</v>
      </c>
      <c r="CK431" s="604">
        <v>0</v>
      </c>
      <c r="CL431" s="604" t="s">
        <v>32</v>
      </c>
    </row>
    <row r="432" spans="9:90">
      <c r="I432" s="578" t="str">
        <f t="shared" si="58"/>
        <v>2015depQuin 1Fetal</v>
      </c>
      <c r="J432" s="604">
        <v>2015</v>
      </c>
      <c r="K432" s="604" t="s">
        <v>454</v>
      </c>
      <c r="L432" s="604" t="s">
        <v>421</v>
      </c>
      <c r="M432" s="604">
        <v>54</v>
      </c>
      <c r="N432" s="604">
        <v>9482</v>
      </c>
      <c r="O432" s="604">
        <v>5.7</v>
      </c>
      <c r="P432" s="604" t="s">
        <v>47</v>
      </c>
      <c r="Q432" s="499"/>
      <c r="R432" s="502" t="str">
        <f t="shared" si="59"/>
        <v>2003birthsdhbTaranaki</v>
      </c>
      <c r="S432" s="604">
        <v>2003</v>
      </c>
      <c r="T432" s="604" t="s">
        <v>445</v>
      </c>
      <c r="U432" s="604" t="s">
        <v>448</v>
      </c>
      <c r="V432" s="604" t="s">
        <v>93</v>
      </c>
      <c r="W432" s="604">
        <v>1378</v>
      </c>
      <c r="Y432" s="535" t="str">
        <f t="shared" si="60"/>
        <v>2016gestdep28-31Quin 3fetal</v>
      </c>
      <c r="Z432" s="604">
        <v>2016</v>
      </c>
      <c r="AA432" s="604" t="s">
        <v>450</v>
      </c>
      <c r="AB432" s="604" t="s">
        <v>454</v>
      </c>
      <c r="AC432" s="604" t="s">
        <v>395</v>
      </c>
      <c r="AD432" s="604" t="s">
        <v>423</v>
      </c>
      <c r="AE432" s="604">
        <v>5</v>
      </c>
      <c r="AF432" s="604">
        <v>75</v>
      </c>
      <c r="AG432" s="604">
        <v>62.5</v>
      </c>
      <c r="AH432" s="604" t="s">
        <v>420</v>
      </c>
      <c r="AJ432" s="535" t="str">
        <f t="shared" si="61"/>
        <v>2016gestdep28-31Quin 3</v>
      </c>
      <c r="AK432" s="604">
        <v>2016</v>
      </c>
      <c r="AL432" s="604" t="s">
        <v>450</v>
      </c>
      <c r="AM432" s="604" t="s">
        <v>454</v>
      </c>
      <c r="AN432" s="604" t="s">
        <v>395</v>
      </c>
      <c r="AO432" s="604" t="s">
        <v>423</v>
      </c>
      <c r="AP432" s="604">
        <v>75</v>
      </c>
      <c r="AR432" s="538" t="str">
        <f t="shared" si="62"/>
        <v>UnknownbwtfetalWhanganui</v>
      </c>
      <c r="AS432" s="604">
        <v>2016</v>
      </c>
      <c r="AT432" s="604" t="s">
        <v>63</v>
      </c>
      <c r="AU432" s="604" t="s">
        <v>447</v>
      </c>
      <c r="AV432" s="604" t="s">
        <v>95</v>
      </c>
      <c r="AW432" s="604">
        <v>1</v>
      </c>
      <c r="AX432" s="604">
        <v>1</v>
      </c>
      <c r="AY432" s="606" t="s">
        <v>119</v>
      </c>
      <c r="AZ432" s="604" t="s">
        <v>420</v>
      </c>
      <c r="BB432" s="536" t="str">
        <f t="shared" si="63"/>
        <v>28-31gestbirthsTaranaki</v>
      </c>
      <c r="BC432" s="604">
        <v>2016</v>
      </c>
      <c r="BD432" s="604" t="s">
        <v>395</v>
      </c>
      <c r="BE432" s="604" t="s">
        <v>450</v>
      </c>
      <c r="BF432" s="604" t="s">
        <v>93</v>
      </c>
      <c r="BG432" s="604">
        <v>6</v>
      </c>
      <c r="BH432" s="604" t="s">
        <v>445</v>
      </c>
      <c r="BY432" s="553" t="str">
        <f t="shared" si="64"/>
        <v>2001NorthlanddhbSIDS</v>
      </c>
      <c r="BZ432" s="604">
        <v>2001</v>
      </c>
      <c r="CA432" s="604" t="s">
        <v>85</v>
      </c>
      <c r="CB432" s="604" t="s">
        <v>448</v>
      </c>
      <c r="CC432" s="604">
        <v>3</v>
      </c>
      <c r="CD432" s="604" t="s">
        <v>32</v>
      </c>
      <c r="CF432" s="559" t="str">
        <f t="shared" si="65"/>
        <v>5yearsEuropean or OtherNorthlanddhbSIDS</v>
      </c>
      <c r="CG432" s="604" t="s">
        <v>475</v>
      </c>
      <c r="CH432" s="604" t="s">
        <v>356</v>
      </c>
      <c r="CI432" s="604" t="s">
        <v>85</v>
      </c>
      <c r="CJ432" s="604" t="s">
        <v>448</v>
      </c>
      <c r="CK432" s="604">
        <v>1</v>
      </c>
      <c r="CL432" s="604" t="s">
        <v>32</v>
      </c>
    </row>
    <row r="433" spans="9:90">
      <c r="I433" s="578" t="str">
        <f t="shared" si="58"/>
        <v>2015depQuin 2Fetal</v>
      </c>
      <c r="J433" s="604">
        <v>2015</v>
      </c>
      <c r="K433" s="604" t="s">
        <v>454</v>
      </c>
      <c r="L433" s="604" t="s">
        <v>422</v>
      </c>
      <c r="M433" s="604">
        <v>58</v>
      </c>
      <c r="N433" s="604">
        <v>10317</v>
      </c>
      <c r="O433" s="604">
        <v>5.6</v>
      </c>
      <c r="P433" s="604" t="s">
        <v>47</v>
      </c>
      <c r="Q433" s="499"/>
      <c r="R433" s="502" t="str">
        <f t="shared" si="59"/>
        <v>2003birthsdhbMidCentral</v>
      </c>
      <c r="S433" s="604">
        <v>2003</v>
      </c>
      <c r="T433" s="604" t="s">
        <v>445</v>
      </c>
      <c r="U433" s="604" t="s">
        <v>448</v>
      </c>
      <c r="V433" s="604" t="s">
        <v>94</v>
      </c>
      <c r="W433" s="604">
        <v>2032</v>
      </c>
      <c r="Y433" s="535" t="str">
        <f t="shared" si="60"/>
        <v>2016gestdep32-36Quin 3fetal</v>
      </c>
      <c r="Z433" s="604">
        <v>2016</v>
      </c>
      <c r="AA433" s="604" t="s">
        <v>450</v>
      </c>
      <c r="AB433" s="604" t="s">
        <v>454</v>
      </c>
      <c r="AC433" s="604" t="s">
        <v>136</v>
      </c>
      <c r="AD433" s="604" t="s">
        <v>423</v>
      </c>
      <c r="AE433" s="604">
        <v>14</v>
      </c>
      <c r="AF433" s="604">
        <v>676</v>
      </c>
      <c r="AG433" s="604">
        <v>20.3</v>
      </c>
      <c r="AH433" s="604" t="s">
        <v>420</v>
      </c>
      <c r="AJ433" s="535" t="str">
        <f t="shared" si="61"/>
        <v>2016gestdep32-36Quin 3</v>
      </c>
      <c r="AK433" s="604">
        <v>2016</v>
      </c>
      <c r="AL433" s="604" t="s">
        <v>450</v>
      </c>
      <c r="AM433" s="604" t="s">
        <v>454</v>
      </c>
      <c r="AN433" s="604" t="s">
        <v>136</v>
      </c>
      <c r="AO433" s="604" t="s">
        <v>423</v>
      </c>
      <c r="AP433" s="604">
        <v>676</v>
      </c>
      <c r="AR433" s="538" t="str">
        <f t="shared" si="62"/>
        <v>&lt;500bwtfetalCapital &amp; Coast</v>
      </c>
      <c r="AS433" s="604">
        <v>2016</v>
      </c>
      <c r="AT433" s="604" t="s">
        <v>427</v>
      </c>
      <c r="AU433" s="604" t="s">
        <v>447</v>
      </c>
      <c r="AV433" s="604" t="s">
        <v>96</v>
      </c>
      <c r="AW433" s="604">
        <v>6</v>
      </c>
      <c r="AX433" s="604">
        <v>7</v>
      </c>
      <c r="AY433" s="606">
        <v>857.1</v>
      </c>
      <c r="AZ433" s="604" t="s">
        <v>420</v>
      </c>
      <c r="BB433" s="536" t="str">
        <f t="shared" si="63"/>
        <v>32-36gestbirthsTaranaki</v>
      </c>
      <c r="BC433" s="604">
        <v>2016</v>
      </c>
      <c r="BD433" s="604" t="s">
        <v>136</v>
      </c>
      <c r="BE433" s="604" t="s">
        <v>450</v>
      </c>
      <c r="BF433" s="604" t="s">
        <v>93</v>
      </c>
      <c r="BG433" s="604">
        <v>95</v>
      </c>
      <c r="BH433" s="604" t="s">
        <v>445</v>
      </c>
      <c r="BY433" s="553" t="str">
        <f t="shared" si="64"/>
        <v>2001WaitematadhbSIDS</v>
      </c>
      <c r="BZ433" s="604">
        <v>2001</v>
      </c>
      <c r="CA433" s="604" t="s">
        <v>86</v>
      </c>
      <c r="CB433" s="604" t="s">
        <v>448</v>
      </c>
      <c r="CC433" s="604">
        <v>6</v>
      </c>
      <c r="CD433" s="604" t="s">
        <v>32</v>
      </c>
      <c r="CF433" s="559" t="str">
        <f t="shared" si="65"/>
        <v>5yearsMaoriNorthlanddhbSIDS</v>
      </c>
      <c r="CG433" s="604" t="s">
        <v>475</v>
      </c>
      <c r="CH433" s="604" t="s">
        <v>129</v>
      </c>
      <c r="CI433" s="604" t="s">
        <v>85</v>
      </c>
      <c r="CJ433" s="604" t="s">
        <v>448</v>
      </c>
      <c r="CK433" s="604">
        <v>3</v>
      </c>
      <c r="CL433" s="604" t="s">
        <v>32</v>
      </c>
    </row>
    <row r="434" spans="9:90">
      <c r="I434" s="578" t="str">
        <f t="shared" si="58"/>
        <v>2015depQuin 3Fetal</v>
      </c>
      <c r="J434" s="604">
        <v>2015</v>
      </c>
      <c r="K434" s="604" t="s">
        <v>454</v>
      </c>
      <c r="L434" s="604" t="s">
        <v>423</v>
      </c>
      <c r="M434" s="604">
        <v>47</v>
      </c>
      <c r="N434" s="604">
        <v>11243</v>
      </c>
      <c r="O434" s="604">
        <v>4.2</v>
      </c>
      <c r="P434" s="604" t="s">
        <v>47</v>
      </c>
      <c r="Q434" s="499"/>
      <c r="R434" s="502" t="str">
        <f t="shared" si="59"/>
        <v>2003birthsdhbWhanganui</v>
      </c>
      <c r="S434" s="604">
        <v>2003</v>
      </c>
      <c r="T434" s="604" t="s">
        <v>445</v>
      </c>
      <c r="U434" s="604" t="s">
        <v>448</v>
      </c>
      <c r="V434" s="604" t="s">
        <v>95</v>
      </c>
      <c r="W434" s="604">
        <v>843</v>
      </c>
      <c r="Y434" s="535" t="str">
        <f t="shared" si="60"/>
        <v>2016gestdep37-41Quin 3fetal</v>
      </c>
      <c r="Z434" s="604">
        <v>2016</v>
      </c>
      <c r="AA434" s="604" t="s">
        <v>450</v>
      </c>
      <c r="AB434" s="604" t="s">
        <v>454</v>
      </c>
      <c r="AC434" s="604" t="s">
        <v>137</v>
      </c>
      <c r="AD434" s="604" t="s">
        <v>423</v>
      </c>
      <c r="AE434" s="604">
        <v>16</v>
      </c>
      <c r="AF434" s="604">
        <v>9986</v>
      </c>
      <c r="AG434" s="604">
        <v>1.6</v>
      </c>
      <c r="AH434" s="604" t="s">
        <v>420</v>
      </c>
      <c r="AJ434" s="535" t="str">
        <f t="shared" si="61"/>
        <v>2016gestdep37-41Quin 3</v>
      </c>
      <c r="AK434" s="604">
        <v>2016</v>
      </c>
      <c r="AL434" s="604" t="s">
        <v>450</v>
      </c>
      <c r="AM434" s="604" t="s">
        <v>454</v>
      </c>
      <c r="AN434" s="604" t="s">
        <v>137</v>
      </c>
      <c r="AO434" s="604" t="s">
        <v>423</v>
      </c>
      <c r="AP434" s="604">
        <v>9986</v>
      </c>
      <c r="AR434" s="538" t="str">
        <f t="shared" si="62"/>
        <v>500-999bwtfetalCapital &amp; Coast</v>
      </c>
      <c r="AS434" s="604">
        <v>2016</v>
      </c>
      <c r="AT434" s="604" t="s">
        <v>428</v>
      </c>
      <c r="AU434" s="604" t="s">
        <v>447</v>
      </c>
      <c r="AV434" s="604" t="s">
        <v>96</v>
      </c>
      <c r="AW434" s="604">
        <v>2</v>
      </c>
      <c r="AX434" s="604">
        <v>13</v>
      </c>
      <c r="AY434" s="606">
        <v>153.80000000000001</v>
      </c>
      <c r="AZ434" s="604" t="s">
        <v>420</v>
      </c>
      <c r="BB434" s="536" t="str">
        <f t="shared" si="63"/>
        <v>37-41gestbirthsTaranaki</v>
      </c>
      <c r="BC434" s="604">
        <v>2016</v>
      </c>
      <c r="BD434" s="604" t="s">
        <v>137</v>
      </c>
      <c r="BE434" s="604" t="s">
        <v>450</v>
      </c>
      <c r="BF434" s="604" t="s">
        <v>93</v>
      </c>
      <c r="BG434" s="604">
        <v>1361</v>
      </c>
      <c r="BH434" s="604" t="s">
        <v>445</v>
      </c>
      <c r="BY434" s="553" t="str">
        <f t="shared" si="64"/>
        <v>2001AucklanddhbSIDS</v>
      </c>
      <c r="BZ434" s="604">
        <v>2001</v>
      </c>
      <c r="CA434" s="604" t="s">
        <v>87</v>
      </c>
      <c r="CB434" s="604" t="s">
        <v>448</v>
      </c>
      <c r="CC434" s="604">
        <v>2</v>
      </c>
      <c r="CD434" s="604" t="s">
        <v>32</v>
      </c>
      <c r="CF434" s="559" t="str">
        <f t="shared" si="65"/>
        <v>5yearsPacific peoplesNorthlanddhbSIDS</v>
      </c>
      <c r="CG434" s="604" t="s">
        <v>475</v>
      </c>
      <c r="CH434" s="604" t="s">
        <v>320</v>
      </c>
      <c r="CI434" s="604" t="s">
        <v>85</v>
      </c>
      <c r="CJ434" s="604" t="s">
        <v>448</v>
      </c>
      <c r="CK434" s="604">
        <v>0</v>
      </c>
      <c r="CL434" s="604" t="s">
        <v>32</v>
      </c>
    </row>
    <row r="435" spans="9:90">
      <c r="I435" s="578" t="str">
        <f t="shared" si="58"/>
        <v>2015depQuin 4Fetal</v>
      </c>
      <c r="J435" s="604">
        <v>2015</v>
      </c>
      <c r="K435" s="604" t="s">
        <v>454</v>
      </c>
      <c r="L435" s="604" t="s">
        <v>424</v>
      </c>
      <c r="M435" s="604">
        <v>82</v>
      </c>
      <c r="N435" s="604">
        <v>13696</v>
      </c>
      <c r="O435" s="604">
        <v>6</v>
      </c>
      <c r="P435" s="604" t="s">
        <v>47</v>
      </c>
      <c r="Q435" s="499"/>
      <c r="R435" s="502" t="str">
        <f t="shared" si="59"/>
        <v>2003birthsdhbCapital &amp; Coast</v>
      </c>
      <c r="S435" s="604">
        <v>2003</v>
      </c>
      <c r="T435" s="604" t="s">
        <v>445</v>
      </c>
      <c r="U435" s="604" t="s">
        <v>448</v>
      </c>
      <c r="V435" s="604" t="s">
        <v>96</v>
      </c>
      <c r="W435" s="604">
        <v>3805</v>
      </c>
      <c r="Y435" s="535" t="str">
        <f t="shared" si="60"/>
        <v>2016gestdep42+Quin 3fetal</v>
      </c>
      <c r="Z435" s="604">
        <v>2016</v>
      </c>
      <c r="AA435" s="604" t="s">
        <v>450</v>
      </c>
      <c r="AB435" s="604" t="s">
        <v>454</v>
      </c>
      <c r="AC435" s="604" t="s">
        <v>138</v>
      </c>
      <c r="AD435" s="604" t="s">
        <v>423</v>
      </c>
      <c r="AE435" s="604">
        <v>0</v>
      </c>
      <c r="AF435" s="604">
        <v>181</v>
      </c>
      <c r="AG435" s="604">
        <v>0</v>
      </c>
      <c r="AH435" s="604" t="s">
        <v>420</v>
      </c>
      <c r="AJ435" s="535" t="str">
        <f t="shared" si="61"/>
        <v>2016gestdep42+Quin 3</v>
      </c>
      <c r="AK435" s="604">
        <v>2016</v>
      </c>
      <c r="AL435" s="604" t="s">
        <v>450</v>
      </c>
      <c r="AM435" s="604" t="s">
        <v>454</v>
      </c>
      <c r="AN435" s="604" t="s">
        <v>138</v>
      </c>
      <c r="AO435" s="604" t="s">
        <v>423</v>
      </c>
      <c r="AP435" s="604">
        <v>181</v>
      </c>
      <c r="AR435" s="538" t="str">
        <f t="shared" si="62"/>
        <v>1000-1499bwtfetalCapital &amp; Coast</v>
      </c>
      <c r="AS435" s="604">
        <v>2016</v>
      </c>
      <c r="AT435" s="604" t="s">
        <v>429</v>
      </c>
      <c r="AU435" s="604" t="s">
        <v>447</v>
      </c>
      <c r="AV435" s="604" t="s">
        <v>96</v>
      </c>
      <c r="AW435" s="604">
        <v>2</v>
      </c>
      <c r="AX435" s="604">
        <v>20</v>
      </c>
      <c r="AY435" s="606">
        <v>100</v>
      </c>
      <c r="AZ435" s="604" t="s">
        <v>420</v>
      </c>
      <c r="BB435" s="536" t="str">
        <f t="shared" si="63"/>
        <v>42+gestbirthsTaranaki</v>
      </c>
      <c r="BC435" s="604">
        <v>2016</v>
      </c>
      <c r="BD435" s="604" t="s">
        <v>138</v>
      </c>
      <c r="BE435" s="604" t="s">
        <v>450</v>
      </c>
      <c r="BF435" s="604" t="s">
        <v>93</v>
      </c>
      <c r="BG435" s="604">
        <v>21</v>
      </c>
      <c r="BH435" s="604" t="s">
        <v>445</v>
      </c>
      <c r="BY435" s="553" t="str">
        <f t="shared" si="64"/>
        <v>2001Counties ManukaudhbSIDS</v>
      </c>
      <c r="BZ435" s="604">
        <v>2001</v>
      </c>
      <c r="CA435" s="604" t="s">
        <v>88</v>
      </c>
      <c r="CB435" s="604" t="s">
        <v>448</v>
      </c>
      <c r="CC435" s="604">
        <v>10</v>
      </c>
      <c r="CD435" s="604" t="s">
        <v>32</v>
      </c>
      <c r="CF435" s="559" t="str">
        <f t="shared" si="65"/>
        <v>5yearsAsianWaitematadhbSIDS</v>
      </c>
      <c r="CG435" s="604" t="s">
        <v>475</v>
      </c>
      <c r="CH435" s="604" t="s">
        <v>355</v>
      </c>
      <c r="CI435" s="604" t="s">
        <v>86</v>
      </c>
      <c r="CJ435" s="604" t="s">
        <v>448</v>
      </c>
      <c r="CK435" s="604">
        <v>0</v>
      </c>
      <c r="CL435" s="604" t="s">
        <v>32</v>
      </c>
    </row>
    <row r="436" spans="9:90">
      <c r="I436" s="578" t="str">
        <f t="shared" si="58"/>
        <v>2015depQuin 5Fetal</v>
      </c>
      <c r="J436" s="604">
        <v>2015</v>
      </c>
      <c r="K436" s="604" t="s">
        <v>454</v>
      </c>
      <c r="L436" s="604" t="s">
        <v>425</v>
      </c>
      <c r="M436" s="604">
        <v>127</v>
      </c>
      <c r="N436" s="604">
        <v>17581</v>
      </c>
      <c r="O436" s="604">
        <v>7.2</v>
      </c>
      <c r="P436" s="604" t="s">
        <v>47</v>
      </c>
      <c r="Q436" s="499"/>
      <c r="R436" s="502" t="str">
        <f t="shared" si="59"/>
        <v>2003birthsdhbHutt Valley</v>
      </c>
      <c r="S436" s="604">
        <v>2003</v>
      </c>
      <c r="T436" s="604" t="s">
        <v>445</v>
      </c>
      <c r="U436" s="604" t="s">
        <v>448</v>
      </c>
      <c r="V436" s="604" t="s">
        <v>97</v>
      </c>
      <c r="W436" s="604">
        <v>2052</v>
      </c>
      <c r="Y436" s="535" t="str">
        <f t="shared" si="60"/>
        <v>2016gestdepUnknownQuin 3fetal</v>
      </c>
      <c r="Z436" s="604">
        <v>2016</v>
      </c>
      <c r="AA436" s="604" t="s">
        <v>450</v>
      </c>
      <c r="AB436" s="604" t="s">
        <v>454</v>
      </c>
      <c r="AC436" s="604" t="s">
        <v>63</v>
      </c>
      <c r="AD436" s="604" t="s">
        <v>423</v>
      </c>
      <c r="AE436" s="604">
        <v>0</v>
      </c>
      <c r="AF436" s="604">
        <v>9</v>
      </c>
      <c r="AG436" s="604" t="s">
        <v>119</v>
      </c>
      <c r="AH436" s="604" t="s">
        <v>420</v>
      </c>
      <c r="AJ436" s="535" t="str">
        <f t="shared" si="61"/>
        <v>2016gestdepUnknownQuin 3</v>
      </c>
      <c r="AK436" s="604">
        <v>2016</v>
      </c>
      <c r="AL436" s="604" t="s">
        <v>450</v>
      </c>
      <c r="AM436" s="604" t="s">
        <v>454</v>
      </c>
      <c r="AN436" s="604" t="s">
        <v>63</v>
      </c>
      <c r="AO436" s="604" t="s">
        <v>423</v>
      </c>
      <c r="AP436" s="604">
        <v>9</v>
      </c>
      <c r="AR436" s="538" t="str">
        <f t="shared" si="62"/>
        <v>1500-2499bwtfetalCapital &amp; Coast</v>
      </c>
      <c r="AS436" s="604">
        <v>2016</v>
      </c>
      <c r="AT436" s="604" t="s">
        <v>430</v>
      </c>
      <c r="AU436" s="604" t="s">
        <v>447</v>
      </c>
      <c r="AV436" s="604" t="s">
        <v>96</v>
      </c>
      <c r="AW436" s="604">
        <v>2</v>
      </c>
      <c r="AX436" s="604">
        <v>173</v>
      </c>
      <c r="AY436" s="606">
        <v>11.6</v>
      </c>
      <c r="AZ436" s="604" t="s">
        <v>420</v>
      </c>
      <c r="BB436" s="536" t="str">
        <f t="shared" si="63"/>
        <v>&lt;28gestbirthsMidCentral</v>
      </c>
      <c r="BC436" s="604">
        <v>2016</v>
      </c>
      <c r="BD436" s="604" t="s">
        <v>375</v>
      </c>
      <c r="BE436" s="604" t="s">
        <v>450</v>
      </c>
      <c r="BF436" s="604" t="s">
        <v>94</v>
      </c>
      <c r="BG436" s="604">
        <v>7</v>
      </c>
      <c r="BH436" s="604" t="s">
        <v>445</v>
      </c>
      <c r="BY436" s="553" t="str">
        <f t="shared" si="64"/>
        <v>2001WaikatodhbSIDS</v>
      </c>
      <c r="BZ436" s="604">
        <v>2001</v>
      </c>
      <c r="CA436" s="604" t="s">
        <v>89</v>
      </c>
      <c r="CB436" s="604" t="s">
        <v>448</v>
      </c>
      <c r="CC436" s="604">
        <v>7</v>
      </c>
      <c r="CD436" s="604" t="s">
        <v>32</v>
      </c>
      <c r="CF436" s="559" t="str">
        <f t="shared" si="65"/>
        <v>5yearsEuropean or OtherWaitematadhbSIDS</v>
      </c>
      <c r="CG436" s="604" t="s">
        <v>475</v>
      </c>
      <c r="CH436" s="604" t="s">
        <v>356</v>
      </c>
      <c r="CI436" s="604" t="s">
        <v>86</v>
      </c>
      <c r="CJ436" s="604" t="s">
        <v>448</v>
      </c>
      <c r="CK436" s="604">
        <v>2</v>
      </c>
      <c r="CL436" s="604" t="s">
        <v>32</v>
      </c>
    </row>
    <row r="437" spans="9:90">
      <c r="I437" s="578" t="str">
        <f t="shared" si="58"/>
        <v>2015depQuin 9Fetal</v>
      </c>
      <c r="J437" s="604">
        <v>2015</v>
      </c>
      <c r="K437" s="604" t="s">
        <v>454</v>
      </c>
      <c r="L437" s="604" t="s">
        <v>426</v>
      </c>
      <c r="M437" s="604">
        <v>16</v>
      </c>
      <c r="N437" s="604">
        <v>187</v>
      </c>
      <c r="O437" s="604" t="s">
        <v>119</v>
      </c>
      <c r="P437" s="604" t="s">
        <v>47</v>
      </c>
      <c r="Q437" s="499"/>
      <c r="R437" s="502" t="str">
        <f t="shared" si="59"/>
        <v>2003birthsdhbWairarapa</v>
      </c>
      <c r="S437" s="604">
        <v>2003</v>
      </c>
      <c r="T437" s="604" t="s">
        <v>445</v>
      </c>
      <c r="U437" s="604" t="s">
        <v>448</v>
      </c>
      <c r="V437" s="604" t="s">
        <v>98</v>
      </c>
      <c r="W437" s="604">
        <v>435</v>
      </c>
      <c r="Y437" s="535" t="str">
        <f t="shared" si="60"/>
        <v>2016gestdep&lt;28Quin 4fetal</v>
      </c>
      <c r="Z437" s="604">
        <v>2016</v>
      </c>
      <c r="AA437" s="604" t="s">
        <v>450</v>
      </c>
      <c r="AB437" s="604" t="s">
        <v>454</v>
      </c>
      <c r="AC437" s="604" t="s">
        <v>375</v>
      </c>
      <c r="AD437" s="604" t="s">
        <v>424</v>
      </c>
      <c r="AE437" s="604">
        <v>49</v>
      </c>
      <c r="AF437" s="604">
        <v>65</v>
      </c>
      <c r="AG437" s="604">
        <v>429.8</v>
      </c>
      <c r="AH437" s="604" t="s">
        <v>420</v>
      </c>
      <c r="AJ437" s="535" t="str">
        <f t="shared" si="61"/>
        <v>2016gestdep&lt;28Quin 4</v>
      </c>
      <c r="AK437" s="604">
        <v>2016</v>
      </c>
      <c r="AL437" s="604" t="s">
        <v>450</v>
      </c>
      <c r="AM437" s="604" t="s">
        <v>454</v>
      </c>
      <c r="AN437" s="604" t="s">
        <v>375</v>
      </c>
      <c r="AO437" s="604" t="s">
        <v>424</v>
      </c>
      <c r="AP437" s="604">
        <v>65</v>
      </c>
      <c r="AR437" s="538" t="str">
        <f t="shared" si="62"/>
        <v>2500-4499bwtfetalCapital &amp; Coast</v>
      </c>
      <c r="AS437" s="604">
        <v>2016</v>
      </c>
      <c r="AT437" s="604" t="s">
        <v>431</v>
      </c>
      <c r="AU437" s="604" t="s">
        <v>447</v>
      </c>
      <c r="AV437" s="604" t="s">
        <v>96</v>
      </c>
      <c r="AW437" s="604">
        <v>6</v>
      </c>
      <c r="AX437" s="604">
        <v>3258</v>
      </c>
      <c r="AY437" s="606">
        <v>1.8</v>
      </c>
      <c r="AZ437" s="604" t="s">
        <v>420</v>
      </c>
      <c r="BB437" s="536" t="str">
        <f t="shared" si="63"/>
        <v>28-31gestbirthsMidCentral</v>
      </c>
      <c r="BC437" s="604">
        <v>2016</v>
      </c>
      <c r="BD437" s="604" t="s">
        <v>395</v>
      </c>
      <c r="BE437" s="604" t="s">
        <v>450</v>
      </c>
      <c r="BF437" s="604" t="s">
        <v>94</v>
      </c>
      <c r="BG437" s="604">
        <v>28</v>
      </c>
      <c r="BH437" s="604" t="s">
        <v>445</v>
      </c>
      <c r="BY437" s="553" t="str">
        <f t="shared" si="64"/>
        <v>2001LakesdhbSIDS</v>
      </c>
      <c r="BZ437" s="604">
        <v>2001</v>
      </c>
      <c r="CA437" s="604" t="s">
        <v>90</v>
      </c>
      <c r="CB437" s="604" t="s">
        <v>448</v>
      </c>
      <c r="CC437" s="604">
        <v>3</v>
      </c>
      <c r="CD437" s="604" t="s">
        <v>32</v>
      </c>
      <c r="CF437" s="559" t="str">
        <f t="shared" si="65"/>
        <v>5yearsMaoriWaitematadhbSIDS</v>
      </c>
      <c r="CG437" s="604" t="s">
        <v>475</v>
      </c>
      <c r="CH437" s="604" t="s">
        <v>129</v>
      </c>
      <c r="CI437" s="604" t="s">
        <v>86</v>
      </c>
      <c r="CJ437" s="604" t="s">
        <v>448</v>
      </c>
      <c r="CK437" s="604">
        <v>0</v>
      </c>
      <c r="CL437" s="604" t="s">
        <v>32</v>
      </c>
    </row>
    <row r="438" spans="9:90">
      <c r="I438" s="578" t="str">
        <f t="shared" si="58"/>
        <v>2016depQuin 1Fetal</v>
      </c>
      <c r="J438" s="604">
        <v>2016</v>
      </c>
      <c r="K438" s="604" t="s">
        <v>454</v>
      </c>
      <c r="L438" s="604" t="s">
        <v>421</v>
      </c>
      <c r="M438" s="604">
        <v>43</v>
      </c>
      <c r="N438" s="604">
        <v>9237</v>
      </c>
      <c r="O438" s="604">
        <v>4.7</v>
      </c>
      <c r="P438" s="604" t="s">
        <v>47</v>
      </c>
      <c r="Q438" s="499"/>
      <c r="R438" s="502" t="str">
        <f t="shared" si="59"/>
        <v>2003birthsdhbNelson Marlborough</v>
      </c>
      <c r="S438" s="604">
        <v>2003</v>
      </c>
      <c r="T438" s="604" t="s">
        <v>445</v>
      </c>
      <c r="U438" s="604" t="s">
        <v>448</v>
      </c>
      <c r="V438" s="604" t="s">
        <v>99</v>
      </c>
      <c r="W438" s="604">
        <v>1523</v>
      </c>
      <c r="Y438" s="535" t="str">
        <f t="shared" si="60"/>
        <v>2016gestdep28-31Quin 4fetal</v>
      </c>
      <c r="Z438" s="604">
        <v>2016</v>
      </c>
      <c r="AA438" s="604" t="s">
        <v>450</v>
      </c>
      <c r="AB438" s="604" t="s">
        <v>454</v>
      </c>
      <c r="AC438" s="604" t="s">
        <v>395</v>
      </c>
      <c r="AD438" s="604" t="s">
        <v>424</v>
      </c>
      <c r="AE438" s="604">
        <v>8</v>
      </c>
      <c r="AF438" s="604">
        <v>96</v>
      </c>
      <c r="AG438" s="604">
        <v>76.900000000000006</v>
      </c>
      <c r="AH438" s="604" t="s">
        <v>420</v>
      </c>
      <c r="AJ438" s="535" t="str">
        <f t="shared" si="61"/>
        <v>2016gestdep28-31Quin 4</v>
      </c>
      <c r="AK438" s="604">
        <v>2016</v>
      </c>
      <c r="AL438" s="604" t="s">
        <v>450</v>
      </c>
      <c r="AM438" s="604" t="s">
        <v>454</v>
      </c>
      <c r="AN438" s="604" t="s">
        <v>395</v>
      </c>
      <c r="AO438" s="604" t="s">
        <v>424</v>
      </c>
      <c r="AP438" s="604">
        <v>96</v>
      </c>
      <c r="AR438" s="538" t="str">
        <f t="shared" si="62"/>
        <v>&lt;500bwtfetalHutt Valley</v>
      </c>
      <c r="AS438" s="604">
        <v>2016</v>
      </c>
      <c r="AT438" s="604" t="s">
        <v>427</v>
      </c>
      <c r="AU438" s="604" t="s">
        <v>447</v>
      </c>
      <c r="AV438" s="604" t="s">
        <v>97</v>
      </c>
      <c r="AW438" s="604">
        <v>2</v>
      </c>
      <c r="AX438" s="604">
        <v>4</v>
      </c>
      <c r="AY438" s="606">
        <v>500</v>
      </c>
      <c r="AZ438" s="604" t="s">
        <v>420</v>
      </c>
      <c r="BB438" s="536" t="str">
        <f t="shared" si="63"/>
        <v>32-36gestbirthsMidCentral</v>
      </c>
      <c r="BC438" s="604">
        <v>2016</v>
      </c>
      <c r="BD438" s="604" t="s">
        <v>136</v>
      </c>
      <c r="BE438" s="604" t="s">
        <v>450</v>
      </c>
      <c r="BF438" s="604" t="s">
        <v>94</v>
      </c>
      <c r="BG438" s="604">
        <v>163</v>
      </c>
      <c r="BH438" s="604" t="s">
        <v>445</v>
      </c>
      <c r="BY438" s="553" t="str">
        <f t="shared" si="64"/>
        <v>2001Bay of PlentydhbSIDS</v>
      </c>
      <c r="BZ438" s="604">
        <v>2001</v>
      </c>
      <c r="CA438" s="604" t="s">
        <v>91</v>
      </c>
      <c r="CB438" s="604" t="s">
        <v>448</v>
      </c>
      <c r="CC438" s="604">
        <v>1</v>
      </c>
      <c r="CD438" s="604" t="s">
        <v>32</v>
      </c>
      <c r="CF438" s="559" t="str">
        <f t="shared" si="65"/>
        <v>5yearsPacific peoplesWaitematadhbSIDS</v>
      </c>
      <c r="CG438" s="604" t="s">
        <v>475</v>
      </c>
      <c r="CH438" s="604" t="s">
        <v>320</v>
      </c>
      <c r="CI438" s="604" t="s">
        <v>86</v>
      </c>
      <c r="CJ438" s="604" t="s">
        <v>448</v>
      </c>
      <c r="CK438" s="604">
        <v>0</v>
      </c>
      <c r="CL438" s="604" t="s">
        <v>32</v>
      </c>
    </row>
    <row r="439" spans="9:90">
      <c r="I439" s="578" t="str">
        <f t="shared" si="58"/>
        <v>2016depQuin 2Fetal</v>
      </c>
      <c r="J439" s="604">
        <v>2016</v>
      </c>
      <c r="K439" s="604" t="s">
        <v>454</v>
      </c>
      <c r="L439" s="604" t="s">
        <v>422</v>
      </c>
      <c r="M439" s="604">
        <v>64</v>
      </c>
      <c r="N439" s="604">
        <v>10187</v>
      </c>
      <c r="O439" s="604">
        <v>6.3</v>
      </c>
      <c r="P439" s="604" t="s">
        <v>47</v>
      </c>
      <c r="Q439" s="499"/>
      <c r="R439" s="502" t="str">
        <f t="shared" si="59"/>
        <v>2003birthsdhbWest Coast</v>
      </c>
      <c r="S439" s="604">
        <v>2003</v>
      </c>
      <c r="T439" s="604" t="s">
        <v>445</v>
      </c>
      <c r="U439" s="604" t="s">
        <v>448</v>
      </c>
      <c r="V439" s="604" t="s">
        <v>100</v>
      </c>
      <c r="W439" s="604">
        <v>334</v>
      </c>
      <c r="Y439" s="535" t="str">
        <f t="shared" si="60"/>
        <v>2016gestdep32-36Quin 4fetal</v>
      </c>
      <c r="Z439" s="604">
        <v>2016</v>
      </c>
      <c r="AA439" s="604" t="s">
        <v>450</v>
      </c>
      <c r="AB439" s="604" t="s">
        <v>454</v>
      </c>
      <c r="AC439" s="604" t="s">
        <v>136</v>
      </c>
      <c r="AD439" s="604" t="s">
        <v>424</v>
      </c>
      <c r="AE439" s="604">
        <v>11</v>
      </c>
      <c r="AF439" s="604">
        <v>835</v>
      </c>
      <c r="AG439" s="604">
        <v>13</v>
      </c>
      <c r="AH439" s="604" t="s">
        <v>420</v>
      </c>
      <c r="AJ439" s="535" t="str">
        <f t="shared" si="61"/>
        <v>2016gestdep32-36Quin 4</v>
      </c>
      <c r="AK439" s="604">
        <v>2016</v>
      </c>
      <c r="AL439" s="604" t="s">
        <v>450</v>
      </c>
      <c r="AM439" s="604" t="s">
        <v>454</v>
      </c>
      <c r="AN439" s="604" t="s">
        <v>136</v>
      </c>
      <c r="AO439" s="604" t="s">
        <v>424</v>
      </c>
      <c r="AP439" s="604">
        <v>835</v>
      </c>
      <c r="AR439" s="538" t="str">
        <f t="shared" si="62"/>
        <v>500-999bwtfetalHutt Valley</v>
      </c>
      <c r="AS439" s="604">
        <v>2016</v>
      </c>
      <c r="AT439" s="604" t="s">
        <v>428</v>
      </c>
      <c r="AU439" s="604" t="s">
        <v>447</v>
      </c>
      <c r="AV439" s="604" t="s">
        <v>97</v>
      </c>
      <c r="AW439" s="604">
        <v>2</v>
      </c>
      <c r="AX439" s="604">
        <v>12</v>
      </c>
      <c r="AY439" s="606">
        <v>166.7</v>
      </c>
      <c r="AZ439" s="604" t="s">
        <v>420</v>
      </c>
      <c r="BB439" s="536" t="str">
        <f t="shared" si="63"/>
        <v>37-41gestbirthsMidCentral</v>
      </c>
      <c r="BC439" s="604">
        <v>2016</v>
      </c>
      <c r="BD439" s="604" t="s">
        <v>137</v>
      </c>
      <c r="BE439" s="604" t="s">
        <v>450</v>
      </c>
      <c r="BF439" s="604" t="s">
        <v>94</v>
      </c>
      <c r="BG439" s="604">
        <v>1872</v>
      </c>
      <c r="BH439" s="604" t="s">
        <v>445</v>
      </c>
      <c r="BY439" s="553" t="str">
        <f t="shared" si="64"/>
        <v>2001TairawhitidhbSIDS</v>
      </c>
      <c r="BZ439" s="604">
        <v>2001</v>
      </c>
      <c r="CA439" s="604" t="s">
        <v>433</v>
      </c>
      <c r="CB439" s="604" t="s">
        <v>448</v>
      </c>
      <c r="CC439" s="604">
        <v>0</v>
      </c>
      <c r="CD439" s="604" t="s">
        <v>32</v>
      </c>
      <c r="CF439" s="559" t="str">
        <f t="shared" si="65"/>
        <v>5yearsAsianAucklanddhbSIDS</v>
      </c>
      <c r="CG439" s="604" t="s">
        <v>475</v>
      </c>
      <c r="CH439" s="604" t="s">
        <v>355</v>
      </c>
      <c r="CI439" s="604" t="s">
        <v>87</v>
      </c>
      <c r="CJ439" s="604" t="s">
        <v>448</v>
      </c>
      <c r="CK439" s="604">
        <v>1</v>
      </c>
      <c r="CL439" s="604" t="s">
        <v>32</v>
      </c>
    </row>
    <row r="440" spans="9:90">
      <c r="I440" s="578" t="str">
        <f t="shared" si="58"/>
        <v>2016depQuin 3Fetal</v>
      </c>
      <c r="J440" s="604">
        <v>2016</v>
      </c>
      <c r="K440" s="604" t="s">
        <v>454</v>
      </c>
      <c r="L440" s="604" t="s">
        <v>423</v>
      </c>
      <c r="M440" s="604">
        <v>68</v>
      </c>
      <c r="N440" s="604">
        <v>11039</v>
      </c>
      <c r="O440" s="604">
        <v>6.2</v>
      </c>
      <c r="P440" s="604" t="s">
        <v>47</v>
      </c>
      <c r="Q440" s="499"/>
      <c r="R440" s="502" t="str">
        <f t="shared" si="59"/>
        <v>2003birthsdhbCanterbury</v>
      </c>
      <c r="S440" s="604">
        <v>2003</v>
      </c>
      <c r="T440" s="604" t="s">
        <v>445</v>
      </c>
      <c r="U440" s="604" t="s">
        <v>448</v>
      </c>
      <c r="V440" s="604" t="s">
        <v>101</v>
      </c>
      <c r="W440" s="604">
        <v>5665</v>
      </c>
      <c r="Y440" s="535" t="str">
        <f t="shared" si="60"/>
        <v>2016gestdep37-41Quin 4fetal</v>
      </c>
      <c r="Z440" s="604">
        <v>2016</v>
      </c>
      <c r="AA440" s="604" t="s">
        <v>450</v>
      </c>
      <c r="AB440" s="604" t="s">
        <v>454</v>
      </c>
      <c r="AC440" s="604" t="s">
        <v>137</v>
      </c>
      <c r="AD440" s="604" t="s">
        <v>424</v>
      </c>
      <c r="AE440" s="604">
        <v>18</v>
      </c>
      <c r="AF440" s="604">
        <v>11898</v>
      </c>
      <c r="AG440" s="604">
        <v>1.5</v>
      </c>
      <c r="AH440" s="604" t="s">
        <v>420</v>
      </c>
      <c r="AJ440" s="535" t="str">
        <f t="shared" si="61"/>
        <v>2016gestdep37-41Quin 4</v>
      </c>
      <c r="AK440" s="604">
        <v>2016</v>
      </c>
      <c r="AL440" s="604" t="s">
        <v>450</v>
      </c>
      <c r="AM440" s="604" t="s">
        <v>454</v>
      </c>
      <c r="AN440" s="604" t="s">
        <v>137</v>
      </c>
      <c r="AO440" s="604" t="s">
        <v>424</v>
      </c>
      <c r="AP440" s="604">
        <v>11898</v>
      </c>
      <c r="AR440" s="538" t="str">
        <f t="shared" si="62"/>
        <v>1000-1499bwtfetalHutt Valley</v>
      </c>
      <c r="AS440" s="604">
        <v>2016</v>
      </c>
      <c r="AT440" s="604" t="s">
        <v>429</v>
      </c>
      <c r="AU440" s="604" t="s">
        <v>447</v>
      </c>
      <c r="AV440" s="604" t="s">
        <v>97</v>
      </c>
      <c r="AW440" s="604">
        <v>1</v>
      </c>
      <c r="AX440" s="604">
        <v>13</v>
      </c>
      <c r="AY440" s="606">
        <v>76.900000000000006</v>
      </c>
      <c r="AZ440" s="604" t="s">
        <v>420</v>
      </c>
      <c r="BB440" s="536" t="str">
        <f t="shared" si="63"/>
        <v>42+gestbirthsMidCentral</v>
      </c>
      <c r="BC440" s="604">
        <v>2016</v>
      </c>
      <c r="BD440" s="604" t="s">
        <v>138</v>
      </c>
      <c r="BE440" s="604" t="s">
        <v>450</v>
      </c>
      <c r="BF440" s="604" t="s">
        <v>94</v>
      </c>
      <c r="BG440" s="604">
        <v>36</v>
      </c>
      <c r="BH440" s="604" t="s">
        <v>445</v>
      </c>
      <c r="BY440" s="553" t="str">
        <f t="shared" si="64"/>
        <v>2001Hawke's BaydhbSIDS</v>
      </c>
      <c r="BZ440" s="604">
        <v>2001</v>
      </c>
      <c r="CA440" s="604" t="s">
        <v>92</v>
      </c>
      <c r="CB440" s="604" t="s">
        <v>448</v>
      </c>
      <c r="CC440" s="604">
        <v>2</v>
      </c>
      <c r="CD440" s="604" t="s">
        <v>32</v>
      </c>
      <c r="CF440" s="559" t="str">
        <f t="shared" si="65"/>
        <v>5yearsEuropean or OtherAucklanddhbSIDS</v>
      </c>
      <c r="CG440" s="604" t="s">
        <v>475</v>
      </c>
      <c r="CH440" s="604" t="s">
        <v>356</v>
      </c>
      <c r="CI440" s="604" t="s">
        <v>87</v>
      </c>
      <c r="CJ440" s="604" t="s">
        <v>448</v>
      </c>
      <c r="CK440" s="604">
        <v>0</v>
      </c>
      <c r="CL440" s="604" t="s">
        <v>32</v>
      </c>
    </row>
    <row r="441" spans="9:90">
      <c r="I441" s="578" t="str">
        <f t="shared" si="58"/>
        <v>2016depQuin 4Fetal</v>
      </c>
      <c r="J441" s="604">
        <v>2016</v>
      </c>
      <c r="K441" s="604" t="s">
        <v>454</v>
      </c>
      <c r="L441" s="604" t="s">
        <v>424</v>
      </c>
      <c r="M441" s="604">
        <v>90</v>
      </c>
      <c r="N441" s="604">
        <v>13221</v>
      </c>
      <c r="O441" s="604">
        <v>6.8</v>
      </c>
      <c r="P441" s="604" t="s">
        <v>47</v>
      </c>
      <c r="Q441" s="499"/>
      <c r="R441" s="502" t="str">
        <f t="shared" si="59"/>
        <v>2003birthsdhbSouth Canterbury</v>
      </c>
      <c r="S441" s="604">
        <v>2003</v>
      </c>
      <c r="T441" s="604" t="s">
        <v>445</v>
      </c>
      <c r="U441" s="604" t="s">
        <v>448</v>
      </c>
      <c r="V441" s="604" t="s">
        <v>102</v>
      </c>
      <c r="W441" s="604">
        <v>592</v>
      </c>
      <c r="Y441" s="535" t="str">
        <f t="shared" si="60"/>
        <v>2016gestdep42+Quin 4fetal</v>
      </c>
      <c r="Z441" s="604">
        <v>2016</v>
      </c>
      <c r="AA441" s="604" t="s">
        <v>450</v>
      </c>
      <c r="AB441" s="604" t="s">
        <v>454</v>
      </c>
      <c r="AC441" s="604" t="s">
        <v>138</v>
      </c>
      <c r="AD441" s="604" t="s">
        <v>424</v>
      </c>
      <c r="AE441" s="604">
        <v>0</v>
      </c>
      <c r="AF441" s="604">
        <v>232</v>
      </c>
      <c r="AG441" s="604">
        <v>0</v>
      </c>
      <c r="AH441" s="604" t="s">
        <v>420</v>
      </c>
      <c r="AJ441" s="535" t="str">
        <f t="shared" si="61"/>
        <v>2016gestdep42+Quin 4</v>
      </c>
      <c r="AK441" s="604">
        <v>2016</v>
      </c>
      <c r="AL441" s="604" t="s">
        <v>450</v>
      </c>
      <c r="AM441" s="604" t="s">
        <v>454</v>
      </c>
      <c r="AN441" s="604" t="s">
        <v>138</v>
      </c>
      <c r="AO441" s="604" t="s">
        <v>424</v>
      </c>
      <c r="AP441" s="604">
        <v>232</v>
      </c>
      <c r="AR441" s="538" t="str">
        <f t="shared" si="62"/>
        <v>1500-2499bwtfetalHutt Valley</v>
      </c>
      <c r="AS441" s="604">
        <v>2016</v>
      </c>
      <c r="AT441" s="604" t="s">
        <v>430</v>
      </c>
      <c r="AU441" s="604" t="s">
        <v>447</v>
      </c>
      <c r="AV441" s="604" t="s">
        <v>97</v>
      </c>
      <c r="AW441" s="604">
        <v>1</v>
      </c>
      <c r="AX441" s="604">
        <v>117</v>
      </c>
      <c r="AY441" s="606">
        <v>8.5</v>
      </c>
      <c r="AZ441" s="604" t="s">
        <v>420</v>
      </c>
      <c r="BB441" s="536" t="str">
        <f t="shared" si="63"/>
        <v>28-31gestbirthsWhanganui</v>
      </c>
      <c r="BC441" s="604">
        <v>2016</v>
      </c>
      <c r="BD441" s="604" t="s">
        <v>395</v>
      </c>
      <c r="BE441" s="604" t="s">
        <v>450</v>
      </c>
      <c r="BF441" s="604" t="s">
        <v>95</v>
      </c>
      <c r="BG441" s="604">
        <v>7</v>
      </c>
      <c r="BH441" s="604" t="s">
        <v>445</v>
      </c>
      <c r="BY441" s="553" t="str">
        <f t="shared" si="64"/>
        <v>2001TaranakidhbSIDS</v>
      </c>
      <c r="BZ441" s="604">
        <v>2001</v>
      </c>
      <c r="CA441" s="604" t="s">
        <v>93</v>
      </c>
      <c r="CB441" s="604" t="s">
        <v>448</v>
      </c>
      <c r="CC441" s="604">
        <v>0</v>
      </c>
      <c r="CD441" s="604" t="s">
        <v>32</v>
      </c>
      <c r="CF441" s="559" t="str">
        <f t="shared" si="65"/>
        <v>5yearsMaoriAucklanddhbSIDS</v>
      </c>
      <c r="CG441" s="604" t="s">
        <v>475</v>
      </c>
      <c r="CH441" s="604" t="s">
        <v>129</v>
      </c>
      <c r="CI441" s="604" t="s">
        <v>87</v>
      </c>
      <c r="CJ441" s="604" t="s">
        <v>448</v>
      </c>
      <c r="CK441" s="604">
        <v>0</v>
      </c>
      <c r="CL441" s="604" t="s">
        <v>32</v>
      </c>
    </row>
    <row r="442" spans="9:90">
      <c r="I442" s="578" t="str">
        <f t="shared" si="58"/>
        <v>2016depQuin 5Fetal</v>
      </c>
      <c r="J442" s="604">
        <v>2016</v>
      </c>
      <c r="K442" s="604" t="s">
        <v>454</v>
      </c>
      <c r="L442" s="604" t="s">
        <v>425</v>
      </c>
      <c r="M442" s="604">
        <v>126</v>
      </c>
      <c r="N442" s="604">
        <v>17012</v>
      </c>
      <c r="O442" s="604">
        <v>7.4</v>
      </c>
      <c r="P442" s="604" t="s">
        <v>47</v>
      </c>
      <c r="Q442" s="499"/>
      <c r="R442" s="502" t="str">
        <f t="shared" si="59"/>
        <v>2003birthsdhbSouthern</v>
      </c>
      <c r="S442" s="604">
        <v>2003</v>
      </c>
      <c r="T442" s="604" t="s">
        <v>445</v>
      </c>
      <c r="U442" s="604" t="s">
        <v>448</v>
      </c>
      <c r="V442" s="604" t="s">
        <v>103</v>
      </c>
      <c r="W442" s="604">
        <v>3290</v>
      </c>
      <c r="Y442" s="535" t="str">
        <f t="shared" si="60"/>
        <v>2016gestdepUnknownQuin 4fetal</v>
      </c>
      <c r="Z442" s="604">
        <v>2016</v>
      </c>
      <c r="AA442" s="604" t="s">
        <v>450</v>
      </c>
      <c r="AB442" s="604" t="s">
        <v>454</v>
      </c>
      <c r="AC442" s="604" t="s">
        <v>63</v>
      </c>
      <c r="AD442" s="604" t="s">
        <v>424</v>
      </c>
      <c r="AE442" s="604">
        <v>4</v>
      </c>
      <c r="AF442" s="604">
        <v>5</v>
      </c>
      <c r="AG442" s="604" t="s">
        <v>119</v>
      </c>
      <c r="AH442" s="604" t="s">
        <v>420</v>
      </c>
      <c r="AJ442" s="535" t="str">
        <f t="shared" si="61"/>
        <v>2016gestdepUnknownQuin 4</v>
      </c>
      <c r="AK442" s="604">
        <v>2016</v>
      </c>
      <c r="AL442" s="604" t="s">
        <v>450</v>
      </c>
      <c r="AM442" s="604" t="s">
        <v>454</v>
      </c>
      <c r="AN442" s="604" t="s">
        <v>63</v>
      </c>
      <c r="AO442" s="604" t="s">
        <v>424</v>
      </c>
      <c r="AP442" s="604">
        <v>5</v>
      </c>
      <c r="AR442" s="538" t="str">
        <f t="shared" si="62"/>
        <v>UnknownbwtfetalHutt Valley</v>
      </c>
      <c r="AS442" s="604">
        <v>2016</v>
      </c>
      <c r="AT442" s="604" t="s">
        <v>63</v>
      </c>
      <c r="AU442" s="604" t="s">
        <v>447</v>
      </c>
      <c r="AV442" s="604" t="s">
        <v>97</v>
      </c>
      <c r="AW442" s="604">
        <v>1</v>
      </c>
      <c r="AX442" s="604">
        <v>2</v>
      </c>
      <c r="AY442" s="606" t="s">
        <v>119</v>
      </c>
      <c r="AZ442" s="604" t="s">
        <v>420</v>
      </c>
      <c r="BB442" s="536" t="str">
        <f t="shared" si="63"/>
        <v>32-36gestbirthsWhanganui</v>
      </c>
      <c r="BC442" s="604">
        <v>2016</v>
      </c>
      <c r="BD442" s="604" t="s">
        <v>136</v>
      </c>
      <c r="BE442" s="604" t="s">
        <v>450</v>
      </c>
      <c r="BF442" s="604" t="s">
        <v>95</v>
      </c>
      <c r="BG442" s="604">
        <v>62</v>
      </c>
      <c r="BH442" s="604" t="s">
        <v>445</v>
      </c>
      <c r="BY442" s="553" t="str">
        <f t="shared" si="64"/>
        <v>2001MidCentraldhbSIDS</v>
      </c>
      <c r="BZ442" s="604">
        <v>2001</v>
      </c>
      <c r="CA442" s="604" t="s">
        <v>94</v>
      </c>
      <c r="CB442" s="604" t="s">
        <v>448</v>
      </c>
      <c r="CC442" s="604">
        <v>3</v>
      </c>
      <c r="CD442" s="604" t="s">
        <v>32</v>
      </c>
      <c r="CF442" s="559" t="str">
        <f t="shared" si="65"/>
        <v>5yearsPacific peoplesAucklanddhbSIDS</v>
      </c>
      <c r="CG442" s="604" t="s">
        <v>475</v>
      </c>
      <c r="CH442" s="604" t="s">
        <v>320</v>
      </c>
      <c r="CI442" s="604" t="s">
        <v>87</v>
      </c>
      <c r="CJ442" s="604" t="s">
        <v>448</v>
      </c>
      <c r="CK442" s="604">
        <v>3</v>
      </c>
      <c r="CL442" s="604" t="s">
        <v>32</v>
      </c>
    </row>
    <row r="443" spans="9:90">
      <c r="I443" s="578" t="str">
        <f t="shared" si="58"/>
        <v>2016depQuin 9Fetal</v>
      </c>
      <c r="J443" s="604">
        <v>2016</v>
      </c>
      <c r="K443" s="604" t="s">
        <v>454</v>
      </c>
      <c r="L443" s="604" t="s">
        <v>426</v>
      </c>
      <c r="M443" s="604">
        <v>22</v>
      </c>
      <c r="N443" s="604">
        <v>153</v>
      </c>
      <c r="O443" s="604" t="s">
        <v>119</v>
      </c>
      <c r="P443" s="604" t="s">
        <v>47</v>
      </c>
      <c r="Q443" s="499"/>
      <c r="R443" s="502" t="str">
        <f t="shared" si="59"/>
        <v>2003birthsdhbUnknown</v>
      </c>
      <c r="S443" s="604">
        <v>2003</v>
      </c>
      <c r="T443" s="604" t="s">
        <v>445</v>
      </c>
      <c r="U443" s="604" t="s">
        <v>448</v>
      </c>
      <c r="V443" s="604" t="s">
        <v>63</v>
      </c>
      <c r="W443" s="604">
        <v>523</v>
      </c>
      <c r="Y443" s="535" t="str">
        <f t="shared" si="60"/>
        <v>2016gestdep&lt;28Quin 5fetal</v>
      </c>
      <c r="Z443" s="604">
        <v>2016</v>
      </c>
      <c r="AA443" s="604" t="s">
        <v>450</v>
      </c>
      <c r="AB443" s="604" t="s">
        <v>454</v>
      </c>
      <c r="AC443" s="604" t="s">
        <v>375</v>
      </c>
      <c r="AD443" s="604" t="s">
        <v>425</v>
      </c>
      <c r="AE443" s="604">
        <v>64</v>
      </c>
      <c r="AF443" s="604">
        <v>84</v>
      </c>
      <c r="AG443" s="604">
        <v>432.4</v>
      </c>
      <c r="AH443" s="604" t="s">
        <v>420</v>
      </c>
      <c r="AJ443" s="535" t="str">
        <f t="shared" si="61"/>
        <v>2016gestdep&lt;28Quin 5</v>
      </c>
      <c r="AK443" s="604">
        <v>2016</v>
      </c>
      <c r="AL443" s="604" t="s">
        <v>450</v>
      </c>
      <c r="AM443" s="604" t="s">
        <v>454</v>
      </c>
      <c r="AN443" s="604" t="s">
        <v>375</v>
      </c>
      <c r="AO443" s="604" t="s">
        <v>425</v>
      </c>
      <c r="AP443" s="604">
        <v>84</v>
      </c>
      <c r="AR443" s="538" t="str">
        <f t="shared" si="62"/>
        <v>&lt;500bwtfetalWairarapa</v>
      </c>
      <c r="AS443" s="604">
        <v>2016</v>
      </c>
      <c r="AT443" s="604" t="s">
        <v>427</v>
      </c>
      <c r="AU443" s="604" t="s">
        <v>447</v>
      </c>
      <c r="AV443" s="604" t="s">
        <v>98</v>
      </c>
      <c r="AW443" s="604">
        <v>1</v>
      </c>
      <c r="AX443" s="604">
        <v>2</v>
      </c>
      <c r="AY443" s="606">
        <v>500</v>
      </c>
      <c r="AZ443" s="604" t="s">
        <v>420</v>
      </c>
      <c r="BB443" s="536" t="str">
        <f t="shared" si="63"/>
        <v>37-41gestbirthsWhanganui</v>
      </c>
      <c r="BC443" s="604">
        <v>2016</v>
      </c>
      <c r="BD443" s="604" t="s">
        <v>137</v>
      </c>
      <c r="BE443" s="604" t="s">
        <v>450</v>
      </c>
      <c r="BF443" s="604" t="s">
        <v>95</v>
      </c>
      <c r="BG443" s="604">
        <v>761</v>
      </c>
      <c r="BH443" s="604" t="s">
        <v>445</v>
      </c>
      <c r="BY443" s="553" t="str">
        <f t="shared" si="64"/>
        <v>2001WhanganuidhbSIDS</v>
      </c>
      <c r="BZ443" s="604">
        <v>2001</v>
      </c>
      <c r="CA443" s="604" t="s">
        <v>95</v>
      </c>
      <c r="CB443" s="604" t="s">
        <v>448</v>
      </c>
      <c r="CC443" s="604">
        <v>1</v>
      </c>
      <c r="CD443" s="604" t="s">
        <v>32</v>
      </c>
      <c r="CF443" s="559" t="str">
        <f t="shared" si="65"/>
        <v>5yearsAsianCounties ManukaudhbSIDS</v>
      </c>
      <c r="CG443" s="604" t="s">
        <v>475</v>
      </c>
      <c r="CH443" s="604" t="s">
        <v>355</v>
      </c>
      <c r="CI443" s="604" t="s">
        <v>88</v>
      </c>
      <c r="CJ443" s="604" t="s">
        <v>448</v>
      </c>
      <c r="CK443" s="604">
        <v>1</v>
      </c>
      <c r="CL443" s="604" t="s">
        <v>32</v>
      </c>
    </row>
    <row r="444" spans="9:90">
      <c r="I444" s="578" t="str">
        <f t="shared" si="58"/>
        <v>1996bwt&lt;500Fetal</v>
      </c>
      <c r="J444" s="604">
        <v>1996</v>
      </c>
      <c r="K444" s="604" t="s">
        <v>447</v>
      </c>
      <c r="L444" s="604" t="s">
        <v>427</v>
      </c>
      <c r="M444" s="604">
        <v>117</v>
      </c>
      <c r="N444" s="604">
        <v>161</v>
      </c>
      <c r="O444" s="604">
        <v>726.7</v>
      </c>
      <c r="P444" s="604" t="s">
        <v>47</v>
      </c>
      <c r="Q444" s="499"/>
      <c r="R444" s="502" t="str">
        <f t="shared" si="59"/>
        <v>2004birthsdhbNorthland</v>
      </c>
      <c r="S444" s="604">
        <v>2004</v>
      </c>
      <c r="T444" s="604" t="s">
        <v>445</v>
      </c>
      <c r="U444" s="604" t="s">
        <v>448</v>
      </c>
      <c r="V444" s="604" t="s">
        <v>85</v>
      </c>
      <c r="W444" s="604">
        <v>2087</v>
      </c>
      <c r="Y444" s="535" t="str">
        <f t="shared" si="60"/>
        <v>2016gestdep28-31Quin 5fetal</v>
      </c>
      <c r="Z444" s="604">
        <v>2016</v>
      </c>
      <c r="AA444" s="604" t="s">
        <v>450</v>
      </c>
      <c r="AB444" s="604" t="s">
        <v>454</v>
      </c>
      <c r="AC444" s="604" t="s">
        <v>395</v>
      </c>
      <c r="AD444" s="604" t="s">
        <v>425</v>
      </c>
      <c r="AE444" s="604">
        <v>12</v>
      </c>
      <c r="AF444" s="604">
        <v>121</v>
      </c>
      <c r="AG444" s="604">
        <v>90.2</v>
      </c>
      <c r="AH444" s="604" t="s">
        <v>420</v>
      </c>
      <c r="AJ444" s="535" t="str">
        <f t="shared" si="61"/>
        <v>2016gestdep28-31Quin 5</v>
      </c>
      <c r="AK444" s="604">
        <v>2016</v>
      </c>
      <c r="AL444" s="604" t="s">
        <v>450</v>
      </c>
      <c r="AM444" s="604" t="s">
        <v>454</v>
      </c>
      <c r="AN444" s="604" t="s">
        <v>395</v>
      </c>
      <c r="AO444" s="604" t="s">
        <v>425</v>
      </c>
      <c r="AP444" s="604">
        <v>121</v>
      </c>
      <c r="AR444" s="538" t="str">
        <f t="shared" si="62"/>
        <v>500-999bwtfetalWairarapa</v>
      </c>
      <c r="AS444" s="604">
        <v>2016</v>
      </c>
      <c r="AT444" s="604" t="s">
        <v>428</v>
      </c>
      <c r="AU444" s="604" t="s">
        <v>447</v>
      </c>
      <c r="AV444" s="604" t="s">
        <v>98</v>
      </c>
      <c r="AW444" s="604">
        <v>2</v>
      </c>
      <c r="AX444" s="604">
        <v>5</v>
      </c>
      <c r="AY444" s="606">
        <v>400</v>
      </c>
      <c r="AZ444" s="604" t="s">
        <v>420</v>
      </c>
      <c r="BB444" s="536" t="str">
        <f t="shared" si="63"/>
        <v>42+gestbirthsWhanganui</v>
      </c>
      <c r="BC444" s="604">
        <v>2016</v>
      </c>
      <c r="BD444" s="604" t="s">
        <v>138</v>
      </c>
      <c r="BE444" s="604" t="s">
        <v>450</v>
      </c>
      <c r="BF444" s="604" t="s">
        <v>95</v>
      </c>
      <c r="BG444" s="604">
        <v>13</v>
      </c>
      <c r="BH444" s="604" t="s">
        <v>445</v>
      </c>
      <c r="BY444" s="553" t="str">
        <f t="shared" si="64"/>
        <v>2001Capital &amp; CoastdhbSIDS</v>
      </c>
      <c r="BZ444" s="604">
        <v>2001</v>
      </c>
      <c r="CA444" s="604" t="s">
        <v>96</v>
      </c>
      <c r="CB444" s="604" t="s">
        <v>448</v>
      </c>
      <c r="CC444" s="604">
        <v>2</v>
      </c>
      <c r="CD444" s="604" t="s">
        <v>32</v>
      </c>
      <c r="CF444" s="559" t="str">
        <f t="shared" si="65"/>
        <v>5yearsEuropean or OtherCounties ManukaudhbSIDS</v>
      </c>
      <c r="CG444" s="604" t="s">
        <v>475</v>
      </c>
      <c r="CH444" s="604" t="s">
        <v>356</v>
      </c>
      <c r="CI444" s="604" t="s">
        <v>88</v>
      </c>
      <c r="CJ444" s="604" t="s">
        <v>448</v>
      </c>
      <c r="CK444" s="604">
        <v>0</v>
      </c>
      <c r="CL444" s="604" t="s">
        <v>32</v>
      </c>
    </row>
    <row r="445" spans="9:90">
      <c r="I445" s="578" t="str">
        <f t="shared" si="58"/>
        <v>1996bwt500-999Fetal</v>
      </c>
      <c r="J445" s="604">
        <v>1996</v>
      </c>
      <c r="K445" s="604" t="s">
        <v>447</v>
      </c>
      <c r="L445" s="604" t="s">
        <v>428</v>
      </c>
      <c r="M445" s="604">
        <v>102</v>
      </c>
      <c r="N445" s="604">
        <v>309</v>
      </c>
      <c r="O445" s="604">
        <v>330.1</v>
      </c>
      <c r="P445" s="604" t="s">
        <v>47</v>
      </c>
      <c r="Q445" s="499"/>
      <c r="R445" s="502" t="str">
        <f t="shared" si="59"/>
        <v>2004birthsdhbWaitemata</v>
      </c>
      <c r="S445" s="604">
        <v>2004</v>
      </c>
      <c r="T445" s="604" t="s">
        <v>445</v>
      </c>
      <c r="U445" s="604" t="s">
        <v>448</v>
      </c>
      <c r="V445" s="604" t="s">
        <v>86</v>
      </c>
      <c r="W445" s="604">
        <v>7137</v>
      </c>
      <c r="Y445" s="535" t="str">
        <f t="shared" si="60"/>
        <v>2016gestdep32-36Quin 5fetal</v>
      </c>
      <c r="Z445" s="604">
        <v>2016</v>
      </c>
      <c r="AA445" s="604" t="s">
        <v>450</v>
      </c>
      <c r="AB445" s="604" t="s">
        <v>454</v>
      </c>
      <c r="AC445" s="604" t="s">
        <v>136</v>
      </c>
      <c r="AD445" s="604" t="s">
        <v>425</v>
      </c>
      <c r="AE445" s="604">
        <v>21</v>
      </c>
      <c r="AF445" s="604">
        <v>1137</v>
      </c>
      <c r="AG445" s="604">
        <v>18.100000000000001</v>
      </c>
      <c r="AH445" s="604" t="s">
        <v>420</v>
      </c>
      <c r="AJ445" s="535" t="str">
        <f t="shared" si="61"/>
        <v>2016gestdep32-36Quin 5</v>
      </c>
      <c r="AK445" s="604">
        <v>2016</v>
      </c>
      <c r="AL445" s="604" t="s">
        <v>450</v>
      </c>
      <c r="AM445" s="604" t="s">
        <v>454</v>
      </c>
      <c r="AN445" s="604" t="s">
        <v>136</v>
      </c>
      <c r="AO445" s="604" t="s">
        <v>425</v>
      </c>
      <c r="AP445" s="604">
        <v>1137</v>
      </c>
      <c r="AR445" s="538" t="str">
        <f t="shared" si="62"/>
        <v>1500-2499bwtfetalWairarapa</v>
      </c>
      <c r="AS445" s="604">
        <v>2016</v>
      </c>
      <c r="AT445" s="604" t="s">
        <v>430</v>
      </c>
      <c r="AU445" s="604" t="s">
        <v>447</v>
      </c>
      <c r="AV445" s="604" t="s">
        <v>98</v>
      </c>
      <c r="AW445" s="604">
        <v>1</v>
      </c>
      <c r="AX445" s="604">
        <v>31</v>
      </c>
      <c r="AY445" s="606">
        <v>32.299999999999997</v>
      </c>
      <c r="AZ445" s="604" t="s">
        <v>420</v>
      </c>
      <c r="BB445" s="536" t="str">
        <f t="shared" si="63"/>
        <v>&lt;28gestbirthsCapital &amp; Coast</v>
      </c>
      <c r="BC445" s="604">
        <v>2016</v>
      </c>
      <c r="BD445" s="604" t="s">
        <v>375</v>
      </c>
      <c r="BE445" s="604" t="s">
        <v>450</v>
      </c>
      <c r="BF445" s="604" t="s">
        <v>96</v>
      </c>
      <c r="BG445" s="604">
        <v>13</v>
      </c>
      <c r="BH445" s="604" t="s">
        <v>445</v>
      </c>
      <c r="BY445" s="553" t="str">
        <f t="shared" si="64"/>
        <v>2001Hutt ValleydhbSIDS</v>
      </c>
      <c r="BZ445" s="604">
        <v>2001</v>
      </c>
      <c r="CA445" s="604" t="s">
        <v>97</v>
      </c>
      <c r="CB445" s="604" t="s">
        <v>448</v>
      </c>
      <c r="CC445" s="604">
        <v>2</v>
      </c>
      <c r="CD445" s="604" t="s">
        <v>32</v>
      </c>
      <c r="CF445" s="559" t="str">
        <f t="shared" si="65"/>
        <v>5yearsMaoriCounties ManukaudhbSIDS</v>
      </c>
      <c r="CG445" s="604" t="s">
        <v>475</v>
      </c>
      <c r="CH445" s="604" t="s">
        <v>129</v>
      </c>
      <c r="CI445" s="604" t="s">
        <v>88</v>
      </c>
      <c r="CJ445" s="604" t="s">
        <v>448</v>
      </c>
      <c r="CK445" s="604">
        <v>8</v>
      </c>
      <c r="CL445" s="604" t="s">
        <v>32</v>
      </c>
    </row>
    <row r="446" spans="9:90">
      <c r="I446" s="578" t="str">
        <f t="shared" si="58"/>
        <v>1996bwt1000-1499Fetal</v>
      </c>
      <c r="J446" s="604">
        <v>1996</v>
      </c>
      <c r="K446" s="604" t="s">
        <v>447</v>
      </c>
      <c r="L446" s="604" t="s">
        <v>429</v>
      </c>
      <c r="M446" s="604">
        <v>34</v>
      </c>
      <c r="N446" s="604">
        <v>400</v>
      </c>
      <c r="O446" s="604">
        <v>85</v>
      </c>
      <c r="P446" s="604" t="s">
        <v>47</v>
      </c>
      <c r="Q446" s="499"/>
      <c r="R446" s="502" t="str">
        <f t="shared" si="59"/>
        <v>2004birthsdhbAuckland</v>
      </c>
      <c r="S446" s="604">
        <v>2004</v>
      </c>
      <c r="T446" s="604" t="s">
        <v>445</v>
      </c>
      <c r="U446" s="604" t="s">
        <v>448</v>
      </c>
      <c r="V446" s="604" t="s">
        <v>87</v>
      </c>
      <c r="W446" s="604">
        <v>6298</v>
      </c>
      <c r="Y446" s="535" t="str">
        <f t="shared" si="60"/>
        <v>2016gestdep37-41Quin 5fetal</v>
      </c>
      <c r="Z446" s="604">
        <v>2016</v>
      </c>
      <c r="AA446" s="604" t="s">
        <v>450</v>
      </c>
      <c r="AB446" s="604" t="s">
        <v>454</v>
      </c>
      <c r="AC446" s="604" t="s">
        <v>137</v>
      </c>
      <c r="AD446" s="604" t="s">
        <v>425</v>
      </c>
      <c r="AE446" s="604">
        <v>27</v>
      </c>
      <c r="AF446" s="604">
        <v>15244</v>
      </c>
      <c r="AG446" s="604">
        <v>1.8</v>
      </c>
      <c r="AH446" s="604" t="s">
        <v>420</v>
      </c>
      <c r="AJ446" s="535" t="str">
        <f t="shared" si="61"/>
        <v>2016gestdep37-41Quin 5</v>
      </c>
      <c r="AK446" s="604">
        <v>2016</v>
      </c>
      <c r="AL446" s="604" t="s">
        <v>450</v>
      </c>
      <c r="AM446" s="604" t="s">
        <v>454</v>
      </c>
      <c r="AN446" s="604" t="s">
        <v>137</v>
      </c>
      <c r="AO446" s="604" t="s">
        <v>425</v>
      </c>
      <c r="AP446" s="604">
        <v>15244</v>
      </c>
      <c r="AR446" s="538" t="str">
        <f t="shared" si="62"/>
        <v>2500-4499bwtfetalWairarapa</v>
      </c>
      <c r="AS446" s="604">
        <v>2016</v>
      </c>
      <c r="AT446" s="604" t="s">
        <v>431</v>
      </c>
      <c r="AU446" s="604" t="s">
        <v>447</v>
      </c>
      <c r="AV446" s="604" t="s">
        <v>98</v>
      </c>
      <c r="AW446" s="604">
        <v>1</v>
      </c>
      <c r="AX446" s="604">
        <v>429</v>
      </c>
      <c r="AY446" s="606">
        <v>2.2999999999999998</v>
      </c>
      <c r="AZ446" s="604" t="s">
        <v>420</v>
      </c>
      <c r="BB446" s="536" t="str">
        <f t="shared" si="63"/>
        <v>28-31gestbirthsCapital &amp; Coast</v>
      </c>
      <c r="BC446" s="604">
        <v>2016</v>
      </c>
      <c r="BD446" s="604" t="s">
        <v>395</v>
      </c>
      <c r="BE446" s="604" t="s">
        <v>450</v>
      </c>
      <c r="BF446" s="604" t="s">
        <v>96</v>
      </c>
      <c r="BG446" s="604">
        <v>24</v>
      </c>
      <c r="BH446" s="604" t="s">
        <v>445</v>
      </c>
      <c r="BY446" s="553" t="str">
        <f t="shared" si="64"/>
        <v>2001WairarapadhbSIDS</v>
      </c>
      <c r="BZ446" s="604">
        <v>2001</v>
      </c>
      <c r="CA446" s="604" t="s">
        <v>98</v>
      </c>
      <c r="CB446" s="604" t="s">
        <v>448</v>
      </c>
      <c r="CC446" s="604">
        <v>0</v>
      </c>
      <c r="CD446" s="604" t="s">
        <v>32</v>
      </c>
      <c r="CF446" s="559" t="str">
        <f t="shared" si="65"/>
        <v>5yearsPacific peoplesCounties ManukaudhbSIDS</v>
      </c>
      <c r="CG446" s="604" t="s">
        <v>475</v>
      </c>
      <c r="CH446" s="604" t="s">
        <v>320</v>
      </c>
      <c r="CI446" s="604" t="s">
        <v>88</v>
      </c>
      <c r="CJ446" s="604" t="s">
        <v>448</v>
      </c>
      <c r="CK446" s="604">
        <v>5</v>
      </c>
      <c r="CL446" s="604" t="s">
        <v>32</v>
      </c>
    </row>
    <row r="447" spans="9:90">
      <c r="I447" s="578" t="str">
        <f t="shared" si="58"/>
        <v>1996bwt1500-2499Fetal</v>
      </c>
      <c r="J447" s="604">
        <v>1996</v>
      </c>
      <c r="K447" s="604" t="s">
        <v>447</v>
      </c>
      <c r="L447" s="604" t="s">
        <v>430</v>
      </c>
      <c r="M447" s="604">
        <v>63</v>
      </c>
      <c r="N447" s="604">
        <v>3039</v>
      </c>
      <c r="O447" s="604">
        <v>20.7</v>
      </c>
      <c r="P447" s="604" t="s">
        <v>47</v>
      </c>
      <c r="Q447" s="499"/>
      <c r="R447" s="502" t="str">
        <f t="shared" si="59"/>
        <v>2004birthsdhbCounties Manukau</v>
      </c>
      <c r="S447" s="604">
        <v>2004</v>
      </c>
      <c r="T447" s="604" t="s">
        <v>445</v>
      </c>
      <c r="U447" s="604" t="s">
        <v>448</v>
      </c>
      <c r="V447" s="604" t="s">
        <v>88</v>
      </c>
      <c r="W447" s="604">
        <v>7923</v>
      </c>
      <c r="Y447" s="535" t="str">
        <f t="shared" si="60"/>
        <v>2016gestdep42+Quin 5fetal</v>
      </c>
      <c r="Z447" s="604">
        <v>2016</v>
      </c>
      <c r="AA447" s="604" t="s">
        <v>450</v>
      </c>
      <c r="AB447" s="604" t="s">
        <v>454</v>
      </c>
      <c r="AC447" s="604" t="s">
        <v>138</v>
      </c>
      <c r="AD447" s="604" t="s">
        <v>425</v>
      </c>
      <c r="AE447" s="604">
        <v>0</v>
      </c>
      <c r="AF447" s="604">
        <v>290</v>
      </c>
      <c r="AG447" s="604">
        <v>0</v>
      </c>
      <c r="AH447" s="604" t="s">
        <v>420</v>
      </c>
      <c r="AJ447" s="535" t="str">
        <f t="shared" si="61"/>
        <v>2016gestdep42+Quin 5</v>
      </c>
      <c r="AK447" s="604">
        <v>2016</v>
      </c>
      <c r="AL447" s="604" t="s">
        <v>450</v>
      </c>
      <c r="AM447" s="604" t="s">
        <v>454</v>
      </c>
      <c r="AN447" s="604" t="s">
        <v>138</v>
      </c>
      <c r="AO447" s="604" t="s">
        <v>425</v>
      </c>
      <c r="AP447" s="604">
        <v>290</v>
      </c>
      <c r="AR447" s="538" t="str">
        <f t="shared" si="62"/>
        <v>&lt;500bwtfetalNelson Marlborough</v>
      </c>
      <c r="AS447" s="604">
        <v>2016</v>
      </c>
      <c r="AT447" s="604" t="s">
        <v>427</v>
      </c>
      <c r="AU447" s="604" t="s">
        <v>447</v>
      </c>
      <c r="AV447" s="604" t="s">
        <v>99</v>
      </c>
      <c r="AW447" s="604">
        <v>1</v>
      </c>
      <c r="AX447" s="604">
        <v>1</v>
      </c>
      <c r="AY447" s="606">
        <v>1000</v>
      </c>
      <c r="AZ447" s="604" t="s">
        <v>420</v>
      </c>
      <c r="BB447" s="536" t="str">
        <f t="shared" si="63"/>
        <v>32-36gestbirthsCapital &amp; Coast</v>
      </c>
      <c r="BC447" s="604">
        <v>2016</v>
      </c>
      <c r="BD447" s="604" t="s">
        <v>136</v>
      </c>
      <c r="BE447" s="604" t="s">
        <v>450</v>
      </c>
      <c r="BF447" s="604" t="s">
        <v>96</v>
      </c>
      <c r="BG447" s="604">
        <v>232</v>
      </c>
      <c r="BH447" s="604" t="s">
        <v>445</v>
      </c>
      <c r="BY447" s="553" t="str">
        <f t="shared" si="64"/>
        <v>2001Nelson MarlboroughdhbSIDS</v>
      </c>
      <c r="BZ447" s="604">
        <v>2001</v>
      </c>
      <c r="CA447" s="604" t="s">
        <v>99</v>
      </c>
      <c r="CB447" s="604" t="s">
        <v>448</v>
      </c>
      <c r="CC447" s="604">
        <v>0</v>
      </c>
      <c r="CD447" s="604" t="s">
        <v>32</v>
      </c>
      <c r="CF447" s="559" t="str">
        <f t="shared" si="65"/>
        <v>5yearsAsianWaikatodhbSIDS</v>
      </c>
      <c r="CG447" s="604" t="s">
        <v>475</v>
      </c>
      <c r="CH447" s="604" t="s">
        <v>355</v>
      </c>
      <c r="CI447" s="604" t="s">
        <v>89</v>
      </c>
      <c r="CJ447" s="604" t="s">
        <v>448</v>
      </c>
      <c r="CK447" s="604">
        <v>0</v>
      </c>
      <c r="CL447" s="604" t="s">
        <v>32</v>
      </c>
    </row>
    <row r="448" spans="9:90">
      <c r="I448" s="578" t="str">
        <f t="shared" si="58"/>
        <v>1996bwt2500-4499Fetal</v>
      </c>
      <c r="J448" s="604">
        <v>1996</v>
      </c>
      <c r="K448" s="604" t="s">
        <v>447</v>
      </c>
      <c r="L448" s="604" t="s">
        <v>431</v>
      </c>
      <c r="M448" s="604">
        <v>83</v>
      </c>
      <c r="N448" s="604">
        <v>52469</v>
      </c>
      <c r="O448" s="604">
        <v>1.6</v>
      </c>
      <c r="P448" s="604" t="s">
        <v>47</v>
      </c>
      <c r="Q448" s="499"/>
      <c r="R448" s="502" t="str">
        <f t="shared" si="59"/>
        <v>2004birthsdhbWaikato</v>
      </c>
      <c r="S448" s="604">
        <v>2004</v>
      </c>
      <c r="T448" s="604" t="s">
        <v>445</v>
      </c>
      <c r="U448" s="604" t="s">
        <v>448</v>
      </c>
      <c r="V448" s="604" t="s">
        <v>89</v>
      </c>
      <c r="W448" s="604">
        <v>4956</v>
      </c>
      <c r="Y448" s="535" t="str">
        <f t="shared" si="60"/>
        <v>2016gestdepUnknownQuin 5fetal</v>
      </c>
      <c r="Z448" s="604">
        <v>2016</v>
      </c>
      <c r="AA448" s="604" t="s">
        <v>450</v>
      </c>
      <c r="AB448" s="604" t="s">
        <v>454</v>
      </c>
      <c r="AC448" s="604" t="s">
        <v>63</v>
      </c>
      <c r="AD448" s="604" t="s">
        <v>425</v>
      </c>
      <c r="AE448" s="604">
        <v>2</v>
      </c>
      <c r="AF448" s="604">
        <v>10</v>
      </c>
      <c r="AG448" s="604" t="s">
        <v>119</v>
      </c>
      <c r="AH448" s="604" t="s">
        <v>420</v>
      </c>
      <c r="AJ448" s="535" t="str">
        <f t="shared" si="61"/>
        <v>2016gestdepUnknownQuin 5</v>
      </c>
      <c r="AK448" s="604">
        <v>2016</v>
      </c>
      <c r="AL448" s="604" t="s">
        <v>450</v>
      </c>
      <c r="AM448" s="604" t="s">
        <v>454</v>
      </c>
      <c r="AN448" s="604" t="s">
        <v>63</v>
      </c>
      <c r="AO448" s="604" t="s">
        <v>425</v>
      </c>
      <c r="AP448" s="604">
        <v>10</v>
      </c>
      <c r="AR448" s="538" t="str">
        <f t="shared" si="62"/>
        <v>500-999bwtfetalNelson Marlborough</v>
      </c>
      <c r="AS448" s="604">
        <v>2016</v>
      </c>
      <c r="AT448" s="604" t="s">
        <v>428</v>
      </c>
      <c r="AU448" s="604" t="s">
        <v>447</v>
      </c>
      <c r="AV448" s="604" t="s">
        <v>99</v>
      </c>
      <c r="AW448" s="604">
        <v>1</v>
      </c>
      <c r="AX448" s="604">
        <v>6</v>
      </c>
      <c r="AY448" s="606">
        <v>166.7</v>
      </c>
      <c r="AZ448" s="604" t="s">
        <v>420</v>
      </c>
      <c r="BB448" s="536" t="str">
        <f t="shared" si="63"/>
        <v>37-41gestbirthsCapital &amp; Coast</v>
      </c>
      <c r="BC448" s="604">
        <v>2016</v>
      </c>
      <c r="BD448" s="604" t="s">
        <v>137</v>
      </c>
      <c r="BE448" s="604" t="s">
        <v>450</v>
      </c>
      <c r="BF448" s="604" t="s">
        <v>96</v>
      </c>
      <c r="BG448" s="604">
        <v>3226</v>
      </c>
      <c r="BH448" s="604" t="s">
        <v>445</v>
      </c>
      <c r="BY448" s="553" t="str">
        <f t="shared" si="64"/>
        <v>2001West CoastdhbSIDS</v>
      </c>
      <c r="BZ448" s="604">
        <v>2001</v>
      </c>
      <c r="CA448" s="604" t="s">
        <v>100</v>
      </c>
      <c r="CB448" s="604" t="s">
        <v>448</v>
      </c>
      <c r="CC448" s="604">
        <v>0</v>
      </c>
      <c r="CD448" s="604" t="s">
        <v>32</v>
      </c>
      <c r="CF448" s="559" t="str">
        <f t="shared" si="65"/>
        <v>5yearsEuropean or OtherWaikatodhbSIDS</v>
      </c>
      <c r="CG448" s="604" t="s">
        <v>475</v>
      </c>
      <c r="CH448" s="604" t="s">
        <v>356</v>
      </c>
      <c r="CI448" s="604" t="s">
        <v>89</v>
      </c>
      <c r="CJ448" s="604" t="s">
        <v>448</v>
      </c>
      <c r="CK448" s="604">
        <v>3</v>
      </c>
      <c r="CL448" s="604" t="s">
        <v>32</v>
      </c>
    </row>
    <row r="449" spans="9:90">
      <c r="I449" s="578" t="str">
        <f t="shared" si="58"/>
        <v>1996bwt4500+Fetal</v>
      </c>
      <c r="J449" s="604">
        <v>1996</v>
      </c>
      <c r="K449" s="604" t="s">
        <v>447</v>
      </c>
      <c r="L449" s="604" t="s">
        <v>432</v>
      </c>
      <c r="M449" s="604">
        <v>5</v>
      </c>
      <c r="N449" s="604">
        <v>1344</v>
      </c>
      <c r="O449" s="604">
        <v>3.7</v>
      </c>
      <c r="P449" s="604" t="s">
        <v>47</v>
      </c>
      <c r="Q449" s="499"/>
      <c r="R449" s="502" t="str">
        <f t="shared" si="59"/>
        <v>2004birthsdhbLakes</v>
      </c>
      <c r="S449" s="604">
        <v>2004</v>
      </c>
      <c r="T449" s="604" t="s">
        <v>445</v>
      </c>
      <c r="U449" s="604" t="s">
        <v>448</v>
      </c>
      <c r="V449" s="604" t="s">
        <v>90</v>
      </c>
      <c r="W449" s="604">
        <v>1659</v>
      </c>
      <c r="Y449" s="535" t="str">
        <f t="shared" si="60"/>
        <v>2016gestdep&lt;28Quin 9fetal</v>
      </c>
      <c r="Z449" s="604">
        <v>2016</v>
      </c>
      <c r="AA449" s="604" t="s">
        <v>450</v>
      </c>
      <c r="AB449" s="604" t="s">
        <v>454</v>
      </c>
      <c r="AC449" s="604" t="s">
        <v>375</v>
      </c>
      <c r="AD449" s="604" t="s">
        <v>426</v>
      </c>
      <c r="AE449" s="604">
        <v>14</v>
      </c>
      <c r="AF449" s="604">
        <v>1</v>
      </c>
      <c r="AG449" s="604" t="s">
        <v>119</v>
      </c>
      <c r="AH449" s="604" t="s">
        <v>420</v>
      </c>
      <c r="AJ449" s="535" t="str">
        <f t="shared" si="61"/>
        <v>2016gestdep&lt;28Quin 9</v>
      </c>
      <c r="AK449" s="604">
        <v>2016</v>
      </c>
      <c r="AL449" s="604" t="s">
        <v>450</v>
      </c>
      <c r="AM449" s="604" t="s">
        <v>454</v>
      </c>
      <c r="AN449" s="604" t="s">
        <v>375</v>
      </c>
      <c r="AO449" s="604" t="s">
        <v>426</v>
      </c>
      <c r="AP449" s="604">
        <v>1</v>
      </c>
      <c r="AR449" s="538" t="str">
        <f t="shared" si="62"/>
        <v>2500-4499bwtfetalNelson Marlborough</v>
      </c>
      <c r="AS449" s="604">
        <v>2016</v>
      </c>
      <c r="AT449" s="604" t="s">
        <v>431</v>
      </c>
      <c r="AU449" s="604" t="s">
        <v>447</v>
      </c>
      <c r="AV449" s="604" t="s">
        <v>99</v>
      </c>
      <c r="AW449" s="604">
        <v>1</v>
      </c>
      <c r="AX449" s="604">
        <v>1419</v>
      </c>
      <c r="AY449" s="606">
        <v>0.7</v>
      </c>
      <c r="AZ449" s="604" t="s">
        <v>420</v>
      </c>
      <c r="BB449" s="536" t="str">
        <f t="shared" si="63"/>
        <v>42+gestbirthsCapital &amp; Coast</v>
      </c>
      <c r="BC449" s="604">
        <v>2016</v>
      </c>
      <c r="BD449" s="604" t="s">
        <v>138</v>
      </c>
      <c r="BE449" s="604" t="s">
        <v>450</v>
      </c>
      <c r="BF449" s="604" t="s">
        <v>96</v>
      </c>
      <c r="BG449" s="604">
        <v>31</v>
      </c>
      <c r="BH449" s="604" t="s">
        <v>445</v>
      </c>
      <c r="BY449" s="553" t="str">
        <f t="shared" si="64"/>
        <v>2001CanterburydhbSIDS</v>
      </c>
      <c r="BZ449" s="604">
        <v>2001</v>
      </c>
      <c r="CA449" s="604" t="s">
        <v>101</v>
      </c>
      <c r="CB449" s="604" t="s">
        <v>448</v>
      </c>
      <c r="CC449" s="604">
        <v>6</v>
      </c>
      <c r="CD449" s="604" t="s">
        <v>32</v>
      </c>
      <c r="CF449" s="559" t="str">
        <f t="shared" si="65"/>
        <v>5yearsMaoriWaikatodhbSIDS</v>
      </c>
      <c r="CG449" s="604" t="s">
        <v>475</v>
      </c>
      <c r="CH449" s="604" t="s">
        <v>129</v>
      </c>
      <c r="CI449" s="604" t="s">
        <v>89</v>
      </c>
      <c r="CJ449" s="604" t="s">
        <v>448</v>
      </c>
      <c r="CK449" s="604">
        <v>8</v>
      </c>
      <c r="CL449" s="604" t="s">
        <v>32</v>
      </c>
    </row>
    <row r="450" spans="9:90">
      <c r="I450" s="578" t="str">
        <f t="shared" si="58"/>
        <v>1996bwtUnknownFetal</v>
      </c>
      <c r="J450" s="604">
        <v>1996</v>
      </c>
      <c r="K450" s="604" t="s">
        <v>447</v>
      </c>
      <c r="L450" s="604" t="s">
        <v>63</v>
      </c>
      <c r="M450" s="604">
        <v>5</v>
      </c>
      <c r="N450" s="604">
        <v>121</v>
      </c>
      <c r="O450" s="604" t="s">
        <v>119</v>
      </c>
      <c r="P450" s="604" t="s">
        <v>47</v>
      </c>
      <c r="Q450" s="499"/>
      <c r="R450" s="502" t="str">
        <f t="shared" si="59"/>
        <v>2004birthsdhbBay of Plenty</v>
      </c>
      <c r="S450" s="604">
        <v>2004</v>
      </c>
      <c r="T450" s="604" t="s">
        <v>445</v>
      </c>
      <c r="U450" s="604" t="s">
        <v>448</v>
      </c>
      <c r="V450" s="604" t="s">
        <v>91</v>
      </c>
      <c r="W450" s="604">
        <v>2763</v>
      </c>
      <c r="Y450" s="535" t="str">
        <f t="shared" si="60"/>
        <v>2016gestdep32-36Quin 9fetal</v>
      </c>
      <c r="Z450" s="604">
        <v>2016</v>
      </c>
      <c r="AA450" s="604" t="s">
        <v>450</v>
      </c>
      <c r="AB450" s="604" t="s">
        <v>454</v>
      </c>
      <c r="AC450" s="604" t="s">
        <v>136</v>
      </c>
      <c r="AD450" s="604" t="s">
        <v>426</v>
      </c>
      <c r="AE450" s="604">
        <v>2</v>
      </c>
      <c r="AF450" s="604">
        <v>12</v>
      </c>
      <c r="AG450" s="604" t="s">
        <v>119</v>
      </c>
      <c r="AH450" s="604" t="s">
        <v>420</v>
      </c>
      <c r="AJ450" s="535" t="str">
        <f t="shared" si="61"/>
        <v>2016gestdep32-36Quin 9</v>
      </c>
      <c r="AK450" s="604">
        <v>2016</v>
      </c>
      <c r="AL450" s="604" t="s">
        <v>450</v>
      </c>
      <c r="AM450" s="604" t="s">
        <v>454</v>
      </c>
      <c r="AN450" s="604" t="s">
        <v>136</v>
      </c>
      <c r="AO450" s="604" t="s">
        <v>426</v>
      </c>
      <c r="AP450" s="604">
        <v>12</v>
      </c>
      <c r="AR450" s="538" t="str">
        <f t="shared" si="62"/>
        <v>UnknownbwtfetalNelson Marlborough</v>
      </c>
      <c r="AS450" s="604">
        <v>2016</v>
      </c>
      <c r="AT450" s="604" t="s">
        <v>63</v>
      </c>
      <c r="AU450" s="604" t="s">
        <v>447</v>
      </c>
      <c r="AV450" s="604" t="s">
        <v>99</v>
      </c>
      <c r="AW450" s="604">
        <v>1</v>
      </c>
      <c r="AX450" s="604">
        <v>1</v>
      </c>
      <c r="AY450" s="606" t="s">
        <v>119</v>
      </c>
      <c r="AZ450" s="604" t="s">
        <v>420</v>
      </c>
      <c r="BB450" s="536" t="str">
        <f t="shared" si="63"/>
        <v>UnknowngestbirthsCapital &amp; Coast</v>
      </c>
      <c r="BC450" s="604">
        <v>2016</v>
      </c>
      <c r="BD450" s="604" t="s">
        <v>63</v>
      </c>
      <c r="BE450" s="604" t="s">
        <v>450</v>
      </c>
      <c r="BF450" s="604" t="s">
        <v>96</v>
      </c>
      <c r="BG450" s="604">
        <v>1</v>
      </c>
      <c r="BH450" s="604" t="s">
        <v>445</v>
      </c>
      <c r="BY450" s="553" t="str">
        <f t="shared" si="64"/>
        <v>2001South CanterburydhbSIDS</v>
      </c>
      <c r="BZ450" s="604">
        <v>2001</v>
      </c>
      <c r="CA450" s="604" t="s">
        <v>102</v>
      </c>
      <c r="CB450" s="604" t="s">
        <v>448</v>
      </c>
      <c r="CC450" s="604">
        <v>1</v>
      </c>
      <c r="CD450" s="604" t="s">
        <v>32</v>
      </c>
      <c r="CF450" s="559" t="str">
        <f t="shared" si="65"/>
        <v>5yearsPacific peoplesWaikatodhbSIDS</v>
      </c>
      <c r="CG450" s="604" t="s">
        <v>475</v>
      </c>
      <c r="CH450" s="604" t="s">
        <v>320</v>
      </c>
      <c r="CI450" s="604" t="s">
        <v>89</v>
      </c>
      <c r="CJ450" s="604" t="s">
        <v>448</v>
      </c>
      <c r="CK450" s="604">
        <v>1</v>
      </c>
      <c r="CL450" s="604" t="s">
        <v>32</v>
      </c>
    </row>
    <row r="451" spans="9:90">
      <c r="I451" s="578" t="str">
        <f t="shared" si="58"/>
        <v>1997bwt&lt;500Fetal</v>
      </c>
      <c r="J451" s="604">
        <v>1997</v>
      </c>
      <c r="K451" s="604" t="s">
        <v>447</v>
      </c>
      <c r="L451" s="604" t="s">
        <v>427</v>
      </c>
      <c r="M451" s="604">
        <v>135</v>
      </c>
      <c r="N451" s="604">
        <v>168</v>
      </c>
      <c r="O451" s="604">
        <v>803.6</v>
      </c>
      <c r="P451" s="604" t="s">
        <v>47</v>
      </c>
      <c r="Q451" s="499"/>
      <c r="R451" s="502" t="str">
        <f t="shared" si="59"/>
        <v>2004birthsdhbTairawhiti</v>
      </c>
      <c r="S451" s="604">
        <v>2004</v>
      </c>
      <c r="T451" s="604" t="s">
        <v>445</v>
      </c>
      <c r="U451" s="604" t="s">
        <v>448</v>
      </c>
      <c r="V451" s="604" t="s">
        <v>433</v>
      </c>
      <c r="W451" s="604">
        <v>760</v>
      </c>
      <c r="Y451" s="535" t="str">
        <f t="shared" si="60"/>
        <v>2016gestdep37-41Quin 9fetal</v>
      </c>
      <c r="Z451" s="604">
        <v>2016</v>
      </c>
      <c r="AA451" s="604" t="s">
        <v>450</v>
      </c>
      <c r="AB451" s="604" t="s">
        <v>454</v>
      </c>
      <c r="AC451" s="604" t="s">
        <v>137</v>
      </c>
      <c r="AD451" s="604" t="s">
        <v>426</v>
      </c>
      <c r="AE451" s="604">
        <v>3</v>
      </c>
      <c r="AF451" s="604">
        <v>112</v>
      </c>
      <c r="AG451" s="604" t="s">
        <v>119</v>
      </c>
      <c r="AH451" s="604" t="s">
        <v>420</v>
      </c>
      <c r="AJ451" s="535" t="str">
        <f t="shared" si="61"/>
        <v>2016gestdep37-41Quin 9</v>
      </c>
      <c r="AK451" s="604">
        <v>2016</v>
      </c>
      <c r="AL451" s="604" t="s">
        <v>450</v>
      </c>
      <c r="AM451" s="604" t="s">
        <v>454</v>
      </c>
      <c r="AN451" s="604" t="s">
        <v>137</v>
      </c>
      <c r="AO451" s="604" t="s">
        <v>426</v>
      </c>
      <c r="AP451" s="604">
        <v>112</v>
      </c>
      <c r="AR451" s="538" t="str">
        <f t="shared" si="62"/>
        <v>&lt;500bwtfetalWest Coast</v>
      </c>
      <c r="AS451" s="604">
        <v>2016</v>
      </c>
      <c r="AT451" s="604" t="s">
        <v>427</v>
      </c>
      <c r="AU451" s="604" t="s">
        <v>447</v>
      </c>
      <c r="AV451" s="604" t="s">
        <v>100</v>
      </c>
      <c r="AW451" s="604">
        <v>3</v>
      </c>
      <c r="AX451" s="604">
        <v>3</v>
      </c>
      <c r="AY451" s="606">
        <v>1000</v>
      </c>
      <c r="AZ451" s="604" t="s">
        <v>420</v>
      </c>
      <c r="BB451" s="536" t="str">
        <f t="shared" si="63"/>
        <v>&lt;28gestbirthsHutt Valley</v>
      </c>
      <c r="BC451" s="604">
        <v>2016</v>
      </c>
      <c r="BD451" s="604" t="s">
        <v>375</v>
      </c>
      <c r="BE451" s="604" t="s">
        <v>450</v>
      </c>
      <c r="BF451" s="604" t="s">
        <v>97</v>
      </c>
      <c r="BG451" s="604">
        <v>11</v>
      </c>
      <c r="BH451" s="604" t="s">
        <v>445</v>
      </c>
      <c r="BY451" s="553" t="str">
        <f t="shared" si="64"/>
        <v>2001SoutherndhbSIDS</v>
      </c>
      <c r="BZ451" s="604">
        <v>2001</v>
      </c>
      <c r="CA451" s="604" t="s">
        <v>103</v>
      </c>
      <c r="CB451" s="604" t="s">
        <v>448</v>
      </c>
      <c r="CC451" s="604">
        <v>0</v>
      </c>
      <c r="CD451" s="604" t="s">
        <v>32</v>
      </c>
      <c r="CF451" s="559" t="str">
        <f t="shared" si="65"/>
        <v>5yearsAsianLakesdhbSIDS</v>
      </c>
      <c r="CG451" s="604" t="s">
        <v>475</v>
      </c>
      <c r="CH451" s="604" t="s">
        <v>355</v>
      </c>
      <c r="CI451" s="604" t="s">
        <v>90</v>
      </c>
      <c r="CJ451" s="604" t="s">
        <v>448</v>
      </c>
      <c r="CK451" s="604">
        <v>0</v>
      </c>
      <c r="CL451" s="604" t="s">
        <v>32</v>
      </c>
    </row>
    <row r="452" spans="9:90">
      <c r="I452" s="578" t="str">
        <f t="shared" ref="I452:I515" si="66">J452&amp;K452&amp;L452&amp;P452</f>
        <v>1997bwt500-999Fetal</v>
      </c>
      <c r="J452" s="604">
        <v>1997</v>
      </c>
      <c r="K452" s="604" t="s">
        <v>447</v>
      </c>
      <c r="L452" s="604" t="s">
        <v>428</v>
      </c>
      <c r="M452" s="604">
        <v>92</v>
      </c>
      <c r="N452" s="604">
        <v>323</v>
      </c>
      <c r="O452" s="604">
        <v>284.8</v>
      </c>
      <c r="P452" s="604" t="s">
        <v>47</v>
      </c>
      <c r="Q452" s="499"/>
      <c r="R452" s="502" t="str">
        <f t="shared" ref="R452:R515" si="67">S452&amp;T452&amp;U452&amp;V452</f>
        <v>2004birthsdhbHawke's Bay</v>
      </c>
      <c r="S452" s="604">
        <v>2004</v>
      </c>
      <c r="T452" s="604" t="s">
        <v>445</v>
      </c>
      <c r="U452" s="604" t="s">
        <v>448</v>
      </c>
      <c r="V452" s="604" t="s">
        <v>92</v>
      </c>
      <c r="W452" s="604">
        <v>2188</v>
      </c>
      <c r="Y452" s="535" t="str">
        <f t="shared" ref="Y452:Y515" si="68">Z452&amp;AA452&amp;AB452&amp;AC452&amp;AD452&amp;AH452</f>
        <v>2016gestdep42+Quin 9fetal</v>
      </c>
      <c r="Z452" s="604">
        <v>2016</v>
      </c>
      <c r="AA452" s="604" t="s">
        <v>450</v>
      </c>
      <c r="AB452" s="604" t="s">
        <v>454</v>
      </c>
      <c r="AC452" s="604" t="s">
        <v>138</v>
      </c>
      <c r="AD452" s="604" t="s">
        <v>426</v>
      </c>
      <c r="AE452" s="604">
        <v>0</v>
      </c>
      <c r="AF452" s="604">
        <v>5</v>
      </c>
      <c r="AG452" s="604" t="s">
        <v>119</v>
      </c>
      <c r="AH452" s="604" t="s">
        <v>420</v>
      </c>
      <c r="AJ452" s="535" t="str">
        <f t="shared" ref="AJ452:AJ515" si="69">AK452&amp;AL452&amp;AM452&amp;AN452&amp;AO452</f>
        <v>2016gestdep42+Quin 9</v>
      </c>
      <c r="AK452" s="604">
        <v>2016</v>
      </c>
      <c r="AL452" s="604" t="s">
        <v>450</v>
      </c>
      <c r="AM452" s="604" t="s">
        <v>454</v>
      </c>
      <c r="AN452" s="604" t="s">
        <v>138</v>
      </c>
      <c r="AO452" s="604" t="s">
        <v>426</v>
      </c>
      <c r="AP452" s="604">
        <v>5</v>
      </c>
      <c r="AR452" s="538" t="str">
        <f t="shared" ref="AR452:AR515" si="70">AT452&amp;AU452&amp;AZ452&amp;AV452</f>
        <v>500-999bwtfetalWest Coast</v>
      </c>
      <c r="AS452" s="604">
        <v>2016</v>
      </c>
      <c r="AT452" s="604" t="s">
        <v>428</v>
      </c>
      <c r="AU452" s="604" t="s">
        <v>447</v>
      </c>
      <c r="AV452" s="604" t="s">
        <v>100</v>
      </c>
      <c r="AW452" s="604">
        <v>1</v>
      </c>
      <c r="AX452" s="604">
        <v>2</v>
      </c>
      <c r="AY452" s="606">
        <v>500</v>
      </c>
      <c r="AZ452" s="604" t="s">
        <v>420</v>
      </c>
      <c r="BB452" s="536" t="str">
        <f t="shared" ref="BB452:BB515" si="71">BD452&amp;BE452&amp;BH452&amp;BF452</f>
        <v>28-31gestbirthsHutt Valley</v>
      </c>
      <c r="BC452" s="604">
        <v>2016</v>
      </c>
      <c r="BD452" s="604" t="s">
        <v>395</v>
      </c>
      <c r="BE452" s="604" t="s">
        <v>450</v>
      </c>
      <c r="BF452" s="604" t="s">
        <v>97</v>
      </c>
      <c r="BG452" s="604">
        <v>18</v>
      </c>
      <c r="BH452" s="604" t="s">
        <v>445</v>
      </c>
      <c r="BY452" s="553" t="str">
        <f t="shared" ref="BY452:BY515" si="72">BZ452&amp;CA452&amp;CB452&amp;CD452</f>
        <v>2001UnknowndhbSIDS</v>
      </c>
      <c r="BZ452" s="604">
        <v>2001</v>
      </c>
      <c r="CA452" s="604" t="s">
        <v>63</v>
      </c>
      <c r="CB452" s="604" t="s">
        <v>448</v>
      </c>
      <c r="CC452" s="604">
        <v>0</v>
      </c>
      <c r="CD452" s="604" t="s">
        <v>32</v>
      </c>
      <c r="CF452" s="559" t="str">
        <f t="shared" ref="CF452:CF515" si="73">CG452&amp;CH452&amp;CI452&amp;CJ452&amp;CL452</f>
        <v>5yearsEuropean or OtherLakesdhbSIDS</v>
      </c>
      <c r="CG452" s="604" t="s">
        <v>475</v>
      </c>
      <c r="CH452" s="604" t="s">
        <v>356</v>
      </c>
      <c r="CI452" s="604" t="s">
        <v>90</v>
      </c>
      <c r="CJ452" s="604" t="s">
        <v>448</v>
      </c>
      <c r="CK452" s="604">
        <v>1</v>
      </c>
      <c r="CL452" s="604" t="s">
        <v>32</v>
      </c>
    </row>
    <row r="453" spans="9:90">
      <c r="I453" s="578" t="str">
        <f t="shared" si="66"/>
        <v>1997bwt1000-1499Fetal</v>
      </c>
      <c r="J453" s="604">
        <v>1997</v>
      </c>
      <c r="K453" s="604" t="s">
        <v>447</v>
      </c>
      <c r="L453" s="604" t="s">
        <v>429</v>
      </c>
      <c r="M453" s="604">
        <v>35</v>
      </c>
      <c r="N453" s="604">
        <v>388</v>
      </c>
      <c r="O453" s="604">
        <v>90.2</v>
      </c>
      <c r="P453" s="604" t="s">
        <v>47</v>
      </c>
      <c r="Q453" s="499"/>
      <c r="R453" s="502" t="str">
        <f t="shared" si="67"/>
        <v>2004birthsdhbTaranaki</v>
      </c>
      <c r="S453" s="604">
        <v>2004</v>
      </c>
      <c r="T453" s="604" t="s">
        <v>445</v>
      </c>
      <c r="U453" s="604" t="s">
        <v>448</v>
      </c>
      <c r="V453" s="604" t="s">
        <v>93</v>
      </c>
      <c r="W453" s="604">
        <v>1336</v>
      </c>
      <c r="Y453" s="535" t="str">
        <f t="shared" si="68"/>
        <v>2016gestdepUnknownQuin 9fetal</v>
      </c>
      <c r="Z453" s="604">
        <v>2016</v>
      </c>
      <c r="AA453" s="604" t="s">
        <v>450</v>
      </c>
      <c r="AB453" s="604" t="s">
        <v>454</v>
      </c>
      <c r="AC453" s="604" t="s">
        <v>63</v>
      </c>
      <c r="AD453" s="604" t="s">
        <v>426</v>
      </c>
      <c r="AE453" s="604">
        <v>0</v>
      </c>
      <c r="AF453" s="604">
        <v>1</v>
      </c>
      <c r="AG453" s="604" t="s">
        <v>119</v>
      </c>
      <c r="AH453" s="604" t="s">
        <v>420</v>
      </c>
      <c r="AJ453" s="535" t="str">
        <f t="shared" si="69"/>
        <v>2016gestdepUnknownQuin 9</v>
      </c>
      <c r="AK453" s="604">
        <v>2016</v>
      </c>
      <c r="AL453" s="604" t="s">
        <v>450</v>
      </c>
      <c r="AM453" s="604" t="s">
        <v>454</v>
      </c>
      <c r="AN453" s="604" t="s">
        <v>63</v>
      </c>
      <c r="AO453" s="604" t="s">
        <v>426</v>
      </c>
      <c r="AP453" s="604">
        <v>1</v>
      </c>
      <c r="AR453" s="538" t="str">
        <f t="shared" si="70"/>
        <v>1000-1499bwtfetalWest Coast</v>
      </c>
      <c r="AS453" s="604">
        <v>2016</v>
      </c>
      <c r="AT453" s="604" t="s">
        <v>429</v>
      </c>
      <c r="AU453" s="604" t="s">
        <v>447</v>
      </c>
      <c r="AV453" s="604" t="s">
        <v>100</v>
      </c>
      <c r="AW453" s="604">
        <v>2</v>
      </c>
      <c r="AX453" s="604">
        <v>2</v>
      </c>
      <c r="AY453" s="606">
        <v>1000</v>
      </c>
      <c r="AZ453" s="604" t="s">
        <v>420</v>
      </c>
      <c r="BB453" s="536" t="str">
        <f t="shared" si="71"/>
        <v>32-36gestbirthsHutt Valley</v>
      </c>
      <c r="BC453" s="604">
        <v>2016</v>
      </c>
      <c r="BD453" s="604" t="s">
        <v>136</v>
      </c>
      <c r="BE453" s="604" t="s">
        <v>450</v>
      </c>
      <c r="BF453" s="604" t="s">
        <v>97</v>
      </c>
      <c r="BG453" s="604">
        <v>151</v>
      </c>
      <c r="BH453" s="604" t="s">
        <v>445</v>
      </c>
      <c r="BY453" s="553" t="str">
        <f t="shared" si="72"/>
        <v>2002NorthlanddhbSIDS</v>
      </c>
      <c r="BZ453" s="604">
        <v>2002</v>
      </c>
      <c r="CA453" s="604" t="s">
        <v>85</v>
      </c>
      <c r="CB453" s="604" t="s">
        <v>448</v>
      </c>
      <c r="CC453" s="604">
        <v>2</v>
      </c>
      <c r="CD453" s="604" t="s">
        <v>32</v>
      </c>
      <c r="CF453" s="559" t="str">
        <f t="shared" si="73"/>
        <v>5yearsMaoriLakesdhbSIDS</v>
      </c>
      <c r="CG453" s="604" t="s">
        <v>475</v>
      </c>
      <c r="CH453" s="604" t="s">
        <v>129</v>
      </c>
      <c r="CI453" s="604" t="s">
        <v>90</v>
      </c>
      <c r="CJ453" s="604" t="s">
        <v>448</v>
      </c>
      <c r="CK453" s="604">
        <v>3</v>
      </c>
      <c r="CL453" s="604" t="s">
        <v>32</v>
      </c>
    </row>
    <row r="454" spans="9:90">
      <c r="I454" s="578" t="str">
        <f t="shared" si="66"/>
        <v>1997bwt1500-2499Fetal</v>
      </c>
      <c r="J454" s="604">
        <v>1997</v>
      </c>
      <c r="K454" s="604" t="s">
        <v>447</v>
      </c>
      <c r="L454" s="604" t="s">
        <v>430</v>
      </c>
      <c r="M454" s="604">
        <v>49</v>
      </c>
      <c r="N454" s="604">
        <v>3029</v>
      </c>
      <c r="O454" s="604">
        <v>16.2</v>
      </c>
      <c r="P454" s="604" t="s">
        <v>47</v>
      </c>
      <c r="Q454" s="499"/>
      <c r="R454" s="502" t="str">
        <f t="shared" si="67"/>
        <v>2004birthsdhbMidCentral</v>
      </c>
      <c r="S454" s="604">
        <v>2004</v>
      </c>
      <c r="T454" s="604" t="s">
        <v>445</v>
      </c>
      <c r="U454" s="604" t="s">
        <v>448</v>
      </c>
      <c r="V454" s="604" t="s">
        <v>94</v>
      </c>
      <c r="W454" s="604">
        <v>2079</v>
      </c>
      <c r="Y454" s="535" t="str">
        <f t="shared" si="68"/>
        <v>2016ageeth&lt;20Maorifetal</v>
      </c>
      <c r="Z454" s="604">
        <v>2016</v>
      </c>
      <c r="AA454" s="604" t="s">
        <v>453</v>
      </c>
      <c r="AB454" s="604" t="s">
        <v>449</v>
      </c>
      <c r="AC454" s="604" t="s">
        <v>339</v>
      </c>
      <c r="AD454" s="604" t="s">
        <v>129</v>
      </c>
      <c r="AE454" s="604">
        <v>20</v>
      </c>
      <c r="AF454" s="604">
        <v>1613</v>
      </c>
      <c r="AG454" s="604">
        <v>12.2</v>
      </c>
      <c r="AH454" s="604" t="s">
        <v>420</v>
      </c>
      <c r="AJ454" s="535" t="str">
        <f t="shared" si="69"/>
        <v>2016ageeth&lt;20Maori</v>
      </c>
      <c r="AK454" s="604">
        <v>2016</v>
      </c>
      <c r="AL454" s="604" t="s">
        <v>453</v>
      </c>
      <c r="AM454" s="604" t="s">
        <v>449</v>
      </c>
      <c r="AN454" s="604" t="s">
        <v>339</v>
      </c>
      <c r="AO454" s="604" t="s">
        <v>129</v>
      </c>
      <c r="AP454" s="604">
        <v>1613</v>
      </c>
      <c r="AR454" s="538" t="str">
        <f t="shared" si="70"/>
        <v>1500-2499bwtfetalWest Coast</v>
      </c>
      <c r="AS454" s="604">
        <v>2016</v>
      </c>
      <c r="AT454" s="604" t="s">
        <v>430</v>
      </c>
      <c r="AU454" s="604" t="s">
        <v>447</v>
      </c>
      <c r="AV454" s="604" t="s">
        <v>100</v>
      </c>
      <c r="AW454" s="604">
        <v>1</v>
      </c>
      <c r="AX454" s="604">
        <v>11</v>
      </c>
      <c r="AY454" s="606">
        <v>90.9</v>
      </c>
      <c r="AZ454" s="604" t="s">
        <v>420</v>
      </c>
      <c r="BB454" s="536" t="str">
        <f t="shared" si="71"/>
        <v>37-41gestbirthsHutt Valley</v>
      </c>
      <c r="BC454" s="604">
        <v>2016</v>
      </c>
      <c r="BD454" s="604" t="s">
        <v>137</v>
      </c>
      <c r="BE454" s="604" t="s">
        <v>450</v>
      </c>
      <c r="BF454" s="604" t="s">
        <v>97</v>
      </c>
      <c r="BG454" s="604">
        <v>1813</v>
      </c>
      <c r="BH454" s="604" t="s">
        <v>445</v>
      </c>
      <c r="BY454" s="553" t="str">
        <f t="shared" si="72"/>
        <v>2002WaitematadhbSIDS</v>
      </c>
      <c r="BZ454" s="604">
        <v>2002</v>
      </c>
      <c r="CA454" s="604" t="s">
        <v>86</v>
      </c>
      <c r="CB454" s="604" t="s">
        <v>448</v>
      </c>
      <c r="CC454" s="604">
        <v>9</v>
      </c>
      <c r="CD454" s="604" t="s">
        <v>32</v>
      </c>
      <c r="CF454" s="559" t="str">
        <f t="shared" si="73"/>
        <v>5yearsPacific peoplesLakesdhbSIDS</v>
      </c>
      <c r="CG454" s="604" t="s">
        <v>475</v>
      </c>
      <c r="CH454" s="604" t="s">
        <v>320</v>
      </c>
      <c r="CI454" s="604" t="s">
        <v>90</v>
      </c>
      <c r="CJ454" s="604" t="s">
        <v>448</v>
      </c>
      <c r="CK454" s="604">
        <v>0</v>
      </c>
      <c r="CL454" s="604" t="s">
        <v>32</v>
      </c>
    </row>
    <row r="455" spans="9:90">
      <c r="I455" s="578" t="str">
        <f t="shared" si="66"/>
        <v>1997bwt2500-4499Fetal</v>
      </c>
      <c r="J455" s="604">
        <v>1997</v>
      </c>
      <c r="K455" s="604" t="s">
        <v>447</v>
      </c>
      <c r="L455" s="604" t="s">
        <v>431</v>
      </c>
      <c r="M455" s="604">
        <v>86</v>
      </c>
      <c r="N455" s="604">
        <v>52798</v>
      </c>
      <c r="O455" s="604">
        <v>1.6</v>
      </c>
      <c r="P455" s="604" t="s">
        <v>47</v>
      </c>
      <c r="Q455" s="499"/>
      <c r="R455" s="502" t="str">
        <f t="shared" si="67"/>
        <v>2004birthsdhbWhanganui</v>
      </c>
      <c r="S455" s="604">
        <v>2004</v>
      </c>
      <c r="T455" s="604" t="s">
        <v>445</v>
      </c>
      <c r="U455" s="604" t="s">
        <v>448</v>
      </c>
      <c r="V455" s="604" t="s">
        <v>95</v>
      </c>
      <c r="W455" s="604">
        <v>815</v>
      </c>
      <c r="Y455" s="535" t="str">
        <f t="shared" si="68"/>
        <v>2016ageeth20-24Maorifetal</v>
      </c>
      <c r="Z455" s="604">
        <v>2016</v>
      </c>
      <c r="AA455" s="604" t="s">
        <v>453</v>
      </c>
      <c r="AB455" s="604" t="s">
        <v>449</v>
      </c>
      <c r="AC455" s="604" t="s">
        <v>130</v>
      </c>
      <c r="AD455" s="604" t="s">
        <v>129</v>
      </c>
      <c r="AE455" s="604">
        <v>35</v>
      </c>
      <c r="AF455" s="604">
        <v>4901</v>
      </c>
      <c r="AG455" s="604">
        <v>7.1</v>
      </c>
      <c r="AH455" s="604" t="s">
        <v>420</v>
      </c>
      <c r="AJ455" s="535" t="str">
        <f t="shared" si="69"/>
        <v>2016ageeth20-24Maori</v>
      </c>
      <c r="AK455" s="604">
        <v>2016</v>
      </c>
      <c r="AL455" s="604" t="s">
        <v>453</v>
      </c>
      <c r="AM455" s="604" t="s">
        <v>449</v>
      </c>
      <c r="AN455" s="604" t="s">
        <v>130</v>
      </c>
      <c r="AO455" s="604" t="s">
        <v>129</v>
      </c>
      <c r="AP455" s="604">
        <v>4901</v>
      </c>
      <c r="AR455" s="538" t="str">
        <f t="shared" si="70"/>
        <v>2500-4499bwtfetalWest Coast</v>
      </c>
      <c r="AS455" s="604">
        <v>2016</v>
      </c>
      <c r="AT455" s="604" t="s">
        <v>431</v>
      </c>
      <c r="AU455" s="604" t="s">
        <v>447</v>
      </c>
      <c r="AV455" s="604" t="s">
        <v>100</v>
      </c>
      <c r="AW455" s="604">
        <v>1</v>
      </c>
      <c r="AX455" s="604">
        <v>307</v>
      </c>
      <c r="AY455" s="606">
        <v>3.3</v>
      </c>
      <c r="AZ455" s="604" t="s">
        <v>420</v>
      </c>
      <c r="BB455" s="536" t="str">
        <f t="shared" si="71"/>
        <v>42+gestbirthsHutt Valley</v>
      </c>
      <c r="BC455" s="604">
        <v>2016</v>
      </c>
      <c r="BD455" s="604" t="s">
        <v>138</v>
      </c>
      <c r="BE455" s="604" t="s">
        <v>450</v>
      </c>
      <c r="BF455" s="604" t="s">
        <v>97</v>
      </c>
      <c r="BG455" s="604">
        <v>10</v>
      </c>
      <c r="BH455" s="604" t="s">
        <v>445</v>
      </c>
      <c r="BY455" s="553" t="str">
        <f t="shared" si="72"/>
        <v>2002AucklanddhbSIDS</v>
      </c>
      <c r="BZ455" s="604">
        <v>2002</v>
      </c>
      <c r="CA455" s="604" t="s">
        <v>87</v>
      </c>
      <c r="CB455" s="604" t="s">
        <v>448</v>
      </c>
      <c r="CC455" s="604">
        <v>1</v>
      </c>
      <c r="CD455" s="604" t="s">
        <v>32</v>
      </c>
      <c r="CF455" s="559" t="str">
        <f t="shared" si="73"/>
        <v>5yearsAsianBay of PlentydhbSIDS</v>
      </c>
      <c r="CG455" s="604" t="s">
        <v>475</v>
      </c>
      <c r="CH455" s="604" t="s">
        <v>355</v>
      </c>
      <c r="CI455" s="604" t="s">
        <v>91</v>
      </c>
      <c r="CJ455" s="604" t="s">
        <v>448</v>
      </c>
      <c r="CK455" s="604">
        <v>0</v>
      </c>
      <c r="CL455" s="604" t="s">
        <v>32</v>
      </c>
    </row>
    <row r="456" spans="9:90">
      <c r="I456" s="578" t="str">
        <f t="shared" si="66"/>
        <v>1997bwt4500+Fetal</v>
      </c>
      <c r="J456" s="604">
        <v>1997</v>
      </c>
      <c r="K456" s="604" t="s">
        <v>447</v>
      </c>
      <c r="L456" s="604" t="s">
        <v>432</v>
      </c>
      <c r="M456" s="604">
        <v>2</v>
      </c>
      <c r="N456" s="604">
        <v>1353</v>
      </c>
      <c r="O456" s="604">
        <v>1.5</v>
      </c>
      <c r="P456" s="604" t="s">
        <v>47</v>
      </c>
      <c r="Q456" s="499"/>
      <c r="R456" s="502" t="str">
        <f t="shared" si="67"/>
        <v>2004birthsdhbCapital &amp; Coast</v>
      </c>
      <c r="S456" s="604">
        <v>2004</v>
      </c>
      <c r="T456" s="604" t="s">
        <v>445</v>
      </c>
      <c r="U456" s="604" t="s">
        <v>448</v>
      </c>
      <c r="V456" s="604" t="s">
        <v>96</v>
      </c>
      <c r="W456" s="604">
        <v>3693</v>
      </c>
      <c r="Y456" s="535" t="str">
        <f t="shared" si="68"/>
        <v>2016ageeth25-29Maorifetal</v>
      </c>
      <c r="Z456" s="604">
        <v>2016</v>
      </c>
      <c r="AA456" s="604" t="s">
        <v>453</v>
      </c>
      <c r="AB456" s="604" t="s">
        <v>449</v>
      </c>
      <c r="AC456" s="604" t="s">
        <v>131</v>
      </c>
      <c r="AD456" s="604" t="s">
        <v>129</v>
      </c>
      <c r="AE456" s="604">
        <v>28</v>
      </c>
      <c r="AF456" s="604">
        <v>4991</v>
      </c>
      <c r="AG456" s="604">
        <v>5.6</v>
      </c>
      <c r="AH456" s="604" t="s">
        <v>420</v>
      </c>
      <c r="AJ456" s="535" t="str">
        <f t="shared" si="69"/>
        <v>2016ageeth25-29Maori</v>
      </c>
      <c r="AK456" s="604">
        <v>2016</v>
      </c>
      <c r="AL456" s="604" t="s">
        <v>453</v>
      </c>
      <c r="AM456" s="604" t="s">
        <v>449</v>
      </c>
      <c r="AN456" s="604" t="s">
        <v>131</v>
      </c>
      <c r="AO456" s="604" t="s">
        <v>129</v>
      </c>
      <c r="AP456" s="604">
        <v>4991</v>
      </c>
      <c r="AR456" s="538" t="str">
        <f t="shared" si="70"/>
        <v>&lt;500bwtfetalCanterbury</v>
      </c>
      <c r="AS456" s="604">
        <v>2016</v>
      </c>
      <c r="AT456" s="604" t="s">
        <v>427</v>
      </c>
      <c r="AU456" s="604" t="s">
        <v>447</v>
      </c>
      <c r="AV456" s="604" t="s">
        <v>101</v>
      </c>
      <c r="AW456" s="604">
        <v>18</v>
      </c>
      <c r="AX456" s="604">
        <v>20</v>
      </c>
      <c r="AY456" s="606">
        <v>900</v>
      </c>
      <c r="AZ456" s="604" t="s">
        <v>420</v>
      </c>
      <c r="BB456" s="536" t="str">
        <f t="shared" si="71"/>
        <v>UnknowngestbirthsHutt Valley</v>
      </c>
      <c r="BC456" s="604">
        <v>2016</v>
      </c>
      <c r="BD456" s="604" t="s">
        <v>63</v>
      </c>
      <c r="BE456" s="604" t="s">
        <v>450</v>
      </c>
      <c r="BF456" s="604" t="s">
        <v>97</v>
      </c>
      <c r="BG456" s="604">
        <v>1</v>
      </c>
      <c r="BH456" s="604" t="s">
        <v>445</v>
      </c>
      <c r="BY456" s="553" t="str">
        <f t="shared" si="72"/>
        <v>2002Counties ManukaudhbSIDS</v>
      </c>
      <c r="BZ456" s="604">
        <v>2002</v>
      </c>
      <c r="CA456" s="604" t="s">
        <v>88</v>
      </c>
      <c r="CB456" s="604" t="s">
        <v>448</v>
      </c>
      <c r="CC456" s="604">
        <v>6</v>
      </c>
      <c r="CD456" s="604" t="s">
        <v>32</v>
      </c>
      <c r="CF456" s="559" t="str">
        <f t="shared" si="73"/>
        <v>5yearsEuropean or OtherBay of PlentydhbSIDS</v>
      </c>
      <c r="CG456" s="604" t="s">
        <v>475</v>
      </c>
      <c r="CH456" s="604" t="s">
        <v>356</v>
      </c>
      <c r="CI456" s="604" t="s">
        <v>91</v>
      </c>
      <c r="CJ456" s="604" t="s">
        <v>448</v>
      </c>
      <c r="CK456" s="604">
        <v>0</v>
      </c>
      <c r="CL456" s="604" t="s">
        <v>32</v>
      </c>
    </row>
    <row r="457" spans="9:90">
      <c r="I457" s="578" t="str">
        <f t="shared" si="66"/>
        <v>1997bwtUnknownFetal</v>
      </c>
      <c r="J457" s="604">
        <v>1997</v>
      </c>
      <c r="K457" s="604" t="s">
        <v>447</v>
      </c>
      <c r="L457" s="604" t="s">
        <v>63</v>
      </c>
      <c r="M457" s="604">
        <v>18</v>
      </c>
      <c r="N457" s="604">
        <v>92</v>
      </c>
      <c r="O457" s="604" t="s">
        <v>119</v>
      </c>
      <c r="P457" s="604" t="s">
        <v>47</v>
      </c>
      <c r="Q457" s="499"/>
      <c r="R457" s="502" t="str">
        <f t="shared" si="67"/>
        <v>2004birthsdhbHutt Valley</v>
      </c>
      <c r="S457" s="604">
        <v>2004</v>
      </c>
      <c r="T457" s="604" t="s">
        <v>445</v>
      </c>
      <c r="U457" s="604" t="s">
        <v>448</v>
      </c>
      <c r="V457" s="604" t="s">
        <v>97</v>
      </c>
      <c r="W457" s="604">
        <v>2031</v>
      </c>
      <c r="Y457" s="535" t="str">
        <f t="shared" si="68"/>
        <v>2016ageeth30-34Maorifetal</v>
      </c>
      <c r="Z457" s="604">
        <v>2016</v>
      </c>
      <c r="AA457" s="604" t="s">
        <v>453</v>
      </c>
      <c r="AB457" s="604" t="s">
        <v>449</v>
      </c>
      <c r="AC457" s="604" t="s">
        <v>132</v>
      </c>
      <c r="AD457" s="604" t="s">
        <v>129</v>
      </c>
      <c r="AE457" s="604">
        <v>23</v>
      </c>
      <c r="AF457" s="604">
        <v>3514</v>
      </c>
      <c r="AG457" s="604">
        <v>6.5</v>
      </c>
      <c r="AH457" s="604" t="s">
        <v>420</v>
      </c>
      <c r="AJ457" s="535" t="str">
        <f t="shared" si="69"/>
        <v>2016ageeth30-34Maori</v>
      </c>
      <c r="AK457" s="604">
        <v>2016</v>
      </c>
      <c r="AL457" s="604" t="s">
        <v>453</v>
      </c>
      <c r="AM457" s="604" t="s">
        <v>449</v>
      </c>
      <c r="AN457" s="604" t="s">
        <v>132</v>
      </c>
      <c r="AO457" s="604" t="s">
        <v>129</v>
      </c>
      <c r="AP457" s="604">
        <v>3514</v>
      </c>
      <c r="AR457" s="538" t="str">
        <f t="shared" si="70"/>
        <v>500-999bwtfetalCanterbury</v>
      </c>
      <c r="AS457" s="604">
        <v>2016</v>
      </c>
      <c r="AT457" s="604" t="s">
        <v>428</v>
      </c>
      <c r="AU457" s="604" t="s">
        <v>447</v>
      </c>
      <c r="AV457" s="604" t="s">
        <v>101</v>
      </c>
      <c r="AW457" s="604">
        <v>12</v>
      </c>
      <c r="AX457" s="604">
        <v>24</v>
      </c>
      <c r="AY457" s="606">
        <v>500</v>
      </c>
      <c r="AZ457" s="604" t="s">
        <v>420</v>
      </c>
      <c r="BB457" s="536" t="str">
        <f t="shared" si="71"/>
        <v>&lt;28gestbirthsWairarapa</v>
      </c>
      <c r="BC457" s="604">
        <v>2016</v>
      </c>
      <c r="BD457" s="604" t="s">
        <v>375</v>
      </c>
      <c r="BE457" s="604" t="s">
        <v>450</v>
      </c>
      <c r="BF457" s="604" t="s">
        <v>98</v>
      </c>
      <c r="BG457" s="604">
        <v>4</v>
      </c>
      <c r="BH457" s="604" t="s">
        <v>445</v>
      </c>
      <c r="BY457" s="553" t="str">
        <f t="shared" si="72"/>
        <v>2002WaikatodhbSIDS</v>
      </c>
      <c r="BZ457" s="604">
        <v>2002</v>
      </c>
      <c r="CA457" s="604" t="s">
        <v>89</v>
      </c>
      <c r="CB457" s="604" t="s">
        <v>448</v>
      </c>
      <c r="CC457" s="604">
        <v>7</v>
      </c>
      <c r="CD457" s="604" t="s">
        <v>32</v>
      </c>
      <c r="CF457" s="559" t="str">
        <f t="shared" si="73"/>
        <v>5yearsMaoriBay of PlentydhbSIDS</v>
      </c>
      <c r="CG457" s="604" t="s">
        <v>475</v>
      </c>
      <c r="CH457" s="604" t="s">
        <v>129</v>
      </c>
      <c r="CI457" s="604" t="s">
        <v>91</v>
      </c>
      <c r="CJ457" s="604" t="s">
        <v>448</v>
      </c>
      <c r="CK457" s="604">
        <v>1</v>
      </c>
      <c r="CL457" s="604" t="s">
        <v>32</v>
      </c>
    </row>
    <row r="458" spans="9:90">
      <c r="I458" s="578" t="str">
        <f t="shared" si="66"/>
        <v>1998bwt&lt;500Fetal</v>
      </c>
      <c r="J458" s="604">
        <v>1998</v>
      </c>
      <c r="K458" s="604" t="s">
        <v>447</v>
      </c>
      <c r="L458" s="604" t="s">
        <v>427</v>
      </c>
      <c r="M458" s="604">
        <v>104</v>
      </c>
      <c r="N458" s="604">
        <v>137</v>
      </c>
      <c r="O458" s="604">
        <v>759.1</v>
      </c>
      <c r="P458" s="604" t="s">
        <v>47</v>
      </c>
      <c r="Q458" s="499"/>
      <c r="R458" s="502" t="str">
        <f t="shared" si="67"/>
        <v>2004birthsdhbWairarapa</v>
      </c>
      <c r="S458" s="604">
        <v>2004</v>
      </c>
      <c r="T458" s="604" t="s">
        <v>445</v>
      </c>
      <c r="U458" s="604" t="s">
        <v>448</v>
      </c>
      <c r="V458" s="604" t="s">
        <v>98</v>
      </c>
      <c r="W458" s="604">
        <v>522</v>
      </c>
      <c r="Y458" s="535" t="str">
        <f t="shared" si="68"/>
        <v>2016ageeth35-39Maorifetal</v>
      </c>
      <c r="Z458" s="604">
        <v>2016</v>
      </c>
      <c r="AA458" s="604" t="s">
        <v>453</v>
      </c>
      <c r="AB458" s="604" t="s">
        <v>449</v>
      </c>
      <c r="AC458" s="604" t="s">
        <v>133</v>
      </c>
      <c r="AD458" s="604" t="s">
        <v>129</v>
      </c>
      <c r="AE458" s="604">
        <v>12</v>
      </c>
      <c r="AF458" s="604">
        <v>1805</v>
      </c>
      <c r="AG458" s="604">
        <v>6.6</v>
      </c>
      <c r="AH458" s="604" t="s">
        <v>420</v>
      </c>
      <c r="AJ458" s="535" t="str">
        <f t="shared" si="69"/>
        <v>2016ageeth35-39Maori</v>
      </c>
      <c r="AK458" s="604">
        <v>2016</v>
      </c>
      <c r="AL458" s="604" t="s">
        <v>453</v>
      </c>
      <c r="AM458" s="604" t="s">
        <v>449</v>
      </c>
      <c r="AN458" s="604" t="s">
        <v>133</v>
      </c>
      <c r="AO458" s="604" t="s">
        <v>129</v>
      </c>
      <c r="AP458" s="604">
        <v>1805</v>
      </c>
      <c r="AR458" s="538" t="str">
        <f t="shared" si="70"/>
        <v>1000-1499bwtfetalCanterbury</v>
      </c>
      <c r="AS458" s="604">
        <v>2016</v>
      </c>
      <c r="AT458" s="604" t="s">
        <v>429</v>
      </c>
      <c r="AU458" s="604" t="s">
        <v>447</v>
      </c>
      <c r="AV458" s="604" t="s">
        <v>101</v>
      </c>
      <c r="AW458" s="604">
        <v>2</v>
      </c>
      <c r="AX458" s="604">
        <v>42</v>
      </c>
      <c r="AY458" s="606">
        <v>47.6</v>
      </c>
      <c r="AZ458" s="604" t="s">
        <v>420</v>
      </c>
      <c r="BB458" s="536" t="str">
        <f t="shared" si="71"/>
        <v>28-31gestbirthsWairarapa</v>
      </c>
      <c r="BC458" s="604">
        <v>2016</v>
      </c>
      <c r="BD458" s="604" t="s">
        <v>395</v>
      </c>
      <c r="BE458" s="604" t="s">
        <v>450</v>
      </c>
      <c r="BF458" s="604" t="s">
        <v>98</v>
      </c>
      <c r="BG458" s="604">
        <v>3</v>
      </c>
      <c r="BH458" s="604" t="s">
        <v>445</v>
      </c>
      <c r="BY458" s="553" t="str">
        <f t="shared" si="72"/>
        <v>2002LakesdhbSIDS</v>
      </c>
      <c r="BZ458" s="604">
        <v>2002</v>
      </c>
      <c r="CA458" s="604" t="s">
        <v>90</v>
      </c>
      <c r="CB458" s="604" t="s">
        <v>448</v>
      </c>
      <c r="CC458" s="604">
        <v>1</v>
      </c>
      <c r="CD458" s="604" t="s">
        <v>32</v>
      </c>
      <c r="CF458" s="559" t="str">
        <f t="shared" si="73"/>
        <v>5yearsPacific peoplesBay of PlentydhbSIDS</v>
      </c>
      <c r="CG458" s="604" t="s">
        <v>475</v>
      </c>
      <c r="CH458" s="604" t="s">
        <v>320</v>
      </c>
      <c r="CI458" s="604" t="s">
        <v>91</v>
      </c>
      <c r="CJ458" s="604" t="s">
        <v>448</v>
      </c>
      <c r="CK458" s="604">
        <v>0</v>
      </c>
      <c r="CL458" s="604" t="s">
        <v>32</v>
      </c>
    </row>
    <row r="459" spans="9:90">
      <c r="I459" s="578" t="str">
        <f t="shared" si="66"/>
        <v>1998bwt500-999Fetal</v>
      </c>
      <c r="J459" s="604">
        <v>1998</v>
      </c>
      <c r="K459" s="604" t="s">
        <v>447</v>
      </c>
      <c r="L459" s="604" t="s">
        <v>428</v>
      </c>
      <c r="M459" s="604">
        <v>80</v>
      </c>
      <c r="N459" s="604">
        <v>311</v>
      </c>
      <c r="O459" s="604">
        <v>257.2</v>
      </c>
      <c r="P459" s="604" t="s">
        <v>47</v>
      </c>
      <c r="Q459" s="499"/>
      <c r="R459" s="502" t="str">
        <f t="shared" si="67"/>
        <v>2004birthsdhbNelson Marlborough</v>
      </c>
      <c r="S459" s="604">
        <v>2004</v>
      </c>
      <c r="T459" s="604" t="s">
        <v>445</v>
      </c>
      <c r="U459" s="604" t="s">
        <v>448</v>
      </c>
      <c r="V459" s="604" t="s">
        <v>99</v>
      </c>
      <c r="W459" s="604">
        <v>1623</v>
      </c>
      <c r="Y459" s="535" t="str">
        <f t="shared" si="68"/>
        <v>2016ageeth40+Maorifetal</v>
      </c>
      <c r="Z459" s="604">
        <v>2016</v>
      </c>
      <c r="AA459" s="604" t="s">
        <v>453</v>
      </c>
      <c r="AB459" s="604" t="s">
        <v>449</v>
      </c>
      <c r="AC459" s="604" t="s">
        <v>134</v>
      </c>
      <c r="AD459" s="604" t="s">
        <v>129</v>
      </c>
      <c r="AE459" s="604">
        <v>4</v>
      </c>
      <c r="AF459" s="604">
        <v>505</v>
      </c>
      <c r="AG459" s="604">
        <v>7.9</v>
      </c>
      <c r="AH459" s="604" t="s">
        <v>420</v>
      </c>
      <c r="AJ459" s="535" t="str">
        <f t="shared" si="69"/>
        <v>2016ageeth40+Maori</v>
      </c>
      <c r="AK459" s="604">
        <v>2016</v>
      </c>
      <c r="AL459" s="604" t="s">
        <v>453</v>
      </c>
      <c r="AM459" s="604" t="s">
        <v>449</v>
      </c>
      <c r="AN459" s="604" t="s">
        <v>134</v>
      </c>
      <c r="AO459" s="604" t="s">
        <v>129</v>
      </c>
      <c r="AP459" s="604">
        <v>505</v>
      </c>
      <c r="AR459" s="538" t="str">
        <f t="shared" si="70"/>
        <v>1500-2499bwtfetalCanterbury</v>
      </c>
      <c r="AS459" s="604">
        <v>2016</v>
      </c>
      <c r="AT459" s="604" t="s">
        <v>430</v>
      </c>
      <c r="AU459" s="604" t="s">
        <v>447</v>
      </c>
      <c r="AV459" s="604" t="s">
        <v>101</v>
      </c>
      <c r="AW459" s="604">
        <v>1</v>
      </c>
      <c r="AX459" s="604">
        <v>313</v>
      </c>
      <c r="AY459" s="606">
        <v>3.2</v>
      </c>
      <c r="AZ459" s="604" t="s">
        <v>420</v>
      </c>
      <c r="BB459" s="536" t="str">
        <f t="shared" si="71"/>
        <v>32-36gestbirthsWairarapa</v>
      </c>
      <c r="BC459" s="604">
        <v>2016</v>
      </c>
      <c r="BD459" s="604" t="s">
        <v>136</v>
      </c>
      <c r="BE459" s="604" t="s">
        <v>450</v>
      </c>
      <c r="BF459" s="604" t="s">
        <v>98</v>
      </c>
      <c r="BG459" s="604">
        <v>27</v>
      </c>
      <c r="BH459" s="604" t="s">
        <v>445</v>
      </c>
      <c r="BY459" s="553" t="str">
        <f t="shared" si="72"/>
        <v>2002Bay of PlentydhbSIDS</v>
      </c>
      <c r="BZ459" s="604">
        <v>2002</v>
      </c>
      <c r="CA459" s="604" t="s">
        <v>91</v>
      </c>
      <c r="CB459" s="604" t="s">
        <v>448</v>
      </c>
      <c r="CC459" s="604">
        <v>2</v>
      </c>
      <c r="CD459" s="604" t="s">
        <v>32</v>
      </c>
      <c r="CF459" s="559" t="str">
        <f t="shared" si="73"/>
        <v>5yearsAsianTairawhitidhbSIDS</v>
      </c>
      <c r="CG459" s="604" t="s">
        <v>475</v>
      </c>
      <c r="CH459" s="604" t="s">
        <v>355</v>
      </c>
      <c r="CI459" s="604" t="s">
        <v>433</v>
      </c>
      <c r="CJ459" s="604" t="s">
        <v>448</v>
      </c>
      <c r="CK459" s="604">
        <v>0</v>
      </c>
      <c r="CL459" s="604" t="s">
        <v>32</v>
      </c>
    </row>
    <row r="460" spans="9:90">
      <c r="I460" s="578" t="str">
        <f t="shared" si="66"/>
        <v>1998bwt1000-1499Fetal</v>
      </c>
      <c r="J460" s="604">
        <v>1998</v>
      </c>
      <c r="K460" s="604" t="s">
        <v>447</v>
      </c>
      <c r="L460" s="604" t="s">
        <v>429</v>
      </c>
      <c r="M460" s="604">
        <v>29</v>
      </c>
      <c r="N460" s="604">
        <v>382</v>
      </c>
      <c r="O460" s="604">
        <v>75.900000000000006</v>
      </c>
      <c r="P460" s="604" t="s">
        <v>47</v>
      </c>
      <c r="Q460" s="499"/>
      <c r="R460" s="502" t="str">
        <f t="shared" si="67"/>
        <v>2004birthsdhbWest Coast</v>
      </c>
      <c r="S460" s="604">
        <v>2004</v>
      </c>
      <c r="T460" s="604" t="s">
        <v>445</v>
      </c>
      <c r="U460" s="604" t="s">
        <v>448</v>
      </c>
      <c r="V460" s="604" t="s">
        <v>100</v>
      </c>
      <c r="W460" s="604">
        <v>399</v>
      </c>
      <c r="Y460" s="535" t="str">
        <f t="shared" si="68"/>
        <v>2016ageeth&lt;20Pacific peoplesfetal</v>
      </c>
      <c r="Z460" s="604">
        <v>2016</v>
      </c>
      <c r="AA460" s="604" t="s">
        <v>453</v>
      </c>
      <c r="AB460" s="604" t="s">
        <v>449</v>
      </c>
      <c r="AC460" s="604" t="s">
        <v>339</v>
      </c>
      <c r="AD460" s="604" t="s">
        <v>320</v>
      </c>
      <c r="AE460" s="604">
        <v>5</v>
      </c>
      <c r="AF460" s="604">
        <v>380</v>
      </c>
      <c r="AG460" s="604">
        <v>13</v>
      </c>
      <c r="AH460" s="604" t="s">
        <v>420</v>
      </c>
      <c r="AJ460" s="535" t="str">
        <f t="shared" si="69"/>
        <v>2016ageeth&lt;20Pacific peoples</v>
      </c>
      <c r="AK460" s="604">
        <v>2016</v>
      </c>
      <c r="AL460" s="604" t="s">
        <v>453</v>
      </c>
      <c r="AM460" s="604" t="s">
        <v>449</v>
      </c>
      <c r="AN460" s="604" t="s">
        <v>339</v>
      </c>
      <c r="AO460" s="604" t="s">
        <v>320</v>
      </c>
      <c r="AP460" s="604">
        <v>380</v>
      </c>
      <c r="AR460" s="538" t="str">
        <f t="shared" si="70"/>
        <v>2500-4499bwtfetalCanterbury</v>
      </c>
      <c r="AS460" s="604">
        <v>2016</v>
      </c>
      <c r="AT460" s="604" t="s">
        <v>431</v>
      </c>
      <c r="AU460" s="604" t="s">
        <v>447</v>
      </c>
      <c r="AV460" s="604" t="s">
        <v>101</v>
      </c>
      <c r="AW460" s="604">
        <v>10</v>
      </c>
      <c r="AX460" s="604">
        <v>5878</v>
      </c>
      <c r="AY460" s="606">
        <v>1.7</v>
      </c>
      <c r="AZ460" s="604" t="s">
        <v>420</v>
      </c>
      <c r="BB460" s="536" t="str">
        <f t="shared" si="71"/>
        <v>37-41gestbirthsWairarapa</v>
      </c>
      <c r="BC460" s="604">
        <v>2016</v>
      </c>
      <c r="BD460" s="604" t="s">
        <v>137</v>
      </c>
      <c r="BE460" s="604" t="s">
        <v>450</v>
      </c>
      <c r="BF460" s="604" t="s">
        <v>98</v>
      </c>
      <c r="BG460" s="604">
        <v>438</v>
      </c>
      <c r="BH460" s="604" t="s">
        <v>445</v>
      </c>
      <c r="BY460" s="553" t="str">
        <f t="shared" si="72"/>
        <v>2002TairawhitidhbSIDS</v>
      </c>
      <c r="BZ460" s="604">
        <v>2002</v>
      </c>
      <c r="CA460" s="604" t="s">
        <v>433</v>
      </c>
      <c r="CB460" s="604" t="s">
        <v>448</v>
      </c>
      <c r="CC460" s="604">
        <v>0</v>
      </c>
      <c r="CD460" s="604" t="s">
        <v>32</v>
      </c>
      <c r="CF460" s="559" t="str">
        <f t="shared" si="73"/>
        <v>5yearsEuropean or OtherTairawhitidhbSIDS</v>
      </c>
      <c r="CG460" s="604" t="s">
        <v>475</v>
      </c>
      <c r="CH460" s="604" t="s">
        <v>356</v>
      </c>
      <c r="CI460" s="604" t="s">
        <v>433</v>
      </c>
      <c r="CJ460" s="604" t="s">
        <v>448</v>
      </c>
      <c r="CK460" s="604">
        <v>0</v>
      </c>
      <c r="CL460" s="604" t="s">
        <v>32</v>
      </c>
    </row>
    <row r="461" spans="9:90">
      <c r="I461" s="578" t="str">
        <f t="shared" si="66"/>
        <v>1998bwt1500-2499Fetal</v>
      </c>
      <c r="J461" s="604">
        <v>1998</v>
      </c>
      <c r="K461" s="604" t="s">
        <v>447</v>
      </c>
      <c r="L461" s="604" t="s">
        <v>430</v>
      </c>
      <c r="M461" s="604">
        <v>42</v>
      </c>
      <c r="N461" s="604">
        <v>3022</v>
      </c>
      <c r="O461" s="604">
        <v>13.9</v>
      </c>
      <c r="P461" s="604" t="s">
        <v>47</v>
      </c>
      <c r="Q461" s="499"/>
      <c r="R461" s="502" t="str">
        <f t="shared" si="67"/>
        <v>2004birthsdhbCanterbury</v>
      </c>
      <c r="S461" s="604">
        <v>2004</v>
      </c>
      <c r="T461" s="604" t="s">
        <v>445</v>
      </c>
      <c r="U461" s="604" t="s">
        <v>448</v>
      </c>
      <c r="V461" s="604" t="s">
        <v>101</v>
      </c>
      <c r="W461" s="604">
        <v>6071</v>
      </c>
      <c r="Y461" s="535" t="str">
        <f t="shared" si="68"/>
        <v>2016ageeth20-24Pacific peoplesfetal</v>
      </c>
      <c r="Z461" s="604">
        <v>2016</v>
      </c>
      <c r="AA461" s="604" t="s">
        <v>453</v>
      </c>
      <c r="AB461" s="604" t="s">
        <v>449</v>
      </c>
      <c r="AC461" s="604" t="s">
        <v>130</v>
      </c>
      <c r="AD461" s="604" t="s">
        <v>320</v>
      </c>
      <c r="AE461" s="604">
        <v>8</v>
      </c>
      <c r="AF461" s="604">
        <v>1509</v>
      </c>
      <c r="AG461" s="604">
        <v>5.3</v>
      </c>
      <c r="AH461" s="604" t="s">
        <v>420</v>
      </c>
      <c r="AJ461" s="535" t="str">
        <f t="shared" si="69"/>
        <v>2016ageeth20-24Pacific peoples</v>
      </c>
      <c r="AK461" s="604">
        <v>2016</v>
      </c>
      <c r="AL461" s="604" t="s">
        <v>453</v>
      </c>
      <c r="AM461" s="604" t="s">
        <v>449</v>
      </c>
      <c r="AN461" s="604" t="s">
        <v>130</v>
      </c>
      <c r="AO461" s="604" t="s">
        <v>320</v>
      </c>
      <c r="AP461" s="604">
        <v>1509</v>
      </c>
      <c r="AR461" s="538" t="str">
        <f t="shared" si="70"/>
        <v>UnknownbwtfetalCanterbury</v>
      </c>
      <c r="AS461" s="604">
        <v>2016</v>
      </c>
      <c r="AT461" s="604" t="s">
        <v>63</v>
      </c>
      <c r="AU461" s="604" t="s">
        <v>447</v>
      </c>
      <c r="AV461" s="604" t="s">
        <v>101</v>
      </c>
      <c r="AW461" s="604">
        <v>1</v>
      </c>
      <c r="AX461" s="604">
        <v>3</v>
      </c>
      <c r="AY461" s="606" t="s">
        <v>119</v>
      </c>
      <c r="AZ461" s="604" t="s">
        <v>420</v>
      </c>
      <c r="BB461" s="536" t="str">
        <f t="shared" si="71"/>
        <v>42+gestbirthsWairarapa</v>
      </c>
      <c r="BC461" s="604">
        <v>2016</v>
      </c>
      <c r="BD461" s="604" t="s">
        <v>138</v>
      </c>
      <c r="BE461" s="604" t="s">
        <v>450</v>
      </c>
      <c r="BF461" s="604" t="s">
        <v>98</v>
      </c>
      <c r="BG461" s="604">
        <v>9</v>
      </c>
      <c r="BH461" s="604" t="s">
        <v>445</v>
      </c>
      <c r="BY461" s="553" t="str">
        <f t="shared" si="72"/>
        <v>2002Hawke's BaydhbSIDS</v>
      </c>
      <c r="BZ461" s="604">
        <v>2002</v>
      </c>
      <c r="CA461" s="604" t="s">
        <v>92</v>
      </c>
      <c r="CB461" s="604" t="s">
        <v>448</v>
      </c>
      <c r="CC461" s="604">
        <v>0</v>
      </c>
      <c r="CD461" s="604" t="s">
        <v>32</v>
      </c>
      <c r="CF461" s="559" t="str">
        <f t="shared" si="73"/>
        <v>5yearsMaoriTairawhitidhbSIDS</v>
      </c>
      <c r="CG461" s="604" t="s">
        <v>475</v>
      </c>
      <c r="CH461" s="604" t="s">
        <v>129</v>
      </c>
      <c r="CI461" s="604" t="s">
        <v>433</v>
      </c>
      <c r="CJ461" s="604" t="s">
        <v>448</v>
      </c>
      <c r="CK461" s="604">
        <v>2</v>
      </c>
      <c r="CL461" s="604" t="s">
        <v>32</v>
      </c>
    </row>
    <row r="462" spans="9:90">
      <c r="I462" s="578" t="str">
        <f t="shared" si="66"/>
        <v>1998bwt2500-4499Fetal</v>
      </c>
      <c r="J462" s="604">
        <v>1998</v>
      </c>
      <c r="K462" s="604" t="s">
        <v>447</v>
      </c>
      <c r="L462" s="604" t="s">
        <v>431</v>
      </c>
      <c r="M462" s="604">
        <v>73</v>
      </c>
      <c r="N462" s="604">
        <v>52785</v>
      </c>
      <c r="O462" s="604">
        <v>1.4</v>
      </c>
      <c r="P462" s="604" t="s">
        <v>47</v>
      </c>
      <c r="Q462" s="499"/>
      <c r="R462" s="502" t="str">
        <f t="shared" si="67"/>
        <v>2004birthsdhbSouth Canterbury</v>
      </c>
      <c r="S462" s="604">
        <v>2004</v>
      </c>
      <c r="T462" s="604" t="s">
        <v>445</v>
      </c>
      <c r="U462" s="604" t="s">
        <v>448</v>
      </c>
      <c r="V462" s="604" t="s">
        <v>102</v>
      </c>
      <c r="W462" s="604">
        <v>569</v>
      </c>
      <c r="Y462" s="535" t="str">
        <f t="shared" si="68"/>
        <v>2016ageeth25-29Pacific peoplesfetal</v>
      </c>
      <c r="Z462" s="604">
        <v>2016</v>
      </c>
      <c r="AA462" s="604" t="s">
        <v>453</v>
      </c>
      <c r="AB462" s="604" t="s">
        <v>449</v>
      </c>
      <c r="AC462" s="604" t="s">
        <v>131</v>
      </c>
      <c r="AD462" s="604" t="s">
        <v>320</v>
      </c>
      <c r="AE462" s="604">
        <v>13</v>
      </c>
      <c r="AF462" s="604">
        <v>1704</v>
      </c>
      <c r="AG462" s="604">
        <v>7.6</v>
      </c>
      <c r="AH462" s="604" t="s">
        <v>420</v>
      </c>
      <c r="AJ462" s="535" t="str">
        <f t="shared" si="69"/>
        <v>2016ageeth25-29Pacific peoples</v>
      </c>
      <c r="AK462" s="604">
        <v>2016</v>
      </c>
      <c r="AL462" s="604" t="s">
        <v>453</v>
      </c>
      <c r="AM462" s="604" t="s">
        <v>449</v>
      </c>
      <c r="AN462" s="604" t="s">
        <v>131</v>
      </c>
      <c r="AO462" s="604" t="s">
        <v>320</v>
      </c>
      <c r="AP462" s="604">
        <v>1704</v>
      </c>
      <c r="AR462" s="538" t="str">
        <f t="shared" si="70"/>
        <v>&lt;500bwtfetalSouth Canterbury</v>
      </c>
      <c r="AS462" s="604">
        <v>2016</v>
      </c>
      <c r="AT462" s="604" t="s">
        <v>427</v>
      </c>
      <c r="AU462" s="604" t="s">
        <v>447</v>
      </c>
      <c r="AV462" s="604" t="s">
        <v>102</v>
      </c>
      <c r="AW462" s="604">
        <v>2</v>
      </c>
      <c r="AX462" s="604">
        <v>2</v>
      </c>
      <c r="AY462" s="606">
        <v>1000</v>
      </c>
      <c r="AZ462" s="604" t="s">
        <v>420</v>
      </c>
      <c r="BB462" s="536" t="str">
        <f t="shared" si="71"/>
        <v>&lt;28gestbirthsNelson Marlborough</v>
      </c>
      <c r="BC462" s="604">
        <v>2016</v>
      </c>
      <c r="BD462" s="604" t="s">
        <v>375</v>
      </c>
      <c r="BE462" s="604" t="s">
        <v>450</v>
      </c>
      <c r="BF462" s="604" t="s">
        <v>99</v>
      </c>
      <c r="BG462" s="604">
        <v>6</v>
      </c>
      <c r="BH462" s="604" t="s">
        <v>445</v>
      </c>
      <c r="BY462" s="553" t="str">
        <f t="shared" si="72"/>
        <v>2002TaranakidhbSIDS</v>
      </c>
      <c r="BZ462" s="604">
        <v>2002</v>
      </c>
      <c r="CA462" s="604" t="s">
        <v>93</v>
      </c>
      <c r="CB462" s="604" t="s">
        <v>448</v>
      </c>
      <c r="CC462" s="604">
        <v>2</v>
      </c>
      <c r="CD462" s="604" t="s">
        <v>32</v>
      </c>
      <c r="CF462" s="559" t="str">
        <f t="shared" si="73"/>
        <v>5yearsAsianHawke's BaydhbSIDS</v>
      </c>
      <c r="CG462" s="604" t="s">
        <v>475</v>
      </c>
      <c r="CH462" s="604" t="s">
        <v>355</v>
      </c>
      <c r="CI462" s="604" t="s">
        <v>92</v>
      </c>
      <c r="CJ462" s="604" t="s">
        <v>448</v>
      </c>
      <c r="CK462" s="604">
        <v>0</v>
      </c>
      <c r="CL462" s="604" t="s">
        <v>32</v>
      </c>
    </row>
    <row r="463" spans="9:90">
      <c r="I463" s="578" t="str">
        <f t="shared" si="66"/>
        <v>1998bwt4500+Fetal</v>
      </c>
      <c r="J463" s="604">
        <v>1998</v>
      </c>
      <c r="K463" s="604" t="s">
        <v>447</v>
      </c>
      <c r="L463" s="604" t="s">
        <v>432</v>
      </c>
      <c r="M463" s="604">
        <v>2</v>
      </c>
      <c r="N463" s="604">
        <v>1353</v>
      </c>
      <c r="O463" s="604">
        <v>1.5</v>
      </c>
      <c r="P463" s="604" t="s">
        <v>47</v>
      </c>
      <c r="Q463" s="499"/>
      <c r="R463" s="502" t="str">
        <f t="shared" si="67"/>
        <v>2004birthsdhbSouthern</v>
      </c>
      <c r="S463" s="604">
        <v>2004</v>
      </c>
      <c r="T463" s="604" t="s">
        <v>445</v>
      </c>
      <c r="U463" s="604" t="s">
        <v>448</v>
      </c>
      <c r="V463" s="604" t="s">
        <v>103</v>
      </c>
      <c r="W463" s="604">
        <v>3458</v>
      </c>
      <c r="Y463" s="535" t="str">
        <f t="shared" si="68"/>
        <v>2016ageeth30-34Pacific peoplesfetal</v>
      </c>
      <c r="Z463" s="604">
        <v>2016</v>
      </c>
      <c r="AA463" s="604" t="s">
        <v>453</v>
      </c>
      <c r="AB463" s="604" t="s">
        <v>449</v>
      </c>
      <c r="AC463" s="604" t="s">
        <v>132</v>
      </c>
      <c r="AD463" s="604" t="s">
        <v>320</v>
      </c>
      <c r="AE463" s="604">
        <v>11</v>
      </c>
      <c r="AF463" s="604">
        <v>1354</v>
      </c>
      <c r="AG463" s="604">
        <v>8.1</v>
      </c>
      <c r="AH463" s="604" t="s">
        <v>420</v>
      </c>
      <c r="AJ463" s="535" t="str">
        <f t="shared" si="69"/>
        <v>2016ageeth30-34Pacific peoples</v>
      </c>
      <c r="AK463" s="604">
        <v>2016</v>
      </c>
      <c r="AL463" s="604" t="s">
        <v>453</v>
      </c>
      <c r="AM463" s="604" t="s">
        <v>449</v>
      </c>
      <c r="AN463" s="604" t="s">
        <v>132</v>
      </c>
      <c r="AO463" s="604" t="s">
        <v>320</v>
      </c>
      <c r="AP463" s="604">
        <v>1354</v>
      </c>
      <c r="AR463" s="538" t="str">
        <f t="shared" si="70"/>
        <v>1500-2499bwtfetalSouth Canterbury</v>
      </c>
      <c r="AS463" s="604">
        <v>2016</v>
      </c>
      <c r="AT463" s="604" t="s">
        <v>430</v>
      </c>
      <c r="AU463" s="604" t="s">
        <v>447</v>
      </c>
      <c r="AV463" s="604" t="s">
        <v>102</v>
      </c>
      <c r="AW463" s="604">
        <v>1</v>
      </c>
      <c r="AX463" s="604">
        <v>29</v>
      </c>
      <c r="AY463" s="606">
        <v>34.5</v>
      </c>
      <c r="AZ463" s="604" t="s">
        <v>420</v>
      </c>
      <c r="BB463" s="536" t="str">
        <f t="shared" si="71"/>
        <v>28-31gestbirthsNelson Marlborough</v>
      </c>
      <c r="BC463" s="604">
        <v>2016</v>
      </c>
      <c r="BD463" s="604" t="s">
        <v>395</v>
      </c>
      <c r="BE463" s="604" t="s">
        <v>450</v>
      </c>
      <c r="BF463" s="604" t="s">
        <v>99</v>
      </c>
      <c r="BG463" s="604">
        <v>10</v>
      </c>
      <c r="BH463" s="604" t="s">
        <v>445</v>
      </c>
      <c r="BY463" s="553" t="str">
        <f t="shared" si="72"/>
        <v>2002MidCentraldhbSIDS</v>
      </c>
      <c r="BZ463" s="604">
        <v>2002</v>
      </c>
      <c r="CA463" s="604" t="s">
        <v>94</v>
      </c>
      <c r="CB463" s="604" t="s">
        <v>448</v>
      </c>
      <c r="CC463" s="604">
        <v>2</v>
      </c>
      <c r="CD463" s="604" t="s">
        <v>32</v>
      </c>
      <c r="CF463" s="559" t="str">
        <f t="shared" si="73"/>
        <v>5yearsEuropean or OtherHawke's BaydhbSIDS</v>
      </c>
      <c r="CG463" s="604" t="s">
        <v>475</v>
      </c>
      <c r="CH463" s="604" t="s">
        <v>356</v>
      </c>
      <c r="CI463" s="604" t="s">
        <v>92</v>
      </c>
      <c r="CJ463" s="604" t="s">
        <v>448</v>
      </c>
      <c r="CK463" s="604">
        <v>1</v>
      </c>
      <c r="CL463" s="604" t="s">
        <v>32</v>
      </c>
    </row>
    <row r="464" spans="9:90">
      <c r="I464" s="578" t="str">
        <f t="shared" si="66"/>
        <v>1998bwtUnknownFetal</v>
      </c>
      <c r="J464" s="604">
        <v>1998</v>
      </c>
      <c r="K464" s="604" t="s">
        <v>447</v>
      </c>
      <c r="L464" s="604" t="s">
        <v>63</v>
      </c>
      <c r="M464" s="604">
        <v>18</v>
      </c>
      <c r="N464" s="604">
        <v>92</v>
      </c>
      <c r="O464" s="604" t="s">
        <v>119</v>
      </c>
      <c r="P464" s="604" t="s">
        <v>47</v>
      </c>
      <c r="Q464" s="499"/>
      <c r="R464" s="502" t="str">
        <f t="shared" si="67"/>
        <v>2004birthsdhbUnknown</v>
      </c>
      <c r="S464" s="604">
        <v>2004</v>
      </c>
      <c r="T464" s="604" t="s">
        <v>445</v>
      </c>
      <c r="U464" s="604" t="s">
        <v>448</v>
      </c>
      <c r="V464" s="604" t="s">
        <v>63</v>
      </c>
      <c r="W464" s="604">
        <v>356</v>
      </c>
      <c r="Y464" s="535" t="str">
        <f t="shared" si="68"/>
        <v>2016ageeth35-39Pacific peoplesfetal</v>
      </c>
      <c r="Z464" s="604">
        <v>2016</v>
      </c>
      <c r="AA464" s="604" t="s">
        <v>453</v>
      </c>
      <c r="AB464" s="604" t="s">
        <v>449</v>
      </c>
      <c r="AC464" s="604" t="s">
        <v>133</v>
      </c>
      <c r="AD464" s="604" t="s">
        <v>320</v>
      </c>
      <c r="AE464" s="604">
        <v>6</v>
      </c>
      <c r="AF464" s="604">
        <v>795</v>
      </c>
      <c r="AG464" s="604">
        <v>7.5</v>
      </c>
      <c r="AH464" s="604" t="s">
        <v>420</v>
      </c>
      <c r="AJ464" s="535" t="str">
        <f t="shared" si="69"/>
        <v>2016ageeth35-39Pacific peoples</v>
      </c>
      <c r="AK464" s="604">
        <v>2016</v>
      </c>
      <c r="AL464" s="604" t="s">
        <v>453</v>
      </c>
      <c r="AM464" s="604" t="s">
        <v>449</v>
      </c>
      <c r="AN464" s="604" t="s">
        <v>133</v>
      </c>
      <c r="AO464" s="604" t="s">
        <v>320</v>
      </c>
      <c r="AP464" s="604">
        <v>795</v>
      </c>
      <c r="AR464" s="538" t="str">
        <f t="shared" si="70"/>
        <v>&lt;500bwtfetalSouthern</v>
      </c>
      <c r="AS464" s="604">
        <v>2016</v>
      </c>
      <c r="AT464" s="604" t="s">
        <v>427</v>
      </c>
      <c r="AU464" s="604" t="s">
        <v>447</v>
      </c>
      <c r="AV464" s="604" t="s">
        <v>103</v>
      </c>
      <c r="AW464" s="604">
        <v>11</v>
      </c>
      <c r="AX464" s="604">
        <v>14</v>
      </c>
      <c r="AY464" s="606">
        <v>785.7</v>
      </c>
      <c r="AZ464" s="604" t="s">
        <v>420</v>
      </c>
      <c r="BB464" s="536" t="str">
        <f t="shared" si="71"/>
        <v>32-36gestbirthsNelson Marlborough</v>
      </c>
      <c r="BC464" s="604">
        <v>2016</v>
      </c>
      <c r="BD464" s="604" t="s">
        <v>136</v>
      </c>
      <c r="BE464" s="604" t="s">
        <v>450</v>
      </c>
      <c r="BF464" s="604" t="s">
        <v>99</v>
      </c>
      <c r="BG464" s="604">
        <v>79</v>
      </c>
      <c r="BH464" s="604" t="s">
        <v>445</v>
      </c>
      <c r="BY464" s="553" t="str">
        <f t="shared" si="72"/>
        <v>2002WhanganuidhbSIDS</v>
      </c>
      <c r="BZ464" s="604">
        <v>2002</v>
      </c>
      <c r="CA464" s="604" t="s">
        <v>95</v>
      </c>
      <c r="CB464" s="604" t="s">
        <v>448</v>
      </c>
      <c r="CC464" s="604">
        <v>0</v>
      </c>
      <c r="CD464" s="604" t="s">
        <v>32</v>
      </c>
      <c r="CF464" s="559" t="str">
        <f t="shared" si="73"/>
        <v>5yearsMaoriHawke's BaydhbSIDS</v>
      </c>
      <c r="CG464" s="604" t="s">
        <v>475</v>
      </c>
      <c r="CH464" s="604" t="s">
        <v>129</v>
      </c>
      <c r="CI464" s="604" t="s">
        <v>92</v>
      </c>
      <c r="CJ464" s="604" t="s">
        <v>448</v>
      </c>
      <c r="CK464" s="604">
        <v>4</v>
      </c>
      <c r="CL464" s="604" t="s">
        <v>32</v>
      </c>
    </row>
    <row r="465" spans="9:90">
      <c r="I465" s="578" t="str">
        <f t="shared" si="66"/>
        <v>1999bwt&lt;500Fetal</v>
      </c>
      <c r="J465" s="604">
        <v>1999</v>
      </c>
      <c r="K465" s="604" t="s">
        <v>447</v>
      </c>
      <c r="L465" s="604" t="s">
        <v>427</v>
      </c>
      <c r="M465" s="604">
        <v>147</v>
      </c>
      <c r="N465" s="604">
        <v>192</v>
      </c>
      <c r="O465" s="604">
        <v>765.6</v>
      </c>
      <c r="P465" s="604" t="s">
        <v>47</v>
      </c>
      <c r="Q465" s="499"/>
      <c r="R465" s="502" t="str">
        <f t="shared" si="67"/>
        <v>2005birthsdhbNorthland</v>
      </c>
      <c r="S465" s="604">
        <v>2005</v>
      </c>
      <c r="T465" s="604" t="s">
        <v>445</v>
      </c>
      <c r="U465" s="604" t="s">
        <v>448</v>
      </c>
      <c r="V465" s="604" t="s">
        <v>85</v>
      </c>
      <c r="W465" s="604">
        <v>2137</v>
      </c>
      <c r="Y465" s="535" t="str">
        <f t="shared" si="68"/>
        <v>2016ageeth40+Pacific peoplesfetal</v>
      </c>
      <c r="Z465" s="604">
        <v>2016</v>
      </c>
      <c r="AA465" s="604" t="s">
        <v>453</v>
      </c>
      <c r="AB465" s="604" t="s">
        <v>449</v>
      </c>
      <c r="AC465" s="604" t="s">
        <v>134</v>
      </c>
      <c r="AD465" s="604" t="s">
        <v>320</v>
      </c>
      <c r="AE465" s="604">
        <v>2</v>
      </c>
      <c r="AF465" s="604">
        <v>234</v>
      </c>
      <c r="AG465" s="604">
        <v>8.5</v>
      </c>
      <c r="AH465" s="604" t="s">
        <v>420</v>
      </c>
      <c r="AJ465" s="535" t="str">
        <f t="shared" si="69"/>
        <v>2016ageeth40+Pacific peoples</v>
      </c>
      <c r="AK465" s="604">
        <v>2016</v>
      </c>
      <c r="AL465" s="604" t="s">
        <v>453</v>
      </c>
      <c r="AM465" s="604" t="s">
        <v>449</v>
      </c>
      <c r="AN465" s="604" t="s">
        <v>134</v>
      </c>
      <c r="AO465" s="604" t="s">
        <v>320</v>
      </c>
      <c r="AP465" s="604">
        <v>234</v>
      </c>
      <c r="AR465" s="538" t="str">
        <f t="shared" si="70"/>
        <v>500-999bwtfetalSouthern</v>
      </c>
      <c r="AS465" s="604">
        <v>2016</v>
      </c>
      <c r="AT465" s="604" t="s">
        <v>428</v>
      </c>
      <c r="AU465" s="604" t="s">
        <v>447</v>
      </c>
      <c r="AV465" s="604" t="s">
        <v>103</v>
      </c>
      <c r="AW465" s="604">
        <v>8</v>
      </c>
      <c r="AX465" s="604">
        <v>24</v>
      </c>
      <c r="AY465" s="606">
        <v>333.3</v>
      </c>
      <c r="AZ465" s="604" t="s">
        <v>420</v>
      </c>
      <c r="BB465" s="536" t="str">
        <f t="shared" si="71"/>
        <v>37-41gestbirthsNelson Marlborough</v>
      </c>
      <c r="BC465" s="604">
        <v>2016</v>
      </c>
      <c r="BD465" s="604" t="s">
        <v>137</v>
      </c>
      <c r="BE465" s="604" t="s">
        <v>450</v>
      </c>
      <c r="BF465" s="604" t="s">
        <v>99</v>
      </c>
      <c r="BG465" s="604">
        <v>1425</v>
      </c>
      <c r="BH465" s="604" t="s">
        <v>445</v>
      </c>
      <c r="BY465" s="553" t="str">
        <f t="shared" si="72"/>
        <v>2002Capital &amp; CoastdhbSIDS</v>
      </c>
      <c r="BZ465" s="604">
        <v>2002</v>
      </c>
      <c r="CA465" s="604" t="s">
        <v>96</v>
      </c>
      <c r="CB465" s="604" t="s">
        <v>448</v>
      </c>
      <c r="CC465" s="604">
        <v>1</v>
      </c>
      <c r="CD465" s="604" t="s">
        <v>32</v>
      </c>
      <c r="CF465" s="559" t="str">
        <f t="shared" si="73"/>
        <v>5yearsPacific peoplesHawke's BaydhbSIDS</v>
      </c>
      <c r="CG465" s="604" t="s">
        <v>475</v>
      </c>
      <c r="CH465" s="604" t="s">
        <v>320</v>
      </c>
      <c r="CI465" s="604" t="s">
        <v>92</v>
      </c>
      <c r="CJ465" s="604" t="s">
        <v>448</v>
      </c>
      <c r="CK465" s="604">
        <v>0</v>
      </c>
      <c r="CL465" s="604" t="s">
        <v>32</v>
      </c>
    </row>
    <row r="466" spans="9:90">
      <c r="I466" s="578" t="str">
        <f t="shared" si="66"/>
        <v>1999bwt500-999Fetal</v>
      </c>
      <c r="J466" s="604">
        <v>1999</v>
      </c>
      <c r="K466" s="604" t="s">
        <v>447</v>
      </c>
      <c r="L466" s="604" t="s">
        <v>428</v>
      </c>
      <c r="M466" s="604">
        <v>87</v>
      </c>
      <c r="N466" s="604">
        <v>318</v>
      </c>
      <c r="O466" s="604">
        <v>273.60000000000002</v>
      </c>
      <c r="P466" s="604" t="s">
        <v>47</v>
      </c>
      <c r="Q466" s="499"/>
      <c r="R466" s="502" t="str">
        <f t="shared" si="67"/>
        <v>2005birthsdhbWaitemata</v>
      </c>
      <c r="S466" s="604">
        <v>2005</v>
      </c>
      <c r="T466" s="604" t="s">
        <v>445</v>
      </c>
      <c r="U466" s="604" t="s">
        <v>448</v>
      </c>
      <c r="V466" s="604" t="s">
        <v>86</v>
      </c>
      <c r="W466" s="604">
        <v>6944</v>
      </c>
      <c r="Y466" s="535" t="str">
        <f t="shared" si="68"/>
        <v>2016ageeth&lt;20Asianfetal</v>
      </c>
      <c r="Z466" s="604">
        <v>2016</v>
      </c>
      <c r="AA466" s="604" t="s">
        <v>453</v>
      </c>
      <c r="AB466" s="604" t="s">
        <v>449</v>
      </c>
      <c r="AC466" s="604" t="s">
        <v>339</v>
      </c>
      <c r="AD466" s="604" t="s">
        <v>355</v>
      </c>
      <c r="AE466" s="604">
        <v>1</v>
      </c>
      <c r="AF466" s="604">
        <v>45</v>
      </c>
      <c r="AG466" s="604">
        <v>21.7</v>
      </c>
      <c r="AH466" s="604" t="s">
        <v>420</v>
      </c>
      <c r="AJ466" s="535" t="str">
        <f t="shared" si="69"/>
        <v>2016ageeth&lt;20Asian</v>
      </c>
      <c r="AK466" s="604">
        <v>2016</v>
      </c>
      <c r="AL466" s="604" t="s">
        <v>453</v>
      </c>
      <c r="AM466" s="604" t="s">
        <v>449</v>
      </c>
      <c r="AN466" s="604" t="s">
        <v>339</v>
      </c>
      <c r="AO466" s="604" t="s">
        <v>355</v>
      </c>
      <c r="AP466" s="604">
        <v>45</v>
      </c>
      <c r="AR466" s="538" t="str">
        <f t="shared" si="70"/>
        <v>1500-2499bwtfetalSouthern</v>
      </c>
      <c r="AS466" s="604">
        <v>2016</v>
      </c>
      <c r="AT466" s="604" t="s">
        <v>430</v>
      </c>
      <c r="AU466" s="604" t="s">
        <v>447</v>
      </c>
      <c r="AV466" s="604" t="s">
        <v>103</v>
      </c>
      <c r="AW466" s="604">
        <v>1</v>
      </c>
      <c r="AX466" s="604">
        <v>168</v>
      </c>
      <c r="AY466" s="606">
        <v>6</v>
      </c>
      <c r="AZ466" s="604" t="s">
        <v>420</v>
      </c>
      <c r="BB466" s="536" t="str">
        <f t="shared" si="71"/>
        <v>42+gestbirthsNelson Marlborough</v>
      </c>
      <c r="BC466" s="604">
        <v>2016</v>
      </c>
      <c r="BD466" s="604" t="s">
        <v>138</v>
      </c>
      <c r="BE466" s="604" t="s">
        <v>450</v>
      </c>
      <c r="BF466" s="604" t="s">
        <v>99</v>
      </c>
      <c r="BG466" s="604">
        <v>19</v>
      </c>
      <c r="BH466" s="604" t="s">
        <v>445</v>
      </c>
      <c r="BY466" s="553" t="str">
        <f t="shared" si="72"/>
        <v>2002Hutt ValleydhbSIDS</v>
      </c>
      <c r="BZ466" s="604">
        <v>2002</v>
      </c>
      <c r="CA466" s="604" t="s">
        <v>97</v>
      </c>
      <c r="CB466" s="604" t="s">
        <v>448</v>
      </c>
      <c r="CC466" s="604">
        <v>4</v>
      </c>
      <c r="CD466" s="604" t="s">
        <v>32</v>
      </c>
      <c r="CF466" s="559" t="str">
        <f t="shared" si="73"/>
        <v>5yearsAsianTaranakidhbSIDS</v>
      </c>
      <c r="CG466" s="604" t="s">
        <v>475</v>
      </c>
      <c r="CH466" s="604" t="s">
        <v>355</v>
      </c>
      <c r="CI466" s="604" t="s">
        <v>93</v>
      </c>
      <c r="CJ466" s="604" t="s">
        <v>448</v>
      </c>
      <c r="CK466" s="604">
        <v>0</v>
      </c>
      <c r="CL466" s="604" t="s">
        <v>32</v>
      </c>
    </row>
    <row r="467" spans="9:90">
      <c r="I467" s="578" t="str">
        <f t="shared" si="66"/>
        <v>1999bwt1000-1499Fetal</v>
      </c>
      <c r="J467" s="604">
        <v>1999</v>
      </c>
      <c r="K467" s="604" t="s">
        <v>447</v>
      </c>
      <c r="L467" s="604" t="s">
        <v>429</v>
      </c>
      <c r="M467" s="604">
        <v>26</v>
      </c>
      <c r="N467" s="604">
        <v>381</v>
      </c>
      <c r="O467" s="604">
        <v>68.2</v>
      </c>
      <c r="P467" s="604" t="s">
        <v>47</v>
      </c>
      <c r="Q467" s="499"/>
      <c r="R467" s="502" t="str">
        <f t="shared" si="67"/>
        <v>2005birthsdhbAuckland</v>
      </c>
      <c r="S467" s="604">
        <v>2005</v>
      </c>
      <c r="T467" s="604" t="s">
        <v>445</v>
      </c>
      <c r="U467" s="604" t="s">
        <v>448</v>
      </c>
      <c r="V467" s="604" t="s">
        <v>87</v>
      </c>
      <c r="W467" s="604">
        <v>6247</v>
      </c>
      <c r="Y467" s="535" t="str">
        <f t="shared" si="68"/>
        <v>2016ageeth20-24Asianfetal</v>
      </c>
      <c r="Z467" s="604">
        <v>2016</v>
      </c>
      <c r="AA467" s="604" t="s">
        <v>453</v>
      </c>
      <c r="AB467" s="604" t="s">
        <v>449</v>
      </c>
      <c r="AC467" s="604" t="s">
        <v>130</v>
      </c>
      <c r="AD467" s="604" t="s">
        <v>355</v>
      </c>
      <c r="AE467" s="604">
        <v>7</v>
      </c>
      <c r="AF467" s="604">
        <v>790</v>
      </c>
      <c r="AG467" s="604">
        <v>8.8000000000000007</v>
      </c>
      <c r="AH467" s="604" t="s">
        <v>420</v>
      </c>
      <c r="AJ467" s="535" t="str">
        <f t="shared" si="69"/>
        <v>2016ageeth20-24Asian</v>
      </c>
      <c r="AK467" s="604">
        <v>2016</v>
      </c>
      <c r="AL467" s="604" t="s">
        <v>453</v>
      </c>
      <c r="AM467" s="604" t="s">
        <v>449</v>
      </c>
      <c r="AN467" s="604" t="s">
        <v>130</v>
      </c>
      <c r="AO467" s="604" t="s">
        <v>355</v>
      </c>
      <c r="AP467" s="604">
        <v>790</v>
      </c>
      <c r="AR467" s="538" t="str">
        <f t="shared" si="70"/>
        <v>2500-4499bwtfetalSouthern</v>
      </c>
      <c r="AS467" s="604">
        <v>2016</v>
      </c>
      <c r="AT467" s="604" t="s">
        <v>431</v>
      </c>
      <c r="AU467" s="604" t="s">
        <v>447</v>
      </c>
      <c r="AV467" s="604" t="s">
        <v>103</v>
      </c>
      <c r="AW467" s="604">
        <v>5</v>
      </c>
      <c r="AX467" s="604">
        <v>3116</v>
      </c>
      <c r="AY467" s="606">
        <v>1.6</v>
      </c>
      <c r="AZ467" s="604" t="s">
        <v>420</v>
      </c>
      <c r="BB467" s="536" t="str">
        <f t="shared" si="71"/>
        <v>&lt;28gestbirthsWest Coast</v>
      </c>
      <c r="BC467" s="604">
        <v>2016</v>
      </c>
      <c r="BD467" s="604" t="s">
        <v>375</v>
      </c>
      <c r="BE467" s="604" t="s">
        <v>450</v>
      </c>
      <c r="BF467" s="604" t="s">
        <v>100</v>
      </c>
      <c r="BG467" s="604">
        <v>1</v>
      </c>
      <c r="BH467" s="604" t="s">
        <v>445</v>
      </c>
      <c r="BY467" s="553" t="str">
        <f t="shared" si="72"/>
        <v>2002WairarapadhbSIDS</v>
      </c>
      <c r="BZ467" s="604">
        <v>2002</v>
      </c>
      <c r="CA467" s="604" t="s">
        <v>98</v>
      </c>
      <c r="CB467" s="604" t="s">
        <v>448</v>
      </c>
      <c r="CC467" s="604">
        <v>1</v>
      </c>
      <c r="CD467" s="604" t="s">
        <v>32</v>
      </c>
      <c r="CF467" s="559" t="str">
        <f t="shared" si="73"/>
        <v>5yearsEuropean or OtherTaranakidhbSIDS</v>
      </c>
      <c r="CG467" s="604" t="s">
        <v>475</v>
      </c>
      <c r="CH467" s="604" t="s">
        <v>356</v>
      </c>
      <c r="CI467" s="604" t="s">
        <v>93</v>
      </c>
      <c r="CJ467" s="604" t="s">
        <v>448</v>
      </c>
      <c r="CK467" s="604">
        <v>2</v>
      </c>
      <c r="CL467" s="604" t="s">
        <v>32</v>
      </c>
    </row>
    <row r="468" spans="9:90">
      <c r="I468" s="578" t="str">
        <f t="shared" si="66"/>
        <v>1999bwt1500-2499Fetal</v>
      </c>
      <c r="J468" s="604">
        <v>1999</v>
      </c>
      <c r="K468" s="604" t="s">
        <v>447</v>
      </c>
      <c r="L468" s="604" t="s">
        <v>430</v>
      </c>
      <c r="M468" s="604">
        <v>57</v>
      </c>
      <c r="N468" s="604">
        <v>3062</v>
      </c>
      <c r="O468" s="604">
        <v>18.600000000000001</v>
      </c>
      <c r="P468" s="604" t="s">
        <v>47</v>
      </c>
      <c r="Q468" s="499"/>
      <c r="R468" s="502" t="str">
        <f t="shared" si="67"/>
        <v>2005birthsdhbCounties Manukau</v>
      </c>
      <c r="S468" s="604">
        <v>2005</v>
      </c>
      <c r="T468" s="604" t="s">
        <v>445</v>
      </c>
      <c r="U468" s="604" t="s">
        <v>448</v>
      </c>
      <c r="V468" s="604" t="s">
        <v>88</v>
      </c>
      <c r="W468" s="604">
        <v>8070</v>
      </c>
      <c r="Y468" s="535" t="str">
        <f t="shared" si="68"/>
        <v>2016ageeth25-29Asianfetal</v>
      </c>
      <c r="Z468" s="604">
        <v>2016</v>
      </c>
      <c r="AA468" s="604" t="s">
        <v>453</v>
      </c>
      <c r="AB468" s="604" t="s">
        <v>449</v>
      </c>
      <c r="AC468" s="604" t="s">
        <v>131</v>
      </c>
      <c r="AD468" s="604" t="s">
        <v>355</v>
      </c>
      <c r="AE468" s="604">
        <v>18</v>
      </c>
      <c r="AF468" s="604">
        <v>3248</v>
      </c>
      <c r="AG468" s="604">
        <v>5.5</v>
      </c>
      <c r="AH468" s="604" t="s">
        <v>420</v>
      </c>
      <c r="AJ468" s="535" t="str">
        <f t="shared" si="69"/>
        <v>2016ageeth25-29Asian</v>
      </c>
      <c r="AK468" s="604">
        <v>2016</v>
      </c>
      <c r="AL468" s="604" t="s">
        <v>453</v>
      </c>
      <c r="AM468" s="604" t="s">
        <v>449</v>
      </c>
      <c r="AN468" s="604" t="s">
        <v>131</v>
      </c>
      <c r="AO468" s="604" t="s">
        <v>355</v>
      </c>
      <c r="AP468" s="604">
        <v>3248</v>
      </c>
      <c r="AR468" s="538" t="str">
        <f t="shared" si="70"/>
        <v>4500+bwtfetalSouthern</v>
      </c>
      <c r="AS468" s="604">
        <v>2016</v>
      </c>
      <c r="AT468" s="604" t="s">
        <v>432</v>
      </c>
      <c r="AU468" s="604" t="s">
        <v>447</v>
      </c>
      <c r="AV468" s="604" t="s">
        <v>103</v>
      </c>
      <c r="AW468" s="604">
        <v>1</v>
      </c>
      <c r="AX468" s="604">
        <v>93</v>
      </c>
      <c r="AY468" s="606">
        <v>10.8</v>
      </c>
      <c r="AZ468" s="604" t="s">
        <v>420</v>
      </c>
      <c r="BB468" s="536" t="str">
        <f t="shared" si="71"/>
        <v>28-31gestbirthsWest Coast</v>
      </c>
      <c r="BC468" s="604">
        <v>2016</v>
      </c>
      <c r="BD468" s="604" t="s">
        <v>395</v>
      </c>
      <c r="BE468" s="604" t="s">
        <v>450</v>
      </c>
      <c r="BF468" s="604" t="s">
        <v>100</v>
      </c>
      <c r="BG468" s="604">
        <v>2</v>
      </c>
      <c r="BH468" s="604" t="s">
        <v>445</v>
      </c>
      <c r="BY468" s="553" t="str">
        <f t="shared" si="72"/>
        <v>2002Nelson MarlboroughdhbSIDS</v>
      </c>
      <c r="BZ468" s="604">
        <v>2002</v>
      </c>
      <c r="CA468" s="604" t="s">
        <v>99</v>
      </c>
      <c r="CB468" s="604" t="s">
        <v>448</v>
      </c>
      <c r="CC468" s="604">
        <v>1</v>
      </c>
      <c r="CD468" s="604" t="s">
        <v>32</v>
      </c>
      <c r="CF468" s="559" t="str">
        <f t="shared" si="73"/>
        <v>5yearsMaoriTaranakidhbSIDS</v>
      </c>
      <c r="CG468" s="604" t="s">
        <v>475</v>
      </c>
      <c r="CH468" s="604" t="s">
        <v>129</v>
      </c>
      <c r="CI468" s="604" t="s">
        <v>93</v>
      </c>
      <c r="CJ468" s="604" t="s">
        <v>448</v>
      </c>
      <c r="CK468" s="604">
        <v>3</v>
      </c>
      <c r="CL468" s="604" t="s">
        <v>32</v>
      </c>
    </row>
    <row r="469" spans="9:90">
      <c r="I469" s="578" t="str">
        <f t="shared" si="66"/>
        <v>1999bwt2500-4499Fetal</v>
      </c>
      <c r="J469" s="604">
        <v>1999</v>
      </c>
      <c r="K469" s="604" t="s">
        <v>447</v>
      </c>
      <c r="L469" s="604" t="s">
        <v>431</v>
      </c>
      <c r="M469" s="604">
        <v>85</v>
      </c>
      <c r="N469" s="604">
        <v>52319</v>
      </c>
      <c r="O469" s="604">
        <v>1.6</v>
      </c>
      <c r="P469" s="604" t="s">
        <v>47</v>
      </c>
      <c r="Q469" s="499"/>
      <c r="R469" s="502" t="str">
        <f t="shared" si="67"/>
        <v>2005birthsdhbWaikato</v>
      </c>
      <c r="S469" s="604">
        <v>2005</v>
      </c>
      <c r="T469" s="604" t="s">
        <v>445</v>
      </c>
      <c r="U469" s="604" t="s">
        <v>448</v>
      </c>
      <c r="V469" s="604" t="s">
        <v>89</v>
      </c>
      <c r="W469" s="604">
        <v>5110</v>
      </c>
      <c r="Y469" s="535" t="str">
        <f t="shared" si="68"/>
        <v>2016ageeth30-34Asianfetal</v>
      </c>
      <c r="Z469" s="604">
        <v>2016</v>
      </c>
      <c r="AA469" s="604" t="s">
        <v>453</v>
      </c>
      <c r="AB469" s="604" t="s">
        <v>449</v>
      </c>
      <c r="AC469" s="604" t="s">
        <v>132</v>
      </c>
      <c r="AD469" s="604" t="s">
        <v>355</v>
      </c>
      <c r="AE469" s="604">
        <v>29</v>
      </c>
      <c r="AF469" s="604">
        <v>4523</v>
      </c>
      <c r="AG469" s="604">
        <v>6.4</v>
      </c>
      <c r="AH469" s="604" t="s">
        <v>420</v>
      </c>
      <c r="AJ469" s="535" t="str">
        <f t="shared" si="69"/>
        <v>2016ageeth30-34Asian</v>
      </c>
      <c r="AK469" s="604">
        <v>2016</v>
      </c>
      <c r="AL469" s="604" t="s">
        <v>453</v>
      </c>
      <c r="AM469" s="604" t="s">
        <v>449</v>
      </c>
      <c r="AN469" s="604" t="s">
        <v>132</v>
      </c>
      <c r="AO469" s="604" t="s">
        <v>355</v>
      </c>
      <c r="AP469" s="604">
        <v>4523</v>
      </c>
      <c r="AR469" s="538" t="str">
        <f t="shared" si="70"/>
        <v>UnknownbwtfetalSouthern</v>
      </c>
      <c r="AS469" s="604">
        <v>2016</v>
      </c>
      <c r="AT469" s="604" t="s">
        <v>63</v>
      </c>
      <c r="AU469" s="604" t="s">
        <v>447</v>
      </c>
      <c r="AV469" s="604" t="s">
        <v>103</v>
      </c>
      <c r="AW469" s="604">
        <v>2</v>
      </c>
      <c r="AX469" s="604">
        <v>2</v>
      </c>
      <c r="AY469" s="606" t="s">
        <v>119</v>
      </c>
      <c r="AZ469" s="604" t="s">
        <v>420</v>
      </c>
      <c r="BB469" s="536" t="str">
        <f t="shared" si="71"/>
        <v>32-36gestbirthsWest Coast</v>
      </c>
      <c r="BC469" s="604">
        <v>2016</v>
      </c>
      <c r="BD469" s="604" t="s">
        <v>136</v>
      </c>
      <c r="BE469" s="604" t="s">
        <v>450</v>
      </c>
      <c r="BF469" s="604" t="s">
        <v>100</v>
      </c>
      <c r="BG469" s="604">
        <v>12</v>
      </c>
      <c r="BH469" s="604" t="s">
        <v>445</v>
      </c>
      <c r="BY469" s="553" t="str">
        <f t="shared" si="72"/>
        <v>2002West CoastdhbSIDS</v>
      </c>
      <c r="BZ469" s="604">
        <v>2002</v>
      </c>
      <c r="CA469" s="604" t="s">
        <v>100</v>
      </c>
      <c r="CB469" s="604" t="s">
        <v>448</v>
      </c>
      <c r="CC469" s="604">
        <v>0</v>
      </c>
      <c r="CD469" s="604" t="s">
        <v>32</v>
      </c>
      <c r="CF469" s="559" t="str">
        <f t="shared" si="73"/>
        <v>5yearsPacific peoplesTaranakidhbSIDS</v>
      </c>
      <c r="CG469" s="604" t="s">
        <v>475</v>
      </c>
      <c r="CH469" s="604" t="s">
        <v>320</v>
      </c>
      <c r="CI469" s="604" t="s">
        <v>93</v>
      </c>
      <c r="CJ469" s="604" t="s">
        <v>448</v>
      </c>
      <c r="CK469" s="604">
        <v>0</v>
      </c>
      <c r="CL469" s="604" t="s">
        <v>32</v>
      </c>
    </row>
    <row r="470" spans="9:90">
      <c r="I470" s="578" t="str">
        <f t="shared" si="66"/>
        <v>1999bwt4500+Fetal</v>
      </c>
      <c r="J470" s="604">
        <v>1999</v>
      </c>
      <c r="K470" s="604" t="s">
        <v>447</v>
      </c>
      <c r="L470" s="604" t="s">
        <v>432</v>
      </c>
      <c r="M470" s="604">
        <v>2</v>
      </c>
      <c r="N470" s="604">
        <v>1507</v>
      </c>
      <c r="O470" s="604">
        <v>1.3</v>
      </c>
      <c r="P470" s="604" t="s">
        <v>47</v>
      </c>
      <c r="Q470" s="499"/>
      <c r="R470" s="502" t="str">
        <f t="shared" si="67"/>
        <v>2005birthsdhbLakes</v>
      </c>
      <c r="S470" s="604">
        <v>2005</v>
      </c>
      <c r="T470" s="604" t="s">
        <v>445</v>
      </c>
      <c r="U470" s="604" t="s">
        <v>448</v>
      </c>
      <c r="V470" s="604" t="s">
        <v>90</v>
      </c>
      <c r="W470" s="604">
        <v>1577</v>
      </c>
      <c r="Y470" s="535" t="str">
        <f t="shared" si="68"/>
        <v>2016ageeth35-39Asianfetal</v>
      </c>
      <c r="Z470" s="604">
        <v>2016</v>
      </c>
      <c r="AA470" s="604" t="s">
        <v>453</v>
      </c>
      <c r="AB470" s="604" t="s">
        <v>449</v>
      </c>
      <c r="AC470" s="604" t="s">
        <v>133</v>
      </c>
      <c r="AD470" s="604" t="s">
        <v>355</v>
      </c>
      <c r="AE470" s="604">
        <v>16</v>
      </c>
      <c r="AF470" s="604">
        <v>1938</v>
      </c>
      <c r="AG470" s="604">
        <v>8.1999999999999993</v>
      </c>
      <c r="AH470" s="604" t="s">
        <v>420</v>
      </c>
      <c r="AJ470" s="535" t="str">
        <f t="shared" si="69"/>
        <v>2016ageeth35-39Asian</v>
      </c>
      <c r="AK470" s="604">
        <v>2016</v>
      </c>
      <c r="AL470" s="604" t="s">
        <v>453</v>
      </c>
      <c r="AM470" s="604" t="s">
        <v>449</v>
      </c>
      <c r="AN470" s="604" t="s">
        <v>133</v>
      </c>
      <c r="AO470" s="604" t="s">
        <v>355</v>
      </c>
      <c r="AP470" s="604">
        <v>1938</v>
      </c>
      <c r="AR470" s="538" t="str">
        <f t="shared" si="70"/>
        <v>&lt;500bwtfetalUnknown</v>
      </c>
      <c r="AS470" s="604">
        <v>2016</v>
      </c>
      <c r="AT470" s="604" t="s">
        <v>427</v>
      </c>
      <c r="AU470" s="604" t="s">
        <v>447</v>
      </c>
      <c r="AV470" s="604" t="s">
        <v>63</v>
      </c>
      <c r="AW470" s="604">
        <v>1</v>
      </c>
      <c r="AX470" s="604">
        <v>1</v>
      </c>
      <c r="AY470" s="606" t="s">
        <v>119</v>
      </c>
      <c r="AZ470" s="604" t="s">
        <v>420</v>
      </c>
      <c r="BB470" s="536" t="str">
        <f t="shared" si="71"/>
        <v>37-41gestbirthsWest Coast</v>
      </c>
      <c r="BC470" s="604">
        <v>2016</v>
      </c>
      <c r="BD470" s="604" t="s">
        <v>137</v>
      </c>
      <c r="BE470" s="604" t="s">
        <v>450</v>
      </c>
      <c r="BF470" s="604" t="s">
        <v>100</v>
      </c>
      <c r="BG470" s="604">
        <v>306</v>
      </c>
      <c r="BH470" s="604" t="s">
        <v>445</v>
      </c>
      <c r="BY470" s="553" t="str">
        <f t="shared" si="72"/>
        <v>2002CanterburydhbSIDS</v>
      </c>
      <c r="BZ470" s="604">
        <v>2002</v>
      </c>
      <c r="CA470" s="604" t="s">
        <v>101</v>
      </c>
      <c r="CB470" s="604" t="s">
        <v>448</v>
      </c>
      <c r="CC470" s="604">
        <v>3</v>
      </c>
      <c r="CD470" s="604" t="s">
        <v>32</v>
      </c>
      <c r="CF470" s="559" t="str">
        <f t="shared" si="73"/>
        <v>5yearsAsianMidCentraldhbSIDS</v>
      </c>
      <c r="CG470" s="604" t="s">
        <v>475</v>
      </c>
      <c r="CH470" s="604" t="s">
        <v>355</v>
      </c>
      <c r="CI470" s="604" t="s">
        <v>94</v>
      </c>
      <c r="CJ470" s="604" t="s">
        <v>448</v>
      </c>
      <c r="CK470" s="604">
        <v>0</v>
      </c>
      <c r="CL470" s="604" t="s">
        <v>32</v>
      </c>
    </row>
    <row r="471" spans="9:90">
      <c r="I471" s="578" t="str">
        <f t="shared" si="66"/>
        <v>1999bwtUnknownFetal</v>
      </c>
      <c r="J471" s="604">
        <v>1999</v>
      </c>
      <c r="K471" s="604" t="s">
        <v>447</v>
      </c>
      <c r="L471" s="604" t="s">
        <v>63</v>
      </c>
      <c r="M471" s="604">
        <v>22</v>
      </c>
      <c r="N471" s="604">
        <v>68</v>
      </c>
      <c r="O471" s="604" t="s">
        <v>119</v>
      </c>
      <c r="P471" s="604" t="s">
        <v>47</v>
      </c>
      <c r="Q471" s="499"/>
      <c r="R471" s="502" t="str">
        <f t="shared" si="67"/>
        <v>2005birthsdhbBay of Plenty</v>
      </c>
      <c r="S471" s="604">
        <v>2005</v>
      </c>
      <c r="T471" s="604" t="s">
        <v>445</v>
      </c>
      <c r="U471" s="604" t="s">
        <v>448</v>
      </c>
      <c r="V471" s="604" t="s">
        <v>91</v>
      </c>
      <c r="W471" s="604">
        <v>2794</v>
      </c>
      <c r="Y471" s="535" t="str">
        <f t="shared" si="68"/>
        <v>2016ageeth40+Asianfetal</v>
      </c>
      <c r="Z471" s="604">
        <v>2016</v>
      </c>
      <c r="AA471" s="604" t="s">
        <v>453</v>
      </c>
      <c r="AB471" s="604" t="s">
        <v>449</v>
      </c>
      <c r="AC471" s="604" t="s">
        <v>134</v>
      </c>
      <c r="AD471" s="604" t="s">
        <v>355</v>
      </c>
      <c r="AE471" s="604">
        <v>2</v>
      </c>
      <c r="AF471" s="604">
        <v>358</v>
      </c>
      <c r="AG471" s="604">
        <v>5.6</v>
      </c>
      <c r="AH471" s="604" t="s">
        <v>420</v>
      </c>
      <c r="AJ471" s="535" t="str">
        <f t="shared" si="69"/>
        <v>2016ageeth40+Asian</v>
      </c>
      <c r="AK471" s="604">
        <v>2016</v>
      </c>
      <c r="AL471" s="604" t="s">
        <v>453</v>
      </c>
      <c r="AM471" s="604" t="s">
        <v>449</v>
      </c>
      <c r="AN471" s="604" t="s">
        <v>134</v>
      </c>
      <c r="AO471" s="604" t="s">
        <v>355</v>
      </c>
      <c r="AP471" s="604">
        <v>358</v>
      </c>
      <c r="AR471" s="538" t="str">
        <f t="shared" si="70"/>
        <v>1500-2499bwtfetalUnknown</v>
      </c>
      <c r="AS471" s="604">
        <v>2016</v>
      </c>
      <c r="AT471" s="604" t="s">
        <v>430</v>
      </c>
      <c r="AU471" s="604" t="s">
        <v>447</v>
      </c>
      <c r="AV471" s="604" t="s">
        <v>63</v>
      </c>
      <c r="AW471" s="604">
        <v>1</v>
      </c>
      <c r="AX471" s="604">
        <v>5</v>
      </c>
      <c r="AY471" s="606" t="s">
        <v>119</v>
      </c>
      <c r="AZ471" s="604" t="s">
        <v>420</v>
      </c>
      <c r="BB471" s="536" t="str">
        <f t="shared" si="71"/>
        <v>42+gestbirthsWest Coast</v>
      </c>
      <c r="BC471" s="604">
        <v>2016</v>
      </c>
      <c r="BD471" s="604" t="s">
        <v>138</v>
      </c>
      <c r="BE471" s="604" t="s">
        <v>450</v>
      </c>
      <c r="BF471" s="604" t="s">
        <v>100</v>
      </c>
      <c r="BG471" s="604">
        <v>6</v>
      </c>
      <c r="BH471" s="604" t="s">
        <v>445</v>
      </c>
      <c r="BY471" s="553" t="str">
        <f t="shared" si="72"/>
        <v>2002South CanterburydhbSIDS</v>
      </c>
      <c r="BZ471" s="604">
        <v>2002</v>
      </c>
      <c r="CA471" s="604" t="s">
        <v>102</v>
      </c>
      <c r="CB471" s="604" t="s">
        <v>448</v>
      </c>
      <c r="CC471" s="604">
        <v>0</v>
      </c>
      <c r="CD471" s="604" t="s">
        <v>32</v>
      </c>
      <c r="CF471" s="559" t="str">
        <f t="shared" si="73"/>
        <v>5yearsEuropean or OtherMidCentraldhbSIDS</v>
      </c>
      <c r="CG471" s="604" t="s">
        <v>475</v>
      </c>
      <c r="CH471" s="604" t="s">
        <v>356</v>
      </c>
      <c r="CI471" s="604" t="s">
        <v>94</v>
      </c>
      <c r="CJ471" s="604" t="s">
        <v>448</v>
      </c>
      <c r="CK471" s="604">
        <v>1</v>
      </c>
      <c r="CL471" s="604" t="s">
        <v>32</v>
      </c>
    </row>
    <row r="472" spans="9:90">
      <c r="I472" s="578" t="str">
        <f t="shared" si="66"/>
        <v>2000bwt&lt;500Fetal</v>
      </c>
      <c r="J472" s="604">
        <v>2000</v>
      </c>
      <c r="K472" s="604" t="s">
        <v>447</v>
      </c>
      <c r="L472" s="604" t="s">
        <v>427</v>
      </c>
      <c r="M472" s="604">
        <v>130</v>
      </c>
      <c r="N472" s="604">
        <v>195</v>
      </c>
      <c r="O472" s="604">
        <v>666.7</v>
      </c>
      <c r="P472" s="604" t="s">
        <v>47</v>
      </c>
      <c r="Q472" s="499"/>
      <c r="R472" s="502" t="str">
        <f t="shared" si="67"/>
        <v>2005birthsdhbTairawhiti</v>
      </c>
      <c r="S472" s="604">
        <v>2005</v>
      </c>
      <c r="T472" s="604" t="s">
        <v>445</v>
      </c>
      <c r="U472" s="604" t="s">
        <v>448</v>
      </c>
      <c r="V472" s="604" t="s">
        <v>433</v>
      </c>
      <c r="W472" s="604">
        <v>800</v>
      </c>
      <c r="Y472" s="535" t="str">
        <f t="shared" si="68"/>
        <v>2016ageeth&lt;20European or Otherfetal</v>
      </c>
      <c r="Z472" s="604">
        <v>2016</v>
      </c>
      <c r="AA472" s="604" t="s">
        <v>453</v>
      </c>
      <c r="AB472" s="604" t="s">
        <v>449</v>
      </c>
      <c r="AC472" s="604" t="s">
        <v>339</v>
      </c>
      <c r="AD472" s="604" t="s">
        <v>356</v>
      </c>
      <c r="AE472" s="604">
        <v>10</v>
      </c>
      <c r="AF472" s="604">
        <v>521</v>
      </c>
      <c r="AG472" s="604">
        <v>18.8</v>
      </c>
      <c r="AH472" s="604" t="s">
        <v>420</v>
      </c>
      <c r="AJ472" s="535" t="str">
        <f t="shared" si="69"/>
        <v>2016ageeth&lt;20European or Other</v>
      </c>
      <c r="AK472" s="604">
        <v>2016</v>
      </c>
      <c r="AL472" s="604" t="s">
        <v>453</v>
      </c>
      <c r="AM472" s="604" t="s">
        <v>449</v>
      </c>
      <c r="AN472" s="604" t="s">
        <v>339</v>
      </c>
      <c r="AO472" s="604" t="s">
        <v>356</v>
      </c>
      <c r="AP472" s="604">
        <v>521</v>
      </c>
      <c r="AR472" s="538" t="str">
        <f t="shared" si="70"/>
        <v>&lt;20agefetalNew Zealand</v>
      </c>
      <c r="AS472" s="604">
        <v>2016</v>
      </c>
      <c r="AT472" s="604" t="s">
        <v>339</v>
      </c>
      <c r="AU472" s="604" t="s">
        <v>453</v>
      </c>
      <c r="AV472" s="604" t="s">
        <v>16</v>
      </c>
      <c r="AW472" s="604">
        <v>36</v>
      </c>
      <c r="AX472" s="604">
        <v>2595</v>
      </c>
      <c r="AY472" s="606">
        <v>13.9</v>
      </c>
      <c r="AZ472" s="604" t="s">
        <v>420</v>
      </c>
      <c r="BB472" s="536" t="str">
        <f t="shared" si="71"/>
        <v>&lt;28gestbirthsCanterbury</v>
      </c>
      <c r="BC472" s="604">
        <v>2016</v>
      </c>
      <c r="BD472" s="604" t="s">
        <v>375</v>
      </c>
      <c r="BE472" s="604" t="s">
        <v>450</v>
      </c>
      <c r="BF472" s="604" t="s">
        <v>101</v>
      </c>
      <c r="BG472" s="604">
        <v>20</v>
      </c>
      <c r="BH472" s="604" t="s">
        <v>445</v>
      </c>
      <c r="BY472" s="553" t="str">
        <f t="shared" si="72"/>
        <v>2002SoutherndhbSIDS</v>
      </c>
      <c r="BZ472" s="604">
        <v>2002</v>
      </c>
      <c r="CA472" s="604" t="s">
        <v>103</v>
      </c>
      <c r="CB472" s="604" t="s">
        <v>448</v>
      </c>
      <c r="CC472" s="604">
        <v>2</v>
      </c>
      <c r="CD472" s="604" t="s">
        <v>32</v>
      </c>
      <c r="CF472" s="559" t="str">
        <f t="shared" si="73"/>
        <v>5yearsMaoriMidCentraldhbSIDS</v>
      </c>
      <c r="CG472" s="604" t="s">
        <v>475</v>
      </c>
      <c r="CH472" s="604" t="s">
        <v>129</v>
      </c>
      <c r="CI472" s="604" t="s">
        <v>94</v>
      </c>
      <c r="CJ472" s="604" t="s">
        <v>448</v>
      </c>
      <c r="CK472" s="604">
        <v>5</v>
      </c>
      <c r="CL472" s="604" t="s">
        <v>32</v>
      </c>
    </row>
    <row r="473" spans="9:90">
      <c r="I473" s="578" t="str">
        <f t="shared" si="66"/>
        <v>2000bwt500-999Fetal</v>
      </c>
      <c r="J473" s="604">
        <v>2000</v>
      </c>
      <c r="K473" s="604" t="s">
        <v>447</v>
      </c>
      <c r="L473" s="604" t="s">
        <v>428</v>
      </c>
      <c r="M473" s="604">
        <v>71</v>
      </c>
      <c r="N473" s="604">
        <v>306</v>
      </c>
      <c r="O473" s="604">
        <v>232</v>
      </c>
      <c r="P473" s="604" t="s">
        <v>47</v>
      </c>
      <c r="Q473" s="499"/>
      <c r="R473" s="502" t="str">
        <f t="shared" si="67"/>
        <v>2005birthsdhbHawke's Bay</v>
      </c>
      <c r="S473" s="604">
        <v>2005</v>
      </c>
      <c r="T473" s="604" t="s">
        <v>445</v>
      </c>
      <c r="U473" s="604" t="s">
        <v>448</v>
      </c>
      <c r="V473" s="604" t="s">
        <v>92</v>
      </c>
      <c r="W473" s="604">
        <v>2159</v>
      </c>
      <c r="Y473" s="535" t="str">
        <f t="shared" si="68"/>
        <v>2016ageeth20-24European or Otherfetal</v>
      </c>
      <c r="Z473" s="604">
        <v>2016</v>
      </c>
      <c r="AA473" s="604" t="s">
        <v>453</v>
      </c>
      <c r="AB473" s="604" t="s">
        <v>449</v>
      </c>
      <c r="AC473" s="604" t="s">
        <v>130</v>
      </c>
      <c r="AD473" s="604" t="s">
        <v>356</v>
      </c>
      <c r="AE473" s="604">
        <v>23</v>
      </c>
      <c r="AF473" s="604">
        <v>2734</v>
      </c>
      <c r="AG473" s="604">
        <v>8.3000000000000007</v>
      </c>
      <c r="AH473" s="604" t="s">
        <v>420</v>
      </c>
      <c r="AJ473" s="535" t="str">
        <f t="shared" si="69"/>
        <v>2016ageeth20-24European or Other</v>
      </c>
      <c r="AK473" s="604">
        <v>2016</v>
      </c>
      <c r="AL473" s="604" t="s">
        <v>453</v>
      </c>
      <c r="AM473" s="604" t="s">
        <v>449</v>
      </c>
      <c r="AN473" s="604" t="s">
        <v>130</v>
      </c>
      <c r="AO473" s="604" t="s">
        <v>356</v>
      </c>
      <c r="AP473" s="604">
        <v>2734</v>
      </c>
      <c r="AR473" s="538" t="str">
        <f t="shared" si="70"/>
        <v>20-24agefetalNew Zealand</v>
      </c>
      <c r="AS473" s="604">
        <v>2016</v>
      </c>
      <c r="AT473" s="604" t="s">
        <v>130</v>
      </c>
      <c r="AU473" s="604" t="s">
        <v>453</v>
      </c>
      <c r="AV473" s="604" t="s">
        <v>16</v>
      </c>
      <c r="AW473" s="604">
        <v>73</v>
      </c>
      <c r="AX473" s="604">
        <v>10007</v>
      </c>
      <c r="AY473" s="606">
        <v>7.3</v>
      </c>
      <c r="AZ473" s="604" t="s">
        <v>420</v>
      </c>
      <c r="BB473" s="536" t="str">
        <f t="shared" si="71"/>
        <v>28-31gestbirthsCanterbury</v>
      </c>
      <c r="BC473" s="604">
        <v>2016</v>
      </c>
      <c r="BD473" s="604" t="s">
        <v>395</v>
      </c>
      <c r="BE473" s="604" t="s">
        <v>450</v>
      </c>
      <c r="BF473" s="604" t="s">
        <v>101</v>
      </c>
      <c r="BG473" s="604">
        <v>58</v>
      </c>
      <c r="BH473" s="604" t="s">
        <v>445</v>
      </c>
      <c r="BY473" s="553" t="str">
        <f t="shared" si="72"/>
        <v>2002UnknowndhbSIDS</v>
      </c>
      <c r="BZ473" s="604">
        <v>2002</v>
      </c>
      <c r="CA473" s="604" t="s">
        <v>63</v>
      </c>
      <c r="CB473" s="604" t="s">
        <v>448</v>
      </c>
      <c r="CC473" s="604">
        <v>0</v>
      </c>
      <c r="CD473" s="604" t="s">
        <v>32</v>
      </c>
      <c r="CF473" s="559" t="str">
        <f t="shared" si="73"/>
        <v>5yearsPacific peoplesMidCentraldhbSIDS</v>
      </c>
      <c r="CG473" s="604" t="s">
        <v>475</v>
      </c>
      <c r="CH473" s="604" t="s">
        <v>320</v>
      </c>
      <c r="CI473" s="604" t="s">
        <v>94</v>
      </c>
      <c r="CJ473" s="604" t="s">
        <v>448</v>
      </c>
      <c r="CK473" s="604">
        <v>0</v>
      </c>
      <c r="CL473" s="604" t="s">
        <v>32</v>
      </c>
    </row>
    <row r="474" spans="9:90">
      <c r="I474" s="578" t="str">
        <f t="shared" si="66"/>
        <v>2000bwt1000-1499Fetal</v>
      </c>
      <c r="J474" s="604">
        <v>2000</v>
      </c>
      <c r="K474" s="604" t="s">
        <v>447</v>
      </c>
      <c r="L474" s="604" t="s">
        <v>429</v>
      </c>
      <c r="M474" s="604">
        <v>35</v>
      </c>
      <c r="N474" s="604">
        <v>400</v>
      </c>
      <c r="O474" s="604">
        <v>87.5</v>
      </c>
      <c r="P474" s="604" t="s">
        <v>47</v>
      </c>
      <c r="Q474" s="499"/>
      <c r="R474" s="502" t="str">
        <f t="shared" si="67"/>
        <v>2005birthsdhbTaranaki</v>
      </c>
      <c r="S474" s="604">
        <v>2005</v>
      </c>
      <c r="T474" s="604" t="s">
        <v>445</v>
      </c>
      <c r="U474" s="604" t="s">
        <v>448</v>
      </c>
      <c r="V474" s="604" t="s">
        <v>93</v>
      </c>
      <c r="W474" s="604">
        <v>1438</v>
      </c>
      <c r="Y474" s="535" t="str">
        <f t="shared" si="68"/>
        <v>2016ageeth25-29European or Otherfetal</v>
      </c>
      <c r="Z474" s="604">
        <v>2016</v>
      </c>
      <c r="AA474" s="604" t="s">
        <v>453</v>
      </c>
      <c r="AB474" s="604" t="s">
        <v>449</v>
      </c>
      <c r="AC474" s="604" t="s">
        <v>131</v>
      </c>
      <c r="AD474" s="604" t="s">
        <v>356</v>
      </c>
      <c r="AE474" s="604">
        <v>44</v>
      </c>
      <c r="AF474" s="604">
        <v>6721</v>
      </c>
      <c r="AG474" s="604">
        <v>6.5</v>
      </c>
      <c r="AH474" s="604" t="s">
        <v>420</v>
      </c>
      <c r="AJ474" s="535" t="str">
        <f t="shared" si="69"/>
        <v>2016ageeth25-29European or Other</v>
      </c>
      <c r="AK474" s="604">
        <v>2016</v>
      </c>
      <c r="AL474" s="604" t="s">
        <v>453</v>
      </c>
      <c r="AM474" s="604" t="s">
        <v>449</v>
      </c>
      <c r="AN474" s="604" t="s">
        <v>131</v>
      </c>
      <c r="AO474" s="604" t="s">
        <v>356</v>
      </c>
      <c r="AP474" s="604">
        <v>6721</v>
      </c>
      <c r="AR474" s="538" t="str">
        <f t="shared" si="70"/>
        <v>25-29agefetalNew Zealand</v>
      </c>
      <c r="AS474" s="604">
        <v>2016</v>
      </c>
      <c r="AT474" s="604" t="s">
        <v>131</v>
      </c>
      <c r="AU474" s="604" t="s">
        <v>453</v>
      </c>
      <c r="AV474" s="604" t="s">
        <v>16</v>
      </c>
      <c r="AW474" s="604">
        <v>103</v>
      </c>
      <c r="AX474" s="604">
        <v>16767</v>
      </c>
      <c r="AY474" s="606">
        <v>6.1</v>
      </c>
      <c r="AZ474" s="604" t="s">
        <v>420</v>
      </c>
      <c r="BB474" s="536" t="str">
        <f t="shared" si="71"/>
        <v>32-36gestbirthsCanterbury</v>
      </c>
      <c r="BC474" s="604">
        <v>2016</v>
      </c>
      <c r="BD474" s="604" t="s">
        <v>136</v>
      </c>
      <c r="BE474" s="604" t="s">
        <v>450</v>
      </c>
      <c r="BF474" s="604" t="s">
        <v>101</v>
      </c>
      <c r="BG474" s="604">
        <v>415</v>
      </c>
      <c r="BH474" s="604" t="s">
        <v>445</v>
      </c>
      <c r="BY474" s="553" t="str">
        <f t="shared" si="72"/>
        <v>2003NorthlanddhbSIDS</v>
      </c>
      <c r="BZ474" s="604">
        <v>2003</v>
      </c>
      <c r="CA474" s="604" t="s">
        <v>85</v>
      </c>
      <c r="CB474" s="604" t="s">
        <v>448</v>
      </c>
      <c r="CC474" s="604">
        <v>3</v>
      </c>
      <c r="CD474" s="604" t="s">
        <v>32</v>
      </c>
      <c r="CF474" s="559" t="str">
        <f t="shared" si="73"/>
        <v>5yearsAsianWhanganuidhbSIDS</v>
      </c>
      <c r="CG474" s="604" t="s">
        <v>475</v>
      </c>
      <c r="CH474" s="604" t="s">
        <v>355</v>
      </c>
      <c r="CI474" s="604" t="s">
        <v>95</v>
      </c>
      <c r="CJ474" s="604" t="s">
        <v>448</v>
      </c>
      <c r="CK474" s="604">
        <v>0</v>
      </c>
      <c r="CL474" s="604" t="s">
        <v>32</v>
      </c>
    </row>
    <row r="475" spans="9:90">
      <c r="I475" s="578" t="str">
        <f t="shared" si="66"/>
        <v>2000bwt1500-2499Fetal</v>
      </c>
      <c r="J475" s="604">
        <v>2000</v>
      </c>
      <c r="K475" s="604" t="s">
        <v>447</v>
      </c>
      <c r="L475" s="604" t="s">
        <v>430</v>
      </c>
      <c r="M475" s="604">
        <v>40</v>
      </c>
      <c r="N475" s="604">
        <v>2989</v>
      </c>
      <c r="O475" s="604">
        <v>13.4</v>
      </c>
      <c r="P475" s="604" t="s">
        <v>47</v>
      </c>
      <c r="Q475" s="499"/>
      <c r="R475" s="502" t="str">
        <f t="shared" si="67"/>
        <v>2005birthsdhbMidCentral</v>
      </c>
      <c r="S475" s="604">
        <v>2005</v>
      </c>
      <c r="T475" s="604" t="s">
        <v>445</v>
      </c>
      <c r="U475" s="604" t="s">
        <v>448</v>
      </c>
      <c r="V475" s="604" t="s">
        <v>94</v>
      </c>
      <c r="W475" s="604">
        <v>2255</v>
      </c>
      <c r="Y475" s="535" t="str">
        <f t="shared" si="68"/>
        <v>2016ageeth30-34European or Otherfetal</v>
      </c>
      <c r="Z475" s="604">
        <v>2016</v>
      </c>
      <c r="AA475" s="604" t="s">
        <v>453</v>
      </c>
      <c r="AB475" s="604" t="s">
        <v>449</v>
      </c>
      <c r="AC475" s="604" t="s">
        <v>132</v>
      </c>
      <c r="AD475" s="604" t="s">
        <v>356</v>
      </c>
      <c r="AE475" s="604">
        <v>52</v>
      </c>
      <c r="AF475" s="604">
        <v>9329</v>
      </c>
      <c r="AG475" s="604">
        <v>5.5</v>
      </c>
      <c r="AH475" s="604" t="s">
        <v>420</v>
      </c>
      <c r="AJ475" s="535" t="str">
        <f t="shared" si="69"/>
        <v>2016ageeth30-34European or Other</v>
      </c>
      <c r="AK475" s="604">
        <v>2016</v>
      </c>
      <c r="AL475" s="604" t="s">
        <v>453</v>
      </c>
      <c r="AM475" s="604" t="s">
        <v>449</v>
      </c>
      <c r="AN475" s="604" t="s">
        <v>132</v>
      </c>
      <c r="AO475" s="604" t="s">
        <v>356</v>
      </c>
      <c r="AP475" s="604">
        <v>9329</v>
      </c>
      <c r="AR475" s="538" t="str">
        <f t="shared" si="70"/>
        <v>30-34agefetalNew Zealand</v>
      </c>
      <c r="AS475" s="604">
        <v>2016</v>
      </c>
      <c r="AT475" s="604" t="s">
        <v>132</v>
      </c>
      <c r="AU475" s="604" t="s">
        <v>453</v>
      </c>
      <c r="AV475" s="604" t="s">
        <v>16</v>
      </c>
      <c r="AW475" s="604">
        <v>115</v>
      </c>
      <c r="AX475" s="604">
        <v>18835</v>
      </c>
      <c r="AY475" s="606">
        <v>6.1</v>
      </c>
      <c r="AZ475" s="604" t="s">
        <v>420</v>
      </c>
      <c r="BB475" s="536" t="str">
        <f t="shared" si="71"/>
        <v>37-41gestbirthsCanterbury</v>
      </c>
      <c r="BC475" s="604">
        <v>2016</v>
      </c>
      <c r="BD475" s="604" t="s">
        <v>137</v>
      </c>
      <c r="BE475" s="604" t="s">
        <v>450</v>
      </c>
      <c r="BF475" s="604" t="s">
        <v>101</v>
      </c>
      <c r="BG475" s="604">
        <v>5805</v>
      </c>
      <c r="BH475" s="604" t="s">
        <v>445</v>
      </c>
      <c r="BY475" s="553" t="str">
        <f t="shared" si="72"/>
        <v>2003WaitematadhbSIDS</v>
      </c>
      <c r="BZ475" s="604">
        <v>2003</v>
      </c>
      <c r="CA475" s="604" t="s">
        <v>86</v>
      </c>
      <c r="CB475" s="604" t="s">
        <v>448</v>
      </c>
      <c r="CC475" s="604">
        <v>5</v>
      </c>
      <c r="CD475" s="604" t="s">
        <v>32</v>
      </c>
      <c r="CF475" s="559" t="str">
        <f t="shared" si="73"/>
        <v>5yearsEuropean or OtherWhanganuidhbSIDS</v>
      </c>
      <c r="CG475" s="604" t="s">
        <v>475</v>
      </c>
      <c r="CH475" s="604" t="s">
        <v>356</v>
      </c>
      <c r="CI475" s="604" t="s">
        <v>95</v>
      </c>
      <c r="CJ475" s="604" t="s">
        <v>448</v>
      </c>
      <c r="CK475" s="604">
        <v>1</v>
      </c>
      <c r="CL475" s="604" t="s">
        <v>32</v>
      </c>
    </row>
    <row r="476" spans="9:90">
      <c r="I476" s="578" t="str">
        <f t="shared" si="66"/>
        <v>2000bwt2500-4499Fetal</v>
      </c>
      <c r="J476" s="604">
        <v>2000</v>
      </c>
      <c r="K476" s="604" t="s">
        <v>447</v>
      </c>
      <c r="L476" s="604" t="s">
        <v>431</v>
      </c>
      <c r="M476" s="604">
        <v>92</v>
      </c>
      <c r="N476" s="604">
        <v>51909</v>
      </c>
      <c r="O476" s="604">
        <v>1.8</v>
      </c>
      <c r="P476" s="604" t="s">
        <v>47</v>
      </c>
      <c r="Q476" s="499"/>
      <c r="R476" s="502" t="str">
        <f t="shared" si="67"/>
        <v>2005birthsdhbWhanganui</v>
      </c>
      <c r="S476" s="604">
        <v>2005</v>
      </c>
      <c r="T476" s="604" t="s">
        <v>445</v>
      </c>
      <c r="U476" s="604" t="s">
        <v>448</v>
      </c>
      <c r="V476" s="604" t="s">
        <v>95</v>
      </c>
      <c r="W476" s="604">
        <v>823</v>
      </c>
      <c r="Y476" s="535" t="str">
        <f t="shared" si="68"/>
        <v>2016ageeth35-39European or Otherfetal</v>
      </c>
      <c r="Z476" s="604">
        <v>2016</v>
      </c>
      <c r="AA476" s="604" t="s">
        <v>453</v>
      </c>
      <c r="AB476" s="604" t="s">
        <v>449</v>
      </c>
      <c r="AC476" s="604" t="s">
        <v>133</v>
      </c>
      <c r="AD476" s="604" t="s">
        <v>356</v>
      </c>
      <c r="AE476" s="604">
        <v>36</v>
      </c>
      <c r="AF476" s="604">
        <v>5567</v>
      </c>
      <c r="AG476" s="604">
        <v>6.4</v>
      </c>
      <c r="AH476" s="604" t="s">
        <v>420</v>
      </c>
      <c r="AJ476" s="535" t="str">
        <f t="shared" si="69"/>
        <v>2016ageeth35-39European or Other</v>
      </c>
      <c r="AK476" s="604">
        <v>2016</v>
      </c>
      <c r="AL476" s="604" t="s">
        <v>453</v>
      </c>
      <c r="AM476" s="604" t="s">
        <v>449</v>
      </c>
      <c r="AN476" s="604" t="s">
        <v>133</v>
      </c>
      <c r="AO476" s="604" t="s">
        <v>356</v>
      </c>
      <c r="AP476" s="604">
        <v>5567</v>
      </c>
      <c r="AR476" s="538" t="str">
        <f t="shared" si="70"/>
        <v>35-39agefetalNew Zealand</v>
      </c>
      <c r="AS476" s="604">
        <v>2016</v>
      </c>
      <c r="AT476" s="604" t="s">
        <v>133</v>
      </c>
      <c r="AU476" s="604" t="s">
        <v>453</v>
      </c>
      <c r="AV476" s="604" t="s">
        <v>16</v>
      </c>
      <c r="AW476" s="604">
        <v>70</v>
      </c>
      <c r="AX476" s="604">
        <v>10175</v>
      </c>
      <c r="AY476" s="606">
        <v>6.9</v>
      </c>
      <c r="AZ476" s="604" t="s">
        <v>420</v>
      </c>
      <c r="BB476" s="536" t="str">
        <f t="shared" si="71"/>
        <v>42+gestbirthsCanterbury</v>
      </c>
      <c r="BC476" s="604">
        <v>2016</v>
      </c>
      <c r="BD476" s="604" t="s">
        <v>138</v>
      </c>
      <c r="BE476" s="604" t="s">
        <v>450</v>
      </c>
      <c r="BF476" s="604" t="s">
        <v>101</v>
      </c>
      <c r="BG476" s="604">
        <v>101</v>
      </c>
      <c r="BH476" s="604" t="s">
        <v>445</v>
      </c>
      <c r="BY476" s="553" t="str">
        <f t="shared" si="72"/>
        <v>2003AucklanddhbSIDS</v>
      </c>
      <c r="BZ476" s="604">
        <v>2003</v>
      </c>
      <c r="CA476" s="604" t="s">
        <v>87</v>
      </c>
      <c r="CB476" s="604" t="s">
        <v>448</v>
      </c>
      <c r="CC476" s="604">
        <v>3</v>
      </c>
      <c r="CD476" s="604" t="s">
        <v>32</v>
      </c>
      <c r="CF476" s="559" t="str">
        <f t="shared" si="73"/>
        <v>5yearsMaoriWhanganuidhbSIDS</v>
      </c>
      <c r="CG476" s="604" t="s">
        <v>475</v>
      </c>
      <c r="CH476" s="604" t="s">
        <v>129</v>
      </c>
      <c r="CI476" s="604" t="s">
        <v>95</v>
      </c>
      <c r="CJ476" s="604" t="s">
        <v>448</v>
      </c>
      <c r="CK476" s="604">
        <v>2</v>
      </c>
      <c r="CL476" s="604" t="s">
        <v>32</v>
      </c>
    </row>
    <row r="477" spans="9:90">
      <c r="I477" s="578" t="str">
        <f t="shared" si="66"/>
        <v>2000bwt4500+Fetal</v>
      </c>
      <c r="J477" s="604">
        <v>2000</v>
      </c>
      <c r="K477" s="604" t="s">
        <v>447</v>
      </c>
      <c r="L477" s="604" t="s">
        <v>432</v>
      </c>
      <c r="M477" s="604">
        <v>0</v>
      </c>
      <c r="N477" s="604">
        <v>1521</v>
      </c>
      <c r="O477" s="604">
        <v>0</v>
      </c>
      <c r="P477" s="604" t="s">
        <v>47</v>
      </c>
      <c r="Q477" s="499"/>
      <c r="R477" s="502" t="str">
        <f t="shared" si="67"/>
        <v>2005birthsdhbCapital &amp; Coast</v>
      </c>
      <c r="S477" s="604">
        <v>2005</v>
      </c>
      <c r="T477" s="604" t="s">
        <v>445</v>
      </c>
      <c r="U477" s="604" t="s">
        <v>448</v>
      </c>
      <c r="V477" s="604" t="s">
        <v>96</v>
      </c>
      <c r="W477" s="604">
        <v>3729</v>
      </c>
      <c r="Y477" s="535" t="str">
        <f t="shared" si="68"/>
        <v>2016ageeth40+European or Otherfetal</v>
      </c>
      <c r="Z477" s="604">
        <v>2016</v>
      </c>
      <c r="AA477" s="604" t="s">
        <v>453</v>
      </c>
      <c r="AB477" s="604" t="s">
        <v>449</v>
      </c>
      <c r="AC477" s="604" t="s">
        <v>134</v>
      </c>
      <c r="AD477" s="604" t="s">
        <v>356</v>
      </c>
      <c r="AE477" s="604">
        <v>8</v>
      </c>
      <c r="AF477" s="604">
        <v>1357</v>
      </c>
      <c r="AG477" s="604">
        <v>5.9</v>
      </c>
      <c r="AH477" s="604" t="s">
        <v>420</v>
      </c>
      <c r="AJ477" s="535" t="str">
        <f t="shared" si="69"/>
        <v>2016ageeth40+European or Other</v>
      </c>
      <c r="AK477" s="604">
        <v>2016</v>
      </c>
      <c r="AL477" s="604" t="s">
        <v>453</v>
      </c>
      <c r="AM477" s="604" t="s">
        <v>449</v>
      </c>
      <c r="AN477" s="604" t="s">
        <v>134</v>
      </c>
      <c r="AO477" s="604" t="s">
        <v>356</v>
      </c>
      <c r="AP477" s="604">
        <v>1357</v>
      </c>
      <c r="AR477" s="538" t="str">
        <f t="shared" si="70"/>
        <v>40+agefetalNew Zealand</v>
      </c>
      <c r="AS477" s="604">
        <v>2016</v>
      </c>
      <c r="AT477" s="604" t="s">
        <v>134</v>
      </c>
      <c r="AU477" s="604" t="s">
        <v>453</v>
      </c>
      <c r="AV477" s="604" t="s">
        <v>16</v>
      </c>
      <c r="AW477" s="604">
        <v>16</v>
      </c>
      <c r="AX477" s="604">
        <v>2470</v>
      </c>
      <c r="AY477" s="606">
        <v>6.5</v>
      </c>
      <c r="AZ477" s="604" t="s">
        <v>420</v>
      </c>
      <c r="BB477" s="536" t="str">
        <f t="shared" si="71"/>
        <v>&lt;28gestbirthsSouth Canterbury</v>
      </c>
      <c r="BC477" s="604">
        <v>2016</v>
      </c>
      <c r="BD477" s="604" t="s">
        <v>375</v>
      </c>
      <c r="BE477" s="604" t="s">
        <v>450</v>
      </c>
      <c r="BF477" s="604" t="s">
        <v>102</v>
      </c>
      <c r="BG477" s="604">
        <v>5</v>
      </c>
      <c r="BH477" s="604" t="s">
        <v>445</v>
      </c>
      <c r="BY477" s="553" t="str">
        <f t="shared" si="72"/>
        <v>2003Counties ManukaudhbSIDS</v>
      </c>
      <c r="BZ477" s="604">
        <v>2003</v>
      </c>
      <c r="CA477" s="604" t="s">
        <v>88</v>
      </c>
      <c r="CB477" s="604" t="s">
        <v>448</v>
      </c>
      <c r="CC477" s="604">
        <v>11</v>
      </c>
      <c r="CD477" s="604" t="s">
        <v>32</v>
      </c>
      <c r="CF477" s="559" t="str">
        <f t="shared" si="73"/>
        <v>5yearsPacific peoplesWhanganuidhbSIDS</v>
      </c>
      <c r="CG477" s="604" t="s">
        <v>475</v>
      </c>
      <c r="CH477" s="604" t="s">
        <v>320</v>
      </c>
      <c r="CI477" s="604" t="s">
        <v>95</v>
      </c>
      <c r="CJ477" s="604" t="s">
        <v>448</v>
      </c>
      <c r="CK477" s="604">
        <v>1</v>
      </c>
      <c r="CL477" s="604" t="s">
        <v>32</v>
      </c>
    </row>
    <row r="478" spans="9:90">
      <c r="I478" s="578" t="str">
        <f t="shared" si="66"/>
        <v>2000bwtUnknownFetal</v>
      </c>
      <c r="J478" s="604">
        <v>2000</v>
      </c>
      <c r="K478" s="604" t="s">
        <v>447</v>
      </c>
      <c r="L478" s="604" t="s">
        <v>63</v>
      </c>
      <c r="M478" s="604">
        <v>1</v>
      </c>
      <c r="N478" s="604">
        <v>43</v>
      </c>
      <c r="O478" s="604" t="s">
        <v>119</v>
      </c>
      <c r="P478" s="604" t="s">
        <v>47</v>
      </c>
      <c r="Q478" s="499"/>
      <c r="R478" s="502" t="str">
        <f t="shared" si="67"/>
        <v>2005birthsdhbHutt Valley</v>
      </c>
      <c r="S478" s="604">
        <v>2005</v>
      </c>
      <c r="T478" s="604" t="s">
        <v>445</v>
      </c>
      <c r="U478" s="604" t="s">
        <v>448</v>
      </c>
      <c r="V478" s="604" t="s">
        <v>97</v>
      </c>
      <c r="W478" s="604">
        <v>2011</v>
      </c>
      <c r="Y478" s="535" t="str">
        <f t="shared" si="68"/>
        <v>2016sexethMaleMaorifetal</v>
      </c>
      <c r="Z478" s="604">
        <v>2016</v>
      </c>
      <c r="AA478" s="604" t="s">
        <v>451</v>
      </c>
      <c r="AB478" s="604" t="s">
        <v>449</v>
      </c>
      <c r="AC478" s="604" t="s">
        <v>70</v>
      </c>
      <c r="AD478" s="604" t="s">
        <v>129</v>
      </c>
      <c r="AE478" s="604">
        <v>65</v>
      </c>
      <c r="AF478" s="604">
        <v>8885</v>
      </c>
      <c r="AG478" s="604">
        <v>7.3</v>
      </c>
      <c r="AH478" s="604" t="s">
        <v>420</v>
      </c>
      <c r="AJ478" s="535" t="str">
        <f t="shared" si="69"/>
        <v>2016sexethMaleMaori</v>
      </c>
      <c r="AK478" s="604">
        <v>2016</v>
      </c>
      <c r="AL478" s="604" t="s">
        <v>451</v>
      </c>
      <c r="AM478" s="604" t="s">
        <v>449</v>
      </c>
      <c r="AN478" s="604" t="s">
        <v>70</v>
      </c>
      <c r="AO478" s="604" t="s">
        <v>129</v>
      </c>
      <c r="AP478" s="604">
        <v>8885</v>
      </c>
      <c r="AR478" s="538" t="str">
        <f t="shared" si="70"/>
        <v>AsianethfetalNew Zealand</v>
      </c>
      <c r="AS478" s="604">
        <v>2016</v>
      </c>
      <c r="AT478" s="604" t="s">
        <v>355</v>
      </c>
      <c r="AU478" s="604" t="s">
        <v>449</v>
      </c>
      <c r="AV478" s="604" t="s">
        <v>16</v>
      </c>
      <c r="AW478" s="604">
        <v>73</v>
      </c>
      <c r="AX478" s="604">
        <v>10975</v>
      </c>
      <c r="AY478" s="606">
        <v>6.7</v>
      </c>
      <c r="AZ478" s="604" t="s">
        <v>420</v>
      </c>
      <c r="BB478" s="536" t="str">
        <f t="shared" si="71"/>
        <v>28-31gestbirthsSouth Canterbury</v>
      </c>
      <c r="BC478" s="604">
        <v>2016</v>
      </c>
      <c r="BD478" s="604" t="s">
        <v>395</v>
      </c>
      <c r="BE478" s="604" t="s">
        <v>450</v>
      </c>
      <c r="BF478" s="604" t="s">
        <v>102</v>
      </c>
      <c r="BG478" s="604">
        <v>3</v>
      </c>
      <c r="BH478" s="604" t="s">
        <v>445</v>
      </c>
      <c r="BY478" s="553" t="str">
        <f t="shared" si="72"/>
        <v>2003WaikatodhbSIDS</v>
      </c>
      <c r="BZ478" s="604">
        <v>2003</v>
      </c>
      <c r="CA478" s="604" t="s">
        <v>89</v>
      </c>
      <c r="CB478" s="604" t="s">
        <v>448</v>
      </c>
      <c r="CC478" s="604">
        <v>6</v>
      </c>
      <c r="CD478" s="604" t="s">
        <v>32</v>
      </c>
      <c r="CF478" s="559" t="str">
        <f t="shared" si="73"/>
        <v>5yearsAsianCapital &amp; CoastdhbSIDS</v>
      </c>
      <c r="CG478" s="604" t="s">
        <v>475</v>
      </c>
      <c r="CH478" s="604" t="s">
        <v>355</v>
      </c>
      <c r="CI478" s="604" t="s">
        <v>96</v>
      </c>
      <c r="CJ478" s="604" t="s">
        <v>448</v>
      </c>
      <c r="CK478" s="604">
        <v>0</v>
      </c>
      <c r="CL478" s="604" t="s">
        <v>32</v>
      </c>
    </row>
    <row r="479" spans="9:90">
      <c r="I479" s="578" t="str">
        <f t="shared" si="66"/>
        <v>2001bwt&lt;500Fetal</v>
      </c>
      <c r="J479" s="604">
        <v>2001</v>
      </c>
      <c r="K479" s="604" t="s">
        <v>447</v>
      </c>
      <c r="L479" s="604" t="s">
        <v>427</v>
      </c>
      <c r="M479" s="604">
        <v>141</v>
      </c>
      <c r="N479" s="604">
        <v>187</v>
      </c>
      <c r="O479" s="604">
        <v>754</v>
      </c>
      <c r="P479" s="604" t="s">
        <v>47</v>
      </c>
      <c r="Q479" s="499"/>
      <c r="R479" s="502" t="str">
        <f t="shared" si="67"/>
        <v>2005birthsdhbWairarapa</v>
      </c>
      <c r="S479" s="604">
        <v>2005</v>
      </c>
      <c r="T479" s="604" t="s">
        <v>445</v>
      </c>
      <c r="U479" s="604" t="s">
        <v>448</v>
      </c>
      <c r="V479" s="604" t="s">
        <v>98</v>
      </c>
      <c r="W479" s="604">
        <v>475</v>
      </c>
      <c r="Y479" s="535" t="str">
        <f t="shared" si="68"/>
        <v>2016sexethFemaleMaorifetal</v>
      </c>
      <c r="Z479" s="604">
        <v>2016</v>
      </c>
      <c r="AA479" s="604" t="s">
        <v>451</v>
      </c>
      <c r="AB479" s="604" t="s">
        <v>449</v>
      </c>
      <c r="AC479" s="604" t="s">
        <v>71</v>
      </c>
      <c r="AD479" s="604" t="s">
        <v>129</v>
      </c>
      <c r="AE479" s="604">
        <v>52</v>
      </c>
      <c r="AF479" s="604">
        <v>8444</v>
      </c>
      <c r="AG479" s="604">
        <v>6.1</v>
      </c>
      <c r="AH479" s="604" t="s">
        <v>420</v>
      </c>
      <c r="AJ479" s="535" t="str">
        <f t="shared" si="69"/>
        <v>2016sexethFemaleMaori</v>
      </c>
      <c r="AK479" s="604">
        <v>2016</v>
      </c>
      <c r="AL479" s="604" t="s">
        <v>451</v>
      </c>
      <c r="AM479" s="604" t="s">
        <v>449</v>
      </c>
      <c r="AN479" s="604" t="s">
        <v>71</v>
      </c>
      <c r="AO479" s="604" t="s">
        <v>129</v>
      </c>
      <c r="AP479" s="604">
        <v>8444</v>
      </c>
      <c r="AR479" s="538" t="str">
        <f t="shared" si="70"/>
        <v>European or OtherethfetalNew Zealand</v>
      </c>
      <c r="AS479" s="604">
        <v>2016</v>
      </c>
      <c r="AT479" s="604" t="s">
        <v>356</v>
      </c>
      <c r="AU479" s="604" t="s">
        <v>449</v>
      </c>
      <c r="AV479" s="604" t="s">
        <v>16</v>
      </c>
      <c r="AW479" s="604">
        <v>173</v>
      </c>
      <c r="AX479" s="604">
        <v>26402</v>
      </c>
      <c r="AY479" s="606">
        <v>6.6</v>
      </c>
      <c r="AZ479" s="604" t="s">
        <v>420</v>
      </c>
      <c r="BB479" s="536" t="str">
        <f t="shared" si="71"/>
        <v>32-36gestbirthsSouth Canterbury</v>
      </c>
      <c r="BC479" s="604">
        <v>2016</v>
      </c>
      <c r="BD479" s="604" t="s">
        <v>136</v>
      </c>
      <c r="BE479" s="604" t="s">
        <v>450</v>
      </c>
      <c r="BF479" s="604" t="s">
        <v>102</v>
      </c>
      <c r="BG479" s="604">
        <v>48</v>
      </c>
      <c r="BH479" s="604" t="s">
        <v>445</v>
      </c>
      <c r="BY479" s="553" t="str">
        <f t="shared" si="72"/>
        <v>2003LakesdhbSIDS</v>
      </c>
      <c r="BZ479" s="604">
        <v>2003</v>
      </c>
      <c r="CA479" s="604" t="s">
        <v>90</v>
      </c>
      <c r="CB479" s="604" t="s">
        <v>448</v>
      </c>
      <c r="CC479" s="604">
        <v>1</v>
      </c>
      <c r="CD479" s="604" t="s">
        <v>32</v>
      </c>
      <c r="CF479" s="559" t="str">
        <f t="shared" si="73"/>
        <v>5yearsEuropean or OtherCapital &amp; CoastdhbSIDS</v>
      </c>
      <c r="CG479" s="604" t="s">
        <v>475</v>
      </c>
      <c r="CH479" s="604" t="s">
        <v>356</v>
      </c>
      <c r="CI479" s="604" t="s">
        <v>96</v>
      </c>
      <c r="CJ479" s="604" t="s">
        <v>448</v>
      </c>
      <c r="CK479" s="604">
        <v>1</v>
      </c>
      <c r="CL479" s="604" t="s">
        <v>32</v>
      </c>
    </row>
    <row r="480" spans="9:90">
      <c r="I480" s="578" t="str">
        <f t="shared" si="66"/>
        <v>2001bwt500-999Fetal</v>
      </c>
      <c r="J480" s="604">
        <v>2001</v>
      </c>
      <c r="K480" s="604" t="s">
        <v>447</v>
      </c>
      <c r="L480" s="604" t="s">
        <v>428</v>
      </c>
      <c r="M480" s="604">
        <v>70</v>
      </c>
      <c r="N480" s="604">
        <v>291</v>
      </c>
      <c r="O480" s="604">
        <v>240.5</v>
      </c>
      <c r="P480" s="604" t="s">
        <v>47</v>
      </c>
      <c r="Q480" s="499"/>
      <c r="R480" s="502" t="str">
        <f t="shared" si="67"/>
        <v>2005birthsdhbNelson Marlborough</v>
      </c>
      <c r="S480" s="604">
        <v>2005</v>
      </c>
      <c r="T480" s="604" t="s">
        <v>445</v>
      </c>
      <c r="U480" s="604" t="s">
        <v>448</v>
      </c>
      <c r="V480" s="604" t="s">
        <v>99</v>
      </c>
      <c r="W480" s="604">
        <v>1514</v>
      </c>
      <c r="Y480" s="535" t="str">
        <f t="shared" si="68"/>
        <v>2016sexethMalePacific peoplesfetal</v>
      </c>
      <c r="Z480" s="604">
        <v>2016</v>
      </c>
      <c r="AA480" s="604" t="s">
        <v>451</v>
      </c>
      <c r="AB480" s="604" t="s">
        <v>449</v>
      </c>
      <c r="AC480" s="604" t="s">
        <v>70</v>
      </c>
      <c r="AD480" s="604" t="s">
        <v>320</v>
      </c>
      <c r="AE480" s="604">
        <v>22</v>
      </c>
      <c r="AF480" s="604">
        <v>3092</v>
      </c>
      <c r="AG480" s="604">
        <v>7.1</v>
      </c>
      <c r="AH480" s="604" t="s">
        <v>420</v>
      </c>
      <c r="AJ480" s="535" t="str">
        <f t="shared" si="69"/>
        <v>2016sexethMalePacific peoples</v>
      </c>
      <c r="AK480" s="604">
        <v>2016</v>
      </c>
      <c r="AL480" s="604" t="s">
        <v>451</v>
      </c>
      <c r="AM480" s="604" t="s">
        <v>449</v>
      </c>
      <c r="AN480" s="604" t="s">
        <v>70</v>
      </c>
      <c r="AO480" s="604" t="s">
        <v>320</v>
      </c>
      <c r="AP480" s="604">
        <v>3092</v>
      </c>
      <c r="AR480" s="538" t="str">
        <f t="shared" si="70"/>
        <v>MaoriethfetalNew Zealand</v>
      </c>
      <c r="AS480" s="604">
        <v>2016</v>
      </c>
      <c r="AT480" s="604" t="s">
        <v>129</v>
      </c>
      <c r="AU480" s="604" t="s">
        <v>449</v>
      </c>
      <c r="AV480" s="604" t="s">
        <v>16</v>
      </c>
      <c r="AW480" s="604">
        <v>122</v>
      </c>
      <c r="AX480" s="604">
        <v>17451</v>
      </c>
      <c r="AY480" s="606">
        <v>7</v>
      </c>
      <c r="AZ480" s="604" t="s">
        <v>420</v>
      </c>
      <c r="BB480" s="536" t="str">
        <f t="shared" si="71"/>
        <v>37-41gestbirthsSouth Canterbury</v>
      </c>
      <c r="BC480" s="604">
        <v>2016</v>
      </c>
      <c r="BD480" s="604" t="s">
        <v>137</v>
      </c>
      <c r="BE480" s="604" t="s">
        <v>450</v>
      </c>
      <c r="BF480" s="604" t="s">
        <v>102</v>
      </c>
      <c r="BG480" s="604">
        <v>577</v>
      </c>
      <c r="BH480" s="604" t="s">
        <v>445</v>
      </c>
      <c r="BY480" s="553" t="str">
        <f t="shared" si="72"/>
        <v>2003Bay of PlentydhbSIDS</v>
      </c>
      <c r="BZ480" s="604">
        <v>2003</v>
      </c>
      <c r="CA480" s="604" t="s">
        <v>91</v>
      </c>
      <c r="CB480" s="604" t="s">
        <v>448</v>
      </c>
      <c r="CC480" s="604">
        <v>4</v>
      </c>
      <c r="CD480" s="604" t="s">
        <v>32</v>
      </c>
      <c r="CF480" s="559" t="str">
        <f t="shared" si="73"/>
        <v>5yearsMaoriCapital &amp; CoastdhbSIDS</v>
      </c>
      <c r="CG480" s="604" t="s">
        <v>475</v>
      </c>
      <c r="CH480" s="604" t="s">
        <v>129</v>
      </c>
      <c r="CI480" s="604" t="s">
        <v>96</v>
      </c>
      <c r="CJ480" s="604" t="s">
        <v>448</v>
      </c>
      <c r="CK480" s="604">
        <v>4</v>
      </c>
      <c r="CL480" s="604" t="s">
        <v>32</v>
      </c>
    </row>
    <row r="481" spans="9:90">
      <c r="I481" s="578" t="str">
        <f t="shared" si="66"/>
        <v>2001bwt1000-1499Fetal</v>
      </c>
      <c r="J481" s="604">
        <v>2001</v>
      </c>
      <c r="K481" s="604" t="s">
        <v>447</v>
      </c>
      <c r="L481" s="604" t="s">
        <v>429</v>
      </c>
      <c r="M481" s="604">
        <v>21</v>
      </c>
      <c r="N481" s="604">
        <v>408</v>
      </c>
      <c r="O481" s="604">
        <v>51.5</v>
      </c>
      <c r="P481" s="604" t="s">
        <v>47</v>
      </c>
      <c r="Q481" s="499"/>
      <c r="R481" s="502" t="str">
        <f t="shared" si="67"/>
        <v>2005birthsdhbWest Coast</v>
      </c>
      <c r="S481" s="604">
        <v>2005</v>
      </c>
      <c r="T481" s="604" t="s">
        <v>445</v>
      </c>
      <c r="U481" s="604" t="s">
        <v>448</v>
      </c>
      <c r="V481" s="604" t="s">
        <v>100</v>
      </c>
      <c r="W481" s="604">
        <v>341</v>
      </c>
      <c r="Y481" s="535" t="str">
        <f t="shared" si="68"/>
        <v>2016sexethFemalePacific peoplesfetal</v>
      </c>
      <c r="Z481" s="604">
        <v>2016</v>
      </c>
      <c r="AA481" s="604" t="s">
        <v>451</v>
      </c>
      <c r="AB481" s="604" t="s">
        <v>449</v>
      </c>
      <c r="AC481" s="604" t="s">
        <v>71</v>
      </c>
      <c r="AD481" s="604" t="s">
        <v>320</v>
      </c>
      <c r="AE481" s="604">
        <v>21</v>
      </c>
      <c r="AF481" s="604">
        <v>2884</v>
      </c>
      <c r="AG481" s="604">
        <v>7.2</v>
      </c>
      <c r="AH481" s="604" t="s">
        <v>420</v>
      </c>
      <c r="AJ481" s="535" t="str">
        <f t="shared" si="69"/>
        <v>2016sexethFemalePacific peoples</v>
      </c>
      <c r="AK481" s="604">
        <v>2016</v>
      </c>
      <c r="AL481" s="604" t="s">
        <v>451</v>
      </c>
      <c r="AM481" s="604" t="s">
        <v>449</v>
      </c>
      <c r="AN481" s="604" t="s">
        <v>71</v>
      </c>
      <c r="AO481" s="604" t="s">
        <v>320</v>
      </c>
      <c r="AP481" s="604">
        <v>2884</v>
      </c>
      <c r="AR481" s="538" t="str">
        <f t="shared" si="70"/>
        <v>Pacific peoplesethfetalNew Zealand</v>
      </c>
      <c r="AS481" s="604">
        <v>2016</v>
      </c>
      <c r="AT481" s="604" t="s">
        <v>320</v>
      </c>
      <c r="AU481" s="604" t="s">
        <v>449</v>
      </c>
      <c r="AV481" s="604" t="s">
        <v>16</v>
      </c>
      <c r="AW481" s="604">
        <v>45</v>
      </c>
      <c r="AX481" s="604">
        <v>6021</v>
      </c>
      <c r="AY481" s="606">
        <v>7.5</v>
      </c>
      <c r="AZ481" s="604" t="s">
        <v>420</v>
      </c>
      <c r="BB481" s="536" t="str">
        <f t="shared" si="71"/>
        <v>42+gestbirthsSouth Canterbury</v>
      </c>
      <c r="BC481" s="604">
        <v>2016</v>
      </c>
      <c r="BD481" s="604" t="s">
        <v>138</v>
      </c>
      <c r="BE481" s="604" t="s">
        <v>450</v>
      </c>
      <c r="BF481" s="604" t="s">
        <v>102</v>
      </c>
      <c r="BG481" s="604">
        <v>8</v>
      </c>
      <c r="BH481" s="604" t="s">
        <v>445</v>
      </c>
      <c r="BY481" s="553" t="str">
        <f t="shared" si="72"/>
        <v>2003TairawhitidhbSIDS</v>
      </c>
      <c r="BZ481" s="604">
        <v>2003</v>
      </c>
      <c r="CA481" s="604" t="s">
        <v>433</v>
      </c>
      <c r="CB481" s="604" t="s">
        <v>448</v>
      </c>
      <c r="CC481" s="604">
        <v>3</v>
      </c>
      <c r="CD481" s="604" t="s">
        <v>32</v>
      </c>
      <c r="CF481" s="559" t="str">
        <f t="shared" si="73"/>
        <v>5yearsPacific peoplesCapital &amp; CoastdhbSIDS</v>
      </c>
      <c r="CG481" s="604" t="s">
        <v>475</v>
      </c>
      <c r="CH481" s="604" t="s">
        <v>320</v>
      </c>
      <c r="CI481" s="604" t="s">
        <v>96</v>
      </c>
      <c r="CJ481" s="604" t="s">
        <v>448</v>
      </c>
      <c r="CK481" s="604">
        <v>1</v>
      </c>
      <c r="CL481" s="604" t="s">
        <v>32</v>
      </c>
    </row>
    <row r="482" spans="9:90">
      <c r="I482" s="578" t="str">
        <f t="shared" si="66"/>
        <v>2001bwt1500-2499Fetal</v>
      </c>
      <c r="J482" s="604">
        <v>2001</v>
      </c>
      <c r="K482" s="604" t="s">
        <v>447</v>
      </c>
      <c r="L482" s="604" t="s">
        <v>430</v>
      </c>
      <c r="M482" s="604">
        <v>54</v>
      </c>
      <c r="N482" s="604">
        <v>3043</v>
      </c>
      <c r="O482" s="604">
        <v>17.7</v>
      </c>
      <c r="P482" s="604" t="s">
        <v>47</v>
      </c>
      <c r="Q482" s="499"/>
      <c r="R482" s="502" t="str">
        <f t="shared" si="67"/>
        <v>2005birthsdhbCanterbury</v>
      </c>
      <c r="S482" s="604">
        <v>2005</v>
      </c>
      <c r="T482" s="604" t="s">
        <v>445</v>
      </c>
      <c r="U482" s="604" t="s">
        <v>448</v>
      </c>
      <c r="V482" s="604" t="s">
        <v>101</v>
      </c>
      <c r="W482" s="604">
        <v>6048</v>
      </c>
      <c r="Y482" s="535" t="str">
        <f t="shared" si="68"/>
        <v>2016sexethMaleAsianfetal</v>
      </c>
      <c r="Z482" s="604">
        <v>2016</v>
      </c>
      <c r="AA482" s="604" t="s">
        <v>451</v>
      </c>
      <c r="AB482" s="604" t="s">
        <v>449</v>
      </c>
      <c r="AC482" s="604" t="s">
        <v>70</v>
      </c>
      <c r="AD482" s="604" t="s">
        <v>355</v>
      </c>
      <c r="AE482" s="604">
        <v>37</v>
      </c>
      <c r="AF482" s="604">
        <v>5588</v>
      </c>
      <c r="AG482" s="604">
        <v>6.6</v>
      </c>
      <c r="AH482" s="604" t="s">
        <v>420</v>
      </c>
      <c r="AJ482" s="535" t="str">
        <f t="shared" si="69"/>
        <v>2016sexethMaleAsian</v>
      </c>
      <c r="AK482" s="604">
        <v>2016</v>
      </c>
      <c r="AL482" s="604" t="s">
        <v>451</v>
      </c>
      <c r="AM482" s="604" t="s">
        <v>449</v>
      </c>
      <c r="AN482" s="604" t="s">
        <v>70</v>
      </c>
      <c r="AO482" s="604" t="s">
        <v>355</v>
      </c>
      <c r="AP482" s="604">
        <v>5588</v>
      </c>
      <c r="AR482" s="538" t="str">
        <f t="shared" si="70"/>
        <v>MalesexfetalNew Zealand</v>
      </c>
      <c r="AS482" s="604">
        <v>2016</v>
      </c>
      <c r="AT482" s="604" t="s">
        <v>70</v>
      </c>
      <c r="AU482" s="604" t="s">
        <v>451</v>
      </c>
      <c r="AV482" s="604" t="s">
        <v>16</v>
      </c>
      <c r="AW482" s="604">
        <v>216</v>
      </c>
      <c r="AX482" s="604">
        <v>31225</v>
      </c>
      <c r="AY482" s="606">
        <v>6.9</v>
      </c>
      <c r="AZ482" s="604" t="s">
        <v>420</v>
      </c>
      <c r="BB482" s="536" t="str">
        <f t="shared" si="71"/>
        <v>&lt;28gestbirthsSouthern</v>
      </c>
      <c r="BC482" s="604">
        <v>2016</v>
      </c>
      <c r="BD482" s="604" t="s">
        <v>375</v>
      </c>
      <c r="BE482" s="604" t="s">
        <v>450</v>
      </c>
      <c r="BF482" s="604" t="s">
        <v>103</v>
      </c>
      <c r="BG482" s="604">
        <v>17</v>
      </c>
      <c r="BH482" s="604" t="s">
        <v>445</v>
      </c>
      <c r="BY482" s="553" t="str">
        <f t="shared" si="72"/>
        <v>2003Hawke's BaydhbSIDS</v>
      </c>
      <c r="BZ482" s="604">
        <v>2003</v>
      </c>
      <c r="CA482" s="604" t="s">
        <v>92</v>
      </c>
      <c r="CB482" s="604" t="s">
        <v>448</v>
      </c>
      <c r="CC482" s="604">
        <v>0</v>
      </c>
      <c r="CD482" s="604" t="s">
        <v>32</v>
      </c>
      <c r="CF482" s="559" t="str">
        <f t="shared" si="73"/>
        <v>5yearsAsianHutt ValleydhbSIDS</v>
      </c>
      <c r="CG482" s="604" t="s">
        <v>475</v>
      </c>
      <c r="CH482" s="604" t="s">
        <v>355</v>
      </c>
      <c r="CI482" s="604" t="s">
        <v>97</v>
      </c>
      <c r="CJ482" s="604" t="s">
        <v>448</v>
      </c>
      <c r="CK482" s="604">
        <v>0</v>
      </c>
      <c r="CL482" s="604" t="s">
        <v>32</v>
      </c>
    </row>
    <row r="483" spans="9:90">
      <c r="I483" s="578" t="str">
        <f t="shared" si="66"/>
        <v>2001bwt2500-4499Fetal</v>
      </c>
      <c r="J483" s="604">
        <v>2001</v>
      </c>
      <c r="K483" s="604" t="s">
        <v>447</v>
      </c>
      <c r="L483" s="604" t="s">
        <v>431</v>
      </c>
      <c r="M483" s="604">
        <v>90</v>
      </c>
      <c r="N483" s="604">
        <v>51158</v>
      </c>
      <c r="O483" s="604">
        <v>1.8</v>
      </c>
      <c r="P483" s="604" t="s">
        <v>47</v>
      </c>
      <c r="Q483" s="499"/>
      <c r="R483" s="502" t="str">
        <f t="shared" si="67"/>
        <v>2005birthsdhbSouth Canterbury</v>
      </c>
      <c r="S483" s="604">
        <v>2005</v>
      </c>
      <c r="T483" s="604" t="s">
        <v>445</v>
      </c>
      <c r="U483" s="604" t="s">
        <v>448</v>
      </c>
      <c r="V483" s="604" t="s">
        <v>102</v>
      </c>
      <c r="W483" s="604">
        <v>589</v>
      </c>
      <c r="Y483" s="535" t="str">
        <f t="shared" si="68"/>
        <v>2016sexethFemaleAsianfetal</v>
      </c>
      <c r="Z483" s="604">
        <v>2016</v>
      </c>
      <c r="AA483" s="604" t="s">
        <v>451</v>
      </c>
      <c r="AB483" s="604" t="s">
        <v>449</v>
      </c>
      <c r="AC483" s="604" t="s">
        <v>71</v>
      </c>
      <c r="AD483" s="604" t="s">
        <v>355</v>
      </c>
      <c r="AE483" s="604">
        <v>36</v>
      </c>
      <c r="AF483" s="604">
        <v>5314</v>
      </c>
      <c r="AG483" s="604">
        <v>6.7</v>
      </c>
      <c r="AH483" s="604" t="s">
        <v>420</v>
      </c>
      <c r="AJ483" s="535" t="str">
        <f t="shared" si="69"/>
        <v>2016sexethFemaleAsian</v>
      </c>
      <c r="AK483" s="604">
        <v>2016</v>
      </c>
      <c r="AL483" s="604" t="s">
        <v>451</v>
      </c>
      <c r="AM483" s="604" t="s">
        <v>449</v>
      </c>
      <c r="AN483" s="604" t="s">
        <v>71</v>
      </c>
      <c r="AO483" s="604" t="s">
        <v>355</v>
      </c>
      <c r="AP483" s="604">
        <v>5314</v>
      </c>
      <c r="AR483" s="538" t="str">
        <f t="shared" si="70"/>
        <v>FemalesexfetalNew Zealand</v>
      </c>
      <c r="AS483" s="604">
        <v>2016</v>
      </c>
      <c r="AT483" s="604" t="s">
        <v>71</v>
      </c>
      <c r="AU483" s="604" t="s">
        <v>451</v>
      </c>
      <c r="AV483" s="604" t="s">
        <v>16</v>
      </c>
      <c r="AW483" s="604">
        <v>189</v>
      </c>
      <c r="AX483" s="604">
        <v>29616</v>
      </c>
      <c r="AY483" s="606">
        <v>6.4</v>
      </c>
      <c r="AZ483" s="604" t="s">
        <v>420</v>
      </c>
      <c r="BB483" s="536" t="str">
        <f t="shared" si="71"/>
        <v>28-31gestbirthsSouthern</v>
      </c>
      <c r="BC483" s="604">
        <v>2016</v>
      </c>
      <c r="BD483" s="604" t="s">
        <v>395</v>
      </c>
      <c r="BE483" s="604" t="s">
        <v>450</v>
      </c>
      <c r="BF483" s="604" t="s">
        <v>103</v>
      </c>
      <c r="BG483" s="604">
        <v>29</v>
      </c>
      <c r="BH483" s="604" t="s">
        <v>445</v>
      </c>
      <c r="BY483" s="553" t="str">
        <f t="shared" si="72"/>
        <v>2003TaranakidhbSIDS</v>
      </c>
      <c r="BZ483" s="604">
        <v>2003</v>
      </c>
      <c r="CA483" s="604" t="s">
        <v>93</v>
      </c>
      <c r="CB483" s="604" t="s">
        <v>448</v>
      </c>
      <c r="CC483" s="604">
        <v>4</v>
      </c>
      <c r="CD483" s="604" t="s">
        <v>32</v>
      </c>
      <c r="CF483" s="559" t="str">
        <f t="shared" si="73"/>
        <v>5yearsEuropean or OtherHutt ValleydhbSIDS</v>
      </c>
      <c r="CG483" s="604" t="s">
        <v>475</v>
      </c>
      <c r="CH483" s="604" t="s">
        <v>356</v>
      </c>
      <c r="CI483" s="604" t="s">
        <v>97</v>
      </c>
      <c r="CJ483" s="604" t="s">
        <v>448</v>
      </c>
      <c r="CK483" s="604">
        <v>1</v>
      </c>
      <c r="CL483" s="604" t="s">
        <v>32</v>
      </c>
    </row>
    <row r="484" spans="9:90">
      <c r="I484" s="578" t="str">
        <f t="shared" si="66"/>
        <v>2001bwt4500+Fetal</v>
      </c>
      <c r="J484" s="604">
        <v>2001</v>
      </c>
      <c r="K484" s="604" t="s">
        <v>447</v>
      </c>
      <c r="L484" s="604" t="s">
        <v>432</v>
      </c>
      <c r="M484" s="604">
        <v>5</v>
      </c>
      <c r="N484" s="604">
        <v>1415</v>
      </c>
      <c r="O484" s="604">
        <v>3.5</v>
      </c>
      <c r="P484" s="604" t="s">
        <v>47</v>
      </c>
      <c r="Q484" s="499"/>
      <c r="R484" s="502" t="str">
        <f t="shared" si="67"/>
        <v>2005birthsdhbSouthern</v>
      </c>
      <c r="S484" s="604">
        <v>2005</v>
      </c>
      <c r="T484" s="604" t="s">
        <v>445</v>
      </c>
      <c r="U484" s="604" t="s">
        <v>448</v>
      </c>
      <c r="V484" s="604" t="s">
        <v>103</v>
      </c>
      <c r="W484" s="604">
        <v>3419</v>
      </c>
      <c r="Y484" s="535" t="str">
        <f t="shared" si="68"/>
        <v>2016sexethMaleEuropean or Otherfetal</v>
      </c>
      <c r="Z484" s="604">
        <v>2016</v>
      </c>
      <c r="AA484" s="604" t="s">
        <v>451</v>
      </c>
      <c r="AB484" s="604" t="s">
        <v>449</v>
      </c>
      <c r="AC484" s="604" t="s">
        <v>70</v>
      </c>
      <c r="AD484" s="604" t="s">
        <v>356</v>
      </c>
      <c r="AE484" s="604">
        <v>92</v>
      </c>
      <c r="AF484" s="604">
        <v>13444</v>
      </c>
      <c r="AG484" s="604">
        <v>6.8</v>
      </c>
      <c r="AH484" s="604" t="s">
        <v>420</v>
      </c>
      <c r="AJ484" s="535" t="str">
        <f t="shared" si="69"/>
        <v>2016sexethMaleEuropean or Other</v>
      </c>
      <c r="AK484" s="604">
        <v>2016</v>
      </c>
      <c r="AL484" s="604" t="s">
        <v>451</v>
      </c>
      <c r="AM484" s="604" t="s">
        <v>449</v>
      </c>
      <c r="AN484" s="604" t="s">
        <v>70</v>
      </c>
      <c r="AO484" s="604" t="s">
        <v>356</v>
      </c>
      <c r="AP484" s="604">
        <v>13444</v>
      </c>
      <c r="AR484" s="538" t="str">
        <f t="shared" si="70"/>
        <v>Ind/UnksexfetalNew Zealand</v>
      </c>
      <c r="AS484" s="604">
        <v>2016</v>
      </c>
      <c r="AT484" s="604" t="s">
        <v>458</v>
      </c>
      <c r="AU484" s="604" t="s">
        <v>451</v>
      </c>
      <c r="AV484" s="604" t="s">
        <v>16</v>
      </c>
      <c r="AW484" s="604">
        <v>8</v>
      </c>
      <c r="AX484" s="604">
        <v>8</v>
      </c>
      <c r="AY484" s="606" t="s">
        <v>119</v>
      </c>
      <c r="AZ484" s="604" t="s">
        <v>420</v>
      </c>
      <c r="BB484" s="536" t="str">
        <f t="shared" si="71"/>
        <v>32-36gestbirthsSouthern</v>
      </c>
      <c r="BC484" s="604">
        <v>2016</v>
      </c>
      <c r="BD484" s="604" t="s">
        <v>136</v>
      </c>
      <c r="BE484" s="604" t="s">
        <v>450</v>
      </c>
      <c r="BF484" s="604" t="s">
        <v>103</v>
      </c>
      <c r="BG484" s="604">
        <v>251</v>
      </c>
      <c r="BH484" s="604" t="s">
        <v>445</v>
      </c>
      <c r="BY484" s="553" t="str">
        <f t="shared" si="72"/>
        <v>2003MidCentraldhbSIDS</v>
      </c>
      <c r="BZ484" s="604">
        <v>2003</v>
      </c>
      <c r="CA484" s="604" t="s">
        <v>94</v>
      </c>
      <c r="CB484" s="604" t="s">
        <v>448</v>
      </c>
      <c r="CC484" s="604">
        <v>3</v>
      </c>
      <c r="CD484" s="604" t="s">
        <v>32</v>
      </c>
      <c r="CF484" s="559" t="str">
        <f t="shared" si="73"/>
        <v>5yearsMaoriHutt ValleydhbSIDS</v>
      </c>
      <c r="CG484" s="604" t="s">
        <v>475</v>
      </c>
      <c r="CH484" s="604" t="s">
        <v>129</v>
      </c>
      <c r="CI484" s="604" t="s">
        <v>97</v>
      </c>
      <c r="CJ484" s="604" t="s">
        <v>448</v>
      </c>
      <c r="CK484" s="604">
        <v>4</v>
      </c>
      <c r="CL484" s="604" t="s">
        <v>32</v>
      </c>
    </row>
    <row r="485" spans="9:90">
      <c r="I485" s="578" t="str">
        <f t="shared" si="66"/>
        <v>2001bwtUnknownFetal</v>
      </c>
      <c r="J485" s="604">
        <v>2001</v>
      </c>
      <c r="K485" s="604" t="s">
        <v>447</v>
      </c>
      <c r="L485" s="604" t="s">
        <v>63</v>
      </c>
      <c r="M485" s="604">
        <v>5</v>
      </c>
      <c r="N485" s="604">
        <v>108</v>
      </c>
      <c r="O485" s="604" t="s">
        <v>119</v>
      </c>
      <c r="P485" s="604" t="s">
        <v>47</v>
      </c>
      <c r="Q485" s="499"/>
      <c r="R485" s="502" t="str">
        <f t="shared" si="67"/>
        <v>2005birthsdhbUnknown</v>
      </c>
      <c r="S485" s="604">
        <v>2005</v>
      </c>
      <c r="T485" s="604" t="s">
        <v>445</v>
      </c>
      <c r="U485" s="604" t="s">
        <v>448</v>
      </c>
      <c r="V485" s="604" t="s">
        <v>63</v>
      </c>
      <c r="W485" s="604">
        <v>247</v>
      </c>
      <c r="Y485" s="535" t="str">
        <f t="shared" si="68"/>
        <v>2016sexethFemaleEuropean or Otherfetal</v>
      </c>
      <c r="Z485" s="604">
        <v>2016</v>
      </c>
      <c r="AA485" s="604" t="s">
        <v>451</v>
      </c>
      <c r="AB485" s="604" t="s">
        <v>449</v>
      </c>
      <c r="AC485" s="604" t="s">
        <v>71</v>
      </c>
      <c r="AD485" s="604" t="s">
        <v>356</v>
      </c>
      <c r="AE485" s="604">
        <v>80</v>
      </c>
      <c r="AF485" s="604">
        <v>12785</v>
      </c>
      <c r="AG485" s="604">
        <v>6.2</v>
      </c>
      <c r="AH485" s="604" t="s">
        <v>420</v>
      </c>
      <c r="AJ485" s="535" t="str">
        <f t="shared" si="69"/>
        <v>2016sexethFemaleEuropean or Other</v>
      </c>
      <c r="AK485" s="604">
        <v>2016</v>
      </c>
      <c r="AL485" s="604" t="s">
        <v>451</v>
      </c>
      <c r="AM485" s="604" t="s">
        <v>449</v>
      </c>
      <c r="AN485" s="604" t="s">
        <v>71</v>
      </c>
      <c r="AO485" s="604" t="s">
        <v>356</v>
      </c>
      <c r="AP485" s="604">
        <v>12785</v>
      </c>
      <c r="AR485" s="538" t="str">
        <f t="shared" si="70"/>
        <v>Quin 1depfetalNew Zealand</v>
      </c>
      <c r="AS485" s="604">
        <v>2016</v>
      </c>
      <c r="AT485" s="604" t="s">
        <v>421</v>
      </c>
      <c r="AU485" s="604" t="s">
        <v>454</v>
      </c>
      <c r="AV485" s="604" t="s">
        <v>16</v>
      </c>
      <c r="AW485" s="604">
        <v>43</v>
      </c>
      <c r="AX485" s="604">
        <v>9237</v>
      </c>
      <c r="AY485" s="606">
        <v>4.7</v>
      </c>
      <c r="AZ485" s="604" t="s">
        <v>420</v>
      </c>
      <c r="BB485" s="536" t="str">
        <f t="shared" si="71"/>
        <v>37-41gestbirthsSouthern</v>
      </c>
      <c r="BC485" s="604">
        <v>2016</v>
      </c>
      <c r="BD485" s="604" t="s">
        <v>137</v>
      </c>
      <c r="BE485" s="604" t="s">
        <v>450</v>
      </c>
      <c r="BF485" s="604" t="s">
        <v>103</v>
      </c>
      <c r="BG485" s="604">
        <v>3076</v>
      </c>
      <c r="BH485" s="604" t="s">
        <v>445</v>
      </c>
      <c r="BY485" s="553" t="str">
        <f t="shared" si="72"/>
        <v>2003WhanganuidhbSIDS</v>
      </c>
      <c r="BZ485" s="604">
        <v>2003</v>
      </c>
      <c r="CA485" s="604" t="s">
        <v>95</v>
      </c>
      <c r="CB485" s="604" t="s">
        <v>448</v>
      </c>
      <c r="CC485" s="604">
        <v>1</v>
      </c>
      <c r="CD485" s="604" t="s">
        <v>32</v>
      </c>
      <c r="CF485" s="559" t="str">
        <f t="shared" si="73"/>
        <v>5yearsPacific peoplesHutt ValleydhbSIDS</v>
      </c>
      <c r="CG485" s="604" t="s">
        <v>475</v>
      </c>
      <c r="CH485" s="604" t="s">
        <v>320</v>
      </c>
      <c r="CI485" s="604" t="s">
        <v>97</v>
      </c>
      <c r="CJ485" s="604" t="s">
        <v>448</v>
      </c>
      <c r="CK485" s="604">
        <v>0</v>
      </c>
      <c r="CL485" s="604" t="s">
        <v>32</v>
      </c>
    </row>
    <row r="486" spans="9:90">
      <c r="I486" s="578" t="str">
        <f t="shared" si="66"/>
        <v>2002bwt&lt;500Fetal</v>
      </c>
      <c r="J486" s="604">
        <v>2002</v>
      </c>
      <c r="K486" s="604" t="s">
        <v>447</v>
      </c>
      <c r="L486" s="604" t="s">
        <v>427</v>
      </c>
      <c r="M486" s="604">
        <v>160</v>
      </c>
      <c r="N486" s="604">
        <v>227</v>
      </c>
      <c r="O486" s="604">
        <v>704.8</v>
      </c>
      <c r="P486" s="604" t="s">
        <v>47</v>
      </c>
      <c r="Q486" s="499"/>
      <c r="R486" s="502" t="str">
        <f t="shared" si="67"/>
        <v>2006birthsdhbNorthland</v>
      </c>
      <c r="S486" s="604">
        <v>2006</v>
      </c>
      <c r="T486" s="604" t="s">
        <v>445</v>
      </c>
      <c r="U486" s="604" t="s">
        <v>448</v>
      </c>
      <c r="V486" s="604" t="s">
        <v>85</v>
      </c>
      <c r="W486" s="604">
        <v>2299</v>
      </c>
      <c r="Y486" s="535" t="str">
        <f t="shared" si="68"/>
        <v>2016bwteth&lt;500Maorifetal</v>
      </c>
      <c r="Z486" s="604">
        <v>2016</v>
      </c>
      <c r="AA486" s="604" t="s">
        <v>447</v>
      </c>
      <c r="AB486" s="604" t="s">
        <v>449</v>
      </c>
      <c r="AC486" s="604" t="s">
        <v>427</v>
      </c>
      <c r="AD486" s="604" t="s">
        <v>129</v>
      </c>
      <c r="AE486" s="604">
        <v>44</v>
      </c>
      <c r="AF486" s="604">
        <v>14</v>
      </c>
      <c r="AG486" s="604" t="s">
        <v>119</v>
      </c>
      <c r="AH486" s="604" t="s">
        <v>420</v>
      </c>
      <c r="AJ486" s="535" t="str">
        <f t="shared" si="69"/>
        <v>2016bwteth&lt;500Maori</v>
      </c>
      <c r="AK486" s="604">
        <v>2016</v>
      </c>
      <c r="AL486" s="604" t="s">
        <v>447</v>
      </c>
      <c r="AM486" s="604" t="s">
        <v>449</v>
      </c>
      <c r="AN486" s="604" t="s">
        <v>427</v>
      </c>
      <c r="AO486" s="604" t="s">
        <v>129</v>
      </c>
      <c r="AP486" s="604">
        <v>14</v>
      </c>
      <c r="AR486" s="538" t="str">
        <f t="shared" si="70"/>
        <v>Quin 2depfetalNew Zealand</v>
      </c>
      <c r="AS486" s="604">
        <v>2016</v>
      </c>
      <c r="AT486" s="604" t="s">
        <v>422</v>
      </c>
      <c r="AU486" s="604" t="s">
        <v>454</v>
      </c>
      <c r="AV486" s="604" t="s">
        <v>16</v>
      </c>
      <c r="AW486" s="604">
        <v>64</v>
      </c>
      <c r="AX486" s="604">
        <v>10187</v>
      </c>
      <c r="AY486" s="606">
        <v>6.3</v>
      </c>
      <c r="AZ486" s="604" t="s">
        <v>420</v>
      </c>
      <c r="BB486" s="536" t="str">
        <f t="shared" si="71"/>
        <v>42+gestbirthsSouthern</v>
      </c>
      <c r="BC486" s="604">
        <v>2016</v>
      </c>
      <c r="BD486" s="604" t="s">
        <v>138</v>
      </c>
      <c r="BE486" s="604" t="s">
        <v>450</v>
      </c>
      <c r="BF486" s="604" t="s">
        <v>103</v>
      </c>
      <c r="BG486" s="604">
        <v>40</v>
      </c>
      <c r="BH486" s="604" t="s">
        <v>445</v>
      </c>
      <c r="BY486" s="553" t="str">
        <f t="shared" si="72"/>
        <v>2003Capital &amp; CoastdhbSIDS</v>
      </c>
      <c r="BZ486" s="604">
        <v>2003</v>
      </c>
      <c r="CA486" s="604" t="s">
        <v>96</v>
      </c>
      <c r="CB486" s="604" t="s">
        <v>448</v>
      </c>
      <c r="CC486" s="604">
        <v>0</v>
      </c>
      <c r="CD486" s="604" t="s">
        <v>32</v>
      </c>
      <c r="CF486" s="559" t="str">
        <f t="shared" si="73"/>
        <v>5yearsEuropean or OtherWairarapadhbSIDS</v>
      </c>
      <c r="CG486" s="604" t="s">
        <v>475</v>
      </c>
      <c r="CH486" s="604" t="s">
        <v>356</v>
      </c>
      <c r="CI486" s="604" t="s">
        <v>98</v>
      </c>
      <c r="CJ486" s="604" t="s">
        <v>448</v>
      </c>
      <c r="CK486" s="604">
        <v>1</v>
      </c>
      <c r="CL486" s="604" t="s">
        <v>32</v>
      </c>
    </row>
    <row r="487" spans="9:90">
      <c r="I487" s="578" t="str">
        <f t="shared" si="66"/>
        <v>2002bwt500-999Fetal</v>
      </c>
      <c r="J487" s="604">
        <v>2002</v>
      </c>
      <c r="K487" s="604" t="s">
        <v>447</v>
      </c>
      <c r="L487" s="604" t="s">
        <v>428</v>
      </c>
      <c r="M487" s="604">
        <v>62</v>
      </c>
      <c r="N487" s="604">
        <v>333</v>
      </c>
      <c r="O487" s="604">
        <v>186.2</v>
      </c>
      <c r="P487" s="604" t="s">
        <v>47</v>
      </c>
      <c r="Q487" s="499"/>
      <c r="R487" s="502" t="str">
        <f t="shared" si="67"/>
        <v>2006birthsdhbWaitemata</v>
      </c>
      <c r="S487" s="604">
        <v>2006</v>
      </c>
      <c r="T487" s="604" t="s">
        <v>445</v>
      </c>
      <c r="U487" s="604" t="s">
        <v>448</v>
      </c>
      <c r="V487" s="604" t="s">
        <v>86</v>
      </c>
      <c r="W487" s="604">
        <v>7318</v>
      </c>
      <c r="Y487" s="535" t="str">
        <f t="shared" si="68"/>
        <v>2016bwteth500-999Maorifetal</v>
      </c>
      <c r="Z487" s="604">
        <v>2016</v>
      </c>
      <c r="AA487" s="604" t="s">
        <v>447</v>
      </c>
      <c r="AB487" s="604" t="s">
        <v>449</v>
      </c>
      <c r="AC487" s="604" t="s">
        <v>428</v>
      </c>
      <c r="AD487" s="604" t="s">
        <v>129</v>
      </c>
      <c r="AE487" s="604">
        <v>29</v>
      </c>
      <c r="AF487" s="604">
        <v>65</v>
      </c>
      <c r="AG487" s="604">
        <v>308.5</v>
      </c>
      <c r="AH487" s="604" t="s">
        <v>420</v>
      </c>
      <c r="AJ487" s="535" t="str">
        <f t="shared" si="69"/>
        <v>2016bwteth500-999Maori</v>
      </c>
      <c r="AK487" s="604">
        <v>2016</v>
      </c>
      <c r="AL487" s="604" t="s">
        <v>447</v>
      </c>
      <c r="AM487" s="604" t="s">
        <v>449</v>
      </c>
      <c r="AN487" s="604" t="s">
        <v>428</v>
      </c>
      <c r="AO487" s="604" t="s">
        <v>129</v>
      </c>
      <c r="AP487" s="604">
        <v>65</v>
      </c>
      <c r="AR487" s="538" t="str">
        <f t="shared" si="70"/>
        <v>Quin 3depfetalNew Zealand</v>
      </c>
      <c r="AS487" s="604">
        <v>2016</v>
      </c>
      <c r="AT487" s="604" t="s">
        <v>423</v>
      </c>
      <c r="AU487" s="604" t="s">
        <v>454</v>
      </c>
      <c r="AV487" s="604" t="s">
        <v>16</v>
      </c>
      <c r="AW487" s="604">
        <v>68</v>
      </c>
      <c r="AX487" s="604">
        <v>11039</v>
      </c>
      <c r="AY487" s="606">
        <v>6.2</v>
      </c>
      <c r="AZ487" s="604" t="s">
        <v>420</v>
      </c>
      <c r="BB487" s="536" t="str">
        <f t="shared" si="71"/>
        <v>UnknowngestbirthsSouthern</v>
      </c>
      <c r="BC487" s="604">
        <v>2016</v>
      </c>
      <c r="BD487" s="604" t="s">
        <v>63</v>
      </c>
      <c r="BE487" s="604" t="s">
        <v>450</v>
      </c>
      <c r="BF487" s="604" t="s">
        <v>103</v>
      </c>
      <c r="BG487" s="604">
        <v>1</v>
      </c>
      <c r="BH487" s="604" t="s">
        <v>445</v>
      </c>
      <c r="BY487" s="553" t="str">
        <f t="shared" si="72"/>
        <v>2003Hutt ValleydhbSIDS</v>
      </c>
      <c r="BZ487" s="604">
        <v>2003</v>
      </c>
      <c r="CA487" s="604" t="s">
        <v>97</v>
      </c>
      <c r="CB487" s="604" t="s">
        <v>448</v>
      </c>
      <c r="CC487" s="604">
        <v>1</v>
      </c>
      <c r="CD487" s="604" t="s">
        <v>32</v>
      </c>
      <c r="CF487" s="559" t="str">
        <f t="shared" si="73"/>
        <v>5yearsMaoriWairarapadhbSIDS</v>
      </c>
      <c r="CG487" s="604" t="s">
        <v>475</v>
      </c>
      <c r="CH487" s="604" t="s">
        <v>129</v>
      </c>
      <c r="CI487" s="604" t="s">
        <v>98</v>
      </c>
      <c r="CJ487" s="604" t="s">
        <v>448</v>
      </c>
      <c r="CK487" s="604">
        <v>0</v>
      </c>
      <c r="CL487" s="604" t="s">
        <v>32</v>
      </c>
    </row>
    <row r="488" spans="9:90">
      <c r="I488" s="578" t="str">
        <f t="shared" si="66"/>
        <v>2002bwt1000-1499Fetal</v>
      </c>
      <c r="J488" s="604">
        <v>2002</v>
      </c>
      <c r="K488" s="604" t="s">
        <v>447</v>
      </c>
      <c r="L488" s="604" t="s">
        <v>429</v>
      </c>
      <c r="M488" s="604">
        <v>25</v>
      </c>
      <c r="N488" s="604">
        <v>382</v>
      </c>
      <c r="O488" s="604">
        <v>65.400000000000006</v>
      </c>
      <c r="P488" s="604" t="s">
        <v>47</v>
      </c>
      <c r="Q488" s="499"/>
      <c r="R488" s="502" t="str">
        <f t="shared" si="67"/>
        <v>2006birthsdhbAuckland</v>
      </c>
      <c r="S488" s="604">
        <v>2006</v>
      </c>
      <c r="T488" s="604" t="s">
        <v>445</v>
      </c>
      <c r="U488" s="604" t="s">
        <v>448</v>
      </c>
      <c r="V488" s="604" t="s">
        <v>87</v>
      </c>
      <c r="W488" s="604">
        <v>6285</v>
      </c>
      <c r="Y488" s="535" t="str">
        <f t="shared" si="68"/>
        <v>2016bwteth1000-1499Maorifetal</v>
      </c>
      <c r="Z488" s="604">
        <v>2016</v>
      </c>
      <c r="AA488" s="604" t="s">
        <v>447</v>
      </c>
      <c r="AB488" s="604" t="s">
        <v>449</v>
      </c>
      <c r="AC488" s="604" t="s">
        <v>429</v>
      </c>
      <c r="AD488" s="604" t="s">
        <v>129</v>
      </c>
      <c r="AE488" s="604">
        <v>8</v>
      </c>
      <c r="AF488" s="604">
        <v>119</v>
      </c>
      <c r="AG488" s="604">
        <v>63</v>
      </c>
      <c r="AH488" s="604" t="s">
        <v>420</v>
      </c>
      <c r="AJ488" s="535" t="str">
        <f t="shared" si="69"/>
        <v>2016bwteth1000-1499Maori</v>
      </c>
      <c r="AK488" s="604">
        <v>2016</v>
      </c>
      <c r="AL488" s="604" t="s">
        <v>447</v>
      </c>
      <c r="AM488" s="604" t="s">
        <v>449</v>
      </c>
      <c r="AN488" s="604" t="s">
        <v>429</v>
      </c>
      <c r="AO488" s="604" t="s">
        <v>129</v>
      </c>
      <c r="AP488" s="604">
        <v>119</v>
      </c>
      <c r="AR488" s="538" t="str">
        <f t="shared" si="70"/>
        <v>Quin 4depfetalNew Zealand</v>
      </c>
      <c r="AS488" s="604">
        <v>2016</v>
      </c>
      <c r="AT488" s="604" t="s">
        <v>424</v>
      </c>
      <c r="AU488" s="604" t="s">
        <v>454</v>
      </c>
      <c r="AV488" s="604" t="s">
        <v>16</v>
      </c>
      <c r="AW488" s="604">
        <v>90</v>
      </c>
      <c r="AX488" s="604">
        <v>13221</v>
      </c>
      <c r="AY488" s="606">
        <v>6.8</v>
      </c>
      <c r="AZ488" s="604" t="s">
        <v>420</v>
      </c>
      <c r="BB488" s="536" t="str">
        <f t="shared" si="71"/>
        <v>&lt;28gestbirthsUnknown</v>
      </c>
      <c r="BC488" s="604">
        <v>2016</v>
      </c>
      <c r="BD488" s="604" t="s">
        <v>375</v>
      </c>
      <c r="BE488" s="604" t="s">
        <v>450</v>
      </c>
      <c r="BF488" s="604" t="s">
        <v>63</v>
      </c>
      <c r="BG488" s="604">
        <v>1</v>
      </c>
      <c r="BH488" s="604" t="s">
        <v>445</v>
      </c>
      <c r="BY488" s="553" t="str">
        <f t="shared" si="72"/>
        <v>2003WairarapadhbSIDS</v>
      </c>
      <c r="BZ488" s="604">
        <v>2003</v>
      </c>
      <c r="CA488" s="604" t="s">
        <v>98</v>
      </c>
      <c r="CB488" s="604" t="s">
        <v>448</v>
      </c>
      <c r="CC488" s="604">
        <v>0</v>
      </c>
      <c r="CD488" s="604" t="s">
        <v>32</v>
      </c>
      <c r="CF488" s="559" t="str">
        <f t="shared" si="73"/>
        <v>5yearsAsianNelson MarlboroughdhbSIDS</v>
      </c>
      <c r="CG488" s="604" t="s">
        <v>475</v>
      </c>
      <c r="CH488" s="604" t="s">
        <v>355</v>
      </c>
      <c r="CI488" s="604" t="s">
        <v>99</v>
      </c>
      <c r="CJ488" s="604" t="s">
        <v>448</v>
      </c>
      <c r="CK488" s="604">
        <v>0</v>
      </c>
      <c r="CL488" s="604" t="s">
        <v>32</v>
      </c>
    </row>
    <row r="489" spans="9:90">
      <c r="I489" s="578" t="str">
        <f t="shared" si="66"/>
        <v>2002bwt1500-2499Fetal</v>
      </c>
      <c r="J489" s="604">
        <v>2002</v>
      </c>
      <c r="K489" s="604" t="s">
        <v>447</v>
      </c>
      <c r="L489" s="604" t="s">
        <v>430</v>
      </c>
      <c r="M489" s="604">
        <v>49</v>
      </c>
      <c r="N489" s="604">
        <v>2891</v>
      </c>
      <c r="O489" s="604">
        <v>16.899999999999999</v>
      </c>
      <c r="P489" s="604" t="s">
        <v>47</v>
      </c>
      <c r="Q489" s="499"/>
      <c r="R489" s="502" t="str">
        <f t="shared" si="67"/>
        <v>2006birthsdhbCounties Manukau</v>
      </c>
      <c r="S489" s="604">
        <v>2006</v>
      </c>
      <c r="T489" s="604" t="s">
        <v>445</v>
      </c>
      <c r="U489" s="604" t="s">
        <v>448</v>
      </c>
      <c r="V489" s="604" t="s">
        <v>88</v>
      </c>
      <c r="W489" s="604">
        <v>8267</v>
      </c>
      <c r="Y489" s="535" t="str">
        <f t="shared" si="68"/>
        <v>2016bwteth1500-2499Maorifetal</v>
      </c>
      <c r="Z489" s="604">
        <v>2016</v>
      </c>
      <c r="AA489" s="604" t="s">
        <v>447</v>
      </c>
      <c r="AB489" s="604" t="s">
        <v>449</v>
      </c>
      <c r="AC489" s="604" t="s">
        <v>430</v>
      </c>
      <c r="AD489" s="604" t="s">
        <v>129</v>
      </c>
      <c r="AE489" s="604">
        <v>15</v>
      </c>
      <c r="AF489" s="604">
        <v>933</v>
      </c>
      <c r="AG489" s="604">
        <v>15.8</v>
      </c>
      <c r="AH489" s="604" t="s">
        <v>420</v>
      </c>
      <c r="AJ489" s="535" t="str">
        <f t="shared" si="69"/>
        <v>2016bwteth1500-2499Maori</v>
      </c>
      <c r="AK489" s="604">
        <v>2016</v>
      </c>
      <c r="AL489" s="604" t="s">
        <v>447</v>
      </c>
      <c r="AM489" s="604" t="s">
        <v>449</v>
      </c>
      <c r="AN489" s="604" t="s">
        <v>430</v>
      </c>
      <c r="AO489" s="604" t="s">
        <v>129</v>
      </c>
      <c r="AP489" s="604">
        <v>933</v>
      </c>
      <c r="AR489" s="538" t="str">
        <f t="shared" si="70"/>
        <v>Quin 5depfetalNew Zealand</v>
      </c>
      <c r="AS489" s="604">
        <v>2016</v>
      </c>
      <c r="AT489" s="604" t="s">
        <v>425</v>
      </c>
      <c r="AU489" s="604" t="s">
        <v>454</v>
      </c>
      <c r="AV489" s="604" t="s">
        <v>16</v>
      </c>
      <c r="AW489" s="604">
        <v>126</v>
      </c>
      <c r="AX489" s="604">
        <v>17012</v>
      </c>
      <c r="AY489" s="606">
        <v>7.4</v>
      </c>
      <c r="AZ489" s="604" t="s">
        <v>420</v>
      </c>
      <c r="BB489" s="536" t="str">
        <f t="shared" si="71"/>
        <v>32-36gestbirthsUnknown</v>
      </c>
      <c r="BC489" s="604">
        <v>2016</v>
      </c>
      <c r="BD489" s="604" t="s">
        <v>136</v>
      </c>
      <c r="BE489" s="604" t="s">
        <v>450</v>
      </c>
      <c r="BF489" s="604" t="s">
        <v>63</v>
      </c>
      <c r="BG489" s="604">
        <v>12</v>
      </c>
      <c r="BH489" s="604" t="s">
        <v>445</v>
      </c>
      <c r="BY489" s="553" t="str">
        <f t="shared" si="72"/>
        <v>2003Nelson MarlboroughdhbSIDS</v>
      </c>
      <c r="BZ489" s="604">
        <v>2003</v>
      </c>
      <c r="CA489" s="604" t="s">
        <v>99</v>
      </c>
      <c r="CB489" s="604" t="s">
        <v>448</v>
      </c>
      <c r="CC489" s="604">
        <v>1</v>
      </c>
      <c r="CD489" s="604" t="s">
        <v>32</v>
      </c>
      <c r="CF489" s="559" t="str">
        <f t="shared" si="73"/>
        <v>5yearsEuropean or OtherNelson MarlboroughdhbSIDS</v>
      </c>
      <c r="CG489" s="604" t="s">
        <v>475</v>
      </c>
      <c r="CH489" s="604" t="s">
        <v>356</v>
      </c>
      <c r="CI489" s="604" t="s">
        <v>99</v>
      </c>
      <c r="CJ489" s="604" t="s">
        <v>448</v>
      </c>
      <c r="CK489" s="604">
        <v>1</v>
      </c>
      <c r="CL489" s="604" t="s">
        <v>32</v>
      </c>
    </row>
    <row r="490" spans="9:90">
      <c r="I490" s="578" t="str">
        <f t="shared" si="66"/>
        <v>2002bwt2500-4499Fetal</v>
      </c>
      <c r="J490" s="604">
        <v>2002</v>
      </c>
      <c r="K490" s="604" t="s">
        <v>447</v>
      </c>
      <c r="L490" s="604" t="s">
        <v>431</v>
      </c>
      <c r="M490" s="604">
        <v>83</v>
      </c>
      <c r="N490" s="604">
        <v>49560</v>
      </c>
      <c r="O490" s="604">
        <v>1.7</v>
      </c>
      <c r="P490" s="604" t="s">
        <v>47</v>
      </c>
      <c r="Q490" s="499"/>
      <c r="R490" s="502" t="str">
        <f t="shared" si="67"/>
        <v>2006birthsdhbWaikato</v>
      </c>
      <c r="S490" s="604">
        <v>2006</v>
      </c>
      <c r="T490" s="604" t="s">
        <v>445</v>
      </c>
      <c r="U490" s="604" t="s">
        <v>448</v>
      </c>
      <c r="V490" s="604" t="s">
        <v>89</v>
      </c>
      <c r="W490" s="604">
        <v>5058</v>
      </c>
      <c r="Y490" s="535" t="str">
        <f t="shared" si="68"/>
        <v>2016bwteth2500-4499Maorifetal</v>
      </c>
      <c r="Z490" s="604">
        <v>2016</v>
      </c>
      <c r="AA490" s="604" t="s">
        <v>447</v>
      </c>
      <c r="AB490" s="604" t="s">
        <v>449</v>
      </c>
      <c r="AC490" s="604" t="s">
        <v>431</v>
      </c>
      <c r="AD490" s="604" t="s">
        <v>129</v>
      </c>
      <c r="AE490" s="604">
        <v>18</v>
      </c>
      <c r="AF490" s="604">
        <v>15761</v>
      </c>
      <c r="AG490" s="604">
        <v>1.1000000000000001</v>
      </c>
      <c r="AH490" s="604" t="s">
        <v>420</v>
      </c>
      <c r="AJ490" s="535" t="str">
        <f t="shared" si="69"/>
        <v>2016bwteth2500-4499Maori</v>
      </c>
      <c r="AK490" s="604">
        <v>2016</v>
      </c>
      <c r="AL490" s="604" t="s">
        <v>447</v>
      </c>
      <c r="AM490" s="604" t="s">
        <v>449</v>
      </c>
      <c r="AN490" s="604" t="s">
        <v>431</v>
      </c>
      <c r="AO490" s="604" t="s">
        <v>129</v>
      </c>
      <c r="AP490" s="604">
        <v>15761</v>
      </c>
      <c r="AR490" s="538" t="str">
        <f t="shared" si="70"/>
        <v>Quin 9depfetalNew Zealand</v>
      </c>
      <c r="AS490" s="604">
        <v>2016</v>
      </c>
      <c r="AT490" s="604" t="s">
        <v>426</v>
      </c>
      <c r="AU490" s="604" t="s">
        <v>454</v>
      </c>
      <c r="AV490" s="604" t="s">
        <v>16</v>
      </c>
      <c r="AW490" s="604">
        <v>22</v>
      </c>
      <c r="AX490" s="604">
        <v>153</v>
      </c>
      <c r="AY490" s="606" t="s">
        <v>119</v>
      </c>
      <c r="AZ490" s="604" t="s">
        <v>420</v>
      </c>
      <c r="BB490" s="536" t="str">
        <f t="shared" si="71"/>
        <v>37-41gestbirthsUnknown</v>
      </c>
      <c r="BC490" s="604">
        <v>2016</v>
      </c>
      <c r="BD490" s="604" t="s">
        <v>137</v>
      </c>
      <c r="BE490" s="604" t="s">
        <v>450</v>
      </c>
      <c r="BF490" s="604" t="s">
        <v>63</v>
      </c>
      <c r="BG490" s="604">
        <v>112</v>
      </c>
      <c r="BH490" s="604" t="s">
        <v>445</v>
      </c>
      <c r="BY490" s="553" t="str">
        <f t="shared" si="72"/>
        <v>2003West CoastdhbSIDS</v>
      </c>
      <c r="BZ490" s="604">
        <v>2003</v>
      </c>
      <c r="CA490" s="604" t="s">
        <v>100</v>
      </c>
      <c r="CB490" s="604" t="s">
        <v>448</v>
      </c>
      <c r="CC490" s="604">
        <v>0</v>
      </c>
      <c r="CD490" s="604" t="s">
        <v>32</v>
      </c>
      <c r="CF490" s="559" t="str">
        <f t="shared" si="73"/>
        <v>5yearsMaoriNelson MarlboroughdhbSIDS</v>
      </c>
      <c r="CG490" s="604" t="s">
        <v>475</v>
      </c>
      <c r="CH490" s="604" t="s">
        <v>129</v>
      </c>
      <c r="CI490" s="604" t="s">
        <v>99</v>
      </c>
      <c r="CJ490" s="604" t="s">
        <v>448</v>
      </c>
      <c r="CK490" s="604">
        <v>0</v>
      </c>
      <c r="CL490" s="604" t="s">
        <v>32</v>
      </c>
    </row>
    <row r="491" spans="9:90">
      <c r="I491" s="578" t="str">
        <f t="shared" si="66"/>
        <v>2002bwt4500+Fetal</v>
      </c>
      <c r="J491" s="604">
        <v>2002</v>
      </c>
      <c r="K491" s="604" t="s">
        <v>447</v>
      </c>
      <c r="L491" s="604" t="s">
        <v>432</v>
      </c>
      <c r="M491" s="604">
        <v>1</v>
      </c>
      <c r="N491" s="604">
        <v>1361</v>
      </c>
      <c r="O491" s="604">
        <v>0.7</v>
      </c>
      <c r="P491" s="604" t="s">
        <v>47</v>
      </c>
      <c r="Q491" s="499"/>
      <c r="R491" s="502" t="str">
        <f t="shared" si="67"/>
        <v>2006birthsdhbLakes</v>
      </c>
      <c r="S491" s="604">
        <v>2006</v>
      </c>
      <c r="T491" s="604" t="s">
        <v>445</v>
      </c>
      <c r="U491" s="604" t="s">
        <v>448</v>
      </c>
      <c r="V491" s="604" t="s">
        <v>90</v>
      </c>
      <c r="W491" s="604">
        <v>1632</v>
      </c>
      <c r="Y491" s="535" t="str">
        <f t="shared" si="68"/>
        <v>2016bwteth4500+Maorifetal</v>
      </c>
      <c r="Z491" s="604">
        <v>2016</v>
      </c>
      <c r="AA491" s="604" t="s">
        <v>447</v>
      </c>
      <c r="AB491" s="604" t="s">
        <v>449</v>
      </c>
      <c r="AC491" s="604" t="s">
        <v>432</v>
      </c>
      <c r="AD491" s="604" t="s">
        <v>129</v>
      </c>
      <c r="AE491" s="604">
        <v>1</v>
      </c>
      <c r="AF491" s="604">
        <v>426</v>
      </c>
      <c r="AG491" s="604">
        <v>2.2999999999999998</v>
      </c>
      <c r="AH491" s="604" t="s">
        <v>420</v>
      </c>
      <c r="AJ491" s="535" t="str">
        <f t="shared" si="69"/>
        <v>2016bwteth4500+Maori</v>
      </c>
      <c r="AK491" s="604">
        <v>2016</v>
      </c>
      <c r="AL491" s="604" t="s">
        <v>447</v>
      </c>
      <c r="AM491" s="604" t="s">
        <v>449</v>
      </c>
      <c r="AN491" s="604" t="s">
        <v>432</v>
      </c>
      <c r="AO491" s="604" t="s">
        <v>129</v>
      </c>
      <c r="AP491" s="604">
        <v>426</v>
      </c>
      <c r="AR491" s="538" t="str">
        <f t="shared" si="70"/>
        <v>&lt;28gestfetalNew Zealand</v>
      </c>
      <c r="AS491" s="604">
        <v>2016</v>
      </c>
      <c r="AT491" s="604" t="s">
        <v>375</v>
      </c>
      <c r="AU491" s="604" t="s">
        <v>450</v>
      </c>
      <c r="AV491" s="604" t="s">
        <v>16</v>
      </c>
      <c r="AW491" s="604">
        <v>227</v>
      </c>
      <c r="AX491" s="604">
        <v>487</v>
      </c>
      <c r="AY491" s="606">
        <v>466.1</v>
      </c>
      <c r="AZ491" s="604" t="s">
        <v>420</v>
      </c>
      <c r="BB491" s="536" t="str">
        <f t="shared" si="71"/>
        <v>42+gestbirthsUnknown</v>
      </c>
      <c r="BC491" s="604">
        <v>2016</v>
      </c>
      <c r="BD491" s="604" t="s">
        <v>138</v>
      </c>
      <c r="BE491" s="604" t="s">
        <v>450</v>
      </c>
      <c r="BF491" s="604" t="s">
        <v>63</v>
      </c>
      <c r="BG491" s="604">
        <v>4</v>
      </c>
      <c r="BH491" s="604" t="s">
        <v>445</v>
      </c>
      <c r="BY491" s="553" t="str">
        <f t="shared" si="72"/>
        <v>2003CanterburydhbSIDS</v>
      </c>
      <c r="BZ491" s="604">
        <v>2003</v>
      </c>
      <c r="CA491" s="604" t="s">
        <v>101</v>
      </c>
      <c r="CB491" s="604" t="s">
        <v>448</v>
      </c>
      <c r="CC491" s="604">
        <v>0</v>
      </c>
      <c r="CD491" s="604" t="s">
        <v>32</v>
      </c>
      <c r="CF491" s="559" t="str">
        <f t="shared" si="73"/>
        <v>5yearsPacific peoplesNelson MarlboroughdhbSIDS</v>
      </c>
      <c r="CG491" s="604" t="s">
        <v>475</v>
      </c>
      <c r="CH491" s="604" t="s">
        <v>320</v>
      </c>
      <c r="CI491" s="604" t="s">
        <v>99</v>
      </c>
      <c r="CJ491" s="604" t="s">
        <v>448</v>
      </c>
      <c r="CK491" s="604">
        <v>0</v>
      </c>
      <c r="CL491" s="604" t="s">
        <v>32</v>
      </c>
    </row>
    <row r="492" spans="9:90">
      <c r="I492" s="578" t="str">
        <f t="shared" si="66"/>
        <v>2002bwtUnknownFetal</v>
      </c>
      <c r="J492" s="604">
        <v>2002</v>
      </c>
      <c r="K492" s="604" t="s">
        <v>447</v>
      </c>
      <c r="L492" s="604" t="s">
        <v>63</v>
      </c>
      <c r="M492" s="604">
        <v>10</v>
      </c>
      <c r="N492" s="604">
        <v>151</v>
      </c>
      <c r="O492" s="604" t="s">
        <v>119</v>
      </c>
      <c r="P492" s="604" t="s">
        <v>47</v>
      </c>
      <c r="Q492" s="499"/>
      <c r="R492" s="502" t="str">
        <f t="shared" si="67"/>
        <v>2006birthsdhbBay of Plenty</v>
      </c>
      <c r="S492" s="604">
        <v>2006</v>
      </c>
      <c r="T492" s="604" t="s">
        <v>445</v>
      </c>
      <c r="U492" s="604" t="s">
        <v>448</v>
      </c>
      <c r="V492" s="604" t="s">
        <v>91</v>
      </c>
      <c r="W492" s="604">
        <v>2824</v>
      </c>
      <c r="Y492" s="535" t="str">
        <f t="shared" si="68"/>
        <v>2016bwtethUnknownMaorifetal</v>
      </c>
      <c r="Z492" s="604">
        <v>2016</v>
      </c>
      <c r="AA492" s="604" t="s">
        <v>447</v>
      </c>
      <c r="AB492" s="604" t="s">
        <v>449</v>
      </c>
      <c r="AC492" s="604" t="s">
        <v>63</v>
      </c>
      <c r="AD492" s="604" t="s">
        <v>129</v>
      </c>
      <c r="AE492" s="604">
        <v>7</v>
      </c>
      <c r="AF492" s="604">
        <v>11</v>
      </c>
      <c r="AG492" s="604" t="s">
        <v>119</v>
      </c>
      <c r="AH492" s="604" t="s">
        <v>420</v>
      </c>
      <c r="AJ492" s="535" t="str">
        <f t="shared" si="69"/>
        <v>2016bwtethUnknownMaori</v>
      </c>
      <c r="AK492" s="604">
        <v>2016</v>
      </c>
      <c r="AL492" s="604" t="s">
        <v>447</v>
      </c>
      <c r="AM492" s="604" t="s">
        <v>449</v>
      </c>
      <c r="AN492" s="604" t="s">
        <v>63</v>
      </c>
      <c r="AO492" s="604" t="s">
        <v>129</v>
      </c>
      <c r="AP492" s="604">
        <v>11</v>
      </c>
      <c r="AR492" s="538" t="str">
        <f t="shared" si="70"/>
        <v>28-31gestfetalNew Zealand</v>
      </c>
      <c r="AS492" s="604">
        <v>2016</v>
      </c>
      <c r="AT492" s="604" t="s">
        <v>395</v>
      </c>
      <c r="AU492" s="604" t="s">
        <v>450</v>
      </c>
      <c r="AV492" s="604" t="s">
        <v>16</v>
      </c>
      <c r="AW492" s="604">
        <v>38</v>
      </c>
      <c r="AX492" s="604">
        <v>455</v>
      </c>
      <c r="AY492" s="606">
        <v>83.5</v>
      </c>
      <c r="AZ492" s="604" t="s">
        <v>420</v>
      </c>
      <c r="BB492" s="536" t="str">
        <f t="shared" si="71"/>
        <v>UnknowngestbirthsUnknown</v>
      </c>
      <c r="BC492" s="604">
        <v>2016</v>
      </c>
      <c r="BD492" s="604" t="s">
        <v>63</v>
      </c>
      <c r="BE492" s="604" t="s">
        <v>450</v>
      </c>
      <c r="BF492" s="604" t="s">
        <v>63</v>
      </c>
      <c r="BG492" s="604">
        <v>1</v>
      </c>
      <c r="BH492" s="604" t="s">
        <v>445</v>
      </c>
      <c r="BY492" s="553" t="str">
        <f t="shared" si="72"/>
        <v>2003South CanterburydhbSIDS</v>
      </c>
      <c r="BZ492" s="604">
        <v>2003</v>
      </c>
      <c r="CA492" s="604" t="s">
        <v>102</v>
      </c>
      <c r="CB492" s="604" t="s">
        <v>448</v>
      </c>
      <c r="CC492" s="604">
        <v>0</v>
      </c>
      <c r="CD492" s="604" t="s">
        <v>32</v>
      </c>
      <c r="CF492" s="559" t="str">
        <f t="shared" si="73"/>
        <v>5yearsEuropean or OtherWest CoastdhbSIDS</v>
      </c>
      <c r="CG492" s="604" t="s">
        <v>475</v>
      </c>
      <c r="CH492" s="604" t="s">
        <v>356</v>
      </c>
      <c r="CI492" s="604" t="s">
        <v>100</v>
      </c>
      <c r="CJ492" s="604" t="s">
        <v>448</v>
      </c>
      <c r="CK492" s="604">
        <v>0</v>
      </c>
      <c r="CL492" s="604" t="s">
        <v>32</v>
      </c>
    </row>
    <row r="493" spans="9:90">
      <c r="I493" s="578" t="str">
        <f t="shared" si="66"/>
        <v>2003bwt&lt;500Fetal</v>
      </c>
      <c r="J493" s="604">
        <v>2003</v>
      </c>
      <c r="K493" s="604" t="s">
        <v>447</v>
      </c>
      <c r="L493" s="604" t="s">
        <v>427</v>
      </c>
      <c r="M493" s="604">
        <v>125</v>
      </c>
      <c r="N493" s="604">
        <v>173</v>
      </c>
      <c r="O493" s="604">
        <v>722.5</v>
      </c>
      <c r="P493" s="604" t="s">
        <v>47</v>
      </c>
      <c r="Q493" s="499"/>
      <c r="R493" s="502" t="str">
        <f t="shared" si="67"/>
        <v>2006birthsdhbTairawhiti</v>
      </c>
      <c r="S493" s="604">
        <v>2006</v>
      </c>
      <c r="T493" s="604" t="s">
        <v>445</v>
      </c>
      <c r="U493" s="604" t="s">
        <v>448</v>
      </c>
      <c r="V493" s="604" t="s">
        <v>433</v>
      </c>
      <c r="W493" s="604">
        <v>747</v>
      </c>
      <c r="Y493" s="535" t="str">
        <f t="shared" si="68"/>
        <v>2016bwteth&lt;500Pacific peoplesfetal</v>
      </c>
      <c r="Z493" s="604">
        <v>2016</v>
      </c>
      <c r="AA493" s="604" t="s">
        <v>447</v>
      </c>
      <c r="AB493" s="604" t="s">
        <v>449</v>
      </c>
      <c r="AC493" s="604" t="s">
        <v>427</v>
      </c>
      <c r="AD493" s="604" t="s">
        <v>320</v>
      </c>
      <c r="AE493" s="604">
        <v>7</v>
      </c>
      <c r="AF493" s="604">
        <v>5</v>
      </c>
      <c r="AG493" s="604" t="s">
        <v>119</v>
      </c>
      <c r="AH493" s="604" t="s">
        <v>420</v>
      </c>
      <c r="AJ493" s="535" t="str">
        <f t="shared" si="69"/>
        <v>2016bwteth&lt;500Pacific peoples</v>
      </c>
      <c r="AK493" s="604">
        <v>2016</v>
      </c>
      <c r="AL493" s="604" t="s">
        <v>447</v>
      </c>
      <c r="AM493" s="604" t="s">
        <v>449</v>
      </c>
      <c r="AN493" s="604" t="s">
        <v>427</v>
      </c>
      <c r="AO493" s="604" t="s">
        <v>320</v>
      </c>
      <c r="AP493" s="604">
        <v>5</v>
      </c>
      <c r="AR493" s="538" t="str">
        <f t="shared" si="70"/>
        <v>32-36gestfetalNew Zealand</v>
      </c>
      <c r="AS493" s="604">
        <v>2016</v>
      </c>
      <c r="AT493" s="604" t="s">
        <v>136</v>
      </c>
      <c r="AU493" s="604" t="s">
        <v>450</v>
      </c>
      <c r="AV493" s="604" t="s">
        <v>16</v>
      </c>
      <c r="AW493" s="604">
        <v>56</v>
      </c>
      <c r="AX493" s="604">
        <v>3870</v>
      </c>
      <c r="AY493" s="606">
        <v>14.5</v>
      </c>
      <c r="AZ493" s="604" t="s">
        <v>420</v>
      </c>
      <c r="BB493" s="536" t="str">
        <f t="shared" si="71"/>
        <v>500-999bwtbirthsNorthland</v>
      </c>
      <c r="BC493" s="604">
        <v>2016</v>
      </c>
      <c r="BD493" s="604" t="s">
        <v>428</v>
      </c>
      <c r="BE493" s="604" t="s">
        <v>447</v>
      </c>
      <c r="BF493" s="604" t="s">
        <v>85</v>
      </c>
      <c r="BG493" s="604">
        <v>6</v>
      </c>
      <c r="BH493" s="604" t="s">
        <v>445</v>
      </c>
      <c r="BY493" s="553" t="str">
        <f t="shared" si="72"/>
        <v>2003SoutherndhbSIDS</v>
      </c>
      <c r="BZ493" s="604">
        <v>2003</v>
      </c>
      <c r="CA493" s="604" t="s">
        <v>103</v>
      </c>
      <c r="CB493" s="604" t="s">
        <v>448</v>
      </c>
      <c r="CC493" s="604">
        <v>3</v>
      </c>
      <c r="CD493" s="604" t="s">
        <v>32</v>
      </c>
      <c r="CF493" s="559" t="str">
        <f t="shared" si="73"/>
        <v>5yearsMaoriWest CoastdhbSIDS</v>
      </c>
      <c r="CG493" s="604" t="s">
        <v>475</v>
      </c>
      <c r="CH493" s="604" t="s">
        <v>129</v>
      </c>
      <c r="CI493" s="604" t="s">
        <v>100</v>
      </c>
      <c r="CJ493" s="604" t="s">
        <v>448</v>
      </c>
      <c r="CK493" s="604">
        <v>0</v>
      </c>
      <c r="CL493" s="604" t="s">
        <v>32</v>
      </c>
    </row>
    <row r="494" spans="9:90">
      <c r="I494" s="578" t="str">
        <f t="shared" si="66"/>
        <v>2003bwt500-999Fetal</v>
      </c>
      <c r="J494" s="604">
        <v>2003</v>
      </c>
      <c r="K494" s="604" t="s">
        <v>447</v>
      </c>
      <c r="L494" s="604" t="s">
        <v>428</v>
      </c>
      <c r="M494" s="604">
        <v>95</v>
      </c>
      <c r="N494" s="604">
        <v>332</v>
      </c>
      <c r="O494" s="604">
        <v>286.10000000000002</v>
      </c>
      <c r="P494" s="604" t="s">
        <v>47</v>
      </c>
      <c r="Q494" s="499"/>
      <c r="R494" s="502" t="str">
        <f t="shared" si="67"/>
        <v>2006birthsdhbHawke's Bay</v>
      </c>
      <c r="S494" s="604">
        <v>2006</v>
      </c>
      <c r="T494" s="604" t="s">
        <v>445</v>
      </c>
      <c r="U494" s="604" t="s">
        <v>448</v>
      </c>
      <c r="V494" s="604" t="s">
        <v>92</v>
      </c>
      <c r="W494" s="604">
        <v>2212</v>
      </c>
      <c r="Y494" s="535" t="str">
        <f t="shared" si="68"/>
        <v>2016bwteth500-999Pacific peoplesfetal</v>
      </c>
      <c r="Z494" s="604">
        <v>2016</v>
      </c>
      <c r="AA494" s="604" t="s">
        <v>447</v>
      </c>
      <c r="AB494" s="604" t="s">
        <v>449</v>
      </c>
      <c r="AC494" s="604" t="s">
        <v>428</v>
      </c>
      <c r="AD494" s="604" t="s">
        <v>320</v>
      </c>
      <c r="AE494" s="604">
        <v>9</v>
      </c>
      <c r="AF494" s="604">
        <v>27</v>
      </c>
      <c r="AG494" s="604">
        <v>250</v>
      </c>
      <c r="AH494" s="604" t="s">
        <v>420</v>
      </c>
      <c r="AJ494" s="535" t="str">
        <f t="shared" si="69"/>
        <v>2016bwteth500-999Pacific peoples</v>
      </c>
      <c r="AK494" s="604">
        <v>2016</v>
      </c>
      <c r="AL494" s="604" t="s">
        <v>447</v>
      </c>
      <c r="AM494" s="604" t="s">
        <v>449</v>
      </c>
      <c r="AN494" s="604" t="s">
        <v>428</v>
      </c>
      <c r="AO494" s="604" t="s">
        <v>320</v>
      </c>
      <c r="AP494" s="604">
        <v>27</v>
      </c>
      <c r="AR494" s="538" t="str">
        <f t="shared" si="70"/>
        <v>37-41gestfetalNew Zealand</v>
      </c>
      <c r="AS494" s="604">
        <v>2016</v>
      </c>
      <c r="AT494" s="604" t="s">
        <v>137</v>
      </c>
      <c r="AU494" s="604" t="s">
        <v>450</v>
      </c>
      <c r="AV494" s="604" t="s">
        <v>16</v>
      </c>
      <c r="AW494" s="604">
        <v>86</v>
      </c>
      <c r="AX494" s="604">
        <v>54985</v>
      </c>
      <c r="AY494" s="606">
        <v>1.6</v>
      </c>
      <c r="AZ494" s="604" t="s">
        <v>420</v>
      </c>
      <c r="BB494" s="536" t="str">
        <f t="shared" si="71"/>
        <v>1000-1499bwtbirthsNorthland</v>
      </c>
      <c r="BC494" s="604">
        <v>2016</v>
      </c>
      <c r="BD494" s="604" t="s">
        <v>429</v>
      </c>
      <c r="BE494" s="604" t="s">
        <v>447</v>
      </c>
      <c r="BF494" s="604" t="s">
        <v>85</v>
      </c>
      <c r="BG494" s="604">
        <v>16</v>
      </c>
      <c r="BH494" s="604" t="s">
        <v>445</v>
      </c>
      <c r="BY494" s="553" t="str">
        <f t="shared" si="72"/>
        <v>2003UnknowndhbSIDS</v>
      </c>
      <c r="BZ494" s="604">
        <v>2003</v>
      </c>
      <c r="CA494" s="604" t="s">
        <v>63</v>
      </c>
      <c r="CB494" s="604" t="s">
        <v>448</v>
      </c>
      <c r="CC494" s="604">
        <v>0</v>
      </c>
      <c r="CD494" s="604" t="s">
        <v>32</v>
      </c>
      <c r="CF494" s="559" t="str">
        <f t="shared" si="73"/>
        <v>5yearsAsianCanterburydhbSIDS</v>
      </c>
      <c r="CG494" s="604" t="s">
        <v>475</v>
      </c>
      <c r="CH494" s="604" t="s">
        <v>355</v>
      </c>
      <c r="CI494" s="604" t="s">
        <v>101</v>
      </c>
      <c r="CJ494" s="604" t="s">
        <v>448</v>
      </c>
      <c r="CK494" s="604">
        <v>1</v>
      </c>
      <c r="CL494" s="604" t="s">
        <v>32</v>
      </c>
    </row>
    <row r="495" spans="9:90">
      <c r="I495" s="578" t="str">
        <f t="shared" si="66"/>
        <v>2003bwt1000-1499Fetal</v>
      </c>
      <c r="J495" s="604">
        <v>2003</v>
      </c>
      <c r="K495" s="604" t="s">
        <v>447</v>
      </c>
      <c r="L495" s="604" t="s">
        <v>429</v>
      </c>
      <c r="M495" s="604">
        <v>34</v>
      </c>
      <c r="N495" s="604">
        <v>414</v>
      </c>
      <c r="O495" s="604">
        <v>82.1</v>
      </c>
      <c r="P495" s="604" t="s">
        <v>47</v>
      </c>
      <c r="Q495" s="499"/>
      <c r="R495" s="502" t="str">
        <f t="shared" si="67"/>
        <v>2006birthsdhbTaranaki</v>
      </c>
      <c r="S495" s="604">
        <v>2006</v>
      </c>
      <c r="T495" s="604" t="s">
        <v>445</v>
      </c>
      <c r="U495" s="604" t="s">
        <v>448</v>
      </c>
      <c r="V495" s="604" t="s">
        <v>93</v>
      </c>
      <c r="W495" s="604">
        <v>1479</v>
      </c>
      <c r="Y495" s="535" t="str">
        <f t="shared" si="68"/>
        <v>2016bwteth1000-1499Pacific peoplesfetal</v>
      </c>
      <c r="Z495" s="604">
        <v>2016</v>
      </c>
      <c r="AA495" s="604" t="s">
        <v>447</v>
      </c>
      <c r="AB495" s="604" t="s">
        <v>449</v>
      </c>
      <c r="AC495" s="604" t="s">
        <v>429</v>
      </c>
      <c r="AD495" s="604" t="s">
        <v>320</v>
      </c>
      <c r="AE495" s="604">
        <v>4</v>
      </c>
      <c r="AF495" s="604">
        <v>22</v>
      </c>
      <c r="AG495" s="604">
        <v>153.80000000000001</v>
      </c>
      <c r="AH495" s="604" t="s">
        <v>420</v>
      </c>
      <c r="AJ495" s="535" t="str">
        <f t="shared" si="69"/>
        <v>2016bwteth1000-1499Pacific peoples</v>
      </c>
      <c r="AK495" s="604">
        <v>2016</v>
      </c>
      <c r="AL495" s="604" t="s">
        <v>447</v>
      </c>
      <c r="AM495" s="604" t="s">
        <v>449</v>
      </c>
      <c r="AN495" s="604" t="s">
        <v>429</v>
      </c>
      <c r="AO495" s="604" t="s">
        <v>320</v>
      </c>
      <c r="AP495" s="604">
        <v>22</v>
      </c>
      <c r="AR495" s="538" t="str">
        <f t="shared" si="70"/>
        <v>UnknowngestfetalNew Zealand</v>
      </c>
      <c r="AS495" s="604">
        <v>2016</v>
      </c>
      <c r="AT495" s="604" t="s">
        <v>63</v>
      </c>
      <c r="AU495" s="604" t="s">
        <v>450</v>
      </c>
      <c r="AV495" s="604" t="s">
        <v>16</v>
      </c>
      <c r="AW495" s="604">
        <v>6</v>
      </c>
      <c r="AX495" s="604">
        <v>35</v>
      </c>
      <c r="AY495" s="606" t="s">
        <v>119</v>
      </c>
      <c r="AZ495" s="604" t="s">
        <v>420</v>
      </c>
      <c r="BB495" s="536" t="str">
        <f t="shared" si="71"/>
        <v>1500-2499bwtbirthsNorthland</v>
      </c>
      <c r="BC495" s="604">
        <v>2016</v>
      </c>
      <c r="BD495" s="604" t="s">
        <v>430</v>
      </c>
      <c r="BE495" s="604" t="s">
        <v>447</v>
      </c>
      <c r="BF495" s="604" t="s">
        <v>85</v>
      </c>
      <c r="BG495" s="604">
        <v>105</v>
      </c>
      <c r="BH495" s="604" t="s">
        <v>445</v>
      </c>
      <c r="BY495" s="553" t="str">
        <f t="shared" si="72"/>
        <v>2004NorthlanddhbSIDS</v>
      </c>
      <c r="BZ495" s="604">
        <v>2004</v>
      </c>
      <c r="CA495" s="604" t="s">
        <v>85</v>
      </c>
      <c r="CB495" s="604" t="s">
        <v>448</v>
      </c>
      <c r="CC495" s="604">
        <v>4</v>
      </c>
      <c r="CD495" s="604" t="s">
        <v>32</v>
      </c>
      <c r="CF495" s="559" t="str">
        <f t="shared" si="73"/>
        <v>5yearsEuropean or OtherCanterburydhbSIDS</v>
      </c>
      <c r="CG495" s="604" t="s">
        <v>475</v>
      </c>
      <c r="CH495" s="604" t="s">
        <v>356</v>
      </c>
      <c r="CI495" s="604" t="s">
        <v>101</v>
      </c>
      <c r="CJ495" s="604" t="s">
        <v>448</v>
      </c>
      <c r="CK495" s="604">
        <v>11</v>
      </c>
      <c r="CL495" s="604" t="s">
        <v>32</v>
      </c>
    </row>
    <row r="496" spans="9:90">
      <c r="I496" s="578" t="str">
        <f t="shared" si="66"/>
        <v>2003bwt1500-2499Fetal</v>
      </c>
      <c r="J496" s="604">
        <v>2003</v>
      </c>
      <c r="K496" s="604" t="s">
        <v>447</v>
      </c>
      <c r="L496" s="604" t="s">
        <v>430</v>
      </c>
      <c r="M496" s="604">
        <v>55</v>
      </c>
      <c r="N496" s="604">
        <v>2832</v>
      </c>
      <c r="O496" s="604">
        <v>19.399999999999999</v>
      </c>
      <c r="P496" s="604" t="s">
        <v>47</v>
      </c>
      <c r="Q496" s="499"/>
      <c r="R496" s="502" t="str">
        <f t="shared" si="67"/>
        <v>2006birthsdhbMidCentral</v>
      </c>
      <c r="S496" s="604">
        <v>2006</v>
      </c>
      <c r="T496" s="604" t="s">
        <v>445</v>
      </c>
      <c r="U496" s="604" t="s">
        <v>448</v>
      </c>
      <c r="V496" s="604" t="s">
        <v>94</v>
      </c>
      <c r="W496" s="604">
        <v>2270</v>
      </c>
      <c r="Y496" s="535" t="str">
        <f t="shared" si="68"/>
        <v>2016bwteth1500-2499Pacific peoplesfetal</v>
      </c>
      <c r="Z496" s="604">
        <v>2016</v>
      </c>
      <c r="AA496" s="604" t="s">
        <v>447</v>
      </c>
      <c r="AB496" s="604" t="s">
        <v>449</v>
      </c>
      <c r="AC496" s="604" t="s">
        <v>430</v>
      </c>
      <c r="AD496" s="604" t="s">
        <v>320</v>
      </c>
      <c r="AE496" s="604">
        <v>6</v>
      </c>
      <c r="AF496" s="604">
        <v>211</v>
      </c>
      <c r="AG496" s="604">
        <v>27.6</v>
      </c>
      <c r="AH496" s="604" t="s">
        <v>420</v>
      </c>
      <c r="AJ496" s="535" t="str">
        <f t="shared" si="69"/>
        <v>2016bwteth1500-2499Pacific peoples</v>
      </c>
      <c r="AK496" s="604">
        <v>2016</v>
      </c>
      <c r="AL496" s="604" t="s">
        <v>447</v>
      </c>
      <c r="AM496" s="604" t="s">
        <v>449</v>
      </c>
      <c r="AN496" s="604" t="s">
        <v>430</v>
      </c>
      <c r="AO496" s="604" t="s">
        <v>320</v>
      </c>
      <c r="AP496" s="604">
        <v>211</v>
      </c>
      <c r="AR496" s="538" t="str">
        <f t="shared" si="70"/>
        <v>&lt;500bwtfetalNew Zealand</v>
      </c>
      <c r="AS496" s="604">
        <v>2016</v>
      </c>
      <c r="AT496" s="604" t="s">
        <v>427</v>
      </c>
      <c r="AU496" s="604" t="s">
        <v>447</v>
      </c>
      <c r="AV496" s="604" t="s">
        <v>16</v>
      </c>
      <c r="AW496" s="604">
        <v>141</v>
      </c>
      <c r="AX496" s="604">
        <v>194</v>
      </c>
      <c r="AY496" s="606">
        <v>726.8</v>
      </c>
      <c r="AZ496" s="604" t="s">
        <v>420</v>
      </c>
      <c r="BB496" s="536" t="str">
        <f t="shared" si="71"/>
        <v>2500-4499bwtbirthsNorthland</v>
      </c>
      <c r="BC496" s="604">
        <v>2016</v>
      </c>
      <c r="BD496" s="604" t="s">
        <v>431</v>
      </c>
      <c r="BE496" s="604" t="s">
        <v>447</v>
      </c>
      <c r="BF496" s="604" t="s">
        <v>85</v>
      </c>
      <c r="BG496" s="604">
        <v>2132</v>
      </c>
      <c r="BH496" s="604" t="s">
        <v>445</v>
      </c>
      <c r="BY496" s="553" t="str">
        <f t="shared" si="72"/>
        <v>2004WaitematadhbSIDS</v>
      </c>
      <c r="BZ496" s="604">
        <v>2004</v>
      </c>
      <c r="CA496" s="604" t="s">
        <v>86</v>
      </c>
      <c r="CB496" s="604" t="s">
        <v>448</v>
      </c>
      <c r="CC496" s="604">
        <v>6</v>
      </c>
      <c r="CD496" s="604" t="s">
        <v>32</v>
      </c>
      <c r="CF496" s="559" t="str">
        <f t="shared" si="73"/>
        <v>5yearsMaoriCanterburydhbSIDS</v>
      </c>
      <c r="CG496" s="604" t="s">
        <v>475</v>
      </c>
      <c r="CH496" s="604" t="s">
        <v>129</v>
      </c>
      <c r="CI496" s="604" t="s">
        <v>101</v>
      </c>
      <c r="CJ496" s="604" t="s">
        <v>448</v>
      </c>
      <c r="CK496" s="604">
        <v>3</v>
      </c>
      <c r="CL496" s="604" t="s">
        <v>32</v>
      </c>
    </row>
    <row r="497" spans="9:90">
      <c r="I497" s="578" t="str">
        <f t="shared" si="66"/>
        <v>2003bwt2500-4499Fetal</v>
      </c>
      <c r="J497" s="604">
        <v>2003</v>
      </c>
      <c r="K497" s="604" t="s">
        <v>447</v>
      </c>
      <c r="L497" s="604" t="s">
        <v>431</v>
      </c>
      <c r="M497" s="604">
        <v>76</v>
      </c>
      <c r="N497" s="604">
        <v>51610</v>
      </c>
      <c r="O497" s="604">
        <v>1.5</v>
      </c>
      <c r="P497" s="604" t="s">
        <v>47</v>
      </c>
      <c r="Q497" s="499"/>
      <c r="R497" s="502" t="str">
        <f t="shared" si="67"/>
        <v>2006birthsdhbWhanganui</v>
      </c>
      <c r="S497" s="604">
        <v>2006</v>
      </c>
      <c r="T497" s="604" t="s">
        <v>445</v>
      </c>
      <c r="U497" s="604" t="s">
        <v>448</v>
      </c>
      <c r="V497" s="604" t="s">
        <v>95</v>
      </c>
      <c r="W497" s="604">
        <v>895</v>
      </c>
      <c r="Y497" s="535" t="str">
        <f t="shared" si="68"/>
        <v>2016bwteth2500-4499Pacific peoplesfetal</v>
      </c>
      <c r="Z497" s="604">
        <v>2016</v>
      </c>
      <c r="AA497" s="604" t="s">
        <v>447</v>
      </c>
      <c r="AB497" s="604" t="s">
        <v>449</v>
      </c>
      <c r="AC497" s="604" t="s">
        <v>431</v>
      </c>
      <c r="AD497" s="604" t="s">
        <v>320</v>
      </c>
      <c r="AE497" s="604">
        <v>14</v>
      </c>
      <c r="AF497" s="604">
        <v>5449</v>
      </c>
      <c r="AG497" s="604">
        <v>2.6</v>
      </c>
      <c r="AH497" s="604" t="s">
        <v>420</v>
      </c>
      <c r="AJ497" s="535" t="str">
        <f t="shared" si="69"/>
        <v>2016bwteth2500-4499Pacific peoples</v>
      </c>
      <c r="AK497" s="604">
        <v>2016</v>
      </c>
      <c r="AL497" s="604" t="s">
        <v>447</v>
      </c>
      <c r="AM497" s="604" t="s">
        <v>449</v>
      </c>
      <c r="AN497" s="604" t="s">
        <v>431</v>
      </c>
      <c r="AO497" s="604" t="s">
        <v>320</v>
      </c>
      <c r="AP497" s="604">
        <v>5449</v>
      </c>
      <c r="AR497" s="538" t="str">
        <f t="shared" si="70"/>
        <v>500-999bwtfetalNew Zealand</v>
      </c>
      <c r="AS497" s="604">
        <v>2016</v>
      </c>
      <c r="AT497" s="604" t="s">
        <v>428</v>
      </c>
      <c r="AU497" s="604" t="s">
        <v>447</v>
      </c>
      <c r="AV497" s="604" t="s">
        <v>16</v>
      </c>
      <c r="AW497" s="604">
        <v>97</v>
      </c>
      <c r="AX497" s="604">
        <v>293</v>
      </c>
      <c r="AY497" s="606">
        <v>331.1</v>
      </c>
      <c r="AZ497" s="604" t="s">
        <v>420</v>
      </c>
      <c r="BB497" s="536" t="str">
        <f t="shared" si="71"/>
        <v>4500+bwtbirthsNorthland</v>
      </c>
      <c r="BC497" s="604">
        <v>2016</v>
      </c>
      <c r="BD497" s="604" t="s">
        <v>432</v>
      </c>
      <c r="BE497" s="604" t="s">
        <v>447</v>
      </c>
      <c r="BF497" s="604" t="s">
        <v>85</v>
      </c>
      <c r="BG497" s="604">
        <v>60</v>
      </c>
      <c r="BH497" s="604" t="s">
        <v>445</v>
      </c>
      <c r="BY497" s="553" t="str">
        <f t="shared" si="72"/>
        <v>2004AucklanddhbSIDS</v>
      </c>
      <c r="BZ497" s="604">
        <v>2004</v>
      </c>
      <c r="CA497" s="604" t="s">
        <v>87</v>
      </c>
      <c r="CB497" s="604" t="s">
        <v>448</v>
      </c>
      <c r="CC497" s="604">
        <v>2</v>
      </c>
      <c r="CD497" s="604" t="s">
        <v>32</v>
      </c>
      <c r="CF497" s="559" t="str">
        <f t="shared" si="73"/>
        <v>5yearsPacific peoplesCanterburydhbSIDS</v>
      </c>
      <c r="CG497" s="604" t="s">
        <v>475</v>
      </c>
      <c r="CH497" s="604" t="s">
        <v>320</v>
      </c>
      <c r="CI497" s="604" t="s">
        <v>101</v>
      </c>
      <c r="CJ497" s="604" t="s">
        <v>448</v>
      </c>
      <c r="CK497" s="604">
        <v>0</v>
      </c>
      <c r="CL497" s="604" t="s">
        <v>32</v>
      </c>
    </row>
    <row r="498" spans="9:90">
      <c r="I498" s="578" t="str">
        <f t="shared" si="66"/>
        <v>2003bwt4500+Fetal</v>
      </c>
      <c r="J498" s="604">
        <v>2003</v>
      </c>
      <c r="K498" s="604" t="s">
        <v>447</v>
      </c>
      <c r="L498" s="604" t="s">
        <v>432</v>
      </c>
      <c r="M498" s="604">
        <v>2</v>
      </c>
      <c r="N498" s="604">
        <v>1559</v>
      </c>
      <c r="O498" s="604">
        <v>1.3</v>
      </c>
      <c r="P498" s="604" t="s">
        <v>47</v>
      </c>
      <c r="Q498" s="499"/>
      <c r="R498" s="502" t="str">
        <f t="shared" si="67"/>
        <v>2006birthsdhbCapital &amp; Coast</v>
      </c>
      <c r="S498" s="604">
        <v>2006</v>
      </c>
      <c r="T498" s="604" t="s">
        <v>445</v>
      </c>
      <c r="U498" s="604" t="s">
        <v>448</v>
      </c>
      <c r="V498" s="604" t="s">
        <v>96</v>
      </c>
      <c r="W498" s="604">
        <v>3894</v>
      </c>
      <c r="Y498" s="535" t="str">
        <f t="shared" si="68"/>
        <v>2016bwteth4500+Pacific peoplesfetal</v>
      </c>
      <c r="Z498" s="604">
        <v>2016</v>
      </c>
      <c r="AA498" s="604" t="s">
        <v>447</v>
      </c>
      <c r="AB498" s="604" t="s">
        <v>449</v>
      </c>
      <c r="AC498" s="604" t="s">
        <v>432</v>
      </c>
      <c r="AD498" s="604" t="s">
        <v>320</v>
      </c>
      <c r="AE498" s="604">
        <v>1</v>
      </c>
      <c r="AF498" s="604">
        <v>261</v>
      </c>
      <c r="AG498" s="604">
        <v>3.8</v>
      </c>
      <c r="AH498" s="604" t="s">
        <v>420</v>
      </c>
      <c r="AJ498" s="535" t="str">
        <f t="shared" si="69"/>
        <v>2016bwteth4500+Pacific peoples</v>
      </c>
      <c r="AK498" s="604">
        <v>2016</v>
      </c>
      <c r="AL498" s="604" t="s">
        <v>447</v>
      </c>
      <c r="AM498" s="604" t="s">
        <v>449</v>
      </c>
      <c r="AN498" s="604" t="s">
        <v>432</v>
      </c>
      <c r="AO498" s="604" t="s">
        <v>320</v>
      </c>
      <c r="AP498" s="604">
        <v>261</v>
      </c>
      <c r="AR498" s="538" t="str">
        <f t="shared" si="70"/>
        <v>1000-1499bwtfetalNew Zealand</v>
      </c>
      <c r="AS498" s="604">
        <v>2016</v>
      </c>
      <c r="AT498" s="604" t="s">
        <v>429</v>
      </c>
      <c r="AU498" s="604" t="s">
        <v>447</v>
      </c>
      <c r="AV498" s="604" t="s">
        <v>16</v>
      </c>
      <c r="AW498" s="604">
        <v>27</v>
      </c>
      <c r="AX498" s="604">
        <v>358</v>
      </c>
      <c r="AY498" s="606">
        <v>75.400000000000006</v>
      </c>
      <c r="AZ498" s="604" t="s">
        <v>420</v>
      </c>
      <c r="BB498" s="536" t="str">
        <f t="shared" si="71"/>
        <v>UnknownbwtbirthsNorthland</v>
      </c>
      <c r="BC498" s="604">
        <v>2016</v>
      </c>
      <c r="BD498" s="604" t="s">
        <v>63</v>
      </c>
      <c r="BE498" s="604" t="s">
        <v>447</v>
      </c>
      <c r="BF498" s="604" t="s">
        <v>85</v>
      </c>
      <c r="BG498" s="604">
        <v>1</v>
      </c>
      <c r="BH498" s="604" t="s">
        <v>445</v>
      </c>
      <c r="BY498" s="553" t="str">
        <f t="shared" si="72"/>
        <v>2004Counties ManukaudhbSIDS</v>
      </c>
      <c r="BZ498" s="604">
        <v>2004</v>
      </c>
      <c r="CA498" s="604" t="s">
        <v>88</v>
      </c>
      <c r="CB498" s="604" t="s">
        <v>448</v>
      </c>
      <c r="CC498" s="604">
        <v>6</v>
      </c>
      <c r="CD498" s="604" t="s">
        <v>32</v>
      </c>
      <c r="CF498" s="559" t="str">
        <f t="shared" si="73"/>
        <v>5yearsAsianSouth CanterburydhbSIDS</v>
      </c>
      <c r="CG498" s="604" t="s">
        <v>475</v>
      </c>
      <c r="CH498" s="604" t="s">
        <v>355</v>
      </c>
      <c r="CI498" s="604" t="s">
        <v>102</v>
      </c>
      <c r="CJ498" s="604" t="s">
        <v>448</v>
      </c>
      <c r="CK498" s="604">
        <v>1</v>
      </c>
      <c r="CL498" s="604" t="s">
        <v>32</v>
      </c>
    </row>
    <row r="499" spans="9:90">
      <c r="I499" s="578" t="str">
        <f t="shared" si="66"/>
        <v>2003bwtUnknownFetal</v>
      </c>
      <c r="J499" s="604">
        <v>2003</v>
      </c>
      <c r="K499" s="604" t="s">
        <v>447</v>
      </c>
      <c r="L499" s="604" t="s">
        <v>63</v>
      </c>
      <c r="M499" s="604">
        <v>6</v>
      </c>
      <c r="N499" s="604">
        <v>49</v>
      </c>
      <c r="O499" s="604" t="s">
        <v>119</v>
      </c>
      <c r="P499" s="604" t="s">
        <v>47</v>
      </c>
      <c r="Q499" s="499"/>
      <c r="R499" s="502" t="str">
        <f t="shared" si="67"/>
        <v>2006birthsdhbHutt Valley</v>
      </c>
      <c r="S499" s="604">
        <v>2006</v>
      </c>
      <c r="T499" s="604" t="s">
        <v>445</v>
      </c>
      <c r="U499" s="604" t="s">
        <v>448</v>
      </c>
      <c r="V499" s="604" t="s">
        <v>97</v>
      </c>
      <c r="W499" s="604">
        <v>1999</v>
      </c>
      <c r="Y499" s="535" t="str">
        <f t="shared" si="68"/>
        <v>2016bwtethUnknownPacific peoplesfetal</v>
      </c>
      <c r="Z499" s="604">
        <v>2016</v>
      </c>
      <c r="AA499" s="604" t="s">
        <v>447</v>
      </c>
      <c r="AB499" s="604" t="s">
        <v>449</v>
      </c>
      <c r="AC499" s="604" t="s">
        <v>63</v>
      </c>
      <c r="AD499" s="604" t="s">
        <v>320</v>
      </c>
      <c r="AE499" s="604">
        <v>4</v>
      </c>
      <c r="AF499" s="604">
        <v>1</v>
      </c>
      <c r="AG499" s="604" t="s">
        <v>119</v>
      </c>
      <c r="AH499" s="604" t="s">
        <v>420</v>
      </c>
      <c r="AJ499" s="535" t="str">
        <f t="shared" si="69"/>
        <v>2016bwtethUnknownPacific peoples</v>
      </c>
      <c r="AK499" s="604">
        <v>2016</v>
      </c>
      <c r="AL499" s="604" t="s">
        <v>447</v>
      </c>
      <c r="AM499" s="604" t="s">
        <v>449</v>
      </c>
      <c r="AN499" s="604" t="s">
        <v>63</v>
      </c>
      <c r="AO499" s="604" t="s">
        <v>320</v>
      </c>
      <c r="AP499" s="604">
        <v>1</v>
      </c>
      <c r="AR499" s="538" t="str">
        <f t="shared" si="70"/>
        <v>1500-2499bwtfetalNew Zealand</v>
      </c>
      <c r="AS499" s="604">
        <v>2016</v>
      </c>
      <c r="AT499" s="604" t="s">
        <v>430</v>
      </c>
      <c r="AU499" s="604" t="s">
        <v>447</v>
      </c>
      <c r="AV499" s="604" t="s">
        <v>16</v>
      </c>
      <c r="AW499" s="604">
        <v>45</v>
      </c>
      <c r="AX499" s="604">
        <v>3036</v>
      </c>
      <c r="AY499" s="606">
        <v>14.8</v>
      </c>
      <c r="AZ499" s="604" t="s">
        <v>420</v>
      </c>
      <c r="BB499" s="536" t="str">
        <f t="shared" si="71"/>
        <v>&lt;500bwtbirthsWaitemata</v>
      </c>
      <c r="BC499" s="604">
        <v>2016</v>
      </c>
      <c r="BD499" s="604" t="s">
        <v>427</v>
      </c>
      <c r="BE499" s="604" t="s">
        <v>447</v>
      </c>
      <c r="BF499" s="604" t="s">
        <v>86</v>
      </c>
      <c r="BG499" s="604">
        <v>9</v>
      </c>
      <c r="BH499" s="604" t="s">
        <v>445</v>
      </c>
      <c r="BY499" s="553" t="str">
        <f t="shared" si="72"/>
        <v>2004WaikatodhbSIDS</v>
      </c>
      <c r="BZ499" s="604">
        <v>2004</v>
      </c>
      <c r="CA499" s="604" t="s">
        <v>89</v>
      </c>
      <c r="CB499" s="604" t="s">
        <v>448</v>
      </c>
      <c r="CC499" s="604">
        <v>4</v>
      </c>
      <c r="CD499" s="604" t="s">
        <v>32</v>
      </c>
      <c r="CF499" s="559" t="str">
        <f t="shared" si="73"/>
        <v>5yearsEuropean or OtherSouth CanterburydhbSIDS</v>
      </c>
      <c r="CG499" s="604" t="s">
        <v>475</v>
      </c>
      <c r="CH499" s="604" t="s">
        <v>356</v>
      </c>
      <c r="CI499" s="604" t="s">
        <v>102</v>
      </c>
      <c r="CJ499" s="604" t="s">
        <v>448</v>
      </c>
      <c r="CK499" s="604">
        <v>0</v>
      </c>
      <c r="CL499" s="604" t="s">
        <v>32</v>
      </c>
    </row>
    <row r="500" spans="9:90">
      <c r="I500" s="578" t="str">
        <f t="shared" si="66"/>
        <v>2004bwt&lt;500Fetal</v>
      </c>
      <c r="J500" s="604">
        <v>2004</v>
      </c>
      <c r="K500" s="604" t="s">
        <v>447</v>
      </c>
      <c r="L500" s="604" t="s">
        <v>427</v>
      </c>
      <c r="M500" s="604">
        <v>185</v>
      </c>
      <c r="N500" s="604">
        <v>245</v>
      </c>
      <c r="O500" s="604">
        <v>755.1</v>
      </c>
      <c r="P500" s="604" t="s">
        <v>47</v>
      </c>
      <c r="Q500" s="499"/>
      <c r="R500" s="502" t="str">
        <f t="shared" si="67"/>
        <v>2006birthsdhbWairarapa</v>
      </c>
      <c r="S500" s="604">
        <v>2006</v>
      </c>
      <c r="T500" s="604" t="s">
        <v>445</v>
      </c>
      <c r="U500" s="604" t="s">
        <v>448</v>
      </c>
      <c r="V500" s="604" t="s">
        <v>98</v>
      </c>
      <c r="W500" s="604">
        <v>523</v>
      </c>
      <c r="Y500" s="535" t="str">
        <f t="shared" si="68"/>
        <v>2016bwteth&lt;500Asianfetal</v>
      </c>
      <c r="Z500" s="604">
        <v>2016</v>
      </c>
      <c r="AA500" s="604" t="s">
        <v>447</v>
      </c>
      <c r="AB500" s="604" t="s">
        <v>449</v>
      </c>
      <c r="AC500" s="604" t="s">
        <v>427</v>
      </c>
      <c r="AD500" s="604" t="s">
        <v>355</v>
      </c>
      <c r="AE500" s="604">
        <v>28</v>
      </c>
      <c r="AF500" s="604">
        <v>19</v>
      </c>
      <c r="AG500" s="604" t="s">
        <v>119</v>
      </c>
      <c r="AH500" s="604" t="s">
        <v>420</v>
      </c>
      <c r="AJ500" s="535" t="str">
        <f t="shared" si="69"/>
        <v>2016bwteth&lt;500Asian</v>
      </c>
      <c r="AK500" s="604">
        <v>2016</v>
      </c>
      <c r="AL500" s="604" t="s">
        <v>447</v>
      </c>
      <c r="AM500" s="604" t="s">
        <v>449</v>
      </c>
      <c r="AN500" s="604" t="s">
        <v>427</v>
      </c>
      <c r="AO500" s="604" t="s">
        <v>355</v>
      </c>
      <c r="AP500" s="604">
        <v>19</v>
      </c>
      <c r="AR500" s="538" t="str">
        <f t="shared" si="70"/>
        <v>2500-4499bwtfetalNew Zealand</v>
      </c>
      <c r="AS500" s="604">
        <v>2016</v>
      </c>
      <c r="AT500" s="604" t="s">
        <v>431</v>
      </c>
      <c r="AU500" s="604" t="s">
        <v>447</v>
      </c>
      <c r="AV500" s="604" t="s">
        <v>16</v>
      </c>
      <c r="AW500" s="604">
        <v>81</v>
      </c>
      <c r="AX500" s="604">
        <v>55488</v>
      </c>
      <c r="AY500" s="606">
        <v>1.5</v>
      </c>
      <c r="AZ500" s="604" t="s">
        <v>420</v>
      </c>
      <c r="BB500" s="536" t="str">
        <f t="shared" si="71"/>
        <v>500-999bwtbirthsWaitemata</v>
      </c>
      <c r="BC500" s="604">
        <v>2016</v>
      </c>
      <c r="BD500" s="604" t="s">
        <v>428</v>
      </c>
      <c r="BE500" s="604" t="s">
        <v>447</v>
      </c>
      <c r="BF500" s="604" t="s">
        <v>86</v>
      </c>
      <c r="BG500" s="604">
        <v>17</v>
      </c>
      <c r="BH500" s="604" t="s">
        <v>445</v>
      </c>
      <c r="BY500" s="553" t="str">
        <f t="shared" si="72"/>
        <v>2004LakesdhbSIDS</v>
      </c>
      <c r="BZ500" s="604">
        <v>2004</v>
      </c>
      <c r="CA500" s="604" t="s">
        <v>90</v>
      </c>
      <c r="CB500" s="604" t="s">
        <v>448</v>
      </c>
      <c r="CC500" s="604">
        <v>1</v>
      </c>
      <c r="CD500" s="604" t="s">
        <v>32</v>
      </c>
      <c r="CF500" s="559" t="str">
        <f t="shared" si="73"/>
        <v>5yearsMaoriSouth CanterburydhbSIDS</v>
      </c>
      <c r="CG500" s="604" t="s">
        <v>475</v>
      </c>
      <c r="CH500" s="604" t="s">
        <v>129</v>
      </c>
      <c r="CI500" s="604" t="s">
        <v>102</v>
      </c>
      <c r="CJ500" s="604" t="s">
        <v>448</v>
      </c>
      <c r="CK500" s="604">
        <v>0</v>
      </c>
      <c r="CL500" s="604" t="s">
        <v>32</v>
      </c>
    </row>
    <row r="501" spans="9:90">
      <c r="I501" s="578" t="str">
        <f t="shared" si="66"/>
        <v>2004bwt500-999Fetal</v>
      </c>
      <c r="J501" s="604">
        <v>2004</v>
      </c>
      <c r="K501" s="604" t="s">
        <v>447</v>
      </c>
      <c r="L501" s="604" t="s">
        <v>428</v>
      </c>
      <c r="M501" s="604">
        <v>113</v>
      </c>
      <c r="N501" s="604">
        <v>331</v>
      </c>
      <c r="O501" s="604">
        <v>341.4</v>
      </c>
      <c r="P501" s="604" t="s">
        <v>47</v>
      </c>
      <c r="Q501" s="499"/>
      <c r="R501" s="502" t="str">
        <f t="shared" si="67"/>
        <v>2006birthsdhbNelson Marlborough</v>
      </c>
      <c r="S501" s="604">
        <v>2006</v>
      </c>
      <c r="T501" s="604" t="s">
        <v>445</v>
      </c>
      <c r="U501" s="604" t="s">
        <v>448</v>
      </c>
      <c r="V501" s="604" t="s">
        <v>99</v>
      </c>
      <c r="W501" s="604">
        <v>1569</v>
      </c>
      <c r="Y501" s="535" t="str">
        <f t="shared" si="68"/>
        <v>2016bwteth500-999Asianfetal</v>
      </c>
      <c r="Z501" s="604">
        <v>2016</v>
      </c>
      <c r="AA501" s="604" t="s">
        <v>447</v>
      </c>
      <c r="AB501" s="604" t="s">
        <v>449</v>
      </c>
      <c r="AC501" s="604" t="s">
        <v>428</v>
      </c>
      <c r="AD501" s="604" t="s">
        <v>355</v>
      </c>
      <c r="AE501" s="604">
        <v>16</v>
      </c>
      <c r="AF501" s="604">
        <v>40</v>
      </c>
      <c r="AG501" s="604">
        <v>285.7</v>
      </c>
      <c r="AH501" s="604" t="s">
        <v>420</v>
      </c>
      <c r="AJ501" s="535" t="str">
        <f t="shared" si="69"/>
        <v>2016bwteth500-999Asian</v>
      </c>
      <c r="AK501" s="604">
        <v>2016</v>
      </c>
      <c r="AL501" s="604" t="s">
        <v>447</v>
      </c>
      <c r="AM501" s="604" t="s">
        <v>449</v>
      </c>
      <c r="AN501" s="604" t="s">
        <v>428</v>
      </c>
      <c r="AO501" s="604" t="s">
        <v>355</v>
      </c>
      <c r="AP501" s="604">
        <v>40</v>
      </c>
      <c r="AR501" s="538" t="str">
        <f t="shared" si="70"/>
        <v>4500+bwtfetalNew Zealand</v>
      </c>
      <c r="AS501" s="604">
        <v>2016</v>
      </c>
      <c r="AT501" s="604" t="s">
        <v>432</v>
      </c>
      <c r="AU501" s="604" t="s">
        <v>447</v>
      </c>
      <c r="AV501" s="604" t="s">
        <v>16</v>
      </c>
      <c r="AW501" s="604">
        <v>4</v>
      </c>
      <c r="AX501" s="604">
        <v>1427</v>
      </c>
      <c r="AY501" s="606">
        <v>2.8</v>
      </c>
      <c r="AZ501" s="604" t="s">
        <v>420</v>
      </c>
      <c r="BB501" s="536" t="str">
        <f t="shared" si="71"/>
        <v>1000-1499bwtbirthsWaitemata</v>
      </c>
      <c r="BC501" s="604">
        <v>2016</v>
      </c>
      <c r="BD501" s="604" t="s">
        <v>429</v>
      </c>
      <c r="BE501" s="604" t="s">
        <v>447</v>
      </c>
      <c r="BF501" s="604" t="s">
        <v>86</v>
      </c>
      <c r="BG501" s="604">
        <v>40</v>
      </c>
      <c r="BH501" s="604" t="s">
        <v>445</v>
      </c>
      <c r="BY501" s="553" t="str">
        <f t="shared" si="72"/>
        <v>2004Bay of PlentydhbSIDS</v>
      </c>
      <c r="BZ501" s="604">
        <v>2004</v>
      </c>
      <c r="CA501" s="604" t="s">
        <v>91</v>
      </c>
      <c r="CB501" s="604" t="s">
        <v>448</v>
      </c>
      <c r="CC501" s="604">
        <v>5</v>
      </c>
      <c r="CD501" s="604" t="s">
        <v>32</v>
      </c>
      <c r="CF501" s="559" t="str">
        <f t="shared" si="73"/>
        <v>5yearsPacific peoplesSouth CanterburydhbSIDS</v>
      </c>
      <c r="CG501" s="604" t="s">
        <v>475</v>
      </c>
      <c r="CH501" s="604" t="s">
        <v>320</v>
      </c>
      <c r="CI501" s="604" t="s">
        <v>102</v>
      </c>
      <c r="CJ501" s="604" t="s">
        <v>448</v>
      </c>
      <c r="CK501" s="604">
        <v>0</v>
      </c>
      <c r="CL501" s="604" t="s">
        <v>32</v>
      </c>
    </row>
    <row r="502" spans="9:90">
      <c r="I502" s="578" t="str">
        <f t="shared" si="66"/>
        <v>2004bwt1000-1499Fetal</v>
      </c>
      <c r="J502" s="604">
        <v>2004</v>
      </c>
      <c r="K502" s="604" t="s">
        <v>447</v>
      </c>
      <c r="L502" s="604" t="s">
        <v>429</v>
      </c>
      <c r="M502" s="604">
        <v>35</v>
      </c>
      <c r="N502" s="604">
        <v>395</v>
      </c>
      <c r="O502" s="604">
        <v>88.6</v>
      </c>
      <c r="P502" s="604" t="s">
        <v>47</v>
      </c>
      <c r="Q502" s="499"/>
      <c r="R502" s="502" t="str">
        <f t="shared" si="67"/>
        <v>2006birthsdhbWest Coast</v>
      </c>
      <c r="S502" s="604">
        <v>2006</v>
      </c>
      <c r="T502" s="604" t="s">
        <v>445</v>
      </c>
      <c r="U502" s="604" t="s">
        <v>448</v>
      </c>
      <c r="V502" s="604" t="s">
        <v>100</v>
      </c>
      <c r="W502" s="604">
        <v>398</v>
      </c>
      <c r="Y502" s="535" t="str">
        <f t="shared" si="68"/>
        <v>2016bwteth1000-1499Asianfetal</v>
      </c>
      <c r="Z502" s="604">
        <v>2016</v>
      </c>
      <c r="AA502" s="604" t="s">
        <v>447</v>
      </c>
      <c r="AB502" s="604" t="s">
        <v>449</v>
      </c>
      <c r="AC502" s="604" t="s">
        <v>429</v>
      </c>
      <c r="AD502" s="604" t="s">
        <v>355</v>
      </c>
      <c r="AE502" s="604">
        <v>7</v>
      </c>
      <c r="AF502" s="604">
        <v>59</v>
      </c>
      <c r="AG502" s="604">
        <v>106.1</v>
      </c>
      <c r="AH502" s="604" t="s">
        <v>420</v>
      </c>
      <c r="AJ502" s="535" t="str">
        <f t="shared" si="69"/>
        <v>2016bwteth1000-1499Asian</v>
      </c>
      <c r="AK502" s="604">
        <v>2016</v>
      </c>
      <c r="AL502" s="604" t="s">
        <v>447</v>
      </c>
      <c r="AM502" s="604" t="s">
        <v>449</v>
      </c>
      <c r="AN502" s="604" t="s">
        <v>429</v>
      </c>
      <c r="AO502" s="604" t="s">
        <v>355</v>
      </c>
      <c r="AP502" s="604">
        <v>59</v>
      </c>
      <c r="AR502" s="538" t="str">
        <f t="shared" si="70"/>
        <v>UnknownbwtfetalNew Zealand</v>
      </c>
      <c r="AS502" s="604">
        <v>2016</v>
      </c>
      <c r="AT502" s="604" t="s">
        <v>63</v>
      </c>
      <c r="AU502" s="604" t="s">
        <v>447</v>
      </c>
      <c r="AV502" s="604" t="s">
        <v>16</v>
      </c>
      <c r="AW502" s="604">
        <v>18</v>
      </c>
      <c r="AX502" s="604">
        <v>53</v>
      </c>
      <c r="AY502" s="606" t="s">
        <v>119</v>
      </c>
      <c r="AZ502" s="604" t="s">
        <v>420</v>
      </c>
      <c r="BB502" s="536" t="str">
        <f t="shared" si="71"/>
        <v>1500-2499bwtbirthsWaitemata</v>
      </c>
      <c r="BC502" s="604">
        <v>2016</v>
      </c>
      <c r="BD502" s="604" t="s">
        <v>430</v>
      </c>
      <c r="BE502" s="604" t="s">
        <v>447</v>
      </c>
      <c r="BF502" s="604" t="s">
        <v>86</v>
      </c>
      <c r="BG502" s="604">
        <v>377</v>
      </c>
      <c r="BH502" s="604" t="s">
        <v>445</v>
      </c>
      <c r="BY502" s="553" t="str">
        <f t="shared" si="72"/>
        <v>2004TairawhitidhbSIDS</v>
      </c>
      <c r="BZ502" s="604">
        <v>2004</v>
      </c>
      <c r="CA502" s="604" t="s">
        <v>433</v>
      </c>
      <c r="CB502" s="604" t="s">
        <v>448</v>
      </c>
      <c r="CC502" s="604">
        <v>1</v>
      </c>
      <c r="CD502" s="604" t="s">
        <v>32</v>
      </c>
      <c r="CF502" s="559" t="str">
        <f t="shared" si="73"/>
        <v>5yearsAsianSoutherndhbSIDS</v>
      </c>
      <c r="CG502" s="604" t="s">
        <v>475</v>
      </c>
      <c r="CH502" s="604" t="s">
        <v>355</v>
      </c>
      <c r="CI502" s="604" t="s">
        <v>103</v>
      </c>
      <c r="CJ502" s="604" t="s">
        <v>448</v>
      </c>
      <c r="CK502" s="604">
        <v>0</v>
      </c>
      <c r="CL502" s="604" t="s">
        <v>32</v>
      </c>
    </row>
    <row r="503" spans="9:90">
      <c r="I503" s="578" t="str">
        <f t="shared" si="66"/>
        <v>2004bwt1500-2499Fetal</v>
      </c>
      <c r="J503" s="604">
        <v>2004</v>
      </c>
      <c r="K503" s="604" t="s">
        <v>447</v>
      </c>
      <c r="L503" s="604" t="s">
        <v>430</v>
      </c>
      <c r="M503" s="604">
        <v>57</v>
      </c>
      <c r="N503" s="604">
        <v>3021</v>
      </c>
      <c r="O503" s="604">
        <v>18.899999999999999</v>
      </c>
      <c r="P503" s="604" t="s">
        <v>47</v>
      </c>
      <c r="Q503" s="499"/>
      <c r="R503" s="502" t="str">
        <f t="shared" si="67"/>
        <v>2006birthsdhbCanterbury</v>
      </c>
      <c r="S503" s="604">
        <v>2006</v>
      </c>
      <c r="T503" s="604" t="s">
        <v>445</v>
      </c>
      <c r="U503" s="604" t="s">
        <v>448</v>
      </c>
      <c r="V503" s="604" t="s">
        <v>101</v>
      </c>
      <c r="W503" s="604">
        <v>6204</v>
      </c>
      <c r="Y503" s="535" t="str">
        <f t="shared" si="68"/>
        <v>2016bwteth1500-2499Asianfetal</v>
      </c>
      <c r="Z503" s="604">
        <v>2016</v>
      </c>
      <c r="AA503" s="604" t="s">
        <v>447</v>
      </c>
      <c r="AB503" s="604" t="s">
        <v>449</v>
      </c>
      <c r="AC503" s="604" t="s">
        <v>430</v>
      </c>
      <c r="AD503" s="604" t="s">
        <v>355</v>
      </c>
      <c r="AE503" s="604">
        <v>7</v>
      </c>
      <c r="AF503" s="604">
        <v>684</v>
      </c>
      <c r="AG503" s="604">
        <v>10.1</v>
      </c>
      <c r="AH503" s="604" t="s">
        <v>420</v>
      </c>
      <c r="AJ503" s="535" t="str">
        <f t="shared" si="69"/>
        <v>2016bwteth1500-2499Asian</v>
      </c>
      <c r="AK503" s="604">
        <v>2016</v>
      </c>
      <c r="AL503" s="604" t="s">
        <v>447</v>
      </c>
      <c r="AM503" s="604" t="s">
        <v>449</v>
      </c>
      <c r="AN503" s="604" t="s">
        <v>430</v>
      </c>
      <c r="AO503" s="604" t="s">
        <v>355</v>
      </c>
      <c r="AP503" s="604">
        <v>684</v>
      </c>
      <c r="AR503" s="538" t="str">
        <f t="shared" si="70"/>
        <v>40+agefetalAuckland</v>
      </c>
      <c r="AS503" s="604">
        <v>2016</v>
      </c>
      <c r="AT503" s="604" t="s">
        <v>134</v>
      </c>
      <c r="AU503" s="604" t="s">
        <v>453</v>
      </c>
      <c r="AV503" s="604" t="s">
        <v>87</v>
      </c>
      <c r="AW503" s="604">
        <v>0</v>
      </c>
      <c r="AX503" s="604">
        <v>349</v>
      </c>
      <c r="AY503" s="606">
        <v>0</v>
      </c>
      <c r="AZ503" s="604" t="s">
        <v>420</v>
      </c>
      <c r="BB503" s="536" t="str">
        <f t="shared" si="71"/>
        <v>2500-4499bwtbirthsWaitemata</v>
      </c>
      <c r="BC503" s="604">
        <v>2016</v>
      </c>
      <c r="BD503" s="604" t="s">
        <v>431</v>
      </c>
      <c r="BE503" s="604" t="s">
        <v>447</v>
      </c>
      <c r="BF503" s="604" t="s">
        <v>86</v>
      </c>
      <c r="BG503" s="604">
        <v>7445</v>
      </c>
      <c r="BH503" s="604" t="s">
        <v>445</v>
      </c>
      <c r="BY503" s="553" t="str">
        <f t="shared" si="72"/>
        <v>2004Hawke's BaydhbSIDS</v>
      </c>
      <c r="BZ503" s="604">
        <v>2004</v>
      </c>
      <c r="CA503" s="604" t="s">
        <v>92</v>
      </c>
      <c r="CB503" s="604" t="s">
        <v>448</v>
      </c>
      <c r="CC503" s="604">
        <v>1</v>
      </c>
      <c r="CD503" s="604" t="s">
        <v>32</v>
      </c>
      <c r="CF503" s="559" t="str">
        <f t="shared" si="73"/>
        <v>5yearsEuropean or OtherSoutherndhbSIDS</v>
      </c>
      <c r="CG503" s="604" t="s">
        <v>475</v>
      </c>
      <c r="CH503" s="604" t="s">
        <v>356</v>
      </c>
      <c r="CI503" s="604" t="s">
        <v>103</v>
      </c>
      <c r="CJ503" s="604" t="s">
        <v>448</v>
      </c>
      <c r="CK503" s="604">
        <v>4</v>
      </c>
      <c r="CL503" s="604" t="s">
        <v>32</v>
      </c>
    </row>
    <row r="504" spans="9:90">
      <c r="I504" s="578" t="str">
        <f t="shared" si="66"/>
        <v>2004bwt2500-4499Fetal</v>
      </c>
      <c r="J504" s="604">
        <v>2004</v>
      </c>
      <c r="K504" s="604" t="s">
        <v>447</v>
      </c>
      <c r="L504" s="604" t="s">
        <v>431</v>
      </c>
      <c r="M504" s="604">
        <v>104</v>
      </c>
      <c r="N504" s="604">
        <v>53553</v>
      </c>
      <c r="O504" s="604">
        <v>1.9</v>
      </c>
      <c r="P504" s="604" t="s">
        <v>47</v>
      </c>
      <c r="Q504" s="499"/>
      <c r="R504" s="502" t="str">
        <f t="shared" si="67"/>
        <v>2006birthsdhbSouth Canterbury</v>
      </c>
      <c r="S504" s="604">
        <v>2006</v>
      </c>
      <c r="T504" s="604" t="s">
        <v>445</v>
      </c>
      <c r="U504" s="604" t="s">
        <v>448</v>
      </c>
      <c r="V504" s="604" t="s">
        <v>102</v>
      </c>
      <c r="W504" s="604">
        <v>606</v>
      </c>
      <c r="Y504" s="535" t="str">
        <f t="shared" si="68"/>
        <v>2016bwteth2500-4499Asianfetal</v>
      </c>
      <c r="Z504" s="604">
        <v>2016</v>
      </c>
      <c r="AA504" s="604" t="s">
        <v>447</v>
      </c>
      <c r="AB504" s="604" t="s">
        <v>449</v>
      </c>
      <c r="AC504" s="604" t="s">
        <v>431</v>
      </c>
      <c r="AD504" s="604" t="s">
        <v>355</v>
      </c>
      <c r="AE504" s="604">
        <v>13</v>
      </c>
      <c r="AF504" s="604">
        <v>10050</v>
      </c>
      <c r="AG504" s="604">
        <v>1.3</v>
      </c>
      <c r="AH504" s="604" t="s">
        <v>420</v>
      </c>
      <c r="AJ504" s="535" t="str">
        <f t="shared" si="69"/>
        <v>2016bwteth2500-4499Asian</v>
      </c>
      <c r="AK504" s="604">
        <v>2016</v>
      </c>
      <c r="AL504" s="604" t="s">
        <v>447</v>
      </c>
      <c r="AM504" s="604" t="s">
        <v>449</v>
      </c>
      <c r="AN504" s="604" t="s">
        <v>431</v>
      </c>
      <c r="AO504" s="604" t="s">
        <v>355</v>
      </c>
      <c r="AP504" s="604">
        <v>10050</v>
      </c>
      <c r="AR504" s="538" t="str">
        <f t="shared" si="70"/>
        <v>30-34agefetalLakes</v>
      </c>
      <c r="AS504" s="604">
        <v>2016</v>
      </c>
      <c r="AT504" s="604" t="s">
        <v>132</v>
      </c>
      <c r="AU504" s="604" t="s">
        <v>453</v>
      </c>
      <c r="AV504" s="604" t="s">
        <v>90</v>
      </c>
      <c r="AW504" s="604">
        <v>0</v>
      </c>
      <c r="AX504" s="604">
        <v>372</v>
      </c>
      <c r="AY504" s="606">
        <v>0</v>
      </c>
      <c r="AZ504" s="604" t="s">
        <v>420</v>
      </c>
      <c r="BB504" s="536" t="str">
        <f t="shared" si="71"/>
        <v>4500+bwtbirthsWaitemata</v>
      </c>
      <c r="BC504" s="604">
        <v>2016</v>
      </c>
      <c r="BD504" s="604" t="s">
        <v>432</v>
      </c>
      <c r="BE504" s="604" t="s">
        <v>447</v>
      </c>
      <c r="BF504" s="604" t="s">
        <v>86</v>
      </c>
      <c r="BG504" s="604">
        <v>158</v>
      </c>
      <c r="BH504" s="604" t="s">
        <v>445</v>
      </c>
      <c r="BY504" s="553" t="str">
        <f t="shared" si="72"/>
        <v>2004TaranakidhbSIDS</v>
      </c>
      <c r="BZ504" s="604">
        <v>2004</v>
      </c>
      <c r="CA504" s="604" t="s">
        <v>93</v>
      </c>
      <c r="CB504" s="604" t="s">
        <v>448</v>
      </c>
      <c r="CC504" s="604">
        <v>1</v>
      </c>
      <c r="CD504" s="604" t="s">
        <v>32</v>
      </c>
      <c r="CF504" s="559" t="str">
        <f t="shared" si="73"/>
        <v>5yearsMaoriSoutherndhbSIDS</v>
      </c>
      <c r="CG504" s="604" t="s">
        <v>475</v>
      </c>
      <c r="CH504" s="604" t="s">
        <v>129</v>
      </c>
      <c r="CI504" s="604" t="s">
        <v>103</v>
      </c>
      <c r="CJ504" s="604" t="s">
        <v>448</v>
      </c>
      <c r="CK504" s="604">
        <v>4</v>
      </c>
      <c r="CL504" s="604" t="s">
        <v>32</v>
      </c>
    </row>
    <row r="505" spans="9:90">
      <c r="I505" s="578" t="str">
        <f t="shared" si="66"/>
        <v>2004bwt4500+Fetal</v>
      </c>
      <c r="J505" s="604">
        <v>2004</v>
      </c>
      <c r="K505" s="604" t="s">
        <v>447</v>
      </c>
      <c r="L505" s="604" t="s">
        <v>432</v>
      </c>
      <c r="M505" s="604">
        <v>4</v>
      </c>
      <c r="N505" s="604">
        <v>1617</v>
      </c>
      <c r="O505" s="604">
        <v>2.5</v>
      </c>
      <c r="P505" s="604" t="s">
        <v>47</v>
      </c>
      <c r="Q505" s="499"/>
      <c r="R505" s="502" t="str">
        <f t="shared" si="67"/>
        <v>2006birthsdhbSouthern</v>
      </c>
      <c r="S505" s="604">
        <v>2006</v>
      </c>
      <c r="T505" s="604" t="s">
        <v>445</v>
      </c>
      <c r="U505" s="604" t="s">
        <v>448</v>
      </c>
      <c r="V505" s="604" t="s">
        <v>103</v>
      </c>
      <c r="W505" s="604">
        <v>3441</v>
      </c>
      <c r="Y505" s="535" t="str">
        <f t="shared" si="68"/>
        <v>2016bwteth4500+Asianfetal</v>
      </c>
      <c r="Z505" s="604">
        <v>2016</v>
      </c>
      <c r="AA505" s="604" t="s">
        <v>447</v>
      </c>
      <c r="AB505" s="604" t="s">
        <v>449</v>
      </c>
      <c r="AC505" s="604" t="s">
        <v>432</v>
      </c>
      <c r="AD505" s="604" t="s">
        <v>355</v>
      </c>
      <c r="AE505" s="604">
        <v>0</v>
      </c>
      <c r="AF505" s="604">
        <v>44</v>
      </c>
      <c r="AG505" s="604">
        <v>0</v>
      </c>
      <c r="AH505" s="604" t="s">
        <v>420</v>
      </c>
      <c r="AJ505" s="535" t="str">
        <f t="shared" si="69"/>
        <v>2016bwteth4500+Asian</v>
      </c>
      <c r="AK505" s="604">
        <v>2016</v>
      </c>
      <c r="AL505" s="604" t="s">
        <v>447</v>
      </c>
      <c r="AM505" s="604" t="s">
        <v>449</v>
      </c>
      <c r="AN505" s="604" t="s">
        <v>432</v>
      </c>
      <c r="AO505" s="604" t="s">
        <v>355</v>
      </c>
      <c r="AP505" s="604">
        <v>44</v>
      </c>
      <c r="AR505" s="538" t="str">
        <f t="shared" si="70"/>
        <v>35-39agefetalLakes</v>
      </c>
      <c r="AS505" s="604">
        <v>2016</v>
      </c>
      <c r="AT505" s="604" t="s">
        <v>133</v>
      </c>
      <c r="AU505" s="604" t="s">
        <v>453</v>
      </c>
      <c r="AV505" s="604" t="s">
        <v>90</v>
      </c>
      <c r="AW505" s="604">
        <v>0</v>
      </c>
      <c r="AX505" s="604">
        <v>196</v>
      </c>
      <c r="AY505" s="606">
        <v>0</v>
      </c>
      <c r="AZ505" s="604" t="s">
        <v>420</v>
      </c>
      <c r="BB505" s="536" t="str">
        <f t="shared" si="71"/>
        <v>UnknownbwtbirthsWaitemata</v>
      </c>
      <c r="BC505" s="604">
        <v>2016</v>
      </c>
      <c r="BD505" s="604" t="s">
        <v>63</v>
      </c>
      <c r="BE505" s="604" t="s">
        <v>447</v>
      </c>
      <c r="BF505" s="604" t="s">
        <v>86</v>
      </c>
      <c r="BG505" s="604">
        <v>5</v>
      </c>
      <c r="BH505" s="604" t="s">
        <v>445</v>
      </c>
      <c r="BY505" s="553" t="str">
        <f t="shared" si="72"/>
        <v>2004MidCentraldhbSIDS</v>
      </c>
      <c r="BZ505" s="604">
        <v>2004</v>
      </c>
      <c r="CA505" s="604" t="s">
        <v>94</v>
      </c>
      <c r="CB505" s="604" t="s">
        <v>448</v>
      </c>
      <c r="CC505" s="604">
        <v>2</v>
      </c>
      <c r="CD505" s="604" t="s">
        <v>32</v>
      </c>
      <c r="CF505" s="559" t="str">
        <f t="shared" si="73"/>
        <v>5yearsPacific peoplesSoutherndhbSIDS</v>
      </c>
      <c r="CG505" s="604" t="s">
        <v>475</v>
      </c>
      <c r="CH505" s="604" t="s">
        <v>320</v>
      </c>
      <c r="CI505" s="604" t="s">
        <v>103</v>
      </c>
      <c r="CJ505" s="604" t="s">
        <v>448</v>
      </c>
      <c r="CK505" s="604">
        <v>1</v>
      </c>
      <c r="CL505" s="604" t="s">
        <v>32</v>
      </c>
    </row>
    <row r="506" spans="9:90">
      <c r="I506" s="578" t="str">
        <f t="shared" si="66"/>
        <v>2004bwtUnknownFetal</v>
      </c>
      <c r="J506" s="604">
        <v>2004</v>
      </c>
      <c r="K506" s="604" t="s">
        <v>447</v>
      </c>
      <c r="L506" s="604" t="s">
        <v>63</v>
      </c>
      <c r="M506" s="604">
        <v>8</v>
      </c>
      <c r="N506" s="604">
        <v>67</v>
      </c>
      <c r="O506" s="604" t="s">
        <v>119</v>
      </c>
      <c r="P506" s="604" t="s">
        <v>47</v>
      </c>
      <c r="Q506" s="499"/>
      <c r="R506" s="502" t="str">
        <f t="shared" si="67"/>
        <v>2006birthsdhbUnknown</v>
      </c>
      <c r="S506" s="604">
        <v>2006</v>
      </c>
      <c r="T506" s="604" t="s">
        <v>445</v>
      </c>
      <c r="U506" s="604" t="s">
        <v>448</v>
      </c>
      <c r="V506" s="604" t="s">
        <v>63</v>
      </c>
      <c r="W506" s="604">
        <v>354</v>
      </c>
      <c r="Y506" s="535" t="str">
        <f t="shared" si="68"/>
        <v>2016bwtethUnknownAsianfetal</v>
      </c>
      <c r="Z506" s="604">
        <v>2016</v>
      </c>
      <c r="AA506" s="604" t="s">
        <v>447</v>
      </c>
      <c r="AB506" s="604" t="s">
        <v>449</v>
      </c>
      <c r="AC506" s="604" t="s">
        <v>63</v>
      </c>
      <c r="AD506" s="604" t="s">
        <v>355</v>
      </c>
      <c r="AE506" s="604">
        <v>2</v>
      </c>
      <c r="AF506" s="604">
        <v>6</v>
      </c>
      <c r="AG506" s="604" t="s">
        <v>119</v>
      </c>
      <c r="AH506" s="604" t="s">
        <v>420</v>
      </c>
      <c r="AJ506" s="535" t="str">
        <f t="shared" si="69"/>
        <v>2016bwtethUnknownAsian</v>
      </c>
      <c r="AK506" s="604">
        <v>2016</v>
      </c>
      <c r="AL506" s="604" t="s">
        <v>447</v>
      </c>
      <c r="AM506" s="604" t="s">
        <v>449</v>
      </c>
      <c r="AN506" s="604" t="s">
        <v>63</v>
      </c>
      <c r="AO506" s="604" t="s">
        <v>355</v>
      </c>
      <c r="AP506" s="604">
        <v>6</v>
      </c>
      <c r="AR506" s="538" t="str">
        <f t="shared" si="70"/>
        <v>40+agefetalLakes</v>
      </c>
      <c r="AS506" s="604">
        <v>2016</v>
      </c>
      <c r="AT506" s="604" t="s">
        <v>134</v>
      </c>
      <c r="AU506" s="604" t="s">
        <v>453</v>
      </c>
      <c r="AV506" s="604" t="s">
        <v>90</v>
      </c>
      <c r="AW506" s="604">
        <v>0</v>
      </c>
      <c r="AX506" s="604">
        <v>51</v>
      </c>
      <c r="AY506" s="606">
        <v>0</v>
      </c>
      <c r="AZ506" s="604" t="s">
        <v>420</v>
      </c>
      <c r="BB506" s="536" t="str">
        <f t="shared" si="71"/>
        <v>&lt;500bwtbirthsAuckland</v>
      </c>
      <c r="BC506" s="604">
        <v>2016</v>
      </c>
      <c r="BD506" s="604" t="s">
        <v>427</v>
      </c>
      <c r="BE506" s="604" t="s">
        <v>447</v>
      </c>
      <c r="BF506" s="604" t="s">
        <v>87</v>
      </c>
      <c r="BG506" s="604">
        <v>6</v>
      </c>
      <c r="BH506" s="604" t="s">
        <v>445</v>
      </c>
      <c r="BY506" s="553" t="str">
        <f t="shared" si="72"/>
        <v>2004WhanganuidhbSIDS</v>
      </c>
      <c r="BZ506" s="604">
        <v>2004</v>
      </c>
      <c r="CA506" s="604" t="s">
        <v>95</v>
      </c>
      <c r="CB506" s="604" t="s">
        <v>448</v>
      </c>
      <c r="CC506" s="604">
        <v>1</v>
      </c>
      <c r="CD506" s="604" t="s">
        <v>32</v>
      </c>
      <c r="CF506" s="559" t="str">
        <f t="shared" si="73"/>
        <v>5yearsEuropean or OtherUnknowndhbSIDS</v>
      </c>
      <c r="CG506" s="604" t="s">
        <v>475</v>
      </c>
      <c r="CH506" s="604" t="s">
        <v>356</v>
      </c>
      <c r="CI506" s="604" t="s">
        <v>63</v>
      </c>
      <c r="CJ506" s="604" t="s">
        <v>448</v>
      </c>
      <c r="CK506" s="604">
        <v>0</v>
      </c>
      <c r="CL506" s="604" t="s">
        <v>32</v>
      </c>
    </row>
    <row r="507" spans="9:90">
      <c r="I507" s="578" t="str">
        <f t="shared" si="66"/>
        <v>2005bwt&lt;500Fetal</v>
      </c>
      <c r="J507" s="604">
        <v>2005</v>
      </c>
      <c r="K507" s="604" t="s">
        <v>447</v>
      </c>
      <c r="L507" s="604" t="s">
        <v>427</v>
      </c>
      <c r="M507" s="604">
        <v>153</v>
      </c>
      <c r="N507" s="604">
        <v>199</v>
      </c>
      <c r="O507" s="604">
        <v>768.8</v>
      </c>
      <c r="P507" s="604" t="s">
        <v>47</v>
      </c>
      <c r="Q507" s="499"/>
      <c r="R507" s="502" t="str">
        <f t="shared" si="67"/>
        <v>2007birthsdhbNorthland</v>
      </c>
      <c r="S507" s="604">
        <v>2007</v>
      </c>
      <c r="T507" s="604" t="s">
        <v>445</v>
      </c>
      <c r="U507" s="604" t="s">
        <v>448</v>
      </c>
      <c r="V507" s="604" t="s">
        <v>85</v>
      </c>
      <c r="W507" s="604">
        <v>2372</v>
      </c>
      <c r="Y507" s="535" t="str">
        <f t="shared" si="68"/>
        <v>2016bwteth&lt;500European or Otherfetal</v>
      </c>
      <c r="Z507" s="604">
        <v>2016</v>
      </c>
      <c r="AA507" s="604" t="s">
        <v>447</v>
      </c>
      <c r="AB507" s="604" t="s">
        <v>449</v>
      </c>
      <c r="AC507" s="604" t="s">
        <v>427</v>
      </c>
      <c r="AD507" s="604" t="s">
        <v>356</v>
      </c>
      <c r="AE507" s="604">
        <v>62</v>
      </c>
      <c r="AF507" s="604">
        <v>15</v>
      </c>
      <c r="AG507" s="604" t="s">
        <v>119</v>
      </c>
      <c r="AH507" s="604" t="s">
        <v>420</v>
      </c>
      <c r="AJ507" s="535" t="str">
        <f t="shared" si="69"/>
        <v>2016bwteth&lt;500European or Other</v>
      </c>
      <c r="AK507" s="604">
        <v>2016</v>
      </c>
      <c r="AL507" s="604" t="s">
        <v>447</v>
      </c>
      <c r="AM507" s="604" t="s">
        <v>449</v>
      </c>
      <c r="AN507" s="604" t="s">
        <v>427</v>
      </c>
      <c r="AO507" s="604" t="s">
        <v>356</v>
      </c>
      <c r="AP507" s="604">
        <v>15</v>
      </c>
      <c r="AR507" s="538" t="str">
        <f t="shared" si="70"/>
        <v>40+agefetalBay of Plenty</v>
      </c>
      <c r="AS507" s="604">
        <v>2016</v>
      </c>
      <c r="AT507" s="604" t="s">
        <v>134</v>
      </c>
      <c r="AU507" s="604" t="s">
        <v>453</v>
      </c>
      <c r="AV507" s="604" t="s">
        <v>91</v>
      </c>
      <c r="AW507" s="604">
        <v>0</v>
      </c>
      <c r="AX507" s="604">
        <v>113</v>
      </c>
      <c r="AY507" s="606">
        <v>0</v>
      </c>
      <c r="AZ507" s="604" t="s">
        <v>420</v>
      </c>
      <c r="BB507" s="536" t="str">
        <f t="shared" si="71"/>
        <v>500-999bwtbirthsAuckland</v>
      </c>
      <c r="BC507" s="604">
        <v>2016</v>
      </c>
      <c r="BD507" s="604" t="s">
        <v>428</v>
      </c>
      <c r="BE507" s="604" t="s">
        <v>447</v>
      </c>
      <c r="BF507" s="604" t="s">
        <v>87</v>
      </c>
      <c r="BG507" s="604">
        <v>22</v>
      </c>
      <c r="BH507" s="604" t="s">
        <v>445</v>
      </c>
      <c r="BY507" s="553" t="str">
        <f t="shared" si="72"/>
        <v>2004Capital &amp; CoastdhbSIDS</v>
      </c>
      <c r="BZ507" s="604">
        <v>2004</v>
      </c>
      <c r="CA507" s="604" t="s">
        <v>96</v>
      </c>
      <c r="CB507" s="604" t="s">
        <v>448</v>
      </c>
      <c r="CC507" s="604">
        <v>5</v>
      </c>
      <c r="CD507" s="604" t="s">
        <v>32</v>
      </c>
      <c r="CF507" s="559" t="str">
        <f t="shared" si="73"/>
        <v>5yearsMaoriUnknowndhbSIDS</v>
      </c>
      <c r="CG507" s="604" t="s">
        <v>475</v>
      </c>
      <c r="CH507" s="604" t="s">
        <v>129</v>
      </c>
      <c r="CI507" s="604" t="s">
        <v>63</v>
      </c>
      <c r="CJ507" s="604" t="s">
        <v>448</v>
      </c>
      <c r="CK507" s="604">
        <v>0</v>
      </c>
      <c r="CL507" s="604" t="s">
        <v>32</v>
      </c>
    </row>
    <row r="508" spans="9:90">
      <c r="I508" s="578" t="str">
        <f t="shared" si="66"/>
        <v>2005bwt500-999Fetal</v>
      </c>
      <c r="J508" s="604">
        <v>2005</v>
      </c>
      <c r="K508" s="604" t="s">
        <v>447</v>
      </c>
      <c r="L508" s="604" t="s">
        <v>428</v>
      </c>
      <c r="M508" s="604">
        <v>75</v>
      </c>
      <c r="N508" s="604">
        <v>307</v>
      </c>
      <c r="O508" s="604">
        <v>244.3</v>
      </c>
      <c r="P508" s="604" t="s">
        <v>47</v>
      </c>
      <c r="Q508" s="499"/>
      <c r="R508" s="502" t="str">
        <f t="shared" si="67"/>
        <v>2007birthsdhbWaitemata</v>
      </c>
      <c r="S508" s="604">
        <v>2007</v>
      </c>
      <c r="T508" s="604" t="s">
        <v>445</v>
      </c>
      <c r="U508" s="604" t="s">
        <v>448</v>
      </c>
      <c r="V508" s="604" t="s">
        <v>86</v>
      </c>
      <c r="W508" s="604">
        <v>7829</v>
      </c>
      <c r="Y508" s="535" t="str">
        <f t="shared" si="68"/>
        <v>2016bwteth500-999European or Otherfetal</v>
      </c>
      <c r="Z508" s="604">
        <v>2016</v>
      </c>
      <c r="AA508" s="604" t="s">
        <v>447</v>
      </c>
      <c r="AB508" s="604" t="s">
        <v>449</v>
      </c>
      <c r="AC508" s="604" t="s">
        <v>428</v>
      </c>
      <c r="AD508" s="604" t="s">
        <v>356</v>
      </c>
      <c r="AE508" s="604">
        <v>43</v>
      </c>
      <c r="AF508" s="604">
        <v>64</v>
      </c>
      <c r="AG508" s="604">
        <v>401.9</v>
      </c>
      <c r="AH508" s="604" t="s">
        <v>420</v>
      </c>
      <c r="AJ508" s="535" t="str">
        <f t="shared" si="69"/>
        <v>2016bwteth500-999European or Other</v>
      </c>
      <c r="AK508" s="604">
        <v>2016</v>
      </c>
      <c r="AL508" s="604" t="s">
        <v>447</v>
      </c>
      <c r="AM508" s="604" t="s">
        <v>449</v>
      </c>
      <c r="AN508" s="604" t="s">
        <v>428</v>
      </c>
      <c r="AO508" s="604" t="s">
        <v>356</v>
      </c>
      <c r="AP508" s="604">
        <v>64</v>
      </c>
      <c r="AR508" s="538" t="str">
        <f t="shared" si="70"/>
        <v>&lt;20agefetalTairawhiti</v>
      </c>
      <c r="AS508" s="604">
        <v>2016</v>
      </c>
      <c r="AT508" s="604" t="s">
        <v>339</v>
      </c>
      <c r="AU508" s="604" t="s">
        <v>453</v>
      </c>
      <c r="AV508" s="604" t="s">
        <v>433</v>
      </c>
      <c r="AW508" s="604">
        <v>0</v>
      </c>
      <c r="AX508" s="604">
        <v>77</v>
      </c>
      <c r="AY508" s="606">
        <v>0</v>
      </c>
      <c r="AZ508" s="604" t="s">
        <v>420</v>
      </c>
      <c r="BB508" s="536" t="str">
        <f t="shared" si="71"/>
        <v>1000-1499bwtbirthsAuckland</v>
      </c>
      <c r="BC508" s="604">
        <v>2016</v>
      </c>
      <c r="BD508" s="604" t="s">
        <v>429</v>
      </c>
      <c r="BE508" s="604" t="s">
        <v>447</v>
      </c>
      <c r="BF508" s="604" t="s">
        <v>87</v>
      </c>
      <c r="BG508" s="604">
        <v>28</v>
      </c>
      <c r="BH508" s="604" t="s">
        <v>445</v>
      </c>
      <c r="BY508" s="553" t="str">
        <f t="shared" si="72"/>
        <v>2004Hutt ValleydhbSIDS</v>
      </c>
      <c r="BZ508" s="604">
        <v>2004</v>
      </c>
      <c r="CA508" s="604" t="s">
        <v>97</v>
      </c>
      <c r="CB508" s="604" t="s">
        <v>448</v>
      </c>
      <c r="CC508" s="604">
        <v>2</v>
      </c>
      <c r="CD508" s="604" t="s">
        <v>32</v>
      </c>
      <c r="CF508" s="559" t="str">
        <f t="shared" si="73"/>
        <v>5yearsPacific peoplesUnknowndhbSIDS</v>
      </c>
      <c r="CG508" s="604" t="s">
        <v>475</v>
      </c>
      <c r="CH508" s="604" t="s">
        <v>320</v>
      </c>
      <c r="CI508" s="604" t="s">
        <v>63</v>
      </c>
      <c r="CJ508" s="604" t="s">
        <v>448</v>
      </c>
      <c r="CK508" s="604">
        <v>0</v>
      </c>
      <c r="CL508" s="604" t="s">
        <v>32</v>
      </c>
    </row>
    <row r="509" spans="9:90">
      <c r="I509" s="578" t="str">
        <f t="shared" si="66"/>
        <v>2005bwt1000-1499Fetal</v>
      </c>
      <c r="J509" s="604">
        <v>2005</v>
      </c>
      <c r="K509" s="604" t="s">
        <v>447</v>
      </c>
      <c r="L509" s="604" t="s">
        <v>429</v>
      </c>
      <c r="M509" s="604">
        <v>31</v>
      </c>
      <c r="N509" s="604">
        <v>392</v>
      </c>
      <c r="O509" s="604">
        <v>79.099999999999994</v>
      </c>
      <c r="P509" s="604" t="s">
        <v>47</v>
      </c>
      <c r="Q509" s="499"/>
      <c r="R509" s="502" t="str">
        <f t="shared" si="67"/>
        <v>2007birthsdhbAuckland</v>
      </c>
      <c r="S509" s="604">
        <v>2007</v>
      </c>
      <c r="T509" s="604" t="s">
        <v>445</v>
      </c>
      <c r="U509" s="604" t="s">
        <v>448</v>
      </c>
      <c r="V509" s="604" t="s">
        <v>87</v>
      </c>
      <c r="W509" s="604">
        <v>6738</v>
      </c>
      <c r="Y509" s="535" t="str">
        <f t="shared" si="68"/>
        <v>2016bwteth1000-1499European or Otherfetal</v>
      </c>
      <c r="Z509" s="604">
        <v>2016</v>
      </c>
      <c r="AA509" s="604" t="s">
        <v>447</v>
      </c>
      <c r="AB509" s="604" t="s">
        <v>449</v>
      </c>
      <c r="AC509" s="604" t="s">
        <v>429</v>
      </c>
      <c r="AD509" s="604" t="s">
        <v>356</v>
      </c>
      <c r="AE509" s="604">
        <v>8</v>
      </c>
      <c r="AF509" s="604">
        <v>131</v>
      </c>
      <c r="AG509" s="604">
        <v>57.6</v>
      </c>
      <c r="AH509" s="604" t="s">
        <v>420</v>
      </c>
      <c r="AJ509" s="535" t="str">
        <f t="shared" si="69"/>
        <v>2016bwteth1000-1499European or Other</v>
      </c>
      <c r="AK509" s="604">
        <v>2016</v>
      </c>
      <c r="AL509" s="604" t="s">
        <v>447</v>
      </c>
      <c r="AM509" s="604" t="s">
        <v>449</v>
      </c>
      <c r="AN509" s="604" t="s">
        <v>429</v>
      </c>
      <c r="AO509" s="604" t="s">
        <v>356</v>
      </c>
      <c r="AP509" s="604">
        <v>131</v>
      </c>
      <c r="AR509" s="538" t="str">
        <f t="shared" si="70"/>
        <v>20-24agefetalTairawhiti</v>
      </c>
      <c r="AS509" s="604">
        <v>2016</v>
      </c>
      <c r="AT509" s="604" t="s">
        <v>130</v>
      </c>
      <c r="AU509" s="604" t="s">
        <v>453</v>
      </c>
      <c r="AV509" s="604" t="s">
        <v>433</v>
      </c>
      <c r="AW509" s="604">
        <v>0</v>
      </c>
      <c r="AX509" s="604">
        <v>177</v>
      </c>
      <c r="AY509" s="606">
        <v>0</v>
      </c>
      <c r="AZ509" s="604" t="s">
        <v>420</v>
      </c>
      <c r="BB509" s="536" t="str">
        <f t="shared" si="71"/>
        <v>1500-2499bwtbirthsAuckland</v>
      </c>
      <c r="BC509" s="604">
        <v>2016</v>
      </c>
      <c r="BD509" s="604" t="s">
        <v>430</v>
      </c>
      <c r="BE509" s="604" t="s">
        <v>447</v>
      </c>
      <c r="BF509" s="604" t="s">
        <v>87</v>
      </c>
      <c r="BG509" s="604">
        <v>299</v>
      </c>
      <c r="BH509" s="604" t="s">
        <v>445</v>
      </c>
      <c r="BY509" s="553" t="str">
        <f t="shared" si="72"/>
        <v>2004WairarapadhbSIDS</v>
      </c>
      <c r="BZ509" s="604">
        <v>2004</v>
      </c>
      <c r="CA509" s="604" t="s">
        <v>98</v>
      </c>
      <c r="CB509" s="604" t="s">
        <v>448</v>
      </c>
      <c r="CC509" s="604">
        <v>0</v>
      </c>
      <c r="CD509" s="604" t="s">
        <v>32</v>
      </c>
      <c r="CF509" s="559" t="str">
        <f t="shared" si="73"/>
        <v>5yearsAsian&lt;500bwtSIDS</v>
      </c>
      <c r="CG509" s="604" t="s">
        <v>475</v>
      </c>
      <c r="CH509" s="604" t="s">
        <v>355</v>
      </c>
      <c r="CI509" s="604" t="s">
        <v>427</v>
      </c>
      <c r="CJ509" s="604" t="s">
        <v>447</v>
      </c>
      <c r="CK509" s="604">
        <v>0</v>
      </c>
      <c r="CL509" s="604" t="s">
        <v>32</v>
      </c>
    </row>
    <row r="510" spans="9:90">
      <c r="I510" s="578" t="str">
        <f t="shared" si="66"/>
        <v>2005bwt1500-2499Fetal</v>
      </c>
      <c r="J510" s="604">
        <v>2005</v>
      </c>
      <c r="K510" s="604" t="s">
        <v>447</v>
      </c>
      <c r="L510" s="604" t="s">
        <v>430</v>
      </c>
      <c r="M510" s="604">
        <v>44</v>
      </c>
      <c r="N510" s="604">
        <v>2905</v>
      </c>
      <c r="O510" s="604">
        <v>15.1</v>
      </c>
      <c r="P510" s="604" t="s">
        <v>47</v>
      </c>
      <c r="Q510" s="499"/>
      <c r="R510" s="502" t="str">
        <f t="shared" si="67"/>
        <v>2007birthsdhbCounties Manukau</v>
      </c>
      <c r="S510" s="604">
        <v>2007</v>
      </c>
      <c r="T510" s="604" t="s">
        <v>445</v>
      </c>
      <c r="U510" s="604" t="s">
        <v>448</v>
      </c>
      <c r="V510" s="604" t="s">
        <v>88</v>
      </c>
      <c r="W510" s="604">
        <v>8998</v>
      </c>
      <c r="Y510" s="535" t="str">
        <f t="shared" si="68"/>
        <v>2016bwteth1500-2499European or Otherfetal</v>
      </c>
      <c r="Z510" s="604">
        <v>2016</v>
      </c>
      <c r="AA510" s="604" t="s">
        <v>447</v>
      </c>
      <c r="AB510" s="604" t="s">
        <v>449</v>
      </c>
      <c r="AC510" s="604" t="s">
        <v>430</v>
      </c>
      <c r="AD510" s="604" t="s">
        <v>356</v>
      </c>
      <c r="AE510" s="604">
        <v>17</v>
      </c>
      <c r="AF510" s="604">
        <v>1163</v>
      </c>
      <c r="AG510" s="604">
        <v>14.4</v>
      </c>
      <c r="AH510" s="604" t="s">
        <v>420</v>
      </c>
      <c r="AJ510" s="535" t="str">
        <f t="shared" si="69"/>
        <v>2016bwteth1500-2499European or Other</v>
      </c>
      <c r="AK510" s="604">
        <v>2016</v>
      </c>
      <c r="AL510" s="604" t="s">
        <v>447</v>
      </c>
      <c r="AM510" s="604" t="s">
        <v>449</v>
      </c>
      <c r="AN510" s="604" t="s">
        <v>430</v>
      </c>
      <c r="AO510" s="604" t="s">
        <v>356</v>
      </c>
      <c r="AP510" s="604">
        <v>1163</v>
      </c>
      <c r="AR510" s="538" t="str">
        <f t="shared" si="70"/>
        <v>35-39agefetalTairawhiti</v>
      </c>
      <c r="AS510" s="604">
        <v>2016</v>
      </c>
      <c r="AT510" s="604" t="s">
        <v>133</v>
      </c>
      <c r="AU510" s="604" t="s">
        <v>453</v>
      </c>
      <c r="AV510" s="604" t="s">
        <v>433</v>
      </c>
      <c r="AW510" s="604">
        <v>0</v>
      </c>
      <c r="AX510" s="604">
        <v>93</v>
      </c>
      <c r="AY510" s="606">
        <v>0</v>
      </c>
      <c r="AZ510" s="604" t="s">
        <v>420</v>
      </c>
      <c r="BB510" s="536" t="str">
        <f t="shared" si="71"/>
        <v>2500-4499bwtbirthsAuckland</v>
      </c>
      <c r="BC510" s="604">
        <v>2016</v>
      </c>
      <c r="BD510" s="604" t="s">
        <v>431</v>
      </c>
      <c r="BE510" s="604" t="s">
        <v>447</v>
      </c>
      <c r="BF510" s="604" t="s">
        <v>87</v>
      </c>
      <c r="BG510" s="604">
        <v>5449</v>
      </c>
      <c r="BH510" s="604" t="s">
        <v>445</v>
      </c>
      <c r="BY510" s="553" t="str">
        <f t="shared" si="72"/>
        <v>2004Nelson MarlboroughdhbSIDS</v>
      </c>
      <c r="BZ510" s="604">
        <v>2004</v>
      </c>
      <c r="CA510" s="604" t="s">
        <v>99</v>
      </c>
      <c r="CB510" s="604" t="s">
        <v>448</v>
      </c>
      <c r="CC510" s="604">
        <v>0</v>
      </c>
      <c r="CD510" s="604" t="s">
        <v>32</v>
      </c>
      <c r="CF510" s="559" t="str">
        <f t="shared" si="73"/>
        <v>5yearsEuropean or Other&lt;500bwtSIDS</v>
      </c>
      <c r="CG510" s="604" t="s">
        <v>475</v>
      </c>
      <c r="CH510" s="604" t="s">
        <v>356</v>
      </c>
      <c r="CI510" s="604" t="s">
        <v>427</v>
      </c>
      <c r="CJ510" s="604" t="s">
        <v>447</v>
      </c>
      <c r="CK510" s="604">
        <v>0</v>
      </c>
      <c r="CL510" s="604" t="s">
        <v>32</v>
      </c>
    </row>
    <row r="511" spans="9:90">
      <c r="I511" s="578" t="str">
        <f t="shared" si="66"/>
        <v>2005bwt2500-4499Fetal</v>
      </c>
      <c r="J511" s="604">
        <v>2005</v>
      </c>
      <c r="K511" s="604" t="s">
        <v>447</v>
      </c>
      <c r="L511" s="604" t="s">
        <v>431</v>
      </c>
      <c r="M511" s="604">
        <v>89</v>
      </c>
      <c r="N511" s="604">
        <v>53661</v>
      </c>
      <c r="O511" s="604">
        <v>1.7</v>
      </c>
      <c r="P511" s="604" t="s">
        <v>47</v>
      </c>
      <c r="Q511" s="499"/>
      <c r="R511" s="502" t="str">
        <f t="shared" si="67"/>
        <v>2007birthsdhbWaikato</v>
      </c>
      <c r="S511" s="604">
        <v>2007</v>
      </c>
      <c r="T511" s="604" t="s">
        <v>445</v>
      </c>
      <c r="U511" s="604" t="s">
        <v>448</v>
      </c>
      <c r="V511" s="604" t="s">
        <v>89</v>
      </c>
      <c r="W511" s="604">
        <v>5630</v>
      </c>
      <c r="Y511" s="535" t="str">
        <f t="shared" si="68"/>
        <v>2016bwteth2500-4499European or Otherfetal</v>
      </c>
      <c r="Z511" s="604">
        <v>2016</v>
      </c>
      <c r="AA511" s="604" t="s">
        <v>447</v>
      </c>
      <c r="AB511" s="604" t="s">
        <v>449</v>
      </c>
      <c r="AC511" s="604" t="s">
        <v>431</v>
      </c>
      <c r="AD511" s="604" t="s">
        <v>356</v>
      </c>
      <c r="AE511" s="604">
        <v>36</v>
      </c>
      <c r="AF511" s="604">
        <v>24147</v>
      </c>
      <c r="AG511" s="604">
        <v>1.5</v>
      </c>
      <c r="AH511" s="604" t="s">
        <v>420</v>
      </c>
      <c r="AJ511" s="535" t="str">
        <f t="shared" si="69"/>
        <v>2016bwteth2500-4499European or Other</v>
      </c>
      <c r="AK511" s="604">
        <v>2016</v>
      </c>
      <c r="AL511" s="604" t="s">
        <v>447</v>
      </c>
      <c r="AM511" s="604" t="s">
        <v>449</v>
      </c>
      <c r="AN511" s="604" t="s">
        <v>431</v>
      </c>
      <c r="AO511" s="604" t="s">
        <v>356</v>
      </c>
      <c r="AP511" s="604">
        <v>24147</v>
      </c>
      <c r="AR511" s="538" t="str">
        <f t="shared" si="70"/>
        <v>40+agefetalTairawhiti</v>
      </c>
      <c r="AS511" s="604">
        <v>2016</v>
      </c>
      <c r="AT511" s="604" t="s">
        <v>134</v>
      </c>
      <c r="AU511" s="604" t="s">
        <v>453</v>
      </c>
      <c r="AV511" s="604" t="s">
        <v>433</v>
      </c>
      <c r="AW511" s="604">
        <v>0</v>
      </c>
      <c r="AX511" s="604">
        <v>20</v>
      </c>
      <c r="AY511" s="606">
        <v>0</v>
      </c>
      <c r="AZ511" s="604" t="s">
        <v>420</v>
      </c>
      <c r="BB511" s="536" t="str">
        <f t="shared" si="71"/>
        <v>4500+bwtbirthsAuckland</v>
      </c>
      <c r="BC511" s="604">
        <v>2016</v>
      </c>
      <c r="BD511" s="604" t="s">
        <v>432</v>
      </c>
      <c r="BE511" s="604" t="s">
        <v>447</v>
      </c>
      <c r="BF511" s="604" t="s">
        <v>87</v>
      </c>
      <c r="BG511" s="604">
        <v>96</v>
      </c>
      <c r="BH511" s="604" t="s">
        <v>445</v>
      </c>
      <c r="BY511" s="553" t="str">
        <f t="shared" si="72"/>
        <v>2004West CoastdhbSIDS</v>
      </c>
      <c r="BZ511" s="604">
        <v>2004</v>
      </c>
      <c r="CA511" s="604" t="s">
        <v>100</v>
      </c>
      <c r="CB511" s="604" t="s">
        <v>448</v>
      </c>
      <c r="CC511" s="604">
        <v>0</v>
      </c>
      <c r="CD511" s="604" t="s">
        <v>32</v>
      </c>
      <c r="CF511" s="559" t="str">
        <f t="shared" si="73"/>
        <v>5yearsMaori&lt;500bwtSIDS</v>
      </c>
      <c r="CG511" s="604" t="s">
        <v>475</v>
      </c>
      <c r="CH511" s="604" t="s">
        <v>129</v>
      </c>
      <c r="CI511" s="604" t="s">
        <v>427</v>
      </c>
      <c r="CJ511" s="604" t="s">
        <v>447</v>
      </c>
      <c r="CK511" s="604">
        <v>0</v>
      </c>
      <c r="CL511" s="604" t="s">
        <v>32</v>
      </c>
    </row>
    <row r="512" spans="9:90">
      <c r="I512" s="578" t="str">
        <f t="shared" si="66"/>
        <v>2005bwt4500+Fetal</v>
      </c>
      <c r="J512" s="604">
        <v>2005</v>
      </c>
      <c r="K512" s="604" t="s">
        <v>447</v>
      </c>
      <c r="L512" s="604" t="s">
        <v>432</v>
      </c>
      <c r="M512" s="604">
        <v>4</v>
      </c>
      <c r="N512" s="604">
        <v>1611</v>
      </c>
      <c r="O512" s="604">
        <v>2.5</v>
      </c>
      <c r="P512" s="604" t="s">
        <v>47</v>
      </c>
      <c r="Q512" s="499"/>
      <c r="R512" s="502" t="str">
        <f t="shared" si="67"/>
        <v>2007birthsdhbLakes</v>
      </c>
      <c r="S512" s="604">
        <v>2007</v>
      </c>
      <c r="T512" s="604" t="s">
        <v>445</v>
      </c>
      <c r="U512" s="604" t="s">
        <v>448</v>
      </c>
      <c r="V512" s="604" t="s">
        <v>90</v>
      </c>
      <c r="W512" s="604">
        <v>1692</v>
      </c>
      <c r="Y512" s="535" t="str">
        <f t="shared" si="68"/>
        <v>2016bwteth4500+European or Otherfetal</v>
      </c>
      <c r="Z512" s="604">
        <v>2016</v>
      </c>
      <c r="AA512" s="604" t="s">
        <v>447</v>
      </c>
      <c r="AB512" s="604" t="s">
        <v>449</v>
      </c>
      <c r="AC512" s="604" t="s">
        <v>432</v>
      </c>
      <c r="AD512" s="604" t="s">
        <v>356</v>
      </c>
      <c r="AE512" s="604">
        <v>2</v>
      </c>
      <c r="AF512" s="604">
        <v>692</v>
      </c>
      <c r="AG512" s="604">
        <v>2.9</v>
      </c>
      <c r="AH512" s="604" t="s">
        <v>420</v>
      </c>
      <c r="AJ512" s="535" t="str">
        <f t="shared" si="69"/>
        <v>2016bwteth4500+European or Other</v>
      </c>
      <c r="AK512" s="604">
        <v>2016</v>
      </c>
      <c r="AL512" s="604" t="s">
        <v>447</v>
      </c>
      <c r="AM512" s="604" t="s">
        <v>449</v>
      </c>
      <c r="AN512" s="604" t="s">
        <v>432</v>
      </c>
      <c r="AO512" s="604" t="s">
        <v>356</v>
      </c>
      <c r="AP512" s="604">
        <v>692</v>
      </c>
      <c r="AR512" s="538" t="str">
        <f t="shared" si="70"/>
        <v>&lt;20agefetalHawke's Bay</v>
      </c>
      <c r="AS512" s="604">
        <v>2016</v>
      </c>
      <c r="AT512" s="604" t="s">
        <v>339</v>
      </c>
      <c r="AU512" s="604" t="s">
        <v>453</v>
      </c>
      <c r="AV512" s="604" t="s">
        <v>92</v>
      </c>
      <c r="AW512" s="604">
        <v>0</v>
      </c>
      <c r="AX512" s="604">
        <v>148</v>
      </c>
      <c r="AY512" s="606">
        <v>0</v>
      </c>
      <c r="AZ512" s="604" t="s">
        <v>420</v>
      </c>
      <c r="BB512" s="536" t="str">
        <f t="shared" si="71"/>
        <v>UnknownbwtbirthsAuckland</v>
      </c>
      <c r="BC512" s="604">
        <v>2016</v>
      </c>
      <c r="BD512" s="604" t="s">
        <v>63</v>
      </c>
      <c r="BE512" s="604" t="s">
        <v>447</v>
      </c>
      <c r="BF512" s="604" t="s">
        <v>87</v>
      </c>
      <c r="BG512" s="604">
        <v>5</v>
      </c>
      <c r="BH512" s="604" t="s">
        <v>445</v>
      </c>
      <c r="BY512" s="553" t="str">
        <f t="shared" si="72"/>
        <v>2004CanterburydhbSIDS</v>
      </c>
      <c r="BZ512" s="604">
        <v>2004</v>
      </c>
      <c r="CA512" s="604" t="s">
        <v>101</v>
      </c>
      <c r="CB512" s="604" t="s">
        <v>448</v>
      </c>
      <c r="CC512" s="604">
        <v>1</v>
      </c>
      <c r="CD512" s="604" t="s">
        <v>32</v>
      </c>
      <c r="CF512" s="559" t="str">
        <f t="shared" si="73"/>
        <v>5yearsPacific peoples&lt;500bwtSIDS</v>
      </c>
      <c r="CG512" s="604" t="s">
        <v>475</v>
      </c>
      <c r="CH512" s="604" t="s">
        <v>320</v>
      </c>
      <c r="CI512" s="604" t="s">
        <v>427</v>
      </c>
      <c r="CJ512" s="604" t="s">
        <v>447</v>
      </c>
      <c r="CK512" s="604">
        <v>0</v>
      </c>
      <c r="CL512" s="604" t="s">
        <v>32</v>
      </c>
    </row>
    <row r="513" spans="9:90">
      <c r="I513" s="578" t="str">
        <f t="shared" si="66"/>
        <v>2005bwtUnknownFetal</v>
      </c>
      <c r="J513" s="604">
        <v>2005</v>
      </c>
      <c r="K513" s="604" t="s">
        <v>447</v>
      </c>
      <c r="L513" s="604" t="s">
        <v>63</v>
      </c>
      <c r="M513" s="604">
        <v>7</v>
      </c>
      <c r="N513" s="604">
        <v>55</v>
      </c>
      <c r="O513" s="604" t="s">
        <v>119</v>
      </c>
      <c r="P513" s="604" t="s">
        <v>47</v>
      </c>
      <c r="Q513" s="499"/>
      <c r="R513" s="502" t="str">
        <f t="shared" si="67"/>
        <v>2007birthsdhbBay of Plenty</v>
      </c>
      <c r="S513" s="604">
        <v>2007</v>
      </c>
      <c r="T513" s="604" t="s">
        <v>445</v>
      </c>
      <c r="U513" s="604" t="s">
        <v>448</v>
      </c>
      <c r="V513" s="604" t="s">
        <v>91</v>
      </c>
      <c r="W513" s="604">
        <v>3050</v>
      </c>
      <c r="Y513" s="535" t="str">
        <f t="shared" si="68"/>
        <v>2016bwtethUnknownEuropean or Otherfetal</v>
      </c>
      <c r="Z513" s="604">
        <v>2016</v>
      </c>
      <c r="AA513" s="604" t="s">
        <v>447</v>
      </c>
      <c r="AB513" s="604" t="s">
        <v>449</v>
      </c>
      <c r="AC513" s="604" t="s">
        <v>63</v>
      </c>
      <c r="AD513" s="604" t="s">
        <v>356</v>
      </c>
      <c r="AE513" s="604">
        <v>5</v>
      </c>
      <c r="AF513" s="604">
        <v>17</v>
      </c>
      <c r="AG513" s="604" t="s">
        <v>119</v>
      </c>
      <c r="AH513" s="604" t="s">
        <v>420</v>
      </c>
      <c r="AJ513" s="535" t="str">
        <f t="shared" si="69"/>
        <v>2016bwtethUnknownEuropean or Other</v>
      </c>
      <c r="AK513" s="604">
        <v>2016</v>
      </c>
      <c r="AL513" s="604" t="s">
        <v>447</v>
      </c>
      <c r="AM513" s="604" t="s">
        <v>449</v>
      </c>
      <c r="AN513" s="604" t="s">
        <v>63</v>
      </c>
      <c r="AO513" s="604" t="s">
        <v>356</v>
      </c>
      <c r="AP513" s="604">
        <v>17</v>
      </c>
      <c r="AR513" s="538" t="str">
        <f t="shared" si="70"/>
        <v>20-24agefetalHawke's Bay</v>
      </c>
      <c r="AS513" s="604">
        <v>2016</v>
      </c>
      <c r="AT513" s="604" t="s">
        <v>130</v>
      </c>
      <c r="AU513" s="604" t="s">
        <v>453</v>
      </c>
      <c r="AV513" s="604" t="s">
        <v>92</v>
      </c>
      <c r="AW513" s="604">
        <v>0</v>
      </c>
      <c r="AX513" s="604">
        <v>472</v>
      </c>
      <c r="AY513" s="606">
        <v>0</v>
      </c>
      <c r="AZ513" s="604" t="s">
        <v>420</v>
      </c>
      <c r="BB513" s="536" t="str">
        <f t="shared" si="71"/>
        <v>&lt;500bwtbirthsCounties Manukau</v>
      </c>
      <c r="BC513" s="604">
        <v>2016</v>
      </c>
      <c r="BD513" s="604" t="s">
        <v>427</v>
      </c>
      <c r="BE513" s="604" t="s">
        <v>447</v>
      </c>
      <c r="BF513" s="604" t="s">
        <v>88</v>
      </c>
      <c r="BG513" s="604">
        <v>15</v>
      </c>
      <c r="BH513" s="604" t="s">
        <v>445</v>
      </c>
      <c r="BY513" s="553" t="str">
        <f t="shared" si="72"/>
        <v>2004South CanterburydhbSIDS</v>
      </c>
      <c r="BZ513" s="604">
        <v>2004</v>
      </c>
      <c r="CA513" s="604" t="s">
        <v>102</v>
      </c>
      <c r="CB513" s="604" t="s">
        <v>448</v>
      </c>
      <c r="CC513" s="604">
        <v>0</v>
      </c>
      <c r="CD513" s="604" t="s">
        <v>32</v>
      </c>
      <c r="CF513" s="559" t="str">
        <f t="shared" si="73"/>
        <v>5yearsAsian500-999bwtSIDS</v>
      </c>
      <c r="CG513" s="604" t="s">
        <v>475</v>
      </c>
      <c r="CH513" s="604" t="s">
        <v>355</v>
      </c>
      <c r="CI513" s="604" t="s">
        <v>428</v>
      </c>
      <c r="CJ513" s="604" t="s">
        <v>447</v>
      </c>
      <c r="CK513" s="604">
        <v>0</v>
      </c>
      <c r="CL513" s="604" t="s">
        <v>32</v>
      </c>
    </row>
    <row r="514" spans="9:90">
      <c r="I514" s="578" t="str">
        <f t="shared" si="66"/>
        <v>2006bwt&lt;500Fetal</v>
      </c>
      <c r="J514" s="604">
        <v>2006</v>
      </c>
      <c r="K514" s="604" t="s">
        <v>447</v>
      </c>
      <c r="L514" s="604" t="s">
        <v>427</v>
      </c>
      <c r="M514" s="604">
        <v>162</v>
      </c>
      <c r="N514" s="604">
        <v>214</v>
      </c>
      <c r="O514" s="604">
        <v>757</v>
      </c>
      <c r="P514" s="604" t="s">
        <v>47</v>
      </c>
      <c r="Q514" s="499"/>
      <c r="R514" s="502" t="str">
        <f t="shared" si="67"/>
        <v>2007birthsdhbTairawhiti</v>
      </c>
      <c r="S514" s="604">
        <v>2007</v>
      </c>
      <c r="T514" s="604" t="s">
        <v>445</v>
      </c>
      <c r="U514" s="604" t="s">
        <v>448</v>
      </c>
      <c r="V514" s="604" t="s">
        <v>433</v>
      </c>
      <c r="W514" s="604">
        <v>836</v>
      </c>
      <c r="Y514" s="535" t="str">
        <f t="shared" si="68"/>
        <v>2016depethQuin 1Maorifetal</v>
      </c>
      <c r="Z514" s="604">
        <v>2016</v>
      </c>
      <c r="AA514" s="604" t="s">
        <v>454</v>
      </c>
      <c r="AB514" s="604" t="s">
        <v>449</v>
      </c>
      <c r="AC514" s="604" t="s">
        <v>421</v>
      </c>
      <c r="AD514" s="604" t="s">
        <v>129</v>
      </c>
      <c r="AE514" s="604">
        <v>4</v>
      </c>
      <c r="AF514" s="604">
        <v>1159</v>
      </c>
      <c r="AG514" s="604">
        <v>3.4</v>
      </c>
      <c r="AH514" s="604" t="s">
        <v>420</v>
      </c>
      <c r="AJ514" s="535" t="str">
        <f t="shared" si="69"/>
        <v>2016depethQuin 1Maori</v>
      </c>
      <c r="AK514" s="604">
        <v>2016</v>
      </c>
      <c r="AL514" s="604" t="s">
        <v>454</v>
      </c>
      <c r="AM514" s="604" t="s">
        <v>449</v>
      </c>
      <c r="AN514" s="604" t="s">
        <v>421</v>
      </c>
      <c r="AO514" s="604" t="s">
        <v>129</v>
      </c>
      <c r="AP514" s="604">
        <v>1159</v>
      </c>
      <c r="AR514" s="538" t="str">
        <f t="shared" si="70"/>
        <v>40+agefetalHawke's Bay</v>
      </c>
      <c r="AS514" s="604">
        <v>2016</v>
      </c>
      <c r="AT514" s="604" t="s">
        <v>134</v>
      </c>
      <c r="AU514" s="604" t="s">
        <v>453</v>
      </c>
      <c r="AV514" s="604" t="s">
        <v>92</v>
      </c>
      <c r="AW514" s="604">
        <v>0</v>
      </c>
      <c r="AX514" s="604">
        <v>52</v>
      </c>
      <c r="AY514" s="606">
        <v>0</v>
      </c>
      <c r="AZ514" s="604" t="s">
        <v>420</v>
      </c>
      <c r="BB514" s="536" t="str">
        <f t="shared" si="71"/>
        <v>500-999bwtbirthsCounties Manukau</v>
      </c>
      <c r="BC514" s="604">
        <v>2016</v>
      </c>
      <c r="BD514" s="604" t="s">
        <v>428</v>
      </c>
      <c r="BE514" s="604" t="s">
        <v>447</v>
      </c>
      <c r="BF514" s="604" t="s">
        <v>88</v>
      </c>
      <c r="BG514" s="604">
        <v>31</v>
      </c>
      <c r="BH514" s="604" t="s">
        <v>445</v>
      </c>
      <c r="BY514" s="553" t="str">
        <f t="shared" si="72"/>
        <v>2004SoutherndhbSIDS</v>
      </c>
      <c r="BZ514" s="604">
        <v>2004</v>
      </c>
      <c r="CA514" s="604" t="s">
        <v>103</v>
      </c>
      <c r="CB514" s="604" t="s">
        <v>448</v>
      </c>
      <c r="CC514" s="604">
        <v>3</v>
      </c>
      <c r="CD514" s="604" t="s">
        <v>32</v>
      </c>
      <c r="CF514" s="559" t="str">
        <f t="shared" si="73"/>
        <v>5yearsEuropean or Other500-999bwtSIDS</v>
      </c>
      <c r="CG514" s="604" t="s">
        <v>475</v>
      </c>
      <c r="CH514" s="604" t="s">
        <v>356</v>
      </c>
      <c r="CI514" s="604" t="s">
        <v>428</v>
      </c>
      <c r="CJ514" s="604" t="s">
        <v>447</v>
      </c>
      <c r="CK514" s="604">
        <v>0</v>
      </c>
      <c r="CL514" s="604" t="s">
        <v>32</v>
      </c>
    </row>
    <row r="515" spans="9:90">
      <c r="I515" s="578" t="str">
        <f t="shared" si="66"/>
        <v>2006bwt500-999Fetal</v>
      </c>
      <c r="J515" s="604">
        <v>2006</v>
      </c>
      <c r="K515" s="604" t="s">
        <v>447</v>
      </c>
      <c r="L515" s="604" t="s">
        <v>428</v>
      </c>
      <c r="M515" s="604">
        <v>85</v>
      </c>
      <c r="N515" s="604">
        <v>279</v>
      </c>
      <c r="O515" s="604">
        <v>304.7</v>
      </c>
      <c r="P515" s="604" t="s">
        <v>47</v>
      </c>
      <c r="Q515" s="499"/>
      <c r="R515" s="502" t="str">
        <f t="shared" si="67"/>
        <v>2007birthsdhbHawke's Bay</v>
      </c>
      <c r="S515" s="604">
        <v>2007</v>
      </c>
      <c r="T515" s="604" t="s">
        <v>445</v>
      </c>
      <c r="U515" s="604" t="s">
        <v>448</v>
      </c>
      <c r="V515" s="604" t="s">
        <v>92</v>
      </c>
      <c r="W515" s="604">
        <v>2379</v>
      </c>
      <c r="Y515" s="535" t="str">
        <f t="shared" si="68"/>
        <v>2016depethQuin 2Maorifetal</v>
      </c>
      <c r="Z515" s="604">
        <v>2016</v>
      </c>
      <c r="AA515" s="604" t="s">
        <v>454</v>
      </c>
      <c r="AB515" s="604" t="s">
        <v>449</v>
      </c>
      <c r="AC515" s="604" t="s">
        <v>422</v>
      </c>
      <c r="AD515" s="604" t="s">
        <v>129</v>
      </c>
      <c r="AE515" s="604">
        <v>13</v>
      </c>
      <c r="AF515" s="604">
        <v>1788</v>
      </c>
      <c r="AG515" s="604">
        <v>7.2</v>
      </c>
      <c r="AH515" s="604" t="s">
        <v>420</v>
      </c>
      <c r="AJ515" s="535" t="str">
        <f t="shared" si="69"/>
        <v>2016depethQuin 2Maori</v>
      </c>
      <c r="AK515" s="604">
        <v>2016</v>
      </c>
      <c r="AL515" s="604" t="s">
        <v>454</v>
      </c>
      <c r="AM515" s="604" t="s">
        <v>449</v>
      </c>
      <c r="AN515" s="604" t="s">
        <v>422</v>
      </c>
      <c r="AO515" s="604" t="s">
        <v>129</v>
      </c>
      <c r="AP515" s="604">
        <v>1788</v>
      </c>
      <c r="AR515" s="538" t="str">
        <f t="shared" si="70"/>
        <v>40+agefetalTaranaki</v>
      </c>
      <c r="AS515" s="604">
        <v>2016</v>
      </c>
      <c r="AT515" s="604" t="s">
        <v>134</v>
      </c>
      <c r="AU515" s="604" t="s">
        <v>453</v>
      </c>
      <c r="AV515" s="604" t="s">
        <v>93</v>
      </c>
      <c r="AW515" s="604">
        <v>0</v>
      </c>
      <c r="AX515" s="604">
        <v>45</v>
      </c>
      <c r="AY515" s="606">
        <v>0</v>
      </c>
      <c r="AZ515" s="604" t="s">
        <v>420</v>
      </c>
      <c r="BB515" s="536" t="str">
        <f t="shared" si="71"/>
        <v>1000-1499bwtbirthsCounties Manukau</v>
      </c>
      <c r="BC515" s="604">
        <v>2016</v>
      </c>
      <c r="BD515" s="604" t="s">
        <v>429</v>
      </c>
      <c r="BE515" s="604" t="s">
        <v>447</v>
      </c>
      <c r="BF515" s="604" t="s">
        <v>88</v>
      </c>
      <c r="BG515" s="604">
        <v>44</v>
      </c>
      <c r="BH515" s="604" t="s">
        <v>445</v>
      </c>
      <c r="BY515" s="553" t="str">
        <f t="shared" si="72"/>
        <v>2004UnknowndhbSIDS</v>
      </c>
      <c r="BZ515" s="604">
        <v>2004</v>
      </c>
      <c r="CA515" s="604" t="s">
        <v>63</v>
      </c>
      <c r="CB515" s="604" t="s">
        <v>448</v>
      </c>
      <c r="CC515" s="604">
        <v>0</v>
      </c>
      <c r="CD515" s="604" t="s">
        <v>32</v>
      </c>
      <c r="CF515" s="559" t="str">
        <f t="shared" si="73"/>
        <v>5yearsMaori500-999bwtSIDS</v>
      </c>
      <c r="CG515" s="604" t="s">
        <v>475</v>
      </c>
      <c r="CH515" s="604" t="s">
        <v>129</v>
      </c>
      <c r="CI515" s="604" t="s">
        <v>428</v>
      </c>
      <c r="CJ515" s="604" t="s">
        <v>447</v>
      </c>
      <c r="CK515" s="604">
        <v>0</v>
      </c>
      <c r="CL515" s="604" t="s">
        <v>32</v>
      </c>
    </row>
    <row r="516" spans="9:90">
      <c r="I516" s="578" t="str">
        <f t="shared" ref="I516:I579" si="74">J516&amp;K516&amp;L516&amp;P516</f>
        <v>2006bwt1000-1499Fetal</v>
      </c>
      <c r="J516" s="604">
        <v>2006</v>
      </c>
      <c r="K516" s="604" t="s">
        <v>447</v>
      </c>
      <c r="L516" s="604" t="s">
        <v>429</v>
      </c>
      <c r="M516" s="604">
        <v>29</v>
      </c>
      <c r="N516" s="604">
        <v>417</v>
      </c>
      <c r="O516" s="604">
        <v>69.5</v>
      </c>
      <c r="P516" s="604" t="s">
        <v>47</v>
      </c>
      <c r="Q516" s="499"/>
      <c r="R516" s="502" t="str">
        <f t="shared" ref="R516:R579" si="75">S516&amp;T516&amp;U516&amp;V516</f>
        <v>2007birthsdhbTaranaki</v>
      </c>
      <c r="S516" s="604">
        <v>2007</v>
      </c>
      <c r="T516" s="604" t="s">
        <v>445</v>
      </c>
      <c r="U516" s="604" t="s">
        <v>448</v>
      </c>
      <c r="V516" s="604" t="s">
        <v>93</v>
      </c>
      <c r="W516" s="604">
        <v>1626</v>
      </c>
      <c r="Y516" s="535" t="str">
        <f t="shared" ref="Y516:Y579" si="76">Z516&amp;AA516&amp;AB516&amp;AC516&amp;AD516&amp;AH516</f>
        <v>2016depethQuin 3Maorifetal</v>
      </c>
      <c r="Z516" s="604">
        <v>2016</v>
      </c>
      <c r="AA516" s="604" t="s">
        <v>454</v>
      </c>
      <c r="AB516" s="604" t="s">
        <v>449</v>
      </c>
      <c r="AC516" s="604" t="s">
        <v>423</v>
      </c>
      <c r="AD516" s="604" t="s">
        <v>129</v>
      </c>
      <c r="AE516" s="604">
        <v>18</v>
      </c>
      <c r="AF516" s="604">
        <v>2643</v>
      </c>
      <c r="AG516" s="604">
        <v>6.8</v>
      </c>
      <c r="AH516" s="604" t="s">
        <v>420</v>
      </c>
      <c r="AJ516" s="535" t="str">
        <f t="shared" ref="AJ516:AJ579" si="77">AK516&amp;AL516&amp;AM516&amp;AN516&amp;AO516</f>
        <v>2016depethQuin 3Maori</v>
      </c>
      <c r="AK516" s="604">
        <v>2016</v>
      </c>
      <c r="AL516" s="604" t="s">
        <v>454</v>
      </c>
      <c r="AM516" s="604" t="s">
        <v>449</v>
      </c>
      <c r="AN516" s="604" t="s">
        <v>423</v>
      </c>
      <c r="AO516" s="604" t="s">
        <v>129</v>
      </c>
      <c r="AP516" s="604">
        <v>2643</v>
      </c>
      <c r="AR516" s="538" t="str">
        <f t="shared" ref="AR516:AR579" si="78">AT516&amp;AU516&amp;AZ516&amp;AV516</f>
        <v>20-24agefetalMidCentral</v>
      </c>
      <c r="AS516" s="604">
        <v>2016</v>
      </c>
      <c r="AT516" s="604" t="s">
        <v>130</v>
      </c>
      <c r="AU516" s="604" t="s">
        <v>453</v>
      </c>
      <c r="AV516" s="604" t="s">
        <v>94</v>
      </c>
      <c r="AW516" s="604">
        <v>0</v>
      </c>
      <c r="AX516" s="604">
        <v>409</v>
      </c>
      <c r="AY516" s="606">
        <v>0</v>
      </c>
      <c r="AZ516" s="604" t="s">
        <v>420</v>
      </c>
      <c r="BB516" s="536" t="str">
        <f t="shared" ref="BB516:BB579" si="79">BD516&amp;BE516&amp;BH516&amp;BF516</f>
        <v>1500-2499bwtbirthsCounties Manukau</v>
      </c>
      <c r="BC516" s="604">
        <v>2016</v>
      </c>
      <c r="BD516" s="604" t="s">
        <v>430</v>
      </c>
      <c r="BE516" s="604" t="s">
        <v>447</v>
      </c>
      <c r="BF516" s="604" t="s">
        <v>88</v>
      </c>
      <c r="BG516" s="604">
        <v>411</v>
      </c>
      <c r="BH516" s="604" t="s">
        <v>445</v>
      </c>
      <c r="BY516" s="553" t="str">
        <f t="shared" ref="BY516:BY579" si="80">BZ516&amp;CA516&amp;CB516&amp;CD516</f>
        <v>2005NorthlanddhbSIDS</v>
      </c>
      <c r="BZ516" s="604">
        <v>2005</v>
      </c>
      <c r="CA516" s="604" t="s">
        <v>85</v>
      </c>
      <c r="CB516" s="604" t="s">
        <v>448</v>
      </c>
      <c r="CC516" s="604">
        <v>3</v>
      </c>
      <c r="CD516" s="604" t="s">
        <v>32</v>
      </c>
      <c r="CF516" s="559" t="str">
        <f t="shared" ref="CF516:CF579" si="81">CG516&amp;CH516&amp;CI516&amp;CJ516&amp;CL516</f>
        <v>5yearsPacific peoples500-999bwtSIDS</v>
      </c>
      <c r="CG516" s="604" t="s">
        <v>475</v>
      </c>
      <c r="CH516" s="604" t="s">
        <v>320</v>
      </c>
      <c r="CI516" s="604" t="s">
        <v>428</v>
      </c>
      <c r="CJ516" s="604" t="s">
        <v>447</v>
      </c>
      <c r="CK516" s="604">
        <v>0</v>
      </c>
      <c r="CL516" s="604" t="s">
        <v>32</v>
      </c>
    </row>
    <row r="517" spans="9:90">
      <c r="I517" s="578" t="str">
        <f t="shared" si="74"/>
        <v>2006bwt1500-2499Fetal</v>
      </c>
      <c r="J517" s="604">
        <v>2006</v>
      </c>
      <c r="K517" s="604" t="s">
        <v>447</v>
      </c>
      <c r="L517" s="604" t="s">
        <v>430</v>
      </c>
      <c r="M517" s="604">
        <v>45</v>
      </c>
      <c r="N517" s="604">
        <v>2916</v>
      </c>
      <c r="O517" s="604">
        <v>15.4</v>
      </c>
      <c r="P517" s="604" t="s">
        <v>47</v>
      </c>
      <c r="Q517" s="499"/>
      <c r="R517" s="502" t="str">
        <f t="shared" si="75"/>
        <v>2007birthsdhbMidCentral</v>
      </c>
      <c r="S517" s="604">
        <v>2007</v>
      </c>
      <c r="T517" s="604" t="s">
        <v>445</v>
      </c>
      <c r="U517" s="604" t="s">
        <v>448</v>
      </c>
      <c r="V517" s="604" t="s">
        <v>94</v>
      </c>
      <c r="W517" s="604">
        <v>2350</v>
      </c>
      <c r="Y517" s="535" t="str">
        <f t="shared" si="76"/>
        <v>2016depethQuin 4Maorifetal</v>
      </c>
      <c r="Z517" s="604">
        <v>2016</v>
      </c>
      <c r="AA517" s="604" t="s">
        <v>454</v>
      </c>
      <c r="AB517" s="604" t="s">
        <v>449</v>
      </c>
      <c r="AC517" s="604" t="s">
        <v>424</v>
      </c>
      <c r="AD517" s="604" t="s">
        <v>129</v>
      </c>
      <c r="AE517" s="604">
        <v>32</v>
      </c>
      <c r="AF517" s="604">
        <v>4019</v>
      </c>
      <c r="AG517" s="604">
        <v>7.9</v>
      </c>
      <c r="AH517" s="604" t="s">
        <v>420</v>
      </c>
      <c r="AJ517" s="535" t="str">
        <f t="shared" si="77"/>
        <v>2016depethQuin 4Maori</v>
      </c>
      <c r="AK517" s="604">
        <v>2016</v>
      </c>
      <c r="AL517" s="604" t="s">
        <v>454</v>
      </c>
      <c r="AM517" s="604" t="s">
        <v>449</v>
      </c>
      <c r="AN517" s="604" t="s">
        <v>424</v>
      </c>
      <c r="AO517" s="604" t="s">
        <v>129</v>
      </c>
      <c r="AP517" s="604">
        <v>4019</v>
      </c>
      <c r="AR517" s="538" t="str">
        <f t="shared" si="78"/>
        <v>40+agefetalMidCentral</v>
      </c>
      <c r="AS517" s="604">
        <v>2016</v>
      </c>
      <c r="AT517" s="604" t="s">
        <v>134</v>
      </c>
      <c r="AU517" s="604" t="s">
        <v>453</v>
      </c>
      <c r="AV517" s="604" t="s">
        <v>94</v>
      </c>
      <c r="AW517" s="604">
        <v>0</v>
      </c>
      <c r="AX517" s="604">
        <v>68</v>
      </c>
      <c r="AY517" s="606">
        <v>0</v>
      </c>
      <c r="AZ517" s="604" t="s">
        <v>420</v>
      </c>
      <c r="BB517" s="536" t="str">
        <f t="shared" si="79"/>
        <v>2500-4499bwtbirthsCounties Manukau</v>
      </c>
      <c r="BC517" s="604">
        <v>2016</v>
      </c>
      <c r="BD517" s="604" t="s">
        <v>431</v>
      </c>
      <c r="BE517" s="604" t="s">
        <v>447</v>
      </c>
      <c r="BF517" s="604" t="s">
        <v>88</v>
      </c>
      <c r="BG517" s="604">
        <v>7674</v>
      </c>
      <c r="BH517" s="604" t="s">
        <v>445</v>
      </c>
      <c r="BY517" s="553" t="str">
        <f t="shared" si="80"/>
        <v>2005WaitematadhbSIDS</v>
      </c>
      <c r="BZ517" s="604">
        <v>2005</v>
      </c>
      <c r="CA517" s="604" t="s">
        <v>86</v>
      </c>
      <c r="CB517" s="604" t="s">
        <v>448</v>
      </c>
      <c r="CC517" s="604">
        <v>3</v>
      </c>
      <c r="CD517" s="604" t="s">
        <v>32</v>
      </c>
      <c r="CF517" s="559" t="str">
        <f t="shared" si="81"/>
        <v>5yearsAsian1000-1499bwtSIDS</v>
      </c>
      <c r="CG517" s="604" t="s">
        <v>475</v>
      </c>
      <c r="CH517" s="604" t="s">
        <v>355</v>
      </c>
      <c r="CI517" s="604" t="s">
        <v>429</v>
      </c>
      <c r="CJ517" s="604" t="s">
        <v>447</v>
      </c>
      <c r="CK517" s="604">
        <v>0</v>
      </c>
      <c r="CL517" s="604" t="s">
        <v>32</v>
      </c>
    </row>
    <row r="518" spans="9:90">
      <c r="I518" s="578" t="str">
        <f t="shared" si="74"/>
        <v>2006bwt2500-4499Fetal</v>
      </c>
      <c r="J518" s="604">
        <v>2006</v>
      </c>
      <c r="K518" s="604" t="s">
        <v>447</v>
      </c>
      <c r="L518" s="604" t="s">
        <v>431</v>
      </c>
      <c r="M518" s="604">
        <v>86</v>
      </c>
      <c r="N518" s="604">
        <v>55139</v>
      </c>
      <c r="O518" s="604">
        <v>1.6</v>
      </c>
      <c r="P518" s="604" t="s">
        <v>47</v>
      </c>
      <c r="Q518" s="499"/>
      <c r="R518" s="502" t="str">
        <f t="shared" si="75"/>
        <v>2007birthsdhbWhanganui</v>
      </c>
      <c r="S518" s="604">
        <v>2007</v>
      </c>
      <c r="T518" s="604" t="s">
        <v>445</v>
      </c>
      <c r="U518" s="604" t="s">
        <v>448</v>
      </c>
      <c r="V518" s="604" t="s">
        <v>95</v>
      </c>
      <c r="W518" s="604">
        <v>905</v>
      </c>
      <c r="Y518" s="535" t="str">
        <f t="shared" si="76"/>
        <v>2016depethQuin 5Maorifetal</v>
      </c>
      <c r="Z518" s="604">
        <v>2016</v>
      </c>
      <c r="AA518" s="604" t="s">
        <v>454</v>
      </c>
      <c r="AB518" s="604" t="s">
        <v>449</v>
      </c>
      <c r="AC518" s="604" t="s">
        <v>425</v>
      </c>
      <c r="AD518" s="604" t="s">
        <v>129</v>
      </c>
      <c r="AE518" s="604">
        <v>52</v>
      </c>
      <c r="AF518" s="604">
        <v>7702</v>
      </c>
      <c r="AG518" s="604">
        <v>6.7</v>
      </c>
      <c r="AH518" s="604" t="s">
        <v>420</v>
      </c>
      <c r="AJ518" s="535" t="str">
        <f t="shared" si="77"/>
        <v>2016depethQuin 5Maori</v>
      </c>
      <c r="AK518" s="604">
        <v>2016</v>
      </c>
      <c r="AL518" s="604" t="s">
        <v>454</v>
      </c>
      <c r="AM518" s="604" t="s">
        <v>449</v>
      </c>
      <c r="AN518" s="604" t="s">
        <v>425</v>
      </c>
      <c r="AO518" s="604" t="s">
        <v>129</v>
      </c>
      <c r="AP518" s="604">
        <v>7702</v>
      </c>
      <c r="AR518" s="538" t="str">
        <f t="shared" si="78"/>
        <v>25-29agefetalWhanganui</v>
      </c>
      <c r="AS518" s="604">
        <v>2016</v>
      </c>
      <c r="AT518" s="604" t="s">
        <v>131</v>
      </c>
      <c r="AU518" s="604" t="s">
        <v>453</v>
      </c>
      <c r="AV518" s="604" t="s">
        <v>95</v>
      </c>
      <c r="AW518" s="604">
        <v>0</v>
      </c>
      <c r="AX518" s="604">
        <v>273</v>
      </c>
      <c r="AY518" s="606">
        <v>0</v>
      </c>
      <c r="AZ518" s="604" t="s">
        <v>420</v>
      </c>
      <c r="BB518" s="536" t="str">
        <f t="shared" si="79"/>
        <v>4500+bwtbirthsCounties Manukau</v>
      </c>
      <c r="BC518" s="604">
        <v>2016</v>
      </c>
      <c r="BD518" s="604" t="s">
        <v>432</v>
      </c>
      <c r="BE518" s="604" t="s">
        <v>447</v>
      </c>
      <c r="BF518" s="604" t="s">
        <v>88</v>
      </c>
      <c r="BG518" s="604">
        <v>196</v>
      </c>
      <c r="BH518" s="604" t="s">
        <v>445</v>
      </c>
      <c r="BY518" s="553" t="str">
        <f t="shared" si="80"/>
        <v>2005AucklanddhbSIDS</v>
      </c>
      <c r="BZ518" s="604">
        <v>2005</v>
      </c>
      <c r="CA518" s="604" t="s">
        <v>87</v>
      </c>
      <c r="CB518" s="604" t="s">
        <v>448</v>
      </c>
      <c r="CC518" s="604">
        <v>3</v>
      </c>
      <c r="CD518" s="604" t="s">
        <v>32</v>
      </c>
      <c r="CF518" s="559" t="str">
        <f t="shared" si="81"/>
        <v>5yearsEuropean or Other1000-1499bwtSIDS</v>
      </c>
      <c r="CG518" s="604" t="s">
        <v>475</v>
      </c>
      <c r="CH518" s="604" t="s">
        <v>356</v>
      </c>
      <c r="CI518" s="604" t="s">
        <v>429</v>
      </c>
      <c r="CJ518" s="604" t="s">
        <v>447</v>
      </c>
      <c r="CK518" s="604">
        <v>1</v>
      </c>
      <c r="CL518" s="604" t="s">
        <v>32</v>
      </c>
    </row>
    <row r="519" spans="9:90">
      <c r="I519" s="578" t="str">
        <f t="shared" si="74"/>
        <v>2006bwt4500+Fetal</v>
      </c>
      <c r="J519" s="604">
        <v>2006</v>
      </c>
      <c r="K519" s="604" t="s">
        <v>447</v>
      </c>
      <c r="L519" s="604" t="s">
        <v>432</v>
      </c>
      <c r="M519" s="604">
        <v>2</v>
      </c>
      <c r="N519" s="604">
        <v>1647</v>
      </c>
      <c r="O519" s="604">
        <v>1.2</v>
      </c>
      <c r="P519" s="604" t="s">
        <v>47</v>
      </c>
      <c r="Q519" s="499"/>
      <c r="R519" s="502" t="str">
        <f t="shared" si="75"/>
        <v>2007birthsdhbCapital &amp; Coast</v>
      </c>
      <c r="S519" s="604">
        <v>2007</v>
      </c>
      <c r="T519" s="604" t="s">
        <v>445</v>
      </c>
      <c r="U519" s="604" t="s">
        <v>448</v>
      </c>
      <c r="V519" s="604" t="s">
        <v>96</v>
      </c>
      <c r="W519" s="604">
        <v>4056</v>
      </c>
      <c r="Y519" s="535" t="str">
        <f t="shared" si="76"/>
        <v>2016depethQuin 9Maorifetal</v>
      </c>
      <c r="Z519" s="604">
        <v>2016</v>
      </c>
      <c r="AA519" s="604" t="s">
        <v>454</v>
      </c>
      <c r="AB519" s="604" t="s">
        <v>449</v>
      </c>
      <c r="AC519" s="604" t="s">
        <v>426</v>
      </c>
      <c r="AD519" s="604" t="s">
        <v>129</v>
      </c>
      <c r="AE519" s="604">
        <v>3</v>
      </c>
      <c r="AF519" s="604">
        <v>18</v>
      </c>
      <c r="AG519" s="604" t="s">
        <v>119</v>
      </c>
      <c r="AH519" s="604" t="s">
        <v>420</v>
      </c>
      <c r="AJ519" s="535" t="str">
        <f t="shared" si="77"/>
        <v>2016depethQuin 9Maori</v>
      </c>
      <c r="AK519" s="604">
        <v>2016</v>
      </c>
      <c r="AL519" s="604" t="s">
        <v>454</v>
      </c>
      <c r="AM519" s="604" t="s">
        <v>449</v>
      </c>
      <c r="AN519" s="604" t="s">
        <v>426</v>
      </c>
      <c r="AO519" s="604" t="s">
        <v>129</v>
      </c>
      <c r="AP519" s="604">
        <v>18</v>
      </c>
      <c r="AR519" s="538" t="str">
        <f t="shared" si="78"/>
        <v>35-39agefetalWhanganui</v>
      </c>
      <c r="AS519" s="604">
        <v>2016</v>
      </c>
      <c r="AT519" s="604" t="s">
        <v>133</v>
      </c>
      <c r="AU519" s="604" t="s">
        <v>453</v>
      </c>
      <c r="AV519" s="604" t="s">
        <v>95</v>
      </c>
      <c r="AW519" s="604">
        <v>0</v>
      </c>
      <c r="AX519" s="604">
        <v>95</v>
      </c>
      <c r="AY519" s="606">
        <v>0</v>
      </c>
      <c r="AZ519" s="604" t="s">
        <v>420</v>
      </c>
      <c r="BB519" s="536" t="str">
        <f t="shared" si="79"/>
        <v>UnknownbwtbirthsCounties Manukau</v>
      </c>
      <c r="BC519" s="604">
        <v>2016</v>
      </c>
      <c r="BD519" s="604" t="s">
        <v>63</v>
      </c>
      <c r="BE519" s="604" t="s">
        <v>447</v>
      </c>
      <c r="BF519" s="604" t="s">
        <v>88</v>
      </c>
      <c r="BG519" s="604">
        <v>4</v>
      </c>
      <c r="BH519" s="604" t="s">
        <v>445</v>
      </c>
      <c r="BY519" s="553" t="str">
        <f t="shared" si="80"/>
        <v>2005Counties ManukaudhbSIDS</v>
      </c>
      <c r="BZ519" s="604">
        <v>2005</v>
      </c>
      <c r="CA519" s="604" t="s">
        <v>88</v>
      </c>
      <c r="CB519" s="604" t="s">
        <v>448</v>
      </c>
      <c r="CC519" s="604">
        <v>7</v>
      </c>
      <c r="CD519" s="604" t="s">
        <v>32</v>
      </c>
      <c r="CF519" s="559" t="str">
        <f t="shared" si="81"/>
        <v>5yearsMaori1000-1499bwtSIDS</v>
      </c>
      <c r="CG519" s="604" t="s">
        <v>475</v>
      </c>
      <c r="CH519" s="604" t="s">
        <v>129</v>
      </c>
      <c r="CI519" s="604" t="s">
        <v>429</v>
      </c>
      <c r="CJ519" s="604" t="s">
        <v>447</v>
      </c>
      <c r="CK519" s="604">
        <v>0</v>
      </c>
      <c r="CL519" s="604" t="s">
        <v>32</v>
      </c>
    </row>
    <row r="520" spans="9:90">
      <c r="I520" s="578" t="str">
        <f t="shared" si="74"/>
        <v>2006bwtUnknownFetal</v>
      </c>
      <c r="J520" s="604">
        <v>2006</v>
      </c>
      <c r="K520" s="604" t="s">
        <v>447</v>
      </c>
      <c r="L520" s="604" t="s">
        <v>63</v>
      </c>
      <c r="M520" s="604">
        <v>0</v>
      </c>
      <c r="N520" s="604">
        <v>71</v>
      </c>
      <c r="O520" s="604" t="s">
        <v>119</v>
      </c>
      <c r="P520" s="604" t="s">
        <v>47</v>
      </c>
      <c r="Q520" s="499"/>
      <c r="R520" s="502" t="str">
        <f t="shared" si="75"/>
        <v>2007birthsdhbHutt Valley</v>
      </c>
      <c r="S520" s="604">
        <v>2007</v>
      </c>
      <c r="T520" s="604" t="s">
        <v>445</v>
      </c>
      <c r="U520" s="604" t="s">
        <v>448</v>
      </c>
      <c r="V520" s="604" t="s">
        <v>97</v>
      </c>
      <c r="W520" s="604">
        <v>2264</v>
      </c>
      <c r="Y520" s="535" t="str">
        <f t="shared" si="76"/>
        <v>2016depethQuin 1Pacific peoplesfetal</v>
      </c>
      <c r="Z520" s="604">
        <v>2016</v>
      </c>
      <c r="AA520" s="604" t="s">
        <v>454</v>
      </c>
      <c r="AB520" s="604" t="s">
        <v>449</v>
      </c>
      <c r="AC520" s="604" t="s">
        <v>421</v>
      </c>
      <c r="AD520" s="604" t="s">
        <v>320</v>
      </c>
      <c r="AE520" s="604">
        <v>1</v>
      </c>
      <c r="AF520" s="604">
        <v>271</v>
      </c>
      <c r="AG520" s="604">
        <v>3.7</v>
      </c>
      <c r="AH520" s="604" t="s">
        <v>420</v>
      </c>
      <c r="AJ520" s="535" t="str">
        <f t="shared" si="77"/>
        <v>2016depethQuin 1Pacific peoples</v>
      </c>
      <c r="AK520" s="604">
        <v>2016</v>
      </c>
      <c r="AL520" s="604" t="s">
        <v>454</v>
      </c>
      <c r="AM520" s="604" t="s">
        <v>449</v>
      </c>
      <c r="AN520" s="604" t="s">
        <v>421</v>
      </c>
      <c r="AO520" s="604" t="s">
        <v>320</v>
      </c>
      <c r="AP520" s="604">
        <v>271</v>
      </c>
      <c r="AR520" s="538" t="str">
        <f t="shared" si="78"/>
        <v>40+agefetalWhanganui</v>
      </c>
      <c r="AS520" s="604">
        <v>2016</v>
      </c>
      <c r="AT520" s="604" t="s">
        <v>134</v>
      </c>
      <c r="AU520" s="604" t="s">
        <v>453</v>
      </c>
      <c r="AV520" s="604" t="s">
        <v>95</v>
      </c>
      <c r="AW520" s="604">
        <v>0</v>
      </c>
      <c r="AX520" s="604">
        <v>15</v>
      </c>
      <c r="AY520" s="606">
        <v>0</v>
      </c>
      <c r="AZ520" s="604" t="s">
        <v>420</v>
      </c>
      <c r="BB520" s="536" t="str">
        <f t="shared" si="79"/>
        <v>&lt;500bwtbirthsWaikato</v>
      </c>
      <c r="BC520" s="604">
        <v>2016</v>
      </c>
      <c r="BD520" s="604" t="s">
        <v>427</v>
      </c>
      <c r="BE520" s="604" t="s">
        <v>447</v>
      </c>
      <c r="BF520" s="604" t="s">
        <v>89</v>
      </c>
      <c r="BG520" s="604">
        <v>6</v>
      </c>
      <c r="BH520" s="604" t="s">
        <v>445</v>
      </c>
      <c r="BY520" s="553" t="str">
        <f t="shared" si="80"/>
        <v>2005WaikatodhbSIDS</v>
      </c>
      <c r="BZ520" s="604">
        <v>2005</v>
      </c>
      <c r="CA520" s="604" t="s">
        <v>89</v>
      </c>
      <c r="CB520" s="604" t="s">
        <v>448</v>
      </c>
      <c r="CC520" s="604">
        <v>2</v>
      </c>
      <c r="CD520" s="604" t="s">
        <v>32</v>
      </c>
      <c r="CF520" s="559" t="str">
        <f t="shared" si="81"/>
        <v>5yearsPacific peoples1000-1499bwtSIDS</v>
      </c>
      <c r="CG520" s="604" t="s">
        <v>475</v>
      </c>
      <c r="CH520" s="604" t="s">
        <v>320</v>
      </c>
      <c r="CI520" s="604" t="s">
        <v>429</v>
      </c>
      <c r="CJ520" s="604" t="s">
        <v>447</v>
      </c>
      <c r="CK520" s="604">
        <v>0</v>
      </c>
      <c r="CL520" s="604" t="s">
        <v>32</v>
      </c>
    </row>
    <row r="521" spans="9:90">
      <c r="I521" s="578" t="str">
        <f t="shared" si="74"/>
        <v>2007bwt&lt;500Fetal</v>
      </c>
      <c r="J521" s="604">
        <v>2007</v>
      </c>
      <c r="K521" s="604" t="s">
        <v>447</v>
      </c>
      <c r="L521" s="604" t="s">
        <v>427</v>
      </c>
      <c r="M521" s="604">
        <v>158</v>
      </c>
      <c r="N521" s="604">
        <v>207</v>
      </c>
      <c r="O521" s="604">
        <v>763.3</v>
      </c>
      <c r="P521" s="604" t="s">
        <v>47</v>
      </c>
      <c r="Q521" s="499"/>
      <c r="R521" s="502" t="str">
        <f t="shared" si="75"/>
        <v>2007birthsdhbWairarapa</v>
      </c>
      <c r="S521" s="604">
        <v>2007</v>
      </c>
      <c r="T521" s="604" t="s">
        <v>445</v>
      </c>
      <c r="U521" s="604" t="s">
        <v>448</v>
      </c>
      <c r="V521" s="604" t="s">
        <v>98</v>
      </c>
      <c r="W521" s="604">
        <v>539</v>
      </c>
      <c r="Y521" s="535" t="str">
        <f t="shared" si="76"/>
        <v>2016depethQuin 2Pacific peoplesfetal</v>
      </c>
      <c r="Z521" s="604">
        <v>2016</v>
      </c>
      <c r="AA521" s="604" t="s">
        <v>454</v>
      </c>
      <c r="AB521" s="604" t="s">
        <v>449</v>
      </c>
      <c r="AC521" s="604" t="s">
        <v>422</v>
      </c>
      <c r="AD521" s="604" t="s">
        <v>320</v>
      </c>
      <c r="AE521" s="604">
        <v>3</v>
      </c>
      <c r="AF521" s="604">
        <v>423</v>
      </c>
      <c r="AG521" s="604">
        <v>7</v>
      </c>
      <c r="AH521" s="604" t="s">
        <v>420</v>
      </c>
      <c r="AJ521" s="535" t="str">
        <f t="shared" si="77"/>
        <v>2016depethQuin 2Pacific peoples</v>
      </c>
      <c r="AK521" s="604">
        <v>2016</v>
      </c>
      <c r="AL521" s="604" t="s">
        <v>454</v>
      </c>
      <c r="AM521" s="604" t="s">
        <v>449</v>
      </c>
      <c r="AN521" s="604" t="s">
        <v>422</v>
      </c>
      <c r="AO521" s="604" t="s">
        <v>320</v>
      </c>
      <c r="AP521" s="604">
        <v>423</v>
      </c>
      <c r="AR521" s="538" t="str">
        <f t="shared" si="78"/>
        <v>&lt;20agefetalCapital &amp; Coast</v>
      </c>
      <c r="AS521" s="604">
        <v>2016</v>
      </c>
      <c r="AT521" s="604" t="s">
        <v>339</v>
      </c>
      <c r="AU521" s="604" t="s">
        <v>453</v>
      </c>
      <c r="AV521" s="604" t="s">
        <v>96</v>
      </c>
      <c r="AW521" s="604">
        <v>0</v>
      </c>
      <c r="AX521" s="604">
        <v>83</v>
      </c>
      <c r="AY521" s="606">
        <v>0</v>
      </c>
      <c r="AZ521" s="604" t="s">
        <v>420</v>
      </c>
      <c r="BB521" s="536" t="str">
        <f t="shared" si="79"/>
        <v>500-999bwtbirthsWaikato</v>
      </c>
      <c r="BC521" s="604">
        <v>2016</v>
      </c>
      <c r="BD521" s="604" t="s">
        <v>428</v>
      </c>
      <c r="BE521" s="604" t="s">
        <v>447</v>
      </c>
      <c r="BF521" s="604" t="s">
        <v>89</v>
      </c>
      <c r="BG521" s="604">
        <v>19</v>
      </c>
      <c r="BH521" s="604" t="s">
        <v>445</v>
      </c>
      <c r="BY521" s="553" t="str">
        <f t="shared" si="80"/>
        <v>2005LakesdhbSIDS</v>
      </c>
      <c r="BZ521" s="604">
        <v>2005</v>
      </c>
      <c r="CA521" s="604" t="s">
        <v>90</v>
      </c>
      <c r="CB521" s="604" t="s">
        <v>448</v>
      </c>
      <c r="CC521" s="604">
        <v>1</v>
      </c>
      <c r="CD521" s="604" t="s">
        <v>32</v>
      </c>
      <c r="CF521" s="559" t="str">
        <f t="shared" si="81"/>
        <v>5yearsAsian1500-2499bwtSIDS</v>
      </c>
      <c r="CG521" s="604" t="s">
        <v>475</v>
      </c>
      <c r="CH521" s="604" t="s">
        <v>355</v>
      </c>
      <c r="CI521" s="604" t="s">
        <v>430</v>
      </c>
      <c r="CJ521" s="604" t="s">
        <v>447</v>
      </c>
      <c r="CK521" s="604">
        <v>0</v>
      </c>
      <c r="CL521" s="604" t="s">
        <v>32</v>
      </c>
    </row>
    <row r="522" spans="9:90">
      <c r="I522" s="578" t="str">
        <f t="shared" si="74"/>
        <v>2007bwt500-999Fetal</v>
      </c>
      <c r="J522" s="604">
        <v>2007</v>
      </c>
      <c r="K522" s="604" t="s">
        <v>447</v>
      </c>
      <c r="L522" s="604" t="s">
        <v>428</v>
      </c>
      <c r="M522" s="604">
        <v>104</v>
      </c>
      <c r="N522" s="604">
        <v>343</v>
      </c>
      <c r="O522" s="604">
        <v>303.2</v>
      </c>
      <c r="P522" s="604" t="s">
        <v>47</v>
      </c>
      <c r="Q522" s="499"/>
      <c r="R522" s="502" t="str">
        <f t="shared" si="75"/>
        <v>2007birthsdhbNelson Marlborough</v>
      </c>
      <c r="S522" s="604">
        <v>2007</v>
      </c>
      <c r="T522" s="604" t="s">
        <v>445</v>
      </c>
      <c r="U522" s="604" t="s">
        <v>448</v>
      </c>
      <c r="V522" s="604" t="s">
        <v>99</v>
      </c>
      <c r="W522" s="604">
        <v>1718</v>
      </c>
      <c r="Y522" s="535" t="str">
        <f t="shared" si="76"/>
        <v>2016depethQuin 3Pacific peoplesfetal</v>
      </c>
      <c r="Z522" s="604">
        <v>2016</v>
      </c>
      <c r="AA522" s="604" t="s">
        <v>454</v>
      </c>
      <c r="AB522" s="604" t="s">
        <v>449</v>
      </c>
      <c r="AC522" s="604" t="s">
        <v>423</v>
      </c>
      <c r="AD522" s="604" t="s">
        <v>320</v>
      </c>
      <c r="AE522" s="604">
        <v>3</v>
      </c>
      <c r="AF522" s="604">
        <v>564</v>
      </c>
      <c r="AG522" s="604">
        <v>5.3</v>
      </c>
      <c r="AH522" s="604" t="s">
        <v>420</v>
      </c>
      <c r="AJ522" s="535" t="str">
        <f t="shared" si="77"/>
        <v>2016depethQuin 3Pacific peoples</v>
      </c>
      <c r="AK522" s="604">
        <v>2016</v>
      </c>
      <c r="AL522" s="604" t="s">
        <v>454</v>
      </c>
      <c r="AM522" s="604" t="s">
        <v>449</v>
      </c>
      <c r="AN522" s="604" t="s">
        <v>423</v>
      </c>
      <c r="AO522" s="604" t="s">
        <v>320</v>
      </c>
      <c r="AP522" s="604">
        <v>564</v>
      </c>
      <c r="AR522" s="538" t="str">
        <f t="shared" si="78"/>
        <v>40+agefetalHutt Valley</v>
      </c>
      <c r="AS522" s="604">
        <v>2016</v>
      </c>
      <c r="AT522" s="604" t="s">
        <v>134</v>
      </c>
      <c r="AU522" s="604" t="s">
        <v>453</v>
      </c>
      <c r="AV522" s="604" t="s">
        <v>97</v>
      </c>
      <c r="AW522" s="604">
        <v>0</v>
      </c>
      <c r="AX522" s="604">
        <v>87</v>
      </c>
      <c r="AY522" s="606">
        <v>0</v>
      </c>
      <c r="AZ522" s="604" t="s">
        <v>420</v>
      </c>
      <c r="BB522" s="536" t="str">
        <f t="shared" si="79"/>
        <v>1000-1499bwtbirthsWaikato</v>
      </c>
      <c r="BC522" s="604">
        <v>2016</v>
      </c>
      <c r="BD522" s="604" t="s">
        <v>429</v>
      </c>
      <c r="BE522" s="604" t="s">
        <v>447</v>
      </c>
      <c r="BF522" s="604" t="s">
        <v>89</v>
      </c>
      <c r="BG522" s="604">
        <v>33</v>
      </c>
      <c r="BH522" s="604" t="s">
        <v>445</v>
      </c>
      <c r="BY522" s="553" t="str">
        <f t="shared" si="80"/>
        <v>2005Bay of PlentydhbSIDS</v>
      </c>
      <c r="BZ522" s="604">
        <v>2005</v>
      </c>
      <c r="CA522" s="604" t="s">
        <v>91</v>
      </c>
      <c r="CB522" s="604" t="s">
        <v>448</v>
      </c>
      <c r="CC522" s="604">
        <v>1</v>
      </c>
      <c r="CD522" s="604" t="s">
        <v>32</v>
      </c>
      <c r="CF522" s="559" t="str">
        <f t="shared" si="81"/>
        <v>5yearsEuropean or Other1500-2499bwtSIDS</v>
      </c>
      <c r="CG522" s="604" t="s">
        <v>475</v>
      </c>
      <c r="CH522" s="604" t="s">
        <v>356</v>
      </c>
      <c r="CI522" s="604" t="s">
        <v>430</v>
      </c>
      <c r="CJ522" s="604" t="s">
        <v>447</v>
      </c>
      <c r="CK522" s="604">
        <v>4</v>
      </c>
      <c r="CL522" s="604" t="s">
        <v>32</v>
      </c>
    </row>
    <row r="523" spans="9:90">
      <c r="I523" s="578" t="str">
        <f t="shared" si="74"/>
        <v>2007bwt1000-1499Fetal</v>
      </c>
      <c r="J523" s="604">
        <v>2007</v>
      </c>
      <c r="K523" s="604" t="s">
        <v>447</v>
      </c>
      <c r="L523" s="604" t="s">
        <v>429</v>
      </c>
      <c r="M523" s="604">
        <v>39</v>
      </c>
      <c r="N523" s="604">
        <v>435</v>
      </c>
      <c r="O523" s="604">
        <v>89.7</v>
      </c>
      <c r="P523" s="604" t="s">
        <v>47</v>
      </c>
      <c r="Q523" s="499"/>
      <c r="R523" s="502" t="str">
        <f t="shared" si="75"/>
        <v>2007birthsdhbWest Coast</v>
      </c>
      <c r="S523" s="604">
        <v>2007</v>
      </c>
      <c r="T523" s="604" t="s">
        <v>445</v>
      </c>
      <c r="U523" s="604" t="s">
        <v>448</v>
      </c>
      <c r="V523" s="604" t="s">
        <v>100</v>
      </c>
      <c r="W523" s="604">
        <v>408</v>
      </c>
      <c r="Y523" s="535" t="str">
        <f t="shared" si="76"/>
        <v>2016depethQuin 4Pacific peoplesfetal</v>
      </c>
      <c r="Z523" s="604">
        <v>2016</v>
      </c>
      <c r="AA523" s="604" t="s">
        <v>454</v>
      </c>
      <c r="AB523" s="604" t="s">
        <v>449</v>
      </c>
      <c r="AC523" s="604" t="s">
        <v>424</v>
      </c>
      <c r="AD523" s="604" t="s">
        <v>320</v>
      </c>
      <c r="AE523" s="604">
        <v>5</v>
      </c>
      <c r="AF523" s="604">
        <v>1186</v>
      </c>
      <c r="AG523" s="604">
        <v>4.2</v>
      </c>
      <c r="AH523" s="604" t="s">
        <v>420</v>
      </c>
      <c r="AJ523" s="535" t="str">
        <f t="shared" si="77"/>
        <v>2016depethQuin 4Pacific peoples</v>
      </c>
      <c r="AK523" s="604">
        <v>2016</v>
      </c>
      <c r="AL523" s="604" t="s">
        <v>454</v>
      </c>
      <c r="AM523" s="604" t="s">
        <v>449</v>
      </c>
      <c r="AN523" s="604" t="s">
        <v>424</v>
      </c>
      <c r="AO523" s="604" t="s">
        <v>320</v>
      </c>
      <c r="AP523" s="604">
        <v>1186</v>
      </c>
      <c r="AR523" s="538" t="str">
        <f t="shared" si="78"/>
        <v>35-39agefetalWairarapa</v>
      </c>
      <c r="AS523" s="604">
        <v>2016</v>
      </c>
      <c r="AT523" s="604" t="s">
        <v>133</v>
      </c>
      <c r="AU523" s="604" t="s">
        <v>453</v>
      </c>
      <c r="AV523" s="604" t="s">
        <v>98</v>
      </c>
      <c r="AW523" s="604">
        <v>0</v>
      </c>
      <c r="AX523" s="604">
        <v>73</v>
      </c>
      <c r="AY523" s="606">
        <v>0</v>
      </c>
      <c r="AZ523" s="604" t="s">
        <v>420</v>
      </c>
      <c r="BB523" s="536" t="str">
        <f t="shared" si="79"/>
        <v>1500-2499bwtbirthsWaikato</v>
      </c>
      <c r="BC523" s="604">
        <v>2016</v>
      </c>
      <c r="BD523" s="604" t="s">
        <v>430</v>
      </c>
      <c r="BE523" s="604" t="s">
        <v>447</v>
      </c>
      <c r="BF523" s="604" t="s">
        <v>89</v>
      </c>
      <c r="BG523" s="604">
        <v>270</v>
      </c>
      <c r="BH523" s="604" t="s">
        <v>445</v>
      </c>
      <c r="BY523" s="553" t="str">
        <f t="shared" si="80"/>
        <v>2005TairawhitidhbSIDS</v>
      </c>
      <c r="BZ523" s="604">
        <v>2005</v>
      </c>
      <c r="CA523" s="604" t="s">
        <v>433</v>
      </c>
      <c r="CB523" s="604" t="s">
        <v>448</v>
      </c>
      <c r="CC523" s="604">
        <v>2</v>
      </c>
      <c r="CD523" s="604" t="s">
        <v>32</v>
      </c>
      <c r="CF523" s="559" t="str">
        <f t="shared" si="81"/>
        <v>5yearsMaori1500-2499bwtSIDS</v>
      </c>
      <c r="CG523" s="604" t="s">
        <v>475</v>
      </c>
      <c r="CH523" s="604" t="s">
        <v>129</v>
      </c>
      <c r="CI523" s="604" t="s">
        <v>430</v>
      </c>
      <c r="CJ523" s="604" t="s">
        <v>447</v>
      </c>
      <c r="CK523" s="604">
        <v>5</v>
      </c>
      <c r="CL523" s="604" t="s">
        <v>32</v>
      </c>
    </row>
    <row r="524" spans="9:90">
      <c r="I524" s="578" t="str">
        <f t="shared" si="74"/>
        <v>2007bwt1500-2499Fetal</v>
      </c>
      <c r="J524" s="604">
        <v>2007</v>
      </c>
      <c r="K524" s="604" t="s">
        <v>447</v>
      </c>
      <c r="L524" s="604" t="s">
        <v>430</v>
      </c>
      <c r="M524" s="604">
        <v>59</v>
      </c>
      <c r="N524" s="604">
        <v>3197</v>
      </c>
      <c r="O524" s="604">
        <v>18.5</v>
      </c>
      <c r="P524" s="604" t="s">
        <v>47</v>
      </c>
      <c r="Q524" s="499"/>
      <c r="R524" s="502" t="str">
        <f t="shared" si="75"/>
        <v>2007birthsdhbCanterbury</v>
      </c>
      <c r="S524" s="604">
        <v>2007</v>
      </c>
      <c r="T524" s="604" t="s">
        <v>445</v>
      </c>
      <c r="U524" s="604" t="s">
        <v>448</v>
      </c>
      <c r="V524" s="604" t="s">
        <v>101</v>
      </c>
      <c r="W524" s="604">
        <v>6908</v>
      </c>
      <c r="Y524" s="535" t="str">
        <f t="shared" si="76"/>
        <v>2016depethQuin 5Pacific peoplesfetal</v>
      </c>
      <c r="Z524" s="604">
        <v>2016</v>
      </c>
      <c r="AA524" s="604" t="s">
        <v>454</v>
      </c>
      <c r="AB524" s="604" t="s">
        <v>449</v>
      </c>
      <c r="AC524" s="604" t="s">
        <v>425</v>
      </c>
      <c r="AD524" s="604" t="s">
        <v>320</v>
      </c>
      <c r="AE524" s="604">
        <v>29</v>
      </c>
      <c r="AF524" s="604">
        <v>3503</v>
      </c>
      <c r="AG524" s="604">
        <v>8.1999999999999993</v>
      </c>
      <c r="AH524" s="604" t="s">
        <v>420</v>
      </c>
      <c r="AJ524" s="535" t="str">
        <f t="shared" si="77"/>
        <v>2016depethQuin 5Pacific peoples</v>
      </c>
      <c r="AK524" s="604">
        <v>2016</v>
      </c>
      <c r="AL524" s="604" t="s">
        <v>454</v>
      </c>
      <c r="AM524" s="604" t="s">
        <v>449</v>
      </c>
      <c r="AN524" s="604" t="s">
        <v>425</v>
      </c>
      <c r="AO524" s="604" t="s">
        <v>320</v>
      </c>
      <c r="AP524" s="604">
        <v>3503</v>
      </c>
      <c r="AR524" s="538" t="str">
        <f t="shared" si="78"/>
        <v>40+agefetalWairarapa</v>
      </c>
      <c r="AS524" s="604">
        <v>2016</v>
      </c>
      <c r="AT524" s="604" t="s">
        <v>134</v>
      </c>
      <c r="AU524" s="604" t="s">
        <v>453</v>
      </c>
      <c r="AV524" s="604" t="s">
        <v>98</v>
      </c>
      <c r="AW524" s="604">
        <v>0</v>
      </c>
      <c r="AX524" s="604">
        <v>22</v>
      </c>
      <c r="AY524" s="606">
        <v>0</v>
      </c>
      <c r="AZ524" s="604" t="s">
        <v>420</v>
      </c>
      <c r="BB524" s="536" t="str">
        <f t="shared" si="79"/>
        <v>2500-4499bwtbirthsWaikato</v>
      </c>
      <c r="BC524" s="604">
        <v>2016</v>
      </c>
      <c r="BD524" s="604" t="s">
        <v>431</v>
      </c>
      <c r="BE524" s="604" t="s">
        <v>447</v>
      </c>
      <c r="BF524" s="604" t="s">
        <v>89</v>
      </c>
      <c r="BG524" s="604">
        <v>5017</v>
      </c>
      <c r="BH524" s="604" t="s">
        <v>445</v>
      </c>
      <c r="BY524" s="553" t="str">
        <f t="shared" si="80"/>
        <v>2005Hawke's BaydhbSIDS</v>
      </c>
      <c r="BZ524" s="604">
        <v>2005</v>
      </c>
      <c r="CA524" s="604" t="s">
        <v>92</v>
      </c>
      <c r="CB524" s="604" t="s">
        <v>448</v>
      </c>
      <c r="CC524" s="604">
        <v>1</v>
      </c>
      <c r="CD524" s="604" t="s">
        <v>32</v>
      </c>
      <c r="CF524" s="559" t="str">
        <f t="shared" si="81"/>
        <v>5yearsPacific peoples1500-2499bwtSIDS</v>
      </c>
      <c r="CG524" s="604" t="s">
        <v>475</v>
      </c>
      <c r="CH524" s="604" t="s">
        <v>320</v>
      </c>
      <c r="CI524" s="604" t="s">
        <v>430</v>
      </c>
      <c r="CJ524" s="604" t="s">
        <v>447</v>
      </c>
      <c r="CK524" s="604">
        <v>1</v>
      </c>
      <c r="CL524" s="604" t="s">
        <v>32</v>
      </c>
    </row>
    <row r="525" spans="9:90">
      <c r="I525" s="578" t="str">
        <f t="shared" si="74"/>
        <v>2007bwt2500-4499Fetal</v>
      </c>
      <c r="J525" s="604">
        <v>2007</v>
      </c>
      <c r="K525" s="604" t="s">
        <v>447</v>
      </c>
      <c r="L525" s="604" t="s">
        <v>431</v>
      </c>
      <c r="M525" s="604">
        <v>98</v>
      </c>
      <c r="N525" s="604">
        <v>59504</v>
      </c>
      <c r="O525" s="604">
        <v>1.6</v>
      </c>
      <c r="P525" s="604" t="s">
        <v>47</v>
      </c>
      <c r="Q525" s="499"/>
      <c r="R525" s="502" t="str">
        <f t="shared" si="75"/>
        <v>2007birthsdhbSouth Canterbury</v>
      </c>
      <c r="S525" s="604">
        <v>2007</v>
      </c>
      <c r="T525" s="604" t="s">
        <v>445</v>
      </c>
      <c r="U525" s="604" t="s">
        <v>448</v>
      </c>
      <c r="V525" s="604" t="s">
        <v>102</v>
      </c>
      <c r="W525" s="604">
        <v>675</v>
      </c>
      <c r="Y525" s="535" t="str">
        <f t="shared" si="76"/>
        <v>2016depethQuin 9Pacific peoplesfetal</v>
      </c>
      <c r="Z525" s="604">
        <v>2016</v>
      </c>
      <c r="AA525" s="604" t="s">
        <v>454</v>
      </c>
      <c r="AB525" s="604" t="s">
        <v>449</v>
      </c>
      <c r="AC525" s="604" t="s">
        <v>426</v>
      </c>
      <c r="AD525" s="604" t="s">
        <v>320</v>
      </c>
      <c r="AE525" s="604">
        <v>4</v>
      </c>
      <c r="AF525" s="604">
        <v>29</v>
      </c>
      <c r="AG525" s="604" t="s">
        <v>119</v>
      </c>
      <c r="AH525" s="604" t="s">
        <v>420</v>
      </c>
      <c r="AJ525" s="535" t="str">
        <f t="shared" si="77"/>
        <v>2016depethQuin 9Pacific peoples</v>
      </c>
      <c r="AK525" s="604">
        <v>2016</v>
      </c>
      <c r="AL525" s="604" t="s">
        <v>454</v>
      </c>
      <c r="AM525" s="604" t="s">
        <v>449</v>
      </c>
      <c r="AN525" s="604" t="s">
        <v>426</v>
      </c>
      <c r="AO525" s="604" t="s">
        <v>320</v>
      </c>
      <c r="AP525" s="604">
        <v>29</v>
      </c>
      <c r="AR525" s="538" t="str">
        <f t="shared" si="78"/>
        <v>&lt;20agefetalNelson Marlborough</v>
      </c>
      <c r="AS525" s="604">
        <v>2016</v>
      </c>
      <c r="AT525" s="604" t="s">
        <v>339</v>
      </c>
      <c r="AU525" s="604" t="s">
        <v>453</v>
      </c>
      <c r="AV525" s="604" t="s">
        <v>99</v>
      </c>
      <c r="AW525" s="604">
        <v>0</v>
      </c>
      <c r="AX525" s="604">
        <v>65</v>
      </c>
      <c r="AY525" s="606">
        <v>0</v>
      </c>
      <c r="AZ525" s="604" t="s">
        <v>420</v>
      </c>
      <c r="BB525" s="536" t="str">
        <f t="shared" si="79"/>
        <v>4500+bwtbirthsWaikato</v>
      </c>
      <c r="BC525" s="604">
        <v>2016</v>
      </c>
      <c r="BD525" s="604" t="s">
        <v>432</v>
      </c>
      <c r="BE525" s="604" t="s">
        <v>447</v>
      </c>
      <c r="BF525" s="604" t="s">
        <v>89</v>
      </c>
      <c r="BG525" s="604">
        <v>158</v>
      </c>
      <c r="BH525" s="604" t="s">
        <v>445</v>
      </c>
      <c r="BY525" s="553" t="str">
        <f t="shared" si="80"/>
        <v>2005TaranakidhbSIDS</v>
      </c>
      <c r="BZ525" s="604">
        <v>2005</v>
      </c>
      <c r="CA525" s="604" t="s">
        <v>93</v>
      </c>
      <c r="CB525" s="604" t="s">
        <v>448</v>
      </c>
      <c r="CC525" s="604">
        <v>2</v>
      </c>
      <c r="CD525" s="604" t="s">
        <v>32</v>
      </c>
      <c r="CF525" s="559" t="str">
        <f t="shared" si="81"/>
        <v>5yearsAsian2500-4499bwtSIDS</v>
      </c>
      <c r="CG525" s="604" t="s">
        <v>475</v>
      </c>
      <c r="CH525" s="604" t="s">
        <v>355</v>
      </c>
      <c r="CI525" s="604" t="s">
        <v>431</v>
      </c>
      <c r="CJ525" s="604" t="s">
        <v>447</v>
      </c>
      <c r="CK525" s="604">
        <v>4</v>
      </c>
      <c r="CL525" s="604" t="s">
        <v>32</v>
      </c>
    </row>
    <row r="526" spans="9:90">
      <c r="I526" s="578" t="str">
        <f t="shared" si="74"/>
        <v>2007bwt4500+Fetal</v>
      </c>
      <c r="J526" s="604">
        <v>2007</v>
      </c>
      <c r="K526" s="604" t="s">
        <v>447</v>
      </c>
      <c r="L526" s="604" t="s">
        <v>432</v>
      </c>
      <c r="M526" s="604">
        <v>5</v>
      </c>
      <c r="N526" s="604">
        <v>1838</v>
      </c>
      <c r="O526" s="604">
        <v>2.7</v>
      </c>
      <c r="P526" s="604" t="s">
        <v>47</v>
      </c>
      <c r="Q526" s="499"/>
      <c r="R526" s="502" t="str">
        <f t="shared" si="75"/>
        <v>2007birthsdhbSouthern</v>
      </c>
      <c r="S526" s="604">
        <v>2007</v>
      </c>
      <c r="T526" s="604" t="s">
        <v>445</v>
      </c>
      <c r="U526" s="604" t="s">
        <v>448</v>
      </c>
      <c r="V526" s="604" t="s">
        <v>103</v>
      </c>
      <c r="W526" s="604">
        <v>3742</v>
      </c>
      <c r="Y526" s="535" t="str">
        <f t="shared" si="76"/>
        <v>2016depethQuin 1Asianfetal</v>
      </c>
      <c r="Z526" s="604">
        <v>2016</v>
      </c>
      <c r="AA526" s="604" t="s">
        <v>454</v>
      </c>
      <c r="AB526" s="604" t="s">
        <v>449</v>
      </c>
      <c r="AC526" s="604" t="s">
        <v>421</v>
      </c>
      <c r="AD526" s="604" t="s">
        <v>355</v>
      </c>
      <c r="AE526" s="604">
        <v>13</v>
      </c>
      <c r="AF526" s="604">
        <v>1910</v>
      </c>
      <c r="AG526" s="604">
        <v>6.8</v>
      </c>
      <c r="AH526" s="604" t="s">
        <v>420</v>
      </c>
      <c r="AJ526" s="535" t="str">
        <f t="shared" si="77"/>
        <v>2016depethQuin 1Asian</v>
      </c>
      <c r="AK526" s="604">
        <v>2016</v>
      </c>
      <c r="AL526" s="604" t="s">
        <v>454</v>
      </c>
      <c r="AM526" s="604" t="s">
        <v>449</v>
      </c>
      <c r="AN526" s="604" t="s">
        <v>421</v>
      </c>
      <c r="AO526" s="604" t="s">
        <v>355</v>
      </c>
      <c r="AP526" s="604">
        <v>1910</v>
      </c>
      <c r="AR526" s="538" t="str">
        <f t="shared" si="78"/>
        <v>20-24agefetalNelson Marlborough</v>
      </c>
      <c r="AS526" s="604">
        <v>2016</v>
      </c>
      <c r="AT526" s="604" t="s">
        <v>130</v>
      </c>
      <c r="AU526" s="604" t="s">
        <v>453</v>
      </c>
      <c r="AV526" s="604" t="s">
        <v>99</v>
      </c>
      <c r="AW526" s="604">
        <v>0</v>
      </c>
      <c r="AX526" s="604">
        <v>267</v>
      </c>
      <c r="AY526" s="606">
        <v>0</v>
      </c>
      <c r="AZ526" s="604" t="s">
        <v>420</v>
      </c>
      <c r="BB526" s="536" t="str">
        <f t="shared" si="79"/>
        <v>UnknownbwtbirthsWaikato</v>
      </c>
      <c r="BC526" s="604">
        <v>2016</v>
      </c>
      <c r="BD526" s="604" t="s">
        <v>63</v>
      </c>
      <c r="BE526" s="604" t="s">
        <v>447</v>
      </c>
      <c r="BF526" s="604" t="s">
        <v>89</v>
      </c>
      <c r="BG526" s="604">
        <v>4</v>
      </c>
      <c r="BH526" s="604" t="s">
        <v>445</v>
      </c>
      <c r="BY526" s="553" t="str">
        <f t="shared" si="80"/>
        <v>2005MidCentraldhbSIDS</v>
      </c>
      <c r="BZ526" s="604">
        <v>2005</v>
      </c>
      <c r="CA526" s="604" t="s">
        <v>94</v>
      </c>
      <c r="CB526" s="604" t="s">
        <v>448</v>
      </c>
      <c r="CC526" s="604">
        <v>4</v>
      </c>
      <c r="CD526" s="604" t="s">
        <v>32</v>
      </c>
      <c r="CF526" s="559" t="str">
        <f t="shared" si="81"/>
        <v>5yearsEuropean or Other2500-4499bwtSIDS</v>
      </c>
      <c r="CG526" s="604" t="s">
        <v>475</v>
      </c>
      <c r="CH526" s="604" t="s">
        <v>356</v>
      </c>
      <c r="CI526" s="604" t="s">
        <v>431</v>
      </c>
      <c r="CJ526" s="604" t="s">
        <v>447</v>
      </c>
      <c r="CK526" s="604">
        <v>24</v>
      </c>
      <c r="CL526" s="604" t="s">
        <v>32</v>
      </c>
    </row>
    <row r="527" spans="9:90">
      <c r="I527" s="578" t="str">
        <f t="shared" si="74"/>
        <v>2007bwtUnknownFetal</v>
      </c>
      <c r="J527" s="604">
        <v>2007</v>
      </c>
      <c r="K527" s="604" t="s">
        <v>447</v>
      </c>
      <c r="L527" s="604" t="s">
        <v>63</v>
      </c>
      <c r="M527" s="604">
        <v>7</v>
      </c>
      <c r="N527" s="604">
        <v>67</v>
      </c>
      <c r="O527" s="604" t="s">
        <v>119</v>
      </c>
      <c r="P527" s="604" t="s">
        <v>47</v>
      </c>
      <c r="Q527" s="499"/>
      <c r="R527" s="502" t="str">
        <f t="shared" si="75"/>
        <v>2007birthsdhbUnknown</v>
      </c>
      <c r="S527" s="604">
        <v>2007</v>
      </c>
      <c r="T527" s="604" t="s">
        <v>445</v>
      </c>
      <c r="U527" s="604" t="s">
        <v>448</v>
      </c>
      <c r="V527" s="604" t="s">
        <v>63</v>
      </c>
      <c r="W527" s="604">
        <v>406</v>
      </c>
      <c r="Y527" s="535" t="str">
        <f t="shared" si="76"/>
        <v>2016depethQuin 2Asianfetal</v>
      </c>
      <c r="Z527" s="604">
        <v>2016</v>
      </c>
      <c r="AA527" s="604" t="s">
        <v>454</v>
      </c>
      <c r="AB527" s="604" t="s">
        <v>449</v>
      </c>
      <c r="AC527" s="604" t="s">
        <v>422</v>
      </c>
      <c r="AD527" s="604" t="s">
        <v>355</v>
      </c>
      <c r="AE527" s="604">
        <v>9</v>
      </c>
      <c r="AF527" s="604">
        <v>2186</v>
      </c>
      <c r="AG527" s="604">
        <v>4.0999999999999996</v>
      </c>
      <c r="AH527" s="604" t="s">
        <v>420</v>
      </c>
      <c r="AJ527" s="535" t="str">
        <f t="shared" si="77"/>
        <v>2016depethQuin 2Asian</v>
      </c>
      <c r="AK527" s="604">
        <v>2016</v>
      </c>
      <c r="AL527" s="604" t="s">
        <v>454</v>
      </c>
      <c r="AM527" s="604" t="s">
        <v>449</v>
      </c>
      <c r="AN527" s="604" t="s">
        <v>422</v>
      </c>
      <c r="AO527" s="604" t="s">
        <v>355</v>
      </c>
      <c r="AP527" s="604">
        <v>2186</v>
      </c>
      <c r="AR527" s="538" t="str">
        <f t="shared" si="78"/>
        <v>25-29agefetalNelson Marlborough</v>
      </c>
      <c r="AS527" s="604">
        <v>2016</v>
      </c>
      <c r="AT527" s="604" t="s">
        <v>131</v>
      </c>
      <c r="AU527" s="604" t="s">
        <v>453</v>
      </c>
      <c r="AV527" s="604" t="s">
        <v>99</v>
      </c>
      <c r="AW527" s="604">
        <v>0</v>
      </c>
      <c r="AX527" s="604">
        <v>431</v>
      </c>
      <c r="AY527" s="606">
        <v>0</v>
      </c>
      <c r="AZ527" s="604" t="s">
        <v>420</v>
      </c>
      <c r="BB527" s="536" t="str">
        <f t="shared" si="79"/>
        <v>&lt;500bwtbirthsLakes</v>
      </c>
      <c r="BC527" s="604">
        <v>2016</v>
      </c>
      <c r="BD527" s="604" t="s">
        <v>427</v>
      </c>
      <c r="BE527" s="604" t="s">
        <v>447</v>
      </c>
      <c r="BF527" s="604" t="s">
        <v>90</v>
      </c>
      <c r="BG527" s="604">
        <v>2</v>
      </c>
      <c r="BH527" s="604" t="s">
        <v>445</v>
      </c>
      <c r="BY527" s="553" t="str">
        <f t="shared" si="80"/>
        <v>2005WhanganuidhbSIDS</v>
      </c>
      <c r="BZ527" s="604">
        <v>2005</v>
      </c>
      <c r="CA527" s="604" t="s">
        <v>95</v>
      </c>
      <c r="CB527" s="604" t="s">
        <v>448</v>
      </c>
      <c r="CC527" s="604">
        <v>2</v>
      </c>
      <c r="CD527" s="604" t="s">
        <v>32</v>
      </c>
      <c r="CF527" s="559" t="str">
        <f t="shared" si="81"/>
        <v>5yearsMaori2500-4499bwtSIDS</v>
      </c>
      <c r="CG527" s="604" t="s">
        <v>475</v>
      </c>
      <c r="CH527" s="604" t="s">
        <v>129</v>
      </c>
      <c r="CI527" s="604" t="s">
        <v>431</v>
      </c>
      <c r="CJ527" s="604" t="s">
        <v>447</v>
      </c>
      <c r="CK527" s="604">
        <v>46</v>
      </c>
      <c r="CL527" s="604" t="s">
        <v>32</v>
      </c>
    </row>
    <row r="528" spans="9:90">
      <c r="I528" s="578" t="str">
        <f t="shared" si="74"/>
        <v>2008bwt&lt;500Fetal</v>
      </c>
      <c r="J528" s="604">
        <v>2008</v>
      </c>
      <c r="K528" s="604" t="s">
        <v>447</v>
      </c>
      <c r="L528" s="604" t="s">
        <v>427</v>
      </c>
      <c r="M528" s="604">
        <v>198</v>
      </c>
      <c r="N528" s="604">
        <v>263</v>
      </c>
      <c r="O528" s="604">
        <v>752.9</v>
      </c>
      <c r="P528" s="604" t="s">
        <v>47</v>
      </c>
      <c r="Q528" s="499"/>
      <c r="R528" s="502" t="str">
        <f t="shared" si="75"/>
        <v>2008birthsdhbNorthland</v>
      </c>
      <c r="S528" s="604">
        <v>2008</v>
      </c>
      <c r="T528" s="604" t="s">
        <v>445</v>
      </c>
      <c r="U528" s="604" t="s">
        <v>448</v>
      </c>
      <c r="V528" s="604" t="s">
        <v>85</v>
      </c>
      <c r="W528" s="604">
        <v>2368</v>
      </c>
      <c r="Y528" s="535" t="str">
        <f t="shared" si="76"/>
        <v>2016depethQuin 3Asianfetal</v>
      </c>
      <c r="Z528" s="604">
        <v>2016</v>
      </c>
      <c r="AA528" s="604" t="s">
        <v>454</v>
      </c>
      <c r="AB528" s="604" t="s">
        <v>449</v>
      </c>
      <c r="AC528" s="604" t="s">
        <v>423</v>
      </c>
      <c r="AD528" s="604" t="s">
        <v>355</v>
      </c>
      <c r="AE528" s="604">
        <v>14</v>
      </c>
      <c r="AF528" s="604">
        <v>1969</v>
      </c>
      <c r="AG528" s="604">
        <v>7.1</v>
      </c>
      <c r="AH528" s="604" t="s">
        <v>420</v>
      </c>
      <c r="AJ528" s="535" t="str">
        <f t="shared" si="77"/>
        <v>2016depethQuin 3Asian</v>
      </c>
      <c r="AK528" s="604">
        <v>2016</v>
      </c>
      <c r="AL528" s="604" t="s">
        <v>454</v>
      </c>
      <c r="AM528" s="604" t="s">
        <v>449</v>
      </c>
      <c r="AN528" s="604" t="s">
        <v>423</v>
      </c>
      <c r="AO528" s="604" t="s">
        <v>355</v>
      </c>
      <c r="AP528" s="604">
        <v>1969</v>
      </c>
      <c r="AR528" s="538" t="str">
        <f t="shared" si="78"/>
        <v>35-39agefetalNelson Marlborough</v>
      </c>
      <c r="AS528" s="604">
        <v>2016</v>
      </c>
      <c r="AT528" s="604" t="s">
        <v>133</v>
      </c>
      <c r="AU528" s="604" t="s">
        <v>453</v>
      </c>
      <c r="AV528" s="604" t="s">
        <v>99</v>
      </c>
      <c r="AW528" s="604">
        <v>0</v>
      </c>
      <c r="AX528" s="604">
        <v>241</v>
      </c>
      <c r="AY528" s="606">
        <v>0</v>
      </c>
      <c r="AZ528" s="604" t="s">
        <v>420</v>
      </c>
      <c r="BB528" s="536" t="str">
        <f t="shared" si="79"/>
        <v>500-999bwtbirthsLakes</v>
      </c>
      <c r="BC528" s="604">
        <v>2016</v>
      </c>
      <c r="BD528" s="604" t="s">
        <v>428</v>
      </c>
      <c r="BE528" s="604" t="s">
        <v>447</v>
      </c>
      <c r="BF528" s="604" t="s">
        <v>90</v>
      </c>
      <c r="BG528" s="604">
        <v>7</v>
      </c>
      <c r="BH528" s="604" t="s">
        <v>445</v>
      </c>
      <c r="BY528" s="553" t="str">
        <f t="shared" si="80"/>
        <v>2005Capital &amp; CoastdhbSIDS</v>
      </c>
      <c r="BZ528" s="604">
        <v>2005</v>
      </c>
      <c r="CA528" s="604" t="s">
        <v>96</v>
      </c>
      <c r="CB528" s="604" t="s">
        <v>448</v>
      </c>
      <c r="CC528" s="604">
        <v>1</v>
      </c>
      <c r="CD528" s="604" t="s">
        <v>32</v>
      </c>
      <c r="CF528" s="559" t="str">
        <f t="shared" si="81"/>
        <v>5yearsPacific peoples2500-4499bwtSIDS</v>
      </c>
      <c r="CG528" s="604" t="s">
        <v>475</v>
      </c>
      <c r="CH528" s="604" t="s">
        <v>320</v>
      </c>
      <c r="CI528" s="604" t="s">
        <v>431</v>
      </c>
      <c r="CJ528" s="604" t="s">
        <v>447</v>
      </c>
      <c r="CK528" s="604">
        <v>11</v>
      </c>
      <c r="CL528" s="604" t="s">
        <v>32</v>
      </c>
    </row>
    <row r="529" spans="9:90">
      <c r="I529" s="578" t="str">
        <f t="shared" si="74"/>
        <v>2008bwt500-999Fetal</v>
      </c>
      <c r="J529" s="604">
        <v>2008</v>
      </c>
      <c r="K529" s="604" t="s">
        <v>447</v>
      </c>
      <c r="L529" s="604" t="s">
        <v>428</v>
      </c>
      <c r="M529" s="604">
        <v>113</v>
      </c>
      <c r="N529" s="604">
        <v>321</v>
      </c>
      <c r="O529" s="604">
        <v>352</v>
      </c>
      <c r="P529" s="604" t="s">
        <v>47</v>
      </c>
      <c r="Q529" s="499"/>
      <c r="R529" s="502" t="str">
        <f t="shared" si="75"/>
        <v>2008birthsdhbWaitemata</v>
      </c>
      <c r="S529" s="604">
        <v>2008</v>
      </c>
      <c r="T529" s="604" t="s">
        <v>445</v>
      </c>
      <c r="U529" s="604" t="s">
        <v>448</v>
      </c>
      <c r="V529" s="604" t="s">
        <v>86</v>
      </c>
      <c r="W529" s="604">
        <v>7944</v>
      </c>
      <c r="Y529" s="535" t="str">
        <f t="shared" si="76"/>
        <v>2016depethQuin 4Asianfetal</v>
      </c>
      <c r="Z529" s="604">
        <v>2016</v>
      </c>
      <c r="AA529" s="604" t="s">
        <v>454</v>
      </c>
      <c r="AB529" s="604" t="s">
        <v>449</v>
      </c>
      <c r="AC529" s="604" t="s">
        <v>424</v>
      </c>
      <c r="AD529" s="604" t="s">
        <v>355</v>
      </c>
      <c r="AE529" s="604">
        <v>14</v>
      </c>
      <c r="AF529" s="604">
        <v>2431</v>
      </c>
      <c r="AG529" s="604">
        <v>5.7</v>
      </c>
      <c r="AH529" s="604" t="s">
        <v>420</v>
      </c>
      <c r="AJ529" s="535" t="str">
        <f t="shared" si="77"/>
        <v>2016depethQuin 4Asian</v>
      </c>
      <c r="AK529" s="604">
        <v>2016</v>
      </c>
      <c r="AL529" s="604" t="s">
        <v>454</v>
      </c>
      <c r="AM529" s="604" t="s">
        <v>449</v>
      </c>
      <c r="AN529" s="604" t="s">
        <v>424</v>
      </c>
      <c r="AO529" s="604" t="s">
        <v>355</v>
      </c>
      <c r="AP529" s="604">
        <v>2431</v>
      </c>
      <c r="AR529" s="538" t="str">
        <f t="shared" si="78"/>
        <v>20-24agefetalWest Coast</v>
      </c>
      <c r="AS529" s="604">
        <v>2016</v>
      </c>
      <c r="AT529" s="604" t="s">
        <v>130</v>
      </c>
      <c r="AU529" s="604" t="s">
        <v>453</v>
      </c>
      <c r="AV529" s="604" t="s">
        <v>100</v>
      </c>
      <c r="AW529" s="604">
        <v>0</v>
      </c>
      <c r="AX529" s="604">
        <v>65</v>
      </c>
      <c r="AY529" s="606">
        <v>0</v>
      </c>
      <c r="AZ529" s="604" t="s">
        <v>420</v>
      </c>
      <c r="BB529" s="536" t="str">
        <f t="shared" si="79"/>
        <v>1000-1499bwtbirthsLakes</v>
      </c>
      <c r="BC529" s="604">
        <v>2016</v>
      </c>
      <c r="BD529" s="604" t="s">
        <v>429</v>
      </c>
      <c r="BE529" s="604" t="s">
        <v>447</v>
      </c>
      <c r="BF529" s="604" t="s">
        <v>90</v>
      </c>
      <c r="BG529" s="604">
        <v>7</v>
      </c>
      <c r="BH529" s="604" t="s">
        <v>445</v>
      </c>
      <c r="BY529" s="553" t="str">
        <f t="shared" si="80"/>
        <v>2005Hutt ValleydhbSIDS</v>
      </c>
      <c r="BZ529" s="604">
        <v>2005</v>
      </c>
      <c r="CA529" s="604" t="s">
        <v>97</v>
      </c>
      <c r="CB529" s="604" t="s">
        <v>448</v>
      </c>
      <c r="CC529" s="604">
        <v>0</v>
      </c>
      <c r="CD529" s="604" t="s">
        <v>32</v>
      </c>
      <c r="CF529" s="559" t="str">
        <f t="shared" si="81"/>
        <v>5yearsAsian4500+bwtSIDS</v>
      </c>
      <c r="CG529" s="604" t="s">
        <v>475</v>
      </c>
      <c r="CH529" s="604" t="s">
        <v>355</v>
      </c>
      <c r="CI529" s="604" t="s">
        <v>432</v>
      </c>
      <c r="CJ529" s="604" t="s">
        <v>447</v>
      </c>
      <c r="CK529" s="604">
        <v>0</v>
      </c>
      <c r="CL529" s="604" t="s">
        <v>32</v>
      </c>
    </row>
    <row r="530" spans="9:90">
      <c r="I530" s="578" t="str">
        <f t="shared" si="74"/>
        <v>2008bwt1000-1499Fetal</v>
      </c>
      <c r="J530" s="604">
        <v>2008</v>
      </c>
      <c r="K530" s="604" t="s">
        <v>447</v>
      </c>
      <c r="L530" s="604" t="s">
        <v>429</v>
      </c>
      <c r="M530" s="604">
        <v>30</v>
      </c>
      <c r="N530" s="604">
        <v>420</v>
      </c>
      <c r="O530" s="604">
        <v>71.400000000000006</v>
      </c>
      <c r="P530" s="604" t="s">
        <v>47</v>
      </c>
      <c r="Q530" s="499"/>
      <c r="R530" s="502" t="str">
        <f t="shared" si="75"/>
        <v>2008birthsdhbAuckland</v>
      </c>
      <c r="S530" s="604">
        <v>2008</v>
      </c>
      <c r="T530" s="604" t="s">
        <v>445</v>
      </c>
      <c r="U530" s="604" t="s">
        <v>448</v>
      </c>
      <c r="V530" s="604" t="s">
        <v>87</v>
      </c>
      <c r="W530" s="604">
        <v>6588</v>
      </c>
      <c r="Y530" s="535" t="str">
        <f t="shared" si="76"/>
        <v>2016depethQuin 5Asianfetal</v>
      </c>
      <c r="Z530" s="604">
        <v>2016</v>
      </c>
      <c r="AA530" s="604" t="s">
        <v>454</v>
      </c>
      <c r="AB530" s="604" t="s">
        <v>449</v>
      </c>
      <c r="AC530" s="604" t="s">
        <v>425</v>
      </c>
      <c r="AD530" s="604" t="s">
        <v>355</v>
      </c>
      <c r="AE530" s="604">
        <v>19</v>
      </c>
      <c r="AF530" s="604">
        <v>2354</v>
      </c>
      <c r="AG530" s="604">
        <v>8</v>
      </c>
      <c r="AH530" s="604" t="s">
        <v>420</v>
      </c>
      <c r="AJ530" s="535" t="str">
        <f t="shared" si="77"/>
        <v>2016depethQuin 5Asian</v>
      </c>
      <c r="AK530" s="604">
        <v>2016</v>
      </c>
      <c r="AL530" s="604" t="s">
        <v>454</v>
      </c>
      <c r="AM530" s="604" t="s">
        <v>449</v>
      </c>
      <c r="AN530" s="604" t="s">
        <v>425</v>
      </c>
      <c r="AO530" s="604" t="s">
        <v>355</v>
      </c>
      <c r="AP530" s="604">
        <v>2354</v>
      </c>
      <c r="AR530" s="538" t="str">
        <f t="shared" si="78"/>
        <v>40+agefetalWest Coast</v>
      </c>
      <c r="AS530" s="604">
        <v>2016</v>
      </c>
      <c r="AT530" s="604" t="s">
        <v>134</v>
      </c>
      <c r="AU530" s="604" t="s">
        <v>453</v>
      </c>
      <c r="AV530" s="604" t="s">
        <v>100</v>
      </c>
      <c r="AW530" s="604">
        <v>0</v>
      </c>
      <c r="AX530" s="604">
        <v>13</v>
      </c>
      <c r="AY530" s="606">
        <v>0</v>
      </c>
      <c r="AZ530" s="604" t="s">
        <v>420</v>
      </c>
      <c r="BB530" s="536" t="str">
        <f t="shared" si="79"/>
        <v>1500-2499bwtbirthsLakes</v>
      </c>
      <c r="BC530" s="604">
        <v>2016</v>
      </c>
      <c r="BD530" s="604" t="s">
        <v>430</v>
      </c>
      <c r="BE530" s="604" t="s">
        <v>447</v>
      </c>
      <c r="BF530" s="604" t="s">
        <v>90</v>
      </c>
      <c r="BG530" s="604">
        <v>74</v>
      </c>
      <c r="BH530" s="604" t="s">
        <v>445</v>
      </c>
      <c r="BY530" s="553" t="str">
        <f t="shared" si="80"/>
        <v>2005WairarapadhbSIDS</v>
      </c>
      <c r="BZ530" s="604">
        <v>2005</v>
      </c>
      <c r="CA530" s="604" t="s">
        <v>98</v>
      </c>
      <c r="CB530" s="604" t="s">
        <v>448</v>
      </c>
      <c r="CC530" s="604">
        <v>0</v>
      </c>
      <c r="CD530" s="604" t="s">
        <v>32</v>
      </c>
      <c r="CF530" s="559" t="str">
        <f t="shared" si="81"/>
        <v>5yearsEuropean or Other4500+bwtSIDS</v>
      </c>
      <c r="CG530" s="604" t="s">
        <v>475</v>
      </c>
      <c r="CH530" s="604" t="s">
        <v>356</v>
      </c>
      <c r="CI530" s="604" t="s">
        <v>432</v>
      </c>
      <c r="CJ530" s="604" t="s">
        <v>447</v>
      </c>
      <c r="CK530" s="604">
        <v>0</v>
      </c>
      <c r="CL530" s="604" t="s">
        <v>32</v>
      </c>
    </row>
    <row r="531" spans="9:90">
      <c r="I531" s="578" t="str">
        <f t="shared" si="74"/>
        <v>2008bwt1500-2499Fetal</v>
      </c>
      <c r="J531" s="604">
        <v>2008</v>
      </c>
      <c r="K531" s="604" t="s">
        <v>447</v>
      </c>
      <c r="L531" s="604" t="s">
        <v>430</v>
      </c>
      <c r="M531" s="604">
        <v>78</v>
      </c>
      <c r="N531" s="604">
        <v>3265</v>
      </c>
      <c r="O531" s="604">
        <v>23.9</v>
      </c>
      <c r="P531" s="604" t="s">
        <v>47</v>
      </c>
      <c r="Q531" s="499"/>
      <c r="R531" s="502" t="str">
        <f t="shared" si="75"/>
        <v>2008birthsdhbCounties Manukau</v>
      </c>
      <c r="S531" s="604">
        <v>2008</v>
      </c>
      <c r="T531" s="604" t="s">
        <v>445</v>
      </c>
      <c r="U531" s="604" t="s">
        <v>448</v>
      </c>
      <c r="V531" s="604" t="s">
        <v>88</v>
      </c>
      <c r="W531" s="604">
        <v>9052</v>
      </c>
      <c r="Y531" s="535" t="str">
        <f t="shared" si="76"/>
        <v>2016depethQuin 9Asianfetal</v>
      </c>
      <c r="Z531" s="604">
        <v>2016</v>
      </c>
      <c r="AA531" s="604" t="s">
        <v>454</v>
      </c>
      <c r="AB531" s="604" t="s">
        <v>449</v>
      </c>
      <c r="AC531" s="604" t="s">
        <v>426</v>
      </c>
      <c r="AD531" s="604" t="s">
        <v>355</v>
      </c>
      <c r="AE531" s="604">
        <v>4</v>
      </c>
      <c r="AF531" s="604">
        <v>52</v>
      </c>
      <c r="AG531" s="604" t="s">
        <v>119</v>
      </c>
      <c r="AH531" s="604" t="s">
        <v>420</v>
      </c>
      <c r="AJ531" s="535" t="str">
        <f t="shared" si="77"/>
        <v>2016depethQuin 9Asian</v>
      </c>
      <c r="AK531" s="604">
        <v>2016</v>
      </c>
      <c r="AL531" s="604" t="s">
        <v>454</v>
      </c>
      <c r="AM531" s="604" t="s">
        <v>449</v>
      </c>
      <c r="AN531" s="604" t="s">
        <v>426</v>
      </c>
      <c r="AO531" s="604" t="s">
        <v>355</v>
      </c>
      <c r="AP531" s="604">
        <v>52</v>
      </c>
      <c r="AR531" s="538" t="str">
        <f t="shared" si="78"/>
        <v>&lt;20agefetalSouth Canterbury</v>
      </c>
      <c r="AS531" s="604">
        <v>2016</v>
      </c>
      <c r="AT531" s="604" t="s">
        <v>339</v>
      </c>
      <c r="AU531" s="604" t="s">
        <v>453</v>
      </c>
      <c r="AV531" s="604" t="s">
        <v>102</v>
      </c>
      <c r="AW531" s="604">
        <v>0</v>
      </c>
      <c r="AX531" s="604">
        <v>20</v>
      </c>
      <c r="AY531" s="606">
        <v>0</v>
      </c>
      <c r="AZ531" s="604" t="s">
        <v>420</v>
      </c>
      <c r="BB531" s="536" t="str">
        <f t="shared" si="79"/>
        <v>2500-4499bwtbirthsLakes</v>
      </c>
      <c r="BC531" s="604">
        <v>2016</v>
      </c>
      <c r="BD531" s="604" t="s">
        <v>431</v>
      </c>
      <c r="BE531" s="604" t="s">
        <v>447</v>
      </c>
      <c r="BF531" s="604" t="s">
        <v>90</v>
      </c>
      <c r="BG531" s="604">
        <v>1442</v>
      </c>
      <c r="BH531" s="604" t="s">
        <v>445</v>
      </c>
      <c r="BY531" s="553" t="str">
        <f t="shared" si="80"/>
        <v>2005Nelson MarlboroughdhbSIDS</v>
      </c>
      <c r="BZ531" s="604">
        <v>2005</v>
      </c>
      <c r="CA531" s="604" t="s">
        <v>99</v>
      </c>
      <c r="CB531" s="604" t="s">
        <v>448</v>
      </c>
      <c r="CC531" s="604">
        <v>0</v>
      </c>
      <c r="CD531" s="604" t="s">
        <v>32</v>
      </c>
      <c r="CF531" s="559" t="str">
        <f t="shared" si="81"/>
        <v>5yearsMaori4500+bwtSIDS</v>
      </c>
      <c r="CG531" s="604" t="s">
        <v>475</v>
      </c>
      <c r="CH531" s="604" t="s">
        <v>129</v>
      </c>
      <c r="CI531" s="604" t="s">
        <v>432</v>
      </c>
      <c r="CJ531" s="604" t="s">
        <v>447</v>
      </c>
      <c r="CK531" s="604">
        <v>0</v>
      </c>
      <c r="CL531" s="604" t="s">
        <v>32</v>
      </c>
    </row>
    <row r="532" spans="9:90">
      <c r="I532" s="578" t="str">
        <f t="shared" si="74"/>
        <v>2008bwt2500-4499Fetal</v>
      </c>
      <c r="J532" s="604">
        <v>2008</v>
      </c>
      <c r="K532" s="604" t="s">
        <v>447</v>
      </c>
      <c r="L532" s="604" t="s">
        <v>431</v>
      </c>
      <c r="M532" s="604">
        <v>126</v>
      </c>
      <c r="N532" s="604">
        <v>59662</v>
      </c>
      <c r="O532" s="604">
        <v>2.1</v>
      </c>
      <c r="P532" s="604" t="s">
        <v>47</v>
      </c>
      <c r="Q532" s="499"/>
      <c r="R532" s="502" t="str">
        <f t="shared" si="75"/>
        <v>2008birthsdhbWaikato</v>
      </c>
      <c r="S532" s="604">
        <v>2008</v>
      </c>
      <c r="T532" s="604" t="s">
        <v>445</v>
      </c>
      <c r="U532" s="604" t="s">
        <v>448</v>
      </c>
      <c r="V532" s="604" t="s">
        <v>89</v>
      </c>
      <c r="W532" s="604">
        <v>5843</v>
      </c>
      <c r="Y532" s="535" t="str">
        <f t="shared" si="76"/>
        <v>2016depethQuin 1European or Otherfetal</v>
      </c>
      <c r="Z532" s="604">
        <v>2016</v>
      </c>
      <c r="AA532" s="604" t="s">
        <v>454</v>
      </c>
      <c r="AB532" s="604" t="s">
        <v>449</v>
      </c>
      <c r="AC532" s="604" t="s">
        <v>421</v>
      </c>
      <c r="AD532" s="604" t="s">
        <v>356</v>
      </c>
      <c r="AE532" s="604">
        <v>25</v>
      </c>
      <c r="AF532" s="604">
        <v>5854</v>
      </c>
      <c r="AG532" s="604">
        <v>4.3</v>
      </c>
      <c r="AH532" s="604" t="s">
        <v>420</v>
      </c>
      <c r="AJ532" s="535" t="str">
        <f t="shared" si="77"/>
        <v>2016depethQuin 1European or Other</v>
      </c>
      <c r="AK532" s="604">
        <v>2016</v>
      </c>
      <c r="AL532" s="604" t="s">
        <v>454</v>
      </c>
      <c r="AM532" s="604" t="s">
        <v>449</v>
      </c>
      <c r="AN532" s="604" t="s">
        <v>421</v>
      </c>
      <c r="AO532" s="604" t="s">
        <v>356</v>
      </c>
      <c r="AP532" s="604">
        <v>5854</v>
      </c>
      <c r="AR532" s="538" t="str">
        <f t="shared" si="78"/>
        <v>25-29agefetalSouth Canterbury</v>
      </c>
      <c r="AS532" s="604">
        <v>2016</v>
      </c>
      <c r="AT532" s="604" t="s">
        <v>131</v>
      </c>
      <c r="AU532" s="604" t="s">
        <v>453</v>
      </c>
      <c r="AV532" s="604" t="s">
        <v>102</v>
      </c>
      <c r="AW532" s="604">
        <v>0</v>
      </c>
      <c r="AX532" s="604">
        <v>217</v>
      </c>
      <c r="AY532" s="606">
        <v>0</v>
      </c>
      <c r="AZ532" s="604" t="s">
        <v>420</v>
      </c>
      <c r="BB532" s="536" t="str">
        <f t="shared" si="79"/>
        <v>4500+bwtbirthsLakes</v>
      </c>
      <c r="BC532" s="604">
        <v>2016</v>
      </c>
      <c r="BD532" s="604" t="s">
        <v>432</v>
      </c>
      <c r="BE532" s="604" t="s">
        <v>447</v>
      </c>
      <c r="BF532" s="604" t="s">
        <v>90</v>
      </c>
      <c r="BG532" s="604">
        <v>36</v>
      </c>
      <c r="BH532" s="604" t="s">
        <v>445</v>
      </c>
      <c r="BY532" s="553" t="str">
        <f t="shared" si="80"/>
        <v>2005West CoastdhbSIDS</v>
      </c>
      <c r="BZ532" s="604">
        <v>2005</v>
      </c>
      <c r="CA532" s="604" t="s">
        <v>100</v>
      </c>
      <c r="CB532" s="604" t="s">
        <v>448</v>
      </c>
      <c r="CC532" s="604">
        <v>0</v>
      </c>
      <c r="CD532" s="604" t="s">
        <v>32</v>
      </c>
      <c r="CF532" s="559" t="str">
        <f t="shared" si="81"/>
        <v>5yearsPacific peoples4500+bwtSIDS</v>
      </c>
      <c r="CG532" s="604" t="s">
        <v>475</v>
      </c>
      <c r="CH532" s="604" t="s">
        <v>320</v>
      </c>
      <c r="CI532" s="604" t="s">
        <v>432</v>
      </c>
      <c r="CJ532" s="604" t="s">
        <v>447</v>
      </c>
      <c r="CK532" s="604">
        <v>0</v>
      </c>
      <c r="CL532" s="604" t="s">
        <v>32</v>
      </c>
    </row>
    <row r="533" spans="9:90">
      <c r="I533" s="578" t="str">
        <f t="shared" si="74"/>
        <v>2008bwt4500+Fetal</v>
      </c>
      <c r="J533" s="604">
        <v>2008</v>
      </c>
      <c r="K533" s="604" t="s">
        <v>447</v>
      </c>
      <c r="L533" s="604" t="s">
        <v>432</v>
      </c>
      <c r="M533" s="604">
        <v>3</v>
      </c>
      <c r="N533" s="604">
        <v>1865</v>
      </c>
      <c r="O533" s="604">
        <v>1.6</v>
      </c>
      <c r="P533" s="604" t="s">
        <v>47</v>
      </c>
      <c r="Q533" s="499"/>
      <c r="R533" s="502" t="str">
        <f t="shared" si="75"/>
        <v>2008birthsdhbLakes</v>
      </c>
      <c r="S533" s="604">
        <v>2008</v>
      </c>
      <c r="T533" s="604" t="s">
        <v>445</v>
      </c>
      <c r="U533" s="604" t="s">
        <v>448</v>
      </c>
      <c r="V533" s="604" t="s">
        <v>90</v>
      </c>
      <c r="W533" s="604">
        <v>1726</v>
      </c>
      <c r="Y533" s="535" t="str">
        <f t="shared" si="76"/>
        <v>2016depethQuin 2European or Otherfetal</v>
      </c>
      <c r="Z533" s="604">
        <v>2016</v>
      </c>
      <c r="AA533" s="604" t="s">
        <v>454</v>
      </c>
      <c r="AB533" s="604" t="s">
        <v>449</v>
      </c>
      <c r="AC533" s="604" t="s">
        <v>422</v>
      </c>
      <c r="AD533" s="604" t="s">
        <v>356</v>
      </c>
      <c r="AE533" s="604">
        <v>39</v>
      </c>
      <c r="AF533" s="604">
        <v>5726</v>
      </c>
      <c r="AG533" s="604">
        <v>6.8</v>
      </c>
      <c r="AH533" s="604" t="s">
        <v>420</v>
      </c>
      <c r="AJ533" s="535" t="str">
        <f t="shared" si="77"/>
        <v>2016depethQuin 2European or Other</v>
      </c>
      <c r="AK533" s="604">
        <v>2016</v>
      </c>
      <c r="AL533" s="604" t="s">
        <v>454</v>
      </c>
      <c r="AM533" s="604" t="s">
        <v>449</v>
      </c>
      <c r="AN533" s="604" t="s">
        <v>422</v>
      </c>
      <c r="AO533" s="604" t="s">
        <v>356</v>
      </c>
      <c r="AP533" s="604">
        <v>5726</v>
      </c>
      <c r="AR533" s="538" t="str">
        <f t="shared" si="78"/>
        <v>30-34agefetalSouth Canterbury</v>
      </c>
      <c r="AS533" s="604">
        <v>2016</v>
      </c>
      <c r="AT533" s="604" t="s">
        <v>132</v>
      </c>
      <c r="AU533" s="604" t="s">
        <v>453</v>
      </c>
      <c r="AV533" s="604" t="s">
        <v>102</v>
      </c>
      <c r="AW533" s="604">
        <v>0</v>
      </c>
      <c r="AX533" s="604">
        <v>189</v>
      </c>
      <c r="AY533" s="606">
        <v>0</v>
      </c>
      <c r="AZ533" s="604" t="s">
        <v>420</v>
      </c>
      <c r="BB533" s="536" t="str">
        <f t="shared" si="79"/>
        <v>UnknownbwtbirthsLakes</v>
      </c>
      <c r="BC533" s="604">
        <v>2016</v>
      </c>
      <c r="BD533" s="604" t="s">
        <v>63</v>
      </c>
      <c r="BE533" s="604" t="s">
        <v>447</v>
      </c>
      <c r="BF533" s="604" t="s">
        <v>90</v>
      </c>
      <c r="BG533" s="604">
        <v>1</v>
      </c>
      <c r="BH533" s="604" t="s">
        <v>445</v>
      </c>
      <c r="BY533" s="553" t="str">
        <f t="shared" si="80"/>
        <v>2005CanterburydhbSIDS</v>
      </c>
      <c r="BZ533" s="604">
        <v>2005</v>
      </c>
      <c r="CA533" s="604" t="s">
        <v>101</v>
      </c>
      <c r="CB533" s="604" t="s">
        <v>448</v>
      </c>
      <c r="CC533" s="604">
        <v>4</v>
      </c>
      <c r="CD533" s="604" t="s">
        <v>32</v>
      </c>
      <c r="CF533" s="559" t="str">
        <f t="shared" si="81"/>
        <v>5yearsAsianUnknownbwtSIDS</v>
      </c>
      <c r="CG533" s="604" t="s">
        <v>475</v>
      </c>
      <c r="CH533" s="604" t="s">
        <v>355</v>
      </c>
      <c r="CI533" s="604" t="s">
        <v>63</v>
      </c>
      <c r="CJ533" s="604" t="s">
        <v>447</v>
      </c>
      <c r="CK533" s="604">
        <v>0</v>
      </c>
      <c r="CL533" s="604" t="s">
        <v>32</v>
      </c>
    </row>
    <row r="534" spans="9:90">
      <c r="I534" s="578" t="str">
        <f t="shared" si="74"/>
        <v>2008bwtUnknownFetal</v>
      </c>
      <c r="J534" s="604">
        <v>2008</v>
      </c>
      <c r="K534" s="604" t="s">
        <v>447</v>
      </c>
      <c r="L534" s="604" t="s">
        <v>63</v>
      </c>
      <c r="M534" s="604">
        <v>8</v>
      </c>
      <c r="N534" s="604">
        <v>93</v>
      </c>
      <c r="O534" s="604" t="s">
        <v>119</v>
      </c>
      <c r="P534" s="604" t="s">
        <v>47</v>
      </c>
      <c r="Q534" s="499"/>
      <c r="R534" s="502" t="str">
        <f t="shared" si="75"/>
        <v>2008birthsdhbBay of Plenty</v>
      </c>
      <c r="S534" s="604">
        <v>2008</v>
      </c>
      <c r="T534" s="604" t="s">
        <v>445</v>
      </c>
      <c r="U534" s="604" t="s">
        <v>448</v>
      </c>
      <c r="V534" s="604" t="s">
        <v>91</v>
      </c>
      <c r="W534" s="604">
        <v>3047</v>
      </c>
      <c r="Y534" s="535" t="str">
        <f t="shared" si="76"/>
        <v>2016depethQuin 3European or Otherfetal</v>
      </c>
      <c r="Z534" s="604">
        <v>2016</v>
      </c>
      <c r="AA534" s="604" t="s">
        <v>454</v>
      </c>
      <c r="AB534" s="604" t="s">
        <v>449</v>
      </c>
      <c r="AC534" s="604" t="s">
        <v>423</v>
      </c>
      <c r="AD534" s="604" t="s">
        <v>356</v>
      </c>
      <c r="AE534" s="604">
        <v>33</v>
      </c>
      <c r="AF534" s="604">
        <v>5795</v>
      </c>
      <c r="AG534" s="604">
        <v>5.7</v>
      </c>
      <c r="AH534" s="604" t="s">
        <v>420</v>
      </c>
      <c r="AJ534" s="535" t="str">
        <f t="shared" si="77"/>
        <v>2016depethQuin 3European or Other</v>
      </c>
      <c r="AK534" s="604">
        <v>2016</v>
      </c>
      <c r="AL534" s="604" t="s">
        <v>454</v>
      </c>
      <c r="AM534" s="604" t="s">
        <v>449</v>
      </c>
      <c r="AN534" s="604" t="s">
        <v>423</v>
      </c>
      <c r="AO534" s="604" t="s">
        <v>356</v>
      </c>
      <c r="AP534" s="604">
        <v>5795</v>
      </c>
      <c r="AR534" s="538" t="str">
        <f t="shared" si="78"/>
        <v>35-39agefetalSouth Canterbury</v>
      </c>
      <c r="AS534" s="604">
        <v>2016</v>
      </c>
      <c r="AT534" s="604" t="s">
        <v>133</v>
      </c>
      <c r="AU534" s="604" t="s">
        <v>453</v>
      </c>
      <c r="AV534" s="604" t="s">
        <v>102</v>
      </c>
      <c r="AW534" s="604">
        <v>0</v>
      </c>
      <c r="AX534" s="604">
        <v>79</v>
      </c>
      <c r="AY534" s="606">
        <v>0</v>
      </c>
      <c r="AZ534" s="604" t="s">
        <v>420</v>
      </c>
      <c r="BB534" s="536" t="str">
        <f t="shared" si="79"/>
        <v>&lt;500bwtbirthsBay of Plenty</v>
      </c>
      <c r="BC534" s="604">
        <v>2016</v>
      </c>
      <c r="BD534" s="604" t="s">
        <v>427</v>
      </c>
      <c r="BE534" s="604" t="s">
        <v>447</v>
      </c>
      <c r="BF534" s="604" t="s">
        <v>91</v>
      </c>
      <c r="BG534" s="604">
        <v>3</v>
      </c>
      <c r="BH534" s="604" t="s">
        <v>445</v>
      </c>
      <c r="BY534" s="553" t="str">
        <f t="shared" si="80"/>
        <v>2005South CanterburydhbSIDS</v>
      </c>
      <c r="BZ534" s="604">
        <v>2005</v>
      </c>
      <c r="CA534" s="604" t="s">
        <v>102</v>
      </c>
      <c r="CB534" s="604" t="s">
        <v>448</v>
      </c>
      <c r="CC534" s="604">
        <v>0</v>
      </c>
      <c r="CD534" s="604" t="s">
        <v>32</v>
      </c>
      <c r="CF534" s="559" t="str">
        <f t="shared" si="81"/>
        <v>5yearsEuropean or OtherUnknownbwtSIDS</v>
      </c>
      <c r="CG534" s="604" t="s">
        <v>475</v>
      </c>
      <c r="CH534" s="604" t="s">
        <v>356</v>
      </c>
      <c r="CI534" s="604" t="s">
        <v>63</v>
      </c>
      <c r="CJ534" s="604" t="s">
        <v>447</v>
      </c>
      <c r="CK534" s="604">
        <v>2</v>
      </c>
      <c r="CL534" s="604" t="s">
        <v>32</v>
      </c>
    </row>
    <row r="535" spans="9:90">
      <c r="I535" s="578" t="str">
        <f t="shared" si="74"/>
        <v>2009bwt&lt;500Fetal</v>
      </c>
      <c r="J535" s="604">
        <v>2009</v>
      </c>
      <c r="K535" s="604" t="s">
        <v>447</v>
      </c>
      <c r="L535" s="604" t="s">
        <v>427</v>
      </c>
      <c r="M535" s="604">
        <v>164</v>
      </c>
      <c r="N535" s="604">
        <v>224</v>
      </c>
      <c r="O535" s="604">
        <v>732.1</v>
      </c>
      <c r="P535" s="604" t="s">
        <v>47</v>
      </c>
      <c r="Q535" s="499"/>
      <c r="R535" s="502" t="str">
        <f t="shared" si="75"/>
        <v>2008birthsdhbTairawhiti</v>
      </c>
      <c r="S535" s="604">
        <v>2008</v>
      </c>
      <c r="T535" s="604" t="s">
        <v>445</v>
      </c>
      <c r="U535" s="604" t="s">
        <v>448</v>
      </c>
      <c r="V535" s="604" t="s">
        <v>433</v>
      </c>
      <c r="W535" s="604">
        <v>862</v>
      </c>
      <c r="Y535" s="535" t="str">
        <f t="shared" si="76"/>
        <v>2016depethQuin 4European or Otherfetal</v>
      </c>
      <c r="Z535" s="604">
        <v>2016</v>
      </c>
      <c r="AA535" s="604" t="s">
        <v>454</v>
      </c>
      <c r="AB535" s="604" t="s">
        <v>449</v>
      </c>
      <c r="AC535" s="604" t="s">
        <v>424</v>
      </c>
      <c r="AD535" s="604" t="s">
        <v>356</v>
      </c>
      <c r="AE535" s="604">
        <v>39</v>
      </c>
      <c r="AF535" s="604">
        <v>5495</v>
      </c>
      <c r="AG535" s="604">
        <v>7</v>
      </c>
      <c r="AH535" s="604" t="s">
        <v>420</v>
      </c>
      <c r="AJ535" s="535" t="str">
        <f t="shared" si="77"/>
        <v>2016depethQuin 4European or Other</v>
      </c>
      <c r="AK535" s="604">
        <v>2016</v>
      </c>
      <c r="AL535" s="604" t="s">
        <v>454</v>
      </c>
      <c r="AM535" s="604" t="s">
        <v>449</v>
      </c>
      <c r="AN535" s="604" t="s">
        <v>424</v>
      </c>
      <c r="AO535" s="604" t="s">
        <v>356</v>
      </c>
      <c r="AP535" s="604">
        <v>5495</v>
      </c>
      <c r="AR535" s="538" t="str">
        <f t="shared" si="78"/>
        <v>40+agefetalSouth Canterbury</v>
      </c>
      <c r="AS535" s="604">
        <v>2016</v>
      </c>
      <c r="AT535" s="604" t="s">
        <v>134</v>
      </c>
      <c r="AU535" s="604" t="s">
        <v>453</v>
      </c>
      <c r="AV535" s="604" t="s">
        <v>102</v>
      </c>
      <c r="AW535" s="604">
        <v>0</v>
      </c>
      <c r="AX535" s="604">
        <v>15</v>
      </c>
      <c r="AY535" s="606">
        <v>0</v>
      </c>
      <c r="AZ535" s="604" t="s">
        <v>420</v>
      </c>
      <c r="BB535" s="536" t="str">
        <f t="shared" si="79"/>
        <v>500-999bwtbirthsBay of Plenty</v>
      </c>
      <c r="BC535" s="604">
        <v>2016</v>
      </c>
      <c r="BD535" s="604" t="s">
        <v>428</v>
      </c>
      <c r="BE535" s="604" t="s">
        <v>447</v>
      </c>
      <c r="BF535" s="604" t="s">
        <v>91</v>
      </c>
      <c r="BG535" s="604">
        <v>9</v>
      </c>
      <c r="BH535" s="604" t="s">
        <v>445</v>
      </c>
      <c r="BY535" s="553" t="str">
        <f t="shared" si="80"/>
        <v>2005SoutherndhbSIDS</v>
      </c>
      <c r="BZ535" s="604">
        <v>2005</v>
      </c>
      <c r="CA535" s="604" t="s">
        <v>103</v>
      </c>
      <c r="CB535" s="604" t="s">
        <v>448</v>
      </c>
      <c r="CC535" s="604">
        <v>4</v>
      </c>
      <c r="CD535" s="604" t="s">
        <v>32</v>
      </c>
      <c r="CF535" s="559" t="str">
        <f t="shared" si="81"/>
        <v>5yearsMaoriUnknownbwtSIDS</v>
      </c>
      <c r="CG535" s="604" t="s">
        <v>475</v>
      </c>
      <c r="CH535" s="604" t="s">
        <v>129</v>
      </c>
      <c r="CI535" s="604" t="s">
        <v>63</v>
      </c>
      <c r="CJ535" s="604" t="s">
        <v>447</v>
      </c>
      <c r="CK535" s="604">
        <v>3</v>
      </c>
      <c r="CL535" s="604" t="s">
        <v>32</v>
      </c>
    </row>
    <row r="536" spans="9:90">
      <c r="I536" s="578" t="str">
        <f t="shared" si="74"/>
        <v>2009bwt500-999Fetal</v>
      </c>
      <c r="J536" s="604">
        <v>2009</v>
      </c>
      <c r="K536" s="604" t="s">
        <v>447</v>
      </c>
      <c r="L536" s="604" t="s">
        <v>428</v>
      </c>
      <c r="M536" s="604">
        <v>105</v>
      </c>
      <c r="N536" s="604">
        <v>338</v>
      </c>
      <c r="O536" s="604">
        <v>310.7</v>
      </c>
      <c r="P536" s="604" t="s">
        <v>47</v>
      </c>
      <c r="Q536" s="499"/>
      <c r="R536" s="502" t="str">
        <f t="shared" si="75"/>
        <v>2008birthsdhbHawke's Bay</v>
      </c>
      <c r="S536" s="604">
        <v>2008</v>
      </c>
      <c r="T536" s="604" t="s">
        <v>445</v>
      </c>
      <c r="U536" s="604" t="s">
        <v>448</v>
      </c>
      <c r="V536" s="604" t="s">
        <v>92</v>
      </c>
      <c r="W536" s="604">
        <v>2404</v>
      </c>
      <c r="Y536" s="535" t="str">
        <f t="shared" si="76"/>
        <v>2016depethQuin 5European or Otherfetal</v>
      </c>
      <c r="Z536" s="604">
        <v>2016</v>
      </c>
      <c r="AA536" s="604" t="s">
        <v>454</v>
      </c>
      <c r="AB536" s="604" t="s">
        <v>449</v>
      </c>
      <c r="AC536" s="604" t="s">
        <v>425</v>
      </c>
      <c r="AD536" s="604" t="s">
        <v>356</v>
      </c>
      <c r="AE536" s="604">
        <v>26</v>
      </c>
      <c r="AF536" s="604">
        <v>3327</v>
      </c>
      <c r="AG536" s="604">
        <v>7.8</v>
      </c>
      <c r="AH536" s="604" t="s">
        <v>420</v>
      </c>
      <c r="AJ536" s="535" t="str">
        <f t="shared" si="77"/>
        <v>2016depethQuin 5European or Other</v>
      </c>
      <c r="AK536" s="604">
        <v>2016</v>
      </c>
      <c r="AL536" s="604" t="s">
        <v>454</v>
      </c>
      <c r="AM536" s="604" t="s">
        <v>449</v>
      </c>
      <c r="AN536" s="604" t="s">
        <v>425</v>
      </c>
      <c r="AO536" s="604" t="s">
        <v>356</v>
      </c>
      <c r="AP536" s="604">
        <v>3327</v>
      </c>
      <c r="AR536" s="538" t="str">
        <f t="shared" si="78"/>
        <v>40+agefetalSouthern</v>
      </c>
      <c r="AS536" s="604">
        <v>2016</v>
      </c>
      <c r="AT536" s="604" t="s">
        <v>134</v>
      </c>
      <c r="AU536" s="604" t="s">
        <v>453</v>
      </c>
      <c r="AV536" s="604" t="s">
        <v>103</v>
      </c>
      <c r="AW536" s="604">
        <v>0</v>
      </c>
      <c r="AX536" s="604">
        <v>145</v>
      </c>
      <c r="AY536" s="606">
        <v>0</v>
      </c>
      <c r="AZ536" s="604" t="s">
        <v>420</v>
      </c>
      <c r="BB536" s="536" t="str">
        <f t="shared" si="79"/>
        <v>1000-1499bwtbirthsBay of Plenty</v>
      </c>
      <c r="BC536" s="604">
        <v>2016</v>
      </c>
      <c r="BD536" s="604" t="s">
        <v>429</v>
      </c>
      <c r="BE536" s="604" t="s">
        <v>447</v>
      </c>
      <c r="BF536" s="604" t="s">
        <v>91</v>
      </c>
      <c r="BG536" s="604">
        <v>13</v>
      </c>
      <c r="BH536" s="604" t="s">
        <v>445</v>
      </c>
      <c r="BY536" s="553" t="str">
        <f t="shared" si="80"/>
        <v>2005UnknowndhbSIDS</v>
      </c>
      <c r="BZ536" s="604">
        <v>2005</v>
      </c>
      <c r="CA536" s="604" t="s">
        <v>63</v>
      </c>
      <c r="CB536" s="604" t="s">
        <v>448</v>
      </c>
      <c r="CC536" s="604">
        <v>0</v>
      </c>
      <c r="CD536" s="604" t="s">
        <v>32</v>
      </c>
      <c r="CF536" s="559" t="str">
        <f t="shared" si="81"/>
        <v>5yearsPacific peoplesUnknownbwtSIDS</v>
      </c>
      <c r="CG536" s="604" t="s">
        <v>475</v>
      </c>
      <c r="CH536" s="604" t="s">
        <v>320</v>
      </c>
      <c r="CI536" s="604" t="s">
        <v>63</v>
      </c>
      <c r="CJ536" s="604" t="s">
        <v>447</v>
      </c>
      <c r="CK536" s="604">
        <v>0</v>
      </c>
      <c r="CL536" s="604" t="s">
        <v>32</v>
      </c>
    </row>
    <row r="537" spans="9:90">
      <c r="I537" s="578" t="str">
        <f t="shared" si="74"/>
        <v>2009bwt1000-1499Fetal</v>
      </c>
      <c r="J537" s="604">
        <v>2009</v>
      </c>
      <c r="K537" s="604" t="s">
        <v>447</v>
      </c>
      <c r="L537" s="604" t="s">
        <v>429</v>
      </c>
      <c r="M537" s="604">
        <v>27</v>
      </c>
      <c r="N537" s="604">
        <v>406</v>
      </c>
      <c r="O537" s="604">
        <v>66.5</v>
      </c>
      <c r="P537" s="604" t="s">
        <v>47</v>
      </c>
      <c r="Q537" s="499"/>
      <c r="R537" s="502" t="str">
        <f t="shared" si="75"/>
        <v>2008birthsdhbTaranaki</v>
      </c>
      <c r="S537" s="604">
        <v>2008</v>
      </c>
      <c r="T537" s="604" t="s">
        <v>445</v>
      </c>
      <c r="U537" s="604" t="s">
        <v>448</v>
      </c>
      <c r="V537" s="604" t="s">
        <v>93</v>
      </c>
      <c r="W537" s="604">
        <v>1623</v>
      </c>
      <c r="Y537" s="535" t="str">
        <f t="shared" si="76"/>
        <v>2016depethQuin 9European or Otherfetal</v>
      </c>
      <c r="Z537" s="604">
        <v>2016</v>
      </c>
      <c r="AA537" s="604" t="s">
        <v>454</v>
      </c>
      <c r="AB537" s="604" t="s">
        <v>449</v>
      </c>
      <c r="AC537" s="604" t="s">
        <v>426</v>
      </c>
      <c r="AD537" s="604" t="s">
        <v>356</v>
      </c>
      <c r="AE537" s="604">
        <v>11</v>
      </c>
      <c r="AF537" s="604">
        <v>32</v>
      </c>
      <c r="AG537" s="604" t="s">
        <v>119</v>
      </c>
      <c r="AH537" s="604" t="s">
        <v>420</v>
      </c>
      <c r="AJ537" s="535" t="str">
        <f t="shared" si="77"/>
        <v>2016depethQuin 9European or Other</v>
      </c>
      <c r="AK537" s="604">
        <v>2016</v>
      </c>
      <c r="AL537" s="604" t="s">
        <v>454</v>
      </c>
      <c r="AM537" s="604" t="s">
        <v>449</v>
      </c>
      <c r="AN537" s="604" t="s">
        <v>426</v>
      </c>
      <c r="AO537" s="604" t="s">
        <v>356</v>
      </c>
      <c r="AP537" s="604">
        <v>32</v>
      </c>
      <c r="AR537" s="538" t="str">
        <f t="shared" si="78"/>
        <v>&lt;20agefetalUnknown</v>
      </c>
      <c r="AS537" s="604">
        <v>2016</v>
      </c>
      <c r="AT537" s="604" t="s">
        <v>339</v>
      </c>
      <c r="AU537" s="604" t="s">
        <v>453</v>
      </c>
      <c r="AV537" s="604" t="s">
        <v>63</v>
      </c>
      <c r="AW537" s="604">
        <v>0</v>
      </c>
      <c r="AX537" s="604">
        <v>2</v>
      </c>
      <c r="AY537" s="606" t="s">
        <v>119</v>
      </c>
      <c r="AZ537" s="604" t="s">
        <v>420</v>
      </c>
      <c r="BB537" s="536" t="str">
        <f t="shared" si="79"/>
        <v>1500-2499bwtbirthsBay of Plenty</v>
      </c>
      <c r="BC537" s="604">
        <v>2016</v>
      </c>
      <c r="BD537" s="604" t="s">
        <v>430</v>
      </c>
      <c r="BE537" s="604" t="s">
        <v>447</v>
      </c>
      <c r="BF537" s="604" t="s">
        <v>91</v>
      </c>
      <c r="BG537" s="604">
        <v>129</v>
      </c>
      <c r="BH537" s="604" t="s">
        <v>445</v>
      </c>
      <c r="BY537" s="553" t="str">
        <f t="shared" si="80"/>
        <v>2006NorthlanddhbSIDS</v>
      </c>
      <c r="BZ537" s="604">
        <v>2006</v>
      </c>
      <c r="CA537" s="604" t="s">
        <v>85</v>
      </c>
      <c r="CB537" s="604" t="s">
        <v>448</v>
      </c>
      <c r="CC537" s="604">
        <v>4</v>
      </c>
      <c r="CD537" s="604" t="s">
        <v>32</v>
      </c>
      <c r="CF537" s="559" t="str">
        <f t="shared" si="81"/>
        <v>5yearsAsian&lt;28gestSIDS</v>
      </c>
      <c r="CG537" s="604" t="s">
        <v>475</v>
      </c>
      <c r="CH537" s="604" t="s">
        <v>355</v>
      </c>
      <c r="CI537" s="604" t="s">
        <v>375</v>
      </c>
      <c r="CJ537" s="604" t="s">
        <v>450</v>
      </c>
      <c r="CK537" s="604">
        <v>0</v>
      </c>
      <c r="CL537" s="604" t="s">
        <v>32</v>
      </c>
    </row>
    <row r="538" spans="9:90">
      <c r="I538" s="578" t="str">
        <f t="shared" si="74"/>
        <v>2009bwt1500-2499Fetal</v>
      </c>
      <c r="J538" s="604">
        <v>2009</v>
      </c>
      <c r="K538" s="604" t="s">
        <v>447</v>
      </c>
      <c r="L538" s="604" t="s">
        <v>430</v>
      </c>
      <c r="M538" s="604">
        <v>52</v>
      </c>
      <c r="N538" s="604">
        <v>3102</v>
      </c>
      <c r="O538" s="604">
        <v>16.8</v>
      </c>
      <c r="P538" s="604" t="s">
        <v>47</v>
      </c>
      <c r="Q538" s="499"/>
      <c r="R538" s="502" t="str">
        <f t="shared" si="75"/>
        <v>2008birthsdhbMidCentral</v>
      </c>
      <c r="S538" s="604">
        <v>2008</v>
      </c>
      <c r="T538" s="604" t="s">
        <v>445</v>
      </c>
      <c r="U538" s="604" t="s">
        <v>448</v>
      </c>
      <c r="V538" s="604" t="s">
        <v>94</v>
      </c>
      <c r="W538" s="604">
        <v>2458</v>
      </c>
      <c r="Y538" s="535" t="str">
        <f t="shared" si="76"/>
        <v>2016gesteth&lt;28Maorifetal</v>
      </c>
      <c r="Z538" s="604">
        <v>2016</v>
      </c>
      <c r="AA538" s="604" t="s">
        <v>450</v>
      </c>
      <c r="AB538" s="604" t="s">
        <v>449</v>
      </c>
      <c r="AC538" s="604" t="s">
        <v>375</v>
      </c>
      <c r="AD538" s="604" t="s">
        <v>129</v>
      </c>
      <c r="AE538" s="604">
        <v>74</v>
      </c>
      <c r="AF538" s="604">
        <v>92</v>
      </c>
      <c r="AG538" s="604">
        <v>445.8</v>
      </c>
      <c r="AH538" s="604" t="s">
        <v>420</v>
      </c>
      <c r="AJ538" s="535" t="str">
        <f t="shared" si="77"/>
        <v>2016gesteth&lt;28Maori</v>
      </c>
      <c r="AK538" s="604">
        <v>2016</v>
      </c>
      <c r="AL538" s="604" t="s">
        <v>450</v>
      </c>
      <c r="AM538" s="604" t="s">
        <v>449</v>
      </c>
      <c r="AN538" s="604" t="s">
        <v>375</v>
      </c>
      <c r="AO538" s="604" t="s">
        <v>129</v>
      </c>
      <c r="AP538" s="604">
        <v>92</v>
      </c>
      <c r="AR538" s="538" t="str">
        <f t="shared" si="78"/>
        <v>20-24agefetalUnknown</v>
      </c>
      <c r="AS538" s="604">
        <v>2016</v>
      </c>
      <c r="AT538" s="604" t="s">
        <v>130</v>
      </c>
      <c r="AU538" s="604" t="s">
        <v>453</v>
      </c>
      <c r="AV538" s="604" t="s">
        <v>63</v>
      </c>
      <c r="AW538" s="604">
        <v>0</v>
      </c>
      <c r="AX538" s="604">
        <v>16</v>
      </c>
      <c r="AY538" s="606" t="s">
        <v>119</v>
      </c>
      <c r="AZ538" s="604" t="s">
        <v>420</v>
      </c>
      <c r="BB538" s="536" t="str">
        <f t="shared" si="79"/>
        <v>2500-4499bwtbirthsBay of Plenty</v>
      </c>
      <c r="BC538" s="604">
        <v>2016</v>
      </c>
      <c r="BD538" s="604" t="s">
        <v>431</v>
      </c>
      <c r="BE538" s="604" t="s">
        <v>447</v>
      </c>
      <c r="BF538" s="604" t="s">
        <v>91</v>
      </c>
      <c r="BG538" s="604">
        <v>2716</v>
      </c>
      <c r="BH538" s="604" t="s">
        <v>445</v>
      </c>
      <c r="BY538" s="553" t="str">
        <f t="shared" si="80"/>
        <v>2006WaitematadhbSIDS</v>
      </c>
      <c r="BZ538" s="604">
        <v>2006</v>
      </c>
      <c r="CA538" s="604" t="s">
        <v>86</v>
      </c>
      <c r="CB538" s="604" t="s">
        <v>448</v>
      </c>
      <c r="CC538" s="604">
        <v>1</v>
      </c>
      <c r="CD538" s="604" t="s">
        <v>32</v>
      </c>
      <c r="CF538" s="559" t="str">
        <f t="shared" si="81"/>
        <v>5yearsEuropean or Other&lt;28gestSIDS</v>
      </c>
      <c r="CG538" s="604" t="s">
        <v>475</v>
      </c>
      <c r="CH538" s="604" t="s">
        <v>356</v>
      </c>
      <c r="CI538" s="604" t="s">
        <v>375</v>
      </c>
      <c r="CJ538" s="604" t="s">
        <v>450</v>
      </c>
      <c r="CK538" s="604">
        <v>0</v>
      </c>
      <c r="CL538" s="604" t="s">
        <v>32</v>
      </c>
    </row>
    <row r="539" spans="9:90">
      <c r="I539" s="578" t="str">
        <f t="shared" si="74"/>
        <v>2009bwt2500-4499Fetal</v>
      </c>
      <c r="J539" s="604">
        <v>2009</v>
      </c>
      <c r="K539" s="604" t="s">
        <v>447</v>
      </c>
      <c r="L539" s="604" t="s">
        <v>431</v>
      </c>
      <c r="M539" s="604">
        <v>120</v>
      </c>
      <c r="N539" s="604">
        <v>57901</v>
      </c>
      <c r="O539" s="604">
        <v>2.1</v>
      </c>
      <c r="P539" s="604" t="s">
        <v>47</v>
      </c>
      <c r="Q539" s="499"/>
      <c r="R539" s="502" t="str">
        <f t="shared" si="75"/>
        <v>2008birthsdhbWhanganui</v>
      </c>
      <c r="S539" s="604">
        <v>2008</v>
      </c>
      <c r="T539" s="604" t="s">
        <v>445</v>
      </c>
      <c r="U539" s="604" t="s">
        <v>448</v>
      </c>
      <c r="V539" s="604" t="s">
        <v>95</v>
      </c>
      <c r="W539" s="604">
        <v>950</v>
      </c>
      <c r="Y539" s="535" t="str">
        <f t="shared" si="76"/>
        <v>2016gesteth28-31Maorifetal</v>
      </c>
      <c r="Z539" s="604">
        <v>2016</v>
      </c>
      <c r="AA539" s="604" t="s">
        <v>450</v>
      </c>
      <c r="AB539" s="604" t="s">
        <v>449</v>
      </c>
      <c r="AC539" s="604" t="s">
        <v>395</v>
      </c>
      <c r="AD539" s="604" t="s">
        <v>129</v>
      </c>
      <c r="AE539" s="604">
        <v>4</v>
      </c>
      <c r="AF539" s="604">
        <v>139</v>
      </c>
      <c r="AG539" s="604">
        <v>28</v>
      </c>
      <c r="AH539" s="604" t="s">
        <v>420</v>
      </c>
      <c r="AJ539" s="535" t="str">
        <f t="shared" si="77"/>
        <v>2016gesteth28-31Maori</v>
      </c>
      <c r="AK539" s="604">
        <v>2016</v>
      </c>
      <c r="AL539" s="604" t="s">
        <v>450</v>
      </c>
      <c r="AM539" s="604" t="s">
        <v>449</v>
      </c>
      <c r="AN539" s="604" t="s">
        <v>395</v>
      </c>
      <c r="AO539" s="604" t="s">
        <v>129</v>
      </c>
      <c r="AP539" s="604">
        <v>139</v>
      </c>
      <c r="AR539" s="538" t="str">
        <f t="shared" si="78"/>
        <v>35-39agefetalUnknown</v>
      </c>
      <c r="AS539" s="604">
        <v>2016</v>
      </c>
      <c r="AT539" s="604" t="s">
        <v>133</v>
      </c>
      <c r="AU539" s="604" t="s">
        <v>453</v>
      </c>
      <c r="AV539" s="604" t="s">
        <v>63</v>
      </c>
      <c r="AW539" s="604">
        <v>0</v>
      </c>
      <c r="AX539" s="604">
        <v>22</v>
      </c>
      <c r="AY539" s="606" t="s">
        <v>119</v>
      </c>
      <c r="AZ539" s="604" t="s">
        <v>420</v>
      </c>
      <c r="BB539" s="536" t="str">
        <f t="shared" si="79"/>
        <v>4500+bwtbirthsBay of Plenty</v>
      </c>
      <c r="BC539" s="604">
        <v>2016</v>
      </c>
      <c r="BD539" s="604" t="s">
        <v>432</v>
      </c>
      <c r="BE539" s="604" t="s">
        <v>447</v>
      </c>
      <c r="BF539" s="604" t="s">
        <v>91</v>
      </c>
      <c r="BG539" s="604">
        <v>66</v>
      </c>
      <c r="BH539" s="604" t="s">
        <v>445</v>
      </c>
      <c r="BY539" s="553" t="str">
        <f t="shared" si="80"/>
        <v>2006AucklanddhbSIDS</v>
      </c>
      <c r="BZ539" s="604">
        <v>2006</v>
      </c>
      <c r="CA539" s="604" t="s">
        <v>87</v>
      </c>
      <c r="CB539" s="604" t="s">
        <v>448</v>
      </c>
      <c r="CC539" s="604">
        <v>0</v>
      </c>
      <c r="CD539" s="604" t="s">
        <v>32</v>
      </c>
      <c r="CF539" s="559" t="str">
        <f t="shared" si="81"/>
        <v>5yearsMaori&lt;28gestSIDS</v>
      </c>
      <c r="CG539" s="604" t="s">
        <v>475</v>
      </c>
      <c r="CH539" s="604" t="s">
        <v>129</v>
      </c>
      <c r="CI539" s="604" t="s">
        <v>375</v>
      </c>
      <c r="CJ539" s="604" t="s">
        <v>450</v>
      </c>
      <c r="CK539" s="604">
        <v>0</v>
      </c>
      <c r="CL539" s="604" t="s">
        <v>32</v>
      </c>
    </row>
    <row r="540" spans="9:90">
      <c r="I540" s="578" t="str">
        <f t="shared" si="74"/>
        <v>2009bwt4500+Fetal</v>
      </c>
      <c r="J540" s="604">
        <v>2009</v>
      </c>
      <c r="K540" s="604" t="s">
        <v>447</v>
      </c>
      <c r="L540" s="604" t="s">
        <v>432</v>
      </c>
      <c r="M540" s="604">
        <v>1</v>
      </c>
      <c r="N540" s="604">
        <v>1694</v>
      </c>
      <c r="O540" s="604">
        <v>0.6</v>
      </c>
      <c r="P540" s="604" t="s">
        <v>47</v>
      </c>
      <c r="Q540" s="499"/>
      <c r="R540" s="502" t="str">
        <f t="shared" si="75"/>
        <v>2008birthsdhbCapital &amp; Coast</v>
      </c>
      <c r="S540" s="604">
        <v>2008</v>
      </c>
      <c r="T540" s="604" t="s">
        <v>445</v>
      </c>
      <c r="U540" s="604" t="s">
        <v>448</v>
      </c>
      <c r="V540" s="604" t="s">
        <v>96</v>
      </c>
      <c r="W540" s="604">
        <v>4133</v>
      </c>
      <c r="Y540" s="535" t="str">
        <f t="shared" si="76"/>
        <v>2016gesteth32-36Maorifetal</v>
      </c>
      <c r="Z540" s="604">
        <v>2016</v>
      </c>
      <c r="AA540" s="604" t="s">
        <v>450</v>
      </c>
      <c r="AB540" s="604" t="s">
        <v>449</v>
      </c>
      <c r="AC540" s="604" t="s">
        <v>136</v>
      </c>
      <c r="AD540" s="604" t="s">
        <v>129</v>
      </c>
      <c r="AE540" s="604">
        <v>18</v>
      </c>
      <c r="AF540" s="604">
        <v>1193</v>
      </c>
      <c r="AG540" s="604">
        <v>14.9</v>
      </c>
      <c r="AH540" s="604" t="s">
        <v>420</v>
      </c>
      <c r="AJ540" s="535" t="str">
        <f t="shared" si="77"/>
        <v>2016gesteth32-36Maori</v>
      </c>
      <c r="AK540" s="604">
        <v>2016</v>
      </c>
      <c r="AL540" s="604" t="s">
        <v>450</v>
      </c>
      <c r="AM540" s="604" t="s">
        <v>449</v>
      </c>
      <c r="AN540" s="604" t="s">
        <v>136</v>
      </c>
      <c r="AO540" s="604" t="s">
        <v>129</v>
      </c>
      <c r="AP540" s="604">
        <v>1193</v>
      </c>
      <c r="AR540" s="538" t="str">
        <f t="shared" si="78"/>
        <v>40+agefetalUnknown</v>
      </c>
      <c r="AS540" s="604">
        <v>2016</v>
      </c>
      <c r="AT540" s="604" t="s">
        <v>134</v>
      </c>
      <c r="AU540" s="604" t="s">
        <v>453</v>
      </c>
      <c r="AV540" s="604" t="s">
        <v>63</v>
      </c>
      <c r="AW540" s="604">
        <v>0</v>
      </c>
      <c r="AX540" s="604">
        <v>5</v>
      </c>
      <c r="AY540" s="606" t="s">
        <v>119</v>
      </c>
      <c r="AZ540" s="604" t="s">
        <v>420</v>
      </c>
      <c r="BB540" s="536" t="str">
        <f t="shared" si="79"/>
        <v>UnknownbwtbirthsBay of Plenty</v>
      </c>
      <c r="BC540" s="604">
        <v>2016</v>
      </c>
      <c r="BD540" s="604" t="s">
        <v>63</v>
      </c>
      <c r="BE540" s="604" t="s">
        <v>447</v>
      </c>
      <c r="BF540" s="604" t="s">
        <v>91</v>
      </c>
      <c r="BG540" s="604">
        <v>4</v>
      </c>
      <c r="BH540" s="604" t="s">
        <v>445</v>
      </c>
      <c r="BY540" s="553" t="str">
        <f t="shared" si="80"/>
        <v>2006Counties ManukaudhbSIDS</v>
      </c>
      <c r="BZ540" s="604">
        <v>2006</v>
      </c>
      <c r="CA540" s="604" t="s">
        <v>88</v>
      </c>
      <c r="CB540" s="604" t="s">
        <v>448</v>
      </c>
      <c r="CC540" s="604">
        <v>7</v>
      </c>
      <c r="CD540" s="604" t="s">
        <v>32</v>
      </c>
      <c r="CF540" s="559" t="str">
        <f t="shared" si="81"/>
        <v>5yearsPacific peoples&lt;28gestSIDS</v>
      </c>
      <c r="CG540" s="604" t="s">
        <v>475</v>
      </c>
      <c r="CH540" s="604" t="s">
        <v>320</v>
      </c>
      <c r="CI540" s="604" t="s">
        <v>375</v>
      </c>
      <c r="CJ540" s="604" t="s">
        <v>450</v>
      </c>
      <c r="CK540" s="604">
        <v>0</v>
      </c>
      <c r="CL540" s="604" t="s">
        <v>32</v>
      </c>
    </row>
    <row r="541" spans="9:90">
      <c r="I541" s="578" t="str">
        <f t="shared" si="74"/>
        <v>2009bwtUnknownFetal</v>
      </c>
      <c r="J541" s="604">
        <v>2009</v>
      </c>
      <c r="K541" s="604" t="s">
        <v>447</v>
      </c>
      <c r="L541" s="604" t="s">
        <v>63</v>
      </c>
      <c r="M541" s="604">
        <v>13</v>
      </c>
      <c r="N541" s="604">
        <v>102</v>
      </c>
      <c r="O541" s="604" t="s">
        <v>119</v>
      </c>
      <c r="P541" s="604" t="s">
        <v>47</v>
      </c>
      <c r="Q541" s="499"/>
      <c r="R541" s="502" t="str">
        <f t="shared" si="75"/>
        <v>2008birthsdhbHutt Valley</v>
      </c>
      <c r="S541" s="604">
        <v>2008</v>
      </c>
      <c r="T541" s="604" t="s">
        <v>445</v>
      </c>
      <c r="U541" s="604" t="s">
        <v>448</v>
      </c>
      <c r="V541" s="604" t="s">
        <v>97</v>
      </c>
      <c r="W541" s="604">
        <v>2249</v>
      </c>
      <c r="Y541" s="535" t="str">
        <f t="shared" si="76"/>
        <v>2016gesteth37-41Maorifetal</v>
      </c>
      <c r="Z541" s="604">
        <v>2016</v>
      </c>
      <c r="AA541" s="604" t="s">
        <v>450</v>
      </c>
      <c r="AB541" s="604" t="s">
        <v>449</v>
      </c>
      <c r="AC541" s="604" t="s">
        <v>137</v>
      </c>
      <c r="AD541" s="604" t="s">
        <v>129</v>
      </c>
      <c r="AE541" s="604">
        <v>25</v>
      </c>
      <c r="AF541" s="604">
        <v>15611</v>
      </c>
      <c r="AG541" s="604">
        <v>1.6</v>
      </c>
      <c r="AH541" s="604" t="s">
        <v>420</v>
      </c>
      <c r="AJ541" s="535" t="str">
        <f t="shared" si="77"/>
        <v>2016gesteth37-41Maori</v>
      </c>
      <c r="AK541" s="604">
        <v>2016</v>
      </c>
      <c r="AL541" s="604" t="s">
        <v>450</v>
      </c>
      <c r="AM541" s="604" t="s">
        <v>449</v>
      </c>
      <c r="AN541" s="604" t="s">
        <v>137</v>
      </c>
      <c r="AO541" s="604" t="s">
        <v>129</v>
      </c>
      <c r="AP541" s="604">
        <v>15611</v>
      </c>
      <c r="AR541" s="538" t="str">
        <f t="shared" si="78"/>
        <v>Pacific peoplesethfetalWaikato</v>
      </c>
      <c r="AS541" s="604">
        <v>2016</v>
      </c>
      <c r="AT541" s="604" t="s">
        <v>320</v>
      </c>
      <c r="AU541" s="604" t="s">
        <v>449</v>
      </c>
      <c r="AV541" s="604" t="s">
        <v>89</v>
      </c>
      <c r="AW541" s="604">
        <v>0</v>
      </c>
      <c r="AX541" s="604">
        <v>217</v>
      </c>
      <c r="AY541" s="606">
        <v>0</v>
      </c>
      <c r="AZ541" s="604" t="s">
        <v>420</v>
      </c>
      <c r="BB541" s="536" t="str">
        <f t="shared" si="79"/>
        <v>500-999bwtbirthsTairawhiti</v>
      </c>
      <c r="BC541" s="604">
        <v>2016</v>
      </c>
      <c r="BD541" s="604" t="s">
        <v>428</v>
      </c>
      <c r="BE541" s="604" t="s">
        <v>447</v>
      </c>
      <c r="BF541" s="604" t="s">
        <v>433</v>
      </c>
      <c r="BG541" s="604">
        <v>2</v>
      </c>
      <c r="BH541" s="604" t="s">
        <v>445</v>
      </c>
      <c r="BY541" s="553" t="str">
        <f t="shared" si="80"/>
        <v>2006WaikatodhbSIDS</v>
      </c>
      <c r="BZ541" s="604">
        <v>2006</v>
      </c>
      <c r="CA541" s="604" t="s">
        <v>89</v>
      </c>
      <c r="CB541" s="604" t="s">
        <v>448</v>
      </c>
      <c r="CC541" s="604">
        <v>11</v>
      </c>
      <c r="CD541" s="604" t="s">
        <v>32</v>
      </c>
      <c r="CF541" s="559" t="str">
        <f t="shared" si="81"/>
        <v>5yearsAsian28-31gestSIDS</v>
      </c>
      <c r="CG541" s="604" t="s">
        <v>475</v>
      </c>
      <c r="CH541" s="604" t="s">
        <v>355</v>
      </c>
      <c r="CI541" s="604" t="s">
        <v>395</v>
      </c>
      <c r="CJ541" s="604" t="s">
        <v>450</v>
      </c>
      <c r="CK541" s="604">
        <v>0</v>
      </c>
      <c r="CL541" s="604" t="s">
        <v>32</v>
      </c>
    </row>
    <row r="542" spans="9:90">
      <c r="I542" s="578" t="str">
        <f t="shared" si="74"/>
        <v>2010bwt&lt;500Fetal</v>
      </c>
      <c r="J542" s="604">
        <v>2010</v>
      </c>
      <c r="K542" s="604" t="s">
        <v>447</v>
      </c>
      <c r="L542" s="604" t="s">
        <v>427</v>
      </c>
      <c r="M542" s="604">
        <v>168</v>
      </c>
      <c r="N542" s="604">
        <v>237</v>
      </c>
      <c r="O542" s="604">
        <v>708.9</v>
      </c>
      <c r="P542" s="604" t="s">
        <v>47</v>
      </c>
      <c r="Q542" s="499"/>
      <c r="R542" s="502" t="str">
        <f t="shared" si="75"/>
        <v>2008birthsdhbWairarapa</v>
      </c>
      <c r="S542" s="604">
        <v>2008</v>
      </c>
      <c r="T542" s="604" t="s">
        <v>445</v>
      </c>
      <c r="U542" s="604" t="s">
        <v>448</v>
      </c>
      <c r="V542" s="604" t="s">
        <v>98</v>
      </c>
      <c r="W542" s="604">
        <v>530</v>
      </c>
      <c r="Y542" s="535" t="str">
        <f t="shared" si="76"/>
        <v>2016gesteth42+Maorifetal</v>
      </c>
      <c r="Z542" s="604">
        <v>2016</v>
      </c>
      <c r="AA542" s="604" t="s">
        <v>450</v>
      </c>
      <c r="AB542" s="604" t="s">
        <v>449</v>
      </c>
      <c r="AC542" s="604" t="s">
        <v>138</v>
      </c>
      <c r="AD542" s="604" t="s">
        <v>129</v>
      </c>
      <c r="AE542" s="604">
        <v>0</v>
      </c>
      <c r="AF542" s="604">
        <v>281</v>
      </c>
      <c r="AG542" s="604">
        <v>0</v>
      </c>
      <c r="AH542" s="604" t="s">
        <v>420</v>
      </c>
      <c r="AJ542" s="535" t="str">
        <f t="shared" si="77"/>
        <v>2016gesteth42+Maori</v>
      </c>
      <c r="AK542" s="604">
        <v>2016</v>
      </c>
      <c r="AL542" s="604" t="s">
        <v>450</v>
      </c>
      <c r="AM542" s="604" t="s">
        <v>449</v>
      </c>
      <c r="AN542" s="604" t="s">
        <v>138</v>
      </c>
      <c r="AO542" s="604" t="s">
        <v>129</v>
      </c>
      <c r="AP542" s="604">
        <v>281</v>
      </c>
      <c r="AR542" s="538" t="str">
        <f t="shared" si="78"/>
        <v>Pacific peoplesethfetalLakes</v>
      </c>
      <c r="AS542" s="604">
        <v>2016</v>
      </c>
      <c r="AT542" s="604" t="s">
        <v>320</v>
      </c>
      <c r="AU542" s="604" t="s">
        <v>449</v>
      </c>
      <c r="AV542" s="604" t="s">
        <v>90</v>
      </c>
      <c r="AW542" s="604">
        <v>0</v>
      </c>
      <c r="AX542" s="604">
        <v>63</v>
      </c>
      <c r="AY542" s="606">
        <v>0</v>
      </c>
      <c r="AZ542" s="604" t="s">
        <v>420</v>
      </c>
      <c r="BB542" s="536" t="str">
        <f t="shared" si="79"/>
        <v>1000-1499bwtbirthsTairawhiti</v>
      </c>
      <c r="BC542" s="604">
        <v>2016</v>
      </c>
      <c r="BD542" s="604" t="s">
        <v>429</v>
      </c>
      <c r="BE542" s="604" t="s">
        <v>447</v>
      </c>
      <c r="BF542" s="604" t="s">
        <v>433</v>
      </c>
      <c r="BG542" s="604">
        <v>5</v>
      </c>
      <c r="BH542" s="604" t="s">
        <v>445</v>
      </c>
      <c r="BY542" s="553" t="str">
        <f t="shared" si="80"/>
        <v>2006LakesdhbSIDS</v>
      </c>
      <c r="BZ542" s="604">
        <v>2006</v>
      </c>
      <c r="CA542" s="604" t="s">
        <v>90</v>
      </c>
      <c r="CB542" s="604" t="s">
        <v>448</v>
      </c>
      <c r="CC542" s="604">
        <v>2</v>
      </c>
      <c r="CD542" s="604" t="s">
        <v>32</v>
      </c>
      <c r="CF542" s="559" t="str">
        <f t="shared" si="81"/>
        <v>5yearsEuropean or Other28-31gestSIDS</v>
      </c>
      <c r="CG542" s="604" t="s">
        <v>475</v>
      </c>
      <c r="CH542" s="604" t="s">
        <v>356</v>
      </c>
      <c r="CI542" s="604" t="s">
        <v>395</v>
      </c>
      <c r="CJ542" s="604" t="s">
        <v>450</v>
      </c>
      <c r="CK542" s="604">
        <v>1</v>
      </c>
      <c r="CL542" s="604" t="s">
        <v>32</v>
      </c>
    </row>
    <row r="543" spans="9:90">
      <c r="I543" s="578" t="str">
        <f t="shared" si="74"/>
        <v>2010bwt500-999Fetal</v>
      </c>
      <c r="J543" s="604">
        <v>2010</v>
      </c>
      <c r="K543" s="604" t="s">
        <v>447</v>
      </c>
      <c r="L543" s="604" t="s">
        <v>428</v>
      </c>
      <c r="M543" s="604">
        <v>102</v>
      </c>
      <c r="N543" s="604">
        <v>332</v>
      </c>
      <c r="O543" s="604">
        <v>307.2</v>
      </c>
      <c r="P543" s="604" t="s">
        <v>47</v>
      </c>
      <c r="Q543" s="499"/>
      <c r="R543" s="502" t="str">
        <f t="shared" si="75"/>
        <v>2008birthsdhbNelson Marlborough</v>
      </c>
      <c r="S543" s="604">
        <v>2008</v>
      </c>
      <c r="T543" s="604" t="s">
        <v>445</v>
      </c>
      <c r="U543" s="604" t="s">
        <v>448</v>
      </c>
      <c r="V543" s="604" t="s">
        <v>99</v>
      </c>
      <c r="W543" s="604">
        <v>1756</v>
      </c>
      <c r="Y543" s="535" t="str">
        <f t="shared" si="76"/>
        <v>2016gestethUnknownMaorifetal</v>
      </c>
      <c r="Z543" s="604">
        <v>2016</v>
      </c>
      <c r="AA543" s="604" t="s">
        <v>450</v>
      </c>
      <c r="AB543" s="604" t="s">
        <v>449</v>
      </c>
      <c r="AC543" s="604" t="s">
        <v>63</v>
      </c>
      <c r="AD543" s="604" t="s">
        <v>129</v>
      </c>
      <c r="AE543" s="604">
        <v>1</v>
      </c>
      <c r="AF543" s="604">
        <v>13</v>
      </c>
      <c r="AG543" s="604" t="s">
        <v>119</v>
      </c>
      <c r="AH543" s="604" t="s">
        <v>420</v>
      </c>
      <c r="AJ543" s="535" t="str">
        <f t="shared" si="77"/>
        <v>2016gestethUnknownMaori</v>
      </c>
      <c r="AK543" s="604">
        <v>2016</v>
      </c>
      <c r="AL543" s="604" t="s">
        <v>450</v>
      </c>
      <c r="AM543" s="604" t="s">
        <v>449</v>
      </c>
      <c r="AN543" s="604" t="s">
        <v>63</v>
      </c>
      <c r="AO543" s="604" t="s">
        <v>129</v>
      </c>
      <c r="AP543" s="604">
        <v>13</v>
      </c>
      <c r="AR543" s="538" t="str">
        <f t="shared" si="78"/>
        <v>Pacific peoplesethfetalTairawhiti</v>
      </c>
      <c r="AS543" s="604">
        <v>2016</v>
      </c>
      <c r="AT543" s="604" t="s">
        <v>320</v>
      </c>
      <c r="AU543" s="604" t="s">
        <v>449</v>
      </c>
      <c r="AV543" s="604" t="s">
        <v>433</v>
      </c>
      <c r="AW543" s="604">
        <v>0</v>
      </c>
      <c r="AX543" s="604">
        <v>26</v>
      </c>
      <c r="AY543" s="606">
        <v>0</v>
      </c>
      <c r="AZ543" s="604" t="s">
        <v>420</v>
      </c>
      <c r="BB543" s="536" t="str">
        <f t="shared" si="79"/>
        <v>1500-2499bwtbirthsTairawhiti</v>
      </c>
      <c r="BC543" s="604">
        <v>2016</v>
      </c>
      <c r="BD543" s="604" t="s">
        <v>430</v>
      </c>
      <c r="BE543" s="604" t="s">
        <v>447</v>
      </c>
      <c r="BF543" s="604" t="s">
        <v>433</v>
      </c>
      <c r="BG543" s="604">
        <v>52</v>
      </c>
      <c r="BH543" s="604" t="s">
        <v>445</v>
      </c>
      <c r="BY543" s="553" t="str">
        <f t="shared" si="80"/>
        <v>2006Bay of PlentydhbSIDS</v>
      </c>
      <c r="BZ543" s="604">
        <v>2006</v>
      </c>
      <c r="CA543" s="604" t="s">
        <v>91</v>
      </c>
      <c r="CB543" s="604" t="s">
        <v>448</v>
      </c>
      <c r="CC543" s="604">
        <v>1</v>
      </c>
      <c r="CD543" s="604" t="s">
        <v>32</v>
      </c>
      <c r="CF543" s="559" t="str">
        <f t="shared" si="81"/>
        <v>5yearsMaori28-31gestSIDS</v>
      </c>
      <c r="CG543" s="604" t="s">
        <v>475</v>
      </c>
      <c r="CH543" s="604" t="s">
        <v>129</v>
      </c>
      <c r="CI543" s="604" t="s">
        <v>395</v>
      </c>
      <c r="CJ543" s="604" t="s">
        <v>450</v>
      </c>
      <c r="CK543" s="604">
        <v>0</v>
      </c>
      <c r="CL543" s="604" t="s">
        <v>32</v>
      </c>
    </row>
    <row r="544" spans="9:90">
      <c r="I544" s="578" t="str">
        <f t="shared" si="74"/>
        <v>2010bwt1000-1499Fetal</v>
      </c>
      <c r="J544" s="604">
        <v>2010</v>
      </c>
      <c r="K544" s="604" t="s">
        <v>447</v>
      </c>
      <c r="L544" s="604" t="s">
        <v>429</v>
      </c>
      <c r="M544" s="604">
        <v>45</v>
      </c>
      <c r="N544" s="604">
        <v>422</v>
      </c>
      <c r="O544" s="604">
        <v>106.6</v>
      </c>
      <c r="P544" s="604" t="s">
        <v>47</v>
      </c>
      <c r="Q544" s="499"/>
      <c r="R544" s="502" t="str">
        <f t="shared" si="75"/>
        <v>2008birthsdhbWest Coast</v>
      </c>
      <c r="S544" s="604">
        <v>2008</v>
      </c>
      <c r="T544" s="604" t="s">
        <v>445</v>
      </c>
      <c r="U544" s="604" t="s">
        <v>448</v>
      </c>
      <c r="V544" s="604" t="s">
        <v>100</v>
      </c>
      <c r="W544" s="604">
        <v>452</v>
      </c>
      <c r="Y544" s="535" t="str">
        <f t="shared" si="76"/>
        <v>2016gesteth&lt;28Pacific peoplesfetal</v>
      </c>
      <c r="Z544" s="604">
        <v>2016</v>
      </c>
      <c r="AA544" s="604" t="s">
        <v>450</v>
      </c>
      <c r="AB544" s="604" t="s">
        <v>449</v>
      </c>
      <c r="AC544" s="604" t="s">
        <v>375</v>
      </c>
      <c r="AD544" s="604" t="s">
        <v>320</v>
      </c>
      <c r="AE544" s="604">
        <v>18</v>
      </c>
      <c r="AF544" s="604">
        <v>36</v>
      </c>
      <c r="AG544" s="604">
        <v>333.3</v>
      </c>
      <c r="AH544" s="604" t="s">
        <v>420</v>
      </c>
      <c r="AJ544" s="535" t="str">
        <f t="shared" si="77"/>
        <v>2016gesteth&lt;28Pacific peoples</v>
      </c>
      <c r="AK544" s="604">
        <v>2016</v>
      </c>
      <c r="AL544" s="604" t="s">
        <v>450</v>
      </c>
      <c r="AM544" s="604" t="s">
        <v>449</v>
      </c>
      <c r="AN544" s="604" t="s">
        <v>375</v>
      </c>
      <c r="AO544" s="604" t="s">
        <v>320</v>
      </c>
      <c r="AP544" s="604">
        <v>36</v>
      </c>
      <c r="AR544" s="538" t="str">
        <f t="shared" si="78"/>
        <v>AsianethfetalTairawhiti</v>
      </c>
      <c r="AS544" s="604">
        <v>2016</v>
      </c>
      <c r="AT544" s="604" t="s">
        <v>355</v>
      </c>
      <c r="AU544" s="604" t="s">
        <v>449</v>
      </c>
      <c r="AV544" s="604" t="s">
        <v>433</v>
      </c>
      <c r="AW544" s="604">
        <v>0</v>
      </c>
      <c r="AX544" s="604">
        <v>14</v>
      </c>
      <c r="AY544" s="606">
        <v>0</v>
      </c>
      <c r="AZ544" s="604" t="s">
        <v>420</v>
      </c>
      <c r="BB544" s="536" t="str">
        <f t="shared" si="79"/>
        <v>2500-4499bwtbirthsTairawhiti</v>
      </c>
      <c r="BC544" s="604">
        <v>2016</v>
      </c>
      <c r="BD544" s="604" t="s">
        <v>431</v>
      </c>
      <c r="BE544" s="604" t="s">
        <v>447</v>
      </c>
      <c r="BF544" s="604" t="s">
        <v>433</v>
      </c>
      <c r="BG544" s="604">
        <v>685</v>
      </c>
      <c r="BH544" s="604" t="s">
        <v>445</v>
      </c>
      <c r="BY544" s="553" t="str">
        <f t="shared" si="80"/>
        <v>2006TairawhitidhbSIDS</v>
      </c>
      <c r="BZ544" s="604">
        <v>2006</v>
      </c>
      <c r="CA544" s="604" t="s">
        <v>433</v>
      </c>
      <c r="CB544" s="604" t="s">
        <v>448</v>
      </c>
      <c r="CC544" s="604">
        <v>2</v>
      </c>
      <c r="CD544" s="604" t="s">
        <v>32</v>
      </c>
      <c r="CF544" s="559" t="str">
        <f t="shared" si="81"/>
        <v>5yearsPacific peoples28-31gestSIDS</v>
      </c>
      <c r="CG544" s="604" t="s">
        <v>475</v>
      </c>
      <c r="CH544" s="604" t="s">
        <v>320</v>
      </c>
      <c r="CI544" s="604" t="s">
        <v>395</v>
      </c>
      <c r="CJ544" s="604" t="s">
        <v>450</v>
      </c>
      <c r="CK544" s="604">
        <v>1</v>
      </c>
      <c r="CL544" s="604" t="s">
        <v>32</v>
      </c>
    </row>
    <row r="545" spans="9:90">
      <c r="I545" s="578" t="str">
        <f t="shared" si="74"/>
        <v>2010bwt1500-2499Fetal</v>
      </c>
      <c r="J545" s="604">
        <v>2010</v>
      </c>
      <c r="K545" s="604" t="s">
        <v>447</v>
      </c>
      <c r="L545" s="604" t="s">
        <v>430</v>
      </c>
      <c r="M545" s="604">
        <v>54</v>
      </c>
      <c r="N545" s="604">
        <v>3158</v>
      </c>
      <c r="O545" s="604">
        <v>17.100000000000001</v>
      </c>
      <c r="P545" s="604" t="s">
        <v>47</v>
      </c>
      <c r="Q545" s="499"/>
      <c r="R545" s="502" t="str">
        <f t="shared" si="75"/>
        <v>2008birthsdhbCanterbury</v>
      </c>
      <c r="S545" s="604">
        <v>2008</v>
      </c>
      <c r="T545" s="604" t="s">
        <v>445</v>
      </c>
      <c r="U545" s="604" t="s">
        <v>448</v>
      </c>
      <c r="V545" s="604" t="s">
        <v>101</v>
      </c>
      <c r="W545" s="604">
        <v>6665</v>
      </c>
      <c r="Y545" s="535" t="str">
        <f t="shared" si="76"/>
        <v>2016gesteth28-31Pacific peoplesfetal</v>
      </c>
      <c r="Z545" s="604">
        <v>2016</v>
      </c>
      <c r="AA545" s="604" t="s">
        <v>450</v>
      </c>
      <c r="AB545" s="604" t="s">
        <v>449</v>
      </c>
      <c r="AC545" s="604" t="s">
        <v>395</v>
      </c>
      <c r="AD545" s="604" t="s">
        <v>320</v>
      </c>
      <c r="AE545" s="604">
        <v>6</v>
      </c>
      <c r="AF545" s="604">
        <v>29</v>
      </c>
      <c r="AG545" s="604">
        <v>171.4</v>
      </c>
      <c r="AH545" s="604" t="s">
        <v>420</v>
      </c>
      <c r="AJ545" s="535" t="str">
        <f t="shared" si="77"/>
        <v>2016gesteth28-31Pacific peoples</v>
      </c>
      <c r="AK545" s="604">
        <v>2016</v>
      </c>
      <c r="AL545" s="604" t="s">
        <v>450</v>
      </c>
      <c r="AM545" s="604" t="s">
        <v>449</v>
      </c>
      <c r="AN545" s="604" t="s">
        <v>395</v>
      </c>
      <c r="AO545" s="604" t="s">
        <v>320</v>
      </c>
      <c r="AP545" s="604">
        <v>29</v>
      </c>
      <c r="AR545" s="538" t="str">
        <f t="shared" si="78"/>
        <v>Pacific peoplesethfetalHawke's Bay</v>
      </c>
      <c r="AS545" s="604">
        <v>2016</v>
      </c>
      <c r="AT545" s="604" t="s">
        <v>320</v>
      </c>
      <c r="AU545" s="604" t="s">
        <v>449</v>
      </c>
      <c r="AV545" s="604" t="s">
        <v>92</v>
      </c>
      <c r="AW545" s="604">
        <v>0</v>
      </c>
      <c r="AX545" s="604">
        <v>148</v>
      </c>
      <c r="AY545" s="606">
        <v>0</v>
      </c>
      <c r="AZ545" s="604" t="s">
        <v>420</v>
      </c>
      <c r="BB545" s="536" t="str">
        <f t="shared" si="79"/>
        <v>4500+bwtbirthsTairawhiti</v>
      </c>
      <c r="BC545" s="604">
        <v>2016</v>
      </c>
      <c r="BD545" s="604" t="s">
        <v>432</v>
      </c>
      <c r="BE545" s="604" t="s">
        <v>447</v>
      </c>
      <c r="BF545" s="604" t="s">
        <v>433</v>
      </c>
      <c r="BG545" s="604">
        <v>25</v>
      </c>
      <c r="BH545" s="604" t="s">
        <v>445</v>
      </c>
      <c r="BY545" s="553" t="str">
        <f t="shared" si="80"/>
        <v>2006Hawke's BaydhbSIDS</v>
      </c>
      <c r="BZ545" s="604">
        <v>2006</v>
      </c>
      <c r="CA545" s="604" t="s">
        <v>92</v>
      </c>
      <c r="CB545" s="604" t="s">
        <v>448</v>
      </c>
      <c r="CC545" s="604">
        <v>3</v>
      </c>
      <c r="CD545" s="604" t="s">
        <v>32</v>
      </c>
      <c r="CF545" s="559" t="str">
        <f t="shared" si="81"/>
        <v>5yearsAsian32-36gestSIDS</v>
      </c>
      <c r="CG545" s="604" t="s">
        <v>475</v>
      </c>
      <c r="CH545" s="604" t="s">
        <v>355</v>
      </c>
      <c r="CI545" s="604" t="s">
        <v>136</v>
      </c>
      <c r="CJ545" s="604" t="s">
        <v>450</v>
      </c>
      <c r="CK545" s="604">
        <v>0</v>
      </c>
      <c r="CL545" s="604" t="s">
        <v>32</v>
      </c>
    </row>
    <row r="546" spans="9:90">
      <c r="I546" s="578" t="str">
        <f t="shared" si="74"/>
        <v>2010bwt2500-4499Fetal</v>
      </c>
      <c r="J546" s="604">
        <v>2010</v>
      </c>
      <c r="K546" s="604" t="s">
        <v>447</v>
      </c>
      <c r="L546" s="604" t="s">
        <v>431</v>
      </c>
      <c r="M546" s="604">
        <v>91</v>
      </c>
      <c r="N546" s="604">
        <v>59281</v>
      </c>
      <c r="O546" s="604">
        <v>1.5</v>
      </c>
      <c r="P546" s="604" t="s">
        <v>47</v>
      </c>
      <c r="Q546" s="499"/>
      <c r="R546" s="502" t="str">
        <f t="shared" si="75"/>
        <v>2008birthsdhbSouth Canterbury</v>
      </c>
      <c r="S546" s="604">
        <v>2008</v>
      </c>
      <c r="T546" s="604" t="s">
        <v>445</v>
      </c>
      <c r="U546" s="604" t="s">
        <v>448</v>
      </c>
      <c r="V546" s="604" t="s">
        <v>102</v>
      </c>
      <c r="W546" s="604">
        <v>643</v>
      </c>
      <c r="Y546" s="535" t="str">
        <f t="shared" si="76"/>
        <v>2016gesteth32-36Pacific peoplesfetal</v>
      </c>
      <c r="Z546" s="604">
        <v>2016</v>
      </c>
      <c r="AA546" s="604" t="s">
        <v>450</v>
      </c>
      <c r="AB546" s="604" t="s">
        <v>449</v>
      </c>
      <c r="AC546" s="604" t="s">
        <v>136</v>
      </c>
      <c r="AD546" s="604" t="s">
        <v>320</v>
      </c>
      <c r="AE546" s="604">
        <v>8</v>
      </c>
      <c r="AF546" s="604">
        <v>376</v>
      </c>
      <c r="AG546" s="604">
        <v>20.8</v>
      </c>
      <c r="AH546" s="604" t="s">
        <v>420</v>
      </c>
      <c r="AJ546" s="535" t="str">
        <f t="shared" si="77"/>
        <v>2016gesteth32-36Pacific peoples</v>
      </c>
      <c r="AK546" s="604">
        <v>2016</v>
      </c>
      <c r="AL546" s="604" t="s">
        <v>450</v>
      </c>
      <c r="AM546" s="604" t="s">
        <v>449</v>
      </c>
      <c r="AN546" s="604" t="s">
        <v>136</v>
      </c>
      <c r="AO546" s="604" t="s">
        <v>320</v>
      </c>
      <c r="AP546" s="604">
        <v>376</v>
      </c>
      <c r="AR546" s="538" t="str">
        <f t="shared" si="78"/>
        <v>Pacific peoplesethfetalTaranaki</v>
      </c>
      <c r="AS546" s="604">
        <v>2016</v>
      </c>
      <c r="AT546" s="604" t="s">
        <v>320</v>
      </c>
      <c r="AU546" s="604" t="s">
        <v>449</v>
      </c>
      <c r="AV546" s="604" t="s">
        <v>93</v>
      </c>
      <c r="AW546" s="604">
        <v>0</v>
      </c>
      <c r="AX546" s="604">
        <v>32</v>
      </c>
      <c r="AY546" s="606">
        <v>0</v>
      </c>
      <c r="AZ546" s="604" t="s">
        <v>420</v>
      </c>
      <c r="BB546" s="536" t="str">
        <f t="shared" si="79"/>
        <v>500-999bwtbirthsHawke's Bay</v>
      </c>
      <c r="BC546" s="604">
        <v>2016</v>
      </c>
      <c r="BD546" s="604" t="s">
        <v>428</v>
      </c>
      <c r="BE546" s="604" t="s">
        <v>447</v>
      </c>
      <c r="BF546" s="604" t="s">
        <v>92</v>
      </c>
      <c r="BG546" s="604">
        <v>7</v>
      </c>
      <c r="BH546" s="604" t="s">
        <v>445</v>
      </c>
      <c r="BY546" s="553" t="str">
        <f t="shared" si="80"/>
        <v>2006TaranakidhbSIDS</v>
      </c>
      <c r="BZ546" s="604">
        <v>2006</v>
      </c>
      <c r="CA546" s="604" t="s">
        <v>93</v>
      </c>
      <c r="CB546" s="604" t="s">
        <v>448</v>
      </c>
      <c r="CC546" s="604">
        <v>2</v>
      </c>
      <c r="CD546" s="604" t="s">
        <v>32</v>
      </c>
      <c r="CF546" s="559" t="str">
        <f t="shared" si="81"/>
        <v>5yearsEuropean or Other32-36gestSIDS</v>
      </c>
      <c r="CG546" s="604" t="s">
        <v>475</v>
      </c>
      <c r="CH546" s="604" t="s">
        <v>356</v>
      </c>
      <c r="CI546" s="604" t="s">
        <v>136</v>
      </c>
      <c r="CJ546" s="604" t="s">
        <v>450</v>
      </c>
      <c r="CK546" s="604">
        <v>7</v>
      </c>
      <c r="CL546" s="604" t="s">
        <v>32</v>
      </c>
    </row>
    <row r="547" spans="9:90">
      <c r="I547" s="578" t="str">
        <f t="shared" si="74"/>
        <v>2010bwt4500+Fetal</v>
      </c>
      <c r="J547" s="604">
        <v>2010</v>
      </c>
      <c r="K547" s="604" t="s">
        <v>447</v>
      </c>
      <c r="L547" s="604" t="s">
        <v>432</v>
      </c>
      <c r="M547" s="604">
        <v>4</v>
      </c>
      <c r="N547" s="604">
        <v>1677</v>
      </c>
      <c r="O547" s="604">
        <v>2.4</v>
      </c>
      <c r="P547" s="604" t="s">
        <v>47</v>
      </c>
      <c r="Q547" s="499"/>
      <c r="R547" s="502" t="str">
        <f t="shared" si="75"/>
        <v>2008birthsdhbSouthern</v>
      </c>
      <c r="S547" s="604">
        <v>2008</v>
      </c>
      <c r="T547" s="604" t="s">
        <v>445</v>
      </c>
      <c r="U547" s="604" t="s">
        <v>448</v>
      </c>
      <c r="V547" s="604" t="s">
        <v>103</v>
      </c>
      <c r="W547" s="604">
        <v>3746</v>
      </c>
      <c r="Y547" s="535" t="str">
        <f t="shared" si="76"/>
        <v>2016gesteth37-41Pacific peoplesfetal</v>
      </c>
      <c r="Z547" s="604">
        <v>2016</v>
      </c>
      <c r="AA547" s="604" t="s">
        <v>450</v>
      </c>
      <c r="AB547" s="604" t="s">
        <v>449</v>
      </c>
      <c r="AC547" s="604" t="s">
        <v>137</v>
      </c>
      <c r="AD547" s="604" t="s">
        <v>320</v>
      </c>
      <c r="AE547" s="604">
        <v>12</v>
      </c>
      <c r="AF547" s="604">
        <v>5433</v>
      </c>
      <c r="AG547" s="604">
        <v>2.2000000000000002</v>
      </c>
      <c r="AH547" s="604" t="s">
        <v>420</v>
      </c>
      <c r="AJ547" s="535" t="str">
        <f t="shared" si="77"/>
        <v>2016gesteth37-41Pacific peoples</v>
      </c>
      <c r="AK547" s="604">
        <v>2016</v>
      </c>
      <c r="AL547" s="604" t="s">
        <v>450</v>
      </c>
      <c r="AM547" s="604" t="s">
        <v>449</v>
      </c>
      <c r="AN547" s="604" t="s">
        <v>137</v>
      </c>
      <c r="AO547" s="604" t="s">
        <v>320</v>
      </c>
      <c r="AP547" s="604">
        <v>5433</v>
      </c>
      <c r="AR547" s="538" t="str">
        <f t="shared" si="78"/>
        <v>AsianethfetalTaranaki</v>
      </c>
      <c r="AS547" s="604">
        <v>2016</v>
      </c>
      <c r="AT547" s="604" t="s">
        <v>355</v>
      </c>
      <c r="AU547" s="604" t="s">
        <v>449</v>
      </c>
      <c r="AV547" s="604" t="s">
        <v>93</v>
      </c>
      <c r="AW547" s="604">
        <v>0</v>
      </c>
      <c r="AX547" s="604">
        <v>109</v>
      </c>
      <c r="AY547" s="606">
        <v>0</v>
      </c>
      <c r="AZ547" s="604" t="s">
        <v>420</v>
      </c>
      <c r="BB547" s="536" t="str">
        <f t="shared" si="79"/>
        <v>1000-1499bwtbirthsHawke's Bay</v>
      </c>
      <c r="BC547" s="604">
        <v>2016</v>
      </c>
      <c r="BD547" s="604" t="s">
        <v>429</v>
      </c>
      <c r="BE547" s="604" t="s">
        <v>447</v>
      </c>
      <c r="BF547" s="604" t="s">
        <v>92</v>
      </c>
      <c r="BG547" s="604">
        <v>9</v>
      </c>
      <c r="BH547" s="604" t="s">
        <v>445</v>
      </c>
      <c r="BY547" s="553" t="str">
        <f t="shared" si="80"/>
        <v>2006MidCentraldhbSIDS</v>
      </c>
      <c r="BZ547" s="604">
        <v>2006</v>
      </c>
      <c r="CA547" s="604" t="s">
        <v>94</v>
      </c>
      <c r="CB547" s="604" t="s">
        <v>448</v>
      </c>
      <c r="CC547" s="604">
        <v>3</v>
      </c>
      <c r="CD547" s="604" t="s">
        <v>32</v>
      </c>
      <c r="CF547" s="559" t="str">
        <f t="shared" si="81"/>
        <v>5yearsMaori32-36gestSIDS</v>
      </c>
      <c r="CG547" s="604" t="s">
        <v>475</v>
      </c>
      <c r="CH547" s="604" t="s">
        <v>129</v>
      </c>
      <c r="CI547" s="604" t="s">
        <v>136</v>
      </c>
      <c r="CJ547" s="604" t="s">
        <v>450</v>
      </c>
      <c r="CK547" s="604">
        <v>8</v>
      </c>
      <c r="CL547" s="604" t="s">
        <v>32</v>
      </c>
    </row>
    <row r="548" spans="9:90">
      <c r="I548" s="578" t="str">
        <f t="shared" si="74"/>
        <v>2010bwtUnknownFetal</v>
      </c>
      <c r="J548" s="604">
        <v>2010</v>
      </c>
      <c r="K548" s="604" t="s">
        <v>447</v>
      </c>
      <c r="L548" s="604" t="s">
        <v>63</v>
      </c>
      <c r="M548" s="604">
        <v>5</v>
      </c>
      <c r="N548" s="604">
        <v>61</v>
      </c>
      <c r="O548" s="604" t="s">
        <v>119</v>
      </c>
      <c r="P548" s="604" t="s">
        <v>47</v>
      </c>
      <c r="Q548" s="499"/>
      <c r="R548" s="502" t="str">
        <f t="shared" si="75"/>
        <v>2008birthsdhbUnknown</v>
      </c>
      <c r="S548" s="604">
        <v>2008</v>
      </c>
      <c r="T548" s="604" t="s">
        <v>445</v>
      </c>
      <c r="U548" s="604" t="s">
        <v>448</v>
      </c>
      <c r="V548" s="604" t="s">
        <v>63</v>
      </c>
      <c r="W548" s="604">
        <v>294</v>
      </c>
      <c r="Y548" s="535" t="str">
        <f t="shared" si="76"/>
        <v>2016gesteth42+Pacific peoplesfetal</v>
      </c>
      <c r="Z548" s="604">
        <v>2016</v>
      </c>
      <c r="AA548" s="604" t="s">
        <v>450</v>
      </c>
      <c r="AB548" s="604" t="s">
        <v>449</v>
      </c>
      <c r="AC548" s="604" t="s">
        <v>138</v>
      </c>
      <c r="AD548" s="604" t="s">
        <v>320</v>
      </c>
      <c r="AE548" s="604">
        <v>0</v>
      </c>
      <c r="AF548" s="604">
        <v>101</v>
      </c>
      <c r="AG548" s="604">
        <v>0</v>
      </c>
      <c r="AH548" s="604" t="s">
        <v>420</v>
      </c>
      <c r="AJ548" s="535" t="str">
        <f t="shared" si="77"/>
        <v>2016gesteth42+Pacific peoples</v>
      </c>
      <c r="AK548" s="604">
        <v>2016</v>
      </c>
      <c r="AL548" s="604" t="s">
        <v>450</v>
      </c>
      <c r="AM548" s="604" t="s">
        <v>449</v>
      </c>
      <c r="AN548" s="604" t="s">
        <v>138</v>
      </c>
      <c r="AO548" s="604" t="s">
        <v>320</v>
      </c>
      <c r="AP548" s="604">
        <v>101</v>
      </c>
      <c r="AR548" s="538" t="str">
        <f t="shared" si="78"/>
        <v>Pacific peoplesethfetalMidCentral</v>
      </c>
      <c r="AS548" s="604">
        <v>2016</v>
      </c>
      <c r="AT548" s="604" t="s">
        <v>320</v>
      </c>
      <c r="AU548" s="604" t="s">
        <v>449</v>
      </c>
      <c r="AV548" s="604" t="s">
        <v>94</v>
      </c>
      <c r="AW548" s="604">
        <v>0</v>
      </c>
      <c r="AX548" s="604">
        <v>116</v>
      </c>
      <c r="AY548" s="606">
        <v>0</v>
      </c>
      <c r="AZ548" s="604" t="s">
        <v>420</v>
      </c>
      <c r="BB548" s="536" t="str">
        <f t="shared" si="79"/>
        <v>1500-2499bwtbirthsHawke's Bay</v>
      </c>
      <c r="BC548" s="604">
        <v>2016</v>
      </c>
      <c r="BD548" s="604" t="s">
        <v>430</v>
      </c>
      <c r="BE548" s="604" t="s">
        <v>447</v>
      </c>
      <c r="BF548" s="604" t="s">
        <v>92</v>
      </c>
      <c r="BG548" s="604">
        <v>118</v>
      </c>
      <c r="BH548" s="604" t="s">
        <v>445</v>
      </c>
      <c r="BY548" s="553" t="str">
        <f t="shared" si="80"/>
        <v>2006WhanganuidhbSIDS</v>
      </c>
      <c r="BZ548" s="604">
        <v>2006</v>
      </c>
      <c r="CA548" s="604" t="s">
        <v>95</v>
      </c>
      <c r="CB548" s="604" t="s">
        <v>448</v>
      </c>
      <c r="CC548" s="604">
        <v>0</v>
      </c>
      <c r="CD548" s="604" t="s">
        <v>32</v>
      </c>
      <c r="CF548" s="559" t="str">
        <f t="shared" si="81"/>
        <v>5yearsPacific peoples32-36gestSIDS</v>
      </c>
      <c r="CG548" s="604" t="s">
        <v>475</v>
      </c>
      <c r="CH548" s="604" t="s">
        <v>320</v>
      </c>
      <c r="CI548" s="604" t="s">
        <v>136</v>
      </c>
      <c r="CJ548" s="604" t="s">
        <v>450</v>
      </c>
      <c r="CK548" s="604">
        <v>1</v>
      </c>
      <c r="CL548" s="604" t="s">
        <v>32</v>
      </c>
    </row>
    <row r="549" spans="9:90">
      <c r="I549" s="578" t="str">
        <f t="shared" si="74"/>
        <v>2011bwt&lt;500Fetal</v>
      </c>
      <c r="J549" s="604">
        <v>2011</v>
      </c>
      <c r="K549" s="604" t="s">
        <v>447</v>
      </c>
      <c r="L549" s="604" t="s">
        <v>427</v>
      </c>
      <c r="M549" s="604">
        <v>180</v>
      </c>
      <c r="N549" s="604">
        <v>243</v>
      </c>
      <c r="O549" s="604">
        <v>740.7</v>
      </c>
      <c r="P549" s="604" t="s">
        <v>47</v>
      </c>
      <c r="Q549" s="499"/>
      <c r="R549" s="502" t="str">
        <f t="shared" si="75"/>
        <v>2009birthsdhbNorthland</v>
      </c>
      <c r="S549" s="604">
        <v>2009</v>
      </c>
      <c r="T549" s="604" t="s">
        <v>445</v>
      </c>
      <c r="U549" s="604" t="s">
        <v>448</v>
      </c>
      <c r="V549" s="604" t="s">
        <v>85</v>
      </c>
      <c r="W549" s="604">
        <v>2233</v>
      </c>
      <c r="Y549" s="535" t="str">
        <f t="shared" si="76"/>
        <v>2016gestethUnknownPacific peoplesfetal</v>
      </c>
      <c r="Z549" s="604">
        <v>2016</v>
      </c>
      <c r="AA549" s="604" t="s">
        <v>450</v>
      </c>
      <c r="AB549" s="604" t="s">
        <v>449</v>
      </c>
      <c r="AC549" s="604" t="s">
        <v>63</v>
      </c>
      <c r="AD549" s="604" t="s">
        <v>320</v>
      </c>
      <c r="AE549" s="604">
        <v>1</v>
      </c>
      <c r="AF549" s="604">
        <v>1</v>
      </c>
      <c r="AG549" s="604" t="s">
        <v>119</v>
      </c>
      <c r="AH549" s="604" t="s">
        <v>420</v>
      </c>
      <c r="AJ549" s="535" t="str">
        <f t="shared" si="77"/>
        <v>2016gestethUnknownPacific peoples</v>
      </c>
      <c r="AK549" s="604">
        <v>2016</v>
      </c>
      <c r="AL549" s="604" t="s">
        <v>450</v>
      </c>
      <c r="AM549" s="604" t="s">
        <v>449</v>
      </c>
      <c r="AN549" s="604" t="s">
        <v>63</v>
      </c>
      <c r="AO549" s="604" t="s">
        <v>320</v>
      </c>
      <c r="AP549" s="604">
        <v>1</v>
      </c>
      <c r="AR549" s="538" t="str">
        <f t="shared" si="78"/>
        <v>Pacific peoplesethfetalWhanganui</v>
      </c>
      <c r="AS549" s="604">
        <v>2016</v>
      </c>
      <c r="AT549" s="604" t="s">
        <v>320</v>
      </c>
      <c r="AU549" s="604" t="s">
        <v>449</v>
      </c>
      <c r="AV549" s="604" t="s">
        <v>95</v>
      </c>
      <c r="AW549" s="604">
        <v>0</v>
      </c>
      <c r="AX549" s="604">
        <v>57</v>
      </c>
      <c r="AY549" s="606">
        <v>0</v>
      </c>
      <c r="AZ549" s="604" t="s">
        <v>420</v>
      </c>
      <c r="BB549" s="536" t="str">
        <f t="shared" si="79"/>
        <v>2500-4499bwtbirthsHawke's Bay</v>
      </c>
      <c r="BC549" s="604">
        <v>2016</v>
      </c>
      <c r="BD549" s="604" t="s">
        <v>431</v>
      </c>
      <c r="BE549" s="604" t="s">
        <v>447</v>
      </c>
      <c r="BF549" s="604" t="s">
        <v>92</v>
      </c>
      <c r="BG549" s="604">
        <v>1911</v>
      </c>
      <c r="BH549" s="604" t="s">
        <v>445</v>
      </c>
      <c r="BY549" s="553" t="str">
        <f t="shared" si="80"/>
        <v>2006Capital &amp; CoastdhbSIDS</v>
      </c>
      <c r="BZ549" s="604">
        <v>2006</v>
      </c>
      <c r="CA549" s="604" t="s">
        <v>96</v>
      </c>
      <c r="CB549" s="604" t="s">
        <v>448</v>
      </c>
      <c r="CC549" s="604">
        <v>3</v>
      </c>
      <c r="CD549" s="604" t="s">
        <v>32</v>
      </c>
      <c r="CF549" s="559" t="str">
        <f t="shared" si="81"/>
        <v>5yearsAsian37-41gestSIDS</v>
      </c>
      <c r="CG549" s="604" t="s">
        <v>475</v>
      </c>
      <c r="CH549" s="604" t="s">
        <v>355</v>
      </c>
      <c r="CI549" s="604" t="s">
        <v>137</v>
      </c>
      <c r="CJ549" s="604" t="s">
        <v>450</v>
      </c>
      <c r="CK549" s="604">
        <v>4</v>
      </c>
      <c r="CL549" s="604" t="s">
        <v>32</v>
      </c>
    </row>
    <row r="550" spans="9:90">
      <c r="I550" s="578" t="str">
        <f t="shared" si="74"/>
        <v>2011bwt500-999Fetal</v>
      </c>
      <c r="J550" s="604">
        <v>2011</v>
      </c>
      <c r="K550" s="604" t="s">
        <v>447</v>
      </c>
      <c r="L550" s="604" t="s">
        <v>428</v>
      </c>
      <c r="M550" s="604">
        <v>87</v>
      </c>
      <c r="N550" s="604">
        <v>296</v>
      </c>
      <c r="O550" s="604">
        <v>293.89999999999998</v>
      </c>
      <c r="P550" s="604" t="s">
        <v>47</v>
      </c>
      <c r="Q550" s="499"/>
      <c r="R550" s="502" t="str">
        <f t="shared" si="75"/>
        <v>2009birthsdhbWaitemata</v>
      </c>
      <c r="S550" s="604">
        <v>2009</v>
      </c>
      <c r="T550" s="604" t="s">
        <v>445</v>
      </c>
      <c r="U550" s="604" t="s">
        <v>448</v>
      </c>
      <c r="V550" s="604" t="s">
        <v>86</v>
      </c>
      <c r="W550" s="604">
        <v>7691</v>
      </c>
      <c r="Y550" s="535" t="str">
        <f t="shared" si="76"/>
        <v>2016gesteth&lt;28Asianfetal</v>
      </c>
      <c r="Z550" s="604">
        <v>2016</v>
      </c>
      <c r="AA550" s="604" t="s">
        <v>450</v>
      </c>
      <c r="AB550" s="604" t="s">
        <v>449</v>
      </c>
      <c r="AC550" s="604" t="s">
        <v>375</v>
      </c>
      <c r="AD550" s="604" t="s">
        <v>355</v>
      </c>
      <c r="AE550" s="604">
        <v>41</v>
      </c>
      <c r="AF550" s="604">
        <v>52</v>
      </c>
      <c r="AG550" s="604">
        <v>440.9</v>
      </c>
      <c r="AH550" s="604" t="s">
        <v>420</v>
      </c>
      <c r="AJ550" s="535" t="str">
        <f t="shared" si="77"/>
        <v>2016gesteth&lt;28Asian</v>
      </c>
      <c r="AK550" s="604">
        <v>2016</v>
      </c>
      <c r="AL550" s="604" t="s">
        <v>450</v>
      </c>
      <c r="AM550" s="604" t="s">
        <v>449</v>
      </c>
      <c r="AN550" s="604" t="s">
        <v>375</v>
      </c>
      <c r="AO550" s="604" t="s">
        <v>355</v>
      </c>
      <c r="AP550" s="604">
        <v>52</v>
      </c>
      <c r="AR550" s="538" t="str">
        <f t="shared" si="78"/>
        <v>Pacific peoplesethfetalHutt Valley</v>
      </c>
      <c r="AS550" s="604">
        <v>2016</v>
      </c>
      <c r="AT550" s="604" t="s">
        <v>320</v>
      </c>
      <c r="AU550" s="604" t="s">
        <v>449</v>
      </c>
      <c r="AV550" s="604" t="s">
        <v>97</v>
      </c>
      <c r="AW550" s="604">
        <v>0</v>
      </c>
      <c r="AX550" s="604">
        <v>190</v>
      </c>
      <c r="AY550" s="606">
        <v>0</v>
      </c>
      <c r="AZ550" s="604" t="s">
        <v>420</v>
      </c>
      <c r="BB550" s="536" t="str">
        <f t="shared" si="79"/>
        <v>4500+bwtbirthsHawke's Bay</v>
      </c>
      <c r="BC550" s="604">
        <v>2016</v>
      </c>
      <c r="BD550" s="604" t="s">
        <v>432</v>
      </c>
      <c r="BE550" s="604" t="s">
        <v>447</v>
      </c>
      <c r="BF550" s="604" t="s">
        <v>92</v>
      </c>
      <c r="BG550" s="604">
        <v>50</v>
      </c>
      <c r="BH550" s="604" t="s">
        <v>445</v>
      </c>
      <c r="BY550" s="553" t="str">
        <f t="shared" si="80"/>
        <v>2006Hutt ValleydhbSIDS</v>
      </c>
      <c r="BZ550" s="604">
        <v>2006</v>
      </c>
      <c r="CA550" s="604" t="s">
        <v>97</v>
      </c>
      <c r="CB550" s="604" t="s">
        <v>448</v>
      </c>
      <c r="CC550" s="604">
        <v>4</v>
      </c>
      <c r="CD550" s="604" t="s">
        <v>32</v>
      </c>
      <c r="CF550" s="559" t="str">
        <f t="shared" si="81"/>
        <v>5yearsEuropean or Other37-41gestSIDS</v>
      </c>
      <c r="CG550" s="604" t="s">
        <v>475</v>
      </c>
      <c r="CH550" s="604" t="s">
        <v>356</v>
      </c>
      <c r="CI550" s="604" t="s">
        <v>137</v>
      </c>
      <c r="CJ550" s="604" t="s">
        <v>450</v>
      </c>
      <c r="CK550" s="604">
        <v>21</v>
      </c>
      <c r="CL550" s="604" t="s">
        <v>32</v>
      </c>
    </row>
    <row r="551" spans="9:90">
      <c r="I551" s="578" t="str">
        <f t="shared" si="74"/>
        <v>2011bwt1000-1499Fetal</v>
      </c>
      <c r="J551" s="604">
        <v>2011</v>
      </c>
      <c r="K551" s="604" t="s">
        <v>447</v>
      </c>
      <c r="L551" s="604" t="s">
        <v>429</v>
      </c>
      <c r="M551" s="604">
        <v>33</v>
      </c>
      <c r="N551" s="604">
        <v>360</v>
      </c>
      <c r="O551" s="604">
        <v>91.7</v>
      </c>
      <c r="P551" s="604" t="s">
        <v>47</v>
      </c>
      <c r="Q551" s="499"/>
      <c r="R551" s="502" t="str">
        <f t="shared" si="75"/>
        <v>2009birthsdhbAuckland</v>
      </c>
      <c r="S551" s="604">
        <v>2009</v>
      </c>
      <c r="T551" s="604" t="s">
        <v>445</v>
      </c>
      <c r="U551" s="604" t="s">
        <v>448</v>
      </c>
      <c r="V551" s="604" t="s">
        <v>87</v>
      </c>
      <c r="W551" s="604">
        <v>6732</v>
      </c>
      <c r="Y551" s="535" t="str">
        <f t="shared" si="76"/>
        <v>2016gesteth28-31Asianfetal</v>
      </c>
      <c r="Z551" s="604">
        <v>2016</v>
      </c>
      <c r="AA551" s="604" t="s">
        <v>450</v>
      </c>
      <c r="AB551" s="604" t="s">
        <v>449</v>
      </c>
      <c r="AC551" s="604" t="s">
        <v>395</v>
      </c>
      <c r="AD551" s="604" t="s">
        <v>355</v>
      </c>
      <c r="AE551" s="604">
        <v>9</v>
      </c>
      <c r="AF551" s="604">
        <v>71</v>
      </c>
      <c r="AG551" s="604">
        <v>112.5</v>
      </c>
      <c r="AH551" s="604" t="s">
        <v>420</v>
      </c>
      <c r="AJ551" s="535" t="str">
        <f t="shared" si="77"/>
        <v>2016gesteth28-31Asian</v>
      </c>
      <c r="AK551" s="604">
        <v>2016</v>
      </c>
      <c r="AL551" s="604" t="s">
        <v>450</v>
      </c>
      <c r="AM551" s="604" t="s">
        <v>449</v>
      </c>
      <c r="AN551" s="604" t="s">
        <v>395</v>
      </c>
      <c r="AO551" s="604" t="s">
        <v>355</v>
      </c>
      <c r="AP551" s="604">
        <v>71</v>
      </c>
      <c r="AR551" s="538" t="str">
        <f t="shared" si="78"/>
        <v>Pacific peoplesethfetalWairarapa</v>
      </c>
      <c r="AS551" s="604">
        <v>2016</v>
      </c>
      <c r="AT551" s="604" t="s">
        <v>320</v>
      </c>
      <c r="AU551" s="604" t="s">
        <v>449</v>
      </c>
      <c r="AV551" s="604" t="s">
        <v>98</v>
      </c>
      <c r="AW551" s="604">
        <v>0</v>
      </c>
      <c r="AX551" s="604">
        <v>20</v>
      </c>
      <c r="AY551" s="606">
        <v>0</v>
      </c>
      <c r="AZ551" s="604" t="s">
        <v>420</v>
      </c>
      <c r="BB551" s="536" t="str">
        <f t="shared" si="79"/>
        <v>UnknownbwtbirthsHawke's Bay</v>
      </c>
      <c r="BC551" s="604">
        <v>2016</v>
      </c>
      <c r="BD551" s="604" t="s">
        <v>63</v>
      </c>
      <c r="BE551" s="604" t="s">
        <v>447</v>
      </c>
      <c r="BF551" s="604" t="s">
        <v>92</v>
      </c>
      <c r="BG551" s="604">
        <v>3</v>
      </c>
      <c r="BH551" s="604" t="s">
        <v>445</v>
      </c>
      <c r="BY551" s="553" t="str">
        <f t="shared" si="80"/>
        <v>2006WairarapadhbSIDS</v>
      </c>
      <c r="BZ551" s="604">
        <v>2006</v>
      </c>
      <c r="CA551" s="604" t="s">
        <v>98</v>
      </c>
      <c r="CB551" s="604" t="s">
        <v>448</v>
      </c>
      <c r="CC551" s="604">
        <v>0</v>
      </c>
      <c r="CD551" s="604" t="s">
        <v>32</v>
      </c>
      <c r="CF551" s="559" t="str">
        <f t="shared" si="81"/>
        <v>5yearsMaori37-41gestSIDS</v>
      </c>
      <c r="CG551" s="604" t="s">
        <v>475</v>
      </c>
      <c r="CH551" s="604" t="s">
        <v>129</v>
      </c>
      <c r="CI551" s="604" t="s">
        <v>137</v>
      </c>
      <c r="CJ551" s="604" t="s">
        <v>450</v>
      </c>
      <c r="CK551" s="604">
        <v>43</v>
      </c>
      <c r="CL551" s="604" t="s">
        <v>32</v>
      </c>
    </row>
    <row r="552" spans="9:90">
      <c r="I552" s="578" t="str">
        <f t="shared" si="74"/>
        <v>2011bwt1500-2499Fetal</v>
      </c>
      <c r="J552" s="604">
        <v>2011</v>
      </c>
      <c r="K552" s="604" t="s">
        <v>447</v>
      </c>
      <c r="L552" s="604" t="s">
        <v>430</v>
      </c>
      <c r="M552" s="604">
        <v>61</v>
      </c>
      <c r="N552" s="604">
        <v>3147</v>
      </c>
      <c r="O552" s="604">
        <v>19.399999999999999</v>
      </c>
      <c r="P552" s="604" t="s">
        <v>47</v>
      </c>
      <c r="Q552" s="499"/>
      <c r="R552" s="502" t="str">
        <f t="shared" si="75"/>
        <v>2009birthsdhbCounties Manukau</v>
      </c>
      <c r="S552" s="604">
        <v>2009</v>
      </c>
      <c r="T552" s="604" t="s">
        <v>445</v>
      </c>
      <c r="U552" s="604" t="s">
        <v>448</v>
      </c>
      <c r="V552" s="604" t="s">
        <v>88</v>
      </c>
      <c r="W552" s="604">
        <v>8600</v>
      </c>
      <c r="Y552" s="535" t="str">
        <f t="shared" si="76"/>
        <v>2016gesteth32-36Asianfetal</v>
      </c>
      <c r="Z552" s="604">
        <v>2016</v>
      </c>
      <c r="AA552" s="604" t="s">
        <v>450</v>
      </c>
      <c r="AB552" s="604" t="s">
        <v>449</v>
      </c>
      <c r="AC552" s="604" t="s">
        <v>136</v>
      </c>
      <c r="AD552" s="604" t="s">
        <v>355</v>
      </c>
      <c r="AE552" s="604">
        <v>8</v>
      </c>
      <c r="AF552" s="604">
        <v>611</v>
      </c>
      <c r="AG552" s="604">
        <v>12.9</v>
      </c>
      <c r="AH552" s="604" t="s">
        <v>420</v>
      </c>
      <c r="AJ552" s="535" t="str">
        <f t="shared" si="77"/>
        <v>2016gesteth32-36Asian</v>
      </c>
      <c r="AK552" s="604">
        <v>2016</v>
      </c>
      <c r="AL552" s="604" t="s">
        <v>450</v>
      </c>
      <c r="AM552" s="604" t="s">
        <v>449</v>
      </c>
      <c r="AN552" s="604" t="s">
        <v>136</v>
      </c>
      <c r="AO552" s="604" t="s">
        <v>355</v>
      </c>
      <c r="AP552" s="604">
        <v>611</v>
      </c>
      <c r="AR552" s="538" t="str">
        <f t="shared" si="78"/>
        <v>AsianethfetalWairarapa</v>
      </c>
      <c r="AS552" s="604">
        <v>2016</v>
      </c>
      <c r="AT552" s="604" t="s">
        <v>355</v>
      </c>
      <c r="AU552" s="604" t="s">
        <v>449</v>
      </c>
      <c r="AV552" s="604" t="s">
        <v>98</v>
      </c>
      <c r="AW552" s="604">
        <v>0</v>
      </c>
      <c r="AX552" s="604">
        <v>34</v>
      </c>
      <c r="AY552" s="606">
        <v>0</v>
      </c>
      <c r="AZ552" s="604" t="s">
        <v>420</v>
      </c>
      <c r="BB552" s="536" t="str">
        <f t="shared" si="79"/>
        <v>&lt;500bwtbirthsTaranaki</v>
      </c>
      <c r="BC552" s="604">
        <v>2016</v>
      </c>
      <c r="BD552" s="604" t="s">
        <v>427</v>
      </c>
      <c r="BE552" s="604" t="s">
        <v>447</v>
      </c>
      <c r="BF552" s="604" t="s">
        <v>93</v>
      </c>
      <c r="BG552" s="604">
        <v>2</v>
      </c>
      <c r="BH552" s="604" t="s">
        <v>445</v>
      </c>
      <c r="BY552" s="553" t="str">
        <f t="shared" si="80"/>
        <v>2006Nelson MarlboroughdhbSIDS</v>
      </c>
      <c r="BZ552" s="604">
        <v>2006</v>
      </c>
      <c r="CA552" s="604" t="s">
        <v>99</v>
      </c>
      <c r="CB552" s="604" t="s">
        <v>448</v>
      </c>
      <c r="CC552" s="604">
        <v>0</v>
      </c>
      <c r="CD552" s="604" t="s">
        <v>32</v>
      </c>
      <c r="CF552" s="559" t="str">
        <f t="shared" si="81"/>
        <v>5yearsPacific peoples37-41gestSIDS</v>
      </c>
      <c r="CG552" s="604" t="s">
        <v>475</v>
      </c>
      <c r="CH552" s="604" t="s">
        <v>320</v>
      </c>
      <c r="CI552" s="604" t="s">
        <v>137</v>
      </c>
      <c r="CJ552" s="604" t="s">
        <v>450</v>
      </c>
      <c r="CK552" s="604">
        <v>10</v>
      </c>
      <c r="CL552" s="604" t="s">
        <v>32</v>
      </c>
    </row>
    <row r="553" spans="9:90">
      <c r="I553" s="578" t="str">
        <f t="shared" si="74"/>
        <v>2011bwt2500-4499Fetal</v>
      </c>
      <c r="J553" s="604">
        <v>2011</v>
      </c>
      <c r="K553" s="604" t="s">
        <v>447</v>
      </c>
      <c r="L553" s="604" t="s">
        <v>431</v>
      </c>
      <c r="M553" s="604">
        <v>84</v>
      </c>
      <c r="N553" s="604">
        <v>56943</v>
      </c>
      <c r="O553" s="604">
        <v>1.5</v>
      </c>
      <c r="P553" s="604" t="s">
        <v>47</v>
      </c>
      <c r="Q553" s="499"/>
      <c r="R553" s="502" t="str">
        <f t="shared" si="75"/>
        <v>2009birthsdhbWaikato</v>
      </c>
      <c r="S553" s="604">
        <v>2009</v>
      </c>
      <c r="T553" s="604" t="s">
        <v>445</v>
      </c>
      <c r="U553" s="604" t="s">
        <v>448</v>
      </c>
      <c r="V553" s="604" t="s">
        <v>89</v>
      </c>
      <c r="W553" s="604">
        <v>5548</v>
      </c>
      <c r="Y553" s="535" t="str">
        <f t="shared" si="76"/>
        <v>2016gesteth37-41Asianfetal</v>
      </c>
      <c r="Z553" s="604">
        <v>2016</v>
      </c>
      <c r="AA553" s="604" t="s">
        <v>450</v>
      </c>
      <c r="AB553" s="604" t="s">
        <v>449</v>
      </c>
      <c r="AC553" s="604" t="s">
        <v>137</v>
      </c>
      <c r="AD553" s="604" t="s">
        <v>355</v>
      </c>
      <c r="AE553" s="604">
        <v>13</v>
      </c>
      <c r="AF553" s="604">
        <v>10044</v>
      </c>
      <c r="AG553" s="604">
        <v>1.3</v>
      </c>
      <c r="AH553" s="604" t="s">
        <v>420</v>
      </c>
      <c r="AJ553" s="535" t="str">
        <f t="shared" si="77"/>
        <v>2016gesteth37-41Asian</v>
      </c>
      <c r="AK553" s="604">
        <v>2016</v>
      </c>
      <c r="AL553" s="604" t="s">
        <v>450</v>
      </c>
      <c r="AM553" s="604" t="s">
        <v>449</v>
      </c>
      <c r="AN553" s="604" t="s">
        <v>137</v>
      </c>
      <c r="AO553" s="604" t="s">
        <v>355</v>
      </c>
      <c r="AP553" s="604">
        <v>10044</v>
      </c>
      <c r="AR553" s="538" t="str">
        <f t="shared" si="78"/>
        <v>MaoriethfetalNelson Marlborough</v>
      </c>
      <c r="AS553" s="604">
        <v>2016</v>
      </c>
      <c r="AT553" s="604" t="s">
        <v>129</v>
      </c>
      <c r="AU553" s="604" t="s">
        <v>449</v>
      </c>
      <c r="AV553" s="604" t="s">
        <v>99</v>
      </c>
      <c r="AW553" s="604">
        <v>0</v>
      </c>
      <c r="AX553" s="604">
        <v>375</v>
      </c>
      <c r="AY553" s="606">
        <v>0</v>
      </c>
      <c r="AZ553" s="604" t="s">
        <v>420</v>
      </c>
      <c r="BB553" s="536" t="str">
        <f t="shared" si="79"/>
        <v>500-999bwtbirthsTaranaki</v>
      </c>
      <c r="BC553" s="604">
        <v>2016</v>
      </c>
      <c r="BD553" s="604" t="s">
        <v>428</v>
      </c>
      <c r="BE553" s="604" t="s">
        <v>447</v>
      </c>
      <c r="BF553" s="604" t="s">
        <v>93</v>
      </c>
      <c r="BG553" s="604">
        <v>4</v>
      </c>
      <c r="BH553" s="604" t="s">
        <v>445</v>
      </c>
      <c r="BY553" s="553" t="str">
        <f t="shared" si="80"/>
        <v>2006West CoastdhbSIDS</v>
      </c>
      <c r="BZ553" s="604">
        <v>2006</v>
      </c>
      <c r="CA553" s="604" t="s">
        <v>100</v>
      </c>
      <c r="CB553" s="604" t="s">
        <v>448</v>
      </c>
      <c r="CC553" s="604">
        <v>0</v>
      </c>
      <c r="CD553" s="604" t="s">
        <v>32</v>
      </c>
      <c r="CF553" s="559" t="str">
        <f t="shared" si="81"/>
        <v>5yearsAsian42+gestSIDS</v>
      </c>
      <c r="CG553" s="604" t="s">
        <v>475</v>
      </c>
      <c r="CH553" s="604" t="s">
        <v>355</v>
      </c>
      <c r="CI553" s="604" t="s">
        <v>138</v>
      </c>
      <c r="CJ553" s="604" t="s">
        <v>450</v>
      </c>
      <c r="CK553" s="604">
        <v>0</v>
      </c>
      <c r="CL553" s="604" t="s">
        <v>32</v>
      </c>
    </row>
    <row r="554" spans="9:90">
      <c r="I554" s="578" t="str">
        <f t="shared" si="74"/>
        <v>2011bwt4500+Fetal</v>
      </c>
      <c r="J554" s="604">
        <v>2011</v>
      </c>
      <c r="K554" s="604" t="s">
        <v>447</v>
      </c>
      <c r="L554" s="604" t="s">
        <v>432</v>
      </c>
      <c r="M554" s="604">
        <v>0</v>
      </c>
      <c r="N554" s="604">
        <v>1597</v>
      </c>
      <c r="O554" s="604">
        <v>0</v>
      </c>
      <c r="P554" s="604" t="s">
        <v>47</v>
      </c>
      <c r="Q554" s="499"/>
      <c r="R554" s="502" t="str">
        <f t="shared" si="75"/>
        <v>2009birthsdhbLakes</v>
      </c>
      <c r="S554" s="604">
        <v>2009</v>
      </c>
      <c r="T554" s="604" t="s">
        <v>445</v>
      </c>
      <c r="U554" s="604" t="s">
        <v>448</v>
      </c>
      <c r="V554" s="604" t="s">
        <v>90</v>
      </c>
      <c r="W554" s="604">
        <v>1685</v>
      </c>
      <c r="Y554" s="535" t="str">
        <f t="shared" si="76"/>
        <v>2016gesteth42+Asianfetal</v>
      </c>
      <c r="Z554" s="604">
        <v>2016</v>
      </c>
      <c r="AA554" s="604" t="s">
        <v>450</v>
      </c>
      <c r="AB554" s="604" t="s">
        <v>449</v>
      </c>
      <c r="AC554" s="604" t="s">
        <v>138</v>
      </c>
      <c r="AD554" s="604" t="s">
        <v>355</v>
      </c>
      <c r="AE554" s="604">
        <v>0</v>
      </c>
      <c r="AF554" s="604">
        <v>119</v>
      </c>
      <c r="AG554" s="604">
        <v>0</v>
      </c>
      <c r="AH554" s="604" t="s">
        <v>420</v>
      </c>
      <c r="AJ554" s="535" t="str">
        <f t="shared" si="77"/>
        <v>2016gesteth42+Asian</v>
      </c>
      <c r="AK554" s="604">
        <v>2016</v>
      </c>
      <c r="AL554" s="604" t="s">
        <v>450</v>
      </c>
      <c r="AM554" s="604" t="s">
        <v>449</v>
      </c>
      <c r="AN554" s="604" t="s">
        <v>138</v>
      </c>
      <c r="AO554" s="604" t="s">
        <v>355</v>
      </c>
      <c r="AP554" s="604">
        <v>119</v>
      </c>
      <c r="AR554" s="538" t="str">
        <f t="shared" si="78"/>
        <v>AsianethfetalNelson Marlborough</v>
      </c>
      <c r="AS554" s="604">
        <v>2016</v>
      </c>
      <c r="AT554" s="604" t="s">
        <v>355</v>
      </c>
      <c r="AU554" s="604" t="s">
        <v>449</v>
      </c>
      <c r="AV554" s="604" t="s">
        <v>99</v>
      </c>
      <c r="AW554" s="604">
        <v>0</v>
      </c>
      <c r="AX554" s="604">
        <v>135</v>
      </c>
      <c r="AY554" s="606">
        <v>0</v>
      </c>
      <c r="AZ554" s="604" t="s">
        <v>420</v>
      </c>
      <c r="BB554" s="536" t="str">
        <f t="shared" si="79"/>
        <v>1000-1499bwtbirthsTaranaki</v>
      </c>
      <c r="BC554" s="604">
        <v>2016</v>
      </c>
      <c r="BD554" s="604" t="s">
        <v>429</v>
      </c>
      <c r="BE554" s="604" t="s">
        <v>447</v>
      </c>
      <c r="BF554" s="604" t="s">
        <v>93</v>
      </c>
      <c r="BG554" s="604">
        <v>6</v>
      </c>
      <c r="BH554" s="604" t="s">
        <v>445</v>
      </c>
      <c r="BY554" s="553" t="str">
        <f t="shared" si="80"/>
        <v>2006CanterburydhbSIDS</v>
      </c>
      <c r="BZ554" s="604">
        <v>2006</v>
      </c>
      <c r="CA554" s="604" t="s">
        <v>101</v>
      </c>
      <c r="CB554" s="604" t="s">
        <v>448</v>
      </c>
      <c r="CC554" s="604">
        <v>4</v>
      </c>
      <c r="CD554" s="604" t="s">
        <v>32</v>
      </c>
      <c r="CF554" s="559" t="str">
        <f t="shared" si="81"/>
        <v>5yearsEuropean or Other42+gestSIDS</v>
      </c>
      <c r="CG554" s="604" t="s">
        <v>475</v>
      </c>
      <c r="CH554" s="604" t="s">
        <v>356</v>
      </c>
      <c r="CI554" s="604" t="s">
        <v>138</v>
      </c>
      <c r="CJ554" s="604" t="s">
        <v>450</v>
      </c>
      <c r="CK554" s="604">
        <v>0</v>
      </c>
      <c r="CL554" s="604" t="s">
        <v>32</v>
      </c>
    </row>
    <row r="555" spans="9:90">
      <c r="I555" s="578" t="str">
        <f t="shared" si="74"/>
        <v>2011bwtUnknownFetal</v>
      </c>
      <c r="J555" s="604">
        <v>2011</v>
      </c>
      <c r="K555" s="604" t="s">
        <v>447</v>
      </c>
      <c r="L555" s="604" t="s">
        <v>63</v>
      </c>
      <c r="M555" s="604">
        <v>6</v>
      </c>
      <c r="N555" s="604">
        <v>39</v>
      </c>
      <c r="O555" s="604" t="s">
        <v>119</v>
      </c>
      <c r="P555" s="604" t="s">
        <v>47</v>
      </c>
      <c r="Q555" s="499"/>
      <c r="R555" s="502" t="str">
        <f t="shared" si="75"/>
        <v>2009birthsdhbBay of Plenty</v>
      </c>
      <c r="S555" s="604">
        <v>2009</v>
      </c>
      <c r="T555" s="604" t="s">
        <v>445</v>
      </c>
      <c r="U555" s="604" t="s">
        <v>448</v>
      </c>
      <c r="V555" s="604" t="s">
        <v>91</v>
      </c>
      <c r="W555" s="604">
        <v>2900</v>
      </c>
      <c r="Y555" s="535" t="str">
        <f t="shared" si="76"/>
        <v>2016gestethUnknownAsianfetal</v>
      </c>
      <c r="Z555" s="604">
        <v>2016</v>
      </c>
      <c r="AA555" s="604" t="s">
        <v>450</v>
      </c>
      <c r="AB555" s="604" t="s">
        <v>449</v>
      </c>
      <c r="AC555" s="604" t="s">
        <v>63</v>
      </c>
      <c r="AD555" s="604" t="s">
        <v>355</v>
      </c>
      <c r="AE555" s="604">
        <v>2</v>
      </c>
      <c r="AF555" s="604">
        <v>5</v>
      </c>
      <c r="AG555" s="604" t="s">
        <v>119</v>
      </c>
      <c r="AH555" s="604" t="s">
        <v>420</v>
      </c>
      <c r="AJ555" s="535" t="str">
        <f t="shared" si="77"/>
        <v>2016gestethUnknownAsian</v>
      </c>
      <c r="AK555" s="604">
        <v>2016</v>
      </c>
      <c r="AL555" s="604" t="s">
        <v>450</v>
      </c>
      <c r="AM555" s="604" t="s">
        <v>449</v>
      </c>
      <c r="AN555" s="604" t="s">
        <v>63</v>
      </c>
      <c r="AO555" s="604" t="s">
        <v>355</v>
      </c>
      <c r="AP555" s="604">
        <v>5</v>
      </c>
      <c r="AR555" s="538" t="str">
        <f t="shared" si="78"/>
        <v>Pacific peoplesethfetalWest Coast</v>
      </c>
      <c r="AS555" s="604">
        <v>2016</v>
      </c>
      <c r="AT555" s="604" t="s">
        <v>320</v>
      </c>
      <c r="AU555" s="604" t="s">
        <v>449</v>
      </c>
      <c r="AV555" s="604" t="s">
        <v>100</v>
      </c>
      <c r="AW555" s="604">
        <v>0</v>
      </c>
      <c r="AX555" s="604">
        <v>3</v>
      </c>
      <c r="AY555" s="606">
        <v>0</v>
      </c>
      <c r="AZ555" s="604" t="s">
        <v>420</v>
      </c>
      <c r="BB555" s="536" t="str">
        <f t="shared" si="79"/>
        <v>1500-2499bwtbirthsTaranaki</v>
      </c>
      <c r="BC555" s="604">
        <v>2016</v>
      </c>
      <c r="BD555" s="604" t="s">
        <v>430</v>
      </c>
      <c r="BE555" s="604" t="s">
        <v>447</v>
      </c>
      <c r="BF555" s="604" t="s">
        <v>93</v>
      </c>
      <c r="BG555" s="604">
        <v>85</v>
      </c>
      <c r="BH555" s="604" t="s">
        <v>445</v>
      </c>
      <c r="BY555" s="553" t="str">
        <f t="shared" si="80"/>
        <v>2006South CanterburydhbSIDS</v>
      </c>
      <c r="BZ555" s="604">
        <v>2006</v>
      </c>
      <c r="CA555" s="604" t="s">
        <v>102</v>
      </c>
      <c r="CB555" s="604" t="s">
        <v>448</v>
      </c>
      <c r="CC555" s="604">
        <v>0</v>
      </c>
      <c r="CD555" s="604" t="s">
        <v>32</v>
      </c>
      <c r="CF555" s="559" t="str">
        <f t="shared" si="81"/>
        <v>5yearsMaori42+gestSIDS</v>
      </c>
      <c r="CG555" s="604" t="s">
        <v>475</v>
      </c>
      <c r="CH555" s="604" t="s">
        <v>129</v>
      </c>
      <c r="CI555" s="604" t="s">
        <v>138</v>
      </c>
      <c r="CJ555" s="604" t="s">
        <v>450</v>
      </c>
      <c r="CK555" s="604">
        <v>0</v>
      </c>
      <c r="CL555" s="604" t="s">
        <v>32</v>
      </c>
    </row>
    <row r="556" spans="9:90">
      <c r="I556" s="578" t="str">
        <f t="shared" si="74"/>
        <v>2012bwt&lt;500Fetal</v>
      </c>
      <c r="J556" s="604">
        <v>2012</v>
      </c>
      <c r="K556" s="604" t="s">
        <v>447</v>
      </c>
      <c r="L556" s="604" t="s">
        <v>427</v>
      </c>
      <c r="M556" s="604">
        <v>187</v>
      </c>
      <c r="N556" s="604">
        <v>259</v>
      </c>
      <c r="O556" s="604">
        <v>722</v>
      </c>
      <c r="P556" s="604" t="s">
        <v>47</v>
      </c>
      <c r="Q556" s="499"/>
      <c r="R556" s="502" t="str">
        <f t="shared" si="75"/>
        <v>2009birthsdhbTairawhiti</v>
      </c>
      <c r="S556" s="604">
        <v>2009</v>
      </c>
      <c r="T556" s="604" t="s">
        <v>445</v>
      </c>
      <c r="U556" s="604" t="s">
        <v>448</v>
      </c>
      <c r="V556" s="604" t="s">
        <v>433</v>
      </c>
      <c r="W556" s="604">
        <v>746</v>
      </c>
      <c r="Y556" s="535" t="str">
        <f t="shared" si="76"/>
        <v>2016gesteth&lt;28European or Otherfetal</v>
      </c>
      <c r="Z556" s="604">
        <v>2016</v>
      </c>
      <c r="AA556" s="604" t="s">
        <v>450</v>
      </c>
      <c r="AB556" s="604" t="s">
        <v>449</v>
      </c>
      <c r="AC556" s="604" t="s">
        <v>375</v>
      </c>
      <c r="AD556" s="604" t="s">
        <v>356</v>
      </c>
      <c r="AE556" s="604">
        <v>94</v>
      </c>
      <c r="AF556" s="604">
        <v>80</v>
      </c>
      <c r="AG556" s="604" t="s">
        <v>119</v>
      </c>
      <c r="AH556" s="604" t="s">
        <v>420</v>
      </c>
      <c r="AJ556" s="535" t="str">
        <f t="shared" si="77"/>
        <v>2016gesteth&lt;28European or Other</v>
      </c>
      <c r="AK556" s="604">
        <v>2016</v>
      </c>
      <c r="AL556" s="604" t="s">
        <v>450</v>
      </c>
      <c r="AM556" s="604" t="s">
        <v>449</v>
      </c>
      <c r="AN556" s="604" t="s">
        <v>375</v>
      </c>
      <c r="AO556" s="604" t="s">
        <v>356</v>
      </c>
      <c r="AP556" s="604">
        <v>80</v>
      </c>
      <c r="AR556" s="538" t="str">
        <f t="shared" si="78"/>
        <v>AsianethfetalWest Coast</v>
      </c>
      <c r="AS556" s="604">
        <v>2016</v>
      </c>
      <c r="AT556" s="604" t="s">
        <v>355</v>
      </c>
      <c r="AU556" s="604" t="s">
        <v>449</v>
      </c>
      <c r="AV556" s="604" t="s">
        <v>100</v>
      </c>
      <c r="AW556" s="604">
        <v>0</v>
      </c>
      <c r="AX556" s="604">
        <v>12</v>
      </c>
      <c r="AY556" s="606">
        <v>0</v>
      </c>
      <c r="AZ556" s="604" t="s">
        <v>420</v>
      </c>
      <c r="BB556" s="536" t="str">
        <f t="shared" si="79"/>
        <v>2500-4499bwtbirthsTaranaki</v>
      </c>
      <c r="BC556" s="604">
        <v>2016</v>
      </c>
      <c r="BD556" s="604" t="s">
        <v>431</v>
      </c>
      <c r="BE556" s="604" t="s">
        <v>447</v>
      </c>
      <c r="BF556" s="604" t="s">
        <v>93</v>
      </c>
      <c r="BG556" s="604">
        <v>1367</v>
      </c>
      <c r="BH556" s="604" t="s">
        <v>445</v>
      </c>
      <c r="BY556" s="553" t="str">
        <f t="shared" si="80"/>
        <v>2006SoutherndhbSIDS</v>
      </c>
      <c r="BZ556" s="604">
        <v>2006</v>
      </c>
      <c r="CA556" s="604" t="s">
        <v>103</v>
      </c>
      <c r="CB556" s="604" t="s">
        <v>448</v>
      </c>
      <c r="CC556" s="604">
        <v>2</v>
      </c>
      <c r="CD556" s="604" t="s">
        <v>32</v>
      </c>
      <c r="CF556" s="559" t="str">
        <f t="shared" si="81"/>
        <v>5yearsPacific peoples42+gestSIDS</v>
      </c>
      <c r="CG556" s="604" t="s">
        <v>475</v>
      </c>
      <c r="CH556" s="604" t="s">
        <v>320</v>
      </c>
      <c r="CI556" s="604" t="s">
        <v>138</v>
      </c>
      <c r="CJ556" s="604" t="s">
        <v>450</v>
      </c>
      <c r="CK556" s="604">
        <v>0</v>
      </c>
      <c r="CL556" s="604" t="s">
        <v>32</v>
      </c>
    </row>
    <row r="557" spans="9:90">
      <c r="I557" s="578" t="str">
        <f t="shared" si="74"/>
        <v>2012bwt500-999Fetal</v>
      </c>
      <c r="J557" s="604">
        <v>2012</v>
      </c>
      <c r="K557" s="604" t="s">
        <v>447</v>
      </c>
      <c r="L557" s="604" t="s">
        <v>428</v>
      </c>
      <c r="M557" s="604">
        <v>92</v>
      </c>
      <c r="N557" s="604">
        <v>311</v>
      </c>
      <c r="O557" s="604">
        <v>295.8</v>
      </c>
      <c r="P557" s="604" t="s">
        <v>47</v>
      </c>
      <c r="Q557" s="499"/>
      <c r="R557" s="502" t="str">
        <f t="shared" si="75"/>
        <v>2009birthsdhbHawke's Bay</v>
      </c>
      <c r="S557" s="604">
        <v>2009</v>
      </c>
      <c r="T557" s="604" t="s">
        <v>445</v>
      </c>
      <c r="U557" s="604" t="s">
        <v>448</v>
      </c>
      <c r="V557" s="604" t="s">
        <v>92</v>
      </c>
      <c r="W557" s="604">
        <v>2395</v>
      </c>
      <c r="Y557" s="535" t="str">
        <f t="shared" si="76"/>
        <v>2016gesteth28-31European or Otherfetal</v>
      </c>
      <c r="Z557" s="604">
        <v>2016</v>
      </c>
      <c r="AA557" s="604" t="s">
        <v>450</v>
      </c>
      <c r="AB557" s="604" t="s">
        <v>449</v>
      </c>
      <c r="AC557" s="604" t="s">
        <v>395</v>
      </c>
      <c r="AD557" s="604" t="s">
        <v>356</v>
      </c>
      <c r="AE557" s="604">
        <v>19</v>
      </c>
      <c r="AF557" s="604">
        <v>178</v>
      </c>
      <c r="AG557" s="604">
        <v>96.4</v>
      </c>
      <c r="AH557" s="604" t="s">
        <v>420</v>
      </c>
      <c r="AJ557" s="535" t="str">
        <f t="shared" si="77"/>
        <v>2016gesteth28-31European or Other</v>
      </c>
      <c r="AK557" s="604">
        <v>2016</v>
      </c>
      <c r="AL557" s="604" t="s">
        <v>450</v>
      </c>
      <c r="AM557" s="604" t="s">
        <v>449</v>
      </c>
      <c r="AN557" s="604" t="s">
        <v>395</v>
      </c>
      <c r="AO557" s="604" t="s">
        <v>356</v>
      </c>
      <c r="AP557" s="604">
        <v>178</v>
      </c>
      <c r="AR557" s="538" t="str">
        <f t="shared" si="78"/>
        <v>Pacific peoplesethfetalSouth Canterbury</v>
      </c>
      <c r="AS557" s="604">
        <v>2016</v>
      </c>
      <c r="AT557" s="604" t="s">
        <v>320</v>
      </c>
      <c r="AU557" s="604" t="s">
        <v>449</v>
      </c>
      <c r="AV557" s="604" t="s">
        <v>102</v>
      </c>
      <c r="AW557" s="604">
        <v>0</v>
      </c>
      <c r="AX557" s="604">
        <v>19</v>
      </c>
      <c r="AY557" s="606">
        <v>0</v>
      </c>
      <c r="AZ557" s="604" t="s">
        <v>420</v>
      </c>
      <c r="BB557" s="536" t="str">
        <f t="shared" si="79"/>
        <v>4500+bwtbirthsTaranaki</v>
      </c>
      <c r="BC557" s="604">
        <v>2016</v>
      </c>
      <c r="BD557" s="604" t="s">
        <v>432</v>
      </c>
      <c r="BE557" s="604" t="s">
        <v>447</v>
      </c>
      <c r="BF557" s="604" t="s">
        <v>93</v>
      </c>
      <c r="BG557" s="604">
        <v>26</v>
      </c>
      <c r="BH557" s="604" t="s">
        <v>445</v>
      </c>
      <c r="BY557" s="553" t="str">
        <f t="shared" si="80"/>
        <v>2006UnknowndhbSIDS</v>
      </c>
      <c r="BZ557" s="604">
        <v>2006</v>
      </c>
      <c r="CA557" s="604" t="s">
        <v>63</v>
      </c>
      <c r="CB557" s="604" t="s">
        <v>448</v>
      </c>
      <c r="CC557" s="604">
        <v>0</v>
      </c>
      <c r="CD557" s="604" t="s">
        <v>32</v>
      </c>
      <c r="CF557" s="559" t="str">
        <f t="shared" si="81"/>
        <v>5yearsAsianUnknowngestSIDS</v>
      </c>
      <c r="CG557" s="604" t="s">
        <v>475</v>
      </c>
      <c r="CH557" s="604" t="s">
        <v>355</v>
      </c>
      <c r="CI557" s="604" t="s">
        <v>63</v>
      </c>
      <c r="CJ557" s="604" t="s">
        <v>450</v>
      </c>
      <c r="CK557" s="604">
        <v>0</v>
      </c>
      <c r="CL557" s="604" t="s">
        <v>32</v>
      </c>
    </row>
    <row r="558" spans="9:90">
      <c r="I558" s="578" t="str">
        <f t="shared" si="74"/>
        <v>2012bwt1000-1499Fetal</v>
      </c>
      <c r="J558" s="604">
        <v>2012</v>
      </c>
      <c r="K558" s="604" t="s">
        <v>447</v>
      </c>
      <c r="L558" s="604" t="s">
        <v>429</v>
      </c>
      <c r="M558" s="604">
        <v>33</v>
      </c>
      <c r="N558" s="604">
        <v>389</v>
      </c>
      <c r="O558" s="604">
        <v>84.8</v>
      </c>
      <c r="P558" s="604" t="s">
        <v>47</v>
      </c>
      <c r="Q558" s="499"/>
      <c r="R558" s="502" t="str">
        <f t="shared" si="75"/>
        <v>2009birthsdhbTaranaki</v>
      </c>
      <c r="S558" s="604">
        <v>2009</v>
      </c>
      <c r="T558" s="604" t="s">
        <v>445</v>
      </c>
      <c r="U558" s="604" t="s">
        <v>448</v>
      </c>
      <c r="V558" s="604" t="s">
        <v>93</v>
      </c>
      <c r="W558" s="604">
        <v>1601</v>
      </c>
      <c r="Y558" s="535" t="str">
        <f t="shared" si="76"/>
        <v>2016gesteth32-36European or Otherfetal</v>
      </c>
      <c r="Z558" s="604">
        <v>2016</v>
      </c>
      <c r="AA558" s="604" t="s">
        <v>450</v>
      </c>
      <c r="AB558" s="604" t="s">
        <v>449</v>
      </c>
      <c r="AC558" s="604" t="s">
        <v>136</v>
      </c>
      <c r="AD558" s="604" t="s">
        <v>356</v>
      </c>
      <c r="AE558" s="604">
        <v>22</v>
      </c>
      <c r="AF558" s="604">
        <v>1634</v>
      </c>
      <c r="AG558" s="604">
        <v>13.3</v>
      </c>
      <c r="AH558" s="604" t="s">
        <v>420</v>
      </c>
      <c r="AJ558" s="535" t="str">
        <f t="shared" si="77"/>
        <v>2016gesteth32-36European or Other</v>
      </c>
      <c r="AK558" s="604">
        <v>2016</v>
      </c>
      <c r="AL558" s="604" t="s">
        <v>450</v>
      </c>
      <c r="AM558" s="604" t="s">
        <v>449</v>
      </c>
      <c r="AN558" s="604" t="s">
        <v>136</v>
      </c>
      <c r="AO558" s="604" t="s">
        <v>356</v>
      </c>
      <c r="AP558" s="604">
        <v>1634</v>
      </c>
      <c r="AR558" s="538" t="str">
        <f t="shared" si="78"/>
        <v>AsianethfetalSouth Canterbury</v>
      </c>
      <c r="AS558" s="604">
        <v>2016</v>
      </c>
      <c r="AT558" s="604" t="s">
        <v>355</v>
      </c>
      <c r="AU558" s="604" t="s">
        <v>449</v>
      </c>
      <c r="AV558" s="604" t="s">
        <v>102</v>
      </c>
      <c r="AW558" s="604">
        <v>0</v>
      </c>
      <c r="AX558" s="604">
        <v>53</v>
      </c>
      <c r="AY558" s="606">
        <v>0</v>
      </c>
      <c r="AZ558" s="604" t="s">
        <v>420</v>
      </c>
      <c r="BB558" s="536" t="str">
        <f t="shared" si="79"/>
        <v>UnknownbwtbirthsTaranaki</v>
      </c>
      <c r="BC558" s="604">
        <v>2016</v>
      </c>
      <c r="BD558" s="604" t="s">
        <v>63</v>
      </c>
      <c r="BE558" s="604" t="s">
        <v>447</v>
      </c>
      <c r="BF558" s="604" t="s">
        <v>93</v>
      </c>
      <c r="BG558" s="604">
        <v>1</v>
      </c>
      <c r="BH558" s="604" t="s">
        <v>445</v>
      </c>
      <c r="BY558" s="553" t="str">
        <f t="shared" si="80"/>
        <v>2007NorthlanddhbSIDS</v>
      </c>
      <c r="BZ558" s="604">
        <v>2007</v>
      </c>
      <c r="CA558" s="604" t="s">
        <v>85</v>
      </c>
      <c r="CB558" s="604" t="s">
        <v>448</v>
      </c>
      <c r="CC558" s="604">
        <v>3</v>
      </c>
      <c r="CD558" s="604" t="s">
        <v>32</v>
      </c>
      <c r="CF558" s="559" t="str">
        <f t="shared" si="81"/>
        <v>5yearsEuropean or OtherUnknowngestSIDS</v>
      </c>
      <c r="CG558" s="604" t="s">
        <v>475</v>
      </c>
      <c r="CH558" s="604" t="s">
        <v>356</v>
      </c>
      <c r="CI558" s="604" t="s">
        <v>63</v>
      </c>
      <c r="CJ558" s="604" t="s">
        <v>450</v>
      </c>
      <c r="CK558" s="604">
        <v>2</v>
      </c>
      <c r="CL558" s="604" t="s">
        <v>32</v>
      </c>
    </row>
    <row r="559" spans="9:90">
      <c r="I559" s="578" t="str">
        <f t="shared" si="74"/>
        <v>2012bwt1500-2499Fetal</v>
      </c>
      <c r="J559" s="604">
        <v>2012</v>
      </c>
      <c r="K559" s="604" t="s">
        <v>447</v>
      </c>
      <c r="L559" s="604" t="s">
        <v>430</v>
      </c>
      <c r="M559" s="604">
        <v>50</v>
      </c>
      <c r="N559" s="604">
        <v>3194</v>
      </c>
      <c r="O559" s="604">
        <v>15.7</v>
      </c>
      <c r="P559" s="604" t="s">
        <v>47</v>
      </c>
      <c r="Q559" s="499"/>
      <c r="R559" s="502" t="str">
        <f t="shared" si="75"/>
        <v>2009birthsdhbMidCentral</v>
      </c>
      <c r="S559" s="604">
        <v>2009</v>
      </c>
      <c r="T559" s="604" t="s">
        <v>445</v>
      </c>
      <c r="U559" s="604" t="s">
        <v>448</v>
      </c>
      <c r="V559" s="604" t="s">
        <v>94</v>
      </c>
      <c r="W559" s="604">
        <v>2204</v>
      </c>
      <c r="Y559" s="535" t="str">
        <f t="shared" si="76"/>
        <v>2016gesteth37-41European or Otherfetal</v>
      </c>
      <c r="Z559" s="604">
        <v>2016</v>
      </c>
      <c r="AA559" s="604" t="s">
        <v>450</v>
      </c>
      <c r="AB559" s="604" t="s">
        <v>449</v>
      </c>
      <c r="AC559" s="604" t="s">
        <v>137</v>
      </c>
      <c r="AD559" s="604" t="s">
        <v>356</v>
      </c>
      <c r="AE559" s="604">
        <v>36</v>
      </c>
      <c r="AF559" s="604">
        <v>23811</v>
      </c>
      <c r="AG559" s="604">
        <v>1.5</v>
      </c>
      <c r="AH559" s="604" t="s">
        <v>420</v>
      </c>
      <c r="AJ559" s="535" t="str">
        <f t="shared" si="77"/>
        <v>2016gesteth37-41European or Other</v>
      </c>
      <c r="AK559" s="604">
        <v>2016</v>
      </c>
      <c r="AL559" s="604" t="s">
        <v>450</v>
      </c>
      <c r="AM559" s="604" t="s">
        <v>449</v>
      </c>
      <c r="AN559" s="604" t="s">
        <v>137</v>
      </c>
      <c r="AO559" s="604" t="s">
        <v>356</v>
      </c>
      <c r="AP559" s="604">
        <v>23811</v>
      </c>
      <c r="AR559" s="538" t="str">
        <f t="shared" si="78"/>
        <v>Pacific peoplesethfetalUnknown</v>
      </c>
      <c r="AS559" s="604">
        <v>2016</v>
      </c>
      <c r="AT559" s="604" t="s">
        <v>320</v>
      </c>
      <c r="AU559" s="604" t="s">
        <v>449</v>
      </c>
      <c r="AV559" s="604" t="s">
        <v>63</v>
      </c>
      <c r="AW559" s="604">
        <v>0</v>
      </c>
      <c r="AX559" s="604">
        <v>29</v>
      </c>
      <c r="AY559" s="606" t="s">
        <v>119</v>
      </c>
      <c r="AZ559" s="604" t="s">
        <v>420</v>
      </c>
      <c r="BB559" s="536" t="str">
        <f t="shared" si="79"/>
        <v>&lt;500bwtbirthsMidCentral</v>
      </c>
      <c r="BC559" s="604">
        <v>2016</v>
      </c>
      <c r="BD559" s="604" t="s">
        <v>427</v>
      </c>
      <c r="BE559" s="604" t="s">
        <v>447</v>
      </c>
      <c r="BF559" s="604" t="s">
        <v>94</v>
      </c>
      <c r="BG559" s="604">
        <v>1</v>
      </c>
      <c r="BH559" s="604" t="s">
        <v>445</v>
      </c>
      <c r="BY559" s="553" t="str">
        <f t="shared" si="80"/>
        <v>2007WaitematadhbSIDS</v>
      </c>
      <c r="BZ559" s="604">
        <v>2007</v>
      </c>
      <c r="CA559" s="604" t="s">
        <v>86</v>
      </c>
      <c r="CB559" s="604" t="s">
        <v>448</v>
      </c>
      <c r="CC559" s="604">
        <v>4</v>
      </c>
      <c r="CD559" s="604" t="s">
        <v>32</v>
      </c>
      <c r="CF559" s="559" t="str">
        <f t="shared" si="81"/>
        <v>5yearsMaoriUnknowngestSIDS</v>
      </c>
      <c r="CG559" s="604" t="s">
        <v>475</v>
      </c>
      <c r="CH559" s="604" t="s">
        <v>129</v>
      </c>
      <c r="CI559" s="604" t="s">
        <v>63</v>
      </c>
      <c r="CJ559" s="604" t="s">
        <v>450</v>
      </c>
      <c r="CK559" s="604">
        <v>3</v>
      </c>
      <c r="CL559" s="604" t="s">
        <v>32</v>
      </c>
    </row>
    <row r="560" spans="9:90">
      <c r="I560" s="578" t="str">
        <f t="shared" si="74"/>
        <v>2012bwt2500-4499Fetal</v>
      </c>
      <c r="J560" s="604">
        <v>2012</v>
      </c>
      <c r="K560" s="604" t="s">
        <v>447</v>
      </c>
      <c r="L560" s="604" t="s">
        <v>431</v>
      </c>
      <c r="M560" s="604">
        <v>75</v>
      </c>
      <c r="N560" s="604">
        <v>56649</v>
      </c>
      <c r="O560" s="604">
        <v>1.3</v>
      </c>
      <c r="P560" s="604" t="s">
        <v>47</v>
      </c>
      <c r="Q560" s="499"/>
      <c r="R560" s="502" t="str">
        <f t="shared" si="75"/>
        <v>2009birthsdhbWhanganui</v>
      </c>
      <c r="S560" s="604">
        <v>2009</v>
      </c>
      <c r="T560" s="604" t="s">
        <v>445</v>
      </c>
      <c r="U560" s="604" t="s">
        <v>448</v>
      </c>
      <c r="V560" s="604" t="s">
        <v>95</v>
      </c>
      <c r="W560" s="604">
        <v>927</v>
      </c>
      <c r="Y560" s="535" t="str">
        <f t="shared" si="76"/>
        <v>2016gesteth42+European or Otherfetal</v>
      </c>
      <c r="Z560" s="604">
        <v>2016</v>
      </c>
      <c r="AA560" s="604" t="s">
        <v>450</v>
      </c>
      <c r="AB560" s="604" t="s">
        <v>449</v>
      </c>
      <c r="AC560" s="604" t="s">
        <v>138</v>
      </c>
      <c r="AD560" s="604" t="s">
        <v>356</v>
      </c>
      <c r="AE560" s="604">
        <v>0</v>
      </c>
      <c r="AF560" s="604">
        <v>516</v>
      </c>
      <c r="AG560" s="604">
        <v>0</v>
      </c>
      <c r="AH560" s="604" t="s">
        <v>420</v>
      </c>
      <c r="AJ560" s="535" t="str">
        <f t="shared" si="77"/>
        <v>2016gesteth42+European or Other</v>
      </c>
      <c r="AK560" s="604">
        <v>2016</v>
      </c>
      <c r="AL560" s="604" t="s">
        <v>450</v>
      </c>
      <c r="AM560" s="604" t="s">
        <v>449</v>
      </c>
      <c r="AN560" s="604" t="s">
        <v>138</v>
      </c>
      <c r="AO560" s="604" t="s">
        <v>356</v>
      </c>
      <c r="AP560" s="604">
        <v>516</v>
      </c>
      <c r="AR560" s="538" t="str">
        <f t="shared" si="78"/>
        <v>AsianethfetalUnknown</v>
      </c>
      <c r="AS560" s="604">
        <v>2016</v>
      </c>
      <c r="AT560" s="604" t="s">
        <v>355</v>
      </c>
      <c r="AU560" s="604" t="s">
        <v>449</v>
      </c>
      <c r="AV560" s="604" t="s">
        <v>63</v>
      </c>
      <c r="AW560" s="604">
        <v>0</v>
      </c>
      <c r="AX560" s="604">
        <v>52</v>
      </c>
      <c r="AY560" s="606" t="s">
        <v>119</v>
      </c>
      <c r="AZ560" s="604" t="s">
        <v>420</v>
      </c>
      <c r="BB560" s="536" t="str">
        <f t="shared" si="79"/>
        <v>500-999bwtbirthsMidCentral</v>
      </c>
      <c r="BC560" s="604">
        <v>2016</v>
      </c>
      <c r="BD560" s="604" t="s">
        <v>428</v>
      </c>
      <c r="BE560" s="604" t="s">
        <v>447</v>
      </c>
      <c r="BF560" s="604" t="s">
        <v>94</v>
      </c>
      <c r="BG560" s="604">
        <v>10</v>
      </c>
      <c r="BH560" s="604" t="s">
        <v>445</v>
      </c>
      <c r="BY560" s="553" t="str">
        <f t="shared" si="80"/>
        <v>2007AucklanddhbSIDS</v>
      </c>
      <c r="BZ560" s="604">
        <v>2007</v>
      </c>
      <c r="CA560" s="604" t="s">
        <v>87</v>
      </c>
      <c r="CB560" s="604" t="s">
        <v>448</v>
      </c>
      <c r="CC560" s="604">
        <v>6</v>
      </c>
      <c r="CD560" s="604" t="s">
        <v>32</v>
      </c>
      <c r="CF560" s="559" t="str">
        <f t="shared" si="81"/>
        <v>5yearsPacific peoplesUnknowngestSIDS</v>
      </c>
      <c r="CG560" s="604" t="s">
        <v>475</v>
      </c>
      <c r="CH560" s="604" t="s">
        <v>320</v>
      </c>
      <c r="CI560" s="604" t="s">
        <v>63</v>
      </c>
      <c r="CJ560" s="604" t="s">
        <v>450</v>
      </c>
      <c r="CK560" s="604">
        <v>0</v>
      </c>
      <c r="CL560" s="604" t="s">
        <v>32</v>
      </c>
    </row>
    <row r="561" spans="9:90">
      <c r="I561" s="578" t="str">
        <f t="shared" si="74"/>
        <v>2012bwt4500+Fetal</v>
      </c>
      <c r="J561" s="604">
        <v>2012</v>
      </c>
      <c r="K561" s="604" t="s">
        <v>447</v>
      </c>
      <c r="L561" s="604" t="s">
        <v>432</v>
      </c>
      <c r="M561" s="604">
        <v>1</v>
      </c>
      <c r="N561" s="604">
        <v>1643</v>
      </c>
      <c r="O561" s="604">
        <v>0.6</v>
      </c>
      <c r="P561" s="604" t="s">
        <v>47</v>
      </c>
      <c r="Q561" s="499"/>
      <c r="R561" s="502" t="str">
        <f t="shared" si="75"/>
        <v>2009birthsdhbCapital &amp; Coast</v>
      </c>
      <c r="S561" s="604">
        <v>2009</v>
      </c>
      <c r="T561" s="604" t="s">
        <v>445</v>
      </c>
      <c r="U561" s="604" t="s">
        <v>448</v>
      </c>
      <c r="V561" s="604" t="s">
        <v>96</v>
      </c>
      <c r="W561" s="604">
        <v>3983</v>
      </c>
      <c r="Y561" s="535" t="str">
        <f t="shared" si="76"/>
        <v>2016gestethUnknownEuropean or Otherfetal</v>
      </c>
      <c r="Z561" s="604">
        <v>2016</v>
      </c>
      <c r="AA561" s="604" t="s">
        <v>450</v>
      </c>
      <c r="AB561" s="604" t="s">
        <v>449</v>
      </c>
      <c r="AC561" s="604" t="s">
        <v>63</v>
      </c>
      <c r="AD561" s="604" t="s">
        <v>356</v>
      </c>
      <c r="AE561" s="604">
        <v>2</v>
      </c>
      <c r="AF561" s="604">
        <v>10</v>
      </c>
      <c r="AG561" s="604" t="s">
        <v>119</v>
      </c>
      <c r="AH561" s="604" t="s">
        <v>420</v>
      </c>
      <c r="AJ561" s="535" t="str">
        <f t="shared" si="77"/>
        <v>2016gestethUnknownEuropean or Other</v>
      </c>
      <c r="AK561" s="604">
        <v>2016</v>
      </c>
      <c r="AL561" s="604" t="s">
        <v>450</v>
      </c>
      <c r="AM561" s="604" t="s">
        <v>449</v>
      </c>
      <c r="AN561" s="604" t="s">
        <v>63</v>
      </c>
      <c r="AO561" s="604" t="s">
        <v>356</v>
      </c>
      <c r="AP561" s="604">
        <v>10</v>
      </c>
      <c r="AR561" s="538" t="str">
        <f t="shared" si="78"/>
        <v>European or OtherethfetalUnknown</v>
      </c>
      <c r="AS561" s="604">
        <v>2016</v>
      </c>
      <c r="AT561" s="604" t="s">
        <v>356</v>
      </c>
      <c r="AU561" s="604" t="s">
        <v>449</v>
      </c>
      <c r="AV561" s="604" t="s">
        <v>63</v>
      </c>
      <c r="AW561" s="604">
        <v>0</v>
      </c>
      <c r="AX561" s="604">
        <v>31</v>
      </c>
      <c r="AY561" s="606" t="s">
        <v>119</v>
      </c>
      <c r="AZ561" s="604" t="s">
        <v>420</v>
      </c>
      <c r="BB561" s="536" t="str">
        <f t="shared" si="79"/>
        <v>1000-1499bwtbirthsMidCentral</v>
      </c>
      <c r="BC561" s="604">
        <v>2016</v>
      </c>
      <c r="BD561" s="604" t="s">
        <v>429</v>
      </c>
      <c r="BE561" s="604" t="s">
        <v>447</v>
      </c>
      <c r="BF561" s="604" t="s">
        <v>94</v>
      </c>
      <c r="BG561" s="604">
        <v>19</v>
      </c>
      <c r="BH561" s="604" t="s">
        <v>445</v>
      </c>
      <c r="BY561" s="553" t="str">
        <f t="shared" si="80"/>
        <v>2007Counties ManukaudhbSIDS</v>
      </c>
      <c r="BZ561" s="604">
        <v>2007</v>
      </c>
      <c r="CA561" s="604" t="s">
        <v>88</v>
      </c>
      <c r="CB561" s="604" t="s">
        <v>448</v>
      </c>
      <c r="CC561" s="604">
        <v>11</v>
      </c>
      <c r="CD561" s="604" t="s">
        <v>32</v>
      </c>
      <c r="CF561" s="559" t="str">
        <f t="shared" si="81"/>
        <v>5yearsAsianTotalOverallSIDS</v>
      </c>
      <c r="CG561" s="604" t="s">
        <v>475</v>
      </c>
      <c r="CH561" s="604" t="s">
        <v>355</v>
      </c>
      <c r="CI561" s="604" t="s">
        <v>44</v>
      </c>
      <c r="CJ561" s="604" t="s">
        <v>104</v>
      </c>
      <c r="CK561" s="604">
        <v>4</v>
      </c>
      <c r="CL561" s="604" t="s">
        <v>32</v>
      </c>
    </row>
    <row r="562" spans="9:90">
      <c r="I562" s="578" t="str">
        <f t="shared" si="74"/>
        <v>2012bwtUnknownFetal</v>
      </c>
      <c r="J562" s="604">
        <v>2012</v>
      </c>
      <c r="K562" s="604" t="s">
        <v>447</v>
      </c>
      <c r="L562" s="604" t="s">
        <v>63</v>
      </c>
      <c r="M562" s="604">
        <v>10</v>
      </c>
      <c r="N562" s="604">
        <v>38</v>
      </c>
      <c r="O562" s="604" t="s">
        <v>119</v>
      </c>
      <c r="P562" s="604" t="s">
        <v>47</v>
      </c>
      <c r="Q562" s="499"/>
      <c r="R562" s="502" t="str">
        <f t="shared" si="75"/>
        <v>2009birthsdhbHutt Valley</v>
      </c>
      <c r="S562" s="604">
        <v>2009</v>
      </c>
      <c r="T562" s="604" t="s">
        <v>445</v>
      </c>
      <c r="U562" s="604" t="s">
        <v>448</v>
      </c>
      <c r="V562" s="604" t="s">
        <v>97</v>
      </c>
      <c r="W562" s="604">
        <v>2201</v>
      </c>
      <c r="Y562" s="535" t="str">
        <f t="shared" si="76"/>
        <v>2016ethgestMaori&lt;28fetal</v>
      </c>
      <c r="Z562" s="604">
        <v>2016</v>
      </c>
      <c r="AA562" s="604" t="s">
        <v>449</v>
      </c>
      <c r="AB562" s="604" t="s">
        <v>450</v>
      </c>
      <c r="AC562" s="604" t="s">
        <v>129</v>
      </c>
      <c r="AD562" s="604" t="s">
        <v>375</v>
      </c>
      <c r="AE562" s="604">
        <v>74</v>
      </c>
      <c r="AF562" s="604">
        <v>92</v>
      </c>
      <c r="AG562" s="604">
        <v>445.8</v>
      </c>
      <c r="AH562" s="604" t="s">
        <v>420</v>
      </c>
      <c r="AJ562" s="535" t="str">
        <f t="shared" si="77"/>
        <v>2016ethgestMaori&lt;28</v>
      </c>
      <c r="AK562" s="604">
        <v>2016</v>
      </c>
      <c r="AL562" s="604" t="s">
        <v>449</v>
      </c>
      <c r="AM562" s="604" t="s">
        <v>450</v>
      </c>
      <c r="AN562" s="604" t="s">
        <v>129</v>
      </c>
      <c r="AO562" s="604" t="s">
        <v>375</v>
      </c>
      <c r="AP562" s="604">
        <v>92</v>
      </c>
      <c r="AR562" s="538" t="str">
        <f t="shared" si="78"/>
        <v>MalesexfetalTairawhiti</v>
      </c>
      <c r="AS562" s="604">
        <v>2016</v>
      </c>
      <c r="AT562" s="604" t="s">
        <v>70</v>
      </c>
      <c r="AU562" s="604" t="s">
        <v>451</v>
      </c>
      <c r="AV562" s="604" t="s">
        <v>433</v>
      </c>
      <c r="AW562" s="604">
        <v>0</v>
      </c>
      <c r="AX562" s="604">
        <v>374</v>
      </c>
      <c r="AY562" s="606">
        <v>0</v>
      </c>
      <c r="AZ562" s="604" t="s">
        <v>420</v>
      </c>
      <c r="BB562" s="536" t="str">
        <f t="shared" si="79"/>
        <v>1500-2499bwtbirthsMidCentral</v>
      </c>
      <c r="BC562" s="604">
        <v>2016</v>
      </c>
      <c r="BD562" s="604" t="s">
        <v>430</v>
      </c>
      <c r="BE562" s="604" t="s">
        <v>447</v>
      </c>
      <c r="BF562" s="604" t="s">
        <v>94</v>
      </c>
      <c r="BG562" s="604">
        <v>129</v>
      </c>
      <c r="BH562" s="604" t="s">
        <v>445</v>
      </c>
      <c r="BY562" s="553" t="str">
        <f t="shared" si="80"/>
        <v>2007WaikatodhbSIDS</v>
      </c>
      <c r="BZ562" s="604">
        <v>2007</v>
      </c>
      <c r="CA562" s="604" t="s">
        <v>89</v>
      </c>
      <c r="CB562" s="604" t="s">
        <v>448</v>
      </c>
      <c r="CC562" s="604">
        <v>9</v>
      </c>
      <c r="CD562" s="604" t="s">
        <v>32</v>
      </c>
      <c r="CF562" s="559" t="str">
        <f t="shared" si="81"/>
        <v>5yearsEuropean or OtherTotalOverallSIDS</v>
      </c>
      <c r="CG562" s="604" t="s">
        <v>475</v>
      </c>
      <c r="CH562" s="604" t="s">
        <v>356</v>
      </c>
      <c r="CI562" s="604" t="s">
        <v>44</v>
      </c>
      <c r="CJ562" s="604" t="s">
        <v>104</v>
      </c>
      <c r="CK562" s="604">
        <v>31</v>
      </c>
      <c r="CL562" s="604" t="s">
        <v>32</v>
      </c>
    </row>
    <row r="563" spans="9:90">
      <c r="I563" s="578" t="str">
        <f t="shared" si="74"/>
        <v>2013bwt&lt;500Fetal</v>
      </c>
      <c r="J563" s="604">
        <v>2013</v>
      </c>
      <c r="K563" s="604" t="s">
        <v>447</v>
      </c>
      <c r="L563" s="604" t="s">
        <v>427</v>
      </c>
      <c r="M563" s="604">
        <v>160</v>
      </c>
      <c r="N563" s="604">
        <v>225</v>
      </c>
      <c r="O563" s="604">
        <v>711.1</v>
      </c>
      <c r="P563" s="604" t="s">
        <v>47</v>
      </c>
      <c r="Q563" s="499"/>
      <c r="R563" s="502" t="str">
        <f t="shared" si="75"/>
        <v>2009birthsdhbWairarapa</v>
      </c>
      <c r="S563" s="604">
        <v>2009</v>
      </c>
      <c r="T563" s="604" t="s">
        <v>445</v>
      </c>
      <c r="U563" s="604" t="s">
        <v>448</v>
      </c>
      <c r="V563" s="604" t="s">
        <v>98</v>
      </c>
      <c r="W563" s="604">
        <v>555</v>
      </c>
      <c r="Y563" s="535" t="str">
        <f t="shared" si="76"/>
        <v>2016ethgestPacific peoples&lt;28fetal</v>
      </c>
      <c r="Z563" s="604">
        <v>2016</v>
      </c>
      <c r="AA563" s="604" t="s">
        <v>449</v>
      </c>
      <c r="AB563" s="604" t="s">
        <v>450</v>
      </c>
      <c r="AC563" s="604" t="s">
        <v>320</v>
      </c>
      <c r="AD563" s="604" t="s">
        <v>375</v>
      </c>
      <c r="AE563" s="604">
        <v>18</v>
      </c>
      <c r="AF563" s="604">
        <v>36</v>
      </c>
      <c r="AG563" s="604">
        <v>333.3</v>
      </c>
      <c r="AH563" s="604" t="s">
        <v>420</v>
      </c>
      <c r="AJ563" s="535" t="str">
        <f t="shared" si="77"/>
        <v>2016ethgestPacific peoples&lt;28</v>
      </c>
      <c r="AK563" s="604">
        <v>2016</v>
      </c>
      <c r="AL563" s="604" t="s">
        <v>449</v>
      </c>
      <c r="AM563" s="604" t="s">
        <v>450</v>
      </c>
      <c r="AN563" s="604" t="s">
        <v>320</v>
      </c>
      <c r="AO563" s="604" t="s">
        <v>375</v>
      </c>
      <c r="AP563" s="604">
        <v>36</v>
      </c>
      <c r="AR563" s="538" t="str">
        <f t="shared" si="78"/>
        <v>FemalesexfetalSouth Canterbury</v>
      </c>
      <c r="AS563" s="604">
        <v>2016</v>
      </c>
      <c r="AT563" s="604" t="s">
        <v>71</v>
      </c>
      <c r="AU563" s="604" t="s">
        <v>451</v>
      </c>
      <c r="AV563" s="604" t="s">
        <v>102</v>
      </c>
      <c r="AW563" s="604">
        <v>0</v>
      </c>
      <c r="AX563" s="604">
        <v>286</v>
      </c>
      <c r="AY563" s="606">
        <v>0</v>
      </c>
      <c r="AZ563" s="604" t="s">
        <v>420</v>
      </c>
      <c r="BB563" s="536" t="str">
        <f t="shared" si="79"/>
        <v>2500-4499bwtbirthsMidCentral</v>
      </c>
      <c r="BC563" s="604">
        <v>2016</v>
      </c>
      <c r="BD563" s="604" t="s">
        <v>431</v>
      </c>
      <c r="BE563" s="604" t="s">
        <v>447</v>
      </c>
      <c r="BF563" s="604" t="s">
        <v>94</v>
      </c>
      <c r="BG563" s="604">
        <v>1892</v>
      </c>
      <c r="BH563" s="604" t="s">
        <v>445</v>
      </c>
      <c r="BY563" s="553" t="str">
        <f t="shared" si="80"/>
        <v>2007LakesdhbSIDS</v>
      </c>
      <c r="BZ563" s="604">
        <v>2007</v>
      </c>
      <c r="CA563" s="604" t="s">
        <v>90</v>
      </c>
      <c r="CB563" s="604" t="s">
        <v>448</v>
      </c>
      <c r="CC563" s="604">
        <v>3</v>
      </c>
      <c r="CD563" s="604" t="s">
        <v>32</v>
      </c>
      <c r="CF563" s="559" t="str">
        <f t="shared" si="81"/>
        <v>5yearsMaoriTotalOverallSIDS</v>
      </c>
      <c r="CG563" s="604" t="s">
        <v>475</v>
      </c>
      <c r="CH563" s="604" t="s">
        <v>129</v>
      </c>
      <c r="CI563" s="604" t="s">
        <v>44</v>
      </c>
      <c r="CJ563" s="604" t="s">
        <v>104</v>
      </c>
      <c r="CK563" s="604">
        <v>54</v>
      </c>
      <c r="CL563" s="604" t="s">
        <v>32</v>
      </c>
    </row>
    <row r="564" spans="9:90">
      <c r="I564" s="578" t="str">
        <f t="shared" si="74"/>
        <v>2013bwt500-999Fetal</v>
      </c>
      <c r="J564" s="604">
        <v>2013</v>
      </c>
      <c r="K564" s="604" t="s">
        <v>447</v>
      </c>
      <c r="L564" s="604" t="s">
        <v>428</v>
      </c>
      <c r="M564" s="604">
        <v>76</v>
      </c>
      <c r="N564" s="604">
        <v>292</v>
      </c>
      <c r="O564" s="604">
        <v>260.3</v>
      </c>
      <c r="P564" s="604" t="s">
        <v>47</v>
      </c>
      <c r="Q564" s="499"/>
      <c r="R564" s="502" t="str">
        <f t="shared" si="75"/>
        <v>2009birthsdhbNelson Marlborough</v>
      </c>
      <c r="S564" s="604">
        <v>2009</v>
      </c>
      <c r="T564" s="604" t="s">
        <v>445</v>
      </c>
      <c r="U564" s="604" t="s">
        <v>448</v>
      </c>
      <c r="V564" s="604" t="s">
        <v>99</v>
      </c>
      <c r="W564" s="604">
        <v>1660</v>
      </c>
      <c r="Y564" s="535" t="str">
        <f t="shared" si="76"/>
        <v>2016ethgestAsian&lt;28fetal</v>
      </c>
      <c r="Z564" s="604">
        <v>2016</v>
      </c>
      <c r="AA564" s="604" t="s">
        <v>449</v>
      </c>
      <c r="AB564" s="604" t="s">
        <v>450</v>
      </c>
      <c r="AC564" s="604" t="s">
        <v>355</v>
      </c>
      <c r="AD564" s="604" t="s">
        <v>375</v>
      </c>
      <c r="AE564" s="604">
        <v>41</v>
      </c>
      <c r="AF564" s="604">
        <v>52</v>
      </c>
      <c r="AG564" s="604">
        <v>440.9</v>
      </c>
      <c r="AH564" s="604" t="s">
        <v>420</v>
      </c>
      <c r="AJ564" s="535" t="str">
        <f t="shared" si="77"/>
        <v>2016ethgestAsian&lt;28</v>
      </c>
      <c r="AK564" s="604">
        <v>2016</v>
      </c>
      <c r="AL564" s="604" t="s">
        <v>449</v>
      </c>
      <c r="AM564" s="604" t="s">
        <v>450</v>
      </c>
      <c r="AN564" s="604" t="s">
        <v>355</v>
      </c>
      <c r="AO564" s="604" t="s">
        <v>375</v>
      </c>
      <c r="AP564" s="604">
        <v>52</v>
      </c>
      <c r="AR564" s="538" t="str">
        <f t="shared" si="78"/>
        <v>FemalesexfetalUnknown</v>
      </c>
      <c r="AS564" s="604">
        <v>2016</v>
      </c>
      <c r="AT564" s="604" t="s">
        <v>71</v>
      </c>
      <c r="AU564" s="604" t="s">
        <v>451</v>
      </c>
      <c r="AV564" s="604" t="s">
        <v>63</v>
      </c>
      <c r="AW564" s="604">
        <v>0</v>
      </c>
      <c r="AX564" s="604">
        <v>67</v>
      </c>
      <c r="AY564" s="606" t="s">
        <v>119</v>
      </c>
      <c r="AZ564" s="604" t="s">
        <v>420</v>
      </c>
      <c r="BB564" s="536" t="str">
        <f t="shared" si="79"/>
        <v>4500+bwtbirthsMidCentral</v>
      </c>
      <c r="BC564" s="604">
        <v>2016</v>
      </c>
      <c r="BD564" s="604" t="s">
        <v>432</v>
      </c>
      <c r="BE564" s="604" t="s">
        <v>447</v>
      </c>
      <c r="BF564" s="604" t="s">
        <v>94</v>
      </c>
      <c r="BG564" s="604">
        <v>54</v>
      </c>
      <c r="BH564" s="604" t="s">
        <v>445</v>
      </c>
      <c r="BY564" s="553" t="str">
        <f t="shared" si="80"/>
        <v>2007Bay of PlentydhbSIDS</v>
      </c>
      <c r="BZ564" s="604">
        <v>2007</v>
      </c>
      <c r="CA564" s="604" t="s">
        <v>91</v>
      </c>
      <c r="CB564" s="604" t="s">
        <v>448</v>
      </c>
      <c r="CC564" s="604">
        <v>3</v>
      </c>
      <c r="CD564" s="604" t="s">
        <v>32</v>
      </c>
      <c r="CF564" s="559" t="str">
        <f t="shared" si="81"/>
        <v>5yearsPacific peoplesTotalOverallSIDS</v>
      </c>
      <c r="CG564" s="604" t="s">
        <v>475</v>
      </c>
      <c r="CH564" s="604" t="s">
        <v>320</v>
      </c>
      <c r="CI564" s="604" t="s">
        <v>44</v>
      </c>
      <c r="CJ564" s="604" t="s">
        <v>104</v>
      </c>
      <c r="CK564" s="604">
        <v>12</v>
      </c>
      <c r="CL564" s="604" t="s">
        <v>32</v>
      </c>
    </row>
    <row r="565" spans="9:90">
      <c r="I565" s="578" t="str">
        <f t="shared" si="74"/>
        <v>2013bwt1000-1499Fetal</v>
      </c>
      <c r="J565" s="604">
        <v>2013</v>
      </c>
      <c r="K565" s="604" t="s">
        <v>447</v>
      </c>
      <c r="L565" s="604" t="s">
        <v>429</v>
      </c>
      <c r="M565" s="604">
        <v>21</v>
      </c>
      <c r="N565" s="604">
        <v>338</v>
      </c>
      <c r="O565" s="604">
        <v>62.1</v>
      </c>
      <c r="P565" s="604" t="s">
        <v>47</v>
      </c>
      <c r="Q565" s="499"/>
      <c r="R565" s="502" t="str">
        <f t="shared" si="75"/>
        <v>2009birthsdhbWest Coast</v>
      </c>
      <c r="S565" s="604">
        <v>2009</v>
      </c>
      <c r="T565" s="604" t="s">
        <v>445</v>
      </c>
      <c r="U565" s="604" t="s">
        <v>448</v>
      </c>
      <c r="V565" s="604" t="s">
        <v>100</v>
      </c>
      <c r="W565" s="604">
        <v>432</v>
      </c>
      <c r="Y565" s="535" t="str">
        <f t="shared" si="76"/>
        <v>2016ethgestEuropean or Other&lt;28fetal</v>
      </c>
      <c r="Z565" s="604">
        <v>2016</v>
      </c>
      <c r="AA565" s="604" t="s">
        <v>449</v>
      </c>
      <c r="AB565" s="604" t="s">
        <v>450</v>
      </c>
      <c r="AC565" s="604" t="s">
        <v>356</v>
      </c>
      <c r="AD565" s="604" t="s">
        <v>375</v>
      </c>
      <c r="AE565" s="604">
        <v>94</v>
      </c>
      <c r="AF565" s="604">
        <v>80</v>
      </c>
      <c r="AG565" s="604" t="s">
        <v>119</v>
      </c>
      <c r="AH565" s="604" t="s">
        <v>420</v>
      </c>
      <c r="AJ565" s="535" t="str">
        <f t="shared" si="77"/>
        <v>2016ethgestEuropean or Other&lt;28</v>
      </c>
      <c r="AK565" s="604">
        <v>2016</v>
      </c>
      <c r="AL565" s="604" t="s">
        <v>449</v>
      </c>
      <c r="AM565" s="604" t="s">
        <v>450</v>
      </c>
      <c r="AN565" s="604" t="s">
        <v>356</v>
      </c>
      <c r="AO565" s="604" t="s">
        <v>375</v>
      </c>
      <c r="AP565" s="604">
        <v>80</v>
      </c>
      <c r="AR565" s="538" t="str">
        <f t="shared" si="78"/>
        <v>Quin 1depfetalNorthland</v>
      </c>
      <c r="AS565" s="604">
        <v>2016</v>
      </c>
      <c r="AT565" s="604" t="s">
        <v>421</v>
      </c>
      <c r="AU565" s="604" t="s">
        <v>454</v>
      </c>
      <c r="AV565" s="604" t="s">
        <v>85</v>
      </c>
      <c r="AW565" s="604">
        <v>0</v>
      </c>
      <c r="AX565" s="604">
        <v>14</v>
      </c>
      <c r="AY565" s="606">
        <v>0</v>
      </c>
      <c r="AZ565" s="604" t="s">
        <v>420</v>
      </c>
      <c r="BB565" s="536" t="str">
        <f t="shared" si="79"/>
        <v>UnknownbwtbirthsMidCentral</v>
      </c>
      <c r="BC565" s="604">
        <v>2016</v>
      </c>
      <c r="BD565" s="604" t="s">
        <v>63</v>
      </c>
      <c r="BE565" s="604" t="s">
        <v>447</v>
      </c>
      <c r="BF565" s="604" t="s">
        <v>94</v>
      </c>
      <c r="BG565" s="604">
        <v>1</v>
      </c>
      <c r="BH565" s="604" t="s">
        <v>445</v>
      </c>
      <c r="BY565" s="553" t="str">
        <f t="shared" si="80"/>
        <v>2007TairawhitidhbSIDS</v>
      </c>
      <c r="BZ565" s="604">
        <v>2007</v>
      </c>
      <c r="CA565" s="604" t="s">
        <v>433</v>
      </c>
      <c r="CB565" s="604" t="s">
        <v>448</v>
      </c>
      <c r="CC565" s="604">
        <v>0</v>
      </c>
      <c r="CD565" s="604" t="s">
        <v>32</v>
      </c>
      <c r="CF565" s="559" t="str">
        <f t="shared" si="81"/>
        <v>5yearsAsian&lt;20ageSUDI</v>
      </c>
      <c r="CG565" s="604" t="s">
        <v>475</v>
      </c>
      <c r="CH565" s="604" t="s">
        <v>355</v>
      </c>
      <c r="CI565" s="604" t="s">
        <v>339</v>
      </c>
      <c r="CJ565" s="604" t="s">
        <v>453</v>
      </c>
      <c r="CK565" s="604">
        <v>1</v>
      </c>
      <c r="CL565" s="604" t="s">
        <v>33</v>
      </c>
    </row>
    <row r="566" spans="9:90">
      <c r="I566" s="578" t="str">
        <f t="shared" si="74"/>
        <v>2013bwt1500-2499Fetal</v>
      </c>
      <c r="J566" s="604">
        <v>2013</v>
      </c>
      <c r="K566" s="604" t="s">
        <v>447</v>
      </c>
      <c r="L566" s="604" t="s">
        <v>430</v>
      </c>
      <c r="M566" s="604">
        <v>49</v>
      </c>
      <c r="N566" s="604">
        <v>3001</v>
      </c>
      <c r="O566" s="604">
        <v>16.3</v>
      </c>
      <c r="P566" s="604" t="s">
        <v>47</v>
      </c>
      <c r="Q566" s="499"/>
      <c r="R566" s="502" t="str">
        <f t="shared" si="75"/>
        <v>2009birthsdhbCanterbury</v>
      </c>
      <c r="S566" s="604">
        <v>2009</v>
      </c>
      <c r="T566" s="604" t="s">
        <v>445</v>
      </c>
      <c r="U566" s="604" t="s">
        <v>448</v>
      </c>
      <c r="V566" s="604" t="s">
        <v>101</v>
      </c>
      <c r="W566" s="604">
        <v>6533</v>
      </c>
      <c r="Y566" s="535" t="str">
        <f t="shared" si="76"/>
        <v>2016ethgestMaori28-31fetal</v>
      </c>
      <c r="Z566" s="604">
        <v>2016</v>
      </c>
      <c r="AA566" s="604" t="s">
        <v>449</v>
      </c>
      <c r="AB566" s="604" t="s">
        <v>450</v>
      </c>
      <c r="AC566" s="604" t="s">
        <v>129</v>
      </c>
      <c r="AD566" s="604" t="s">
        <v>395</v>
      </c>
      <c r="AE566" s="604">
        <v>4</v>
      </c>
      <c r="AF566" s="604">
        <v>139</v>
      </c>
      <c r="AG566" s="604">
        <v>28</v>
      </c>
      <c r="AH566" s="604" t="s">
        <v>420</v>
      </c>
      <c r="AJ566" s="535" t="str">
        <f t="shared" si="77"/>
        <v>2016ethgestMaori28-31</v>
      </c>
      <c r="AK566" s="604">
        <v>2016</v>
      </c>
      <c r="AL566" s="604" t="s">
        <v>449</v>
      </c>
      <c r="AM566" s="604" t="s">
        <v>450</v>
      </c>
      <c r="AN566" s="604" t="s">
        <v>129</v>
      </c>
      <c r="AO566" s="604" t="s">
        <v>395</v>
      </c>
      <c r="AP566" s="604">
        <v>139</v>
      </c>
      <c r="AR566" s="538" t="str">
        <f t="shared" si="78"/>
        <v>Quin 9depfetalAuckland</v>
      </c>
      <c r="AS566" s="604">
        <v>2016</v>
      </c>
      <c r="AT566" s="604" t="s">
        <v>426</v>
      </c>
      <c r="AU566" s="604" t="s">
        <v>454</v>
      </c>
      <c r="AV566" s="604" t="s">
        <v>87</v>
      </c>
      <c r="AW566" s="604">
        <v>0</v>
      </c>
      <c r="AX566" s="604">
        <v>1</v>
      </c>
      <c r="AY566" s="606" t="s">
        <v>119</v>
      </c>
      <c r="AZ566" s="604" t="s">
        <v>420</v>
      </c>
      <c r="BB566" s="536" t="str">
        <f t="shared" si="79"/>
        <v>500-999bwtbirthsWhanganui</v>
      </c>
      <c r="BC566" s="604">
        <v>2016</v>
      </c>
      <c r="BD566" s="604" t="s">
        <v>428</v>
      </c>
      <c r="BE566" s="604" t="s">
        <v>447</v>
      </c>
      <c r="BF566" s="604" t="s">
        <v>95</v>
      </c>
      <c r="BG566" s="604">
        <v>1</v>
      </c>
      <c r="BH566" s="604" t="s">
        <v>445</v>
      </c>
      <c r="BY566" s="553" t="str">
        <f t="shared" si="80"/>
        <v>2007Hawke's BaydhbSIDS</v>
      </c>
      <c r="BZ566" s="604">
        <v>2007</v>
      </c>
      <c r="CA566" s="604" t="s">
        <v>92</v>
      </c>
      <c r="CB566" s="604" t="s">
        <v>448</v>
      </c>
      <c r="CC566" s="604">
        <v>1</v>
      </c>
      <c r="CD566" s="604" t="s">
        <v>32</v>
      </c>
      <c r="CF566" s="559" t="str">
        <f t="shared" si="81"/>
        <v>5yearsEuropean or Other&lt;20ageSUDI</v>
      </c>
      <c r="CG566" s="604" t="s">
        <v>475</v>
      </c>
      <c r="CH566" s="604" t="s">
        <v>356</v>
      </c>
      <c r="CI566" s="604" t="s">
        <v>339</v>
      </c>
      <c r="CJ566" s="604" t="s">
        <v>453</v>
      </c>
      <c r="CK566" s="604">
        <v>5</v>
      </c>
      <c r="CL566" s="604" t="s">
        <v>33</v>
      </c>
    </row>
    <row r="567" spans="9:90">
      <c r="I567" s="578" t="str">
        <f t="shared" si="74"/>
        <v>2013bwt2500-4499Fetal</v>
      </c>
      <c r="J567" s="604">
        <v>2013</v>
      </c>
      <c r="K567" s="604" t="s">
        <v>447</v>
      </c>
      <c r="L567" s="604" t="s">
        <v>431</v>
      </c>
      <c r="M567" s="604">
        <v>76</v>
      </c>
      <c r="N567" s="604">
        <v>54688</v>
      </c>
      <c r="O567" s="604">
        <v>1.4</v>
      </c>
      <c r="P567" s="604" t="s">
        <v>47</v>
      </c>
      <c r="Q567" s="499"/>
      <c r="R567" s="502" t="str">
        <f t="shared" si="75"/>
        <v>2009birthsdhbSouth Canterbury</v>
      </c>
      <c r="S567" s="604">
        <v>2009</v>
      </c>
      <c r="T567" s="604" t="s">
        <v>445</v>
      </c>
      <c r="U567" s="604" t="s">
        <v>448</v>
      </c>
      <c r="V567" s="604" t="s">
        <v>102</v>
      </c>
      <c r="W567" s="604">
        <v>654</v>
      </c>
      <c r="Y567" s="535" t="str">
        <f t="shared" si="76"/>
        <v>2016ethgestPacific peoples28-31fetal</v>
      </c>
      <c r="Z567" s="604">
        <v>2016</v>
      </c>
      <c r="AA567" s="604" t="s">
        <v>449</v>
      </c>
      <c r="AB567" s="604" t="s">
        <v>450</v>
      </c>
      <c r="AC567" s="604" t="s">
        <v>320</v>
      </c>
      <c r="AD567" s="604" t="s">
        <v>395</v>
      </c>
      <c r="AE567" s="604">
        <v>6</v>
      </c>
      <c r="AF567" s="604">
        <v>29</v>
      </c>
      <c r="AG567" s="604">
        <v>171.4</v>
      </c>
      <c r="AH567" s="604" t="s">
        <v>420</v>
      </c>
      <c r="AJ567" s="535" t="str">
        <f t="shared" si="77"/>
        <v>2016ethgestPacific peoples28-31</v>
      </c>
      <c r="AK567" s="604">
        <v>2016</v>
      </c>
      <c r="AL567" s="604" t="s">
        <v>449</v>
      </c>
      <c r="AM567" s="604" t="s">
        <v>450</v>
      </c>
      <c r="AN567" s="604" t="s">
        <v>320</v>
      </c>
      <c r="AO567" s="604" t="s">
        <v>395</v>
      </c>
      <c r="AP567" s="604">
        <v>29</v>
      </c>
      <c r="AR567" s="538" t="str">
        <f t="shared" si="78"/>
        <v>Quin 1depfetalLakes</v>
      </c>
      <c r="AS567" s="604">
        <v>2016</v>
      </c>
      <c r="AT567" s="604" t="s">
        <v>421</v>
      </c>
      <c r="AU567" s="604" t="s">
        <v>454</v>
      </c>
      <c r="AV567" s="604" t="s">
        <v>90</v>
      </c>
      <c r="AW567" s="604">
        <v>0</v>
      </c>
      <c r="AX567" s="604">
        <v>55</v>
      </c>
      <c r="AY567" s="606">
        <v>0</v>
      </c>
      <c r="AZ567" s="604" t="s">
        <v>420</v>
      </c>
      <c r="BB567" s="536" t="str">
        <f t="shared" si="79"/>
        <v>1000-1499bwtbirthsWhanganui</v>
      </c>
      <c r="BC567" s="604">
        <v>2016</v>
      </c>
      <c r="BD567" s="604" t="s">
        <v>429</v>
      </c>
      <c r="BE567" s="604" t="s">
        <v>447</v>
      </c>
      <c r="BF567" s="604" t="s">
        <v>95</v>
      </c>
      <c r="BG567" s="604">
        <v>4</v>
      </c>
      <c r="BH567" s="604" t="s">
        <v>445</v>
      </c>
      <c r="BY567" s="553" t="str">
        <f t="shared" si="80"/>
        <v>2007TaranakidhbSIDS</v>
      </c>
      <c r="BZ567" s="604">
        <v>2007</v>
      </c>
      <c r="CA567" s="604" t="s">
        <v>93</v>
      </c>
      <c r="CB567" s="604" t="s">
        <v>448</v>
      </c>
      <c r="CC567" s="604">
        <v>1</v>
      </c>
      <c r="CD567" s="604" t="s">
        <v>32</v>
      </c>
      <c r="CF567" s="559" t="str">
        <f t="shared" si="81"/>
        <v>5yearsMaori&lt;20ageSUDI</v>
      </c>
      <c r="CG567" s="604" t="s">
        <v>475</v>
      </c>
      <c r="CH567" s="604" t="s">
        <v>129</v>
      </c>
      <c r="CI567" s="604" t="s">
        <v>339</v>
      </c>
      <c r="CJ567" s="604" t="s">
        <v>453</v>
      </c>
      <c r="CK567" s="604">
        <v>26</v>
      </c>
      <c r="CL567" s="604" t="s">
        <v>33</v>
      </c>
    </row>
    <row r="568" spans="9:90">
      <c r="I568" s="578" t="str">
        <f t="shared" si="74"/>
        <v>2013bwt4500+Fetal</v>
      </c>
      <c r="J568" s="604">
        <v>2013</v>
      </c>
      <c r="K568" s="604" t="s">
        <v>447</v>
      </c>
      <c r="L568" s="604" t="s">
        <v>432</v>
      </c>
      <c r="M568" s="604">
        <v>2</v>
      </c>
      <c r="N568" s="604">
        <v>1510</v>
      </c>
      <c r="O568" s="604">
        <v>1.3</v>
      </c>
      <c r="P568" s="604" t="s">
        <v>47</v>
      </c>
      <c r="Q568" s="499"/>
      <c r="R568" s="502" t="str">
        <f t="shared" si="75"/>
        <v>2009birthsdhbSouthern</v>
      </c>
      <c r="S568" s="604">
        <v>2009</v>
      </c>
      <c r="T568" s="604" t="s">
        <v>445</v>
      </c>
      <c r="U568" s="604" t="s">
        <v>448</v>
      </c>
      <c r="V568" s="604" t="s">
        <v>103</v>
      </c>
      <c r="W568" s="604">
        <v>3733</v>
      </c>
      <c r="Y568" s="535" t="str">
        <f t="shared" si="76"/>
        <v>2016ethgestAsian28-31fetal</v>
      </c>
      <c r="Z568" s="604">
        <v>2016</v>
      </c>
      <c r="AA568" s="604" t="s">
        <v>449</v>
      </c>
      <c r="AB568" s="604" t="s">
        <v>450</v>
      </c>
      <c r="AC568" s="604" t="s">
        <v>355</v>
      </c>
      <c r="AD568" s="604" t="s">
        <v>395</v>
      </c>
      <c r="AE568" s="604">
        <v>9</v>
      </c>
      <c r="AF568" s="604">
        <v>71</v>
      </c>
      <c r="AG568" s="604">
        <v>112.5</v>
      </c>
      <c r="AH568" s="604" t="s">
        <v>420</v>
      </c>
      <c r="AJ568" s="535" t="str">
        <f t="shared" si="77"/>
        <v>2016ethgestAsian28-31</v>
      </c>
      <c r="AK568" s="604">
        <v>2016</v>
      </c>
      <c r="AL568" s="604" t="s">
        <v>449</v>
      </c>
      <c r="AM568" s="604" t="s">
        <v>450</v>
      </c>
      <c r="AN568" s="604" t="s">
        <v>355</v>
      </c>
      <c r="AO568" s="604" t="s">
        <v>395</v>
      </c>
      <c r="AP568" s="604">
        <v>71</v>
      </c>
      <c r="AR568" s="538" t="str">
        <f t="shared" si="78"/>
        <v>Quin 1depfetalBay of Plenty</v>
      </c>
      <c r="AS568" s="604">
        <v>2016</v>
      </c>
      <c r="AT568" s="604" t="s">
        <v>421</v>
      </c>
      <c r="AU568" s="604" t="s">
        <v>454</v>
      </c>
      <c r="AV568" s="604" t="s">
        <v>91</v>
      </c>
      <c r="AW568" s="604">
        <v>0</v>
      </c>
      <c r="AX568" s="604">
        <v>165</v>
      </c>
      <c r="AY568" s="606">
        <v>0</v>
      </c>
      <c r="AZ568" s="604" t="s">
        <v>420</v>
      </c>
      <c r="BB568" s="536" t="str">
        <f t="shared" si="79"/>
        <v>1500-2499bwtbirthsWhanganui</v>
      </c>
      <c r="BC568" s="604">
        <v>2016</v>
      </c>
      <c r="BD568" s="604" t="s">
        <v>430</v>
      </c>
      <c r="BE568" s="604" t="s">
        <v>447</v>
      </c>
      <c r="BF568" s="604" t="s">
        <v>95</v>
      </c>
      <c r="BG568" s="604">
        <v>46</v>
      </c>
      <c r="BH568" s="604" t="s">
        <v>445</v>
      </c>
      <c r="BY568" s="553" t="str">
        <f t="shared" si="80"/>
        <v>2007MidCentraldhbSIDS</v>
      </c>
      <c r="BZ568" s="604">
        <v>2007</v>
      </c>
      <c r="CA568" s="604" t="s">
        <v>94</v>
      </c>
      <c r="CB568" s="604" t="s">
        <v>448</v>
      </c>
      <c r="CC568" s="604">
        <v>2</v>
      </c>
      <c r="CD568" s="604" t="s">
        <v>32</v>
      </c>
      <c r="CF568" s="559" t="str">
        <f t="shared" si="81"/>
        <v>5yearsPacific peoples&lt;20ageSUDI</v>
      </c>
      <c r="CG568" s="604" t="s">
        <v>475</v>
      </c>
      <c r="CH568" s="604" t="s">
        <v>320</v>
      </c>
      <c r="CI568" s="604" t="s">
        <v>339</v>
      </c>
      <c r="CJ568" s="604" t="s">
        <v>453</v>
      </c>
      <c r="CK568" s="604">
        <v>4</v>
      </c>
      <c r="CL568" s="604" t="s">
        <v>33</v>
      </c>
    </row>
    <row r="569" spans="9:90">
      <c r="I569" s="578" t="str">
        <f t="shared" si="74"/>
        <v>2013bwtUnknownFetal</v>
      </c>
      <c r="J569" s="604">
        <v>2013</v>
      </c>
      <c r="K569" s="604" t="s">
        <v>447</v>
      </c>
      <c r="L569" s="604" t="s">
        <v>63</v>
      </c>
      <c r="M569" s="604">
        <v>9</v>
      </c>
      <c r="N569" s="604">
        <v>40</v>
      </c>
      <c r="O569" s="604" t="s">
        <v>119</v>
      </c>
      <c r="P569" s="604" t="s">
        <v>47</v>
      </c>
      <c r="Q569" s="499"/>
      <c r="R569" s="502" t="str">
        <f t="shared" si="75"/>
        <v>2009birthsdhbUnknown</v>
      </c>
      <c r="S569" s="604">
        <v>2009</v>
      </c>
      <c r="T569" s="604" t="s">
        <v>445</v>
      </c>
      <c r="U569" s="604" t="s">
        <v>448</v>
      </c>
      <c r="V569" s="604" t="s">
        <v>63</v>
      </c>
      <c r="W569" s="604">
        <v>272</v>
      </c>
      <c r="Y569" s="535" t="str">
        <f t="shared" si="76"/>
        <v>2016ethgestEuropean or Other28-31fetal</v>
      </c>
      <c r="Z569" s="604">
        <v>2016</v>
      </c>
      <c r="AA569" s="604" t="s">
        <v>449</v>
      </c>
      <c r="AB569" s="604" t="s">
        <v>450</v>
      </c>
      <c r="AC569" s="604" t="s">
        <v>356</v>
      </c>
      <c r="AD569" s="604" t="s">
        <v>395</v>
      </c>
      <c r="AE569" s="604">
        <v>19</v>
      </c>
      <c r="AF569" s="604">
        <v>178</v>
      </c>
      <c r="AG569" s="604">
        <v>96.4</v>
      </c>
      <c r="AH569" s="604" t="s">
        <v>420</v>
      </c>
      <c r="AJ569" s="535" t="str">
        <f t="shared" si="77"/>
        <v>2016ethgestEuropean or Other28-31</v>
      </c>
      <c r="AK569" s="604">
        <v>2016</v>
      </c>
      <c r="AL569" s="604" t="s">
        <v>449</v>
      </c>
      <c r="AM569" s="604" t="s">
        <v>450</v>
      </c>
      <c r="AN569" s="604" t="s">
        <v>356</v>
      </c>
      <c r="AO569" s="604" t="s">
        <v>395</v>
      </c>
      <c r="AP569" s="604">
        <v>178</v>
      </c>
      <c r="AR569" s="538" t="str">
        <f t="shared" si="78"/>
        <v>Quin 1depfetalTairawhiti</v>
      </c>
      <c r="AS569" s="604">
        <v>2016</v>
      </c>
      <c r="AT569" s="604" t="s">
        <v>421</v>
      </c>
      <c r="AU569" s="604" t="s">
        <v>454</v>
      </c>
      <c r="AV569" s="604" t="s">
        <v>433</v>
      </c>
      <c r="AW569" s="604">
        <v>0</v>
      </c>
      <c r="AX569" s="604">
        <v>25</v>
      </c>
      <c r="AY569" s="606">
        <v>0</v>
      </c>
      <c r="AZ569" s="604" t="s">
        <v>420</v>
      </c>
      <c r="BB569" s="536" t="str">
        <f t="shared" si="79"/>
        <v>2500-4499bwtbirthsWhanganui</v>
      </c>
      <c r="BC569" s="604">
        <v>2016</v>
      </c>
      <c r="BD569" s="604" t="s">
        <v>431</v>
      </c>
      <c r="BE569" s="604" t="s">
        <v>447</v>
      </c>
      <c r="BF569" s="604" t="s">
        <v>95</v>
      </c>
      <c r="BG569" s="604">
        <v>773</v>
      </c>
      <c r="BH569" s="604" t="s">
        <v>445</v>
      </c>
      <c r="BY569" s="553" t="str">
        <f t="shared" si="80"/>
        <v>2007WhanganuidhbSIDS</v>
      </c>
      <c r="BZ569" s="604">
        <v>2007</v>
      </c>
      <c r="CA569" s="604" t="s">
        <v>95</v>
      </c>
      <c r="CB569" s="604" t="s">
        <v>448</v>
      </c>
      <c r="CC569" s="604">
        <v>2</v>
      </c>
      <c r="CD569" s="604" t="s">
        <v>32</v>
      </c>
      <c r="CF569" s="559" t="str">
        <f t="shared" si="81"/>
        <v>5yearsAsian20-24ageSUDI</v>
      </c>
      <c r="CG569" s="604" t="s">
        <v>475</v>
      </c>
      <c r="CH569" s="604" t="s">
        <v>355</v>
      </c>
      <c r="CI569" s="604" t="s">
        <v>130</v>
      </c>
      <c r="CJ569" s="604" t="s">
        <v>453</v>
      </c>
      <c r="CK569" s="604">
        <v>1</v>
      </c>
      <c r="CL569" s="604" t="s">
        <v>33</v>
      </c>
    </row>
    <row r="570" spans="9:90">
      <c r="I570" s="578" t="str">
        <f t="shared" si="74"/>
        <v>2014bwt&lt;500Fetal</v>
      </c>
      <c r="J570" s="604">
        <v>2014</v>
      </c>
      <c r="K570" s="604" t="s">
        <v>447</v>
      </c>
      <c r="L570" s="604" t="s">
        <v>427</v>
      </c>
      <c r="M570" s="604">
        <v>183</v>
      </c>
      <c r="N570" s="604">
        <v>278</v>
      </c>
      <c r="O570" s="604">
        <v>658.3</v>
      </c>
      <c r="P570" s="604" t="s">
        <v>47</v>
      </c>
      <c r="Q570" s="499"/>
      <c r="R570" s="502" t="str">
        <f t="shared" si="75"/>
        <v>2010birthsdhbNorthland</v>
      </c>
      <c r="S570" s="604">
        <v>2010</v>
      </c>
      <c r="T570" s="604" t="s">
        <v>445</v>
      </c>
      <c r="U570" s="604" t="s">
        <v>448</v>
      </c>
      <c r="V570" s="604" t="s">
        <v>85</v>
      </c>
      <c r="W570" s="604">
        <v>2456</v>
      </c>
      <c r="Y570" s="535" t="str">
        <f t="shared" si="76"/>
        <v>2016ethgestMaori32-36fetal</v>
      </c>
      <c r="Z570" s="604">
        <v>2016</v>
      </c>
      <c r="AA570" s="604" t="s">
        <v>449</v>
      </c>
      <c r="AB570" s="604" t="s">
        <v>450</v>
      </c>
      <c r="AC570" s="604" t="s">
        <v>129</v>
      </c>
      <c r="AD570" s="604" t="s">
        <v>136</v>
      </c>
      <c r="AE570" s="604">
        <v>18</v>
      </c>
      <c r="AF570" s="604">
        <v>1193</v>
      </c>
      <c r="AG570" s="604">
        <v>14.9</v>
      </c>
      <c r="AH570" s="604" t="s">
        <v>420</v>
      </c>
      <c r="AJ570" s="535" t="str">
        <f t="shared" si="77"/>
        <v>2016ethgestMaori32-36</v>
      </c>
      <c r="AK570" s="604">
        <v>2016</v>
      </c>
      <c r="AL570" s="604" t="s">
        <v>449</v>
      </c>
      <c r="AM570" s="604" t="s">
        <v>450</v>
      </c>
      <c r="AN570" s="604" t="s">
        <v>129</v>
      </c>
      <c r="AO570" s="604" t="s">
        <v>136</v>
      </c>
      <c r="AP570" s="604">
        <v>1193</v>
      </c>
      <c r="AR570" s="538" t="str">
        <f t="shared" si="78"/>
        <v>Quin 2depfetalTairawhiti</v>
      </c>
      <c r="AS570" s="604">
        <v>2016</v>
      </c>
      <c r="AT570" s="604" t="s">
        <v>422</v>
      </c>
      <c r="AU570" s="604" t="s">
        <v>454</v>
      </c>
      <c r="AV570" s="604" t="s">
        <v>433</v>
      </c>
      <c r="AW570" s="604">
        <v>0</v>
      </c>
      <c r="AX570" s="604">
        <v>59</v>
      </c>
      <c r="AY570" s="606">
        <v>0</v>
      </c>
      <c r="AZ570" s="604" t="s">
        <v>420</v>
      </c>
      <c r="BB570" s="536" t="str">
        <f t="shared" si="79"/>
        <v>4500+bwtbirthsWhanganui</v>
      </c>
      <c r="BC570" s="604">
        <v>2016</v>
      </c>
      <c r="BD570" s="604" t="s">
        <v>432</v>
      </c>
      <c r="BE570" s="604" t="s">
        <v>447</v>
      </c>
      <c r="BF570" s="604" t="s">
        <v>95</v>
      </c>
      <c r="BG570" s="604">
        <v>19</v>
      </c>
      <c r="BH570" s="604" t="s">
        <v>445</v>
      </c>
      <c r="BY570" s="553" t="str">
        <f t="shared" si="80"/>
        <v>2007Capital &amp; CoastdhbSIDS</v>
      </c>
      <c r="BZ570" s="604">
        <v>2007</v>
      </c>
      <c r="CA570" s="604" t="s">
        <v>96</v>
      </c>
      <c r="CB570" s="604" t="s">
        <v>448</v>
      </c>
      <c r="CC570" s="604">
        <v>0</v>
      </c>
      <c r="CD570" s="604" t="s">
        <v>32</v>
      </c>
      <c r="CF570" s="559" t="str">
        <f t="shared" si="81"/>
        <v>5yearsEuropean or Other20-24ageSUDI</v>
      </c>
      <c r="CG570" s="604" t="s">
        <v>475</v>
      </c>
      <c r="CH570" s="604" t="s">
        <v>356</v>
      </c>
      <c r="CI570" s="604" t="s">
        <v>130</v>
      </c>
      <c r="CJ570" s="604" t="s">
        <v>453</v>
      </c>
      <c r="CK570" s="604">
        <v>16</v>
      </c>
      <c r="CL570" s="604" t="s">
        <v>33</v>
      </c>
    </row>
    <row r="571" spans="9:90">
      <c r="I571" s="578" t="str">
        <f t="shared" si="74"/>
        <v>2014bwt500-999Fetal</v>
      </c>
      <c r="J571" s="604">
        <v>2014</v>
      </c>
      <c r="K571" s="604" t="s">
        <v>447</v>
      </c>
      <c r="L571" s="604" t="s">
        <v>428</v>
      </c>
      <c r="M571" s="604">
        <v>104</v>
      </c>
      <c r="N571" s="604">
        <v>319</v>
      </c>
      <c r="O571" s="604">
        <v>326</v>
      </c>
      <c r="P571" s="604" t="s">
        <v>47</v>
      </c>
      <c r="Q571" s="499"/>
      <c r="R571" s="502" t="str">
        <f t="shared" si="75"/>
        <v>2010birthsdhbWaitemata</v>
      </c>
      <c r="S571" s="604">
        <v>2010</v>
      </c>
      <c r="T571" s="604" t="s">
        <v>445</v>
      </c>
      <c r="U571" s="604" t="s">
        <v>448</v>
      </c>
      <c r="V571" s="604" t="s">
        <v>86</v>
      </c>
      <c r="W571" s="604">
        <v>8106</v>
      </c>
      <c r="Y571" s="535" t="str">
        <f t="shared" si="76"/>
        <v>2016ethgestPacific peoples32-36fetal</v>
      </c>
      <c r="Z571" s="604">
        <v>2016</v>
      </c>
      <c r="AA571" s="604" t="s">
        <v>449</v>
      </c>
      <c r="AB571" s="604" t="s">
        <v>450</v>
      </c>
      <c r="AC571" s="604" t="s">
        <v>320</v>
      </c>
      <c r="AD571" s="604" t="s">
        <v>136</v>
      </c>
      <c r="AE571" s="604">
        <v>8</v>
      </c>
      <c r="AF571" s="604">
        <v>376</v>
      </c>
      <c r="AG571" s="604">
        <v>20.8</v>
      </c>
      <c r="AH571" s="604" t="s">
        <v>420</v>
      </c>
      <c r="AJ571" s="535" t="str">
        <f t="shared" si="77"/>
        <v>2016ethgestPacific peoples32-36</v>
      </c>
      <c r="AK571" s="604">
        <v>2016</v>
      </c>
      <c r="AL571" s="604" t="s">
        <v>449</v>
      </c>
      <c r="AM571" s="604" t="s">
        <v>450</v>
      </c>
      <c r="AN571" s="604" t="s">
        <v>320</v>
      </c>
      <c r="AO571" s="604" t="s">
        <v>136</v>
      </c>
      <c r="AP571" s="604">
        <v>376</v>
      </c>
      <c r="AR571" s="538" t="str">
        <f t="shared" si="78"/>
        <v>Quin 3depfetalTairawhiti</v>
      </c>
      <c r="AS571" s="604">
        <v>2016</v>
      </c>
      <c r="AT571" s="604" t="s">
        <v>423</v>
      </c>
      <c r="AU571" s="604" t="s">
        <v>454</v>
      </c>
      <c r="AV571" s="604" t="s">
        <v>433</v>
      </c>
      <c r="AW571" s="604">
        <v>0</v>
      </c>
      <c r="AX571" s="604">
        <v>111</v>
      </c>
      <c r="AY571" s="606">
        <v>0</v>
      </c>
      <c r="AZ571" s="604" t="s">
        <v>420</v>
      </c>
      <c r="BB571" s="536" t="str">
        <f t="shared" si="79"/>
        <v>&lt;500bwtbirthsCapital &amp; Coast</v>
      </c>
      <c r="BC571" s="604">
        <v>2016</v>
      </c>
      <c r="BD571" s="604" t="s">
        <v>427</v>
      </c>
      <c r="BE571" s="604" t="s">
        <v>447</v>
      </c>
      <c r="BF571" s="604" t="s">
        <v>96</v>
      </c>
      <c r="BG571" s="604">
        <v>1</v>
      </c>
      <c r="BH571" s="604" t="s">
        <v>445</v>
      </c>
      <c r="BY571" s="553" t="str">
        <f t="shared" si="80"/>
        <v>2007Hutt ValleydhbSIDS</v>
      </c>
      <c r="BZ571" s="604">
        <v>2007</v>
      </c>
      <c r="CA571" s="604" t="s">
        <v>97</v>
      </c>
      <c r="CB571" s="604" t="s">
        <v>448</v>
      </c>
      <c r="CC571" s="604">
        <v>2</v>
      </c>
      <c r="CD571" s="604" t="s">
        <v>32</v>
      </c>
      <c r="CF571" s="559" t="str">
        <f t="shared" si="81"/>
        <v>5yearsMaori20-24ageSUDI</v>
      </c>
      <c r="CG571" s="604" t="s">
        <v>475</v>
      </c>
      <c r="CH571" s="604" t="s">
        <v>129</v>
      </c>
      <c r="CI571" s="604" t="s">
        <v>130</v>
      </c>
      <c r="CJ571" s="604" t="s">
        <v>453</v>
      </c>
      <c r="CK571" s="604">
        <v>39</v>
      </c>
      <c r="CL571" s="604" t="s">
        <v>33</v>
      </c>
    </row>
    <row r="572" spans="9:90">
      <c r="I572" s="578" t="str">
        <f t="shared" si="74"/>
        <v>2014bwt1000-1499Fetal</v>
      </c>
      <c r="J572" s="604">
        <v>2014</v>
      </c>
      <c r="K572" s="604" t="s">
        <v>447</v>
      </c>
      <c r="L572" s="604" t="s">
        <v>429</v>
      </c>
      <c r="M572" s="604">
        <v>30</v>
      </c>
      <c r="N572" s="604">
        <v>342</v>
      </c>
      <c r="O572" s="604">
        <v>87.7</v>
      </c>
      <c r="P572" s="604" t="s">
        <v>47</v>
      </c>
      <c r="Q572" s="499"/>
      <c r="R572" s="502" t="str">
        <f t="shared" si="75"/>
        <v>2010birthsdhbAuckland</v>
      </c>
      <c r="S572" s="604">
        <v>2010</v>
      </c>
      <c r="T572" s="604" t="s">
        <v>445</v>
      </c>
      <c r="U572" s="604" t="s">
        <v>448</v>
      </c>
      <c r="V572" s="604" t="s">
        <v>87</v>
      </c>
      <c r="W572" s="604">
        <v>6700</v>
      </c>
      <c r="Y572" s="535" t="str">
        <f t="shared" si="76"/>
        <v>2016ethgestAsian32-36fetal</v>
      </c>
      <c r="Z572" s="604">
        <v>2016</v>
      </c>
      <c r="AA572" s="604" t="s">
        <v>449</v>
      </c>
      <c r="AB572" s="604" t="s">
        <v>450</v>
      </c>
      <c r="AC572" s="604" t="s">
        <v>355</v>
      </c>
      <c r="AD572" s="604" t="s">
        <v>136</v>
      </c>
      <c r="AE572" s="604">
        <v>8</v>
      </c>
      <c r="AF572" s="604">
        <v>611</v>
      </c>
      <c r="AG572" s="604">
        <v>12.9</v>
      </c>
      <c r="AH572" s="604" t="s">
        <v>420</v>
      </c>
      <c r="AJ572" s="535" t="str">
        <f t="shared" si="77"/>
        <v>2016ethgestAsian32-36</v>
      </c>
      <c r="AK572" s="604">
        <v>2016</v>
      </c>
      <c r="AL572" s="604" t="s">
        <v>449</v>
      </c>
      <c r="AM572" s="604" t="s">
        <v>450</v>
      </c>
      <c r="AN572" s="604" t="s">
        <v>355</v>
      </c>
      <c r="AO572" s="604" t="s">
        <v>136</v>
      </c>
      <c r="AP572" s="604">
        <v>611</v>
      </c>
      <c r="AR572" s="538" t="str">
        <f t="shared" si="78"/>
        <v>Quin 1depfetalHawke's Bay</v>
      </c>
      <c r="AS572" s="604">
        <v>2016</v>
      </c>
      <c r="AT572" s="604" t="s">
        <v>421</v>
      </c>
      <c r="AU572" s="604" t="s">
        <v>454</v>
      </c>
      <c r="AV572" s="604" t="s">
        <v>92</v>
      </c>
      <c r="AW572" s="604">
        <v>0</v>
      </c>
      <c r="AX572" s="604">
        <v>135</v>
      </c>
      <c r="AY572" s="606">
        <v>0</v>
      </c>
      <c r="AZ572" s="604" t="s">
        <v>420</v>
      </c>
      <c r="BB572" s="536" t="str">
        <f t="shared" si="79"/>
        <v>500-999bwtbirthsCapital &amp; Coast</v>
      </c>
      <c r="BC572" s="604">
        <v>2016</v>
      </c>
      <c r="BD572" s="604" t="s">
        <v>428</v>
      </c>
      <c r="BE572" s="604" t="s">
        <v>447</v>
      </c>
      <c r="BF572" s="604" t="s">
        <v>96</v>
      </c>
      <c r="BG572" s="604">
        <v>11</v>
      </c>
      <c r="BH572" s="604" t="s">
        <v>445</v>
      </c>
      <c r="BY572" s="553" t="str">
        <f t="shared" si="80"/>
        <v>2007WairarapadhbSIDS</v>
      </c>
      <c r="BZ572" s="604">
        <v>2007</v>
      </c>
      <c r="CA572" s="604" t="s">
        <v>98</v>
      </c>
      <c r="CB572" s="604" t="s">
        <v>448</v>
      </c>
      <c r="CC572" s="604">
        <v>0</v>
      </c>
      <c r="CD572" s="604" t="s">
        <v>32</v>
      </c>
      <c r="CF572" s="559" t="str">
        <f t="shared" si="81"/>
        <v>5yearsPacific peoples20-24ageSUDI</v>
      </c>
      <c r="CG572" s="604" t="s">
        <v>475</v>
      </c>
      <c r="CH572" s="604" t="s">
        <v>320</v>
      </c>
      <c r="CI572" s="604" t="s">
        <v>130</v>
      </c>
      <c r="CJ572" s="604" t="s">
        <v>453</v>
      </c>
      <c r="CK572" s="604">
        <v>19</v>
      </c>
      <c r="CL572" s="604" t="s">
        <v>33</v>
      </c>
    </row>
    <row r="573" spans="9:90">
      <c r="I573" s="578" t="str">
        <f t="shared" si="74"/>
        <v>2014bwt1500-2499Fetal</v>
      </c>
      <c r="J573" s="604">
        <v>2014</v>
      </c>
      <c r="K573" s="604" t="s">
        <v>447</v>
      </c>
      <c r="L573" s="604" t="s">
        <v>430</v>
      </c>
      <c r="M573" s="604">
        <v>47</v>
      </c>
      <c r="N573" s="604">
        <v>2828</v>
      </c>
      <c r="O573" s="604">
        <v>16.600000000000001</v>
      </c>
      <c r="P573" s="604" t="s">
        <v>47</v>
      </c>
      <c r="Q573" s="499"/>
      <c r="R573" s="502" t="str">
        <f t="shared" si="75"/>
        <v>2010birthsdhbCounties Manukau</v>
      </c>
      <c r="S573" s="604">
        <v>2010</v>
      </c>
      <c r="T573" s="604" t="s">
        <v>445</v>
      </c>
      <c r="U573" s="604" t="s">
        <v>448</v>
      </c>
      <c r="V573" s="604" t="s">
        <v>88</v>
      </c>
      <c r="W573" s="604">
        <v>8851</v>
      </c>
      <c r="Y573" s="535" t="str">
        <f t="shared" si="76"/>
        <v>2016ethgestEuropean or Other32-36fetal</v>
      </c>
      <c r="Z573" s="604">
        <v>2016</v>
      </c>
      <c r="AA573" s="604" t="s">
        <v>449</v>
      </c>
      <c r="AB573" s="604" t="s">
        <v>450</v>
      </c>
      <c r="AC573" s="604" t="s">
        <v>356</v>
      </c>
      <c r="AD573" s="604" t="s">
        <v>136</v>
      </c>
      <c r="AE573" s="604">
        <v>22</v>
      </c>
      <c r="AF573" s="604">
        <v>1634</v>
      </c>
      <c r="AG573" s="604">
        <v>13.3</v>
      </c>
      <c r="AH573" s="604" t="s">
        <v>420</v>
      </c>
      <c r="AJ573" s="535" t="str">
        <f t="shared" si="77"/>
        <v>2016ethgestEuropean or Other32-36</v>
      </c>
      <c r="AK573" s="604">
        <v>2016</v>
      </c>
      <c r="AL573" s="604" t="s">
        <v>449</v>
      </c>
      <c r="AM573" s="604" t="s">
        <v>450</v>
      </c>
      <c r="AN573" s="604" t="s">
        <v>356</v>
      </c>
      <c r="AO573" s="604" t="s">
        <v>136</v>
      </c>
      <c r="AP573" s="604">
        <v>1634</v>
      </c>
      <c r="AR573" s="538" t="str">
        <f t="shared" si="78"/>
        <v>Quin 3depfetalHawke's Bay</v>
      </c>
      <c r="AS573" s="604">
        <v>2016</v>
      </c>
      <c r="AT573" s="604" t="s">
        <v>423</v>
      </c>
      <c r="AU573" s="604" t="s">
        <v>454</v>
      </c>
      <c r="AV573" s="604" t="s">
        <v>92</v>
      </c>
      <c r="AW573" s="604">
        <v>0</v>
      </c>
      <c r="AX573" s="604">
        <v>201</v>
      </c>
      <c r="AY573" s="606">
        <v>0</v>
      </c>
      <c r="AZ573" s="604" t="s">
        <v>420</v>
      </c>
      <c r="BB573" s="536" t="str">
        <f t="shared" si="79"/>
        <v>1000-1499bwtbirthsCapital &amp; Coast</v>
      </c>
      <c r="BC573" s="604">
        <v>2016</v>
      </c>
      <c r="BD573" s="604" t="s">
        <v>429</v>
      </c>
      <c r="BE573" s="604" t="s">
        <v>447</v>
      </c>
      <c r="BF573" s="604" t="s">
        <v>96</v>
      </c>
      <c r="BG573" s="604">
        <v>18</v>
      </c>
      <c r="BH573" s="604" t="s">
        <v>445</v>
      </c>
      <c r="BY573" s="553" t="str">
        <f t="shared" si="80"/>
        <v>2007Nelson MarlboroughdhbSIDS</v>
      </c>
      <c r="BZ573" s="604">
        <v>2007</v>
      </c>
      <c r="CA573" s="604" t="s">
        <v>99</v>
      </c>
      <c r="CB573" s="604" t="s">
        <v>448</v>
      </c>
      <c r="CC573" s="604">
        <v>0</v>
      </c>
      <c r="CD573" s="604" t="s">
        <v>32</v>
      </c>
      <c r="CF573" s="559" t="str">
        <f t="shared" si="81"/>
        <v>5yearsAsian25-29ageSUDI</v>
      </c>
      <c r="CG573" s="604" t="s">
        <v>475</v>
      </c>
      <c r="CH573" s="604" t="s">
        <v>355</v>
      </c>
      <c r="CI573" s="604" t="s">
        <v>131</v>
      </c>
      <c r="CJ573" s="604" t="s">
        <v>453</v>
      </c>
      <c r="CK573" s="604">
        <v>2</v>
      </c>
      <c r="CL573" s="604" t="s">
        <v>33</v>
      </c>
    </row>
    <row r="574" spans="9:90">
      <c r="I574" s="578" t="str">
        <f t="shared" si="74"/>
        <v>2014bwt2500-4499Fetal</v>
      </c>
      <c r="J574" s="604">
        <v>2014</v>
      </c>
      <c r="K574" s="604" t="s">
        <v>447</v>
      </c>
      <c r="L574" s="604" t="s">
        <v>431</v>
      </c>
      <c r="M574" s="604">
        <v>71</v>
      </c>
      <c r="N574" s="604">
        <v>53445</v>
      </c>
      <c r="O574" s="604">
        <v>1.3</v>
      </c>
      <c r="P574" s="604" t="s">
        <v>47</v>
      </c>
      <c r="Q574" s="499"/>
      <c r="R574" s="502" t="str">
        <f t="shared" si="75"/>
        <v>2010birthsdhbWaikato</v>
      </c>
      <c r="S574" s="604">
        <v>2010</v>
      </c>
      <c r="T574" s="604" t="s">
        <v>445</v>
      </c>
      <c r="U574" s="604" t="s">
        <v>448</v>
      </c>
      <c r="V574" s="604" t="s">
        <v>89</v>
      </c>
      <c r="W574" s="604">
        <v>5697</v>
      </c>
      <c r="Y574" s="535" t="str">
        <f t="shared" si="76"/>
        <v>2016ethgestMaori37-41fetal</v>
      </c>
      <c r="Z574" s="604">
        <v>2016</v>
      </c>
      <c r="AA574" s="604" t="s">
        <v>449</v>
      </c>
      <c r="AB574" s="604" t="s">
        <v>450</v>
      </c>
      <c r="AC574" s="604" t="s">
        <v>129</v>
      </c>
      <c r="AD574" s="604" t="s">
        <v>137</v>
      </c>
      <c r="AE574" s="604">
        <v>25</v>
      </c>
      <c r="AF574" s="604">
        <v>15611</v>
      </c>
      <c r="AG574" s="604">
        <v>1.6</v>
      </c>
      <c r="AH574" s="604" t="s">
        <v>420</v>
      </c>
      <c r="AJ574" s="535" t="str">
        <f t="shared" si="77"/>
        <v>2016ethgestMaori37-41</v>
      </c>
      <c r="AK574" s="604">
        <v>2016</v>
      </c>
      <c r="AL574" s="604" t="s">
        <v>449</v>
      </c>
      <c r="AM574" s="604" t="s">
        <v>450</v>
      </c>
      <c r="AN574" s="604" t="s">
        <v>129</v>
      </c>
      <c r="AO574" s="604" t="s">
        <v>137</v>
      </c>
      <c r="AP574" s="604">
        <v>15611</v>
      </c>
      <c r="AR574" s="538" t="str">
        <f t="shared" si="78"/>
        <v>Quin 1depfetalTaranaki</v>
      </c>
      <c r="AS574" s="604">
        <v>2016</v>
      </c>
      <c r="AT574" s="604" t="s">
        <v>421</v>
      </c>
      <c r="AU574" s="604" t="s">
        <v>454</v>
      </c>
      <c r="AV574" s="604" t="s">
        <v>93</v>
      </c>
      <c r="AW574" s="604">
        <v>0</v>
      </c>
      <c r="AX574" s="604">
        <v>180</v>
      </c>
      <c r="AY574" s="606">
        <v>0</v>
      </c>
      <c r="AZ574" s="604" t="s">
        <v>420</v>
      </c>
      <c r="BB574" s="536" t="str">
        <f t="shared" si="79"/>
        <v>1500-2499bwtbirthsCapital &amp; Coast</v>
      </c>
      <c r="BC574" s="604">
        <v>2016</v>
      </c>
      <c r="BD574" s="604" t="s">
        <v>430</v>
      </c>
      <c r="BE574" s="604" t="s">
        <v>447</v>
      </c>
      <c r="BF574" s="604" t="s">
        <v>96</v>
      </c>
      <c r="BG574" s="604">
        <v>171</v>
      </c>
      <c r="BH574" s="604" t="s">
        <v>445</v>
      </c>
      <c r="BY574" s="553" t="str">
        <f t="shared" si="80"/>
        <v>2007West CoastdhbSIDS</v>
      </c>
      <c r="BZ574" s="604">
        <v>2007</v>
      </c>
      <c r="CA574" s="604" t="s">
        <v>100</v>
      </c>
      <c r="CB574" s="604" t="s">
        <v>448</v>
      </c>
      <c r="CC574" s="604">
        <v>0</v>
      </c>
      <c r="CD574" s="604" t="s">
        <v>32</v>
      </c>
      <c r="CF574" s="559" t="str">
        <f t="shared" si="81"/>
        <v>5yearsEuropean or Other25-29ageSUDI</v>
      </c>
      <c r="CG574" s="604" t="s">
        <v>475</v>
      </c>
      <c r="CH574" s="604" t="s">
        <v>356</v>
      </c>
      <c r="CI574" s="604" t="s">
        <v>131</v>
      </c>
      <c r="CJ574" s="604" t="s">
        <v>453</v>
      </c>
      <c r="CK574" s="604">
        <v>13</v>
      </c>
      <c r="CL574" s="604" t="s">
        <v>33</v>
      </c>
    </row>
    <row r="575" spans="9:90">
      <c r="I575" s="578" t="str">
        <f t="shared" si="74"/>
        <v>2014bwt4500+Fetal</v>
      </c>
      <c r="J575" s="604">
        <v>2014</v>
      </c>
      <c r="K575" s="604" t="s">
        <v>447</v>
      </c>
      <c r="L575" s="604" t="s">
        <v>432</v>
      </c>
      <c r="M575" s="604">
        <v>0</v>
      </c>
      <c r="N575" s="604">
        <v>1481</v>
      </c>
      <c r="O575" s="604">
        <v>0</v>
      </c>
      <c r="P575" s="604" t="s">
        <v>47</v>
      </c>
      <c r="Q575" s="499"/>
      <c r="R575" s="502" t="str">
        <f t="shared" si="75"/>
        <v>2010birthsdhbLakes</v>
      </c>
      <c r="S575" s="604">
        <v>2010</v>
      </c>
      <c r="T575" s="604" t="s">
        <v>445</v>
      </c>
      <c r="U575" s="604" t="s">
        <v>448</v>
      </c>
      <c r="V575" s="604" t="s">
        <v>90</v>
      </c>
      <c r="W575" s="604">
        <v>1624</v>
      </c>
      <c r="Y575" s="535" t="str">
        <f t="shared" si="76"/>
        <v>2016ethgestPacific peoples37-41fetal</v>
      </c>
      <c r="Z575" s="604">
        <v>2016</v>
      </c>
      <c r="AA575" s="604" t="s">
        <v>449</v>
      </c>
      <c r="AB575" s="604" t="s">
        <v>450</v>
      </c>
      <c r="AC575" s="604" t="s">
        <v>320</v>
      </c>
      <c r="AD575" s="604" t="s">
        <v>137</v>
      </c>
      <c r="AE575" s="604">
        <v>12</v>
      </c>
      <c r="AF575" s="604">
        <v>5433</v>
      </c>
      <c r="AG575" s="604">
        <v>2.2000000000000002</v>
      </c>
      <c r="AH575" s="604" t="s">
        <v>420</v>
      </c>
      <c r="AJ575" s="535" t="str">
        <f t="shared" si="77"/>
        <v>2016ethgestPacific peoples37-41</v>
      </c>
      <c r="AK575" s="604">
        <v>2016</v>
      </c>
      <c r="AL575" s="604" t="s">
        <v>449</v>
      </c>
      <c r="AM575" s="604" t="s">
        <v>450</v>
      </c>
      <c r="AN575" s="604" t="s">
        <v>320</v>
      </c>
      <c r="AO575" s="604" t="s">
        <v>137</v>
      </c>
      <c r="AP575" s="604">
        <v>5433</v>
      </c>
      <c r="AR575" s="538" t="str">
        <f t="shared" si="78"/>
        <v>Quin 1depfetalWhanganui</v>
      </c>
      <c r="AS575" s="604">
        <v>2016</v>
      </c>
      <c r="AT575" s="604" t="s">
        <v>421</v>
      </c>
      <c r="AU575" s="604" t="s">
        <v>454</v>
      </c>
      <c r="AV575" s="604" t="s">
        <v>95</v>
      </c>
      <c r="AW575" s="604">
        <v>0</v>
      </c>
      <c r="AX575" s="604">
        <v>8</v>
      </c>
      <c r="AY575" s="606">
        <v>0</v>
      </c>
      <c r="AZ575" s="604" t="s">
        <v>420</v>
      </c>
      <c r="BB575" s="536" t="str">
        <f t="shared" si="79"/>
        <v>2500-4499bwtbirthsCapital &amp; Coast</v>
      </c>
      <c r="BC575" s="604">
        <v>2016</v>
      </c>
      <c r="BD575" s="604" t="s">
        <v>431</v>
      </c>
      <c r="BE575" s="604" t="s">
        <v>447</v>
      </c>
      <c r="BF575" s="604" t="s">
        <v>96</v>
      </c>
      <c r="BG575" s="604">
        <v>3252</v>
      </c>
      <c r="BH575" s="604" t="s">
        <v>445</v>
      </c>
      <c r="BY575" s="553" t="str">
        <f t="shared" si="80"/>
        <v>2007CanterburydhbSIDS</v>
      </c>
      <c r="BZ575" s="604">
        <v>2007</v>
      </c>
      <c r="CA575" s="604" t="s">
        <v>101</v>
      </c>
      <c r="CB575" s="604" t="s">
        <v>448</v>
      </c>
      <c r="CC575" s="604">
        <v>4</v>
      </c>
      <c r="CD575" s="604" t="s">
        <v>32</v>
      </c>
      <c r="CF575" s="559" t="str">
        <f t="shared" si="81"/>
        <v>5yearsMaori25-29ageSUDI</v>
      </c>
      <c r="CG575" s="604" t="s">
        <v>475</v>
      </c>
      <c r="CH575" s="604" t="s">
        <v>129</v>
      </c>
      <c r="CI575" s="604" t="s">
        <v>131</v>
      </c>
      <c r="CJ575" s="604" t="s">
        <v>453</v>
      </c>
      <c r="CK575" s="604">
        <v>22</v>
      </c>
      <c r="CL575" s="604" t="s">
        <v>33</v>
      </c>
    </row>
    <row r="576" spans="9:90">
      <c r="I576" s="578" t="str">
        <f t="shared" si="74"/>
        <v>2014bwtUnknownFetal</v>
      </c>
      <c r="J576" s="604">
        <v>2014</v>
      </c>
      <c r="K576" s="604" t="s">
        <v>447</v>
      </c>
      <c r="L576" s="604" t="s">
        <v>63</v>
      </c>
      <c r="M576" s="604">
        <v>12</v>
      </c>
      <c r="N576" s="604">
        <v>39</v>
      </c>
      <c r="O576" s="604" t="s">
        <v>119</v>
      </c>
      <c r="P576" s="604" t="s">
        <v>47</v>
      </c>
      <c r="Q576" s="499"/>
      <c r="R576" s="502" t="str">
        <f t="shared" si="75"/>
        <v>2010birthsdhbBay of Plenty</v>
      </c>
      <c r="S576" s="604">
        <v>2010</v>
      </c>
      <c r="T576" s="604" t="s">
        <v>445</v>
      </c>
      <c r="U576" s="604" t="s">
        <v>448</v>
      </c>
      <c r="V576" s="604" t="s">
        <v>91</v>
      </c>
      <c r="W576" s="604">
        <v>2988</v>
      </c>
      <c r="Y576" s="535" t="str">
        <f t="shared" si="76"/>
        <v>2016ethgestAsian37-41fetal</v>
      </c>
      <c r="Z576" s="604">
        <v>2016</v>
      </c>
      <c r="AA576" s="604" t="s">
        <v>449</v>
      </c>
      <c r="AB576" s="604" t="s">
        <v>450</v>
      </c>
      <c r="AC576" s="604" t="s">
        <v>355</v>
      </c>
      <c r="AD576" s="604" t="s">
        <v>137</v>
      </c>
      <c r="AE576" s="604">
        <v>13</v>
      </c>
      <c r="AF576" s="604">
        <v>10044</v>
      </c>
      <c r="AG576" s="604">
        <v>1.3</v>
      </c>
      <c r="AH576" s="604" t="s">
        <v>420</v>
      </c>
      <c r="AJ576" s="535" t="str">
        <f t="shared" si="77"/>
        <v>2016ethgestAsian37-41</v>
      </c>
      <c r="AK576" s="604">
        <v>2016</v>
      </c>
      <c r="AL576" s="604" t="s">
        <v>449</v>
      </c>
      <c r="AM576" s="604" t="s">
        <v>450</v>
      </c>
      <c r="AN576" s="604" t="s">
        <v>355</v>
      </c>
      <c r="AO576" s="604" t="s">
        <v>137</v>
      </c>
      <c r="AP576" s="604">
        <v>10044</v>
      </c>
      <c r="AR576" s="538" t="str">
        <f t="shared" si="78"/>
        <v>Quin 3depfetalWhanganui</v>
      </c>
      <c r="AS576" s="604">
        <v>2016</v>
      </c>
      <c r="AT576" s="604" t="s">
        <v>423</v>
      </c>
      <c r="AU576" s="604" t="s">
        <v>454</v>
      </c>
      <c r="AV576" s="604" t="s">
        <v>95</v>
      </c>
      <c r="AW576" s="604">
        <v>0</v>
      </c>
      <c r="AX576" s="604">
        <v>125</v>
      </c>
      <c r="AY576" s="606">
        <v>0</v>
      </c>
      <c r="AZ576" s="604" t="s">
        <v>420</v>
      </c>
      <c r="BB576" s="536" t="str">
        <f t="shared" si="79"/>
        <v>4500+bwtbirthsCapital &amp; Coast</v>
      </c>
      <c r="BC576" s="604">
        <v>2016</v>
      </c>
      <c r="BD576" s="604" t="s">
        <v>432</v>
      </c>
      <c r="BE576" s="604" t="s">
        <v>447</v>
      </c>
      <c r="BF576" s="604" t="s">
        <v>96</v>
      </c>
      <c r="BG576" s="604">
        <v>73</v>
      </c>
      <c r="BH576" s="604" t="s">
        <v>445</v>
      </c>
      <c r="BY576" s="553" t="str">
        <f t="shared" si="80"/>
        <v>2007South CanterburydhbSIDS</v>
      </c>
      <c r="BZ576" s="604">
        <v>2007</v>
      </c>
      <c r="CA576" s="604" t="s">
        <v>102</v>
      </c>
      <c r="CB576" s="604" t="s">
        <v>448</v>
      </c>
      <c r="CC576" s="604">
        <v>1</v>
      </c>
      <c r="CD576" s="604" t="s">
        <v>32</v>
      </c>
      <c r="CF576" s="559" t="str">
        <f t="shared" si="81"/>
        <v>5yearsPacific peoples25-29ageSUDI</v>
      </c>
      <c r="CG576" s="604" t="s">
        <v>475</v>
      </c>
      <c r="CH576" s="604" t="s">
        <v>320</v>
      </c>
      <c r="CI576" s="604" t="s">
        <v>131</v>
      </c>
      <c r="CJ576" s="604" t="s">
        <v>453</v>
      </c>
      <c r="CK576" s="604">
        <v>6</v>
      </c>
      <c r="CL576" s="604" t="s">
        <v>33</v>
      </c>
    </row>
    <row r="577" spans="9:90">
      <c r="I577" s="578" t="str">
        <f t="shared" si="74"/>
        <v>2015bwt&lt;500Fetal</v>
      </c>
      <c r="J577" s="604">
        <v>2015</v>
      </c>
      <c r="K577" s="604" t="s">
        <v>447</v>
      </c>
      <c r="L577" s="604" t="s">
        <v>427</v>
      </c>
      <c r="M577" s="604">
        <v>147</v>
      </c>
      <c r="N577" s="604">
        <v>205</v>
      </c>
      <c r="O577" s="604">
        <v>717.1</v>
      </c>
      <c r="P577" s="604" t="s">
        <v>47</v>
      </c>
      <c r="Q577" s="499"/>
      <c r="R577" s="502" t="str">
        <f t="shared" si="75"/>
        <v>2010birthsdhbTairawhiti</v>
      </c>
      <c r="S577" s="604">
        <v>2010</v>
      </c>
      <c r="T577" s="604" t="s">
        <v>445</v>
      </c>
      <c r="U577" s="604" t="s">
        <v>448</v>
      </c>
      <c r="V577" s="604" t="s">
        <v>433</v>
      </c>
      <c r="W577" s="604">
        <v>805</v>
      </c>
      <c r="Y577" s="535" t="str">
        <f t="shared" si="76"/>
        <v>2016ethgestEuropean or Other37-41fetal</v>
      </c>
      <c r="Z577" s="604">
        <v>2016</v>
      </c>
      <c r="AA577" s="604" t="s">
        <v>449</v>
      </c>
      <c r="AB577" s="604" t="s">
        <v>450</v>
      </c>
      <c r="AC577" s="604" t="s">
        <v>356</v>
      </c>
      <c r="AD577" s="604" t="s">
        <v>137</v>
      </c>
      <c r="AE577" s="604">
        <v>36</v>
      </c>
      <c r="AF577" s="604">
        <v>23811</v>
      </c>
      <c r="AG577" s="604">
        <v>1.5</v>
      </c>
      <c r="AH577" s="604" t="s">
        <v>420</v>
      </c>
      <c r="AJ577" s="535" t="str">
        <f t="shared" si="77"/>
        <v>2016ethgestEuropean or Other37-41</v>
      </c>
      <c r="AK577" s="604">
        <v>2016</v>
      </c>
      <c r="AL577" s="604" t="s">
        <v>449</v>
      </c>
      <c r="AM577" s="604" t="s">
        <v>450</v>
      </c>
      <c r="AN577" s="604" t="s">
        <v>356</v>
      </c>
      <c r="AO577" s="604" t="s">
        <v>137</v>
      </c>
      <c r="AP577" s="604">
        <v>23811</v>
      </c>
      <c r="AR577" s="538" t="str">
        <f t="shared" si="78"/>
        <v>Quin 2depfetalHutt Valley</v>
      </c>
      <c r="AS577" s="604">
        <v>2016</v>
      </c>
      <c r="AT577" s="604" t="s">
        <v>422</v>
      </c>
      <c r="AU577" s="604" t="s">
        <v>454</v>
      </c>
      <c r="AV577" s="604" t="s">
        <v>97</v>
      </c>
      <c r="AW577" s="604">
        <v>0</v>
      </c>
      <c r="AX577" s="604">
        <v>196</v>
      </c>
      <c r="AY577" s="606">
        <v>0</v>
      </c>
      <c r="AZ577" s="604" t="s">
        <v>420</v>
      </c>
      <c r="BB577" s="536" t="str">
        <f t="shared" si="79"/>
        <v>UnknownbwtbirthsCapital &amp; Coast</v>
      </c>
      <c r="BC577" s="604">
        <v>2016</v>
      </c>
      <c r="BD577" s="604" t="s">
        <v>63</v>
      </c>
      <c r="BE577" s="604" t="s">
        <v>447</v>
      </c>
      <c r="BF577" s="604" t="s">
        <v>96</v>
      </c>
      <c r="BG577" s="604">
        <v>1</v>
      </c>
      <c r="BH577" s="604" t="s">
        <v>445</v>
      </c>
      <c r="BY577" s="553" t="str">
        <f t="shared" si="80"/>
        <v>2007SoutherndhbSIDS</v>
      </c>
      <c r="BZ577" s="604">
        <v>2007</v>
      </c>
      <c r="CA577" s="604" t="s">
        <v>103</v>
      </c>
      <c r="CB577" s="604" t="s">
        <v>448</v>
      </c>
      <c r="CC577" s="604">
        <v>2</v>
      </c>
      <c r="CD577" s="604" t="s">
        <v>32</v>
      </c>
      <c r="CF577" s="559" t="str">
        <f t="shared" si="81"/>
        <v>5yearsAsian30-34ageSUDI</v>
      </c>
      <c r="CG577" s="604" t="s">
        <v>475</v>
      </c>
      <c r="CH577" s="604" t="s">
        <v>355</v>
      </c>
      <c r="CI577" s="604" t="s">
        <v>132</v>
      </c>
      <c r="CJ577" s="604" t="s">
        <v>453</v>
      </c>
      <c r="CK577" s="604">
        <v>2</v>
      </c>
      <c r="CL577" s="604" t="s">
        <v>33</v>
      </c>
    </row>
    <row r="578" spans="9:90">
      <c r="I578" s="578" t="str">
        <f t="shared" si="74"/>
        <v>2015bwt500-999Fetal</v>
      </c>
      <c r="J578" s="604">
        <v>2015</v>
      </c>
      <c r="K578" s="604" t="s">
        <v>447</v>
      </c>
      <c r="L578" s="604" t="s">
        <v>428</v>
      </c>
      <c r="M578" s="604">
        <v>74</v>
      </c>
      <c r="N578" s="604">
        <v>269</v>
      </c>
      <c r="O578" s="604">
        <v>275.10000000000002</v>
      </c>
      <c r="P578" s="604" t="s">
        <v>47</v>
      </c>
      <c r="Q578" s="499"/>
      <c r="R578" s="502" t="str">
        <f t="shared" si="75"/>
        <v>2010birthsdhbHawke's Bay</v>
      </c>
      <c r="S578" s="604">
        <v>2010</v>
      </c>
      <c r="T578" s="604" t="s">
        <v>445</v>
      </c>
      <c r="U578" s="604" t="s">
        <v>448</v>
      </c>
      <c r="V578" s="604" t="s">
        <v>92</v>
      </c>
      <c r="W578" s="604">
        <v>2331</v>
      </c>
      <c r="Y578" s="535" t="str">
        <f t="shared" si="76"/>
        <v>2016ethgestMaori42+fetal</v>
      </c>
      <c r="Z578" s="604">
        <v>2016</v>
      </c>
      <c r="AA578" s="604" t="s">
        <v>449</v>
      </c>
      <c r="AB578" s="604" t="s">
        <v>450</v>
      </c>
      <c r="AC578" s="604" t="s">
        <v>129</v>
      </c>
      <c r="AD578" s="604" t="s">
        <v>138</v>
      </c>
      <c r="AE578" s="604">
        <v>0</v>
      </c>
      <c r="AF578" s="604">
        <v>281</v>
      </c>
      <c r="AG578" s="604">
        <v>0</v>
      </c>
      <c r="AH578" s="604" t="s">
        <v>420</v>
      </c>
      <c r="AJ578" s="535" t="str">
        <f t="shared" si="77"/>
        <v>2016ethgestMaori42+</v>
      </c>
      <c r="AK578" s="604">
        <v>2016</v>
      </c>
      <c r="AL578" s="604" t="s">
        <v>449</v>
      </c>
      <c r="AM578" s="604" t="s">
        <v>450</v>
      </c>
      <c r="AN578" s="604" t="s">
        <v>129</v>
      </c>
      <c r="AO578" s="604" t="s">
        <v>138</v>
      </c>
      <c r="AP578" s="604">
        <v>281</v>
      </c>
      <c r="AR578" s="538" t="str">
        <f t="shared" si="78"/>
        <v>Quin 1depfetalWairarapa</v>
      </c>
      <c r="AS578" s="604">
        <v>2016</v>
      </c>
      <c r="AT578" s="604" t="s">
        <v>421</v>
      </c>
      <c r="AU578" s="604" t="s">
        <v>454</v>
      </c>
      <c r="AV578" s="604" t="s">
        <v>98</v>
      </c>
      <c r="AW578" s="604">
        <v>0</v>
      </c>
      <c r="AX578" s="604">
        <v>68</v>
      </c>
      <c r="AY578" s="606">
        <v>0</v>
      </c>
      <c r="AZ578" s="604" t="s">
        <v>420</v>
      </c>
      <c r="BB578" s="536" t="str">
        <f t="shared" si="79"/>
        <v>&lt;500bwtbirthsHutt Valley</v>
      </c>
      <c r="BC578" s="604">
        <v>2016</v>
      </c>
      <c r="BD578" s="604" t="s">
        <v>427</v>
      </c>
      <c r="BE578" s="604" t="s">
        <v>447</v>
      </c>
      <c r="BF578" s="604" t="s">
        <v>97</v>
      </c>
      <c r="BG578" s="604">
        <v>2</v>
      </c>
      <c r="BH578" s="604" t="s">
        <v>445</v>
      </c>
      <c r="BY578" s="553" t="str">
        <f t="shared" si="80"/>
        <v>2007UnknowndhbSIDS</v>
      </c>
      <c r="BZ578" s="604">
        <v>2007</v>
      </c>
      <c r="CA578" s="604" t="s">
        <v>63</v>
      </c>
      <c r="CB578" s="604" t="s">
        <v>448</v>
      </c>
      <c r="CC578" s="604">
        <v>0</v>
      </c>
      <c r="CD578" s="604" t="s">
        <v>32</v>
      </c>
      <c r="CF578" s="559" t="str">
        <f t="shared" si="81"/>
        <v>5yearsEuropean or Other30-34ageSUDI</v>
      </c>
      <c r="CG578" s="604" t="s">
        <v>475</v>
      </c>
      <c r="CH578" s="604" t="s">
        <v>356</v>
      </c>
      <c r="CI578" s="604" t="s">
        <v>132</v>
      </c>
      <c r="CJ578" s="604" t="s">
        <v>453</v>
      </c>
      <c r="CK578" s="604">
        <v>4</v>
      </c>
      <c r="CL578" s="604" t="s">
        <v>33</v>
      </c>
    </row>
    <row r="579" spans="9:90">
      <c r="I579" s="578" t="str">
        <f t="shared" si="74"/>
        <v>2015bwt1000-1499Fetal</v>
      </c>
      <c r="J579" s="604">
        <v>2015</v>
      </c>
      <c r="K579" s="604" t="s">
        <v>447</v>
      </c>
      <c r="L579" s="604" t="s">
        <v>429</v>
      </c>
      <c r="M579" s="604">
        <v>18</v>
      </c>
      <c r="N579" s="604">
        <v>410</v>
      </c>
      <c r="O579" s="604">
        <v>43.9</v>
      </c>
      <c r="P579" s="604" t="s">
        <v>47</v>
      </c>
      <c r="Q579" s="499"/>
      <c r="R579" s="502" t="str">
        <f t="shared" si="75"/>
        <v>2010birthsdhbTaranaki</v>
      </c>
      <c r="S579" s="604">
        <v>2010</v>
      </c>
      <c r="T579" s="604" t="s">
        <v>445</v>
      </c>
      <c r="U579" s="604" t="s">
        <v>448</v>
      </c>
      <c r="V579" s="604" t="s">
        <v>93</v>
      </c>
      <c r="W579" s="604">
        <v>1607</v>
      </c>
      <c r="Y579" s="535" t="str">
        <f t="shared" si="76"/>
        <v>2016ethgestPacific peoples42+fetal</v>
      </c>
      <c r="Z579" s="604">
        <v>2016</v>
      </c>
      <c r="AA579" s="604" t="s">
        <v>449</v>
      </c>
      <c r="AB579" s="604" t="s">
        <v>450</v>
      </c>
      <c r="AC579" s="604" t="s">
        <v>320</v>
      </c>
      <c r="AD579" s="604" t="s">
        <v>138</v>
      </c>
      <c r="AE579" s="604">
        <v>0</v>
      </c>
      <c r="AF579" s="604">
        <v>101</v>
      </c>
      <c r="AG579" s="604">
        <v>0</v>
      </c>
      <c r="AH579" s="604" t="s">
        <v>420</v>
      </c>
      <c r="AJ579" s="535" t="str">
        <f t="shared" si="77"/>
        <v>2016ethgestPacific peoples42+</v>
      </c>
      <c r="AK579" s="604">
        <v>2016</v>
      </c>
      <c r="AL579" s="604" t="s">
        <v>449</v>
      </c>
      <c r="AM579" s="604" t="s">
        <v>450</v>
      </c>
      <c r="AN579" s="604" t="s">
        <v>320</v>
      </c>
      <c r="AO579" s="604" t="s">
        <v>138</v>
      </c>
      <c r="AP579" s="604">
        <v>101</v>
      </c>
      <c r="AR579" s="538" t="str">
        <f t="shared" si="78"/>
        <v>Quin 2depfetalWairarapa</v>
      </c>
      <c r="AS579" s="604">
        <v>2016</v>
      </c>
      <c r="AT579" s="604" t="s">
        <v>422</v>
      </c>
      <c r="AU579" s="604" t="s">
        <v>454</v>
      </c>
      <c r="AV579" s="604" t="s">
        <v>98</v>
      </c>
      <c r="AW579" s="604">
        <v>0</v>
      </c>
      <c r="AX579" s="604">
        <v>56</v>
      </c>
      <c r="AY579" s="606">
        <v>0</v>
      </c>
      <c r="AZ579" s="604" t="s">
        <v>420</v>
      </c>
      <c r="BB579" s="536" t="str">
        <f t="shared" si="79"/>
        <v>500-999bwtbirthsHutt Valley</v>
      </c>
      <c r="BC579" s="604">
        <v>2016</v>
      </c>
      <c r="BD579" s="604" t="s">
        <v>428</v>
      </c>
      <c r="BE579" s="604" t="s">
        <v>447</v>
      </c>
      <c r="BF579" s="604" t="s">
        <v>97</v>
      </c>
      <c r="BG579" s="604">
        <v>10</v>
      </c>
      <c r="BH579" s="604" t="s">
        <v>445</v>
      </c>
      <c r="BY579" s="553" t="str">
        <f t="shared" si="80"/>
        <v>2008NorthlanddhbSIDS</v>
      </c>
      <c r="BZ579" s="604">
        <v>2008</v>
      </c>
      <c r="CA579" s="604" t="s">
        <v>85</v>
      </c>
      <c r="CB579" s="604" t="s">
        <v>448</v>
      </c>
      <c r="CC579" s="604">
        <v>2</v>
      </c>
      <c r="CD579" s="604" t="s">
        <v>32</v>
      </c>
      <c r="CF579" s="559" t="str">
        <f t="shared" si="81"/>
        <v>5yearsMaori30-34ageSUDI</v>
      </c>
      <c r="CG579" s="604" t="s">
        <v>475</v>
      </c>
      <c r="CH579" s="604" t="s">
        <v>129</v>
      </c>
      <c r="CI579" s="604" t="s">
        <v>132</v>
      </c>
      <c r="CJ579" s="604" t="s">
        <v>453</v>
      </c>
      <c r="CK579" s="604">
        <v>20</v>
      </c>
      <c r="CL579" s="604" t="s">
        <v>33</v>
      </c>
    </row>
    <row r="580" spans="9:90">
      <c r="I580" s="578" t="str">
        <f t="shared" ref="I580:I643" si="82">J580&amp;K580&amp;L580&amp;P580</f>
        <v>2015bwt1500-2499Fetal</v>
      </c>
      <c r="J580" s="604">
        <v>2015</v>
      </c>
      <c r="K580" s="604" t="s">
        <v>447</v>
      </c>
      <c r="L580" s="604" t="s">
        <v>430</v>
      </c>
      <c r="M580" s="604">
        <v>46</v>
      </c>
      <c r="N580" s="604">
        <v>3060</v>
      </c>
      <c r="O580" s="604">
        <v>15</v>
      </c>
      <c r="P580" s="604" t="s">
        <v>47</v>
      </c>
      <c r="Q580" s="499"/>
      <c r="R580" s="502" t="str">
        <f t="shared" ref="R580:R643" si="83">S580&amp;T580&amp;U580&amp;V580</f>
        <v>2010birthsdhbMidCentral</v>
      </c>
      <c r="S580" s="604">
        <v>2010</v>
      </c>
      <c r="T580" s="604" t="s">
        <v>445</v>
      </c>
      <c r="U580" s="604" t="s">
        <v>448</v>
      </c>
      <c r="V580" s="604" t="s">
        <v>94</v>
      </c>
      <c r="W580" s="604">
        <v>2373</v>
      </c>
      <c r="Y580" s="535" t="str">
        <f t="shared" ref="Y580:Y643" si="84">Z580&amp;AA580&amp;AB580&amp;AC580&amp;AD580&amp;AH580</f>
        <v>2016ethgestAsian42+fetal</v>
      </c>
      <c r="Z580" s="604">
        <v>2016</v>
      </c>
      <c r="AA580" s="604" t="s">
        <v>449</v>
      </c>
      <c r="AB580" s="604" t="s">
        <v>450</v>
      </c>
      <c r="AC580" s="604" t="s">
        <v>355</v>
      </c>
      <c r="AD580" s="604" t="s">
        <v>138</v>
      </c>
      <c r="AE580" s="604">
        <v>0</v>
      </c>
      <c r="AF580" s="604">
        <v>119</v>
      </c>
      <c r="AG580" s="604">
        <v>0</v>
      </c>
      <c r="AH580" s="604" t="s">
        <v>420</v>
      </c>
      <c r="AJ580" s="535" t="str">
        <f t="shared" ref="AJ580:AJ643" si="85">AK580&amp;AL580&amp;AM580&amp;AN580&amp;AO580</f>
        <v>2016ethgestAsian42+</v>
      </c>
      <c r="AK580" s="604">
        <v>2016</v>
      </c>
      <c r="AL580" s="604" t="s">
        <v>449</v>
      </c>
      <c r="AM580" s="604" t="s">
        <v>450</v>
      </c>
      <c r="AN580" s="604" t="s">
        <v>355</v>
      </c>
      <c r="AO580" s="604" t="s">
        <v>138</v>
      </c>
      <c r="AP580" s="604">
        <v>119</v>
      </c>
      <c r="AR580" s="538" t="str">
        <f t="shared" ref="AR580:AR643" si="86">AT580&amp;AU580&amp;AZ580&amp;AV580</f>
        <v>Quin 1depfetalNelson Marlborough</v>
      </c>
      <c r="AS580" s="604">
        <v>2016</v>
      </c>
      <c r="AT580" s="604" t="s">
        <v>421</v>
      </c>
      <c r="AU580" s="604" t="s">
        <v>454</v>
      </c>
      <c r="AV580" s="604" t="s">
        <v>99</v>
      </c>
      <c r="AW580" s="604">
        <v>0</v>
      </c>
      <c r="AX580" s="604">
        <v>142</v>
      </c>
      <c r="AY580" s="606">
        <v>0</v>
      </c>
      <c r="AZ580" s="604" t="s">
        <v>420</v>
      </c>
      <c r="BB580" s="536" t="str">
        <f t="shared" ref="BB580:BB622" si="87">BD580&amp;BE580&amp;BH580&amp;BF580</f>
        <v>1000-1499bwtbirthsHutt Valley</v>
      </c>
      <c r="BC580" s="604">
        <v>2016</v>
      </c>
      <c r="BD580" s="604" t="s">
        <v>429</v>
      </c>
      <c r="BE580" s="604" t="s">
        <v>447</v>
      </c>
      <c r="BF580" s="604" t="s">
        <v>97</v>
      </c>
      <c r="BG580" s="604">
        <v>12</v>
      </c>
      <c r="BH580" s="604" t="s">
        <v>445</v>
      </c>
      <c r="BY580" s="553" t="str">
        <f t="shared" ref="BY580:BY643" si="88">BZ580&amp;CA580&amp;CB580&amp;CD580</f>
        <v>2008WaitematadhbSIDS</v>
      </c>
      <c r="BZ580" s="604">
        <v>2008</v>
      </c>
      <c r="CA580" s="604" t="s">
        <v>86</v>
      </c>
      <c r="CB580" s="604" t="s">
        <v>448</v>
      </c>
      <c r="CC580" s="604">
        <v>5</v>
      </c>
      <c r="CD580" s="604" t="s">
        <v>32</v>
      </c>
      <c r="CF580" s="559" t="str">
        <f t="shared" ref="CF580:CF643" si="89">CG580&amp;CH580&amp;CI580&amp;CJ580&amp;CL580</f>
        <v>5yearsPacific peoples30-34ageSUDI</v>
      </c>
      <c r="CG580" s="604" t="s">
        <v>475</v>
      </c>
      <c r="CH580" s="604" t="s">
        <v>320</v>
      </c>
      <c r="CI580" s="604" t="s">
        <v>132</v>
      </c>
      <c r="CJ580" s="604" t="s">
        <v>453</v>
      </c>
      <c r="CK580" s="604">
        <v>5</v>
      </c>
      <c r="CL580" s="604" t="s">
        <v>33</v>
      </c>
    </row>
    <row r="581" spans="9:90">
      <c r="I581" s="578" t="str">
        <f t="shared" si="82"/>
        <v>2015bwt2500-4499Fetal</v>
      </c>
      <c r="J581" s="604">
        <v>2015</v>
      </c>
      <c r="K581" s="604" t="s">
        <v>447</v>
      </c>
      <c r="L581" s="604" t="s">
        <v>431</v>
      </c>
      <c r="M581" s="604">
        <v>82</v>
      </c>
      <c r="N581" s="604">
        <v>57109</v>
      </c>
      <c r="O581" s="604">
        <v>1.4</v>
      </c>
      <c r="P581" s="604" t="s">
        <v>47</v>
      </c>
      <c r="Q581" s="499"/>
      <c r="R581" s="502" t="str">
        <f t="shared" si="83"/>
        <v>2010birthsdhbWhanganui</v>
      </c>
      <c r="S581" s="604">
        <v>2010</v>
      </c>
      <c r="T581" s="604" t="s">
        <v>445</v>
      </c>
      <c r="U581" s="604" t="s">
        <v>448</v>
      </c>
      <c r="V581" s="604" t="s">
        <v>95</v>
      </c>
      <c r="W581" s="604">
        <v>912</v>
      </c>
      <c r="Y581" s="535" t="str">
        <f t="shared" si="84"/>
        <v>2016ethgestEuropean or Other42+fetal</v>
      </c>
      <c r="Z581" s="604">
        <v>2016</v>
      </c>
      <c r="AA581" s="604" t="s">
        <v>449</v>
      </c>
      <c r="AB581" s="604" t="s">
        <v>450</v>
      </c>
      <c r="AC581" s="604" t="s">
        <v>356</v>
      </c>
      <c r="AD581" s="604" t="s">
        <v>138</v>
      </c>
      <c r="AE581" s="604">
        <v>0</v>
      </c>
      <c r="AF581" s="604">
        <v>516</v>
      </c>
      <c r="AG581" s="604">
        <v>0</v>
      </c>
      <c r="AH581" s="604" t="s">
        <v>420</v>
      </c>
      <c r="AJ581" s="535" t="str">
        <f t="shared" si="85"/>
        <v>2016ethgestEuropean or Other42+</v>
      </c>
      <c r="AK581" s="604">
        <v>2016</v>
      </c>
      <c r="AL581" s="604" t="s">
        <v>449</v>
      </c>
      <c r="AM581" s="604" t="s">
        <v>450</v>
      </c>
      <c r="AN581" s="604" t="s">
        <v>356</v>
      </c>
      <c r="AO581" s="604" t="s">
        <v>138</v>
      </c>
      <c r="AP581" s="604">
        <v>516</v>
      </c>
      <c r="AR581" s="538" t="str">
        <f t="shared" si="86"/>
        <v>Quin 5depfetalNelson Marlborough</v>
      </c>
      <c r="AS581" s="604">
        <v>2016</v>
      </c>
      <c r="AT581" s="604" t="s">
        <v>425</v>
      </c>
      <c r="AU581" s="604" t="s">
        <v>454</v>
      </c>
      <c r="AV581" s="604" t="s">
        <v>99</v>
      </c>
      <c r="AW581" s="604">
        <v>0</v>
      </c>
      <c r="AX581" s="604">
        <v>102</v>
      </c>
      <c r="AY581" s="606">
        <v>0</v>
      </c>
      <c r="AZ581" s="604" t="s">
        <v>420</v>
      </c>
      <c r="BB581" s="536" t="str">
        <f t="shared" si="87"/>
        <v>1500-2499bwtbirthsHutt Valley</v>
      </c>
      <c r="BC581" s="604">
        <v>2016</v>
      </c>
      <c r="BD581" s="604" t="s">
        <v>430</v>
      </c>
      <c r="BE581" s="604" t="s">
        <v>447</v>
      </c>
      <c r="BF581" s="604" t="s">
        <v>97</v>
      </c>
      <c r="BG581" s="604">
        <v>116</v>
      </c>
      <c r="BH581" s="604" t="s">
        <v>445</v>
      </c>
      <c r="BY581" s="553" t="str">
        <f t="shared" si="88"/>
        <v>2008AucklanddhbSIDS</v>
      </c>
      <c r="BZ581" s="604">
        <v>2008</v>
      </c>
      <c r="CA581" s="604" t="s">
        <v>87</v>
      </c>
      <c r="CB581" s="604" t="s">
        <v>448</v>
      </c>
      <c r="CC581" s="604">
        <v>7</v>
      </c>
      <c r="CD581" s="604" t="s">
        <v>32</v>
      </c>
      <c r="CF581" s="559" t="str">
        <f t="shared" si="89"/>
        <v>5yearsAsian35-39ageSUDI</v>
      </c>
      <c r="CG581" s="604" t="s">
        <v>475</v>
      </c>
      <c r="CH581" s="604" t="s">
        <v>355</v>
      </c>
      <c r="CI581" s="604" t="s">
        <v>133</v>
      </c>
      <c r="CJ581" s="604" t="s">
        <v>453</v>
      </c>
      <c r="CK581" s="604">
        <v>0</v>
      </c>
      <c r="CL581" s="604" t="s">
        <v>33</v>
      </c>
    </row>
    <row r="582" spans="9:90">
      <c r="I582" s="578" t="str">
        <f t="shared" si="82"/>
        <v>2015bwt4500+Fetal</v>
      </c>
      <c r="J582" s="604">
        <v>2015</v>
      </c>
      <c r="K582" s="604" t="s">
        <v>447</v>
      </c>
      <c r="L582" s="604" t="s">
        <v>432</v>
      </c>
      <c r="M582" s="604">
        <v>2</v>
      </c>
      <c r="N582" s="604">
        <v>1392</v>
      </c>
      <c r="O582" s="604">
        <v>1.4</v>
      </c>
      <c r="P582" s="604" t="s">
        <v>47</v>
      </c>
      <c r="Q582" s="499"/>
      <c r="R582" s="502" t="str">
        <f t="shared" si="83"/>
        <v>2010birthsdhbCapital &amp; Coast</v>
      </c>
      <c r="S582" s="604">
        <v>2010</v>
      </c>
      <c r="T582" s="604" t="s">
        <v>445</v>
      </c>
      <c r="U582" s="604" t="s">
        <v>448</v>
      </c>
      <c r="V582" s="604" t="s">
        <v>96</v>
      </c>
      <c r="W582" s="604">
        <v>3998</v>
      </c>
      <c r="Y582" s="535" t="str">
        <f t="shared" si="84"/>
        <v>2016ethgestMaoriUnknownfetal</v>
      </c>
      <c r="Z582" s="604">
        <v>2016</v>
      </c>
      <c r="AA582" s="604" t="s">
        <v>449</v>
      </c>
      <c r="AB582" s="604" t="s">
        <v>450</v>
      </c>
      <c r="AC582" s="604" t="s">
        <v>129</v>
      </c>
      <c r="AD582" s="604" t="s">
        <v>63</v>
      </c>
      <c r="AE582" s="604">
        <v>1</v>
      </c>
      <c r="AF582" s="604">
        <v>13</v>
      </c>
      <c r="AG582" s="604" t="s">
        <v>119</v>
      </c>
      <c r="AH582" s="604" t="s">
        <v>420</v>
      </c>
      <c r="AJ582" s="535" t="str">
        <f t="shared" si="85"/>
        <v>2016ethgestMaoriUnknown</v>
      </c>
      <c r="AK582" s="604">
        <v>2016</v>
      </c>
      <c r="AL582" s="604" t="s">
        <v>449</v>
      </c>
      <c r="AM582" s="604" t="s">
        <v>450</v>
      </c>
      <c r="AN582" s="604" t="s">
        <v>129</v>
      </c>
      <c r="AO582" s="604" t="s">
        <v>63</v>
      </c>
      <c r="AP582" s="604">
        <v>13</v>
      </c>
      <c r="AR582" s="538" t="str">
        <f t="shared" si="86"/>
        <v>Quin 1depfetalWest Coast</v>
      </c>
      <c r="AS582" s="604">
        <v>2016</v>
      </c>
      <c r="AT582" s="604" t="s">
        <v>421</v>
      </c>
      <c r="AU582" s="604" t="s">
        <v>454</v>
      </c>
      <c r="AV582" s="604" t="s">
        <v>100</v>
      </c>
      <c r="AW582" s="604">
        <v>0</v>
      </c>
      <c r="AX582" s="604">
        <v>20</v>
      </c>
      <c r="AY582" s="606">
        <v>0</v>
      </c>
      <c r="AZ582" s="604" t="s">
        <v>420</v>
      </c>
      <c r="BB582" s="536" t="str">
        <f t="shared" si="87"/>
        <v>2500-4499bwtbirthsHutt Valley</v>
      </c>
      <c r="BC582" s="604">
        <v>2016</v>
      </c>
      <c r="BD582" s="604" t="s">
        <v>431</v>
      </c>
      <c r="BE582" s="604" t="s">
        <v>447</v>
      </c>
      <c r="BF582" s="604" t="s">
        <v>97</v>
      </c>
      <c r="BG582" s="604">
        <v>1811</v>
      </c>
      <c r="BH582" s="604" t="s">
        <v>445</v>
      </c>
      <c r="BY582" s="553" t="str">
        <f t="shared" si="88"/>
        <v>2008Counties ManukaudhbSIDS</v>
      </c>
      <c r="BZ582" s="604">
        <v>2008</v>
      </c>
      <c r="CA582" s="604" t="s">
        <v>88</v>
      </c>
      <c r="CB582" s="604" t="s">
        <v>448</v>
      </c>
      <c r="CC582" s="604">
        <v>7</v>
      </c>
      <c r="CD582" s="604" t="s">
        <v>32</v>
      </c>
      <c r="CF582" s="559" t="str">
        <f t="shared" si="89"/>
        <v>5yearsEuropean or Other35-39ageSUDI</v>
      </c>
      <c r="CG582" s="604" t="s">
        <v>475</v>
      </c>
      <c r="CH582" s="604" t="s">
        <v>356</v>
      </c>
      <c r="CI582" s="604" t="s">
        <v>133</v>
      </c>
      <c r="CJ582" s="604" t="s">
        <v>453</v>
      </c>
      <c r="CK582" s="604">
        <v>5</v>
      </c>
      <c r="CL582" s="604" t="s">
        <v>33</v>
      </c>
    </row>
    <row r="583" spans="9:90">
      <c r="I583" s="578" t="str">
        <f t="shared" si="82"/>
        <v>2015bwtUnknownFetal</v>
      </c>
      <c r="J583" s="604">
        <v>2015</v>
      </c>
      <c r="K583" s="604" t="s">
        <v>447</v>
      </c>
      <c r="L583" s="604" t="s">
        <v>63</v>
      </c>
      <c r="M583" s="604">
        <v>15</v>
      </c>
      <c r="N583" s="604">
        <v>61</v>
      </c>
      <c r="O583" s="604" t="s">
        <v>119</v>
      </c>
      <c r="P583" s="604" t="s">
        <v>47</v>
      </c>
      <c r="Q583" s="499"/>
      <c r="R583" s="502" t="str">
        <f t="shared" si="83"/>
        <v>2010birthsdhbHutt Valley</v>
      </c>
      <c r="S583" s="604">
        <v>2010</v>
      </c>
      <c r="T583" s="604" t="s">
        <v>445</v>
      </c>
      <c r="U583" s="604" t="s">
        <v>448</v>
      </c>
      <c r="V583" s="604" t="s">
        <v>97</v>
      </c>
      <c r="W583" s="604">
        <v>2151</v>
      </c>
      <c r="Y583" s="535" t="str">
        <f t="shared" si="84"/>
        <v>2016ethgestPacific peoplesUnknownfetal</v>
      </c>
      <c r="Z583" s="604">
        <v>2016</v>
      </c>
      <c r="AA583" s="604" t="s">
        <v>449</v>
      </c>
      <c r="AB583" s="604" t="s">
        <v>450</v>
      </c>
      <c r="AC583" s="604" t="s">
        <v>320</v>
      </c>
      <c r="AD583" s="604" t="s">
        <v>63</v>
      </c>
      <c r="AE583" s="604">
        <v>1</v>
      </c>
      <c r="AF583" s="604">
        <v>1</v>
      </c>
      <c r="AG583" s="604" t="s">
        <v>119</v>
      </c>
      <c r="AH583" s="604" t="s">
        <v>420</v>
      </c>
      <c r="AJ583" s="535" t="str">
        <f t="shared" si="85"/>
        <v>2016ethgestPacific peoplesUnknown</v>
      </c>
      <c r="AK583" s="604">
        <v>2016</v>
      </c>
      <c r="AL583" s="604" t="s">
        <v>449</v>
      </c>
      <c r="AM583" s="604" t="s">
        <v>450</v>
      </c>
      <c r="AN583" s="604" t="s">
        <v>320</v>
      </c>
      <c r="AO583" s="604" t="s">
        <v>63</v>
      </c>
      <c r="AP583" s="604">
        <v>1</v>
      </c>
      <c r="AR583" s="538" t="str">
        <f t="shared" si="86"/>
        <v>Quin 5depfetalWest Coast</v>
      </c>
      <c r="AS583" s="604">
        <v>2016</v>
      </c>
      <c r="AT583" s="604" t="s">
        <v>425</v>
      </c>
      <c r="AU583" s="604" t="s">
        <v>454</v>
      </c>
      <c r="AV583" s="604" t="s">
        <v>100</v>
      </c>
      <c r="AW583" s="604">
        <v>0</v>
      </c>
      <c r="AX583" s="604">
        <v>17</v>
      </c>
      <c r="AY583" s="606">
        <v>0</v>
      </c>
      <c r="AZ583" s="604" t="s">
        <v>420</v>
      </c>
      <c r="BB583" s="536" t="str">
        <f t="shared" si="87"/>
        <v>4500+bwtbirthsHutt Valley</v>
      </c>
      <c r="BC583" s="604">
        <v>2016</v>
      </c>
      <c r="BD583" s="604" t="s">
        <v>432</v>
      </c>
      <c r="BE583" s="604" t="s">
        <v>447</v>
      </c>
      <c r="BF583" s="604" t="s">
        <v>97</v>
      </c>
      <c r="BG583" s="604">
        <v>52</v>
      </c>
      <c r="BH583" s="604" t="s">
        <v>445</v>
      </c>
      <c r="BY583" s="553" t="str">
        <f t="shared" si="88"/>
        <v>2008WaikatodhbSIDS</v>
      </c>
      <c r="BZ583" s="604">
        <v>2008</v>
      </c>
      <c r="CA583" s="604" t="s">
        <v>89</v>
      </c>
      <c r="CB583" s="604" t="s">
        <v>448</v>
      </c>
      <c r="CC583" s="604">
        <v>6</v>
      </c>
      <c r="CD583" s="604" t="s">
        <v>32</v>
      </c>
      <c r="CF583" s="559" t="str">
        <f t="shared" si="89"/>
        <v>5yearsMaori35-39ageSUDI</v>
      </c>
      <c r="CG583" s="604" t="s">
        <v>475</v>
      </c>
      <c r="CH583" s="604" t="s">
        <v>129</v>
      </c>
      <c r="CI583" s="604" t="s">
        <v>133</v>
      </c>
      <c r="CJ583" s="604" t="s">
        <v>453</v>
      </c>
      <c r="CK583" s="604">
        <v>6</v>
      </c>
      <c r="CL583" s="604" t="s">
        <v>33</v>
      </c>
    </row>
    <row r="584" spans="9:90">
      <c r="I584" s="578" t="str">
        <f t="shared" si="82"/>
        <v>2016bwt&lt;500Fetal</v>
      </c>
      <c r="J584" s="604">
        <v>2016</v>
      </c>
      <c r="K584" s="604" t="s">
        <v>447</v>
      </c>
      <c r="L584" s="604" t="s">
        <v>427</v>
      </c>
      <c r="M584" s="604">
        <v>141</v>
      </c>
      <c r="N584" s="604">
        <v>194</v>
      </c>
      <c r="O584" s="604">
        <v>726.8</v>
      </c>
      <c r="P584" s="604" t="s">
        <v>47</v>
      </c>
      <c r="Q584" s="499"/>
      <c r="R584" s="502" t="str">
        <f t="shared" si="83"/>
        <v>2010birthsdhbWairarapa</v>
      </c>
      <c r="S584" s="604">
        <v>2010</v>
      </c>
      <c r="T584" s="604" t="s">
        <v>445</v>
      </c>
      <c r="U584" s="604" t="s">
        <v>448</v>
      </c>
      <c r="V584" s="604" t="s">
        <v>98</v>
      </c>
      <c r="W584" s="604">
        <v>549</v>
      </c>
      <c r="Y584" s="535" t="str">
        <f t="shared" si="84"/>
        <v>2016ethgestAsianUnknownfetal</v>
      </c>
      <c r="Z584" s="604">
        <v>2016</v>
      </c>
      <c r="AA584" s="604" t="s">
        <v>449</v>
      </c>
      <c r="AB584" s="604" t="s">
        <v>450</v>
      </c>
      <c r="AC584" s="604" t="s">
        <v>355</v>
      </c>
      <c r="AD584" s="604" t="s">
        <v>63</v>
      </c>
      <c r="AE584" s="604">
        <v>2</v>
      </c>
      <c r="AF584" s="604">
        <v>5</v>
      </c>
      <c r="AG584" s="604" t="s">
        <v>119</v>
      </c>
      <c r="AH584" s="604" t="s">
        <v>420</v>
      </c>
      <c r="AJ584" s="535" t="str">
        <f t="shared" si="85"/>
        <v>2016ethgestAsianUnknown</v>
      </c>
      <c r="AK584" s="604">
        <v>2016</v>
      </c>
      <c r="AL584" s="604" t="s">
        <v>449</v>
      </c>
      <c r="AM584" s="604" t="s">
        <v>450</v>
      </c>
      <c r="AN584" s="604" t="s">
        <v>355</v>
      </c>
      <c r="AO584" s="604" t="s">
        <v>63</v>
      </c>
      <c r="AP584" s="604">
        <v>5</v>
      </c>
      <c r="AR584" s="538" t="str">
        <f t="shared" si="86"/>
        <v>Quin 2depfetalSouth Canterbury</v>
      </c>
      <c r="AS584" s="604">
        <v>2016</v>
      </c>
      <c r="AT584" s="604" t="s">
        <v>422</v>
      </c>
      <c r="AU584" s="604" t="s">
        <v>454</v>
      </c>
      <c r="AV584" s="604" t="s">
        <v>102</v>
      </c>
      <c r="AW584" s="604">
        <v>0</v>
      </c>
      <c r="AX584" s="604">
        <v>185</v>
      </c>
      <c r="AY584" s="606">
        <v>0</v>
      </c>
      <c r="AZ584" s="604" t="s">
        <v>420</v>
      </c>
      <c r="BB584" s="536" t="str">
        <f t="shared" si="87"/>
        <v>UnknownbwtbirthsHutt Valley</v>
      </c>
      <c r="BC584" s="604">
        <v>2016</v>
      </c>
      <c r="BD584" s="604" t="s">
        <v>63</v>
      </c>
      <c r="BE584" s="604" t="s">
        <v>447</v>
      </c>
      <c r="BF584" s="604" t="s">
        <v>97</v>
      </c>
      <c r="BG584" s="604">
        <v>1</v>
      </c>
      <c r="BH584" s="604" t="s">
        <v>445</v>
      </c>
      <c r="BY584" s="553" t="str">
        <f t="shared" si="88"/>
        <v>2008LakesdhbSIDS</v>
      </c>
      <c r="BZ584" s="604">
        <v>2008</v>
      </c>
      <c r="CA584" s="604" t="s">
        <v>90</v>
      </c>
      <c r="CB584" s="604" t="s">
        <v>448</v>
      </c>
      <c r="CC584" s="604">
        <v>2</v>
      </c>
      <c r="CD584" s="604" t="s">
        <v>32</v>
      </c>
      <c r="CF584" s="559" t="str">
        <f t="shared" si="89"/>
        <v>5yearsPacific peoples35-39ageSUDI</v>
      </c>
      <c r="CG584" s="604" t="s">
        <v>475</v>
      </c>
      <c r="CH584" s="604" t="s">
        <v>320</v>
      </c>
      <c r="CI584" s="604" t="s">
        <v>133</v>
      </c>
      <c r="CJ584" s="604" t="s">
        <v>453</v>
      </c>
      <c r="CK584" s="604">
        <v>5</v>
      </c>
      <c r="CL584" s="604" t="s">
        <v>33</v>
      </c>
    </row>
    <row r="585" spans="9:90">
      <c r="I585" s="578" t="str">
        <f t="shared" si="82"/>
        <v>2016bwt500-999Fetal</v>
      </c>
      <c r="J585" s="604">
        <v>2016</v>
      </c>
      <c r="K585" s="604" t="s">
        <v>447</v>
      </c>
      <c r="L585" s="604" t="s">
        <v>428</v>
      </c>
      <c r="M585" s="604">
        <v>97</v>
      </c>
      <c r="N585" s="604">
        <v>293</v>
      </c>
      <c r="O585" s="604">
        <v>331.1</v>
      </c>
      <c r="P585" s="604" t="s">
        <v>47</v>
      </c>
      <c r="Q585" s="499"/>
      <c r="R585" s="502" t="str">
        <f t="shared" si="83"/>
        <v>2010birthsdhbNelson Marlborough</v>
      </c>
      <c r="S585" s="604">
        <v>2010</v>
      </c>
      <c r="T585" s="604" t="s">
        <v>445</v>
      </c>
      <c r="U585" s="604" t="s">
        <v>448</v>
      </c>
      <c r="V585" s="604" t="s">
        <v>99</v>
      </c>
      <c r="W585" s="604">
        <v>1725</v>
      </c>
      <c r="Y585" s="535" t="str">
        <f t="shared" si="84"/>
        <v>2016ethgestEuropean or OtherUnknownfetal</v>
      </c>
      <c r="Z585" s="604">
        <v>2016</v>
      </c>
      <c r="AA585" s="604" t="s">
        <v>449</v>
      </c>
      <c r="AB585" s="604" t="s">
        <v>450</v>
      </c>
      <c r="AC585" s="604" t="s">
        <v>356</v>
      </c>
      <c r="AD585" s="604" t="s">
        <v>63</v>
      </c>
      <c r="AE585" s="604">
        <v>2</v>
      </c>
      <c r="AF585" s="604">
        <v>10</v>
      </c>
      <c r="AG585" s="604" t="s">
        <v>119</v>
      </c>
      <c r="AH585" s="604" t="s">
        <v>420</v>
      </c>
      <c r="AJ585" s="535" t="str">
        <f t="shared" si="85"/>
        <v>2016ethgestEuropean or OtherUnknown</v>
      </c>
      <c r="AK585" s="604">
        <v>2016</v>
      </c>
      <c r="AL585" s="604" t="s">
        <v>449</v>
      </c>
      <c r="AM585" s="604" t="s">
        <v>450</v>
      </c>
      <c r="AN585" s="604" t="s">
        <v>356</v>
      </c>
      <c r="AO585" s="604" t="s">
        <v>63</v>
      </c>
      <c r="AP585" s="604">
        <v>10</v>
      </c>
      <c r="AR585" s="538" t="str">
        <f t="shared" si="86"/>
        <v>Quin 5depfetalSouth Canterbury</v>
      </c>
      <c r="AS585" s="604">
        <v>2016</v>
      </c>
      <c r="AT585" s="604" t="s">
        <v>425</v>
      </c>
      <c r="AU585" s="604" t="s">
        <v>454</v>
      </c>
      <c r="AV585" s="604" t="s">
        <v>102</v>
      </c>
      <c r="AW585" s="604">
        <v>0</v>
      </c>
      <c r="AX585" s="604">
        <v>21</v>
      </c>
      <c r="AY585" s="606">
        <v>0</v>
      </c>
      <c r="AZ585" s="604" t="s">
        <v>420</v>
      </c>
      <c r="BB585" s="536" t="str">
        <f t="shared" si="87"/>
        <v>&lt;500bwtbirthsWairarapa</v>
      </c>
      <c r="BC585" s="604">
        <v>2016</v>
      </c>
      <c r="BD585" s="604" t="s">
        <v>427</v>
      </c>
      <c r="BE585" s="604" t="s">
        <v>447</v>
      </c>
      <c r="BF585" s="604" t="s">
        <v>98</v>
      </c>
      <c r="BG585" s="604">
        <v>1</v>
      </c>
      <c r="BH585" s="604" t="s">
        <v>445</v>
      </c>
      <c r="BY585" s="553" t="str">
        <f t="shared" si="88"/>
        <v>2008Bay of PlentydhbSIDS</v>
      </c>
      <c r="BZ585" s="604">
        <v>2008</v>
      </c>
      <c r="CA585" s="604" t="s">
        <v>91</v>
      </c>
      <c r="CB585" s="604" t="s">
        <v>448</v>
      </c>
      <c r="CC585" s="604">
        <v>2</v>
      </c>
      <c r="CD585" s="604" t="s">
        <v>32</v>
      </c>
      <c r="CF585" s="559" t="str">
        <f t="shared" si="89"/>
        <v>5yearsAsian40+ageSUDI</v>
      </c>
      <c r="CG585" s="604" t="s">
        <v>475</v>
      </c>
      <c r="CH585" s="604" t="s">
        <v>355</v>
      </c>
      <c r="CI585" s="604" t="s">
        <v>134</v>
      </c>
      <c r="CJ585" s="604" t="s">
        <v>453</v>
      </c>
      <c r="CK585" s="604">
        <v>0</v>
      </c>
      <c r="CL585" s="604" t="s">
        <v>33</v>
      </c>
    </row>
    <row r="586" spans="9:90">
      <c r="I586" s="578" t="str">
        <f t="shared" si="82"/>
        <v>2016bwt1000-1499Fetal</v>
      </c>
      <c r="J586" s="604">
        <v>2016</v>
      </c>
      <c r="K586" s="604" t="s">
        <v>447</v>
      </c>
      <c r="L586" s="604" t="s">
        <v>429</v>
      </c>
      <c r="M586" s="604">
        <v>27</v>
      </c>
      <c r="N586" s="604">
        <v>358</v>
      </c>
      <c r="O586" s="604">
        <v>75.400000000000006</v>
      </c>
      <c r="P586" s="604" t="s">
        <v>47</v>
      </c>
      <c r="Q586" s="499"/>
      <c r="R586" s="502" t="str">
        <f t="shared" si="83"/>
        <v>2010birthsdhbWest Coast</v>
      </c>
      <c r="S586" s="604">
        <v>2010</v>
      </c>
      <c r="T586" s="604" t="s">
        <v>445</v>
      </c>
      <c r="U586" s="604" t="s">
        <v>448</v>
      </c>
      <c r="V586" s="604" t="s">
        <v>100</v>
      </c>
      <c r="W586" s="604">
        <v>432</v>
      </c>
      <c r="Y586" s="535" t="str">
        <f t="shared" si="84"/>
        <v>2016sexgestMale&lt;28fetal</v>
      </c>
      <c r="Z586" s="604">
        <v>2016</v>
      </c>
      <c r="AA586" s="604" t="s">
        <v>451</v>
      </c>
      <c r="AB586" s="604" t="s">
        <v>450</v>
      </c>
      <c r="AC586" s="604" t="s">
        <v>70</v>
      </c>
      <c r="AD586" s="604" t="s">
        <v>375</v>
      </c>
      <c r="AE586" s="604">
        <v>111</v>
      </c>
      <c r="AF586" s="604">
        <v>132</v>
      </c>
      <c r="AG586" s="604">
        <v>456.8</v>
      </c>
      <c r="AH586" s="604" t="s">
        <v>420</v>
      </c>
      <c r="AJ586" s="535" t="str">
        <f t="shared" si="85"/>
        <v>2016sexgestMale&lt;28</v>
      </c>
      <c r="AK586" s="604">
        <v>2016</v>
      </c>
      <c r="AL586" s="604" t="s">
        <v>451</v>
      </c>
      <c r="AM586" s="604" t="s">
        <v>450</v>
      </c>
      <c r="AN586" s="604" t="s">
        <v>70</v>
      </c>
      <c r="AO586" s="604" t="s">
        <v>375</v>
      </c>
      <c r="AP586" s="604">
        <v>132</v>
      </c>
      <c r="AR586" s="538" t="str">
        <f t="shared" si="86"/>
        <v>42+gestfetalNorthland</v>
      </c>
      <c r="AS586" s="604">
        <v>2016</v>
      </c>
      <c r="AT586" s="604" t="s">
        <v>138</v>
      </c>
      <c r="AU586" s="604" t="s">
        <v>450</v>
      </c>
      <c r="AV586" s="604" t="s">
        <v>85</v>
      </c>
      <c r="AW586" s="604">
        <v>0</v>
      </c>
      <c r="AX586" s="604">
        <v>39</v>
      </c>
      <c r="AY586" s="606">
        <v>0</v>
      </c>
      <c r="AZ586" s="604" t="s">
        <v>420</v>
      </c>
      <c r="BB586" s="536" t="str">
        <f t="shared" si="87"/>
        <v>500-999bwtbirthsWairarapa</v>
      </c>
      <c r="BC586" s="604">
        <v>2016</v>
      </c>
      <c r="BD586" s="604" t="s">
        <v>428</v>
      </c>
      <c r="BE586" s="604" t="s">
        <v>447</v>
      </c>
      <c r="BF586" s="604" t="s">
        <v>98</v>
      </c>
      <c r="BG586" s="604">
        <v>3</v>
      </c>
      <c r="BH586" s="604" t="s">
        <v>445</v>
      </c>
      <c r="BY586" s="553" t="str">
        <f t="shared" si="88"/>
        <v>2008TairawhitidhbSIDS</v>
      </c>
      <c r="BZ586" s="604">
        <v>2008</v>
      </c>
      <c r="CA586" s="604" t="s">
        <v>433</v>
      </c>
      <c r="CB586" s="604" t="s">
        <v>448</v>
      </c>
      <c r="CC586" s="604">
        <v>1</v>
      </c>
      <c r="CD586" s="604" t="s">
        <v>32</v>
      </c>
      <c r="CF586" s="559" t="str">
        <f t="shared" si="89"/>
        <v>5yearsEuropean or Other40+ageSUDI</v>
      </c>
      <c r="CG586" s="604" t="s">
        <v>475</v>
      </c>
      <c r="CH586" s="604" t="s">
        <v>356</v>
      </c>
      <c r="CI586" s="604" t="s">
        <v>134</v>
      </c>
      <c r="CJ586" s="604" t="s">
        <v>453</v>
      </c>
      <c r="CK586" s="604">
        <v>2</v>
      </c>
      <c r="CL586" s="604" t="s">
        <v>33</v>
      </c>
    </row>
    <row r="587" spans="9:90">
      <c r="I587" s="578" t="str">
        <f t="shared" si="82"/>
        <v>2016bwt1500-2499Fetal</v>
      </c>
      <c r="J587" s="604">
        <v>2016</v>
      </c>
      <c r="K587" s="604" t="s">
        <v>447</v>
      </c>
      <c r="L587" s="604" t="s">
        <v>430</v>
      </c>
      <c r="M587" s="604">
        <v>45</v>
      </c>
      <c r="N587" s="604">
        <v>3036</v>
      </c>
      <c r="O587" s="604">
        <v>14.8</v>
      </c>
      <c r="P587" s="604" t="s">
        <v>47</v>
      </c>
      <c r="Q587" s="499"/>
      <c r="R587" s="502" t="str">
        <f t="shared" si="83"/>
        <v>2010birthsdhbCanterbury</v>
      </c>
      <c r="S587" s="604">
        <v>2010</v>
      </c>
      <c r="T587" s="604" t="s">
        <v>445</v>
      </c>
      <c r="U587" s="604" t="s">
        <v>448</v>
      </c>
      <c r="V587" s="604" t="s">
        <v>101</v>
      </c>
      <c r="W587" s="604">
        <v>6688</v>
      </c>
      <c r="Y587" s="535" t="str">
        <f t="shared" si="84"/>
        <v>2016sexgestFemale&lt;28fetal</v>
      </c>
      <c r="Z587" s="604">
        <v>2016</v>
      </c>
      <c r="AA587" s="604" t="s">
        <v>451</v>
      </c>
      <c r="AB587" s="604" t="s">
        <v>450</v>
      </c>
      <c r="AC587" s="604" t="s">
        <v>71</v>
      </c>
      <c r="AD587" s="604" t="s">
        <v>375</v>
      </c>
      <c r="AE587" s="604">
        <v>108</v>
      </c>
      <c r="AF587" s="604">
        <v>128</v>
      </c>
      <c r="AG587" s="604">
        <v>457.6</v>
      </c>
      <c r="AH587" s="604" t="s">
        <v>420</v>
      </c>
      <c r="AJ587" s="535" t="str">
        <f t="shared" si="85"/>
        <v>2016sexgestFemale&lt;28</v>
      </c>
      <c r="AK587" s="604">
        <v>2016</v>
      </c>
      <c r="AL587" s="604" t="s">
        <v>451</v>
      </c>
      <c r="AM587" s="604" t="s">
        <v>450</v>
      </c>
      <c r="AN587" s="604" t="s">
        <v>71</v>
      </c>
      <c r="AO587" s="604" t="s">
        <v>375</v>
      </c>
      <c r="AP587" s="604">
        <v>128</v>
      </c>
      <c r="AR587" s="538" t="str">
        <f t="shared" si="86"/>
        <v>42+gestfetalWaitemata</v>
      </c>
      <c r="AS587" s="604">
        <v>2016</v>
      </c>
      <c r="AT587" s="604" t="s">
        <v>138</v>
      </c>
      <c r="AU587" s="604" t="s">
        <v>450</v>
      </c>
      <c r="AV587" s="604" t="s">
        <v>86</v>
      </c>
      <c r="AW587" s="604">
        <v>0</v>
      </c>
      <c r="AX587" s="604">
        <v>152</v>
      </c>
      <c r="AY587" s="606">
        <v>0</v>
      </c>
      <c r="AZ587" s="604" t="s">
        <v>420</v>
      </c>
      <c r="BB587" s="536" t="str">
        <f t="shared" si="87"/>
        <v>1000-1499bwtbirthsWairarapa</v>
      </c>
      <c r="BC587" s="604">
        <v>2016</v>
      </c>
      <c r="BD587" s="604" t="s">
        <v>429</v>
      </c>
      <c r="BE587" s="604" t="s">
        <v>447</v>
      </c>
      <c r="BF587" s="604" t="s">
        <v>98</v>
      </c>
      <c r="BG587" s="604">
        <v>2</v>
      </c>
      <c r="BH587" s="604" t="s">
        <v>445</v>
      </c>
      <c r="BY587" s="553" t="str">
        <f t="shared" si="88"/>
        <v>2008Hawke's BaydhbSIDS</v>
      </c>
      <c r="BZ587" s="604">
        <v>2008</v>
      </c>
      <c r="CA587" s="604" t="s">
        <v>92</v>
      </c>
      <c r="CB587" s="604" t="s">
        <v>448</v>
      </c>
      <c r="CC587" s="604">
        <v>3</v>
      </c>
      <c r="CD587" s="604" t="s">
        <v>32</v>
      </c>
      <c r="CF587" s="559" t="str">
        <f t="shared" si="89"/>
        <v>5yearsMaori40+ageSUDI</v>
      </c>
      <c r="CG587" s="604" t="s">
        <v>475</v>
      </c>
      <c r="CH587" s="604" t="s">
        <v>129</v>
      </c>
      <c r="CI587" s="604" t="s">
        <v>134</v>
      </c>
      <c r="CJ587" s="604" t="s">
        <v>453</v>
      </c>
      <c r="CK587" s="604">
        <v>2</v>
      </c>
      <c r="CL587" s="604" t="s">
        <v>33</v>
      </c>
    </row>
    <row r="588" spans="9:90">
      <c r="I588" s="578" t="str">
        <f t="shared" si="82"/>
        <v>2016bwt2500-4499Fetal</v>
      </c>
      <c r="J588" s="604">
        <v>2016</v>
      </c>
      <c r="K588" s="604" t="s">
        <v>447</v>
      </c>
      <c r="L588" s="604" t="s">
        <v>431</v>
      </c>
      <c r="M588" s="604">
        <v>81</v>
      </c>
      <c r="N588" s="604">
        <v>55488</v>
      </c>
      <c r="O588" s="604">
        <v>1.5</v>
      </c>
      <c r="P588" s="604" t="s">
        <v>47</v>
      </c>
      <c r="Q588" s="499"/>
      <c r="R588" s="502" t="str">
        <f t="shared" si="83"/>
        <v>2010birthsdhbSouth Canterbury</v>
      </c>
      <c r="S588" s="604">
        <v>2010</v>
      </c>
      <c r="T588" s="604" t="s">
        <v>445</v>
      </c>
      <c r="U588" s="604" t="s">
        <v>448</v>
      </c>
      <c r="V588" s="604" t="s">
        <v>102</v>
      </c>
      <c r="W588" s="604">
        <v>627</v>
      </c>
      <c r="Y588" s="535" t="str">
        <f t="shared" si="84"/>
        <v>2016sexgestMale28-31fetal</v>
      </c>
      <c r="Z588" s="604">
        <v>2016</v>
      </c>
      <c r="AA588" s="604" t="s">
        <v>451</v>
      </c>
      <c r="AB588" s="604" t="s">
        <v>450</v>
      </c>
      <c r="AC588" s="604" t="s">
        <v>70</v>
      </c>
      <c r="AD588" s="604" t="s">
        <v>395</v>
      </c>
      <c r="AE588" s="604">
        <v>19</v>
      </c>
      <c r="AF588" s="604">
        <v>239</v>
      </c>
      <c r="AG588" s="604">
        <v>73.599999999999994</v>
      </c>
      <c r="AH588" s="604" t="s">
        <v>420</v>
      </c>
      <c r="AJ588" s="535" t="str">
        <f t="shared" si="85"/>
        <v>2016sexgestMale28-31</v>
      </c>
      <c r="AK588" s="604">
        <v>2016</v>
      </c>
      <c r="AL588" s="604" t="s">
        <v>451</v>
      </c>
      <c r="AM588" s="604" t="s">
        <v>450</v>
      </c>
      <c r="AN588" s="604" t="s">
        <v>70</v>
      </c>
      <c r="AO588" s="604" t="s">
        <v>395</v>
      </c>
      <c r="AP588" s="604">
        <v>239</v>
      </c>
      <c r="AR588" s="538" t="str">
        <f t="shared" si="86"/>
        <v>UnknowngestfetalWaitemata</v>
      </c>
      <c r="AS588" s="604">
        <v>2016</v>
      </c>
      <c r="AT588" s="604" t="s">
        <v>63</v>
      </c>
      <c r="AU588" s="604" t="s">
        <v>450</v>
      </c>
      <c r="AV588" s="604" t="s">
        <v>86</v>
      </c>
      <c r="AW588" s="604">
        <v>0</v>
      </c>
      <c r="AX588" s="604">
        <v>1</v>
      </c>
      <c r="AY588" s="606" t="s">
        <v>119</v>
      </c>
      <c r="AZ588" s="604" t="s">
        <v>420</v>
      </c>
      <c r="BB588" s="536" t="str">
        <f t="shared" si="87"/>
        <v>1500-2499bwtbirthsWairarapa</v>
      </c>
      <c r="BC588" s="604">
        <v>2016</v>
      </c>
      <c r="BD588" s="604" t="s">
        <v>430</v>
      </c>
      <c r="BE588" s="604" t="s">
        <v>447</v>
      </c>
      <c r="BF588" s="604" t="s">
        <v>98</v>
      </c>
      <c r="BG588" s="604">
        <v>30</v>
      </c>
      <c r="BH588" s="604" t="s">
        <v>445</v>
      </c>
      <c r="BY588" s="553" t="str">
        <f t="shared" si="88"/>
        <v>2008TaranakidhbSIDS</v>
      </c>
      <c r="BZ588" s="604">
        <v>2008</v>
      </c>
      <c r="CA588" s="604" t="s">
        <v>93</v>
      </c>
      <c r="CB588" s="604" t="s">
        <v>448</v>
      </c>
      <c r="CC588" s="604">
        <v>1</v>
      </c>
      <c r="CD588" s="604" t="s">
        <v>32</v>
      </c>
      <c r="CF588" s="559" t="str">
        <f t="shared" si="89"/>
        <v>5yearsPacific peoples40+ageSUDI</v>
      </c>
      <c r="CG588" s="604" t="s">
        <v>475</v>
      </c>
      <c r="CH588" s="604" t="s">
        <v>320</v>
      </c>
      <c r="CI588" s="604" t="s">
        <v>134</v>
      </c>
      <c r="CJ588" s="604" t="s">
        <v>453</v>
      </c>
      <c r="CK588" s="604">
        <v>0</v>
      </c>
      <c r="CL588" s="604" t="s">
        <v>33</v>
      </c>
    </row>
    <row r="589" spans="9:90">
      <c r="I589" s="578" t="str">
        <f t="shared" si="82"/>
        <v>2016bwt4500+Fetal</v>
      </c>
      <c r="J589" s="604">
        <v>2016</v>
      </c>
      <c r="K589" s="604" t="s">
        <v>447</v>
      </c>
      <c r="L589" s="604" t="s">
        <v>432</v>
      </c>
      <c r="M589" s="604">
        <v>4</v>
      </c>
      <c r="N589" s="604">
        <v>1427</v>
      </c>
      <c r="O589" s="604">
        <v>2.8</v>
      </c>
      <c r="P589" s="604" t="s">
        <v>47</v>
      </c>
      <c r="Q589" s="499"/>
      <c r="R589" s="502" t="str">
        <f t="shared" si="83"/>
        <v>2010birthsdhbSouthern</v>
      </c>
      <c r="S589" s="604">
        <v>2010</v>
      </c>
      <c r="T589" s="604" t="s">
        <v>445</v>
      </c>
      <c r="U589" s="604" t="s">
        <v>448</v>
      </c>
      <c r="V589" s="604" t="s">
        <v>103</v>
      </c>
      <c r="W589" s="604">
        <v>3772</v>
      </c>
      <c r="Y589" s="535" t="str">
        <f t="shared" si="84"/>
        <v>2016sexgestFemale28-31fetal</v>
      </c>
      <c r="Z589" s="604">
        <v>2016</v>
      </c>
      <c r="AA589" s="604" t="s">
        <v>451</v>
      </c>
      <c r="AB589" s="604" t="s">
        <v>450</v>
      </c>
      <c r="AC589" s="604" t="s">
        <v>71</v>
      </c>
      <c r="AD589" s="604" t="s">
        <v>395</v>
      </c>
      <c r="AE589" s="604">
        <v>19</v>
      </c>
      <c r="AF589" s="604">
        <v>178</v>
      </c>
      <c r="AG589" s="604">
        <v>96.4</v>
      </c>
      <c r="AH589" s="604" t="s">
        <v>420</v>
      </c>
      <c r="AJ589" s="535" t="str">
        <f t="shared" si="85"/>
        <v>2016sexgestFemale28-31</v>
      </c>
      <c r="AK589" s="604">
        <v>2016</v>
      </c>
      <c r="AL589" s="604" t="s">
        <v>451</v>
      </c>
      <c r="AM589" s="604" t="s">
        <v>450</v>
      </c>
      <c r="AN589" s="604" t="s">
        <v>71</v>
      </c>
      <c r="AO589" s="604" t="s">
        <v>395</v>
      </c>
      <c r="AP589" s="604">
        <v>178</v>
      </c>
      <c r="AR589" s="538" t="str">
        <f t="shared" si="86"/>
        <v>42+gestfetalAuckland</v>
      </c>
      <c r="AS589" s="604">
        <v>2016</v>
      </c>
      <c r="AT589" s="604" t="s">
        <v>138</v>
      </c>
      <c r="AU589" s="604" t="s">
        <v>450</v>
      </c>
      <c r="AV589" s="604" t="s">
        <v>87</v>
      </c>
      <c r="AW589" s="604">
        <v>0</v>
      </c>
      <c r="AX589" s="604">
        <v>78</v>
      </c>
      <c r="AY589" s="606">
        <v>0</v>
      </c>
      <c r="AZ589" s="604" t="s">
        <v>420</v>
      </c>
      <c r="BB589" s="536" t="str">
        <f t="shared" si="87"/>
        <v>2500-4499bwtbirthsWairarapa</v>
      </c>
      <c r="BC589" s="604">
        <v>2016</v>
      </c>
      <c r="BD589" s="604" t="s">
        <v>431</v>
      </c>
      <c r="BE589" s="604" t="s">
        <v>447</v>
      </c>
      <c r="BF589" s="604" t="s">
        <v>98</v>
      </c>
      <c r="BG589" s="604">
        <v>428</v>
      </c>
      <c r="BH589" s="604" t="s">
        <v>445</v>
      </c>
      <c r="BY589" s="553" t="str">
        <f t="shared" si="88"/>
        <v>2008MidCentraldhbSIDS</v>
      </c>
      <c r="BZ589" s="604">
        <v>2008</v>
      </c>
      <c r="CA589" s="604" t="s">
        <v>94</v>
      </c>
      <c r="CB589" s="604" t="s">
        <v>448</v>
      </c>
      <c r="CC589" s="604">
        <v>4</v>
      </c>
      <c r="CD589" s="604" t="s">
        <v>32</v>
      </c>
      <c r="CF589" s="559" t="str">
        <f t="shared" si="89"/>
        <v>5yearsAsianUnknownageSUDI</v>
      </c>
      <c r="CG589" s="604" t="s">
        <v>475</v>
      </c>
      <c r="CH589" s="604" t="s">
        <v>355</v>
      </c>
      <c r="CI589" s="604" t="s">
        <v>63</v>
      </c>
      <c r="CJ589" s="604" t="s">
        <v>453</v>
      </c>
      <c r="CK589" s="604">
        <v>0</v>
      </c>
      <c r="CL589" s="604" t="s">
        <v>33</v>
      </c>
    </row>
    <row r="590" spans="9:90">
      <c r="I590" s="578" t="str">
        <f t="shared" si="82"/>
        <v>2016bwtUnknownFetal</v>
      </c>
      <c r="J590" s="604">
        <v>2016</v>
      </c>
      <c r="K590" s="604" t="s">
        <v>447</v>
      </c>
      <c r="L590" s="604" t="s">
        <v>63</v>
      </c>
      <c r="M590" s="604">
        <v>18</v>
      </c>
      <c r="N590" s="604">
        <v>53</v>
      </c>
      <c r="O590" s="604" t="s">
        <v>119</v>
      </c>
      <c r="P590" s="604" t="s">
        <v>47</v>
      </c>
      <c r="Q590" s="499"/>
      <c r="R590" s="502" t="str">
        <f t="shared" si="83"/>
        <v>2010birthsdhbUnknown</v>
      </c>
      <c r="S590" s="604">
        <v>2010</v>
      </c>
      <c r="T590" s="604" t="s">
        <v>445</v>
      </c>
      <c r="U590" s="604" t="s">
        <v>448</v>
      </c>
      <c r="V590" s="604" t="s">
        <v>63</v>
      </c>
      <c r="W590" s="604">
        <v>307</v>
      </c>
      <c r="Y590" s="535" t="str">
        <f t="shared" si="84"/>
        <v>2016sexgestMale32-36fetal</v>
      </c>
      <c r="Z590" s="604">
        <v>2016</v>
      </c>
      <c r="AA590" s="604" t="s">
        <v>451</v>
      </c>
      <c r="AB590" s="604" t="s">
        <v>450</v>
      </c>
      <c r="AC590" s="604" t="s">
        <v>70</v>
      </c>
      <c r="AD590" s="604" t="s">
        <v>136</v>
      </c>
      <c r="AE590" s="604">
        <v>38</v>
      </c>
      <c r="AF590" s="604">
        <v>2055</v>
      </c>
      <c r="AG590" s="604">
        <v>18.2</v>
      </c>
      <c r="AH590" s="604" t="s">
        <v>420</v>
      </c>
      <c r="AJ590" s="535" t="str">
        <f t="shared" si="85"/>
        <v>2016sexgestMale32-36</v>
      </c>
      <c r="AK590" s="604">
        <v>2016</v>
      </c>
      <c r="AL590" s="604" t="s">
        <v>451</v>
      </c>
      <c r="AM590" s="604" t="s">
        <v>450</v>
      </c>
      <c r="AN590" s="604" t="s">
        <v>70</v>
      </c>
      <c r="AO590" s="604" t="s">
        <v>136</v>
      </c>
      <c r="AP590" s="604">
        <v>2055</v>
      </c>
      <c r="AR590" s="538" t="str">
        <f t="shared" si="86"/>
        <v>UnknowngestfetalAuckland</v>
      </c>
      <c r="AS590" s="604">
        <v>2016</v>
      </c>
      <c r="AT590" s="604" t="s">
        <v>63</v>
      </c>
      <c r="AU590" s="604" t="s">
        <v>450</v>
      </c>
      <c r="AV590" s="604" t="s">
        <v>87</v>
      </c>
      <c r="AW590" s="604">
        <v>0</v>
      </c>
      <c r="AX590" s="604">
        <v>3</v>
      </c>
      <c r="AY590" s="606" t="s">
        <v>119</v>
      </c>
      <c r="AZ590" s="604" t="s">
        <v>420</v>
      </c>
      <c r="BB590" s="536" t="str">
        <f t="shared" si="87"/>
        <v>4500+bwtbirthsWairarapa</v>
      </c>
      <c r="BC590" s="604">
        <v>2016</v>
      </c>
      <c r="BD590" s="604" t="s">
        <v>432</v>
      </c>
      <c r="BE590" s="604" t="s">
        <v>447</v>
      </c>
      <c r="BF590" s="604" t="s">
        <v>98</v>
      </c>
      <c r="BG590" s="604">
        <v>16</v>
      </c>
      <c r="BH590" s="604" t="s">
        <v>445</v>
      </c>
      <c r="BY590" s="553" t="str">
        <f t="shared" si="88"/>
        <v>2008WhanganuidhbSIDS</v>
      </c>
      <c r="BZ590" s="604">
        <v>2008</v>
      </c>
      <c r="CA590" s="604" t="s">
        <v>95</v>
      </c>
      <c r="CB590" s="604" t="s">
        <v>448</v>
      </c>
      <c r="CC590" s="604">
        <v>3</v>
      </c>
      <c r="CD590" s="604" t="s">
        <v>32</v>
      </c>
      <c r="CF590" s="559" t="str">
        <f t="shared" si="89"/>
        <v>5yearsEuropean or OtherUnknownageSUDI</v>
      </c>
      <c r="CG590" s="604" t="s">
        <v>475</v>
      </c>
      <c r="CH590" s="604" t="s">
        <v>356</v>
      </c>
      <c r="CI590" s="604" t="s">
        <v>63</v>
      </c>
      <c r="CJ590" s="604" t="s">
        <v>453</v>
      </c>
      <c r="CK590" s="604">
        <v>3</v>
      </c>
      <c r="CL590" s="604" t="s">
        <v>33</v>
      </c>
    </row>
    <row r="591" spans="9:90">
      <c r="I591" s="578" t="str">
        <f t="shared" si="82"/>
        <v>1996gest&lt;28Fetal</v>
      </c>
      <c r="J591" s="604">
        <v>1996</v>
      </c>
      <c r="K591" s="604" t="s">
        <v>450</v>
      </c>
      <c r="L591" s="604" t="s">
        <v>375</v>
      </c>
      <c r="M591" s="604">
        <v>206</v>
      </c>
      <c r="N591" s="604">
        <v>460</v>
      </c>
      <c r="O591" s="604">
        <v>447.8</v>
      </c>
      <c r="P591" s="604" t="s">
        <v>47</v>
      </c>
      <c r="Q591" s="499"/>
      <c r="R591" s="502" t="str">
        <f t="shared" si="83"/>
        <v>2011birthsdhbNorthland</v>
      </c>
      <c r="S591" s="604">
        <v>2011</v>
      </c>
      <c r="T591" s="604" t="s">
        <v>445</v>
      </c>
      <c r="U591" s="604" t="s">
        <v>448</v>
      </c>
      <c r="V591" s="604" t="s">
        <v>85</v>
      </c>
      <c r="W591" s="604">
        <v>2261</v>
      </c>
      <c r="Y591" s="535" t="str">
        <f t="shared" si="84"/>
        <v>2016sexgestFemale32-36fetal</v>
      </c>
      <c r="Z591" s="604">
        <v>2016</v>
      </c>
      <c r="AA591" s="604" t="s">
        <v>451</v>
      </c>
      <c r="AB591" s="604" t="s">
        <v>450</v>
      </c>
      <c r="AC591" s="604" t="s">
        <v>71</v>
      </c>
      <c r="AD591" s="604" t="s">
        <v>136</v>
      </c>
      <c r="AE591" s="604">
        <v>18</v>
      </c>
      <c r="AF591" s="604">
        <v>1759</v>
      </c>
      <c r="AG591" s="604">
        <v>10.1</v>
      </c>
      <c r="AH591" s="604" t="s">
        <v>420</v>
      </c>
      <c r="AJ591" s="535" t="str">
        <f t="shared" si="85"/>
        <v>2016sexgestFemale32-36</v>
      </c>
      <c r="AK591" s="604">
        <v>2016</v>
      </c>
      <c r="AL591" s="604" t="s">
        <v>451</v>
      </c>
      <c r="AM591" s="604" t="s">
        <v>450</v>
      </c>
      <c r="AN591" s="604" t="s">
        <v>71</v>
      </c>
      <c r="AO591" s="604" t="s">
        <v>136</v>
      </c>
      <c r="AP591" s="604">
        <v>1759</v>
      </c>
      <c r="AR591" s="538" t="str">
        <f t="shared" si="86"/>
        <v>42+gestfetalCounties Manukau</v>
      </c>
      <c r="AS591" s="604">
        <v>2016</v>
      </c>
      <c r="AT591" s="604" t="s">
        <v>138</v>
      </c>
      <c r="AU591" s="604" t="s">
        <v>450</v>
      </c>
      <c r="AV591" s="604" t="s">
        <v>88</v>
      </c>
      <c r="AW591" s="604">
        <v>0</v>
      </c>
      <c r="AX591" s="604">
        <v>125</v>
      </c>
      <c r="AY591" s="606">
        <v>0</v>
      </c>
      <c r="AZ591" s="604" t="s">
        <v>420</v>
      </c>
      <c r="BB591" s="536" t="str">
        <f t="shared" si="87"/>
        <v>UnknownbwtbirthsWairarapa</v>
      </c>
      <c r="BC591" s="604">
        <v>2016</v>
      </c>
      <c r="BD591" s="604" t="s">
        <v>63</v>
      </c>
      <c r="BE591" s="604" t="s">
        <v>447</v>
      </c>
      <c r="BF591" s="604" t="s">
        <v>98</v>
      </c>
      <c r="BG591" s="604">
        <v>1</v>
      </c>
      <c r="BH591" s="604" t="s">
        <v>445</v>
      </c>
      <c r="BY591" s="553" t="str">
        <f t="shared" si="88"/>
        <v>2008Capital &amp; CoastdhbSIDS</v>
      </c>
      <c r="BZ591" s="604">
        <v>2008</v>
      </c>
      <c r="CA591" s="604" t="s">
        <v>96</v>
      </c>
      <c r="CB591" s="604" t="s">
        <v>448</v>
      </c>
      <c r="CC591" s="604">
        <v>0</v>
      </c>
      <c r="CD591" s="604" t="s">
        <v>32</v>
      </c>
      <c r="CF591" s="559" t="str">
        <f t="shared" si="89"/>
        <v>5yearsMaoriUnknownageSUDI</v>
      </c>
      <c r="CG591" s="604" t="s">
        <v>475</v>
      </c>
      <c r="CH591" s="604" t="s">
        <v>129</v>
      </c>
      <c r="CI591" s="604" t="s">
        <v>63</v>
      </c>
      <c r="CJ591" s="604" t="s">
        <v>453</v>
      </c>
      <c r="CK591" s="604">
        <v>1</v>
      </c>
      <c r="CL591" s="604" t="s">
        <v>33</v>
      </c>
    </row>
    <row r="592" spans="9:90">
      <c r="I592" s="578" t="str">
        <f t="shared" si="82"/>
        <v>1996gest28-31Fetal</v>
      </c>
      <c r="J592" s="604">
        <v>1996</v>
      </c>
      <c r="K592" s="604" t="s">
        <v>450</v>
      </c>
      <c r="L592" s="604" t="s">
        <v>395</v>
      </c>
      <c r="M592" s="604">
        <v>45</v>
      </c>
      <c r="N592" s="604">
        <v>506</v>
      </c>
      <c r="O592" s="604">
        <v>88.9</v>
      </c>
      <c r="P592" s="604" t="s">
        <v>47</v>
      </c>
      <c r="Q592" s="499"/>
      <c r="R592" s="502" t="str">
        <f t="shared" si="83"/>
        <v>2011birthsdhbWaitemata</v>
      </c>
      <c r="S592" s="604">
        <v>2011</v>
      </c>
      <c r="T592" s="604" t="s">
        <v>445</v>
      </c>
      <c r="U592" s="604" t="s">
        <v>448</v>
      </c>
      <c r="V592" s="604" t="s">
        <v>86</v>
      </c>
      <c r="W592" s="604">
        <v>7880</v>
      </c>
      <c r="Y592" s="535" t="str">
        <f t="shared" si="84"/>
        <v>2016sexgestMale37-41fetal</v>
      </c>
      <c r="Z592" s="604">
        <v>2016</v>
      </c>
      <c r="AA592" s="604" t="s">
        <v>451</v>
      </c>
      <c r="AB592" s="604" t="s">
        <v>450</v>
      </c>
      <c r="AC592" s="604" t="s">
        <v>70</v>
      </c>
      <c r="AD592" s="604" t="s">
        <v>137</v>
      </c>
      <c r="AE592" s="604">
        <v>45</v>
      </c>
      <c r="AF592" s="604">
        <v>28046</v>
      </c>
      <c r="AG592" s="604">
        <v>1.6</v>
      </c>
      <c r="AH592" s="604" t="s">
        <v>420</v>
      </c>
      <c r="AJ592" s="535" t="str">
        <f t="shared" si="85"/>
        <v>2016sexgestMale37-41</v>
      </c>
      <c r="AK592" s="604">
        <v>2016</v>
      </c>
      <c r="AL592" s="604" t="s">
        <v>451</v>
      </c>
      <c r="AM592" s="604" t="s">
        <v>450</v>
      </c>
      <c r="AN592" s="604" t="s">
        <v>70</v>
      </c>
      <c r="AO592" s="604" t="s">
        <v>137</v>
      </c>
      <c r="AP592" s="604">
        <v>28046</v>
      </c>
      <c r="AR592" s="538" t="str">
        <f t="shared" si="86"/>
        <v>42+gestfetalWaikato</v>
      </c>
      <c r="AS592" s="604">
        <v>2016</v>
      </c>
      <c r="AT592" s="604" t="s">
        <v>138</v>
      </c>
      <c r="AU592" s="604" t="s">
        <v>450</v>
      </c>
      <c r="AV592" s="604" t="s">
        <v>89</v>
      </c>
      <c r="AW592" s="604">
        <v>0</v>
      </c>
      <c r="AX592" s="604">
        <v>196</v>
      </c>
      <c r="AY592" s="606">
        <v>0</v>
      </c>
      <c r="AZ592" s="604" t="s">
        <v>420</v>
      </c>
      <c r="BB592" s="536" t="str">
        <f t="shared" si="87"/>
        <v>500-999bwtbirthsNelson Marlborough</v>
      </c>
      <c r="BC592" s="604">
        <v>2016</v>
      </c>
      <c r="BD592" s="604" t="s">
        <v>428</v>
      </c>
      <c r="BE592" s="604" t="s">
        <v>447</v>
      </c>
      <c r="BF592" s="604" t="s">
        <v>99</v>
      </c>
      <c r="BG592" s="604">
        <v>5</v>
      </c>
      <c r="BH592" s="604" t="s">
        <v>445</v>
      </c>
      <c r="BY592" s="553" t="str">
        <f t="shared" si="88"/>
        <v>2008Hutt ValleydhbSIDS</v>
      </c>
      <c r="BZ592" s="604">
        <v>2008</v>
      </c>
      <c r="CA592" s="604" t="s">
        <v>97</v>
      </c>
      <c r="CB592" s="604" t="s">
        <v>448</v>
      </c>
      <c r="CC592" s="604">
        <v>1</v>
      </c>
      <c r="CD592" s="604" t="s">
        <v>32</v>
      </c>
      <c r="CF592" s="559" t="str">
        <f t="shared" si="89"/>
        <v>5yearsPacific peoplesUnknownageSUDI</v>
      </c>
      <c r="CG592" s="604" t="s">
        <v>475</v>
      </c>
      <c r="CH592" s="604" t="s">
        <v>320</v>
      </c>
      <c r="CI592" s="604" t="s">
        <v>63</v>
      </c>
      <c r="CJ592" s="604" t="s">
        <v>453</v>
      </c>
      <c r="CK592" s="604">
        <v>0</v>
      </c>
      <c r="CL592" s="604" t="s">
        <v>33</v>
      </c>
    </row>
    <row r="593" spans="9:90">
      <c r="I593" s="578" t="str">
        <f t="shared" si="82"/>
        <v>1996gest32-36Fetal</v>
      </c>
      <c r="J593" s="604">
        <v>1996</v>
      </c>
      <c r="K593" s="604" t="s">
        <v>450</v>
      </c>
      <c r="L593" s="604" t="s">
        <v>136</v>
      </c>
      <c r="M593" s="604">
        <v>68</v>
      </c>
      <c r="N593" s="604">
        <v>3333</v>
      </c>
      <c r="O593" s="604">
        <v>20.399999999999999</v>
      </c>
      <c r="P593" s="604" t="s">
        <v>47</v>
      </c>
      <c r="Q593" s="499"/>
      <c r="R593" s="502" t="str">
        <f t="shared" si="83"/>
        <v>2011birthsdhbAuckland</v>
      </c>
      <c r="S593" s="604">
        <v>2011</v>
      </c>
      <c r="T593" s="604" t="s">
        <v>445</v>
      </c>
      <c r="U593" s="604" t="s">
        <v>448</v>
      </c>
      <c r="V593" s="604" t="s">
        <v>87</v>
      </c>
      <c r="W593" s="604">
        <v>6524</v>
      </c>
      <c r="Y593" s="535" t="str">
        <f t="shared" si="84"/>
        <v>2016sexgestFemale37-41fetal</v>
      </c>
      <c r="Z593" s="604">
        <v>2016</v>
      </c>
      <c r="AA593" s="604" t="s">
        <v>451</v>
      </c>
      <c r="AB593" s="604" t="s">
        <v>450</v>
      </c>
      <c r="AC593" s="604" t="s">
        <v>71</v>
      </c>
      <c r="AD593" s="604" t="s">
        <v>137</v>
      </c>
      <c r="AE593" s="604">
        <v>41</v>
      </c>
      <c r="AF593" s="604">
        <v>26853</v>
      </c>
      <c r="AG593" s="604">
        <v>1.5</v>
      </c>
      <c r="AH593" s="604" t="s">
        <v>420</v>
      </c>
      <c r="AJ593" s="535" t="str">
        <f t="shared" si="85"/>
        <v>2016sexgestFemale37-41</v>
      </c>
      <c r="AK593" s="604">
        <v>2016</v>
      </c>
      <c r="AL593" s="604" t="s">
        <v>451</v>
      </c>
      <c r="AM593" s="604" t="s">
        <v>450</v>
      </c>
      <c r="AN593" s="604" t="s">
        <v>71</v>
      </c>
      <c r="AO593" s="604" t="s">
        <v>137</v>
      </c>
      <c r="AP593" s="604">
        <v>26853</v>
      </c>
      <c r="AR593" s="538" t="str">
        <f t="shared" si="86"/>
        <v>28-31gestfetalLakes</v>
      </c>
      <c r="AS593" s="604">
        <v>2016</v>
      </c>
      <c r="AT593" s="604" t="s">
        <v>395</v>
      </c>
      <c r="AU593" s="604" t="s">
        <v>450</v>
      </c>
      <c r="AV593" s="604" t="s">
        <v>90</v>
      </c>
      <c r="AW593" s="604">
        <v>0</v>
      </c>
      <c r="AX593" s="604">
        <v>8</v>
      </c>
      <c r="AY593" s="606">
        <v>0</v>
      </c>
      <c r="AZ593" s="604" t="s">
        <v>420</v>
      </c>
      <c r="BB593" s="536" t="str">
        <f t="shared" si="87"/>
        <v>1000-1499bwtbirthsNelson Marlborough</v>
      </c>
      <c r="BC593" s="604">
        <v>2016</v>
      </c>
      <c r="BD593" s="604" t="s">
        <v>429</v>
      </c>
      <c r="BE593" s="604" t="s">
        <v>447</v>
      </c>
      <c r="BF593" s="604" t="s">
        <v>99</v>
      </c>
      <c r="BG593" s="604">
        <v>5</v>
      </c>
      <c r="BH593" s="604" t="s">
        <v>445</v>
      </c>
      <c r="BY593" s="553" t="str">
        <f t="shared" si="88"/>
        <v>2008WairarapadhbSIDS</v>
      </c>
      <c r="BZ593" s="604">
        <v>2008</v>
      </c>
      <c r="CA593" s="604" t="s">
        <v>98</v>
      </c>
      <c r="CB593" s="604" t="s">
        <v>448</v>
      </c>
      <c r="CC593" s="604">
        <v>1</v>
      </c>
      <c r="CD593" s="604" t="s">
        <v>32</v>
      </c>
      <c r="CF593" s="559" t="str">
        <f t="shared" si="89"/>
        <v>5yearsAsianMalesexSUDI</v>
      </c>
      <c r="CG593" s="604" t="s">
        <v>475</v>
      </c>
      <c r="CH593" s="604" t="s">
        <v>355</v>
      </c>
      <c r="CI593" s="604" t="s">
        <v>70</v>
      </c>
      <c r="CJ593" s="604" t="s">
        <v>451</v>
      </c>
      <c r="CK593" s="604">
        <v>3</v>
      </c>
      <c r="CL593" s="604" t="s">
        <v>33</v>
      </c>
    </row>
    <row r="594" spans="9:90">
      <c r="I594" s="578" t="str">
        <f t="shared" si="82"/>
        <v>1996gest37-41Fetal</v>
      </c>
      <c r="J594" s="604">
        <v>1996</v>
      </c>
      <c r="K594" s="604" t="s">
        <v>450</v>
      </c>
      <c r="L594" s="604" t="s">
        <v>137</v>
      </c>
      <c r="M594" s="604">
        <v>85</v>
      </c>
      <c r="N594" s="604">
        <v>50761</v>
      </c>
      <c r="O594" s="604">
        <v>1.7</v>
      </c>
      <c r="P594" s="604" t="s">
        <v>47</v>
      </c>
      <c r="Q594" s="499"/>
      <c r="R594" s="502" t="str">
        <f t="shared" si="83"/>
        <v>2011birthsdhbCounties Manukau</v>
      </c>
      <c r="S594" s="604">
        <v>2011</v>
      </c>
      <c r="T594" s="604" t="s">
        <v>445</v>
      </c>
      <c r="U594" s="604" t="s">
        <v>448</v>
      </c>
      <c r="V594" s="604" t="s">
        <v>88</v>
      </c>
      <c r="W594" s="604">
        <v>8608</v>
      </c>
      <c r="Y594" s="535" t="str">
        <f t="shared" si="84"/>
        <v>2016sexgestMale42+fetal</v>
      </c>
      <c r="Z594" s="604">
        <v>2016</v>
      </c>
      <c r="AA594" s="604" t="s">
        <v>451</v>
      </c>
      <c r="AB594" s="604" t="s">
        <v>450</v>
      </c>
      <c r="AC594" s="604" t="s">
        <v>70</v>
      </c>
      <c r="AD594" s="604" t="s">
        <v>138</v>
      </c>
      <c r="AE594" s="604">
        <v>0</v>
      </c>
      <c r="AF594" s="604">
        <v>523</v>
      </c>
      <c r="AG594" s="604">
        <v>0</v>
      </c>
      <c r="AH594" s="604" t="s">
        <v>420</v>
      </c>
      <c r="AJ594" s="535" t="str">
        <f t="shared" si="85"/>
        <v>2016sexgestMale42+</v>
      </c>
      <c r="AK594" s="604">
        <v>2016</v>
      </c>
      <c r="AL594" s="604" t="s">
        <v>451</v>
      </c>
      <c r="AM594" s="604" t="s">
        <v>450</v>
      </c>
      <c r="AN594" s="604" t="s">
        <v>70</v>
      </c>
      <c r="AO594" s="604" t="s">
        <v>138</v>
      </c>
      <c r="AP594" s="604">
        <v>523</v>
      </c>
      <c r="AR594" s="538" t="str">
        <f t="shared" si="86"/>
        <v>42+gestfetalLakes</v>
      </c>
      <c r="AS594" s="604">
        <v>2016</v>
      </c>
      <c r="AT594" s="604" t="s">
        <v>138</v>
      </c>
      <c r="AU594" s="604" t="s">
        <v>450</v>
      </c>
      <c r="AV594" s="604" t="s">
        <v>90</v>
      </c>
      <c r="AW594" s="604">
        <v>0</v>
      </c>
      <c r="AX594" s="604">
        <v>12</v>
      </c>
      <c r="AY594" s="606">
        <v>0</v>
      </c>
      <c r="AZ594" s="604" t="s">
        <v>420</v>
      </c>
      <c r="BB594" s="536" t="str">
        <f t="shared" si="87"/>
        <v>1500-2499bwtbirthsNelson Marlborough</v>
      </c>
      <c r="BC594" s="604">
        <v>2016</v>
      </c>
      <c r="BD594" s="604" t="s">
        <v>430</v>
      </c>
      <c r="BE594" s="604" t="s">
        <v>447</v>
      </c>
      <c r="BF594" s="604" t="s">
        <v>99</v>
      </c>
      <c r="BG594" s="604">
        <v>58</v>
      </c>
      <c r="BH594" s="604" t="s">
        <v>445</v>
      </c>
      <c r="BY594" s="553" t="str">
        <f t="shared" si="88"/>
        <v>2008Nelson MarlboroughdhbSIDS</v>
      </c>
      <c r="BZ594" s="604">
        <v>2008</v>
      </c>
      <c r="CA594" s="604" t="s">
        <v>99</v>
      </c>
      <c r="CB594" s="604" t="s">
        <v>448</v>
      </c>
      <c r="CC594" s="604">
        <v>0</v>
      </c>
      <c r="CD594" s="604" t="s">
        <v>32</v>
      </c>
      <c r="CF594" s="559" t="str">
        <f t="shared" si="89"/>
        <v>5yearsEuropean or OtherMalesexSUDI</v>
      </c>
      <c r="CG594" s="604" t="s">
        <v>475</v>
      </c>
      <c r="CH594" s="604" t="s">
        <v>356</v>
      </c>
      <c r="CI594" s="604" t="s">
        <v>70</v>
      </c>
      <c r="CJ594" s="604" t="s">
        <v>451</v>
      </c>
      <c r="CK594" s="604">
        <v>26</v>
      </c>
      <c r="CL594" s="604" t="s">
        <v>33</v>
      </c>
    </row>
    <row r="595" spans="9:90">
      <c r="I595" s="578" t="str">
        <f t="shared" si="82"/>
        <v>1996gest42+Fetal</v>
      </c>
      <c r="J595" s="604">
        <v>1996</v>
      </c>
      <c r="K595" s="604" t="s">
        <v>450</v>
      </c>
      <c r="L595" s="604" t="s">
        <v>138</v>
      </c>
      <c r="M595" s="604">
        <v>4</v>
      </c>
      <c r="N595" s="604">
        <v>2688</v>
      </c>
      <c r="O595" s="604">
        <v>1.5</v>
      </c>
      <c r="P595" s="604" t="s">
        <v>47</v>
      </c>
      <c r="Q595" s="499"/>
      <c r="R595" s="502" t="str">
        <f t="shared" si="83"/>
        <v>2011birthsdhbWaikato</v>
      </c>
      <c r="S595" s="604">
        <v>2011</v>
      </c>
      <c r="T595" s="604" t="s">
        <v>445</v>
      </c>
      <c r="U595" s="604" t="s">
        <v>448</v>
      </c>
      <c r="V595" s="604" t="s">
        <v>89</v>
      </c>
      <c r="W595" s="604">
        <v>5401</v>
      </c>
      <c r="Y595" s="535" t="str">
        <f t="shared" si="84"/>
        <v>2016sexgestFemale42+fetal</v>
      </c>
      <c r="Z595" s="604">
        <v>2016</v>
      </c>
      <c r="AA595" s="604" t="s">
        <v>451</v>
      </c>
      <c r="AB595" s="604" t="s">
        <v>450</v>
      </c>
      <c r="AC595" s="604" t="s">
        <v>71</v>
      </c>
      <c r="AD595" s="604" t="s">
        <v>138</v>
      </c>
      <c r="AE595" s="604">
        <v>0</v>
      </c>
      <c r="AF595" s="604">
        <v>494</v>
      </c>
      <c r="AG595" s="604">
        <v>0</v>
      </c>
      <c r="AH595" s="604" t="s">
        <v>420</v>
      </c>
      <c r="AJ595" s="535" t="str">
        <f t="shared" si="85"/>
        <v>2016sexgestFemale42+</v>
      </c>
      <c r="AK595" s="604">
        <v>2016</v>
      </c>
      <c r="AL595" s="604" t="s">
        <v>451</v>
      </c>
      <c r="AM595" s="604" t="s">
        <v>450</v>
      </c>
      <c r="AN595" s="604" t="s">
        <v>71</v>
      </c>
      <c r="AO595" s="604" t="s">
        <v>138</v>
      </c>
      <c r="AP595" s="604">
        <v>494</v>
      </c>
      <c r="AR595" s="538" t="str">
        <f t="shared" si="86"/>
        <v>UnknowngestfetalLakes</v>
      </c>
      <c r="AS595" s="604">
        <v>2016</v>
      </c>
      <c r="AT595" s="604" t="s">
        <v>63</v>
      </c>
      <c r="AU595" s="604" t="s">
        <v>450</v>
      </c>
      <c r="AV595" s="604" t="s">
        <v>90</v>
      </c>
      <c r="AW595" s="604">
        <v>0</v>
      </c>
      <c r="AX595" s="604">
        <v>1</v>
      </c>
      <c r="AY595" s="606" t="s">
        <v>119</v>
      </c>
      <c r="AZ595" s="604" t="s">
        <v>420</v>
      </c>
      <c r="BB595" s="536" t="str">
        <f t="shared" si="87"/>
        <v>2500-4499bwtbirthsNelson Marlborough</v>
      </c>
      <c r="BC595" s="604">
        <v>2016</v>
      </c>
      <c r="BD595" s="604" t="s">
        <v>431</v>
      </c>
      <c r="BE595" s="604" t="s">
        <v>447</v>
      </c>
      <c r="BF595" s="604" t="s">
        <v>99</v>
      </c>
      <c r="BG595" s="604">
        <v>1418</v>
      </c>
      <c r="BH595" s="604" t="s">
        <v>445</v>
      </c>
      <c r="BY595" s="553" t="str">
        <f t="shared" si="88"/>
        <v>2008West CoastdhbSIDS</v>
      </c>
      <c r="BZ595" s="604">
        <v>2008</v>
      </c>
      <c r="CA595" s="604" t="s">
        <v>100</v>
      </c>
      <c r="CB595" s="604" t="s">
        <v>448</v>
      </c>
      <c r="CC595" s="604">
        <v>0</v>
      </c>
      <c r="CD595" s="604" t="s">
        <v>32</v>
      </c>
      <c r="CF595" s="559" t="str">
        <f t="shared" si="89"/>
        <v>5yearsMaoriMalesexSUDI</v>
      </c>
      <c r="CG595" s="604" t="s">
        <v>475</v>
      </c>
      <c r="CH595" s="604" t="s">
        <v>129</v>
      </c>
      <c r="CI595" s="604" t="s">
        <v>70</v>
      </c>
      <c r="CJ595" s="604" t="s">
        <v>451</v>
      </c>
      <c r="CK595" s="604">
        <v>70</v>
      </c>
      <c r="CL595" s="604" t="s">
        <v>33</v>
      </c>
    </row>
    <row r="596" spans="9:90">
      <c r="I596" s="578" t="str">
        <f t="shared" si="82"/>
        <v>1996gestUnknownFetal</v>
      </c>
      <c r="J596" s="604">
        <v>1996</v>
      </c>
      <c r="K596" s="604" t="s">
        <v>450</v>
      </c>
      <c r="L596" s="604" t="s">
        <v>63</v>
      </c>
      <c r="M596" s="604">
        <v>1</v>
      </c>
      <c r="N596" s="604">
        <v>95</v>
      </c>
      <c r="O596" s="604" t="s">
        <v>119</v>
      </c>
      <c r="P596" s="604" t="s">
        <v>47</v>
      </c>
      <c r="Q596" s="499"/>
      <c r="R596" s="502" t="str">
        <f t="shared" si="83"/>
        <v>2011birthsdhbLakes</v>
      </c>
      <c r="S596" s="604">
        <v>2011</v>
      </c>
      <c r="T596" s="604" t="s">
        <v>445</v>
      </c>
      <c r="U596" s="604" t="s">
        <v>448</v>
      </c>
      <c r="V596" s="604" t="s">
        <v>90</v>
      </c>
      <c r="W596" s="604">
        <v>1552</v>
      </c>
      <c r="Y596" s="535" t="str">
        <f t="shared" si="84"/>
        <v>2016sexgestMaleUnknownfetal</v>
      </c>
      <c r="Z596" s="604">
        <v>2016</v>
      </c>
      <c r="AA596" s="604" t="s">
        <v>451</v>
      </c>
      <c r="AB596" s="604" t="s">
        <v>450</v>
      </c>
      <c r="AC596" s="604" t="s">
        <v>70</v>
      </c>
      <c r="AD596" s="604" t="s">
        <v>63</v>
      </c>
      <c r="AE596" s="604">
        <v>3</v>
      </c>
      <c r="AF596" s="604">
        <v>14</v>
      </c>
      <c r="AG596" s="604" t="s">
        <v>119</v>
      </c>
      <c r="AH596" s="604" t="s">
        <v>420</v>
      </c>
      <c r="AJ596" s="535" t="str">
        <f t="shared" si="85"/>
        <v>2016sexgestMaleUnknown</v>
      </c>
      <c r="AK596" s="604">
        <v>2016</v>
      </c>
      <c r="AL596" s="604" t="s">
        <v>451</v>
      </c>
      <c r="AM596" s="604" t="s">
        <v>450</v>
      </c>
      <c r="AN596" s="604" t="s">
        <v>70</v>
      </c>
      <c r="AO596" s="604" t="s">
        <v>63</v>
      </c>
      <c r="AP596" s="604">
        <v>14</v>
      </c>
      <c r="AR596" s="538" t="str">
        <f t="shared" si="86"/>
        <v>42+gestfetalBay of Plenty</v>
      </c>
      <c r="AS596" s="604">
        <v>2016</v>
      </c>
      <c r="AT596" s="604" t="s">
        <v>138</v>
      </c>
      <c r="AU596" s="604" t="s">
        <v>450</v>
      </c>
      <c r="AV596" s="604" t="s">
        <v>91</v>
      </c>
      <c r="AW596" s="604">
        <v>0</v>
      </c>
      <c r="AX596" s="604">
        <v>46</v>
      </c>
      <c r="AY596" s="606">
        <v>0</v>
      </c>
      <c r="AZ596" s="604" t="s">
        <v>420</v>
      </c>
      <c r="BB596" s="536" t="str">
        <f t="shared" si="87"/>
        <v>4500+bwtbirthsNelson Marlborough</v>
      </c>
      <c r="BC596" s="604">
        <v>2016</v>
      </c>
      <c r="BD596" s="604" t="s">
        <v>432</v>
      </c>
      <c r="BE596" s="604" t="s">
        <v>447</v>
      </c>
      <c r="BF596" s="604" t="s">
        <v>99</v>
      </c>
      <c r="BG596" s="604">
        <v>53</v>
      </c>
      <c r="BH596" s="604" t="s">
        <v>445</v>
      </c>
      <c r="BY596" s="553" t="str">
        <f t="shared" si="88"/>
        <v>2008CanterburydhbSIDS</v>
      </c>
      <c r="BZ596" s="604">
        <v>2008</v>
      </c>
      <c r="CA596" s="604" t="s">
        <v>101</v>
      </c>
      <c r="CB596" s="604" t="s">
        <v>448</v>
      </c>
      <c r="CC596" s="604">
        <v>2</v>
      </c>
      <c r="CD596" s="604" t="s">
        <v>32</v>
      </c>
      <c r="CF596" s="559" t="str">
        <f t="shared" si="89"/>
        <v>5yearsPacific peoplesMalesexSUDI</v>
      </c>
      <c r="CG596" s="604" t="s">
        <v>475</v>
      </c>
      <c r="CH596" s="604" t="s">
        <v>320</v>
      </c>
      <c r="CI596" s="604" t="s">
        <v>70</v>
      </c>
      <c r="CJ596" s="604" t="s">
        <v>451</v>
      </c>
      <c r="CK596" s="604">
        <v>22</v>
      </c>
      <c r="CL596" s="604" t="s">
        <v>33</v>
      </c>
    </row>
    <row r="597" spans="9:90">
      <c r="I597" s="578" t="str">
        <f t="shared" si="82"/>
        <v>1997gest&lt;28Fetal</v>
      </c>
      <c r="J597" s="604">
        <v>1997</v>
      </c>
      <c r="K597" s="604" t="s">
        <v>450</v>
      </c>
      <c r="L597" s="604" t="s">
        <v>375</v>
      </c>
      <c r="M597" s="604">
        <v>216</v>
      </c>
      <c r="N597" s="604">
        <v>462</v>
      </c>
      <c r="O597" s="604">
        <v>467.5</v>
      </c>
      <c r="P597" s="604" t="s">
        <v>47</v>
      </c>
      <c r="Q597" s="499"/>
      <c r="R597" s="502" t="str">
        <f t="shared" si="83"/>
        <v>2011birthsdhbBay of Plenty</v>
      </c>
      <c r="S597" s="604">
        <v>2011</v>
      </c>
      <c r="T597" s="604" t="s">
        <v>445</v>
      </c>
      <c r="U597" s="604" t="s">
        <v>448</v>
      </c>
      <c r="V597" s="604" t="s">
        <v>91</v>
      </c>
      <c r="W597" s="604">
        <v>2975</v>
      </c>
      <c r="Y597" s="535" t="str">
        <f t="shared" si="84"/>
        <v>2016sexgestFemaleUnknownfetal</v>
      </c>
      <c r="Z597" s="604">
        <v>2016</v>
      </c>
      <c r="AA597" s="604" t="s">
        <v>451</v>
      </c>
      <c r="AB597" s="604" t="s">
        <v>450</v>
      </c>
      <c r="AC597" s="604" t="s">
        <v>71</v>
      </c>
      <c r="AD597" s="604" t="s">
        <v>63</v>
      </c>
      <c r="AE597" s="604">
        <v>3</v>
      </c>
      <c r="AF597" s="604">
        <v>15</v>
      </c>
      <c r="AG597" s="604" t="s">
        <v>119</v>
      </c>
      <c r="AH597" s="604" t="s">
        <v>420</v>
      </c>
      <c r="AJ597" s="535" t="str">
        <f t="shared" si="85"/>
        <v>2016sexgestFemaleUnknown</v>
      </c>
      <c r="AK597" s="604">
        <v>2016</v>
      </c>
      <c r="AL597" s="604" t="s">
        <v>451</v>
      </c>
      <c r="AM597" s="604" t="s">
        <v>450</v>
      </c>
      <c r="AN597" s="604" t="s">
        <v>71</v>
      </c>
      <c r="AO597" s="604" t="s">
        <v>63</v>
      </c>
      <c r="AP597" s="604">
        <v>15</v>
      </c>
      <c r="AR597" s="538" t="str">
        <f t="shared" si="86"/>
        <v>UnknowngestfetalBay of Plenty</v>
      </c>
      <c r="AS597" s="604">
        <v>2016</v>
      </c>
      <c r="AT597" s="604" t="s">
        <v>63</v>
      </c>
      <c r="AU597" s="604" t="s">
        <v>450</v>
      </c>
      <c r="AV597" s="604" t="s">
        <v>91</v>
      </c>
      <c r="AW597" s="604">
        <v>0</v>
      </c>
      <c r="AX597" s="604">
        <v>5</v>
      </c>
      <c r="AY597" s="606" t="s">
        <v>119</v>
      </c>
      <c r="AZ597" s="604" t="s">
        <v>420</v>
      </c>
      <c r="BB597" s="536" t="str">
        <f t="shared" si="87"/>
        <v>500-999bwtbirthsWest Coast</v>
      </c>
      <c r="BC597" s="604">
        <v>2016</v>
      </c>
      <c r="BD597" s="604" t="s">
        <v>428</v>
      </c>
      <c r="BE597" s="604" t="s">
        <v>447</v>
      </c>
      <c r="BF597" s="604" t="s">
        <v>100</v>
      </c>
      <c r="BG597" s="604">
        <v>1</v>
      </c>
      <c r="BH597" s="604" t="s">
        <v>445</v>
      </c>
      <c r="BY597" s="553" t="str">
        <f t="shared" si="88"/>
        <v>2008South CanterburydhbSIDS</v>
      </c>
      <c r="BZ597" s="604">
        <v>2008</v>
      </c>
      <c r="CA597" s="604" t="s">
        <v>102</v>
      </c>
      <c r="CB597" s="604" t="s">
        <v>448</v>
      </c>
      <c r="CC597" s="604">
        <v>1</v>
      </c>
      <c r="CD597" s="604" t="s">
        <v>32</v>
      </c>
      <c r="CF597" s="559" t="str">
        <f t="shared" si="89"/>
        <v>5yearsAsianFemalesexSUDI</v>
      </c>
      <c r="CG597" s="604" t="s">
        <v>475</v>
      </c>
      <c r="CH597" s="604" t="s">
        <v>355</v>
      </c>
      <c r="CI597" s="604" t="s">
        <v>71</v>
      </c>
      <c r="CJ597" s="604" t="s">
        <v>451</v>
      </c>
      <c r="CK597" s="604">
        <v>3</v>
      </c>
      <c r="CL597" s="604" t="s">
        <v>33</v>
      </c>
    </row>
    <row r="598" spans="9:90">
      <c r="I598" s="578" t="str">
        <f t="shared" si="82"/>
        <v>1997gest28-31Fetal</v>
      </c>
      <c r="J598" s="604">
        <v>1997</v>
      </c>
      <c r="K598" s="604" t="s">
        <v>450</v>
      </c>
      <c r="L598" s="604" t="s">
        <v>395</v>
      </c>
      <c r="M598" s="604">
        <v>46</v>
      </c>
      <c r="N598" s="604">
        <v>481</v>
      </c>
      <c r="O598" s="604">
        <v>95.6</v>
      </c>
      <c r="P598" s="604" t="s">
        <v>47</v>
      </c>
      <c r="Q598" s="499"/>
      <c r="R598" s="502" t="str">
        <f t="shared" si="83"/>
        <v>2011birthsdhbTairawhiti</v>
      </c>
      <c r="S598" s="604">
        <v>2011</v>
      </c>
      <c r="T598" s="604" t="s">
        <v>445</v>
      </c>
      <c r="U598" s="604" t="s">
        <v>448</v>
      </c>
      <c r="V598" s="604" t="s">
        <v>433</v>
      </c>
      <c r="W598" s="604">
        <v>756</v>
      </c>
      <c r="Y598" s="535" t="str">
        <f t="shared" si="84"/>
        <v>2016bwtgest&lt;500&lt;28fetal</v>
      </c>
      <c r="Z598" s="604">
        <v>2016</v>
      </c>
      <c r="AA598" s="604" t="s">
        <v>447</v>
      </c>
      <c r="AB598" s="604" t="s">
        <v>450</v>
      </c>
      <c r="AC598" s="604" t="s">
        <v>427</v>
      </c>
      <c r="AD598" s="604" t="s">
        <v>375</v>
      </c>
      <c r="AE598" s="604">
        <v>123</v>
      </c>
      <c r="AF598" s="604">
        <v>41</v>
      </c>
      <c r="AG598" s="604" t="s">
        <v>119</v>
      </c>
      <c r="AH598" s="604" t="s">
        <v>420</v>
      </c>
      <c r="AJ598" s="535" t="str">
        <f t="shared" si="85"/>
        <v>2016bwtgest&lt;500&lt;28</v>
      </c>
      <c r="AK598" s="604">
        <v>2016</v>
      </c>
      <c r="AL598" s="604" t="s">
        <v>447</v>
      </c>
      <c r="AM598" s="604" t="s">
        <v>450</v>
      </c>
      <c r="AN598" s="604" t="s">
        <v>427</v>
      </c>
      <c r="AO598" s="604" t="s">
        <v>375</v>
      </c>
      <c r="AP598" s="604">
        <v>41</v>
      </c>
      <c r="AR598" s="538" t="str">
        <f t="shared" si="86"/>
        <v>28-31gestfetalTairawhiti</v>
      </c>
      <c r="AS598" s="604">
        <v>2016</v>
      </c>
      <c r="AT598" s="604" t="s">
        <v>395</v>
      </c>
      <c r="AU598" s="604" t="s">
        <v>450</v>
      </c>
      <c r="AV598" s="604" t="s">
        <v>433</v>
      </c>
      <c r="AW598" s="604">
        <v>0</v>
      </c>
      <c r="AX598" s="604">
        <v>4</v>
      </c>
      <c r="AY598" s="606">
        <v>0</v>
      </c>
      <c r="AZ598" s="604" t="s">
        <v>420</v>
      </c>
      <c r="BB598" s="536" t="str">
        <f t="shared" si="87"/>
        <v>1500-2499bwtbirthsWest Coast</v>
      </c>
      <c r="BC598" s="604">
        <v>2016</v>
      </c>
      <c r="BD598" s="604" t="s">
        <v>430</v>
      </c>
      <c r="BE598" s="604" t="s">
        <v>447</v>
      </c>
      <c r="BF598" s="604" t="s">
        <v>100</v>
      </c>
      <c r="BG598" s="604">
        <v>10</v>
      </c>
      <c r="BH598" s="604" t="s">
        <v>445</v>
      </c>
      <c r="BY598" s="553" t="str">
        <f t="shared" si="88"/>
        <v>2008SoutherndhbSIDS</v>
      </c>
      <c r="BZ598" s="604">
        <v>2008</v>
      </c>
      <c r="CA598" s="604" t="s">
        <v>103</v>
      </c>
      <c r="CB598" s="604" t="s">
        <v>448</v>
      </c>
      <c r="CC598" s="604">
        <v>3</v>
      </c>
      <c r="CD598" s="604" t="s">
        <v>32</v>
      </c>
      <c r="CF598" s="559" t="str">
        <f t="shared" si="89"/>
        <v>5yearsEuropean or OtherFemalesexSUDI</v>
      </c>
      <c r="CG598" s="604" t="s">
        <v>475</v>
      </c>
      <c r="CH598" s="604" t="s">
        <v>356</v>
      </c>
      <c r="CI598" s="604" t="s">
        <v>71</v>
      </c>
      <c r="CJ598" s="604" t="s">
        <v>451</v>
      </c>
      <c r="CK598" s="604">
        <v>22</v>
      </c>
      <c r="CL598" s="604" t="s">
        <v>33</v>
      </c>
    </row>
    <row r="599" spans="9:90">
      <c r="I599" s="578" t="str">
        <f t="shared" si="82"/>
        <v>1997gest32-36Fetal</v>
      </c>
      <c r="J599" s="604">
        <v>1997</v>
      </c>
      <c r="K599" s="604" t="s">
        <v>450</v>
      </c>
      <c r="L599" s="604" t="s">
        <v>136</v>
      </c>
      <c r="M599" s="604">
        <v>63</v>
      </c>
      <c r="N599" s="604">
        <v>3387</v>
      </c>
      <c r="O599" s="604">
        <v>18.600000000000001</v>
      </c>
      <c r="P599" s="604" t="s">
        <v>47</v>
      </c>
      <c r="Q599" s="499"/>
      <c r="R599" s="502" t="str">
        <f t="shared" si="83"/>
        <v>2011birthsdhbHawke's Bay</v>
      </c>
      <c r="S599" s="604">
        <v>2011</v>
      </c>
      <c r="T599" s="604" t="s">
        <v>445</v>
      </c>
      <c r="U599" s="604" t="s">
        <v>448</v>
      </c>
      <c r="V599" s="604" t="s">
        <v>92</v>
      </c>
      <c r="W599" s="604">
        <v>2250</v>
      </c>
      <c r="Y599" s="535" t="str">
        <f t="shared" si="84"/>
        <v>2016bwtgest500-999&lt;28fetal</v>
      </c>
      <c r="Z599" s="604">
        <v>2016</v>
      </c>
      <c r="AA599" s="604" t="s">
        <v>447</v>
      </c>
      <c r="AB599" s="604" t="s">
        <v>450</v>
      </c>
      <c r="AC599" s="604" t="s">
        <v>428</v>
      </c>
      <c r="AD599" s="604" t="s">
        <v>375</v>
      </c>
      <c r="AE599" s="604">
        <v>85</v>
      </c>
      <c r="AF599" s="604">
        <v>157</v>
      </c>
      <c r="AG599" s="604">
        <v>351.2</v>
      </c>
      <c r="AH599" s="604" t="s">
        <v>420</v>
      </c>
      <c r="AJ599" s="535" t="str">
        <f t="shared" si="85"/>
        <v>2016bwtgest500-999&lt;28</v>
      </c>
      <c r="AK599" s="604">
        <v>2016</v>
      </c>
      <c r="AL599" s="604" t="s">
        <v>447</v>
      </c>
      <c r="AM599" s="604" t="s">
        <v>450</v>
      </c>
      <c r="AN599" s="604" t="s">
        <v>428</v>
      </c>
      <c r="AO599" s="604" t="s">
        <v>375</v>
      </c>
      <c r="AP599" s="604">
        <v>157</v>
      </c>
      <c r="AR599" s="538" t="str">
        <f t="shared" si="86"/>
        <v>32-36gestfetalTairawhiti</v>
      </c>
      <c r="AS599" s="604">
        <v>2016</v>
      </c>
      <c r="AT599" s="604" t="s">
        <v>136</v>
      </c>
      <c r="AU599" s="604" t="s">
        <v>450</v>
      </c>
      <c r="AV599" s="604" t="s">
        <v>433</v>
      </c>
      <c r="AW599" s="604">
        <v>0</v>
      </c>
      <c r="AX599" s="604">
        <v>70</v>
      </c>
      <c r="AY599" s="606">
        <v>0</v>
      </c>
      <c r="AZ599" s="604" t="s">
        <v>420</v>
      </c>
      <c r="BB599" s="536" t="str">
        <f t="shared" si="87"/>
        <v>2500-4499bwtbirthsWest Coast</v>
      </c>
      <c r="BC599" s="604">
        <v>2016</v>
      </c>
      <c r="BD599" s="604" t="s">
        <v>431</v>
      </c>
      <c r="BE599" s="604" t="s">
        <v>447</v>
      </c>
      <c r="BF599" s="604" t="s">
        <v>100</v>
      </c>
      <c r="BG599" s="604">
        <v>306</v>
      </c>
      <c r="BH599" s="604" t="s">
        <v>445</v>
      </c>
      <c r="BY599" s="553" t="str">
        <f t="shared" si="88"/>
        <v>2008UnknowndhbSIDS</v>
      </c>
      <c r="BZ599" s="604">
        <v>2008</v>
      </c>
      <c r="CA599" s="604" t="s">
        <v>63</v>
      </c>
      <c r="CB599" s="604" t="s">
        <v>448</v>
      </c>
      <c r="CC599" s="604">
        <v>0</v>
      </c>
      <c r="CD599" s="604" t="s">
        <v>32</v>
      </c>
      <c r="CF599" s="559" t="str">
        <f t="shared" si="89"/>
        <v>5yearsMaoriFemalesexSUDI</v>
      </c>
      <c r="CG599" s="604" t="s">
        <v>475</v>
      </c>
      <c r="CH599" s="604" t="s">
        <v>129</v>
      </c>
      <c r="CI599" s="604" t="s">
        <v>71</v>
      </c>
      <c r="CJ599" s="604" t="s">
        <v>451</v>
      </c>
      <c r="CK599" s="604">
        <v>46</v>
      </c>
      <c r="CL599" s="604" t="s">
        <v>33</v>
      </c>
    </row>
    <row r="600" spans="9:90">
      <c r="I600" s="578" t="str">
        <f t="shared" si="82"/>
        <v>1997gest37-41Fetal</v>
      </c>
      <c r="J600" s="604">
        <v>1997</v>
      </c>
      <c r="K600" s="604" t="s">
        <v>450</v>
      </c>
      <c r="L600" s="604" t="s">
        <v>137</v>
      </c>
      <c r="M600" s="604">
        <v>86</v>
      </c>
      <c r="N600" s="604">
        <v>51192</v>
      </c>
      <c r="O600" s="604">
        <v>1.7</v>
      </c>
      <c r="P600" s="604" t="s">
        <v>47</v>
      </c>
      <c r="Q600" s="499"/>
      <c r="R600" s="502" t="str">
        <f t="shared" si="83"/>
        <v>2011birthsdhbTaranaki</v>
      </c>
      <c r="S600" s="604">
        <v>2011</v>
      </c>
      <c r="T600" s="604" t="s">
        <v>445</v>
      </c>
      <c r="U600" s="604" t="s">
        <v>448</v>
      </c>
      <c r="V600" s="604" t="s">
        <v>93</v>
      </c>
      <c r="W600" s="604">
        <v>1567</v>
      </c>
      <c r="Y600" s="535" t="str">
        <f t="shared" si="84"/>
        <v>2016bwtgest1000-1499&lt;28fetal</v>
      </c>
      <c r="Z600" s="604">
        <v>2016</v>
      </c>
      <c r="AA600" s="604" t="s">
        <v>447</v>
      </c>
      <c r="AB600" s="604" t="s">
        <v>450</v>
      </c>
      <c r="AC600" s="604" t="s">
        <v>429</v>
      </c>
      <c r="AD600" s="604" t="s">
        <v>375</v>
      </c>
      <c r="AE600" s="604">
        <v>7</v>
      </c>
      <c r="AF600" s="604">
        <v>56</v>
      </c>
      <c r="AG600" s="604">
        <v>111.1</v>
      </c>
      <c r="AH600" s="604" t="s">
        <v>420</v>
      </c>
      <c r="AJ600" s="535" t="str">
        <f t="shared" si="85"/>
        <v>2016bwtgest1000-1499&lt;28</v>
      </c>
      <c r="AK600" s="604">
        <v>2016</v>
      </c>
      <c r="AL600" s="604" t="s">
        <v>447</v>
      </c>
      <c r="AM600" s="604" t="s">
        <v>450</v>
      </c>
      <c r="AN600" s="604" t="s">
        <v>429</v>
      </c>
      <c r="AO600" s="604" t="s">
        <v>375</v>
      </c>
      <c r="AP600" s="604">
        <v>56</v>
      </c>
      <c r="AR600" s="538" t="str">
        <f t="shared" si="86"/>
        <v>37-41gestfetalTairawhiti</v>
      </c>
      <c r="AS600" s="604">
        <v>2016</v>
      </c>
      <c r="AT600" s="604" t="s">
        <v>137</v>
      </c>
      <c r="AU600" s="604" t="s">
        <v>450</v>
      </c>
      <c r="AV600" s="604" t="s">
        <v>433</v>
      </c>
      <c r="AW600" s="604">
        <v>0</v>
      </c>
      <c r="AX600" s="604">
        <v>680</v>
      </c>
      <c r="AY600" s="606">
        <v>0</v>
      </c>
      <c r="AZ600" s="604" t="s">
        <v>420</v>
      </c>
      <c r="BB600" s="536" t="str">
        <f t="shared" si="87"/>
        <v>4500+bwtbirthsWest Coast</v>
      </c>
      <c r="BC600" s="604">
        <v>2016</v>
      </c>
      <c r="BD600" s="604" t="s">
        <v>432</v>
      </c>
      <c r="BE600" s="604" t="s">
        <v>447</v>
      </c>
      <c r="BF600" s="604" t="s">
        <v>100</v>
      </c>
      <c r="BG600" s="604">
        <v>10</v>
      </c>
      <c r="BH600" s="604" t="s">
        <v>445</v>
      </c>
      <c r="BY600" s="553" t="str">
        <f t="shared" si="88"/>
        <v>2009NorthlanddhbSIDS</v>
      </c>
      <c r="BZ600" s="604">
        <v>2009</v>
      </c>
      <c r="CA600" s="604" t="s">
        <v>85</v>
      </c>
      <c r="CB600" s="604" t="s">
        <v>448</v>
      </c>
      <c r="CC600" s="604">
        <v>7</v>
      </c>
      <c r="CD600" s="604" t="s">
        <v>32</v>
      </c>
      <c r="CF600" s="559" t="str">
        <f t="shared" si="89"/>
        <v>5yearsPacific peoplesFemalesexSUDI</v>
      </c>
      <c r="CG600" s="604" t="s">
        <v>475</v>
      </c>
      <c r="CH600" s="604" t="s">
        <v>320</v>
      </c>
      <c r="CI600" s="604" t="s">
        <v>71</v>
      </c>
      <c r="CJ600" s="604" t="s">
        <v>451</v>
      </c>
      <c r="CK600" s="604">
        <v>17</v>
      </c>
      <c r="CL600" s="604" t="s">
        <v>33</v>
      </c>
    </row>
    <row r="601" spans="9:90">
      <c r="I601" s="578" t="str">
        <f t="shared" si="82"/>
        <v>1997gest42+Fetal</v>
      </c>
      <c r="J601" s="604">
        <v>1997</v>
      </c>
      <c r="K601" s="604" t="s">
        <v>450</v>
      </c>
      <c r="L601" s="604" t="s">
        <v>138</v>
      </c>
      <c r="M601" s="604">
        <v>5</v>
      </c>
      <c r="N601" s="604">
        <v>2574</v>
      </c>
      <c r="O601" s="604">
        <v>1.9</v>
      </c>
      <c r="P601" s="604" t="s">
        <v>47</v>
      </c>
      <c r="Q601" s="499"/>
      <c r="R601" s="502" t="str">
        <f t="shared" si="83"/>
        <v>2011birthsdhbMidCentral</v>
      </c>
      <c r="S601" s="604">
        <v>2011</v>
      </c>
      <c r="T601" s="604" t="s">
        <v>445</v>
      </c>
      <c r="U601" s="604" t="s">
        <v>448</v>
      </c>
      <c r="V601" s="604" t="s">
        <v>94</v>
      </c>
      <c r="W601" s="604">
        <v>2364</v>
      </c>
      <c r="Y601" s="535" t="str">
        <f t="shared" si="84"/>
        <v>2016bwtgest1500-2499&lt;28fetal</v>
      </c>
      <c r="Z601" s="604">
        <v>2016</v>
      </c>
      <c r="AA601" s="604" t="s">
        <v>447</v>
      </c>
      <c r="AB601" s="604" t="s">
        <v>450</v>
      </c>
      <c r="AC601" s="604" t="s">
        <v>430</v>
      </c>
      <c r="AD601" s="604" t="s">
        <v>375</v>
      </c>
      <c r="AE601" s="604">
        <v>0</v>
      </c>
      <c r="AF601" s="604">
        <v>3</v>
      </c>
      <c r="AG601" s="604">
        <v>0</v>
      </c>
      <c r="AH601" s="604" t="s">
        <v>420</v>
      </c>
      <c r="AJ601" s="535" t="str">
        <f t="shared" si="85"/>
        <v>2016bwtgest1500-2499&lt;28</v>
      </c>
      <c r="AK601" s="604">
        <v>2016</v>
      </c>
      <c r="AL601" s="604" t="s">
        <v>447</v>
      </c>
      <c r="AM601" s="604" t="s">
        <v>450</v>
      </c>
      <c r="AN601" s="604" t="s">
        <v>430</v>
      </c>
      <c r="AO601" s="604" t="s">
        <v>375</v>
      </c>
      <c r="AP601" s="604">
        <v>3</v>
      </c>
      <c r="AR601" s="538" t="str">
        <f t="shared" si="86"/>
        <v>42+gestfetalTairawhiti</v>
      </c>
      <c r="AS601" s="604">
        <v>2016</v>
      </c>
      <c r="AT601" s="604" t="s">
        <v>138</v>
      </c>
      <c r="AU601" s="604" t="s">
        <v>450</v>
      </c>
      <c r="AV601" s="604" t="s">
        <v>433</v>
      </c>
      <c r="AW601" s="604">
        <v>0</v>
      </c>
      <c r="AX601" s="604">
        <v>12</v>
      </c>
      <c r="AY601" s="606">
        <v>0</v>
      </c>
      <c r="AZ601" s="604" t="s">
        <v>420</v>
      </c>
      <c r="BB601" s="536" t="str">
        <f t="shared" si="87"/>
        <v>&lt;500bwtbirthsCanterbury</v>
      </c>
      <c r="BC601" s="604">
        <v>2016</v>
      </c>
      <c r="BD601" s="604" t="s">
        <v>427</v>
      </c>
      <c r="BE601" s="604" t="s">
        <v>447</v>
      </c>
      <c r="BF601" s="604" t="s">
        <v>101</v>
      </c>
      <c r="BG601" s="604">
        <v>2</v>
      </c>
      <c r="BH601" s="604" t="s">
        <v>445</v>
      </c>
      <c r="BY601" s="553" t="str">
        <f t="shared" si="88"/>
        <v>2009WaitematadhbSIDS</v>
      </c>
      <c r="BZ601" s="604">
        <v>2009</v>
      </c>
      <c r="CA601" s="604" t="s">
        <v>86</v>
      </c>
      <c r="CB601" s="604" t="s">
        <v>448</v>
      </c>
      <c r="CC601" s="604">
        <v>1</v>
      </c>
      <c r="CD601" s="604" t="s">
        <v>32</v>
      </c>
      <c r="CF601" s="559" t="str">
        <f t="shared" si="89"/>
        <v>5yearsAsianInd/UnksexSUDI</v>
      </c>
      <c r="CG601" s="604" t="s">
        <v>475</v>
      </c>
      <c r="CH601" s="604" t="s">
        <v>355</v>
      </c>
      <c r="CI601" s="604" t="s">
        <v>458</v>
      </c>
      <c r="CJ601" s="604" t="s">
        <v>451</v>
      </c>
      <c r="CK601" s="604">
        <v>0</v>
      </c>
      <c r="CL601" s="604" t="s">
        <v>33</v>
      </c>
    </row>
    <row r="602" spans="9:90">
      <c r="I602" s="578" t="str">
        <f t="shared" si="82"/>
        <v>1997gestUnknownFetal</v>
      </c>
      <c r="J602" s="604">
        <v>1997</v>
      </c>
      <c r="K602" s="604" t="s">
        <v>450</v>
      </c>
      <c r="L602" s="604" t="s">
        <v>63</v>
      </c>
      <c r="M602" s="604">
        <v>1</v>
      </c>
      <c r="N602" s="604">
        <v>55</v>
      </c>
      <c r="O602" s="604" t="s">
        <v>119</v>
      </c>
      <c r="P602" s="604" t="s">
        <v>47</v>
      </c>
      <c r="Q602" s="499"/>
      <c r="R602" s="502" t="str">
        <f t="shared" si="83"/>
        <v>2011birthsdhbWhanganui</v>
      </c>
      <c r="S602" s="604">
        <v>2011</v>
      </c>
      <c r="T602" s="604" t="s">
        <v>445</v>
      </c>
      <c r="U602" s="604" t="s">
        <v>448</v>
      </c>
      <c r="V602" s="604" t="s">
        <v>95</v>
      </c>
      <c r="W602" s="604">
        <v>827</v>
      </c>
      <c r="Y602" s="535" t="str">
        <f t="shared" si="84"/>
        <v>2016bwtgest2500-4499&lt;28fetal</v>
      </c>
      <c r="Z602" s="604">
        <v>2016</v>
      </c>
      <c r="AA602" s="604" t="s">
        <v>447</v>
      </c>
      <c r="AB602" s="604" t="s">
        <v>450</v>
      </c>
      <c r="AC602" s="604" t="s">
        <v>431</v>
      </c>
      <c r="AD602" s="604" t="s">
        <v>375</v>
      </c>
      <c r="AE602" s="604">
        <v>1</v>
      </c>
      <c r="AF602" s="604">
        <v>2</v>
      </c>
      <c r="AG602" s="604">
        <v>333.3</v>
      </c>
      <c r="AH602" s="604" t="s">
        <v>420</v>
      </c>
      <c r="AJ602" s="535" t="str">
        <f t="shared" si="85"/>
        <v>2016bwtgest2500-4499&lt;28</v>
      </c>
      <c r="AK602" s="604">
        <v>2016</v>
      </c>
      <c r="AL602" s="604" t="s">
        <v>447</v>
      </c>
      <c r="AM602" s="604" t="s">
        <v>450</v>
      </c>
      <c r="AN602" s="604" t="s">
        <v>431</v>
      </c>
      <c r="AO602" s="604" t="s">
        <v>375</v>
      </c>
      <c r="AP602" s="604">
        <v>2</v>
      </c>
      <c r="AR602" s="538" t="str">
        <f t="shared" si="86"/>
        <v>28-31gestfetalHawke's Bay</v>
      </c>
      <c r="AS602" s="604">
        <v>2016</v>
      </c>
      <c r="AT602" s="604" t="s">
        <v>395</v>
      </c>
      <c r="AU602" s="604" t="s">
        <v>450</v>
      </c>
      <c r="AV602" s="604" t="s">
        <v>92</v>
      </c>
      <c r="AW602" s="604">
        <v>0</v>
      </c>
      <c r="AX602" s="604">
        <v>13</v>
      </c>
      <c r="AY602" s="606">
        <v>0</v>
      </c>
      <c r="AZ602" s="604" t="s">
        <v>420</v>
      </c>
      <c r="BB602" s="536" t="str">
        <f t="shared" si="87"/>
        <v>500-999bwtbirthsCanterbury</v>
      </c>
      <c r="BC602" s="604">
        <v>2016</v>
      </c>
      <c r="BD602" s="604" t="s">
        <v>428</v>
      </c>
      <c r="BE602" s="604" t="s">
        <v>447</v>
      </c>
      <c r="BF602" s="604" t="s">
        <v>101</v>
      </c>
      <c r="BG602" s="604">
        <v>12</v>
      </c>
      <c r="BH602" s="604" t="s">
        <v>445</v>
      </c>
      <c r="BY602" s="553" t="str">
        <f t="shared" si="88"/>
        <v>2009AucklanddhbSIDS</v>
      </c>
      <c r="BZ602" s="604">
        <v>2009</v>
      </c>
      <c r="CA602" s="604" t="s">
        <v>87</v>
      </c>
      <c r="CB602" s="604" t="s">
        <v>448</v>
      </c>
      <c r="CC602" s="604">
        <v>4</v>
      </c>
      <c r="CD602" s="604" t="s">
        <v>32</v>
      </c>
      <c r="CF602" s="559" t="str">
        <f t="shared" si="89"/>
        <v>5yearsEuropean or OtherInd/UnksexSUDI</v>
      </c>
      <c r="CG602" s="604" t="s">
        <v>475</v>
      </c>
      <c r="CH602" s="604" t="s">
        <v>356</v>
      </c>
      <c r="CI602" s="604" t="s">
        <v>458</v>
      </c>
      <c r="CJ602" s="604" t="s">
        <v>451</v>
      </c>
      <c r="CK602" s="604">
        <v>0</v>
      </c>
      <c r="CL602" s="604" t="s">
        <v>33</v>
      </c>
    </row>
    <row r="603" spans="9:90">
      <c r="I603" s="578" t="str">
        <f t="shared" si="82"/>
        <v>1998gest&lt;28Fetal</v>
      </c>
      <c r="J603" s="604">
        <v>1998</v>
      </c>
      <c r="K603" s="604" t="s">
        <v>450</v>
      </c>
      <c r="L603" s="604" t="s">
        <v>375</v>
      </c>
      <c r="M603" s="604">
        <v>180</v>
      </c>
      <c r="N603" s="604">
        <v>426</v>
      </c>
      <c r="O603" s="604">
        <v>422.5</v>
      </c>
      <c r="P603" s="604" t="s">
        <v>47</v>
      </c>
      <c r="Q603" s="499"/>
      <c r="R603" s="502" t="str">
        <f t="shared" si="83"/>
        <v>2011birthsdhbCapital &amp; Coast</v>
      </c>
      <c r="S603" s="604">
        <v>2011</v>
      </c>
      <c r="T603" s="604" t="s">
        <v>445</v>
      </c>
      <c r="U603" s="604" t="s">
        <v>448</v>
      </c>
      <c r="V603" s="604" t="s">
        <v>96</v>
      </c>
      <c r="W603" s="604">
        <v>3882</v>
      </c>
      <c r="Y603" s="535" t="str">
        <f t="shared" si="84"/>
        <v>2016bwtgestUnknown&lt;28fetal</v>
      </c>
      <c r="Z603" s="604">
        <v>2016</v>
      </c>
      <c r="AA603" s="604" t="s">
        <v>447</v>
      </c>
      <c r="AB603" s="604" t="s">
        <v>450</v>
      </c>
      <c r="AC603" s="604" t="s">
        <v>63</v>
      </c>
      <c r="AD603" s="604" t="s">
        <v>375</v>
      </c>
      <c r="AE603" s="604">
        <v>11</v>
      </c>
      <c r="AF603" s="604">
        <v>1</v>
      </c>
      <c r="AG603" s="604" t="s">
        <v>119</v>
      </c>
      <c r="AH603" s="604" t="s">
        <v>420</v>
      </c>
      <c r="AJ603" s="535" t="str">
        <f t="shared" si="85"/>
        <v>2016bwtgestUnknown&lt;28</v>
      </c>
      <c r="AK603" s="604">
        <v>2016</v>
      </c>
      <c r="AL603" s="604" t="s">
        <v>447</v>
      </c>
      <c r="AM603" s="604" t="s">
        <v>450</v>
      </c>
      <c r="AN603" s="604" t="s">
        <v>63</v>
      </c>
      <c r="AO603" s="604" t="s">
        <v>375</v>
      </c>
      <c r="AP603" s="604">
        <v>1</v>
      </c>
      <c r="AR603" s="538" t="str">
        <f t="shared" si="86"/>
        <v>32-36gestfetalHawke's Bay</v>
      </c>
      <c r="AS603" s="604">
        <v>2016</v>
      </c>
      <c r="AT603" s="604" t="s">
        <v>136</v>
      </c>
      <c r="AU603" s="604" t="s">
        <v>450</v>
      </c>
      <c r="AV603" s="604" t="s">
        <v>92</v>
      </c>
      <c r="AW603" s="604">
        <v>0</v>
      </c>
      <c r="AX603" s="604">
        <v>134</v>
      </c>
      <c r="AY603" s="606">
        <v>0</v>
      </c>
      <c r="AZ603" s="604" t="s">
        <v>420</v>
      </c>
      <c r="BB603" s="536" t="str">
        <f t="shared" si="87"/>
        <v>1000-1499bwtbirthsCanterbury</v>
      </c>
      <c r="BC603" s="604">
        <v>2016</v>
      </c>
      <c r="BD603" s="604" t="s">
        <v>429</v>
      </c>
      <c r="BE603" s="604" t="s">
        <v>447</v>
      </c>
      <c r="BF603" s="604" t="s">
        <v>101</v>
      </c>
      <c r="BG603" s="604">
        <v>40</v>
      </c>
      <c r="BH603" s="604" t="s">
        <v>445</v>
      </c>
      <c r="BY603" s="553" t="str">
        <f t="shared" si="88"/>
        <v>2009Counties ManukaudhbSIDS</v>
      </c>
      <c r="BZ603" s="604">
        <v>2009</v>
      </c>
      <c r="CA603" s="604" t="s">
        <v>88</v>
      </c>
      <c r="CB603" s="604" t="s">
        <v>448</v>
      </c>
      <c r="CC603" s="604">
        <v>11</v>
      </c>
      <c r="CD603" s="604" t="s">
        <v>32</v>
      </c>
      <c r="CF603" s="559" t="str">
        <f t="shared" si="89"/>
        <v>5yearsMaoriInd/UnksexSUDI</v>
      </c>
      <c r="CG603" s="604" t="s">
        <v>475</v>
      </c>
      <c r="CH603" s="604" t="s">
        <v>129</v>
      </c>
      <c r="CI603" s="604" t="s">
        <v>458</v>
      </c>
      <c r="CJ603" s="604" t="s">
        <v>451</v>
      </c>
      <c r="CK603" s="604">
        <v>0</v>
      </c>
      <c r="CL603" s="604" t="s">
        <v>33</v>
      </c>
    </row>
    <row r="604" spans="9:90">
      <c r="I604" s="578" t="str">
        <f t="shared" si="82"/>
        <v>1998gest28-31Fetal</v>
      </c>
      <c r="J604" s="604">
        <v>1998</v>
      </c>
      <c r="K604" s="604" t="s">
        <v>450</v>
      </c>
      <c r="L604" s="604" t="s">
        <v>395</v>
      </c>
      <c r="M604" s="604">
        <v>37</v>
      </c>
      <c r="N604" s="604">
        <v>472</v>
      </c>
      <c r="O604" s="604">
        <v>78.400000000000006</v>
      </c>
      <c r="P604" s="604" t="s">
        <v>47</v>
      </c>
      <c r="Q604" s="499"/>
      <c r="R604" s="502" t="str">
        <f t="shared" si="83"/>
        <v>2011birthsdhbHutt Valley</v>
      </c>
      <c r="S604" s="604">
        <v>2011</v>
      </c>
      <c r="T604" s="604" t="s">
        <v>445</v>
      </c>
      <c r="U604" s="604" t="s">
        <v>448</v>
      </c>
      <c r="V604" s="604" t="s">
        <v>97</v>
      </c>
      <c r="W604" s="604">
        <v>2052</v>
      </c>
      <c r="Y604" s="535" t="str">
        <f t="shared" si="84"/>
        <v>2016bwtgest500-99928-31fetal</v>
      </c>
      <c r="Z604" s="604">
        <v>2016</v>
      </c>
      <c r="AA604" s="604" t="s">
        <v>447</v>
      </c>
      <c r="AB604" s="604" t="s">
        <v>450</v>
      </c>
      <c r="AC604" s="604" t="s">
        <v>428</v>
      </c>
      <c r="AD604" s="604" t="s">
        <v>395</v>
      </c>
      <c r="AE604" s="604">
        <v>11</v>
      </c>
      <c r="AF604" s="604">
        <v>37</v>
      </c>
      <c r="AG604" s="604">
        <v>229.2</v>
      </c>
      <c r="AH604" s="604" t="s">
        <v>420</v>
      </c>
      <c r="AJ604" s="535" t="str">
        <f t="shared" si="85"/>
        <v>2016bwtgest500-99928-31</v>
      </c>
      <c r="AK604" s="604">
        <v>2016</v>
      </c>
      <c r="AL604" s="604" t="s">
        <v>447</v>
      </c>
      <c r="AM604" s="604" t="s">
        <v>450</v>
      </c>
      <c r="AN604" s="604" t="s">
        <v>428</v>
      </c>
      <c r="AO604" s="604" t="s">
        <v>395</v>
      </c>
      <c r="AP604" s="604">
        <v>37</v>
      </c>
      <c r="AR604" s="538" t="str">
        <f t="shared" si="86"/>
        <v>42+gestfetalHawke's Bay</v>
      </c>
      <c r="AS604" s="604">
        <v>2016</v>
      </c>
      <c r="AT604" s="604" t="s">
        <v>138</v>
      </c>
      <c r="AU604" s="604" t="s">
        <v>450</v>
      </c>
      <c r="AV604" s="604" t="s">
        <v>92</v>
      </c>
      <c r="AW604" s="604">
        <v>0</v>
      </c>
      <c r="AX604" s="604">
        <v>59</v>
      </c>
      <c r="AY604" s="606">
        <v>0</v>
      </c>
      <c r="AZ604" s="604" t="s">
        <v>420</v>
      </c>
      <c r="BB604" s="536" t="str">
        <f t="shared" si="87"/>
        <v>1500-2499bwtbirthsCanterbury</v>
      </c>
      <c r="BC604" s="604">
        <v>2016</v>
      </c>
      <c r="BD604" s="604" t="s">
        <v>430</v>
      </c>
      <c r="BE604" s="604" t="s">
        <v>447</v>
      </c>
      <c r="BF604" s="604" t="s">
        <v>101</v>
      </c>
      <c r="BG604" s="604">
        <v>312</v>
      </c>
      <c r="BH604" s="604" t="s">
        <v>445</v>
      </c>
      <c r="BY604" s="553" t="str">
        <f t="shared" si="88"/>
        <v>2009WaikatodhbSIDS</v>
      </c>
      <c r="BZ604" s="604">
        <v>2009</v>
      </c>
      <c r="CA604" s="604" t="s">
        <v>89</v>
      </c>
      <c r="CB604" s="604" t="s">
        <v>448</v>
      </c>
      <c r="CC604" s="604">
        <v>4</v>
      </c>
      <c r="CD604" s="604" t="s">
        <v>32</v>
      </c>
      <c r="CF604" s="559" t="str">
        <f t="shared" si="89"/>
        <v>5yearsPacific peoplesInd/UnksexSUDI</v>
      </c>
      <c r="CG604" s="604" t="s">
        <v>475</v>
      </c>
      <c r="CH604" s="604" t="s">
        <v>320</v>
      </c>
      <c r="CI604" s="604" t="s">
        <v>458</v>
      </c>
      <c r="CJ604" s="604" t="s">
        <v>451</v>
      </c>
      <c r="CK604" s="604">
        <v>0</v>
      </c>
      <c r="CL604" s="604" t="s">
        <v>33</v>
      </c>
    </row>
    <row r="605" spans="9:90">
      <c r="I605" s="578" t="str">
        <f t="shared" si="82"/>
        <v>1998gest32-36Fetal</v>
      </c>
      <c r="J605" s="604">
        <v>1998</v>
      </c>
      <c r="K605" s="604" t="s">
        <v>450</v>
      </c>
      <c r="L605" s="604" t="s">
        <v>136</v>
      </c>
      <c r="M605" s="604">
        <v>55</v>
      </c>
      <c r="N605" s="604">
        <v>3379</v>
      </c>
      <c r="O605" s="604">
        <v>16.3</v>
      </c>
      <c r="P605" s="604" t="s">
        <v>47</v>
      </c>
      <c r="Q605" s="499"/>
      <c r="R605" s="502" t="str">
        <f t="shared" si="83"/>
        <v>2011birthsdhbWairarapa</v>
      </c>
      <c r="S605" s="604">
        <v>2011</v>
      </c>
      <c r="T605" s="604" t="s">
        <v>445</v>
      </c>
      <c r="U605" s="604" t="s">
        <v>448</v>
      </c>
      <c r="V605" s="604" t="s">
        <v>98</v>
      </c>
      <c r="W605" s="604">
        <v>534</v>
      </c>
      <c r="Y605" s="535" t="str">
        <f t="shared" si="84"/>
        <v>2016bwtgest1000-149928-31fetal</v>
      </c>
      <c r="Z605" s="604">
        <v>2016</v>
      </c>
      <c r="AA605" s="604" t="s">
        <v>447</v>
      </c>
      <c r="AB605" s="604" t="s">
        <v>450</v>
      </c>
      <c r="AC605" s="604" t="s">
        <v>429</v>
      </c>
      <c r="AD605" s="604" t="s">
        <v>395</v>
      </c>
      <c r="AE605" s="604">
        <v>12</v>
      </c>
      <c r="AF605" s="604">
        <v>198</v>
      </c>
      <c r="AG605" s="604">
        <v>57.1</v>
      </c>
      <c r="AH605" s="604" t="s">
        <v>420</v>
      </c>
      <c r="AJ605" s="535" t="str">
        <f t="shared" si="85"/>
        <v>2016bwtgest1000-149928-31</v>
      </c>
      <c r="AK605" s="604">
        <v>2016</v>
      </c>
      <c r="AL605" s="604" t="s">
        <v>447</v>
      </c>
      <c r="AM605" s="604" t="s">
        <v>450</v>
      </c>
      <c r="AN605" s="604" t="s">
        <v>429</v>
      </c>
      <c r="AO605" s="604" t="s">
        <v>395</v>
      </c>
      <c r="AP605" s="604">
        <v>198</v>
      </c>
      <c r="AR605" s="538" t="str">
        <f t="shared" si="86"/>
        <v>UnknowngestfetalHawke's Bay</v>
      </c>
      <c r="AS605" s="604">
        <v>2016</v>
      </c>
      <c r="AT605" s="604" t="s">
        <v>63</v>
      </c>
      <c r="AU605" s="604" t="s">
        <v>450</v>
      </c>
      <c r="AV605" s="604" t="s">
        <v>92</v>
      </c>
      <c r="AW605" s="604">
        <v>0</v>
      </c>
      <c r="AX605" s="604">
        <v>1</v>
      </c>
      <c r="AY605" s="606" t="s">
        <v>119</v>
      </c>
      <c r="AZ605" s="604" t="s">
        <v>420</v>
      </c>
      <c r="BB605" s="536" t="str">
        <f t="shared" si="87"/>
        <v>2500-4499bwtbirthsCanterbury</v>
      </c>
      <c r="BC605" s="604">
        <v>2016</v>
      </c>
      <c r="BD605" s="604" t="s">
        <v>431</v>
      </c>
      <c r="BE605" s="604" t="s">
        <v>447</v>
      </c>
      <c r="BF605" s="604" t="s">
        <v>101</v>
      </c>
      <c r="BG605" s="604">
        <v>5868</v>
      </c>
      <c r="BH605" s="604" t="s">
        <v>445</v>
      </c>
      <c r="BY605" s="553" t="str">
        <f t="shared" si="88"/>
        <v>2009LakesdhbSIDS</v>
      </c>
      <c r="BZ605" s="604">
        <v>2009</v>
      </c>
      <c r="CA605" s="604" t="s">
        <v>90</v>
      </c>
      <c r="CB605" s="604" t="s">
        <v>448</v>
      </c>
      <c r="CC605" s="604">
        <v>0</v>
      </c>
      <c r="CD605" s="604" t="s">
        <v>32</v>
      </c>
      <c r="CF605" s="559" t="str">
        <f t="shared" si="89"/>
        <v>5yearsAsianQuin 1depSUDI</v>
      </c>
      <c r="CG605" s="604" t="s">
        <v>475</v>
      </c>
      <c r="CH605" s="604" t="s">
        <v>355</v>
      </c>
      <c r="CI605" s="604" t="s">
        <v>421</v>
      </c>
      <c r="CJ605" s="604" t="s">
        <v>454</v>
      </c>
      <c r="CK605" s="604">
        <v>0</v>
      </c>
      <c r="CL605" s="604" t="s">
        <v>33</v>
      </c>
    </row>
    <row r="606" spans="9:90">
      <c r="I606" s="578" t="str">
        <f t="shared" si="82"/>
        <v>1998gest37-41Fetal</v>
      </c>
      <c r="J606" s="604">
        <v>1998</v>
      </c>
      <c r="K606" s="604" t="s">
        <v>450</v>
      </c>
      <c r="L606" s="604" t="s">
        <v>137</v>
      </c>
      <c r="M606" s="604">
        <v>65</v>
      </c>
      <c r="N606" s="604">
        <v>51171</v>
      </c>
      <c r="O606" s="604">
        <v>1.3</v>
      </c>
      <c r="P606" s="604" t="s">
        <v>47</v>
      </c>
      <c r="Q606" s="499"/>
      <c r="R606" s="502" t="str">
        <f t="shared" si="83"/>
        <v>2011birthsdhbNelson Marlborough</v>
      </c>
      <c r="S606" s="604">
        <v>2011</v>
      </c>
      <c r="T606" s="604" t="s">
        <v>445</v>
      </c>
      <c r="U606" s="604" t="s">
        <v>448</v>
      </c>
      <c r="V606" s="604" t="s">
        <v>99</v>
      </c>
      <c r="W606" s="604">
        <v>1647</v>
      </c>
      <c r="Y606" s="535" t="str">
        <f t="shared" si="84"/>
        <v>2016bwtgest1500-249928-31fetal</v>
      </c>
      <c r="Z606" s="604">
        <v>2016</v>
      </c>
      <c r="AA606" s="604" t="s">
        <v>447</v>
      </c>
      <c r="AB606" s="604" t="s">
        <v>450</v>
      </c>
      <c r="AC606" s="604" t="s">
        <v>430</v>
      </c>
      <c r="AD606" s="604" t="s">
        <v>395</v>
      </c>
      <c r="AE606" s="604">
        <v>8</v>
      </c>
      <c r="AF606" s="604">
        <v>167</v>
      </c>
      <c r="AG606" s="604">
        <v>45.7</v>
      </c>
      <c r="AH606" s="604" t="s">
        <v>420</v>
      </c>
      <c r="AJ606" s="535" t="str">
        <f t="shared" si="85"/>
        <v>2016bwtgest1500-249928-31</v>
      </c>
      <c r="AK606" s="604">
        <v>2016</v>
      </c>
      <c r="AL606" s="604" t="s">
        <v>447</v>
      </c>
      <c r="AM606" s="604" t="s">
        <v>450</v>
      </c>
      <c r="AN606" s="604" t="s">
        <v>430</v>
      </c>
      <c r="AO606" s="604" t="s">
        <v>395</v>
      </c>
      <c r="AP606" s="604">
        <v>167</v>
      </c>
      <c r="AR606" s="538" t="str">
        <f t="shared" si="86"/>
        <v>42+gestfetalTaranaki</v>
      </c>
      <c r="AS606" s="604">
        <v>2016</v>
      </c>
      <c r="AT606" s="604" t="s">
        <v>138</v>
      </c>
      <c r="AU606" s="604" t="s">
        <v>450</v>
      </c>
      <c r="AV606" s="604" t="s">
        <v>93</v>
      </c>
      <c r="AW606" s="604">
        <v>0</v>
      </c>
      <c r="AX606" s="604">
        <v>21</v>
      </c>
      <c r="AY606" s="606">
        <v>0</v>
      </c>
      <c r="AZ606" s="604" t="s">
        <v>420</v>
      </c>
      <c r="BB606" s="536" t="str">
        <f t="shared" si="87"/>
        <v>4500+bwtbirthsCanterbury</v>
      </c>
      <c r="BC606" s="604">
        <v>2016</v>
      </c>
      <c r="BD606" s="604" t="s">
        <v>432</v>
      </c>
      <c r="BE606" s="604" t="s">
        <v>447</v>
      </c>
      <c r="BF606" s="604" t="s">
        <v>101</v>
      </c>
      <c r="BG606" s="604">
        <v>163</v>
      </c>
      <c r="BH606" s="604" t="s">
        <v>445</v>
      </c>
      <c r="BY606" s="553" t="str">
        <f t="shared" si="88"/>
        <v>2009Bay of PlentydhbSIDS</v>
      </c>
      <c r="BZ606" s="604">
        <v>2009</v>
      </c>
      <c r="CA606" s="604" t="s">
        <v>91</v>
      </c>
      <c r="CB606" s="604" t="s">
        <v>448</v>
      </c>
      <c r="CC606" s="604">
        <v>1</v>
      </c>
      <c r="CD606" s="604" t="s">
        <v>32</v>
      </c>
      <c r="CF606" s="559" t="str">
        <f t="shared" si="89"/>
        <v>5yearsEuropean or OtherQuin 1depSUDI</v>
      </c>
      <c r="CG606" s="604" t="s">
        <v>475</v>
      </c>
      <c r="CH606" s="604" t="s">
        <v>356</v>
      </c>
      <c r="CI606" s="604" t="s">
        <v>421</v>
      </c>
      <c r="CJ606" s="604" t="s">
        <v>454</v>
      </c>
      <c r="CK606" s="604">
        <v>4</v>
      </c>
      <c r="CL606" s="604" t="s">
        <v>33</v>
      </c>
    </row>
    <row r="607" spans="9:90">
      <c r="I607" s="578" t="str">
        <f t="shared" si="82"/>
        <v>1998gest42+Fetal</v>
      </c>
      <c r="J607" s="604">
        <v>1998</v>
      </c>
      <c r="K607" s="604" t="s">
        <v>450</v>
      </c>
      <c r="L607" s="604" t="s">
        <v>138</v>
      </c>
      <c r="M607" s="604">
        <v>7</v>
      </c>
      <c r="N607" s="604">
        <v>2576</v>
      </c>
      <c r="O607" s="604">
        <v>2.7</v>
      </c>
      <c r="P607" s="604" t="s">
        <v>47</v>
      </c>
      <c r="Q607" s="499"/>
      <c r="R607" s="502" t="str">
        <f t="shared" si="83"/>
        <v>2011birthsdhbWest Coast</v>
      </c>
      <c r="S607" s="604">
        <v>2011</v>
      </c>
      <c r="T607" s="604" t="s">
        <v>445</v>
      </c>
      <c r="U607" s="604" t="s">
        <v>448</v>
      </c>
      <c r="V607" s="604" t="s">
        <v>100</v>
      </c>
      <c r="W607" s="604">
        <v>435</v>
      </c>
      <c r="Y607" s="535" t="str">
        <f t="shared" si="84"/>
        <v>2016bwtgest2500-449928-31fetal</v>
      </c>
      <c r="Z607" s="604">
        <v>2016</v>
      </c>
      <c r="AA607" s="604" t="s">
        <v>447</v>
      </c>
      <c r="AB607" s="604" t="s">
        <v>450</v>
      </c>
      <c r="AC607" s="604" t="s">
        <v>431</v>
      </c>
      <c r="AD607" s="604" t="s">
        <v>395</v>
      </c>
      <c r="AE607" s="604">
        <v>0</v>
      </c>
      <c r="AF607" s="604">
        <v>15</v>
      </c>
      <c r="AG607" s="604">
        <v>0</v>
      </c>
      <c r="AH607" s="604" t="s">
        <v>420</v>
      </c>
      <c r="AJ607" s="535" t="str">
        <f t="shared" si="85"/>
        <v>2016bwtgest2500-449928-31</v>
      </c>
      <c r="AK607" s="604">
        <v>2016</v>
      </c>
      <c r="AL607" s="604" t="s">
        <v>447</v>
      </c>
      <c r="AM607" s="604" t="s">
        <v>450</v>
      </c>
      <c r="AN607" s="604" t="s">
        <v>431</v>
      </c>
      <c r="AO607" s="604" t="s">
        <v>395</v>
      </c>
      <c r="AP607" s="604">
        <v>15</v>
      </c>
      <c r="AR607" s="538" t="str">
        <f t="shared" si="86"/>
        <v>28-31gestfetalMidCentral</v>
      </c>
      <c r="AS607" s="604">
        <v>2016</v>
      </c>
      <c r="AT607" s="604" t="s">
        <v>395</v>
      </c>
      <c r="AU607" s="604" t="s">
        <v>450</v>
      </c>
      <c r="AV607" s="604" t="s">
        <v>94</v>
      </c>
      <c r="AW607" s="604">
        <v>0</v>
      </c>
      <c r="AX607" s="604">
        <v>28</v>
      </c>
      <c r="AY607" s="606">
        <v>0</v>
      </c>
      <c r="AZ607" s="604" t="s">
        <v>420</v>
      </c>
      <c r="BB607" s="536" t="str">
        <f t="shared" si="87"/>
        <v>UnknownbwtbirthsCanterbury</v>
      </c>
      <c r="BC607" s="604">
        <v>2016</v>
      </c>
      <c r="BD607" s="604" t="s">
        <v>63</v>
      </c>
      <c r="BE607" s="604" t="s">
        <v>447</v>
      </c>
      <c r="BF607" s="604" t="s">
        <v>101</v>
      </c>
      <c r="BG607" s="604">
        <v>2</v>
      </c>
      <c r="BH607" s="604" t="s">
        <v>445</v>
      </c>
      <c r="BY607" s="553" t="str">
        <f t="shared" si="88"/>
        <v>2009TairawhitidhbSIDS</v>
      </c>
      <c r="BZ607" s="604">
        <v>2009</v>
      </c>
      <c r="CA607" s="604" t="s">
        <v>433</v>
      </c>
      <c r="CB607" s="604" t="s">
        <v>448</v>
      </c>
      <c r="CC607" s="604">
        <v>0</v>
      </c>
      <c r="CD607" s="604" t="s">
        <v>32</v>
      </c>
      <c r="CF607" s="559" t="str">
        <f t="shared" si="89"/>
        <v>5yearsMaoriQuin 1depSUDI</v>
      </c>
      <c r="CG607" s="604" t="s">
        <v>475</v>
      </c>
      <c r="CH607" s="604" t="s">
        <v>129</v>
      </c>
      <c r="CI607" s="604" t="s">
        <v>421</v>
      </c>
      <c r="CJ607" s="604" t="s">
        <v>454</v>
      </c>
      <c r="CK607" s="604">
        <v>4</v>
      </c>
      <c r="CL607" s="604" t="s">
        <v>33</v>
      </c>
    </row>
    <row r="608" spans="9:90">
      <c r="I608" s="578" t="str">
        <f t="shared" si="82"/>
        <v>1998gestUnknownFetal</v>
      </c>
      <c r="J608" s="604">
        <v>1998</v>
      </c>
      <c r="K608" s="604" t="s">
        <v>450</v>
      </c>
      <c r="L608" s="604" t="s">
        <v>63</v>
      </c>
      <c r="M608" s="604">
        <v>4</v>
      </c>
      <c r="N608" s="604">
        <v>58</v>
      </c>
      <c r="O608" s="604" t="s">
        <v>119</v>
      </c>
      <c r="P608" s="604" t="s">
        <v>47</v>
      </c>
      <c r="Q608" s="499"/>
      <c r="R608" s="502" t="str">
        <f t="shared" si="83"/>
        <v>2011birthsdhbCanterbury</v>
      </c>
      <c r="S608" s="604">
        <v>2011</v>
      </c>
      <c r="T608" s="604" t="s">
        <v>445</v>
      </c>
      <c r="U608" s="604" t="s">
        <v>448</v>
      </c>
      <c r="V608" s="604" t="s">
        <v>101</v>
      </c>
      <c r="W608" s="604">
        <v>6121</v>
      </c>
      <c r="Y608" s="535" t="str">
        <f t="shared" si="84"/>
        <v>2016bwtgest&lt;50032-36fetal</v>
      </c>
      <c r="Z608" s="604">
        <v>2016</v>
      </c>
      <c r="AA608" s="604" t="s">
        <v>447</v>
      </c>
      <c r="AB608" s="604" t="s">
        <v>450</v>
      </c>
      <c r="AC608" s="604" t="s">
        <v>427</v>
      </c>
      <c r="AD608" s="604" t="s">
        <v>136</v>
      </c>
      <c r="AE608" s="604">
        <v>3</v>
      </c>
      <c r="AF608" s="604">
        <v>1</v>
      </c>
      <c r="AG608" s="604" t="s">
        <v>119</v>
      </c>
      <c r="AH608" s="604" t="s">
        <v>420</v>
      </c>
      <c r="AJ608" s="535" t="str">
        <f t="shared" si="85"/>
        <v>2016bwtgest&lt;50032-36</v>
      </c>
      <c r="AK608" s="604">
        <v>2016</v>
      </c>
      <c r="AL608" s="604" t="s">
        <v>447</v>
      </c>
      <c r="AM608" s="604" t="s">
        <v>450</v>
      </c>
      <c r="AN608" s="604" t="s">
        <v>427</v>
      </c>
      <c r="AO608" s="604" t="s">
        <v>136</v>
      </c>
      <c r="AP608" s="604">
        <v>1</v>
      </c>
      <c r="AR608" s="538" t="str">
        <f t="shared" si="86"/>
        <v>42+gestfetalMidCentral</v>
      </c>
      <c r="AS608" s="604">
        <v>2016</v>
      </c>
      <c r="AT608" s="604" t="s">
        <v>138</v>
      </c>
      <c r="AU608" s="604" t="s">
        <v>450</v>
      </c>
      <c r="AV608" s="604" t="s">
        <v>94</v>
      </c>
      <c r="AW608" s="604">
        <v>0</v>
      </c>
      <c r="AX608" s="604">
        <v>36</v>
      </c>
      <c r="AY608" s="606">
        <v>0</v>
      </c>
      <c r="AZ608" s="604" t="s">
        <v>420</v>
      </c>
      <c r="BB608" s="536" t="str">
        <f t="shared" si="87"/>
        <v>500-999bwtbirthsSouth Canterbury</v>
      </c>
      <c r="BC608" s="604">
        <v>2016</v>
      </c>
      <c r="BD608" s="604" t="s">
        <v>428</v>
      </c>
      <c r="BE608" s="604" t="s">
        <v>447</v>
      </c>
      <c r="BF608" s="604" t="s">
        <v>102</v>
      </c>
      <c r="BG608" s="604">
        <v>2</v>
      </c>
      <c r="BH608" s="604" t="s">
        <v>445</v>
      </c>
      <c r="BY608" s="553" t="str">
        <f t="shared" si="88"/>
        <v>2009Hawke's BaydhbSIDS</v>
      </c>
      <c r="BZ608" s="604">
        <v>2009</v>
      </c>
      <c r="CA608" s="604" t="s">
        <v>92</v>
      </c>
      <c r="CB608" s="604" t="s">
        <v>448</v>
      </c>
      <c r="CC608" s="604">
        <v>3</v>
      </c>
      <c r="CD608" s="604" t="s">
        <v>32</v>
      </c>
      <c r="CF608" s="559" t="str">
        <f t="shared" si="89"/>
        <v>5yearsPacific peoplesQuin 1depSUDI</v>
      </c>
      <c r="CG608" s="604" t="s">
        <v>475</v>
      </c>
      <c r="CH608" s="604" t="s">
        <v>320</v>
      </c>
      <c r="CI608" s="604" t="s">
        <v>421</v>
      </c>
      <c r="CJ608" s="604" t="s">
        <v>454</v>
      </c>
      <c r="CK608" s="604">
        <v>0</v>
      </c>
      <c r="CL608" s="604" t="s">
        <v>33</v>
      </c>
    </row>
    <row r="609" spans="9:90">
      <c r="I609" s="578" t="str">
        <f t="shared" si="82"/>
        <v>1999gest&lt;28Fetal</v>
      </c>
      <c r="J609" s="604">
        <v>1999</v>
      </c>
      <c r="K609" s="604" t="s">
        <v>450</v>
      </c>
      <c r="L609" s="604" t="s">
        <v>375</v>
      </c>
      <c r="M609" s="604">
        <v>222</v>
      </c>
      <c r="N609" s="604">
        <v>505</v>
      </c>
      <c r="O609" s="604">
        <v>439.6</v>
      </c>
      <c r="P609" s="604" t="s">
        <v>47</v>
      </c>
      <c r="Q609" s="499"/>
      <c r="R609" s="502" t="str">
        <f t="shared" si="83"/>
        <v>2011birthsdhbSouth Canterbury</v>
      </c>
      <c r="S609" s="604">
        <v>2011</v>
      </c>
      <c r="T609" s="604" t="s">
        <v>445</v>
      </c>
      <c r="U609" s="604" t="s">
        <v>448</v>
      </c>
      <c r="V609" s="604" t="s">
        <v>102</v>
      </c>
      <c r="W609" s="604">
        <v>586</v>
      </c>
      <c r="Y609" s="535" t="str">
        <f t="shared" si="84"/>
        <v>2016bwtgest1000-149932-36fetal</v>
      </c>
      <c r="Z609" s="604">
        <v>2016</v>
      </c>
      <c r="AA609" s="604" t="s">
        <v>447</v>
      </c>
      <c r="AB609" s="604" t="s">
        <v>450</v>
      </c>
      <c r="AC609" s="604" t="s">
        <v>429</v>
      </c>
      <c r="AD609" s="604" t="s">
        <v>136</v>
      </c>
      <c r="AE609" s="604">
        <v>6</v>
      </c>
      <c r="AF609" s="604">
        <v>72</v>
      </c>
      <c r="AG609" s="604">
        <v>76.900000000000006</v>
      </c>
      <c r="AH609" s="604" t="s">
        <v>420</v>
      </c>
      <c r="AJ609" s="535" t="str">
        <f t="shared" si="85"/>
        <v>2016bwtgest1000-149932-36</v>
      </c>
      <c r="AK609" s="604">
        <v>2016</v>
      </c>
      <c r="AL609" s="604" t="s">
        <v>447</v>
      </c>
      <c r="AM609" s="604" t="s">
        <v>450</v>
      </c>
      <c r="AN609" s="604" t="s">
        <v>429</v>
      </c>
      <c r="AO609" s="604" t="s">
        <v>136</v>
      </c>
      <c r="AP609" s="604">
        <v>72</v>
      </c>
      <c r="AR609" s="538" t="str">
        <f t="shared" si="86"/>
        <v>28-31gestfetalWhanganui</v>
      </c>
      <c r="AS609" s="604">
        <v>2016</v>
      </c>
      <c r="AT609" s="604" t="s">
        <v>395</v>
      </c>
      <c r="AU609" s="604" t="s">
        <v>450</v>
      </c>
      <c r="AV609" s="604" t="s">
        <v>95</v>
      </c>
      <c r="AW609" s="604">
        <v>0</v>
      </c>
      <c r="AX609" s="604">
        <v>7</v>
      </c>
      <c r="AY609" s="606">
        <v>0</v>
      </c>
      <c r="AZ609" s="604" t="s">
        <v>420</v>
      </c>
      <c r="BB609" s="536" t="str">
        <f t="shared" si="87"/>
        <v>1000-1499bwtbirthsSouth Canterbury</v>
      </c>
      <c r="BC609" s="604">
        <v>2016</v>
      </c>
      <c r="BD609" s="604" t="s">
        <v>429</v>
      </c>
      <c r="BE609" s="604" t="s">
        <v>447</v>
      </c>
      <c r="BF609" s="604" t="s">
        <v>102</v>
      </c>
      <c r="BG609" s="604">
        <v>5</v>
      </c>
      <c r="BH609" s="604" t="s">
        <v>445</v>
      </c>
      <c r="BY609" s="553" t="str">
        <f t="shared" si="88"/>
        <v>2009TaranakidhbSIDS</v>
      </c>
      <c r="BZ609" s="604">
        <v>2009</v>
      </c>
      <c r="CA609" s="604" t="s">
        <v>93</v>
      </c>
      <c r="CB609" s="604" t="s">
        <v>448</v>
      </c>
      <c r="CC609" s="604">
        <v>2</v>
      </c>
      <c r="CD609" s="604" t="s">
        <v>32</v>
      </c>
      <c r="CF609" s="559" t="str">
        <f t="shared" si="89"/>
        <v>5yearsAsianQuin 2depSUDI</v>
      </c>
      <c r="CG609" s="604" t="s">
        <v>475</v>
      </c>
      <c r="CH609" s="604" t="s">
        <v>355</v>
      </c>
      <c r="CI609" s="604" t="s">
        <v>422</v>
      </c>
      <c r="CJ609" s="604" t="s">
        <v>454</v>
      </c>
      <c r="CK609" s="604">
        <v>3</v>
      </c>
      <c r="CL609" s="604" t="s">
        <v>33</v>
      </c>
    </row>
    <row r="610" spans="9:90">
      <c r="I610" s="578" t="str">
        <f t="shared" si="82"/>
        <v>1999gest28-31Fetal</v>
      </c>
      <c r="J610" s="604">
        <v>1999</v>
      </c>
      <c r="K610" s="604" t="s">
        <v>450</v>
      </c>
      <c r="L610" s="604" t="s">
        <v>395</v>
      </c>
      <c r="M610" s="604">
        <v>48</v>
      </c>
      <c r="N610" s="604">
        <v>506</v>
      </c>
      <c r="O610" s="604">
        <v>94.9</v>
      </c>
      <c r="P610" s="604" t="s">
        <v>47</v>
      </c>
      <c r="Q610" s="499"/>
      <c r="R610" s="502" t="str">
        <f t="shared" si="83"/>
        <v>2011birthsdhbSouthern</v>
      </c>
      <c r="S610" s="604">
        <v>2011</v>
      </c>
      <c r="T610" s="604" t="s">
        <v>445</v>
      </c>
      <c r="U610" s="604" t="s">
        <v>448</v>
      </c>
      <c r="V610" s="604" t="s">
        <v>103</v>
      </c>
      <c r="W610" s="604">
        <v>3710</v>
      </c>
      <c r="Y610" s="535" t="str">
        <f t="shared" si="84"/>
        <v>2016bwtgest1500-249932-36fetal</v>
      </c>
      <c r="Z610" s="604">
        <v>2016</v>
      </c>
      <c r="AA610" s="604" t="s">
        <v>447</v>
      </c>
      <c r="AB610" s="604" t="s">
        <v>450</v>
      </c>
      <c r="AC610" s="604" t="s">
        <v>430</v>
      </c>
      <c r="AD610" s="604" t="s">
        <v>136</v>
      </c>
      <c r="AE610" s="604">
        <v>29</v>
      </c>
      <c r="AF610" s="604">
        <v>1729</v>
      </c>
      <c r="AG610" s="604">
        <v>16.5</v>
      </c>
      <c r="AH610" s="604" t="s">
        <v>420</v>
      </c>
      <c r="AJ610" s="535" t="str">
        <f t="shared" si="85"/>
        <v>2016bwtgest1500-249932-36</v>
      </c>
      <c r="AK610" s="604">
        <v>2016</v>
      </c>
      <c r="AL610" s="604" t="s">
        <v>447</v>
      </c>
      <c r="AM610" s="604" t="s">
        <v>450</v>
      </c>
      <c r="AN610" s="604" t="s">
        <v>430</v>
      </c>
      <c r="AO610" s="604" t="s">
        <v>136</v>
      </c>
      <c r="AP610" s="604">
        <v>1729</v>
      </c>
      <c r="AR610" s="538" t="str">
        <f t="shared" si="86"/>
        <v>32-36gestfetalWhanganui</v>
      </c>
      <c r="AS610" s="604">
        <v>2016</v>
      </c>
      <c r="AT610" s="604" t="s">
        <v>136</v>
      </c>
      <c r="AU610" s="604" t="s">
        <v>450</v>
      </c>
      <c r="AV610" s="604" t="s">
        <v>95</v>
      </c>
      <c r="AW610" s="604">
        <v>0</v>
      </c>
      <c r="AX610" s="604">
        <v>62</v>
      </c>
      <c r="AY610" s="606">
        <v>0</v>
      </c>
      <c r="AZ610" s="604" t="s">
        <v>420</v>
      </c>
      <c r="BB610" s="536" t="str">
        <f t="shared" si="87"/>
        <v>1500-2499bwtbirthsSouth Canterbury</v>
      </c>
      <c r="BC610" s="604">
        <v>2016</v>
      </c>
      <c r="BD610" s="604" t="s">
        <v>430</v>
      </c>
      <c r="BE610" s="604" t="s">
        <v>447</v>
      </c>
      <c r="BF610" s="604" t="s">
        <v>102</v>
      </c>
      <c r="BG610" s="604">
        <v>28</v>
      </c>
      <c r="BH610" s="604" t="s">
        <v>445</v>
      </c>
      <c r="BY610" s="553" t="str">
        <f t="shared" si="88"/>
        <v>2009MidCentraldhbSIDS</v>
      </c>
      <c r="BZ610" s="604">
        <v>2009</v>
      </c>
      <c r="CA610" s="604" t="s">
        <v>94</v>
      </c>
      <c r="CB610" s="604" t="s">
        <v>448</v>
      </c>
      <c r="CC610" s="604">
        <v>1</v>
      </c>
      <c r="CD610" s="604" t="s">
        <v>32</v>
      </c>
      <c r="CF610" s="559" t="str">
        <f t="shared" si="89"/>
        <v>5yearsEuropean or OtherQuin 2depSUDI</v>
      </c>
      <c r="CG610" s="604" t="s">
        <v>475</v>
      </c>
      <c r="CH610" s="604" t="s">
        <v>356</v>
      </c>
      <c r="CI610" s="604" t="s">
        <v>422</v>
      </c>
      <c r="CJ610" s="604" t="s">
        <v>454</v>
      </c>
      <c r="CK610" s="604">
        <v>9</v>
      </c>
      <c r="CL610" s="604" t="s">
        <v>33</v>
      </c>
    </row>
    <row r="611" spans="9:90">
      <c r="I611" s="578" t="str">
        <f t="shared" si="82"/>
        <v>1999gest32-36Fetal</v>
      </c>
      <c r="J611" s="604">
        <v>1999</v>
      </c>
      <c r="K611" s="604" t="s">
        <v>450</v>
      </c>
      <c r="L611" s="604" t="s">
        <v>136</v>
      </c>
      <c r="M611" s="604">
        <v>61</v>
      </c>
      <c r="N611" s="604">
        <v>3613</v>
      </c>
      <c r="O611" s="604">
        <v>16.899999999999999</v>
      </c>
      <c r="P611" s="604" t="s">
        <v>47</v>
      </c>
      <c r="Q611" s="499"/>
      <c r="R611" s="502" t="str">
        <f t="shared" si="83"/>
        <v>2011birthsdhbUnknown</v>
      </c>
      <c r="S611" s="604">
        <v>2011</v>
      </c>
      <c r="T611" s="604" t="s">
        <v>445</v>
      </c>
      <c r="U611" s="604" t="s">
        <v>448</v>
      </c>
      <c r="V611" s="604" t="s">
        <v>63</v>
      </c>
      <c r="W611" s="604">
        <v>242</v>
      </c>
      <c r="Y611" s="535" t="str">
        <f t="shared" si="84"/>
        <v>2016bwtgest2500-449932-36fetal</v>
      </c>
      <c r="Z611" s="604">
        <v>2016</v>
      </c>
      <c r="AA611" s="604" t="s">
        <v>447</v>
      </c>
      <c r="AB611" s="604" t="s">
        <v>450</v>
      </c>
      <c r="AC611" s="604" t="s">
        <v>431</v>
      </c>
      <c r="AD611" s="604" t="s">
        <v>136</v>
      </c>
      <c r="AE611" s="604">
        <v>16</v>
      </c>
      <c r="AF611" s="604">
        <v>2005</v>
      </c>
      <c r="AG611" s="604">
        <v>7.9</v>
      </c>
      <c r="AH611" s="604" t="s">
        <v>420</v>
      </c>
      <c r="AJ611" s="535" t="str">
        <f t="shared" si="85"/>
        <v>2016bwtgest2500-449932-36</v>
      </c>
      <c r="AK611" s="604">
        <v>2016</v>
      </c>
      <c r="AL611" s="604" t="s">
        <v>447</v>
      </c>
      <c r="AM611" s="604" t="s">
        <v>450</v>
      </c>
      <c r="AN611" s="604" t="s">
        <v>431</v>
      </c>
      <c r="AO611" s="604" t="s">
        <v>136</v>
      </c>
      <c r="AP611" s="604">
        <v>2005</v>
      </c>
      <c r="AR611" s="538" t="str">
        <f t="shared" si="86"/>
        <v>37-41gestfetalWhanganui</v>
      </c>
      <c r="AS611" s="604">
        <v>2016</v>
      </c>
      <c r="AT611" s="604" t="s">
        <v>137</v>
      </c>
      <c r="AU611" s="604" t="s">
        <v>450</v>
      </c>
      <c r="AV611" s="604" t="s">
        <v>95</v>
      </c>
      <c r="AW611" s="604">
        <v>0</v>
      </c>
      <c r="AX611" s="604">
        <v>761</v>
      </c>
      <c r="AY611" s="606">
        <v>0</v>
      </c>
      <c r="AZ611" s="604" t="s">
        <v>420</v>
      </c>
      <c r="BB611" s="536" t="str">
        <f t="shared" si="87"/>
        <v>2500-4499bwtbirthsSouth Canterbury</v>
      </c>
      <c r="BC611" s="604">
        <v>2016</v>
      </c>
      <c r="BD611" s="604" t="s">
        <v>431</v>
      </c>
      <c r="BE611" s="604" t="s">
        <v>447</v>
      </c>
      <c r="BF611" s="604" t="s">
        <v>102</v>
      </c>
      <c r="BG611" s="604">
        <v>588</v>
      </c>
      <c r="BH611" s="604" t="s">
        <v>445</v>
      </c>
      <c r="BY611" s="553" t="str">
        <f t="shared" si="88"/>
        <v>2009WhanganuidhbSIDS</v>
      </c>
      <c r="BZ611" s="604">
        <v>2009</v>
      </c>
      <c r="CA611" s="604" t="s">
        <v>95</v>
      </c>
      <c r="CB611" s="604" t="s">
        <v>448</v>
      </c>
      <c r="CC611" s="604">
        <v>2</v>
      </c>
      <c r="CD611" s="604" t="s">
        <v>32</v>
      </c>
      <c r="CF611" s="559" t="str">
        <f t="shared" si="89"/>
        <v>5yearsMaoriQuin 2depSUDI</v>
      </c>
      <c r="CG611" s="604" t="s">
        <v>475</v>
      </c>
      <c r="CH611" s="604" t="s">
        <v>129</v>
      </c>
      <c r="CI611" s="604" t="s">
        <v>422</v>
      </c>
      <c r="CJ611" s="604" t="s">
        <v>454</v>
      </c>
      <c r="CK611" s="604">
        <v>4</v>
      </c>
      <c r="CL611" s="604" t="s">
        <v>33</v>
      </c>
    </row>
    <row r="612" spans="9:90">
      <c r="I612" s="578" t="str">
        <f t="shared" si="82"/>
        <v>1999gest37-41Fetal</v>
      </c>
      <c r="J612" s="604">
        <v>1999</v>
      </c>
      <c r="K612" s="604" t="s">
        <v>450</v>
      </c>
      <c r="L612" s="604" t="s">
        <v>137</v>
      </c>
      <c r="M612" s="604">
        <v>84</v>
      </c>
      <c r="N612" s="604">
        <v>51022</v>
      </c>
      <c r="O612" s="604">
        <v>1.6</v>
      </c>
      <c r="P612" s="604" t="s">
        <v>47</v>
      </c>
      <c r="Q612" s="499"/>
      <c r="R612" s="502" t="str">
        <f t="shared" si="83"/>
        <v>2012birthsdhbNorthland</v>
      </c>
      <c r="S612" s="604">
        <v>2012</v>
      </c>
      <c r="T612" s="604" t="s">
        <v>445</v>
      </c>
      <c r="U612" s="604" t="s">
        <v>448</v>
      </c>
      <c r="V612" s="604" t="s">
        <v>85</v>
      </c>
      <c r="W612" s="604">
        <v>2387</v>
      </c>
      <c r="Y612" s="535" t="str">
        <f t="shared" si="84"/>
        <v>2016bwtgest4500+32-36fetal</v>
      </c>
      <c r="Z612" s="604">
        <v>2016</v>
      </c>
      <c r="AA612" s="604" t="s">
        <v>447</v>
      </c>
      <c r="AB612" s="604" t="s">
        <v>450</v>
      </c>
      <c r="AC612" s="604" t="s">
        <v>432</v>
      </c>
      <c r="AD612" s="604" t="s">
        <v>136</v>
      </c>
      <c r="AE612" s="604">
        <v>0</v>
      </c>
      <c r="AF612" s="604">
        <v>6</v>
      </c>
      <c r="AG612" s="604">
        <v>0</v>
      </c>
      <c r="AH612" s="604" t="s">
        <v>420</v>
      </c>
      <c r="AJ612" s="535" t="str">
        <f t="shared" si="85"/>
        <v>2016bwtgest4500+32-36</v>
      </c>
      <c r="AK612" s="604">
        <v>2016</v>
      </c>
      <c r="AL612" s="604" t="s">
        <v>447</v>
      </c>
      <c r="AM612" s="604" t="s">
        <v>450</v>
      </c>
      <c r="AN612" s="604" t="s">
        <v>432</v>
      </c>
      <c r="AO612" s="604" t="s">
        <v>136</v>
      </c>
      <c r="AP612" s="604">
        <v>6</v>
      </c>
      <c r="AR612" s="538" t="str">
        <f t="shared" si="86"/>
        <v>42+gestfetalWhanganui</v>
      </c>
      <c r="AS612" s="604">
        <v>2016</v>
      </c>
      <c r="AT612" s="604" t="s">
        <v>138</v>
      </c>
      <c r="AU612" s="604" t="s">
        <v>450</v>
      </c>
      <c r="AV612" s="604" t="s">
        <v>95</v>
      </c>
      <c r="AW612" s="604">
        <v>0</v>
      </c>
      <c r="AX612" s="604">
        <v>13</v>
      </c>
      <c r="AY612" s="606">
        <v>0</v>
      </c>
      <c r="AZ612" s="604" t="s">
        <v>420</v>
      </c>
      <c r="BB612" s="536" t="str">
        <f t="shared" si="87"/>
        <v>4500+bwtbirthsSouth Canterbury</v>
      </c>
      <c r="BC612" s="604">
        <v>2016</v>
      </c>
      <c r="BD612" s="604" t="s">
        <v>432</v>
      </c>
      <c r="BE612" s="604" t="s">
        <v>447</v>
      </c>
      <c r="BF612" s="604" t="s">
        <v>102</v>
      </c>
      <c r="BG612" s="604">
        <v>18</v>
      </c>
      <c r="BH612" s="604" t="s">
        <v>445</v>
      </c>
      <c r="BY612" s="553" t="str">
        <f t="shared" si="88"/>
        <v>2009Capital &amp; CoastdhbSIDS</v>
      </c>
      <c r="BZ612" s="604">
        <v>2009</v>
      </c>
      <c r="CA612" s="604" t="s">
        <v>96</v>
      </c>
      <c r="CB612" s="604" t="s">
        <v>448</v>
      </c>
      <c r="CC612" s="604">
        <v>1</v>
      </c>
      <c r="CD612" s="604" t="s">
        <v>32</v>
      </c>
      <c r="CF612" s="559" t="str">
        <f t="shared" si="89"/>
        <v>5yearsPacific peoplesQuin 2depSUDI</v>
      </c>
      <c r="CG612" s="604" t="s">
        <v>475</v>
      </c>
      <c r="CH612" s="604" t="s">
        <v>320</v>
      </c>
      <c r="CI612" s="604" t="s">
        <v>422</v>
      </c>
      <c r="CJ612" s="604" t="s">
        <v>454</v>
      </c>
      <c r="CK612" s="604">
        <v>1</v>
      </c>
      <c r="CL612" s="604" t="s">
        <v>33</v>
      </c>
    </row>
    <row r="613" spans="9:90">
      <c r="I613" s="578" t="str">
        <f t="shared" si="82"/>
        <v>1999gest42+Fetal</v>
      </c>
      <c r="J613" s="604">
        <v>1999</v>
      </c>
      <c r="K613" s="604" t="s">
        <v>450</v>
      </c>
      <c r="L613" s="604" t="s">
        <v>138</v>
      </c>
      <c r="M613" s="604">
        <v>3</v>
      </c>
      <c r="N613" s="604">
        <v>2159</v>
      </c>
      <c r="O613" s="604">
        <v>1.4</v>
      </c>
      <c r="P613" s="604" t="s">
        <v>47</v>
      </c>
      <c r="Q613" s="499"/>
      <c r="R613" s="502" t="str">
        <f t="shared" si="83"/>
        <v>2012birthsdhbWaitemata</v>
      </c>
      <c r="S613" s="604">
        <v>2012</v>
      </c>
      <c r="T613" s="604" t="s">
        <v>445</v>
      </c>
      <c r="U613" s="604" t="s">
        <v>448</v>
      </c>
      <c r="V613" s="604" t="s">
        <v>86</v>
      </c>
      <c r="W613" s="604">
        <v>7953</v>
      </c>
      <c r="Y613" s="535" t="str">
        <f t="shared" si="84"/>
        <v>2016bwtgestUnknown32-36fetal</v>
      </c>
      <c r="Z613" s="604">
        <v>2016</v>
      </c>
      <c r="AA613" s="604" t="s">
        <v>447</v>
      </c>
      <c r="AB613" s="604" t="s">
        <v>450</v>
      </c>
      <c r="AC613" s="604" t="s">
        <v>63</v>
      </c>
      <c r="AD613" s="604" t="s">
        <v>136</v>
      </c>
      <c r="AE613" s="604">
        <v>1</v>
      </c>
      <c r="AF613" s="604">
        <v>1</v>
      </c>
      <c r="AG613" s="604" t="s">
        <v>119</v>
      </c>
      <c r="AH613" s="604" t="s">
        <v>420</v>
      </c>
      <c r="AJ613" s="535" t="str">
        <f t="shared" si="85"/>
        <v>2016bwtgestUnknown32-36</v>
      </c>
      <c r="AK613" s="604">
        <v>2016</v>
      </c>
      <c r="AL613" s="604" t="s">
        <v>447</v>
      </c>
      <c r="AM613" s="604" t="s">
        <v>450</v>
      </c>
      <c r="AN613" s="604" t="s">
        <v>63</v>
      </c>
      <c r="AO613" s="604" t="s">
        <v>136</v>
      </c>
      <c r="AP613" s="604">
        <v>1</v>
      </c>
      <c r="AR613" s="538" t="str">
        <f t="shared" si="86"/>
        <v>42+gestfetalCapital &amp; Coast</v>
      </c>
      <c r="AS613" s="604">
        <v>2016</v>
      </c>
      <c r="AT613" s="604" t="s">
        <v>138</v>
      </c>
      <c r="AU613" s="604" t="s">
        <v>450</v>
      </c>
      <c r="AV613" s="604" t="s">
        <v>96</v>
      </c>
      <c r="AW613" s="604">
        <v>0</v>
      </c>
      <c r="AX613" s="604">
        <v>31</v>
      </c>
      <c r="AY613" s="606">
        <v>0</v>
      </c>
      <c r="AZ613" s="604" t="s">
        <v>420</v>
      </c>
      <c r="BB613" s="536" t="str">
        <f t="shared" si="87"/>
        <v>&lt;500bwtbirthsSouthern</v>
      </c>
      <c r="BC613" s="604">
        <v>2016</v>
      </c>
      <c r="BD613" s="604" t="s">
        <v>427</v>
      </c>
      <c r="BE613" s="604" t="s">
        <v>447</v>
      </c>
      <c r="BF613" s="604" t="s">
        <v>103</v>
      </c>
      <c r="BG613" s="604">
        <v>3</v>
      </c>
      <c r="BH613" s="604" t="s">
        <v>445</v>
      </c>
      <c r="BY613" s="553" t="str">
        <f t="shared" si="88"/>
        <v>2009Hutt ValleydhbSIDS</v>
      </c>
      <c r="BZ613" s="604">
        <v>2009</v>
      </c>
      <c r="CA613" s="604" t="s">
        <v>97</v>
      </c>
      <c r="CB613" s="604" t="s">
        <v>448</v>
      </c>
      <c r="CC613" s="604">
        <v>3</v>
      </c>
      <c r="CD613" s="604" t="s">
        <v>32</v>
      </c>
      <c r="CF613" s="559" t="str">
        <f t="shared" si="89"/>
        <v>5yearsAsianQuin 3depSUDI</v>
      </c>
      <c r="CG613" s="604" t="s">
        <v>475</v>
      </c>
      <c r="CH613" s="604" t="s">
        <v>355</v>
      </c>
      <c r="CI613" s="604" t="s">
        <v>423</v>
      </c>
      <c r="CJ613" s="604" t="s">
        <v>454</v>
      </c>
      <c r="CK613" s="604">
        <v>2</v>
      </c>
      <c r="CL613" s="604" t="s">
        <v>33</v>
      </c>
    </row>
    <row r="614" spans="9:90">
      <c r="I614" s="578" t="str">
        <f t="shared" si="82"/>
        <v>1999gestUnknownFetal</v>
      </c>
      <c r="J614" s="604">
        <v>1999</v>
      </c>
      <c r="K614" s="604" t="s">
        <v>450</v>
      </c>
      <c r="L614" s="604" t="s">
        <v>63</v>
      </c>
      <c r="M614" s="604">
        <v>8</v>
      </c>
      <c r="N614" s="604">
        <v>42</v>
      </c>
      <c r="O614" s="604" t="s">
        <v>119</v>
      </c>
      <c r="P614" s="604" t="s">
        <v>47</v>
      </c>
      <c r="Q614" s="499"/>
      <c r="R614" s="502" t="str">
        <f t="shared" si="83"/>
        <v>2012birthsdhbAuckland</v>
      </c>
      <c r="S614" s="604">
        <v>2012</v>
      </c>
      <c r="T614" s="604" t="s">
        <v>445</v>
      </c>
      <c r="U614" s="604" t="s">
        <v>448</v>
      </c>
      <c r="V614" s="604" t="s">
        <v>87</v>
      </c>
      <c r="W614" s="604">
        <v>6556</v>
      </c>
      <c r="Y614" s="535" t="str">
        <f t="shared" si="84"/>
        <v>2016bwtgest&lt;50037-41fetal</v>
      </c>
      <c r="Z614" s="604">
        <v>2016</v>
      </c>
      <c r="AA614" s="604" t="s">
        <v>447</v>
      </c>
      <c r="AB614" s="604" t="s">
        <v>450</v>
      </c>
      <c r="AC614" s="604" t="s">
        <v>427</v>
      </c>
      <c r="AD614" s="604" t="s">
        <v>137</v>
      </c>
      <c r="AE614" s="604">
        <v>8</v>
      </c>
      <c r="AF614" s="604">
        <v>11</v>
      </c>
      <c r="AG614" s="604">
        <v>421.1</v>
      </c>
      <c r="AH614" s="604" t="s">
        <v>420</v>
      </c>
      <c r="AJ614" s="535" t="str">
        <f t="shared" si="85"/>
        <v>2016bwtgest&lt;50037-41</v>
      </c>
      <c r="AK614" s="604">
        <v>2016</v>
      </c>
      <c r="AL614" s="604" t="s">
        <v>447</v>
      </c>
      <c r="AM614" s="604" t="s">
        <v>450</v>
      </c>
      <c r="AN614" s="604" t="s">
        <v>427</v>
      </c>
      <c r="AO614" s="604" t="s">
        <v>137</v>
      </c>
      <c r="AP614" s="604">
        <v>11</v>
      </c>
      <c r="AR614" s="538" t="str">
        <f t="shared" si="86"/>
        <v>UnknowngestfetalCapital &amp; Coast</v>
      </c>
      <c r="AS614" s="604">
        <v>2016</v>
      </c>
      <c r="AT614" s="604" t="s">
        <v>63</v>
      </c>
      <c r="AU614" s="604" t="s">
        <v>450</v>
      </c>
      <c r="AV614" s="604" t="s">
        <v>96</v>
      </c>
      <c r="AW614" s="604">
        <v>0</v>
      </c>
      <c r="AX614" s="604">
        <v>1</v>
      </c>
      <c r="AY614" s="606" t="s">
        <v>119</v>
      </c>
      <c r="AZ614" s="604" t="s">
        <v>420</v>
      </c>
      <c r="BB614" s="536" t="str">
        <f t="shared" si="87"/>
        <v>500-999bwtbirthsSouthern</v>
      </c>
      <c r="BC614" s="604">
        <v>2016</v>
      </c>
      <c r="BD614" s="604" t="s">
        <v>428</v>
      </c>
      <c r="BE614" s="604" t="s">
        <v>447</v>
      </c>
      <c r="BF614" s="604" t="s">
        <v>103</v>
      </c>
      <c r="BG614" s="604">
        <v>16</v>
      </c>
      <c r="BH614" s="604" t="s">
        <v>445</v>
      </c>
      <c r="BY614" s="553" t="str">
        <f t="shared" si="88"/>
        <v>2009WairarapadhbSIDS</v>
      </c>
      <c r="BZ614" s="604">
        <v>2009</v>
      </c>
      <c r="CA614" s="604" t="s">
        <v>98</v>
      </c>
      <c r="CB614" s="604" t="s">
        <v>448</v>
      </c>
      <c r="CC614" s="604">
        <v>0</v>
      </c>
      <c r="CD614" s="604" t="s">
        <v>32</v>
      </c>
      <c r="CF614" s="559" t="str">
        <f t="shared" si="89"/>
        <v>5yearsEuropean or OtherQuin 3depSUDI</v>
      </c>
      <c r="CG614" s="604" t="s">
        <v>475</v>
      </c>
      <c r="CH614" s="604" t="s">
        <v>356</v>
      </c>
      <c r="CI614" s="604" t="s">
        <v>423</v>
      </c>
      <c r="CJ614" s="604" t="s">
        <v>454</v>
      </c>
      <c r="CK614" s="604">
        <v>9</v>
      </c>
      <c r="CL614" s="604" t="s">
        <v>33</v>
      </c>
    </row>
    <row r="615" spans="9:90">
      <c r="I615" s="578" t="str">
        <f t="shared" si="82"/>
        <v>2000gest&lt;28Fetal</v>
      </c>
      <c r="J615" s="604">
        <v>2000</v>
      </c>
      <c r="K615" s="604" t="s">
        <v>450</v>
      </c>
      <c r="L615" s="604" t="s">
        <v>375</v>
      </c>
      <c r="M615" s="604">
        <v>187</v>
      </c>
      <c r="N615" s="604">
        <v>505</v>
      </c>
      <c r="O615" s="604">
        <v>370.3</v>
      </c>
      <c r="P615" s="604" t="s">
        <v>47</v>
      </c>
      <c r="Q615" s="499"/>
      <c r="R615" s="502" t="str">
        <f t="shared" si="83"/>
        <v>2012birthsdhbCounties Manukau</v>
      </c>
      <c r="S615" s="604">
        <v>2012</v>
      </c>
      <c r="T615" s="604" t="s">
        <v>445</v>
      </c>
      <c r="U615" s="604" t="s">
        <v>448</v>
      </c>
      <c r="V615" s="604" t="s">
        <v>88</v>
      </c>
      <c r="W615" s="604">
        <v>8748</v>
      </c>
      <c r="Y615" s="535" t="str">
        <f t="shared" si="84"/>
        <v>2016bwtgest500-99937-41fetal</v>
      </c>
      <c r="Z615" s="604">
        <v>2016</v>
      </c>
      <c r="AA615" s="604" t="s">
        <v>447</v>
      </c>
      <c r="AB615" s="604" t="s">
        <v>450</v>
      </c>
      <c r="AC615" s="604" t="s">
        <v>428</v>
      </c>
      <c r="AD615" s="604" t="s">
        <v>137</v>
      </c>
      <c r="AE615" s="604">
        <v>0</v>
      </c>
      <c r="AF615" s="604">
        <v>2</v>
      </c>
      <c r="AG615" s="604">
        <v>0</v>
      </c>
      <c r="AH615" s="604" t="s">
        <v>420</v>
      </c>
      <c r="AJ615" s="535" t="str">
        <f t="shared" si="85"/>
        <v>2016bwtgest500-99937-41</v>
      </c>
      <c r="AK615" s="604">
        <v>2016</v>
      </c>
      <c r="AL615" s="604" t="s">
        <v>447</v>
      </c>
      <c r="AM615" s="604" t="s">
        <v>450</v>
      </c>
      <c r="AN615" s="604" t="s">
        <v>428</v>
      </c>
      <c r="AO615" s="604" t="s">
        <v>137</v>
      </c>
      <c r="AP615" s="604">
        <v>2</v>
      </c>
      <c r="AR615" s="538" t="str">
        <f t="shared" si="86"/>
        <v>37-41gestfetalHutt Valley</v>
      </c>
      <c r="AS615" s="604">
        <v>2016</v>
      </c>
      <c r="AT615" s="604" t="s">
        <v>137</v>
      </c>
      <c r="AU615" s="604" t="s">
        <v>450</v>
      </c>
      <c r="AV615" s="604" t="s">
        <v>97</v>
      </c>
      <c r="AW615" s="604">
        <v>0</v>
      </c>
      <c r="AX615" s="604">
        <v>1813</v>
      </c>
      <c r="AY615" s="606">
        <v>0</v>
      </c>
      <c r="AZ615" s="604" t="s">
        <v>420</v>
      </c>
      <c r="BB615" s="536" t="str">
        <f t="shared" si="87"/>
        <v>1000-1499bwtbirthsSouthern</v>
      </c>
      <c r="BC615" s="604">
        <v>2016</v>
      </c>
      <c r="BD615" s="604" t="s">
        <v>429</v>
      </c>
      <c r="BE615" s="604" t="s">
        <v>447</v>
      </c>
      <c r="BF615" s="604" t="s">
        <v>103</v>
      </c>
      <c r="BG615" s="604">
        <v>25</v>
      </c>
      <c r="BH615" s="604" t="s">
        <v>445</v>
      </c>
      <c r="BY615" s="553" t="str">
        <f t="shared" si="88"/>
        <v>2009Nelson MarlboroughdhbSIDS</v>
      </c>
      <c r="BZ615" s="604">
        <v>2009</v>
      </c>
      <c r="CA615" s="604" t="s">
        <v>99</v>
      </c>
      <c r="CB615" s="604" t="s">
        <v>448</v>
      </c>
      <c r="CC615" s="604">
        <v>0</v>
      </c>
      <c r="CD615" s="604" t="s">
        <v>32</v>
      </c>
      <c r="CF615" s="559" t="str">
        <f t="shared" si="89"/>
        <v>5yearsMaoriQuin 3depSUDI</v>
      </c>
      <c r="CG615" s="604" t="s">
        <v>475</v>
      </c>
      <c r="CH615" s="604" t="s">
        <v>129</v>
      </c>
      <c r="CI615" s="604" t="s">
        <v>423</v>
      </c>
      <c r="CJ615" s="604" t="s">
        <v>454</v>
      </c>
      <c r="CK615" s="604">
        <v>8</v>
      </c>
      <c r="CL615" s="604" t="s">
        <v>33</v>
      </c>
    </row>
    <row r="616" spans="9:90">
      <c r="I616" s="578" t="str">
        <f t="shared" si="82"/>
        <v>2000gest28-31Fetal</v>
      </c>
      <c r="J616" s="604">
        <v>2000</v>
      </c>
      <c r="K616" s="604" t="s">
        <v>450</v>
      </c>
      <c r="L616" s="604" t="s">
        <v>395</v>
      </c>
      <c r="M616" s="604">
        <v>46</v>
      </c>
      <c r="N616" s="604">
        <v>500</v>
      </c>
      <c r="O616" s="604">
        <v>92</v>
      </c>
      <c r="P616" s="604" t="s">
        <v>47</v>
      </c>
      <c r="Q616" s="499"/>
      <c r="R616" s="502" t="str">
        <f t="shared" si="83"/>
        <v>2012birthsdhbWaikato</v>
      </c>
      <c r="S616" s="604">
        <v>2012</v>
      </c>
      <c r="T616" s="604" t="s">
        <v>445</v>
      </c>
      <c r="U616" s="604" t="s">
        <v>448</v>
      </c>
      <c r="V616" s="604" t="s">
        <v>89</v>
      </c>
      <c r="W616" s="604">
        <v>5485</v>
      </c>
      <c r="Y616" s="535" t="str">
        <f t="shared" si="84"/>
        <v>2016bwtgest1000-149937-41fetal</v>
      </c>
      <c r="Z616" s="604">
        <v>2016</v>
      </c>
      <c r="AA616" s="604" t="s">
        <v>447</v>
      </c>
      <c r="AB616" s="604" t="s">
        <v>450</v>
      </c>
      <c r="AC616" s="604" t="s">
        <v>429</v>
      </c>
      <c r="AD616" s="604" t="s">
        <v>137</v>
      </c>
      <c r="AE616" s="604">
        <v>1</v>
      </c>
      <c r="AF616" s="604">
        <v>5</v>
      </c>
      <c r="AG616" s="604">
        <v>166.7</v>
      </c>
      <c r="AH616" s="604" t="s">
        <v>420</v>
      </c>
      <c r="AJ616" s="535" t="str">
        <f t="shared" si="85"/>
        <v>2016bwtgest1000-149937-41</v>
      </c>
      <c r="AK616" s="604">
        <v>2016</v>
      </c>
      <c r="AL616" s="604" t="s">
        <v>447</v>
      </c>
      <c r="AM616" s="604" t="s">
        <v>450</v>
      </c>
      <c r="AN616" s="604" t="s">
        <v>429</v>
      </c>
      <c r="AO616" s="604" t="s">
        <v>137</v>
      </c>
      <c r="AP616" s="604">
        <v>5</v>
      </c>
      <c r="AR616" s="538" t="str">
        <f t="shared" si="86"/>
        <v>42+gestfetalHutt Valley</v>
      </c>
      <c r="AS616" s="604">
        <v>2016</v>
      </c>
      <c r="AT616" s="604" t="s">
        <v>138</v>
      </c>
      <c r="AU616" s="604" t="s">
        <v>450</v>
      </c>
      <c r="AV616" s="604" t="s">
        <v>97</v>
      </c>
      <c r="AW616" s="604">
        <v>0</v>
      </c>
      <c r="AX616" s="604">
        <v>10</v>
      </c>
      <c r="AY616" s="606">
        <v>0</v>
      </c>
      <c r="AZ616" s="604" t="s">
        <v>420</v>
      </c>
      <c r="BB616" s="536" t="str">
        <f t="shared" si="87"/>
        <v>1500-2499bwtbirthsSouthern</v>
      </c>
      <c r="BC616" s="604">
        <v>2016</v>
      </c>
      <c r="BD616" s="604" t="s">
        <v>430</v>
      </c>
      <c r="BE616" s="604" t="s">
        <v>447</v>
      </c>
      <c r="BF616" s="604" t="s">
        <v>103</v>
      </c>
      <c r="BG616" s="604">
        <v>167</v>
      </c>
      <c r="BH616" s="604" t="s">
        <v>445</v>
      </c>
      <c r="BY616" s="553" t="str">
        <f t="shared" si="88"/>
        <v>2009West CoastdhbSIDS</v>
      </c>
      <c r="BZ616" s="604">
        <v>2009</v>
      </c>
      <c r="CA616" s="604" t="s">
        <v>100</v>
      </c>
      <c r="CB616" s="604" t="s">
        <v>448</v>
      </c>
      <c r="CC616" s="604">
        <v>0</v>
      </c>
      <c r="CD616" s="604" t="s">
        <v>32</v>
      </c>
      <c r="CF616" s="559" t="str">
        <f t="shared" si="89"/>
        <v>5yearsPacific peoplesQuin 3depSUDI</v>
      </c>
      <c r="CG616" s="604" t="s">
        <v>475</v>
      </c>
      <c r="CH616" s="604" t="s">
        <v>320</v>
      </c>
      <c r="CI616" s="604" t="s">
        <v>423</v>
      </c>
      <c r="CJ616" s="604" t="s">
        <v>454</v>
      </c>
      <c r="CK616" s="604">
        <v>2</v>
      </c>
      <c r="CL616" s="604" t="s">
        <v>33</v>
      </c>
    </row>
    <row r="617" spans="9:90">
      <c r="I617" s="578" t="str">
        <f t="shared" si="82"/>
        <v>2000gest32-36Fetal</v>
      </c>
      <c r="J617" s="604">
        <v>2000</v>
      </c>
      <c r="K617" s="604" t="s">
        <v>450</v>
      </c>
      <c r="L617" s="604" t="s">
        <v>136</v>
      </c>
      <c r="M617" s="604">
        <v>53</v>
      </c>
      <c r="N617" s="604">
        <v>3514</v>
      </c>
      <c r="O617" s="604">
        <v>15.1</v>
      </c>
      <c r="P617" s="604" t="s">
        <v>47</v>
      </c>
      <c r="Q617" s="499"/>
      <c r="R617" s="502" t="str">
        <f t="shared" si="83"/>
        <v>2012birthsdhbLakes</v>
      </c>
      <c r="S617" s="604">
        <v>2012</v>
      </c>
      <c r="T617" s="604" t="s">
        <v>445</v>
      </c>
      <c r="U617" s="604" t="s">
        <v>448</v>
      </c>
      <c r="V617" s="604" t="s">
        <v>90</v>
      </c>
      <c r="W617" s="604">
        <v>1517</v>
      </c>
      <c r="Y617" s="535" t="str">
        <f t="shared" si="84"/>
        <v>2016bwtgest1500-249937-41fetal</v>
      </c>
      <c r="Z617" s="604">
        <v>2016</v>
      </c>
      <c r="AA617" s="604" t="s">
        <v>447</v>
      </c>
      <c r="AB617" s="604" t="s">
        <v>450</v>
      </c>
      <c r="AC617" s="604" t="s">
        <v>430</v>
      </c>
      <c r="AD617" s="604" t="s">
        <v>137</v>
      </c>
      <c r="AE617" s="604">
        <v>8</v>
      </c>
      <c r="AF617" s="604">
        <v>1088</v>
      </c>
      <c r="AG617" s="604">
        <v>7.3</v>
      </c>
      <c r="AH617" s="604" t="s">
        <v>420</v>
      </c>
      <c r="AJ617" s="535" t="str">
        <f t="shared" si="85"/>
        <v>2016bwtgest1500-249937-41</v>
      </c>
      <c r="AK617" s="604">
        <v>2016</v>
      </c>
      <c r="AL617" s="604" t="s">
        <v>447</v>
      </c>
      <c r="AM617" s="604" t="s">
        <v>450</v>
      </c>
      <c r="AN617" s="604" t="s">
        <v>430</v>
      </c>
      <c r="AO617" s="604" t="s">
        <v>137</v>
      </c>
      <c r="AP617" s="604">
        <v>1088</v>
      </c>
      <c r="AR617" s="538" t="str">
        <f t="shared" si="86"/>
        <v>UnknowngestfetalHutt Valley</v>
      </c>
      <c r="AS617" s="604">
        <v>2016</v>
      </c>
      <c r="AT617" s="604" t="s">
        <v>63</v>
      </c>
      <c r="AU617" s="604" t="s">
        <v>450</v>
      </c>
      <c r="AV617" s="604" t="s">
        <v>97</v>
      </c>
      <c r="AW617" s="604">
        <v>0</v>
      </c>
      <c r="AX617" s="604">
        <v>1</v>
      </c>
      <c r="AY617" s="606" t="s">
        <v>119</v>
      </c>
      <c r="AZ617" s="604" t="s">
        <v>420</v>
      </c>
      <c r="BB617" s="536" t="str">
        <f t="shared" si="87"/>
        <v>2500-4499bwtbirthsSouthern</v>
      </c>
      <c r="BC617" s="604">
        <v>2016</v>
      </c>
      <c r="BD617" s="604" t="s">
        <v>431</v>
      </c>
      <c r="BE617" s="604" t="s">
        <v>447</v>
      </c>
      <c r="BF617" s="604" t="s">
        <v>103</v>
      </c>
      <c r="BG617" s="604">
        <v>3111</v>
      </c>
      <c r="BH617" s="604" t="s">
        <v>445</v>
      </c>
      <c r="BY617" s="553" t="str">
        <f t="shared" si="88"/>
        <v>2009CanterburydhbSIDS</v>
      </c>
      <c r="BZ617" s="604">
        <v>2009</v>
      </c>
      <c r="CA617" s="604" t="s">
        <v>101</v>
      </c>
      <c r="CB617" s="604" t="s">
        <v>448</v>
      </c>
      <c r="CC617" s="604">
        <v>4</v>
      </c>
      <c r="CD617" s="604" t="s">
        <v>32</v>
      </c>
      <c r="CF617" s="559" t="str">
        <f t="shared" si="89"/>
        <v>5yearsAsianQuin 4depSUDI</v>
      </c>
      <c r="CG617" s="604" t="s">
        <v>475</v>
      </c>
      <c r="CH617" s="604" t="s">
        <v>355</v>
      </c>
      <c r="CI617" s="604" t="s">
        <v>424</v>
      </c>
      <c r="CJ617" s="604" t="s">
        <v>454</v>
      </c>
      <c r="CK617" s="604">
        <v>0</v>
      </c>
      <c r="CL617" s="604" t="s">
        <v>33</v>
      </c>
    </row>
    <row r="618" spans="9:90">
      <c r="I618" s="578" t="str">
        <f t="shared" si="82"/>
        <v>2000gest37-41Fetal</v>
      </c>
      <c r="J618" s="604">
        <v>2000</v>
      </c>
      <c r="K618" s="604" t="s">
        <v>450</v>
      </c>
      <c r="L618" s="604" t="s">
        <v>137</v>
      </c>
      <c r="M618" s="604">
        <v>79</v>
      </c>
      <c r="N618" s="604">
        <v>50943</v>
      </c>
      <c r="O618" s="604">
        <v>1.6</v>
      </c>
      <c r="P618" s="604" t="s">
        <v>47</v>
      </c>
      <c r="Q618" s="499"/>
      <c r="R618" s="502" t="str">
        <f t="shared" si="83"/>
        <v>2012birthsdhbBay of Plenty</v>
      </c>
      <c r="S618" s="604">
        <v>2012</v>
      </c>
      <c r="T618" s="604" t="s">
        <v>445</v>
      </c>
      <c r="U618" s="604" t="s">
        <v>448</v>
      </c>
      <c r="V618" s="604" t="s">
        <v>91</v>
      </c>
      <c r="W618" s="604">
        <v>2978</v>
      </c>
      <c r="Y618" s="535" t="str">
        <f t="shared" si="84"/>
        <v>2016bwtgest2500-449937-41fetal</v>
      </c>
      <c r="Z618" s="604">
        <v>2016</v>
      </c>
      <c r="AA618" s="604" t="s">
        <v>447</v>
      </c>
      <c r="AB618" s="604" t="s">
        <v>450</v>
      </c>
      <c r="AC618" s="604" t="s">
        <v>431</v>
      </c>
      <c r="AD618" s="604" t="s">
        <v>137</v>
      </c>
      <c r="AE618" s="604">
        <v>63</v>
      </c>
      <c r="AF618" s="604">
        <v>52424</v>
      </c>
      <c r="AG618" s="604">
        <v>1.2</v>
      </c>
      <c r="AH618" s="604" t="s">
        <v>420</v>
      </c>
      <c r="AJ618" s="535" t="str">
        <f t="shared" si="85"/>
        <v>2016bwtgest2500-449937-41</v>
      </c>
      <c r="AK618" s="604">
        <v>2016</v>
      </c>
      <c r="AL618" s="604" t="s">
        <v>447</v>
      </c>
      <c r="AM618" s="604" t="s">
        <v>450</v>
      </c>
      <c r="AN618" s="604" t="s">
        <v>431</v>
      </c>
      <c r="AO618" s="604" t="s">
        <v>137</v>
      </c>
      <c r="AP618" s="604">
        <v>52424</v>
      </c>
      <c r="AR618" s="538" t="str">
        <f t="shared" si="86"/>
        <v>28-31gestfetalWairarapa</v>
      </c>
      <c r="AS618" s="604">
        <v>2016</v>
      </c>
      <c r="AT618" s="604" t="s">
        <v>395</v>
      </c>
      <c r="AU618" s="604" t="s">
        <v>450</v>
      </c>
      <c r="AV618" s="604" t="s">
        <v>98</v>
      </c>
      <c r="AW618" s="604">
        <v>0</v>
      </c>
      <c r="AX618" s="604">
        <v>3</v>
      </c>
      <c r="AY618" s="606">
        <v>0</v>
      </c>
      <c r="AZ618" s="604" t="s">
        <v>420</v>
      </c>
      <c r="BB618" s="536" t="str">
        <f t="shared" si="87"/>
        <v>4500+bwtbirthsSouthern</v>
      </c>
      <c r="BC618" s="604">
        <v>2016</v>
      </c>
      <c r="BD618" s="604" t="s">
        <v>432</v>
      </c>
      <c r="BE618" s="604" t="s">
        <v>447</v>
      </c>
      <c r="BF618" s="604" t="s">
        <v>103</v>
      </c>
      <c r="BG618" s="604">
        <v>92</v>
      </c>
      <c r="BH618" s="604" t="s">
        <v>445</v>
      </c>
      <c r="BY618" s="553" t="str">
        <f t="shared" si="88"/>
        <v>2009South CanterburydhbSIDS</v>
      </c>
      <c r="BZ618" s="604">
        <v>2009</v>
      </c>
      <c r="CA618" s="604" t="s">
        <v>102</v>
      </c>
      <c r="CB618" s="604" t="s">
        <v>448</v>
      </c>
      <c r="CC618" s="604">
        <v>1</v>
      </c>
      <c r="CD618" s="604" t="s">
        <v>32</v>
      </c>
      <c r="CF618" s="559" t="str">
        <f t="shared" si="89"/>
        <v>5yearsEuropean or OtherQuin 4depSUDI</v>
      </c>
      <c r="CG618" s="604" t="s">
        <v>475</v>
      </c>
      <c r="CH618" s="604" t="s">
        <v>356</v>
      </c>
      <c r="CI618" s="604" t="s">
        <v>424</v>
      </c>
      <c r="CJ618" s="604" t="s">
        <v>454</v>
      </c>
      <c r="CK618" s="604">
        <v>15</v>
      </c>
      <c r="CL618" s="604" t="s">
        <v>33</v>
      </c>
    </row>
    <row r="619" spans="9:90">
      <c r="I619" s="578" t="str">
        <f t="shared" si="82"/>
        <v>2000gest42+Fetal</v>
      </c>
      <c r="J619" s="604">
        <v>2000</v>
      </c>
      <c r="K619" s="604" t="s">
        <v>450</v>
      </c>
      <c r="L619" s="604" t="s">
        <v>138</v>
      </c>
      <c r="M619" s="604">
        <v>3</v>
      </c>
      <c r="N619" s="604">
        <v>1871</v>
      </c>
      <c r="O619" s="604">
        <v>1.6</v>
      </c>
      <c r="P619" s="604" t="s">
        <v>47</v>
      </c>
      <c r="Q619" s="499"/>
      <c r="R619" s="502" t="str">
        <f t="shared" si="83"/>
        <v>2012birthsdhbTairawhiti</v>
      </c>
      <c r="S619" s="604">
        <v>2012</v>
      </c>
      <c r="T619" s="604" t="s">
        <v>445</v>
      </c>
      <c r="U619" s="604" t="s">
        <v>448</v>
      </c>
      <c r="V619" s="604" t="s">
        <v>433</v>
      </c>
      <c r="W619" s="604">
        <v>721</v>
      </c>
      <c r="Y619" s="535" t="str">
        <f t="shared" si="84"/>
        <v>2016bwtgest4500+37-41fetal</v>
      </c>
      <c r="Z619" s="604">
        <v>2016</v>
      </c>
      <c r="AA619" s="604" t="s">
        <v>447</v>
      </c>
      <c r="AB619" s="604" t="s">
        <v>450</v>
      </c>
      <c r="AC619" s="604" t="s">
        <v>432</v>
      </c>
      <c r="AD619" s="604" t="s">
        <v>137</v>
      </c>
      <c r="AE619" s="604">
        <v>4</v>
      </c>
      <c r="AF619" s="604">
        <v>1348</v>
      </c>
      <c r="AG619" s="604">
        <v>3</v>
      </c>
      <c r="AH619" s="604" t="s">
        <v>420</v>
      </c>
      <c r="AJ619" s="535" t="str">
        <f t="shared" si="85"/>
        <v>2016bwtgest4500+37-41</v>
      </c>
      <c r="AK619" s="604">
        <v>2016</v>
      </c>
      <c r="AL619" s="604" t="s">
        <v>447</v>
      </c>
      <c r="AM619" s="604" t="s">
        <v>450</v>
      </c>
      <c r="AN619" s="604" t="s">
        <v>432</v>
      </c>
      <c r="AO619" s="604" t="s">
        <v>137</v>
      </c>
      <c r="AP619" s="604">
        <v>1348</v>
      </c>
      <c r="AR619" s="538" t="str">
        <f t="shared" si="86"/>
        <v>42+gestfetalWairarapa</v>
      </c>
      <c r="AS619" s="604">
        <v>2016</v>
      </c>
      <c r="AT619" s="604" t="s">
        <v>138</v>
      </c>
      <c r="AU619" s="604" t="s">
        <v>450</v>
      </c>
      <c r="AV619" s="604" t="s">
        <v>98</v>
      </c>
      <c r="AW619" s="604">
        <v>0</v>
      </c>
      <c r="AX619" s="604">
        <v>9</v>
      </c>
      <c r="AY619" s="606">
        <v>0</v>
      </c>
      <c r="AZ619" s="604" t="s">
        <v>420</v>
      </c>
      <c r="BB619" s="536" t="str">
        <f t="shared" si="87"/>
        <v>500-999bwtbirthsUnknown</v>
      </c>
      <c r="BC619" s="604">
        <v>2016</v>
      </c>
      <c r="BD619" s="604" t="s">
        <v>428</v>
      </c>
      <c r="BE619" s="604" t="s">
        <v>447</v>
      </c>
      <c r="BF619" s="604" t="s">
        <v>63</v>
      </c>
      <c r="BG619" s="604">
        <v>1</v>
      </c>
      <c r="BH619" s="604" t="s">
        <v>445</v>
      </c>
      <c r="BY619" s="553" t="str">
        <f t="shared" si="88"/>
        <v>2009SoutherndhbSIDS</v>
      </c>
      <c r="BZ619" s="604">
        <v>2009</v>
      </c>
      <c r="CA619" s="604" t="s">
        <v>103</v>
      </c>
      <c r="CB619" s="604" t="s">
        <v>448</v>
      </c>
      <c r="CC619" s="604">
        <v>0</v>
      </c>
      <c r="CD619" s="604" t="s">
        <v>32</v>
      </c>
      <c r="CF619" s="559" t="str">
        <f t="shared" si="89"/>
        <v>5yearsMaoriQuin 4depSUDI</v>
      </c>
      <c r="CG619" s="604" t="s">
        <v>475</v>
      </c>
      <c r="CH619" s="604" t="s">
        <v>129</v>
      </c>
      <c r="CI619" s="604" t="s">
        <v>424</v>
      </c>
      <c r="CJ619" s="604" t="s">
        <v>454</v>
      </c>
      <c r="CK619" s="604">
        <v>28</v>
      </c>
      <c r="CL619" s="604" t="s">
        <v>33</v>
      </c>
    </row>
    <row r="620" spans="9:90">
      <c r="I620" s="578" t="str">
        <f t="shared" si="82"/>
        <v>2000gestUnknownFetal</v>
      </c>
      <c r="J620" s="604">
        <v>2000</v>
      </c>
      <c r="K620" s="604" t="s">
        <v>450</v>
      </c>
      <c r="L620" s="604" t="s">
        <v>63</v>
      </c>
      <c r="M620" s="604">
        <v>1</v>
      </c>
      <c r="N620" s="604">
        <v>30</v>
      </c>
      <c r="O620" s="604" t="s">
        <v>119</v>
      </c>
      <c r="P620" s="604" t="s">
        <v>47</v>
      </c>
      <c r="Q620" s="499"/>
      <c r="R620" s="502" t="str">
        <f t="shared" si="83"/>
        <v>2012birthsdhbHawke's Bay</v>
      </c>
      <c r="S620" s="604">
        <v>2012</v>
      </c>
      <c r="T620" s="604" t="s">
        <v>445</v>
      </c>
      <c r="U620" s="604" t="s">
        <v>448</v>
      </c>
      <c r="V620" s="604" t="s">
        <v>92</v>
      </c>
      <c r="W620" s="604">
        <v>2284</v>
      </c>
      <c r="Y620" s="535" t="str">
        <f t="shared" si="84"/>
        <v>2016bwtgestUnknown37-41fetal</v>
      </c>
      <c r="Z620" s="604">
        <v>2016</v>
      </c>
      <c r="AA620" s="604" t="s">
        <v>447</v>
      </c>
      <c r="AB620" s="604" t="s">
        <v>450</v>
      </c>
      <c r="AC620" s="604" t="s">
        <v>63</v>
      </c>
      <c r="AD620" s="604" t="s">
        <v>137</v>
      </c>
      <c r="AE620" s="604">
        <v>2</v>
      </c>
      <c r="AF620" s="604">
        <v>21</v>
      </c>
      <c r="AG620" s="604" t="s">
        <v>119</v>
      </c>
      <c r="AH620" s="604" t="s">
        <v>420</v>
      </c>
      <c r="AJ620" s="535" t="str">
        <f t="shared" si="85"/>
        <v>2016bwtgestUnknown37-41</v>
      </c>
      <c r="AK620" s="604">
        <v>2016</v>
      </c>
      <c r="AL620" s="604" t="s">
        <v>447</v>
      </c>
      <c r="AM620" s="604" t="s">
        <v>450</v>
      </c>
      <c r="AN620" s="604" t="s">
        <v>63</v>
      </c>
      <c r="AO620" s="604" t="s">
        <v>137</v>
      </c>
      <c r="AP620" s="604">
        <v>21</v>
      </c>
      <c r="AR620" s="538" t="str">
        <f t="shared" si="86"/>
        <v>28-31gestfetalNelson Marlborough</v>
      </c>
      <c r="AS620" s="604">
        <v>2016</v>
      </c>
      <c r="AT620" s="604" t="s">
        <v>395</v>
      </c>
      <c r="AU620" s="604" t="s">
        <v>450</v>
      </c>
      <c r="AV620" s="604" t="s">
        <v>99</v>
      </c>
      <c r="AW620" s="604">
        <v>0</v>
      </c>
      <c r="AX620" s="604">
        <v>10</v>
      </c>
      <c r="AY620" s="606">
        <v>0</v>
      </c>
      <c r="AZ620" s="604" t="s">
        <v>420</v>
      </c>
      <c r="BB620" s="536" t="str">
        <f t="shared" si="87"/>
        <v>1500-2499bwtbirthsUnknown</v>
      </c>
      <c r="BC620" s="604">
        <v>2016</v>
      </c>
      <c r="BD620" s="604" t="s">
        <v>430</v>
      </c>
      <c r="BE620" s="604" t="s">
        <v>447</v>
      </c>
      <c r="BF620" s="604" t="s">
        <v>63</v>
      </c>
      <c r="BG620" s="604">
        <v>4</v>
      </c>
      <c r="BH620" s="604" t="s">
        <v>445</v>
      </c>
      <c r="BY620" s="553" t="str">
        <f t="shared" si="88"/>
        <v>2009UnknowndhbSIDS</v>
      </c>
      <c r="BZ620" s="604">
        <v>2009</v>
      </c>
      <c r="CA620" s="604" t="s">
        <v>63</v>
      </c>
      <c r="CB620" s="604" t="s">
        <v>448</v>
      </c>
      <c r="CC620" s="604">
        <v>0</v>
      </c>
      <c r="CD620" s="604" t="s">
        <v>32</v>
      </c>
      <c r="CF620" s="559" t="str">
        <f t="shared" si="89"/>
        <v>5yearsPacific peoplesQuin 4depSUDI</v>
      </c>
      <c r="CG620" s="604" t="s">
        <v>475</v>
      </c>
      <c r="CH620" s="604" t="s">
        <v>320</v>
      </c>
      <c r="CI620" s="604" t="s">
        <v>424</v>
      </c>
      <c r="CJ620" s="604" t="s">
        <v>454</v>
      </c>
      <c r="CK620" s="604">
        <v>4</v>
      </c>
      <c r="CL620" s="604" t="s">
        <v>33</v>
      </c>
    </row>
    <row r="621" spans="9:90">
      <c r="I621" s="578" t="str">
        <f t="shared" si="82"/>
        <v>2001gest&lt;28Fetal</v>
      </c>
      <c r="J621" s="604">
        <v>2001</v>
      </c>
      <c r="K621" s="604" t="s">
        <v>450</v>
      </c>
      <c r="L621" s="604" t="s">
        <v>375</v>
      </c>
      <c r="M621" s="604">
        <v>200</v>
      </c>
      <c r="N621" s="604">
        <v>447</v>
      </c>
      <c r="O621" s="604">
        <v>447.4</v>
      </c>
      <c r="P621" s="604" t="s">
        <v>47</v>
      </c>
      <c r="Q621" s="499"/>
      <c r="R621" s="502" t="str">
        <f t="shared" si="83"/>
        <v>2012birthsdhbTaranaki</v>
      </c>
      <c r="S621" s="604">
        <v>2012</v>
      </c>
      <c r="T621" s="604" t="s">
        <v>445</v>
      </c>
      <c r="U621" s="604" t="s">
        <v>448</v>
      </c>
      <c r="V621" s="604" t="s">
        <v>93</v>
      </c>
      <c r="W621" s="604">
        <v>1553</v>
      </c>
      <c r="Y621" s="535" t="str">
        <f t="shared" si="84"/>
        <v>2016bwtgest1500-249942+fetal</v>
      </c>
      <c r="Z621" s="604">
        <v>2016</v>
      </c>
      <c r="AA621" s="604" t="s">
        <v>447</v>
      </c>
      <c r="AB621" s="604" t="s">
        <v>450</v>
      </c>
      <c r="AC621" s="604" t="s">
        <v>430</v>
      </c>
      <c r="AD621" s="604" t="s">
        <v>138</v>
      </c>
      <c r="AE621" s="604">
        <v>0</v>
      </c>
      <c r="AF621" s="604">
        <v>3</v>
      </c>
      <c r="AG621" s="604">
        <v>0</v>
      </c>
      <c r="AH621" s="604" t="s">
        <v>420</v>
      </c>
      <c r="AJ621" s="535" t="str">
        <f t="shared" si="85"/>
        <v>2016bwtgest1500-249942+</v>
      </c>
      <c r="AK621" s="604">
        <v>2016</v>
      </c>
      <c r="AL621" s="604" t="s">
        <v>447</v>
      </c>
      <c r="AM621" s="604" t="s">
        <v>450</v>
      </c>
      <c r="AN621" s="604" t="s">
        <v>430</v>
      </c>
      <c r="AO621" s="604" t="s">
        <v>138</v>
      </c>
      <c r="AP621" s="604">
        <v>3</v>
      </c>
      <c r="AR621" s="538" t="str">
        <f t="shared" si="86"/>
        <v>32-36gestfetalNelson Marlborough</v>
      </c>
      <c r="AS621" s="604">
        <v>2016</v>
      </c>
      <c r="AT621" s="604" t="s">
        <v>136</v>
      </c>
      <c r="AU621" s="604" t="s">
        <v>450</v>
      </c>
      <c r="AV621" s="604" t="s">
        <v>99</v>
      </c>
      <c r="AW621" s="604">
        <v>0</v>
      </c>
      <c r="AX621" s="604">
        <v>79</v>
      </c>
      <c r="AY621" s="606">
        <v>0</v>
      </c>
      <c r="AZ621" s="604" t="s">
        <v>420</v>
      </c>
      <c r="BB621" s="536" t="str">
        <f t="shared" si="87"/>
        <v>2500-4499bwtbirthsUnknown</v>
      </c>
      <c r="BC621" s="604">
        <v>2016</v>
      </c>
      <c r="BD621" s="604" t="s">
        <v>431</v>
      </c>
      <c r="BE621" s="604" t="s">
        <v>447</v>
      </c>
      <c r="BF621" s="604" t="s">
        <v>63</v>
      </c>
      <c r="BG621" s="604">
        <v>122</v>
      </c>
      <c r="BH621" s="604" t="s">
        <v>445</v>
      </c>
      <c r="BY621" s="553" t="str">
        <f t="shared" si="88"/>
        <v>2010NorthlanddhbSIDS</v>
      </c>
      <c r="BZ621" s="604">
        <v>2010</v>
      </c>
      <c r="CA621" s="604" t="s">
        <v>85</v>
      </c>
      <c r="CB621" s="604" t="s">
        <v>448</v>
      </c>
      <c r="CC621" s="604">
        <v>4</v>
      </c>
      <c r="CD621" s="604" t="s">
        <v>32</v>
      </c>
      <c r="CF621" s="559" t="str">
        <f t="shared" si="89"/>
        <v>5yearsAsianQuin 5depSUDI</v>
      </c>
      <c r="CG621" s="604" t="s">
        <v>475</v>
      </c>
      <c r="CH621" s="604" t="s">
        <v>355</v>
      </c>
      <c r="CI621" s="604" t="s">
        <v>425</v>
      </c>
      <c r="CJ621" s="604" t="s">
        <v>454</v>
      </c>
      <c r="CK621" s="604">
        <v>1</v>
      </c>
      <c r="CL621" s="604" t="s">
        <v>33</v>
      </c>
    </row>
    <row r="622" spans="9:90">
      <c r="I622" s="578" t="str">
        <f t="shared" si="82"/>
        <v>2001gest28-31Fetal</v>
      </c>
      <c r="J622" s="604">
        <v>2001</v>
      </c>
      <c r="K622" s="604" t="s">
        <v>450</v>
      </c>
      <c r="L622" s="604" t="s">
        <v>395</v>
      </c>
      <c r="M622" s="604">
        <v>28</v>
      </c>
      <c r="N622" s="604">
        <v>518</v>
      </c>
      <c r="O622" s="604">
        <v>54.1</v>
      </c>
      <c r="P622" s="604" t="s">
        <v>47</v>
      </c>
      <c r="Q622" s="499"/>
      <c r="R622" s="502" t="str">
        <f t="shared" si="83"/>
        <v>2012birthsdhbMidCentral</v>
      </c>
      <c r="S622" s="604">
        <v>2012</v>
      </c>
      <c r="T622" s="604" t="s">
        <v>445</v>
      </c>
      <c r="U622" s="604" t="s">
        <v>448</v>
      </c>
      <c r="V622" s="604" t="s">
        <v>94</v>
      </c>
      <c r="W622" s="604">
        <v>2182</v>
      </c>
      <c r="Y622" s="535" t="str">
        <f t="shared" si="84"/>
        <v>2016bwtgest2500-449942+fetal</v>
      </c>
      <c r="Z622" s="604">
        <v>2016</v>
      </c>
      <c r="AA622" s="604" t="s">
        <v>447</v>
      </c>
      <c r="AB622" s="604" t="s">
        <v>450</v>
      </c>
      <c r="AC622" s="604" t="s">
        <v>431</v>
      </c>
      <c r="AD622" s="604" t="s">
        <v>138</v>
      </c>
      <c r="AE622" s="604">
        <v>0</v>
      </c>
      <c r="AF622" s="604">
        <v>944</v>
      </c>
      <c r="AG622" s="604">
        <v>0</v>
      </c>
      <c r="AH622" s="604" t="s">
        <v>420</v>
      </c>
      <c r="AJ622" s="535" t="str">
        <f t="shared" si="85"/>
        <v>2016bwtgest2500-449942+</v>
      </c>
      <c r="AK622" s="604">
        <v>2016</v>
      </c>
      <c r="AL622" s="604" t="s">
        <v>447</v>
      </c>
      <c r="AM622" s="604" t="s">
        <v>450</v>
      </c>
      <c r="AN622" s="604" t="s">
        <v>431</v>
      </c>
      <c r="AO622" s="604" t="s">
        <v>138</v>
      </c>
      <c r="AP622" s="604">
        <v>944</v>
      </c>
      <c r="AR622" s="538" t="str">
        <f t="shared" si="86"/>
        <v>42+gestfetalNelson Marlborough</v>
      </c>
      <c r="AS622" s="604">
        <v>2016</v>
      </c>
      <c r="AT622" s="604" t="s">
        <v>138</v>
      </c>
      <c r="AU622" s="604" t="s">
        <v>450</v>
      </c>
      <c r="AV622" s="604" t="s">
        <v>99</v>
      </c>
      <c r="AW622" s="604">
        <v>0</v>
      </c>
      <c r="AX622" s="604">
        <v>19</v>
      </c>
      <c r="AY622" s="606">
        <v>0</v>
      </c>
      <c r="AZ622" s="604" t="s">
        <v>420</v>
      </c>
      <c r="BB622" s="536" t="str">
        <f t="shared" si="87"/>
        <v>4500+bwtbirthsUnknown</v>
      </c>
      <c r="BC622" s="604">
        <v>2016</v>
      </c>
      <c r="BD622" s="604" t="s">
        <v>432</v>
      </c>
      <c r="BE622" s="604" t="s">
        <v>447</v>
      </c>
      <c r="BF622" s="604" t="s">
        <v>63</v>
      </c>
      <c r="BG622" s="604">
        <v>2</v>
      </c>
      <c r="BH622" s="604" t="s">
        <v>445</v>
      </c>
      <c r="BY622" s="553" t="str">
        <f t="shared" si="88"/>
        <v>2010WaitematadhbSIDS</v>
      </c>
      <c r="BZ622" s="604">
        <v>2010</v>
      </c>
      <c r="CA622" s="604" t="s">
        <v>86</v>
      </c>
      <c r="CB622" s="604" t="s">
        <v>448</v>
      </c>
      <c r="CC622" s="604">
        <v>3</v>
      </c>
      <c r="CD622" s="604" t="s">
        <v>32</v>
      </c>
      <c r="CF622" s="559" t="str">
        <f t="shared" si="89"/>
        <v>5yearsEuropean or OtherQuin 5depSUDI</v>
      </c>
      <c r="CG622" s="604" t="s">
        <v>475</v>
      </c>
      <c r="CH622" s="604" t="s">
        <v>356</v>
      </c>
      <c r="CI622" s="604" t="s">
        <v>425</v>
      </c>
      <c r="CJ622" s="604" t="s">
        <v>454</v>
      </c>
      <c r="CK622" s="604">
        <v>10</v>
      </c>
      <c r="CL622" s="604" t="s">
        <v>33</v>
      </c>
    </row>
    <row r="623" spans="9:90">
      <c r="I623" s="578" t="str">
        <f t="shared" si="82"/>
        <v>2001gest32-36Fetal</v>
      </c>
      <c r="J623" s="604">
        <v>2001</v>
      </c>
      <c r="K623" s="604" t="s">
        <v>450</v>
      </c>
      <c r="L623" s="604" t="s">
        <v>136</v>
      </c>
      <c r="M623" s="604">
        <v>61</v>
      </c>
      <c r="N623" s="604">
        <v>3524</v>
      </c>
      <c r="O623" s="604">
        <v>17.3</v>
      </c>
      <c r="P623" s="604" t="s">
        <v>47</v>
      </c>
      <c r="Q623" s="499"/>
      <c r="R623" s="502" t="str">
        <f t="shared" si="83"/>
        <v>2012birthsdhbWhanganui</v>
      </c>
      <c r="S623" s="604">
        <v>2012</v>
      </c>
      <c r="T623" s="604" t="s">
        <v>445</v>
      </c>
      <c r="U623" s="604" t="s">
        <v>448</v>
      </c>
      <c r="V623" s="604" t="s">
        <v>95</v>
      </c>
      <c r="W623" s="604">
        <v>845</v>
      </c>
      <c r="Y623" s="535" t="str">
        <f t="shared" si="84"/>
        <v>2016bwtgest4500+42+fetal</v>
      </c>
      <c r="Z623" s="604">
        <v>2016</v>
      </c>
      <c r="AA623" s="604" t="s">
        <v>447</v>
      </c>
      <c r="AB623" s="604" t="s">
        <v>450</v>
      </c>
      <c r="AC623" s="604" t="s">
        <v>432</v>
      </c>
      <c r="AD623" s="604" t="s">
        <v>138</v>
      </c>
      <c r="AE623" s="604">
        <v>0</v>
      </c>
      <c r="AF623" s="604">
        <v>69</v>
      </c>
      <c r="AG623" s="604">
        <v>0</v>
      </c>
      <c r="AH623" s="604" t="s">
        <v>420</v>
      </c>
      <c r="AJ623" s="535" t="str">
        <f t="shared" si="85"/>
        <v>2016bwtgest4500+42+</v>
      </c>
      <c r="AK623" s="604">
        <v>2016</v>
      </c>
      <c r="AL623" s="604" t="s">
        <v>447</v>
      </c>
      <c r="AM623" s="604" t="s">
        <v>450</v>
      </c>
      <c r="AN623" s="604" t="s">
        <v>432</v>
      </c>
      <c r="AO623" s="604" t="s">
        <v>138</v>
      </c>
      <c r="AP623" s="604">
        <v>69</v>
      </c>
      <c r="AR623" s="538" t="str">
        <f t="shared" si="86"/>
        <v>42+gestfetalWest Coast</v>
      </c>
      <c r="AS623" s="604">
        <v>2016</v>
      </c>
      <c r="AT623" s="604" t="s">
        <v>138</v>
      </c>
      <c r="AU623" s="604" t="s">
        <v>450</v>
      </c>
      <c r="AV623" s="604" t="s">
        <v>100</v>
      </c>
      <c r="AW623" s="604">
        <v>0</v>
      </c>
      <c r="AX623" s="604">
        <v>6</v>
      </c>
      <c r="AY623" s="606">
        <v>0</v>
      </c>
      <c r="AZ623" s="604" t="s">
        <v>420</v>
      </c>
      <c r="BB623" s="536" t="str">
        <f>BD623&amp;BE623&amp;BH623&amp;BF623</f>
        <v>UnknownbwtbirthsUnknown</v>
      </c>
      <c r="BC623" s="604">
        <v>2016</v>
      </c>
      <c r="BD623" s="604" t="s">
        <v>63</v>
      </c>
      <c r="BE623" s="604" t="s">
        <v>447</v>
      </c>
      <c r="BF623" s="604" t="s">
        <v>63</v>
      </c>
      <c r="BG623" s="604">
        <v>1</v>
      </c>
      <c r="BH623" s="604" t="s">
        <v>445</v>
      </c>
      <c r="BY623" s="553" t="str">
        <f t="shared" si="88"/>
        <v>2010AucklanddhbSIDS</v>
      </c>
      <c r="BZ623" s="604">
        <v>2010</v>
      </c>
      <c r="CA623" s="604" t="s">
        <v>87</v>
      </c>
      <c r="CB623" s="604" t="s">
        <v>448</v>
      </c>
      <c r="CC623" s="604">
        <v>1</v>
      </c>
      <c r="CD623" s="604" t="s">
        <v>32</v>
      </c>
      <c r="CF623" s="559" t="str">
        <f t="shared" si="89"/>
        <v>5yearsMaoriQuin 5depSUDI</v>
      </c>
      <c r="CG623" s="604" t="s">
        <v>475</v>
      </c>
      <c r="CH623" s="604" t="s">
        <v>129</v>
      </c>
      <c r="CI623" s="604" t="s">
        <v>425</v>
      </c>
      <c r="CJ623" s="604" t="s">
        <v>454</v>
      </c>
      <c r="CK623" s="604">
        <v>71</v>
      </c>
      <c r="CL623" s="604" t="s">
        <v>33</v>
      </c>
    </row>
    <row r="624" spans="9:90">
      <c r="I624" s="578" t="str">
        <f t="shared" si="82"/>
        <v>2001gest37-41Fetal</v>
      </c>
      <c r="J624" s="604">
        <v>2001</v>
      </c>
      <c r="K624" s="604" t="s">
        <v>450</v>
      </c>
      <c r="L624" s="604" t="s">
        <v>137</v>
      </c>
      <c r="M624" s="604">
        <v>95</v>
      </c>
      <c r="N624" s="604">
        <v>50325</v>
      </c>
      <c r="O624" s="604">
        <v>1.9</v>
      </c>
      <c r="P624" s="604" t="s">
        <v>47</v>
      </c>
      <c r="Q624" s="499"/>
      <c r="R624" s="502" t="str">
        <f t="shared" si="83"/>
        <v>2012birthsdhbCapital &amp; Coast</v>
      </c>
      <c r="S624" s="604">
        <v>2012</v>
      </c>
      <c r="T624" s="604" t="s">
        <v>445</v>
      </c>
      <c r="U624" s="604" t="s">
        <v>448</v>
      </c>
      <c r="V624" s="604" t="s">
        <v>96</v>
      </c>
      <c r="W624" s="604">
        <v>3833</v>
      </c>
      <c r="Y624" s="535" t="str">
        <f t="shared" si="84"/>
        <v>2016bwtgestUnknown42+fetal</v>
      </c>
      <c r="Z624" s="604">
        <v>2016</v>
      </c>
      <c r="AA624" s="604" t="s">
        <v>447</v>
      </c>
      <c r="AB624" s="604" t="s">
        <v>450</v>
      </c>
      <c r="AC624" s="604" t="s">
        <v>63</v>
      </c>
      <c r="AD624" s="604" t="s">
        <v>138</v>
      </c>
      <c r="AE624" s="604">
        <v>0</v>
      </c>
      <c r="AF624" s="604">
        <v>1</v>
      </c>
      <c r="AG624" s="604" t="s">
        <v>119</v>
      </c>
      <c r="AH624" s="604" t="s">
        <v>420</v>
      </c>
      <c r="AJ624" s="535" t="str">
        <f t="shared" si="85"/>
        <v>2016bwtgestUnknown42+</v>
      </c>
      <c r="AK624" s="604">
        <v>2016</v>
      </c>
      <c r="AL624" s="604" t="s">
        <v>447</v>
      </c>
      <c r="AM624" s="604" t="s">
        <v>450</v>
      </c>
      <c r="AN624" s="604" t="s">
        <v>63</v>
      </c>
      <c r="AO624" s="604" t="s">
        <v>138</v>
      </c>
      <c r="AP624" s="604">
        <v>1</v>
      </c>
      <c r="AR624" s="538" t="str">
        <f t="shared" si="86"/>
        <v>42+gestfetalCanterbury</v>
      </c>
      <c r="AS624" s="604">
        <v>2016</v>
      </c>
      <c r="AT624" s="604" t="s">
        <v>138</v>
      </c>
      <c r="AU624" s="604" t="s">
        <v>450</v>
      </c>
      <c r="AV624" s="604" t="s">
        <v>101</v>
      </c>
      <c r="AW624" s="604">
        <v>0</v>
      </c>
      <c r="AX624" s="604">
        <v>101</v>
      </c>
      <c r="AY624" s="606">
        <v>0</v>
      </c>
      <c r="AZ624" s="604" t="s">
        <v>420</v>
      </c>
      <c r="BB624" s="536" t="str">
        <f t="shared" ref="BB624:BB655" si="90">BD624&amp;BE624&amp;BH624&amp;BF624</f>
        <v>&lt;20agebirthsNew Zealand</v>
      </c>
      <c r="BC624" s="604">
        <v>2016</v>
      </c>
      <c r="BD624" s="604" t="s">
        <v>339</v>
      </c>
      <c r="BE624" s="604" t="s">
        <v>453</v>
      </c>
      <c r="BF624" s="604" t="s">
        <v>16</v>
      </c>
      <c r="BG624" s="604">
        <v>2559</v>
      </c>
      <c r="BH624" s="604" t="s">
        <v>445</v>
      </c>
      <c r="BY624" s="553" t="str">
        <f t="shared" si="88"/>
        <v>2010Counties ManukaudhbSIDS</v>
      </c>
      <c r="BZ624" s="604">
        <v>2010</v>
      </c>
      <c r="CA624" s="604" t="s">
        <v>88</v>
      </c>
      <c r="CB624" s="604" t="s">
        <v>448</v>
      </c>
      <c r="CC624" s="604">
        <v>4</v>
      </c>
      <c r="CD624" s="604" t="s">
        <v>32</v>
      </c>
      <c r="CF624" s="559" t="str">
        <f t="shared" si="89"/>
        <v>5yearsPacific peoplesQuin 5depSUDI</v>
      </c>
      <c r="CG624" s="604" t="s">
        <v>475</v>
      </c>
      <c r="CH624" s="604" t="s">
        <v>320</v>
      </c>
      <c r="CI624" s="604" t="s">
        <v>425</v>
      </c>
      <c r="CJ624" s="604" t="s">
        <v>454</v>
      </c>
      <c r="CK624" s="604">
        <v>32</v>
      </c>
      <c r="CL624" s="604" t="s">
        <v>33</v>
      </c>
    </row>
    <row r="625" spans="9:90">
      <c r="I625" s="578" t="str">
        <f t="shared" si="82"/>
        <v>2001gest42+Fetal</v>
      </c>
      <c r="J625" s="604">
        <v>2001</v>
      </c>
      <c r="K625" s="604" t="s">
        <v>450</v>
      </c>
      <c r="L625" s="604" t="s">
        <v>138</v>
      </c>
      <c r="M625" s="604">
        <v>2</v>
      </c>
      <c r="N625" s="604">
        <v>1740</v>
      </c>
      <c r="O625" s="604">
        <v>1.1000000000000001</v>
      </c>
      <c r="P625" s="604" t="s">
        <v>47</v>
      </c>
      <c r="Q625" s="499"/>
      <c r="R625" s="502" t="str">
        <f t="shared" si="83"/>
        <v>2012birthsdhbHutt Valley</v>
      </c>
      <c r="S625" s="604">
        <v>2012</v>
      </c>
      <c r="T625" s="604" t="s">
        <v>445</v>
      </c>
      <c r="U625" s="604" t="s">
        <v>448</v>
      </c>
      <c r="V625" s="604" t="s">
        <v>97</v>
      </c>
      <c r="W625" s="604">
        <v>2041</v>
      </c>
      <c r="Y625" s="535" t="str">
        <f t="shared" si="84"/>
        <v>2016bwtgest1500-2499Unknownfetal</v>
      </c>
      <c r="Z625" s="604">
        <v>2016</v>
      </c>
      <c r="AA625" s="604" t="s">
        <v>447</v>
      </c>
      <c r="AB625" s="604" t="s">
        <v>450</v>
      </c>
      <c r="AC625" s="604" t="s">
        <v>430</v>
      </c>
      <c r="AD625" s="604" t="s">
        <v>63</v>
      </c>
      <c r="AE625" s="604">
        <v>0</v>
      </c>
      <c r="AF625" s="604">
        <v>1</v>
      </c>
      <c r="AG625" s="604" t="s">
        <v>119</v>
      </c>
      <c r="AH625" s="604" t="s">
        <v>420</v>
      </c>
      <c r="AJ625" s="535" t="str">
        <f t="shared" si="85"/>
        <v>2016bwtgest1500-2499Unknown</v>
      </c>
      <c r="AK625" s="604">
        <v>2016</v>
      </c>
      <c r="AL625" s="604" t="s">
        <v>447</v>
      </c>
      <c r="AM625" s="604" t="s">
        <v>450</v>
      </c>
      <c r="AN625" s="604" t="s">
        <v>430</v>
      </c>
      <c r="AO625" s="604" t="s">
        <v>63</v>
      </c>
      <c r="AP625" s="604">
        <v>1</v>
      </c>
      <c r="AR625" s="538" t="str">
        <f t="shared" si="86"/>
        <v>28-31gestfetalSouth Canterbury</v>
      </c>
      <c r="AS625" s="604">
        <v>2016</v>
      </c>
      <c r="AT625" s="604" t="s">
        <v>395</v>
      </c>
      <c r="AU625" s="604" t="s">
        <v>450</v>
      </c>
      <c r="AV625" s="604" t="s">
        <v>102</v>
      </c>
      <c r="AW625" s="604">
        <v>0</v>
      </c>
      <c r="AX625" s="604">
        <v>3</v>
      </c>
      <c r="AY625" s="606">
        <v>0</v>
      </c>
      <c r="AZ625" s="604" t="s">
        <v>420</v>
      </c>
      <c r="BB625" s="536" t="str">
        <f t="shared" si="90"/>
        <v>20-24agebirthsNew Zealand</v>
      </c>
      <c r="BC625" s="604">
        <v>2016</v>
      </c>
      <c r="BD625" s="604" t="s">
        <v>130</v>
      </c>
      <c r="BE625" s="604" t="s">
        <v>453</v>
      </c>
      <c r="BF625" s="604" t="s">
        <v>16</v>
      </c>
      <c r="BG625" s="604">
        <v>9934</v>
      </c>
      <c r="BH625" s="604" t="s">
        <v>445</v>
      </c>
      <c r="BY625" s="553" t="str">
        <f t="shared" si="88"/>
        <v>2010WaikatodhbSIDS</v>
      </c>
      <c r="BZ625" s="604">
        <v>2010</v>
      </c>
      <c r="CA625" s="604" t="s">
        <v>89</v>
      </c>
      <c r="CB625" s="604" t="s">
        <v>448</v>
      </c>
      <c r="CC625" s="604">
        <v>2</v>
      </c>
      <c r="CD625" s="604" t="s">
        <v>32</v>
      </c>
      <c r="CF625" s="559" t="str">
        <f t="shared" si="89"/>
        <v>5yearsAsianQuin 9depSUDI</v>
      </c>
      <c r="CG625" s="604" t="s">
        <v>475</v>
      </c>
      <c r="CH625" s="604" t="s">
        <v>355</v>
      </c>
      <c r="CI625" s="604" t="s">
        <v>426</v>
      </c>
      <c r="CJ625" s="604" t="s">
        <v>454</v>
      </c>
      <c r="CK625" s="604">
        <v>0</v>
      </c>
      <c r="CL625" s="604" t="s">
        <v>33</v>
      </c>
    </row>
    <row r="626" spans="9:90">
      <c r="I626" s="578" t="str">
        <f t="shared" si="82"/>
        <v>2001gestUnknownFetal</v>
      </c>
      <c r="J626" s="604">
        <v>2001</v>
      </c>
      <c r="K626" s="604" t="s">
        <v>450</v>
      </c>
      <c r="L626" s="604" t="s">
        <v>63</v>
      </c>
      <c r="M626" s="604">
        <v>0</v>
      </c>
      <c r="N626" s="604">
        <v>56</v>
      </c>
      <c r="O626" s="604" t="s">
        <v>119</v>
      </c>
      <c r="P626" s="604" t="s">
        <v>47</v>
      </c>
      <c r="Q626" s="499"/>
      <c r="R626" s="502" t="str">
        <f t="shared" si="83"/>
        <v>2012birthsdhbWairarapa</v>
      </c>
      <c r="S626" s="604">
        <v>2012</v>
      </c>
      <c r="T626" s="604" t="s">
        <v>445</v>
      </c>
      <c r="U626" s="604" t="s">
        <v>448</v>
      </c>
      <c r="V626" s="604" t="s">
        <v>98</v>
      </c>
      <c r="W626" s="604">
        <v>513</v>
      </c>
      <c r="Y626" s="535" t="str">
        <f t="shared" si="84"/>
        <v>2016bwtgest2500-4499Unknownfetal</v>
      </c>
      <c r="Z626" s="604">
        <v>2016</v>
      </c>
      <c r="AA626" s="604" t="s">
        <v>447</v>
      </c>
      <c r="AB626" s="604" t="s">
        <v>450</v>
      </c>
      <c r="AC626" s="604" t="s">
        <v>431</v>
      </c>
      <c r="AD626" s="604" t="s">
        <v>63</v>
      </c>
      <c r="AE626" s="604">
        <v>1</v>
      </c>
      <c r="AF626" s="604">
        <v>17</v>
      </c>
      <c r="AG626" s="604" t="s">
        <v>119</v>
      </c>
      <c r="AH626" s="604" t="s">
        <v>420</v>
      </c>
      <c r="AJ626" s="535" t="str">
        <f t="shared" si="85"/>
        <v>2016bwtgest2500-4499Unknown</v>
      </c>
      <c r="AK626" s="604">
        <v>2016</v>
      </c>
      <c r="AL626" s="604" t="s">
        <v>447</v>
      </c>
      <c r="AM626" s="604" t="s">
        <v>450</v>
      </c>
      <c r="AN626" s="604" t="s">
        <v>431</v>
      </c>
      <c r="AO626" s="604" t="s">
        <v>63</v>
      </c>
      <c r="AP626" s="604">
        <v>17</v>
      </c>
      <c r="AR626" s="538" t="str">
        <f t="shared" si="86"/>
        <v>37-41gestfetalSouth Canterbury</v>
      </c>
      <c r="AS626" s="604">
        <v>2016</v>
      </c>
      <c r="AT626" s="604" t="s">
        <v>137</v>
      </c>
      <c r="AU626" s="604" t="s">
        <v>450</v>
      </c>
      <c r="AV626" s="604" t="s">
        <v>102</v>
      </c>
      <c r="AW626" s="604">
        <v>0</v>
      </c>
      <c r="AX626" s="604">
        <v>577</v>
      </c>
      <c r="AY626" s="606">
        <v>0</v>
      </c>
      <c r="AZ626" s="604" t="s">
        <v>420</v>
      </c>
      <c r="BB626" s="536" t="str">
        <f t="shared" si="90"/>
        <v>25-29agebirthsNew Zealand</v>
      </c>
      <c r="BC626" s="604">
        <v>2016</v>
      </c>
      <c r="BD626" s="604" t="s">
        <v>131</v>
      </c>
      <c r="BE626" s="604" t="s">
        <v>453</v>
      </c>
      <c r="BF626" s="604" t="s">
        <v>16</v>
      </c>
      <c r="BG626" s="604">
        <v>16664</v>
      </c>
      <c r="BH626" s="604" t="s">
        <v>445</v>
      </c>
      <c r="BY626" s="553" t="str">
        <f t="shared" si="88"/>
        <v>2010LakesdhbSIDS</v>
      </c>
      <c r="BZ626" s="604">
        <v>2010</v>
      </c>
      <c r="CA626" s="604" t="s">
        <v>90</v>
      </c>
      <c r="CB626" s="604" t="s">
        <v>448</v>
      </c>
      <c r="CC626" s="604">
        <v>1</v>
      </c>
      <c r="CD626" s="604" t="s">
        <v>32</v>
      </c>
      <c r="CF626" s="559" t="str">
        <f t="shared" si="89"/>
        <v>5yearsEuropean or OtherQuin 9depSUDI</v>
      </c>
      <c r="CG626" s="604" t="s">
        <v>475</v>
      </c>
      <c r="CH626" s="604" t="s">
        <v>356</v>
      </c>
      <c r="CI626" s="604" t="s">
        <v>426</v>
      </c>
      <c r="CJ626" s="604" t="s">
        <v>454</v>
      </c>
      <c r="CK626" s="604">
        <v>1</v>
      </c>
      <c r="CL626" s="604" t="s">
        <v>33</v>
      </c>
    </row>
    <row r="627" spans="9:90">
      <c r="I627" s="578" t="str">
        <f t="shared" si="82"/>
        <v>2002gest&lt;28Fetal</v>
      </c>
      <c r="J627" s="604">
        <v>2002</v>
      </c>
      <c r="K627" s="604" t="s">
        <v>450</v>
      </c>
      <c r="L627" s="604" t="s">
        <v>375</v>
      </c>
      <c r="M627" s="604">
        <v>221</v>
      </c>
      <c r="N627" s="604">
        <v>547</v>
      </c>
      <c r="O627" s="604">
        <v>404</v>
      </c>
      <c r="P627" s="604" t="s">
        <v>47</v>
      </c>
      <c r="Q627" s="499"/>
      <c r="R627" s="502" t="str">
        <f t="shared" si="83"/>
        <v>2012birthsdhbNelson Marlborough</v>
      </c>
      <c r="S627" s="604">
        <v>2012</v>
      </c>
      <c r="T627" s="604" t="s">
        <v>445</v>
      </c>
      <c r="U627" s="604" t="s">
        <v>448</v>
      </c>
      <c r="V627" s="604" t="s">
        <v>99</v>
      </c>
      <c r="W627" s="604">
        <v>1541</v>
      </c>
      <c r="Y627" s="535" t="str">
        <f t="shared" si="84"/>
        <v>2016bwtgestUnknownUnknownfetal</v>
      </c>
      <c r="Z627" s="604">
        <v>2016</v>
      </c>
      <c r="AA627" s="604" t="s">
        <v>447</v>
      </c>
      <c r="AB627" s="604" t="s">
        <v>450</v>
      </c>
      <c r="AC627" s="604" t="s">
        <v>63</v>
      </c>
      <c r="AD627" s="604" t="s">
        <v>63</v>
      </c>
      <c r="AE627" s="604">
        <v>4</v>
      </c>
      <c r="AF627" s="604">
        <v>11</v>
      </c>
      <c r="AG627" s="604" t="s">
        <v>119</v>
      </c>
      <c r="AH627" s="604" t="s">
        <v>420</v>
      </c>
      <c r="AJ627" s="535" t="str">
        <f t="shared" si="85"/>
        <v>2016bwtgestUnknownUnknown</v>
      </c>
      <c r="AK627" s="604">
        <v>2016</v>
      </c>
      <c r="AL627" s="604" t="s">
        <v>447</v>
      </c>
      <c r="AM627" s="604" t="s">
        <v>450</v>
      </c>
      <c r="AN627" s="604" t="s">
        <v>63</v>
      </c>
      <c r="AO627" s="604" t="s">
        <v>63</v>
      </c>
      <c r="AP627" s="604">
        <v>11</v>
      </c>
      <c r="AR627" s="538" t="str">
        <f t="shared" si="86"/>
        <v>42+gestfetalSouth Canterbury</v>
      </c>
      <c r="AS627" s="604">
        <v>2016</v>
      </c>
      <c r="AT627" s="604" t="s">
        <v>138</v>
      </c>
      <c r="AU627" s="604" t="s">
        <v>450</v>
      </c>
      <c r="AV627" s="604" t="s">
        <v>102</v>
      </c>
      <c r="AW627" s="604">
        <v>0</v>
      </c>
      <c r="AX627" s="604">
        <v>8</v>
      </c>
      <c r="AY627" s="606">
        <v>0</v>
      </c>
      <c r="AZ627" s="604" t="s">
        <v>420</v>
      </c>
      <c r="BB627" s="536" t="str">
        <f t="shared" si="90"/>
        <v>30-34agebirthsNew Zealand</v>
      </c>
      <c r="BC627" s="604">
        <v>2016</v>
      </c>
      <c r="BD627" s="604" t="s">
        <v>132</v>
      </c>
      <c r="BE627" s="604" t="s">
        <v>453</v>
      </c>
      <c r="BF627" s="604" t="s">
        <v>16</v>
      </c>
      <c r="BG627" s="604">
        <v>18720</v>
      </c>
      <c r="BH627" s="604" t="s">
        <v>445</v>
      </c>
      <c r="BY627" s="553" t="str">
        <f t="shared" si="88"/>
        <v>2010Bay of PlentydhbSIDS</v>
      </c>
      <c r="BZ627" s="604">
        <v>2010</v>
      </c>
      <c r="CA627" s="604" t="s">
        <v>91</v>
      </c>
      <c r="CB627" s="604" t="s">
        <v>448</v>
      </c>
      <c r="CC627" s="604">
        <v>1</v>
      </c>
      <c r="CD627" s="604" t="s">
        <v>32</v>
      </c>
      <c r="CF627" s="559" t="str">
        <f t="shared" si="89"/>
        <v>5yearsMaoriQuin 9depSUDI</v>
      </c>
      <c r="CG627" s="604" t="s">
        <v>475</v>
      </c>
      <c r="CH627" s="604" t="s">
        <v>129</v>
      </c>
      <c r="CI627" s="604" t="s">
        <v>426</v>
      </c>
      <c r="CJ627" s="604" t="s">
        <v>454</v>
      </c>
      <c r="CK627" s="604">
        <v>1</v>
      </c>
      <c r="CL627" s="604" t="s">
        <v>33</v>
      </c>
    </row>
    <row r="628" spans="9:90">
      <c r="I628" s="578" t="str">
        <f t="shared" si="82"/>
        <v>2002gest28-31Fetal</v>
      </c>
      <c r="J628" s="604">
        <v>2002</v>
      </c>
      <c r="K628" s="604" t="s">
        <v>450</v>
      </c>
      <c r="L628" s="604" t="s">
        <v>395</v>
      </c>
      <c r="M628" s="604">
        <v>30</v>
      </c>
      <c r="N628" s="604">
        <v>463</v>
      </c>
      <c r="O628" s="604">
        <v>64.8</v>
      </c>
      <c r="P628" s="604" t="s">
        <v>47</v>
      </c>
      <c r="Q628" s="499"/>
      <c r="R628" s="502" t="str">
        <f t="shared" si="83"/>
        <v>2012birthsdhbWest Coast</v>
      </c>
      <c r="S628" s="604">
        <v>2012</v>
      </c>
      <c r="T628" s="604" t="s">
        <v>445</v>
      </c>
      <c r="U628" s="604" t="s">
        <v>448</v>
      </c>
      <c r="V628" s="604" t="s">
        <v>100</v>
      </c>
      <c r="W628" s="604">
        <v>419</v>
      </c>
      <c r="Y628" s="535" t="str">
        <f t="shared" si="84"/>
        <v>2016agegest&lt;20&lt;28fetal</v>
      </c>
      <c r="Z628" s="604">
        <v>2016</v>
      </c>
      <c r="AA628" s="604" t="s">
        <v>453</v>
      </c>
      <c r="AB628" s="604" t="s">
        <v>450</v>
      </c>
      <c r="AC628" s="604" t="s">
        <v>339</v>
      </c>
      <c r="AD628" s="604" t="s">
        <v>375</v>
      </c>
      <c r="AE628" s="604">
        <v>20</v>
      </c>
      <c r="AF628" s="604">
        <v>22</v>
      </c>
      <c r="AG628" s="604">
        <v>476.2</v>
      </c>
      <c r="AH628" s="604" t="s">
        <v>420</v>
      </c>
      <c r="AJ628" s="535" t="str">
        <f t="shared" si="85"/>
        <v>2016agegest&lt;20&lt;28</v>
      </c>
      <c r="AK628" s="604">
        <v>2016</v>
      </c>
      <c r="AL628" s="604" t="s">
        <v>453</v>
      </c>
      <c r="AM628" s="604" t="s">
        <v>450</v>
      </c>
      <c r="AN628" s="604" t="s">
        <v>339</v>
      </c>
      <c r="AO628" s="604" t="s">
        <v>375</v>
      </c>
      <c r="AP628" s="604">
        <v>22</v>
      </c>
      <c r="AR628" s="538" t="str">
        <f t="shared" si="86"/>
        <v>42+gestfetalSouthern</v>
      </c>
      <c r="AS628" s="604">
        <v>2016</v>
      </c>
      <c r="AT628" s="604" t="s">
        <v>138</v>
      </c>
      <c r="AU628" s="604" t="s">
        <v>450</v>
      </c>
      <c r="AV628" s="604" t="s">
        <v>103</v>
      </c>
      <c r="AW628" s="604">
        <v>0</v>
      </c>
      <c r="AX628" s="604">
        <v>40</v>
      </c>
      <c r="AY628" s="606">
        <v>0</v>
      </c>
      <c r="AZ628" s="604" t="s">
        <v>420</v>
      </c>
      <c r="BB628" s="536" t="str">
        <f t="shared" si="90"/>
        <v>35-39agebirthsNew Zealand</v>
      </c>
      <c r="BC628" s="604">
        <v>2016</v>
      </c>
      <c r="BD628" s="604" t="s">
        <v>133</v>
      </c>
      <c r="BE628" s="604" t="s">
        <v>453</v>
      </c>
      <c r="BF628" s="604" t="s">
        <v>16</v>
      </c>
      <c r="BG628" s="604">
        <v>10105</v>
      </c>
      <c r="BH628" s="604" t="s">
        <v>445</v>
      </c>
      <c r="BY628" s="553" t="str">
        <f t="shared" si="88"/>
        <v>2010TairawhitidhbSIDS</v>
      </c>
      <c r="BZ628" s="604">
        <v>2010</v>
      </c>
      <c r="CA628" s="604" t="s">
        <v>433</v>
      </c>
      <c r="CB628" s="604" t="s">
        <v>448</v>
      </c>
      <c r="CC628" s="604">
        <v>0</v>
      </c>
      <c r="CD628" s="604" t="s">
        <v>32</v>
      </c>
      <c r="CF628" s="559" t="str">
        <f t="shared" si="89"/>
        <v>5yearsPacific peoplesQuin 9depSUDI</v>
      </c>
      <c r="CG628" s="604" t="s">
        <v>475</v>
      </c>
      <c r="CH628" s="604" t="s">
        <v>320</v>
      </c>
      <c r="CI628" s="604" t="s">
        <v>426</v>
      </c>
      <c r="CJ628" s="604" t="s">
        <v>454</v>
      </c>
      <c r="CK628" s="604">
        <v>0</v>
      </c>
      <c r="CL628" s="604" t="s">
        <v>33</v>
      </c>
    </row>
    <row r="629" spans="9:90">
      <c r="I629" s="578" t="str">
        <f t="shared" si="82"/>
        <v>2002gest32-36Fetal</v>
      </c>
      <c r="J629" s="604">
        <v>2002</v>
      </c>
      <c r="K629" s="604" t="s">
        <v>450</v>
      </c>
      <c r="L629" s="604" t="s">
        <v>136</v>
      </c>
      <c r="M629" s="604">
        <v>48</v>
      </c>
      <c r="N629" s="604">
        <v>3358</v>
      </c>
      <c r="O629" s="604">
        <v>14.3</v>
      </c>
      <c r="P629" s="604" t="s">
        <v>47</v>
      </c>
      <c r="Q629" s="499"/>
      <c r="R629" s="502" t="str">
        <f t="shared" si="83"/>
        <v>2012birthsdhbCanterbury</v>
      </c>
      <c r="S629" s="604">
        <v>2012</v>
      </c>
      <c r="T629" s="604" t="s">
        <v>445</v>
      </c>
      <c r="U629" s="604" t="s">
        <v>448</v>
      </c>
      <c r="V629" s="604" t="s">
        <v>101</v>
      </c>
      <c r="W629" s="604">
        <v>6041</v>
      </c>
      <c r="Y629" s="535" t="str">
        <f t="shared" si="84"/>
        <v>2016agegest20-24&lt;28fetal</v>
      </c>
      <c r="Z629" s="604">
        <v>2016</v>
      </c>
      <c r="AA629" s="604" t="s">
        <v>453</v>
      </c>
      <c r="AB629" s="604" t="s">
        <v>450</v>
      </c>
      <c r="AC629" s="604" t="s">
        <v>130</v>
      </c>
      <c r="AD629" s="604" t="s">
        <v>375</v>
      </c>
      <c r="AE629" s="604">
        <v>32</v>
      </c>
      <c r="AF629" s="604">
        <v>51</v>
      </c>
      <c r="AG629" s="604">
        <v>385.5</v>
      </c>
      <c r="AH629" s="604" t="s">
        <v>420</v>
      </c>
      <c r="AJ629" s="535" t="str">
        <f t="shared" si="85"/>
        <v>2016agegest20-24&lt;28</v>
      </c>
      <c r="AK629" s="604">
        <v>2016</v>
      </c>
      <c r="AL629" s="604" t="s">
        <v>453</v>
      </c>
      <c r="AM629" s="604" t="s">
        <v>450</v>
      </c>
      <c r="AN629" s="604" t="s">
        <v>130</v>
      </c>
      <c r="AO629" s="604" t="s">
        <v>375</v>
      </c>
      <c r="AP629" s="604">
        <v>51</v>
      </c>
      <c r="AR629" s="538" t="str">
        <f t="shared" si="86"/>
        <v>UnknowngestfetalSouthern</v>
      </c>
      <c r="AS629" s="604">
        <v>2016</v>
      </c>
      <c r="AT629" s="604" t="s">
        <v>63</v>
      </c>
      <c r="AU629" s="604" t="s">
        <v>450</v>
      </c>
      <c r="AV629" s="604" t="s">
        <v>103</v>
      </c>
      <c r="AW629" s="604">
        <v>0</v>
      </c>
      <c r="AX629" s="604">
        <v>1</v>
      </c>
      <c r="AY629" s="606" t="s">
        <v>119</v>
      </c>
      <c r="AZ629" s="604" t="s">
        <v>420</v>
      </c>
      <c r="BB629" s="536" t="str">
        <f t="shared" si="90"/>
        <v>40+agebirthsNew Zealand</v>
      </c>
      <c r="BC629" s="604">
        <v>2016</v>
      </c>
      <c r="BD629" s="604" t="s">
        <v>134</v>
      </c>
      <c r="BE629" s="604" t="s">
        <v>453</v>
      </c>
      <c r="BF629" s="604" t="s">
        <v>16</v>
      </c>
      <c r="BG629" s="604">
        <v>2454</v>
      </c>
      <c r="BH629" s="604" t="s">
        <v>445</v>
      </c>
      <c r="BY629" s="553" t="str">
        <f t="shared" si="88"/>
        <v>2010Hawke's BaydhbSIDS</v>
      </c>
      <c r="BZ629" s="604">
        <v>2010</v>
      </c>
      <c r="CA629" s="604" t="s">
        <v>92</v>
      </c>
      <c r="CB629" s="604" t="s">
        <v>448</v>
      </c>
      <c r="CC629" s="604">
        <v>2</v>
      </c>
      <c r="CD629" s="604" t="s">
        <v>32</v>
      </c>
      <c r="CF629" s="559" t="str">
        <f t="shared" si="89"/>
        <v>5yearsAsianNorthlanddhbSUDI</v>
      </c>
      <c r="CG629" s="604" t="s">
        <v>475</v>
      </c>
      <c r="CH629" s="604" t="s">
        <v>355</v>
      </c>
      <c r="CI629" s="604" t="s">
        <v>85</v>
      </c>
      <c r="CJ629" s="604" t="s">
        <v>448</v>
      </c>
      <c r="CK629" s="604">
        <v>0</v>
      </c>
      <c r="CL629" s="604" t="s">
        <v>33</v>
      </c>
    </row>
    <row r="630" spans="9:90">
      <c r="I630" s="578" t="str">
        <f t="shared" si="82"/>
        <v>2002gest37-41Fetal</v>
      </c>
      <c r="J630" s="604">
        <v>2002</v>
      </c>
      <c r="K630" s="604" t="s">
        <v>450</v>
      </c>
      <c r="L630" s="604" t="s">
        <v>137</v>
      </c>
      <c r="M630" s="604">
        <v>86</v>
      </c>
      <c r="N630" s="604">
        <v>48862</v>
      </c>
      <c r="O630" s="604">
        <v>1.8</v>
      </c>
      <c r="P630" s="604" t="s">
        <v>47</v>
      </c>
      <c r="Q630" s="499"/>
      <c r="R630" s="502" t="str">
        <f t="shared" si="83"/>
        <v>2012birthsdhbSouth Canterbury</v>
      </c>
      <c r="S630" s="604">
        <v>2012</v>
      </c>
      <c r="T630" s="604" t="s">
        <v>445</v>
      </c>
      <c r="U630" s="604" t="s">
        <v>448</v>
      </c>
      <c r="V630" s="604" t="s">
        <v>102</v>
      </c>
      <c r="W630" s="604">
        <v>626</v>
      </c>
      <c r="Y630" s="535" t="str">
        <f t="shared" si="84"/>
        <v>2016agegest25-29&lt;28fetal</v>
      </c>
      <c r="Z630" s="604">
        <v>2016</v>
      </c>
      <c r="AA630" s="604" t="s">
        <v>453</v>
      </c>
      <c r="AB630" s="604" t="s">
        <v>450</v>
      </c>
      <c r="AC630" s="604" t="s">
        <v>131</v>
      </c>
      <c r="AD630" s="604" t="s">
        <v>375</v>
      </c>
      <c r="AE630" s="604">
        <v>66</v>
      </c>
      <c r="AF630" s="604">
        <v>66</v>
      </c>
      <c r="AG630" s="604">
        <v>500</v>
      </c>
      <c r="AH630" s="604" t="s">
        <v>420</v>
      </c>
      <c r="AJ630" s="535" t="str">
        <f t="shared" si="85"/>
        <v>2016agegest25-29&lt;28</v>
      </c>
      <c r="AK630" s="604">
        <v>2016</v>
      </c>
      <c r="AL630" s="604" t="s">
        <v>453</v>
      </c>
      <c r="AM630" s="604" t="s">
        <v>450</v>
      </c>
      <c r="AN630" s="604" t="s">
        <v>131</v>
      </c>
      <c r="AO630" s="604" t="s">
        <v>375</v>
      </c>
      <c r="AP630" s="604">
        <v>66</v>
      </c>
      <c r="AR630" s="538" t="str">
        <f t="shared" si="86"/>
        <v>37-41gestfetalUnknown</v>
      </c>
      <c r="AS630" s="604">
        <v>2016</v>
      </c>
      <c r="AT630" s="604" t="s">
        <v>137</v>
      </c>
      <c r="AU630" s="604" t="s">
        <v>450</v>
      </c>
      <c r="AV630" s="604" t="s">
        <v>63</v>
      </c>
      <c r="AW630" s="604">
        <v>0</v>
      </c>
      <c r="AX630" s="604">
        <v>112</v>
      </c>
      <c r="AY630" s="606" t="s">
        <v>119</v>
      </c>
      <c r="AZ630" s="604" t="s">
        <v>420</v>
      </c>
      <c r="BB630" s="536" t="str">
        <f t="shared" si="90"/>
        <v>MaoriethbirthsNew Zealand</v>
      </c>
      <c r="BC630" s="604">
        <v>2016</v>
      </c>
      <c r="BD630" s="604" t="s">
        <v>129</v>
      </c>
      <c r="BE630" s="604" t="s">
        <v>449</v>
      </c>
      <c r="BF630" s="604" t="s">
        <v>16</v>
      </c>
      <c r="BG630" s="604">
        <v>17329</v>
      </c>
      <c r="BH630" s="604" t="s">
        <v>445</v>
      </c>
      <c r="BY630" s="553" t="str">
        <f t="shared" si="88"/>
        <v>2010TaranakidhbSIDS</v>
      </c>
      <c r="BZ630" s="604">
        <v>2010</v>
      </c>
      <c r="CA630" s="604" t="s">
        <v>93</v>
      </c>
      <c r="CB630" s="604" t="s">
        <v>448</v>
      </c>
      <c r="CC630" s="604">
        <v>0</v>
      </c>
      <c r="CD630" s="604" t="s">
        <v>32</v>
      </c>
      <c r="CF630" s="559" t="str">
        <f t="shared" si="89"/>
        <v>5yearsEuropean or OtherNorthlanddhbSUDI</v>
      </c>
      <c r="CG630" s="604" t="s">
        <v>475</v>
      </c>
      <c r="CH630" s="604" t="s">
        <v>356</v>
      </c>
      <c r="CI630" s="604" t="s">
        <v>85</v>
      </c>
      <c r="CJ630" s="604" t="s">
        <v>448</v>
      </c>
      <c r="CK630" s="604">
        <v>2</v>
      </c>
      <c r="CL630" s="604" t="s">
        <v>33</v>
      </c>
    </row>
    <row r="631" spans="9:90">
      <c r="I631" s="578" t="str">
        <f t="shared" si="82"/>
        <v>2002gest42+Fetal</v>
      </c>
      <c r="J631" s="604">
        <v>2002</v>
      </c>
      <c r="K631" s="604" t="s">
        <v>450</v>
      </c>
      <c r="L631" s="604" t="s">
        <v>138</v>
      </c>
      <c r="M631" s="604">
        <v>4</v>
      </c>
      <c r="N631" s="604">
        <v>1610</v>
      </c>
      <c r="O631" s="604">
        <v>2.5</v>
      </c>
      <c r="P631" s="604" t="s">
        <v>47</v>
      </c>
      <c r="Q631" s="499"/>
      <c r="R631" s="502" t="str">
        <f t="shared" si="83"/>
        <v>2012birthsdhbSouthern</v>
      </c>
      <c r="S631" s="604">
        <v>2012</v>
      </c>
      <c r="T631" s="604" t="s">
        <v>445</v>
      </c>
      <c r="U631" s="604" t="s">
        <v>448</v>
      </c>
      <c r="V631" s="604" t="s">
        <v>103</v>
      </c>
      <c r="W631" s="604">
        <v>3620</v>
      </c>
      <c r="Y631" s="535" t="str">
        <f t="shared" si="84"/>
        <v>2016agegest30-34&lt;28fetal</v>
      </c>
      <c r="Z631" s="604">
        <v>2016</v>
      </c>
      <c r="AA631" s="604" t="s">
        <v>453</v>
      </c>
      <c r="AB631" s="604" t="s">
        <v>450</v>
      </c>
      <c r="AC631" s="604" t="s">
        <v>132</v>
      </c>
      <c r="AD631" s="604" t="s">
        <v>375</v>
      </c>
      <c r="AE631" s="604">
        <v>64</v>
      </c>
      <c r="AF631" s="604">
        <v>61</v>
      </c>
      <c r="AG631" s="604" t="s">
        <v>119</v>
      </c>
      <c r="AH631" s="604" t="s">
        <v>420</v>
      </c>
      <c r="AJ631" s="535" t="str">
        <f t="shared" si="85"/>
        <v>2016agegest30-34&lt;28</v>
      </c>
      <c r="AK631" s="604">
        <v>2016</v>
      </c>
      <c r="AL631" s="604" t="s">
        <v>453</v>
      </c>
      <c r="AM631" s="604" t="s">
        <v>450</v>
      </c>
      <c r="AN631" s="604" t="s">
        <v>132</v>
      </c>
      <c r="AO631" s="604" t="s">
        <v>375</v>
      </c>
      <c r="AP631" s="604">
        <v>61</v>
      </c>
      <c r="AR631" s="538" t="str">
        <f t="shared" si="86"/>
        <v>42+gestfetalUnknown</v>
      </c>
      <c r="AS631" s="604">
        <v>2016</v>
      </c>
      <c r="AT631" s="604" t="s">
        <v>138</v>
      </c>
      <c r="AU631" s="604" t="s">
        <v>450</v>
      </c>
      <c r="AV631" s="604" t="s">
        <v>63</v>
      </c>
      <c r="AW631" s="604">
        <v>0</v>
      </c>
      <c r="AX631" s="604">
        <v>4</v>
      </c>
      <c r="AY631" s="606" t="s">
        <v>119</v>
      </c>
      <c r="AZ631" s="604" t="s">
        <v>420</v>
      </c>
      <c r="BB631" s="536" t="str">
        <f t="shared" si="90"/>
        <v>Pacific peoplesethbirthsNew Zealand</v>
      </c>
      <c r="BC631" s="604">
        <v>2016</v>
      </c>
      <c r="BD631" s="604" t="s">
        <v>320</v>
      </c>
      <c r="BE631" s="604" t="s">
        <v>449</v>
      </c>
      <c r="BF631" s="604" t="s">
        <v>16</v>
      </c>
      <c r="BG631" s="604">
        <v>5976</v>
      </c>
      <c r="BH631" s="604" t="s">
        <v>445</v>
      </c>
      <c r="BY631" s="553" t="str">
        <f t="shared" si="88"/>
        <v>2010MidCentraldhbSIDS</v>
      </c>
      <c r="BZ631" s="604">
        <v>2010</v>
      </c>
      <c r="CA631" s="604" t="s">
        <v>94</v>
      </c>
      <c r="CB631" s="604" t="s">
        <v>448</v>
      </c>
      <c r="CC631" s="604">
        <v>2</v>
      </c>
      <c r="CD631" s="604" t="s">
        <v>32</v>
      </c>
      <c r="CF631" s="559" t="str">
        <f t="shared" si="89"/>
        <v>5yearsMaoriNorthlanddhbSUDI</v>
      </c>
      <c r="CG631" s="604" t="s">
        <v>475</v>
      </c>
      <c r="CH631" s="604" t="s">
        <v>129</v>
      </c>
      <c r="CI631" s="604" t="s">
        <v>85</v>
      </c>
      <c r="CJ631" s="604" t="s">
        <v>448</v>
      </c>
      <c r="CK631" s="604">
        <v>9</v>
      </c>
      <c r="CL631" s="604" t="s">
        <v>33</v>
      </c>
    </row>
    <row r="632" spans="9:90">
      <c r="I632" s="578" t="str">
        <f t="shared" si="82"/>
        <v>2002gestUnknownFetal</v>
      </c>
      <c r="J632" s="604">
        <v>2002</v>
      </c>
      <c r="K632" s="604" t="s">
        <v>450</v>
      </c>
      <c r="L632" s="604" t="s">
        <v>63</v>
      </c>
      <c r="M632" s="604">
        <v>1</v>
      </c>
      <c r="N632" s="604">
        <v>65</v>
      </c>
      <c r="O632" s="604" t="s">
        <v>119</v>
      </c>
      <c r="P632" s="604" t="s">
        <v>47</v>
      </c>
      <c r="Q632" s="499"/>
      <c r="R632" s="502" t="str">
        <f t="shared" si="83"/>
        <v>2012birthsdhbUnknown</v>
      </c>
      <c r="S632" s="604">
        <v>2012</v>
      </c>
      <c r="T632" s="604" t="s">
        <v>445</v>
      </c>
      <c r="U632" s="604" t="s">
        <v>448</v>
      </c>
      <c r="V632" s="604" t="s">
        <v>63</v>
      </c>
      <c r="W632" s="604">
        <v>192</v>
      </c>
      <c r="Y632" s="535" t="str">
        <f t="shared" si="84"/>
        <v>2016agegest35-39&lt;28fetal</v>
      </c>
      <c r="Z632" s="604">
        <v>2016</v>
      </c>
      <c r="AA632" s="604" t="s">
        <v>453</v>
      </c>
      <c r="AB632" s="604" t="s">
        <v>450</v>
      </c>
      <c r="AC632" s="604" t="s">
        <v>133</v>
      </c>
      <c r="AD632" s="604" t="s">
        <v>375</v>
      </c>
      <c r="AE632" s="604">
        <v>37</v>
      </c>
      <c r="AF632" s="604">
        <v>44</v>
      </c>
      <c r="AG632" s="604">
        <v>456.8</v>
      </c>
      <c r="AH632" s="604" t="s">
        <v>420</v>
      </c>
      <c r="AJ632" s="535" t="str">
        <f t="shared" si="85"/>
        <v>2016agegest35-39&lt;28</v>
      </c>
      <c r="AK632" s="604">
        <v>2016</v>
      </c>
      <c r="AL632" s="604" t="s">
        <v>453</v>
      </c>
      <c r="AM632" s="604" t="s">
        <v>450</v>
      </c>
      <c r="AN632" s="604" t="s">
        <v>133</v>
      </c>
      <c r="AO632" s="604" t="s">
        <v>375</v>
      </c>
      <c r="AP632" s="604">
        <v>44</v>
      </c>
      <c r="AR632" s="538" t="str">
        <f t="shared" si="86"/>
        <v>UnknowngestfetalUnknown</v>
      </c>
      <c r="AS632" s="604">
        <v>2016</v>
      </c>
      <c r="AT632" s="604" t="s">
        <v>63</v>
      </c>
      <c r="AU632" s="604" t="s">
        <v>450</v>
      </c>
      <c r="AV632" s="604" t="s">
        <v>63</v>
      </c>
      <c r="AW632" s="604">
        <v>0</v>
      </c>
      <c r="AX632" s="604">
        <v>1</v>
      </c>
      <c r="AY632" s="606" t="s">
        <v>119</v>
      </c>
      <c r="AZ632" s="604" t="s">
        <v>420</v>
      </c>
      <c r="BB632" s="536" t="str">
        <f t="shared" si="90"/>
        <v>AsianethbirthsNew Zealand</v>
      </c>
      <c r="BC632" s="604">
        <v>2016</v>
      </c>
      <c r="BD632" s="604" t="s">
        <v>355</v>
      </c>
      <c r="BE632" s="604" t="s">
        <v>449</v>
      </c>
      <c r="BF632" s="604" t="s">
        <v>16</v>
      </c>
      <c r="BG632" s="604">
        <v>10902</v>
      </c>
      <c r="BH632" s="604" t="s">
        <v>445</v>
      </c>
      <c r="BY632" s="553" t="str">
        <f t="shared" si="88"/>
        <v>2010WhanganuidhbSIDS</v>
      </c>
      <c r="BZ632" s="604">
        <v>2010</v>
      </c>
      <c r="CA632" s="604" t="s">
        <v>95</v>
      </c>
      <c r="CB632" s="604" t="s">
        <v>448</v>
      </c>
      <c r="CC632" s="604">
        <v>1</v>
      </c>
      <c r="CD632" s="604" t="s">
        <v>32</v>
      </c>
      <c r="CF632" s="559" t="str">
        <f t="shared" si="89"/>
        <v>5yearsPacific peoplesNorthlanddhbSUDI</v>
      </c>
      <c r="CG632" s="604" t="s">
        <v>475</v>
      </c>
      <c r="CH632" s="604" t="s">
        <v>320</v>
      </c>
      <c r="CI632" s="604" t="s">
        <v>85</v>
      </c>
      <c r="CJ632" s="604" t="s">
        <v>448</v>
      </c>
      <c r="CK632" s="604">
        <v>0</v>
      </c>
      <c r="CL632" s="604" t="s">
        <v>33</v>
      </c>
    </row>
    <row r="633" spans="9:90">
      <c r="I633" s="578" t="str">
        <f t="shared" si="82"/>
        <v>2003gest&lt;28Fetal</v>
      </c>
      <c r="J633" s="604">
        <v>2003</v>
      </c>
      <c r="K633" s="604" t="s">
        <v>450</v>
      </c>
      <c r="L633" s="604" t="s">
        <v>375</v>
      </c>
      <c r="M633" s="604">
        <v>203</v>
      </c>
      <c r="N633" s="604">
        <v>493</v>
      </c>
      <c r="O633" s="604">
        <v>411.8</v>
      </c>
      <c r="P633" s="604" t="s">
        <v>47</v>
      </c>
      <c r="Q633" s="499"/>
      <c r="R633" s="502" t="str">
        <f t="shared" si="83"/>
        <v>2013birthsdhbNorthland</v>
      </c>
      <c r="S633" s="604">
        <v>2013</v>
      </c>
      <c r="T633" s="604" t="s">
        <v>445</v>
      </c>
      <c r="U633" s="604" t="s">
        <v>448</v>
      </c>
      <c r="V633" s="604" t="s">
        <v>85</v>
      </c>
      <c r="W633" s="604">
        <v>2196</v>
      </c>
      <c r="Y633" s="535" t="str">
        <f t="shared" si="84"/>
        <v>2016agegest40+&lt;28fetal</v>
      </c>
      <c r="Z633" s="604">
        <v>2016</v>
      </c>
      <c r="AA633" s="604" t="s">
        <v>453</v>
      </c>
      <c r="AB633" s="604" t="s">
        <v>450</v>
      </c>
      <c r="AC633" s="604" t="s">
        <v>134</v>
      </c>
      <c r="AD633" s="604" t="s">
        <v>375</v>
      </c>
      <c r="AE633" s="604">
        <v>8</v>
      </c>
      <c r="AF633" s="604">
        <v>16</v>
      </c>
      <c r="AG633" s="604">
        <v>333.3</v>
      </c>
      <c r="AH633" s="604" t="s">
        <v>420</v>
      </c>
      <c r="AJ633" s="535" t="str">
        <f t="shared" si="85"/>
        <v>2016agegest40+&lt;28</v>
      </c>
      <c r="AK633" s="604">
        <v>2016</v>
      </c>
      <c r="AL633" s="604" t="s">
        <v>453</v>
      </c>
      <c r="AM633" s="604" t="s">
        <v>450</v>
      </c>
      <c r="AN633" s="604" t="s">
        <v>134</v>
      </c>
      <c r="AO633" s="604" t="s">
        <v>375</v>
      </c>
      <c r="AP633" s="604">
        <v>16</v>
      </c>
      <c r="AR633" s="538" t="str">
        <f t="shared" si="86"/>
        <v>4500+bwtfetalNorthland</v>
      </c>
      <c r="AS633" s="604">
        <v>2016</v>
      </c>
      <c r="AT633" s="604" t="s">
        <v>432</v>
      </c>
      <c r="AU633" s="604" t="s">
        <v>447</v>
      </c>
      <c r="AV633" s="604" t="s">
        <v>85</v>
      </c>
      <c r="AW633" s="604">
        <v>0</v>
      </c>
      <c r="AX633" s="604">
        <v>60</v>
      </c>
      <c r="AY633" s="606">
        <v>0</v>
      </c>
      <c r="AZ633" s="604" t="s">
        <v>420</v>
      </c>
      <c r="BB633" s="536" t="str">
        <f t="shared" si="90"/>
        <v>European or OtherethbirthsNew Zealand</v>
      </c>
      <c r="BC633" s="604">
        <v>2016</v>
      </c>
      <c r="BD633" s="604" t="s">
        <v>356</v>
      </c>
      <c r="BE633" s="604" t="s">
        <v>449</v>
      </c>
      <c r="BF633" s="604" t="s">
        <v>16</v>
      </c>
      <c r="BG633" s="604">
        <v>26229</v>
      </c>
      <c r="BH633" s="604" t="s">
        <v>445</v>
      </c>
      <c r="BY633" s="553" t="str">
        <f t="shared" si="88"/>
        <v>2010Capital &amp; CoastdhbSIDS</v>
      </c>
      <c r="BZ633" s="604">
        <v>2010</v>
      </c>
      <c r="CA633" s="604" t="s">
        <v>96</v>
      </c>
      <c r="CB633" s="604" t="s">
        <v>448</v>
      </c>
      <c r="CC633" s="604">
        <v>3</v>
      </c>
      <c r="CD633" s="604" t="s">
        <v>32</v>
      </c>
      <c r="CF633" s="559" t="str">
        <f t="shared" si="89"/>
        <v>5yearsAsianWaitematadhbSUDI</v>
      </c>
      <c r="CG633" s="604" t="s">
        <v>475</v>
      </c>
      <c r="CH633" s="604" t="s">
        <v>355</v>
      </c>
      <c r="CI633" s="604" t="s">
        <v>86</v>
      </c>
      <c r="CJ633" s="604" t="s">
        <v>448</v>
      </c>
      <c r="CK633" s="604">
        <v>0</v>
      </c>
      <c r="CL633" s="604" t="s">
        <v>33</v>
      </c>
    </row>
    <row r="634" spans="9:90">
      <c r="I634" s="578" t="str">
        <f t="shared" si="82"/>
        <v>2003gest28-31Fetal</v>
      </c>
      <c r="J634" s="604">
        <v>2003</v>
      </c>
      <c r="K634" s="604" t="s">
        <v>450</v>
      </c>
      <c r="L634" s="604" t="s">
        <v>395</v>
      </c>
      <c r="M634" s="604">
        <v>48</v>
      </c>
      <c r="N634" s="604">
        <v>544</v>
      </c>
      <c r="O634" s="604">
        <v>88.2</v>
      </c>
      <c r="P634" s="604" t="s">
        <v>47</v>
      </c>
      <c r="Q634" s="499"/>
      <c r="R634" s="502" t="str">
        <f t="shared" si="83"/>
        <v>2013birthsdhbWaitemata</v>
      </c>
      <c r="S634" s="604">
        <v>2013</v>
      </c>
      <c r="T634" s="604" t="s">
        <v>445</v>
      </c>
      <c r="U634" s="604" t="s">
        <v>448</v>
      </c>
      <c r="V634" s="604" t="s">
        <v>86</v>
      </c>
      <c r="W634" s="604">
        <v>7678</v>
      </c>
      <c r="Y634" s="535" t="str">
        <f t="shared" si="84"/>
        <v>2016agegest&lt;2028-31fetal</v>
      </c>
      <c r="Z634" s="604">
        <v>2016</v>
      </c>
      <c r="AA634" s="604" t="s">
        <v>453</v>
      </c>
      <c r="AB634" s="604" t="s">
        <v>450</v>
      </c>
      <c r="AC634" s="604" t="s">
        <v>339</v>
      </c>
      <c r="AD634" s="604" t="s">
        <v>395</v>
      </c>
      <c r="AE634" s="604">
        <v>1</v>
      </c>
      <c r="AF634" s="604">
        <v>24</v>
      </c>
      <c r="AG634" s="604">
        <v>40</v>
      </c>
      <c r="AH634" s="604" t="s">
        <v>420</v>
      </c>
      <c r="AJ634" s="535" t="str">
        <f t="shared" si="85"/>
        <v>2016agegest&lt;2028-31</v>
      </c>
      <c r="AK634" s="604">
        <v>2016</v>
      </c>
      <c r="AL634" s="604" t="s">
        <v>453</v>
      </c>
      <c r="AM634" s="604" t="s">
        <v>450</v>
      </c>
      <c r="AN634" s="604" t="s">
        <v>339</v>
      </c>
      <c r="AO634" s="604" t="s">
        <v>395</v>
      </c>
      <c r="AP634" s="604">
        <v>24</v>
      </c>
      <c r="AR634" s="538" t="str">
        <f t="shared" si="86"/>
        <v>4500+bwtfetalWaitemata</v>
      </c>
      <c r="AS634" s="604">
        <v>2016</v>
      </c>
      <c r="AT634" s="604" t="s">
        <v>432</v>
      </c>
      <c r="AU634" s="604" t="s">
        <v>447</v>
      </c>
      <c r="AV634" s="604" t="s">
        <v>86</v>
      </c>
      <c r="AW634" s="604">
        <v>0</v>
      </c>
      <c r="AX634" s="604">
        <v>158</v>
      </c>
      <c r="AY634" s="606">
        <v>0</v>
      </c>
      <c r="AZ634" s="604" t="s">
        <v>420</v>
      </c>
      <c r="BB634" s="536" t="str">
        <f t="shared" si="90"/>
        <v>MalesexbirthsNew Zealand</v>
      </c>
      <c r="BC634" s="604">
        <v>2016</v>
      </c>
      <c r="BD634" s="604" t="s">
        <v>70</v>
      </c>
      <c r="BE634" s="604" t="s">
        <v>451</v>
      </c>
      <c r="BF634" s="604" t="s">
        <v>16</v>
      </c>
      <c r="BG634" s="604">
        <v>31009</v>
      </c>
      <c r="BH634" s="604" t="s">
        <v>445</v>
      </c>
      <c r="BY634" s="553" t="str">
        <f t="shared" si="88"/>
        <v>2010Hutt ValleydhbSIDS</v>
      </c>
      <c r="BZ634" s="604">
        <v>2010</v>
      </c>
      <c r="CA634" s="604" t="s">
        <v>97</v>
      </c>
      <c r="CB634" s="604" t="s">
        <v>448</v>
      </c>
      <c r="CC634" s="604">
        <v>1</v>
      </c>
      <c r="CD634" s="604" t="s">
        <v>32</v>
      </c>
      <c r="CF634" s="559" t="str">
        <f t="shared" si="89"/>
        <v>5yearsEuropean or OtherWaitematadhbSUDI</v>
      </c>
      <c r="CG634" s="604" t="s">
        <v>475</v>
      </c>
      <c r="CH634" s="604" t="s">
        <v>356</v>
      </c>
      <c r="CI634" s="604" t="s">
        <v>86</v>
      </c>
      <c r="CJ634" s="604" t="s">
        <v>448</v>
      </c>
      <c r="CK634" s="604">
        <v>3</v>
      </c>
      <c r="CL634" s="604" t="s">
        <v>33</v>
      </c>
    </row>
    <row r="635" spans="9:90">
      <c r="I635" s="578" t="str">
        <f t="shared" si="82"/>
        <v>2003gest32-36Fetal</v>
      </c>
      <c r="J635" s="604">
        <v>2003</v>
      </c>
      <c r="K635" s="604" t="s">
        <v>450</v>
      </c>
      <c r="L635" s="604" t="s">
        <v>136</v>
      </c>
      <c r="M635" s="604">
        <v>65</v>
      </c>
      <c r="N635" s="604">
        <v>3423</v>
      </c>
      <c r="O635" s="604">
        <v>19</v>
      </c>
      <c r="P635" s="604" t="s">
        <v>47</v>
      </c>
      <c r="Q635" s="499"/>
      <c r="R635" s="502" t="str">
        <f t="shared" si="83"/>
        <v>2013birthsdhbAuckland</v>
      </c>
      <c r="S635" s="604">
        <v>2013</v>
      </c>
      <c r="T635" s="604" t="s">
        <v>445</v>
      </c>
      <c r="U635" s="604" t="s">
        <v>448</v>
      </c>
      <c r="V635" s="604" t="s">
        <v>87</v>
      </c>
      <c r="W635" s="604">
        <v>6215</v>
      </c>
      <c r="Y635" s="535" t="str">
        <f t="shared" si="84"/>
        <v>2016agegest20-2428-31fetal</v>
      </c>
      <c r="Z635" s="604">
        <v>2016</v>
      </c>
      <c r="AA635" s="604" t="s">
        <v>453</v>
      </c>
      <c r="AB635" s="604" t="s">
        <v>450</v>
      </c>
      <c r="AC635" s="604" t="s">
        <v>130</v>
      </c>
      <c r="AD635" s="604" t="s">
        <v>395</v>
      </c>
      <c r="AE635" s="604">
        <v>6</v>
      </c>
      <c r="AF635" s="604">
        <v>66</v>
      </c>
      <c r="AG635" s="604">
        <v>83.3</v>
      </c>
      <c r="AH635" s="604" t="s">
        <v>420</v>
      </c>
      <c r="AJ635" s="535" t="str">
        <f t="shared" si="85"/>
        <v>2016agegest20-2428-31</v>
      </c>
      <c r="AK635" s="604">
        <v>2016</v>
      </c>
      <c r="AL635" s="604" t="s">
        <v>453</v>
      </c>
      <c r="AM635" s="604" t="s">
        <v>450</v>
      </c>
      <c r="AN635" s="604" t="s">
        <v>130</v>
      </c>
      <c r="AO635" s="604" t="s">
        <v>395</v>
      </c>
      <c r="AP635" s="604">
        <v>66</v>
      </c>
      <c r="AR635" s="538" t="str">
        <f t="shared" si="86"/>
        <v>4500+bwtfetalAuckland</v>
      </c>
      <c r="AS635" s="604">
        <v>2016</v>
      </c>
      <c r="AT635" s="604" t="s">
        <v>432</v>
      </c>
      <c r="AU635" s="604" t="s">
        <v>447</v>
      </c>
      <c r="AV635" s="604" t="s">
        <v>87</v>
      </c>
      <c r="AW635" s="604">
        <v>0</v>
      </c>
      <c r="AX635" s="604">
        <v>96</v>
      </c>
      <c r="AY635" s="606">
        <v>0</v>
      </c>
      <c r="AZ635" s="604" t="s">
        <v>420</v>
      </c>
      <c r="BB635" s="536" t="str">
        <f t="shared" si="90"/>
        <v>FemalesexbirthsNew Zealand</v>
      </c>
      <c r="BC635" s="604">
        <v>2016</v>
      </c>
      <c r="BD635" s="604" t="s">
        <v>71</v>
      </c>
      <c r="BE635" s="604" t="s">
        <v>451</v>
      </c>
      <c r="BF635" s="604" t="s">
        <v>16</v>
      </c>
      <c r="BG635" s="604">
        <v>29427</v>
      </c>
      <c r="BH635" s="604" t="s">
        <v>445</v>
      </c>
      <c r="BY635" s="553" t="str">
        <f t="shared" si="88"/>
        <v>2010WairarapadhbSIDS</v>
      </c>
      <c r="BZ635" s="604">
        <v>2010</v>
      </c>
      <c r="CA635" s="604" t="s">
        <v>98</v>
      </c>
      <c r="CB635" s="604" t="s">
        <v>448</v>
      </c>
      <c r="CC635" s="604">
        <v>0</v>
      </c>
      <c r="CD635" s="604" t="s">
        <v>32</v>
      </c>
      <c r="CF635" s="559" t="str">
        <f t="shared" si="89"/>
        <v>5yearsMaoriWaitematadhbSUDI</v>
      </c>
      <c r="CG635" s="604" t="s">
        <v>475</v>
      </c>
      <c r="CH635" s="604" t="s">
        <v>129</v>
      </c>
      <c r="CI635" s="604" t="s">
        <v>86</v>
      </c>
      <c r="CJ635" s="604" t="s">
        <v>448</v>
      </c>
      <c r="CK635" s="604">
        <v>2</v>
      </c>
      <c r="CL635" s="604" t="s">
        <v>33</v>
      </c>
    </row>
    <row r="636" spans="9:90">
      <c r="I636" s="578" t="str">
        <f t="shared" si="82"/>
        <v>2003gest37-41Fetal</v>
      </c>
      <c r="J636" s="604">
        <v>2003</v>
      </c>
      <c r="K636" s="604" t="s">
        <v>450</v>
      </c>
      <c r="L636" s="604" t="s">
        <v>137</v>
      </c>
      <c r="M636" s="604">
        <v>74</v>
      </c>
      <c r="N636" s="604">
        <v>50901</v>
      </c>
      <c r="O636" s="604">
        <v>1.5</v>
      </c>
      <c r="P636" s="604" t="s">
        <v>47</v>
      </c>
      <c r="Q636" s="499"/>
      <c r="R636" s="502" t="str">
        <f t="shared" si="83"/>
        <v>2013birthsdhbCounties Manukau</v>
      </c>
      <c r="S636" s="604">
        <v>2013</v>
      </c>
      <c r="T636" s="604" t="s">
        <v>445</v>
      </c>
      <c r="U636" s="604" t="s">
        <v>448</v>
      </c>
      <c r="V636" s="604" t="s">
        <v>88</v>
      </c>
      <c r="W636" s="604">
        <v>8350</v>
      </c>
      <c r="Y636" s="535" t="str">
        <f t="shared" si="84"/>
        <v>2016agegest25-2928-31fetal</v>
      </c>
      <c r="Z636" s="604">
        <v>2016</v>
      </c>
      <c r="AA636" s="604" t="s">
        <v>453</v>
      </c>
      <c r="AB636" s="604" t="s">
        <v>450</v>
      </c>
      <c r="AC636" s="604" t="s">
        <v>131</v>
      </c>
      <c r="AD636" s="604" t="s">
        <v>395</v>
      </c>
      <c r="AE636" s="604">
        <v>10</v>
      </c>
      <c r="AF636" s="604">
        <v>105</v>
      </c>
      <c r="AG636" s="604">
        <v>87</v>
      </c>
      <c r="AH636" s="604" t="s">
        <v>420</v>
      </c>
      <c r="AJ636" s="535" t="str">
        <f t="shared" si="85"/>
        <v>2016agegest25-2928-31</v>
      </c>
      <c r="AK636" s="604">
        <v>2016</v>
      </c>
      <c r="AL636" s="604" t="s">
        <v>453</v>
      </c>
      <c r="AM636" s="604" t="s">
        <v>450</v>
      </c>
      <c r="AN636" s="604" t="s">
        <v>131</v>
      </c>
      <c r="AO636" s="604" t="s">
        <v>395</v>
      </c>
      <c r="AP636" s="604">
        <v>105</v>
      </c>
      <c r="AR636" s="538" t="str">
        <f t="shared" si="86"/>
        <v>UnknownbwtfetalAuckland</v>
      </c>
      <c r="AS636" s="604">
        <v>2016</v>
      </c>
      <c r="AT636" s="604" t="s">
        <v>63</v>
      </c>
      <c r="AU636" s="604" t="s">
        <v>447</v>
      </c>
      <c r="AV636" s="604" t="s">
        <v>87</v>
      </c>
      <c r="AW636" s="604">
        <v>0</v>
      </c>
      <c r="AX636" s="604">
        <v>5</v>
      </c>
      <c r="AY636" s="606" t="s">
        <v>119</v>
      </c>
      <c r="AZ636" s="604" t="s">
        <v>420</v>
      </c>
      <c r="BB636" s="536" t="str">
        <f t="shared" si="90"/>
        <v>Quin 1depbirthsNew Zealand</v>
      </c>
      <c r="BC636" s="604">
        <v>2016</v>
      </c>
      <c r="BD636" s="604" t="s">
        <v>421</v>
      </c>
      <c r="BE636" s="604" t="s">
        <v>454</v>
      </c>
      <c r="BF636" s="604" t="s">
        <v>16</v>
      </c>
      <c r="BG636" s="604">
        <v>9194</v>
      </c>
      <c r="BH636" s="604" t="s">
        <v>445</v>
      </c>
      <c r="BY636" s="553" t="str">
        <f t="shared" si="88"/>
        <v>2010Nelson MarlboroughdhbSIDS</v>
      </c>
      <c r="BZ636" s="604">
        <v>2010</v>
      </c>
      <c r="CA636" s="604" t="s">
        <v>99</v>
      </c>
      <c r="CB636" s="604" t="s">
        <v>448</v>
      </c>
      <c r="CC636" s="604">
        <v>0</v>
      </c>
      <c r="CD636" s="604" t="s">
        <v>32</v>
      </c>
      <c r="CF636" s="559" t="str">
        <f t="shared" si="89"/>
        <v>5yearsPacific peoplesWaitematadhbSUDI</v>
      </c>
      <c r="CG636" s="604" t="s">
        <v>475</v>
      </c>
      <c r="CH636" s="604" t="s">
        <v>320</v>
      </c>
      <c r="CI636" s="604" t="s">
        <v>86</v>
      </c>
      <c r="CJ636" s="604" t="s">
        <v>448</v>
      </c>
      <c r="CK636" s="604">
        <v>2</v>
      </c>
      <c r="CL636" s="604" t="s">
        <v>33</v>
      </c>
    </row>
    <row r="637" spans="9:90">
      <c r="I637" s="578" t="str">
        <f t="shared" si="82"/>
        <v>2003gest42+Fetal</v>
      </c>
      <c r="J637" s="604">
        <v>2003</v>
      </c>
      <c r="K637" s="604" t="s">
        <v>450</v>
      </c>
      <c r="L637" s="604" t="s">
        <v>138</v>
      </c>
      <c r="M637" s="604">
        <v>3</v>
      </c>
      <c r="N637" s="604">
        <v>1580</v>
      </c>
      <c r="O637" s="604">
        <v>1.9</v>
      </c>
      <c r="P637" s="604" t="s">
        <v>47</v>
      </c>
      <c r="Q637" s="499"/>
      <c r="R637" s="502" t="str">
        <f t="shared" si="83"/>
        <v>2013birthsdhbWaikato</v>
      </c>
      <c r="S637" s="604">
        <v>2013</v>
      </c>
      <c r="T637" s="604" t="s">
        <v>445</v>
      </c>
      <c r="U637" s="604" t="s">
        <v>448</v>
      </c>
      <c r="V637" s="604" t="s">
        <v>89</v>
      </c>
      <c r="W637" s="604">
        <v>5287</v>
      </c>
      <c r="Y637" s="535" t="str">
        <f t="shared" si="84"/>
        <v>2016agegest30-3428-31fetal</v>
      </c>
      <c r="Z637" s="604">
        <v>2016</v>
      </c>
      <c r="AA637" s="604" t="s">
        <v>453</v>
      </c>
      <c r="AB637" s="604" t="s">
        <v>450</v>
      </c>
      <c r="AC637" s="604" t="s">
        <v>132</v>
      </c>
      <c r="AD637" s="604" t="s">
        <v>395</v>
      </c>
      <c r="AE637" s="604">
        <v>11</v>
      </c>
      <c r="AF637" s="604">
        <v>132</v>
      </c>
      <c r="AG637" s="604">
        <v>76.900000000000006</v>
      </c>
      <c r="AH637" s="604" t="s">
        <v>420</v>
      </c>
      <c r="AJ637" s="535" t="str">
        <f t="shared" si="85"/>
        <v>2016agegest30-3428-31</v>
      </c>
      <c r="AK637" s="604">
        <v>2016</v>
      </c>
      <c r="AL637" s="604" t="s">
        <v>453</v>
      </c>
      <c r="AM637" s="604" t="s">
        <v>450</v>
      </c>
      <c r="AN637" s="604" t="s">
        <v>132</v>
      </c>
      <c r="AO637" s="604" t="s">
        <v>395</v>
      </c>
      <c r="AP637" s="604">
        <v>132</v>
      </c>
      <c r="AR637" s="538" t="str">
        <f t="shared" si="86"/>
        <v>1000-1499bwtfetalLakes</v>
      </c>
      <c r="AS637" s="604">
        <v>2016</v>
      </c>
      <c r="AT637" s="604" t="s">
        <v>429</v>
      </c>
      <c r="AU637" s="604" t="s">
        <v>447</v>
      </c>
      <c r="AV637" s="604" t="s">
        <v>90</v>
      </c>
      <c r="AW637" s="604">
        <v>0</v>
      </c>
      <c r="AX637" s="604">
        <v>7</v>
      </c>
      <c r="AY637" s="606">
        <v>0</v>
      </c>
      <c r="AZ637" s="604" t="s">
        <v>420</v>
      </c>
      <c r="BB637" s="536" t="str">
        <f t="shared" si="90"/>
        <v>Quin 2depbirthsNew Zealand</v>
      </c>
      <c r="BC637" s="604">
        <v>2016</v>
      </c>
      <c r="BD637" s="604" t="s">
        <v>422</v>
      </c>
      <c r="BE637" s="604" t="s">
        <v>454</v>
      </c>
      <c r="BF637" s="604" t="s">
        <v>16</v>
      </c>
      <c r="BG637" s="604">
        <v>10123</v>
      </c>
      <c r="BH637" s="604" t="s">
        <v>445</v>
      </c>
      <c r="BY637" s="553" t="str">
        <f t="shared" si="88"/>
        <v>2010West CoastdhbSIDS</v>
      </c>
      <c r="BZ637" s="604">
        <v>2010</v>
      </c>
      <c r="CA637" s="604" t="s">
        <v>100</v>
      </c>
      <c r="CB637" s="604" t="s">
        <v>448</v>
      </c>
      <c r="CC637" s="604">
        <v>0</v>
      </c>
      <c r="CD637" s="604" t="s">
        <v>32</v>
      </c>
      <c r="CF637" s="559" t="str">
        <f t="shared" si="89"/>
        <v>5yearsAsianAucklanddhbSUDI</v>
      </c>
      <c r="CG637" s="604" t="s">
        <v>475</v>
      </c>
      <c r="CH637" s="604" t="s">
        <v>355</v>
      </c>
      <c r="CI637" s="604" t="s">
        <v>87</v>
      </c>
      <c r="CJ637" s="604" t="s">
        <v>448</v>
      </c>
      <c r="CK637" s="604">
        <v>1</v>
      </c>
      <c r="CL637" s="604" t="s">
        <v>33</v>
      </c>
    </row>
    <row r="638" spans="9:90">
      <c r="I638" s="578" t="str">
        <f t="shared" si="82"/>
        <v>2003gestUnknownFetal</v>
      </c>
      <c r="J638" s="604">
        <v>2003</v>
      </c>
      <c r="K638" s="604" t="s">
        <v>450</v>
      </c>
      <c r="L638" s="604" t="s">
        <v>63</v>
      </c>
      <c r="M638" s="604">
        <v>0</v>
      </c>
      <c r="N638" s="604">
        <v>28</v>
      </c>
      <c r="O638" s="604" t="s">
        <v>119</v>
      </c>
      <c r="P638" s="604" t="s">
        <v>47</v>
      </c>
      <c r="Q638" s="499"/>
      <c r="R638" s="502" t="str">
        <f t="shared" si="83"/>
        <v>2013birthsdhbLakes</v>
      </c>
      <c r="S638" s="604">
        <v>2013</v>
      </c>
      <c r="T638" s="604" t="s">
        <v>445</v>
      </c>
      <c r="U638" s="604" t="s">
        <v>448</v>
      </c>
      <c r="V638" s="604" t="s">
        <v>90</v>
      </c>
      <c r="W638" s="604">
        <v>1480</v>
      </c>
      <c r="Y638" s="535" t="str">
        <f t="shared" si="84"/>
        <v>2016agegest35-3928-31fetal</v>
      </c>
      <c r="Z638" s="604">
        <v>2016</v>
      </c>
      <c r="AA638" s="604" t="s">
        <v>453</v>
      </c>
      <c r="AB638" s="604" t="s">
        <v>450</v>
      </c>
      <c r="AC638" s="604" t="s">
        <v>133</v>
      </c>
      <c r="AD638" s="604" t="s">
        <v>395</v>
      </c>
      <c r="AE638" s="604">
        <v>8</v>
      </c>
      <c r="AF638" s="604">
        <v>70</v>
      </c>
      <c r="AG638" s="604">
        <v>102.6</v>
      </c>
      <c r="AH638" s="604" t="s">
        <v>420</v>
      </c>
      <c r="AJ638" s="535" t="str">
        <f t="shared" si="85"/>
        <v>2016agegest35-3928-31</v>
      </c>
      <c r="AK638" s="604">
        <v>2016</v>
      </c>
      <c r="AL638" s="604" t="s">
        <v>453</v>
      </c>
      <c r="AM638" s="604" t="s">
        <v>450</v>
      </c>
      <c r="AN638" s="604" t="s">
        <v>133</v>
      </c>
      <c r="AO638" s="604" t="s">
        <v>395</v>
      </c>
      <c r="AP638" s="604">
        <v>70</v>
      </c>
      <c r="AR638" s="538" t="str">
        <f t="shared" si="86"/>
        <v>4500+bwtfetalLakes</v>
      </c>
      <c r="AS638" s="604">
        <v>2016</v>
      </c>
      <c r="AT638" s="604" t="s">
        <v>432</v>
      </c>
      <c r="AU638" s="604" t="s">
        <v>447</v>
      </c>
      <c r="AV638" s="604" t="s">
        <v>90</v>
      </c>
      <c r="AW638" s="604">
        <v>0</v>
      </c>
      <c r="AX638" s="604">
        <v>36</v>
      </c>
      <c r="AY638" s="606">
        <v>0</v>
      </c>
      <c r="AZ638" s="604" t="s">
        <v>420</v>
      </c>
      <c r="BB638" s="536" t="str">
        <f t="shared" si="90"/>
        <v>Quin 3depbirthsNew Zealand</v>
      </c>
      <c r="BC638" s="604">
        <v>2016</v>
      </c>
      <c r="BD638" s="604" t="s">
        <v>423</v>
      </c>
      <c r="BE638" s="604" t="s">
        <v>454</v>
      </c>
      <c r="BF638" s="604" t="s">
        <v>16</v>
      </c>
      <c r="BG638" s="604">
        <v>10971</v>
      </c>
      <c r="BH638" s="604" t="s">
        <v>445</v>
      </c>
      <c r="BY638" s="553" t="str">
        <f t="shared" si="88"/>
        <v>2010CanterburydhbSIDS</v>
      </c>
      <c r="BZ638" s="604">
        <v>2010</v>
      </c>
      <c r="CA638" s="604" t="s">
        <v>101</v>
      </c>
      <c r="CB638" s="604" t="s">
        <v>448</v>
      </c>
      <c r="CC638" s="604">
        <v>1</v>
      </c>
      <c r="CD638" s="604" t="s">
        <v>32</v>
      </c>
      <c r="CF638" s="559" t="str">
        <f t="shared" si="89"/>
        <v>5yearsEuropean or OtherAucklanddhbSUDI</v>
      </c>
      <c r="CG638" s="604" t="s">
        <v>475</v>
      </c>
      <c r="CH638" s="604" t="s">
        <v>356</v>
      </c>
      <c r="CI638" s="604" t="s">
        <v>87</v>
      </c>
      <c r="CJ638" s="604" t="s">
        <v>448</v>
      </c>
      <c r="CK638" s="604">
        <v>0</v>
      </c>
      <c r="CL638" s="604" t="s">
        <v>33</v>
      </c>
    </row>
    <row r="639" spans="9:90">
      <c r="I639" s="578" t="str">
        <f t="shared" si="82"/>
        <v>2004gest&lt;28Fetal</v>
      </c>
      <c r="J639" s="604">
        <v>2004</v>
      </c>
      <c r="K639" s="604" t="s">
        <v>450</v>
      </c>
      <c r="L639" s="604" t="s">
        <v>375</v>
      </c>
      <c r="M639" s="604">
        <v>289</v>
      </c>
      <c r="N639" s="604">
        <v>579</v>
      </c>
      <c r="O639" s="604">
        <v>499.1</v>
      </c>
      <c r="P639" s="604" t="s">
        <v>47</v>
      </c>
      <c r="Q639" s="499"/>
      <c r="R639" s="502" t="str">
        <f t="shared" si="83"/>
        <v>2013birthsdhbBay of Plenty</v>
      </c>
      <c r="S639" s="604">
        <v>2013</v>
      </c>
      <c r="T639" s="604" t="s">
        <v>445</v>
      </c>
      <c r="U639" s="604" t="s">
        <v>448</v>
      </c>
      <c r="V639" s="604" t="s">
        <v>91</v>
      </c>
      <c r="W639" s="604">
        <v>2806</v>
      </c>
      <c r="Y639" s="535" t="str">
        <f t="shared" si="84"/>
        <v>2016agegest40+28-31fetal</v>
      </c>
      <c r="Z639" s="604">
        <v>2016</v>
      </c>
      <c r="AA639" s="604" t="s">
        <v>453</v>
      </c>
      <c r="AB639" s="604" t="s">
        <v>450</v>
      </c>
      <c r="AC639" s="604" t="s">
        <v>134</v>
      </c>
      <c r="AD639" s="604" t="s">
        <v>395</v>
      </c>
      <c r="AE639" s="604">
        <v>2</v>
      </c>
      <c r="AF639" s="604">
        <v>20</v>
      </c>
      <c r="AG639" s="604">
        <v>90.9</v>
      </c>
      <c r="AH639" s="604" t="s">
        <v>420</v>
      </c>
      <c r="AJ639" s="535" t="str">
        <f t="shared" si="85"/>
        <v>2016agegest40+28-31</v>
      </c>
      <c r="AK639" s="604">
        <v>2016</v>
      </c>
      <c r="AL639" s="604" t="s">
        <v>453</v>
      </c>
      <c r="AM639" s="604" t="s">
        <v>450</v>
      </c>
      <c r="AN639" s="604" t="s">
        <v>134</v>
      </c>
      <c r="AO639" s="604" t="s">
        <v>395</v>
      </c>
      <c r="AP639" s="604">
        <v>20</v>
      </c>
      <c r="AR639" s="538" t="str">
        <f t="shared" si="86"/>
        <v>UnknownbwtfetalLakes</v>
      </c>
      <c r="AS639" s="604">
        <v>2016</v>
      </c>
      <c r="AT639" s="604" t="s">
        <v>63</v>
      </c>
      <c r="AU639" s="604" t="s">
        <v>447</v>
      </c>
      <c r="AV639" s="604" t="s">
        <v>90</v>
      </c>
      <c r="AW639" s="604">
        <v>0</v>
      </c>
      <c r="AX639" s="604">
        <v>1</v>
      </c>
      <c r="AY639" s="606" t="s">
        <v>119</v>
      </c>
      <c r="AZ639" s="604" t="s">
        <v>420</v>
      </c>
      <c r="BB639" s="536" t="str">
        <f t="shared" si="90"/>
        <v>Quin 4depbirthsNew Zealand</v>
      </c>
      <c r="BC639" s="604">
        <v>2016</v>
      </c>
      <c r="BD639" s="604" t="s">
        <v>424</v>
      </c>
      <c r="BE639" s="604" t="s">
        <v>454</v>
      </c>
      <c r="BF639" s="604" t="s">
        <v>16</v>
      </c>
      <c r="BG639" s="604">
        <v>13131</v>
      </c>
      <c r="BH639" s="604" t="s">
        <v>445</v>
      </c>
      <c r="BY639" s="553" t="str">
        <f t="shared" si="88"/>
        <v>2010South CanterburydhbSIDS</v>
      </c>
      <c r="BZ639" s="604">
        <v>2010</v>
      </c>
      <c r="CA639" s="604" t="s">
        <v>102</v>
      </c>
      <c r="CB639" s="604" t="s">
        <v>448</v>
      </c>
      <c r="CC639" s="604">
        <v>0</v>
      </c>
      <c r="CD639" s="604" t="s">
        <v>32</v>
      </c>
      <c r="CF639" s="559" t="str">
        <f t="shared" si="89"/>
        <v>5yearsMaoriAucklanddhbSUDI</v>
      </c>
      <c r="CG639" s="604" t="s">
        <v>475</v>
      </c>
      <c r="CH639" s="604" t="s">
        <v>129</v>
      </c>
      <c r="CI639" s="604" t="s">
        <v>87</v>
      </c>
      <c r="CJ639" s="604" t="s">
        <v>448</v>
      </c>
      <c r="CK639" s="604">
        <v>4</v>
      </c>
      <c r="CL639" s="604" t="s">
        <v>33</v>
      </c>
    </row>
    <row r="640" spans="9:90">
      <c r="I640" s="578" t="str">
        <f t="shared" si="82"/>
        <v>2004gest28-31Fetal</v>
      </c>
      <c r="J640" s="604">
        <v>2004</v>
      </c>
      <c r="K640" s="604" t="s">
        <v>450</v>
      </c>
      <c r="L640" s="604" t="s">
        <v>395</v>
      </c>
      <c r="M640" s="604">
        <v>46</v>
      </c>
      <c r="N640" s="604">
        <v>515</v>
      </c>
      <c r="O640" s="604">
        <v>89.3</v>
      </c>
      <c r="P640" s="604" t="s">
        <v>47</v>
      </c>
      <c r="Q640" s="499"/>
      <c r="R640" s="502" t="str">
        <f t="shared" si="83"/>
        <v>2013birthsdhbTairawhiti</v>
      </c>
      <c r="S640" s="604">
        <v>2013</v>
      </c>
      <c r="T640" s="604" t="s">
        <v>445</v>
      </c>
      <c r="U640" s="604" t="s">
        <v>448</v>
      </c>
      <c r="V640" s="604" t="s">
        <v>433</v>
      </c>
      <c r="W640" s="604">
        <v>714</v>
      </c>
      <c r="Y640" s="535" t="str">
        <f t="shared" si="84"/>
        <v>2016agegest&lt;2032-36fetal</v>
      </c>
      <c r="Z640" s="604">
        <v>2016</v>
      </c>
      <c r="AA640" s="604" t="s">
        <v>453</v>
      </c>
      <c r="AB640" s="604" t="s">
        <v>450</v>
      </c>
      <c r="AC640" s="604" t="s">
        <v>339</v>
      </c>
      <c r="AD640" s="604" t="s">
        <v>136</v>
      </c>
      <c r="AE640" s="604">
        <v>7</v>
      </c>
      <c r="AF640" s="604">
        <v>189</v>
      </c>
      <c r="AG640" s="604">
        <v>35.700000000000003</v>
      </c>
      <c r="AH640" s="604" t="s">
        <v>420</v>
      </c>
      <c r="AJ640" s="535" t="str">
        <f t="shared" si="85"/>
        <v>2016agegest&lt;2032-36</v>
      </c>
      <c r="AK640" s="604">
        <v>2016</v>
      </c>
      <c r="AL640" s="604" t="s">
        <v>453</v>
      </c>
      <c r="AM640" s="604" t="s">
        <v>450</v>
      </c>
      <c r="AN640" s="604" t="s">
        <v>339</v>
      </c>
      <c r="AO640" s="604" t="s">
        <v>136</v>
      </c>
      <c r="AP640" s="604">
        <v>189</v>
      </c>
      <c r="AR640" s="538" t="str">
        <f t="shared" si="86"/>
        <v>1000-1499bwtfetalBay of Plenty</v>
      </c>
      <c r="AS640" s="604">
        <v>2016</v>
      </c>
      <c r="AT640" s="604" t="s">
        <v>429</v>
      </c>
      <c r="AU640" s="604" t="s">
        <v>447</v>
      </c>
      <c r="AV640" s="604" t="s">
        <v>91</v>
      </c>
      <c r="AW640" s="604">
        <v>0</v>
      </c>
      <c r="AX640" s="604">
        <v>13</v>
      </c>
      <c r="AY640" s="606">
        <v>0</v>
      </c>
      <c r="AZ640" s="604" t="s">
        <v>420</v>
      </c>
      <c r="BB640" s="536" t="str">
        <f t="shared" si="90"/>
        <v>Quin 5depbirthsNew Zealand</v>
      </c>
      <c r="BC640" s="604">
        <v>2016</v>
      </c>
      <c r="BD640" s="604" t="s">
        <v>425</v>
      </c>
      <c r="BE640" s="604" t="s">
        <v>454</v>
      </c>
      <c r="BF640" s="604" t="s">
        <v>16</v>
      </c>
      <c r="BG640" s="604">
        <v>16886</v>
      </c>
      <c r="BH640" s="604" t="s">
        <v>445</v>
      </c>
      <c r="BY640" s="553" t="str">
        <f t="shared" si="88"/>
        <v>2010SoutherndhbSIDS</v>
      </c>
      <c r="BZ640" s="604">
        <v>2010</v>
      </c>
      <c r="CA640" s="604" t="s">
        <v>103</v>
      </c>
      <c r="CB640" s="604" t="s">
        <v>448</v>
      </c>
      <c r="CC640" s="604">
        <v>1</v>
      </c>
      <c r="CD640" s="604" t="s">
        <v>32</v>
      </c>
      <c r="CF640" s="559" t="str">
        <f t="shared" si="89"/>
        <v>5yearsPacific peoplesAucklanddhbSUDI</v>
      </c>
      <c r="CG640" s="604" t="s">
        <v>475</v>
      </c>
      <c r="CH640" s="604" t="s">
        <v>320</v>
      </c>
      <c r="CI640" s="604" t="s">
        <v>87</v>
      </c>
      <c r="CJ640" s="604" t="s">
        <v>448</v>
      </c>
      <c r="CK640" s="604">
        <v>8</v>
      </c>
      <c r="CL640" s="604" t="s">
        <v>33</v>
      </c>
    </row>
    <row r="641" spans="9:90">
      <c r="I641" s="578" t="str">
        <f t="shared" si="82"/>
        <v>2004gest32-36Fetal</v>
      </c>
      <c r="J641" s="604">
        <v>2004</v>
      </c>
      <c r="K641" s="604" t="s">
        <v>450</v>
      </c>
      <c r="L641" s="604" t="s">
        <v>136</v>
      </c>
      <c r="M641" s="604">
        <v>62</v>
      </c>
      <c r="N641" s="604">
        <v>3575</v>
      </c>
      <c r="O641" s="604">
        <v>17.3</v>
      </c>
      <c r="P641" s="604" t="s">
        <v>47</v>
      </c>
      <c r="Q641" s="499"/>
      <c r="R641" s="502" t="str">
        <f t="shared" si="83"/>
        <v>2013birthsdhbHawke's Bay</v>
      </c>
      <c r="S641" s="604">
        <v>2013</v>
      </c>
      <c r="T641" s="604" t="s">
        <v>445</v>
      </c>
      <c r="U641" s="604" t="s">
        <v>448</v>
      </c>
      <c r="V641" s="604" t="s">
        <v>92</v>
      </c>
      <c r="W641" s="604">
        <v>2207</v>
      </c>
      <c r="Y641" s="535" t="str">
        <f t="shared" si="84"/>
        <v>2016agegest20-2432-36fetal</v>
      </c>
      <c r="Z641" s="604">
        <v>2016</v>
      </c>
      <c r="AA641" s="604" t="s">
        <v>453</v>
      </c>
      <c r="AB641" s="604" t="s">
        <v>450</v>
      </c>
      <c r="AC641" s="604" t="s">
        <v>130</v>
      </c>
      <c r="AD641" s="604" t="s">
        <v>136</v>
      </c>
      <c r="AE641" s="604">
        <v>13</v>
      </c>
      <c r="AF641" s="604">
        <v>604</v>
      </c>
      <c r="AG641" s="604">
        <v>21.1</v>
      </c>
      <c r="AH641" s="604" t="s">
        <v>420</v>
      </c>
      <c r="AJ641" s="535" t="str">
        <f t="shared" si="85"/>
        <v>2016agegest20-2432-36</v>
      </c>
      <c r="AK641" s="604">
        <v>2016</v>
      </c>
      <c r="AL641" s="604" t="s">
        <v>453</v>
      </c>
      <c r="AM641" s="604" t="s">
        <v>450</v>
      </c>
      <c r="AN641" s="604" t="s">
        <v>130</v>
      </c>
      <c r="AO641" s="604" t="s">
        <v>136</v>
      </c>
      <c r="AP641" s="604">
        <v>604</v>
      </c>
      <c r="AR641" s="538" t="str">
        <f t="shared" si="86"/>
        <v>1500-2499bwtfetalBay of Plenty</v>
      </c>
      <c r="AS641" s="604">
        <v>2016</v>
      </c>
      <c r="AT641" s="604" t="s">
        <v>430</v>
      </c>
      <c r="AU641" s="604" t="s">
        <v>447</v>
      </c>
      <c r="AV641" s="604" t="s">
        <v>91</v>
      </c>
      <c r="AW641" s="604">
        <v>0</v>
      </c>
      <c r="AX641" s="604">
        <v>129</v>
      </c>
      <c r="AY641" s="606">
        <v>0</v>
      </c>
      <c r="AZ641" s="604" t="s">
        <v>420</v>
      </c>
      <c r="BB641" s="536" t="str">
        <f t="shared" si="90"/>
        <v>Quin 9depbirthsNew Zealand</v>
      </c>
      <c r="BC641" s="604">
        <v>2016</v>
      </c>
      <c r="BD641" s="604" t="s">
        <v>426</v>
      </c>
      <c r="BE641" s="604" t="s">
        <v>454</v>
      </c>
      <c r="BF641" s="604" t="s">
        <v>16</v>
      </c>
      <c r="BG641" s="604">
        <v>131</v>
      </c>
      <c r="BH641" s="604" t="s">
        <v>445</v>
      </c>
      <c r="BY641" s="553" t="str">
        <f t="shared" si="88"/>
        <v>2010UnknowndhbSIDS</v>
      </c>
      <c r="BZ641" s="604">
        <v>2010</v>
      </c>
      <c r="CA641" s="604" t="s">
        <v>63</v>
      </c>
      <c r="CB641" s="604" t="s">
        <v>448</v>
      </c>
      <c r="CC641" s="604">
        <v>0</v>
      </c>
      <c r="CD641" s="604" t="s">
        <v>32</v>
      </c>
      <c r="CF641" s="559" t="str">
        <f t="shared" si="89"/>
        <v>5yearsAsianCounties ManukaudhbSUDI</v>
      </c>
      <c r="CG641" s="604" t="s">
        <v>475</v>
      </c>
      <c r="CH641" s="604" t="s">
        <v>355</v>
      </c>
      <c r="CI641" s="604" t="s">
        <v>88</v>
      </c>
      <c r="CJ641" s="604" t="s">
        <v>448</v>
      </c>
      <c r="CK641" s="604">
        <v>1</v>
      </c>
      <c r="CL641" s="604" t="s">
        <v>33</v>
      </c>
    </row>
    <row r="642" spans="9:90">
      <c r="I642" s="578" t="str">
        <f t="shared" si="82"/>
        <v>2004gest37-41Fetal</v>
      </c>
      <c r="J642" s="604">
        <v>2004</v>
      </c>
      <c r="K642" s="604" t="s">
        <v>450</v>
      </c>
      <c r="L642" s="604" t="s">
        <v>137</v>
      </c>
      <c r="M642" s="604">
        <v>103</v>
      </c>
      <c r="N642" s="604">
        <v>52820</v>
      </c>
      <c r="O642" s="604">
        <v>2</v>
      </c>
      <c r="P642" s="604" t="s">
        <v>47</v>
      </c>
      <c r="Q642" s="499"/>
      <c r="R642" s="502" t="str">
        <f t="shared" si="83"/>
        <v>2013birthsdhbTaranaki</v>
      </c>
      <c r="S642" s="604">
        <v>2013</v>
      </c>
      <c r="T642" s="604" t="s">
        <v>445</v>
      </c>
      <c r="U642" s="604" t="s">
        <v>448</v>
      </c>
      <c r="V642" s="604" t="s">
        <v>93</v>
      </c>
      <c r="W642" s="604">
        <v>1522</v>
      </c>
      <c r="Y642" s="535" t="str">
        <f t="shared" si="84"/>
        <v>2016agegest25-2932-36fetal</v>
      </c>
      <c r="Z642" s="604">
        <v>2016</v>
      </c>
      <c r="AA642" s="604" t="s">
        <v>453</v>
      </c>
      <c r="AB642" s="604" t="s">
        <v>450</v>
      </c>
      <c r="AC642" s="604" t="s">
        <v>131</v>
      </c>
      <c r="AD642" s="604" t="s">
        <v>136</v>
      </c>
      <c r="AE642" s="604">
        <v>8</v>
      </c>
      <c r="AF642" s="604">
        <v>991</v>
      </c>
      <c r="AG642" s="604">
        <v>8</v>
      </c>
      <c r="AH642" s="604" t="s">
        <v>420</v>
      </c>
      <c r="AJ642" s="535" t="str">
        <f t="shared" si="85"/>
        <v>2016agegest25-2932-36</v>
      </c>
      <c r="AK642" s="604">
        <v>2016</v>
      </c>
      <c r="AL642" s="604" t="s">
        <v>453</v>
      </c>
      <c r="AM642" s="604" t="s">
        <v>450</v>
      </c>
      <c r="AN642" s="604" t="s">
        <v>131</v>
      </c>
      <c r="AO642" s="604" t="s">
        <v>136</v>
      </c>
      <c r="AP642" s="604">
        <v>991</v>
      </c>
      <c r="AR642" s="538" t="str">
        <f t="shared" si="86"/>
        <v>4500+bwtfetalBay of Plenty</v>
      </c>
      <c r="AS642" s="604">
        <v>2016</v>
      </c>
      <c r="AT642" s="604" t="s">
        <v>432</v>
      </c>
      <c r="AU642" s="604" t="s">
        <v>447</v>
      </c>
      <c r="AV642" s="604" t="s">
        <v>91</v>
      </c>
      <c r="AW642" s="604">
        <v>0</v>
      </c>
      <c r="AX642" s="604">
        <v>66</v>
      </c>
      <c r="AY642" s="606">
        <v>0</v>
      </c>
      <c r="AZ642" s="604" t="s">
        <v>420</v>
      </c>
      <c r="BB642" s="536" t="str">
        <f t="shared" si="90"/>
        <v>&lt;28gestbirthsNew Zealand</v>
      </c>
      <c r="BC642" s="604">
        <v>2016</v>
      </c>
      <c r="BD642" s="604" t="s">
        <v>375</v>
      </c>
      <c r="BE642" s="604" t="s">
        <v>450</v>
      </c>
      <c r="BF642" s="604" t="s">
        <v>16</v>
      </c>
      <c r="BG642" s="604">
        <v>260</v>
      </c>
      <c r="BH642" s="604" t="s">
        <v>445</v>
      </c>
      <c r="BY642" s="553" t="str">
        <f t="shared" si="88"/>
        <v>2011NorthlanddhbSIDS</v>
      </c>
      <c r="BZ642" s="604">
        <v>2011</v>
      </c>
      <c r="CA642" s="604" t="s">
        <v>85</v>
      </c>
      <c r="CB642" s="604" t="s">
        <v>448</v>
      </c>
      <c r="CC642" s="604">
        <v>1</v>
      </c>
      <c r="CD642" s="604" t="s">
        <v>32</v>
      </c>
      <c r="CF642" s="559" t="str">
        <f t="shared" si="89"/>
        <v>5yearsEuropean or OtherCounties ManukaudhbSUDI</v>
      </c>
      <c r="CG642" s="604" t="s">
        <v>475</v>
      </c>
      <c r="CH642" s="604" t="s">
        <v>356</v>
      </c>
      <c r="CI642" s="604" t="s">
        <v>88</v>
      </c>
      <c r="CJ642" s="604" t="s">
        <v>448</v>
      </c>
      <c r="CK642" s="604">
        <v>1</v>
      </c>
      <c r="CL642" s="604" t="s">
        <v>33</v>
      </c>
    </row>
    <row r="643" spans="9:90">
      <c r="I643" s="578" t="str">
        <f t="shared" si="82"/>
        <v>2004gest42+Fetal</v>
      </c>
      <c r="J643" s="604">
        <v>2004</v>
      </c>
      <c r="K643" s="604" t="s">
        <v>450</v>
      </c>
      <c r="L643" s="604" t="s">
        <v>138</v>
      </c>
      <c r="M643" s="604">
        <v>5</v>
      </c>
      <c r="N643" s="604">
        <v>1695</v>
      </c>
      <c r="O643" s="604">
        <v>2.9</v>
      </c>
      <c r="P643" s="604" t="s">
        <v>47</v>
      </c>
      <c r="Q643" s="499"/>
      <c r="R643" s="502" t="str">
        <f t="shared" si="83"/>
        <v>2013birthsdhbMidCentral</v>
      </c>
      <c r="S643" s="604">
        <v>2013</v>
      </c>
      <c r="T643" s="604" t="s">
        <v>445</v>
      </c>
      <c r="U643" s="604" t="s">
        <v>448</v>
      </c>
      <c r="V643" s="604" t="s">
        <v>94</v>
      </c>
      <c r="W643" s="604">
        <v>2145</v>
      </c>
      <c r="Y643" s="535" t="str">
        <f t="shared" si="84"/>
        <v>2016agegest30-3432-36fetal</v>
      </c>
      <c r="Z643" s="604">
        <v>2016</v>
      </c>
      <c r="AA643" s="604" t="s">
        <v>453</v>
      </c>
      <c r="AB643" s="604" t="s">
        <v>450</v>
      </c>
      <c r="AC643" s="604" t="s">
        <v>132</v>
      </c>
      <c r="AD643" s="604" t="s">
        <v>136</v>
      </c>
      <c r="AE643" s="604">
        <v>18</v>
      </c>
      <c r="AF643" s="604">
        <v>1113</v>
      </c>
      <c r="AG643" s="604">
        <v>15.9</v>
      </c>
      <c r="AH643" s="604" t="s">
        <v>420</v>
      </c>
      <c r="AJ643" s="535" t="str">
        <f t="shared" si="85"/>
        <v>2016agegest30-3432-36</v>
      </c>
      <c r="AK643" s="604">
        <v>2016</v>
      </c>
      <c r="AL643" s="604" t="s">
        <v>453</v>
      </c>
      <c r="AM643" s="604" t="s">
        <v>450</v>
      </c>
      <c r="AN643" s="604" t="s">
        <v>132</v>
      </c>
      <c r="AO643" s="604" t="s">
        <v>136</v>
      </c>
      <c r="AP643" s="604">
        <v>1113</v>
      </c>
      <c r="AR643" s="538" t="str">
        <f t="shared" si="86"/>
        <v>UnknownbwtfetalBay of Plenty</v>
      </c>
      <c r="AS643" s="604">
        <v>2016</v>
      </c>
      <c r="AT643" s="604" t="s">
        <v>63</v>
      </c>
      <c r="AU643" s="604" t="s">
        <v>447</v>
      </c>
      <c r="AV643" s="604" t="s">
        <v>91</v>
      </c>
      <c r="AW643" s="604">
        <v>0</v>
      </c>
      <c r="AX643" s="604">
        <v>4</v>
      </c>
      <c r="AY643" s="606" t="s">
        <v>119</v>
      </c>
      <c r="AZ643" s="604" t="s">
        <v>420</v>
      </c>
      <c r="BB643" s="536" t="str">
        <f t="shared" si="90"/>
        <v>28-31gestbirthsNew Zealand</v>
      </c>
      <c r="BC643" s="604">
        <v>2016</v>
      </c>
      <c r="BD643" s="604" t="s">
        <v>395</v>
      </c>
      <c r="BE643" s="604" t="s">
        <v>450</v>
      </c>
      <c r="BF643" s="604" t="s">
        <v>16</v>
      </c>
      <c r="BG643" s="604">
        <v>417</v>
      </c>
      <c r="BH643" s="604" t="s">
        <v>445</v>
      </c>
      <c r="BY643" s="553" t="str">
        <f t="shared" si="88"/>
        <v>2011WaitematadhbSIDS</v>
      </c>
      <c r="BZ643" s="604">
        <v>2011</v>
      </c>
      <c r="CA643" s="604" t="s">
        <v>86</v>
      </c>
      <c r="CB643" s="604" t="s">
        <v>448</v>
      </c>
      <c r="CC643" s="604">
        <v>1</v>
      </c>
      <c r="CD643" s="604" t="s">
        <v>32</v>
      </c>
      <c r="CF643" s="559" t="str">
        <f t="shared" si="89"/>
        <v>5yearsMaoriCounties ManukaudhbSUDI</v>
      </c>
      <c r="CG643" s="604" t="s">
        <v>475</v>
      </c>
      <c r="CH643" s="604" t="s">
        <v>129</v>
      </c>
      <c r="CI643" s="604" t="s">
        <v>88</v>
      </c>
      <c r="CJ643" s="604" t="s">
        <v>448</v>
      </c>
      <c r="CK643" s="604">
        <v>23</v>
      </c>
      <c r="CL643" s="604" t="s">
        <v>33</v>
      </c>
    </row>
    <row r="644" spans="9:90">
      <c r="I644" s="578" t="str">
        <f t="shared" ref="I644:I707" si="91">J644&amp;K644&amp;L644&amp;P644</f>
        <v>2004gestUnknownFetal</v>
      </c>
      <c r="J644" s="604">
        <v>2004</v>
      </c>
      <c r="K644" s="604" t="s">
        <v>450</v>
      </c>
      <c r="L644" s="604" t="s">
        <v>63</v>
      </c>
      <c r="M644" s="604">
        <v>1</v>
      </c>
      <c r="N644" s="604">
        <v>45</v>
      </c>
      <c r="O644" s="604" t="s">
        <v>119</v>
      </c>
      <c r="P644" s="604" t="s">
        <v>47</v>
      </c>
      <c r="Q644" s="499"/>
      <c r="R644" s="502" t="str">
        <f t="shared" ref="R644:R707" si="92">S644&amp;T644&amp;U644&amp;V644</f>
        <v>2013birthsdhbWhanganui</v>
      </c>
      <c r="S644" s="604">
        <v>2013</v>
      </c>
      <c r="T644" s="604" t="s">
        <v>445</v>
      </c>
      <c r="U644" s="604" t="s">
        <v>448</v>
      </c>
      <c r="V644" s="604" t="s">
        <v>95</v>
      </c>
      <c r="W644" s="604">
        <v>867</v>
      </c>
      <c r="Y644" s="535" t="str">
        <f t="shared" ref="Y644:Y707" si="93">Z644&amp;AA644&amp;AB644&amp;AC644&amp;AD644&amp;AH644</f>
        <v>2016agegest35-3932-36fetal</v>
      </c>
      <c r="Z644" s="604">
        <v>2016</v>
      </c>
      <c r="AA644" s="604" t="s">
        <v>453</v>
      </c>
      <c r="AB644" s="604" t="s">
        <v>450</v>
      </c>
      <c r="AC644" s="604" t="s">
        <v>133</v>
      </c>
      <c r="AD644" s="604" t="s">
        <v>136</v>
      </c>
      <c r="AE644" s="604">
        <v>9</v>
      </c>
      <c r="AF644" s="604">
        <v>683</v>
      </c>
      <c r="AG644" s="604">
        <v>13</v>
      </c>
      <c r="AH644" s="604" t="s">
        <v>420</v>
      </c>
      <c r="AJ644" s="535" t="str">
        <f t="shared" ref="AJ644:AJ707" si="94">AK644&amp;AL644&amp;AM644&amp;AN644&amp;AO644</f>
        <v>2016agegest35-3932-36</v>
      </c>
      <c r="AK644" s="604">
        <v>2016</v>
      </c>
      <c r="AL644" s="604" t="s">
        <v>453</v>
      </c>
      <c r="AM644" s="604" t="s">
        <v>450</v>
      </c>
      <c r="AN644" s="604" t="s">
        <v>133</v>
      </c>
      <c r="AO644" s="604" t="s">
        <v>136</v>
      </c>
      <c r="AP644" s="604">
        <v>683</v>
      </c>
      <c r="AR644" s="538" t="str">
        <f t="shared" ref="AR644:AR707" si="95">AT644&amp;AU644&amp;AZ644&amp;AV644</f>
        <v>1000-1499bwtfetalTairawhiti</v>
      </c>
      <c r="AS644" s="604">
        <v>2016</v>
      </c>
      <c r="AT644" s="604" t="s">
        <v>429</v>
      </c>
      <c r="AU644" s="604" t="s">
        <v>447</v>
      </c>
      <c r="AV644" s="604" t="s">
        <v>433</v>
      </c>
      <c r="AW644" s="604">
        <v>0</v>
      </c>
      <c r="AX644" s="604">
        <v>5</v>
      </c>
      <c r="AY644" s="606">
        <v>0</v>
      </c>
      <c r="AZ644" s="604" t="s">
        <v>420</v>
      </c>
      <c r="BB644" s="536" t="str">
        <f t="shared" si="90"/>
        <v>32-36gestbirthsNew Zealand</v>
      </c>
      <c r="BC644" s="604">
        <v>2016</v>
      </c>
      <c r="BD644" s="604" t="s">
        <v>136</v>
      </c>
      <c r="BE644" s="604" t="s">
        <v>450</v>
      </c>
      <c r="BF644" s="604" t="s">
        <v>16</v>
      </c>
      <c r="BG644" s="604">
        <v>3814</v>
      </c>
      <c r="BH644" s="604" t="s">
        <v>445</v>
      </c>
      <c r="BY644" s="553" t="str">
        <f t="shared" ref="BY644:BY707" si="96">BZ644&amp;CA644&amp;CB644&amp;CD644</f>
        <v>2011AucklanddhbSIDS</v>
      </c>
      <c r="BZ644" s="604">
        <v>2011</v>
      </c>
      <c r="CA644" s="604" t="s">
        <v>87</v>
      </c>
      <c r="CB644" s="604" t="s">
        <v>448</v>
      </c>
      <c r="CC644" s="604">
        <v>0</v>
      </c>
      <c r="CD644" s="604" t="s">
        <v>32</v>
      </c>
      <c r="CF644" s="559" t="str">
        <f t="shared" ref="CF644:CF707" si="97">CG644&amp;CH644&amp;CI644&amp;CJ644&amp;CL644</f>
        <v>5yearsPacific peoplesCounties ManukaudhbSUDI</v>
      </c>
      <c r="CG644" s="604" t="s">
        <v>475</v>
      </c>
      <c r="CH644" s="604" t="s">
        <v>320</v>
      </c>
      <c r="CI644" s="604" t="s">
        <v>88</v>
      </c>
      <c r="CJ644" s="604" t="s">
        <v>448</v>
      </c>
      <c r="CK644" s="604">
        <v>18</v>
      </c>
      <c r="CL644" s="604" t="s">
        <v>33</v>
      </c>
    </row>
    <row r="645" spans="9:90">
      <c r="I645" s="578" t="str">
        <f t="shared" si="91"/>
        <v>2005gest&lt;28Fetal</v>
      </c>
      <c r="J645" s="604">
        <v>2005</v>
      </c>
      <c r="K645" s="604" t="s">
        <v>450</v>
      </c>
      <c r="L645" s="604" t="s">
        <v>375</v>
      </c>
      <c r="M645" s="604">
        <v>220</v>
      </c>
      <c r="N645" s="604">
        <v>493</v>
      </c>
      <c r="O645" s="604">
        <v>446.2</v>
      </c>
      <c r="P645" s="604" t="s">
        <v>47</v>
      </c>
      <c r="Q645" s="499"/>
      <c r="R645" s="502" t="str">
        <f t="shared" si="92"/>
        <v>2013birthsdhbCapital &amp; Coast</v>
      </c>
      <c r="S645" s="604">
        <v>2013</v>
      </c>
      <c r="T645" s="604" t="s">
        <v>445</v>
      </c>
      <c r="U645" s="604" t="s">
        <v>448</v>
      </c>
      <c r="V645" s="604" t="s">
        <v>96</v>
      </c>
      <c r="W645" s="604">
        <v>3638</v>
      </c>
      <c r="Y645" s="535" t="str">
        <f t="shared" si="93"/>
        <v>2016agegest40+32-36fetal</v>
      </c>
      <c r="Z645" s="604">
        <v>2016</v>
      </c>
      <c r="AA645" s="604" t="s">
        <v>453</v>
      </c>
      <c r="AB645" s="604" t="s">
        <v>450</v>
      </c>
      <c r="AC645" s="604" t="s">
        <v>134</v>
      </c>
      <c r="AD645" s="604" t="s">
        <v>136</v>
      </c>
      <c r="AE645" s="604">
        <v>1</v>
      </c>
      <c r="AF645" s="604">
        <v>234</v>
      </c>
      <c r="AG645" s="604">
        <v>4.3</v>
      </c>
      <c r="AH645" s="604" t="s">
        <v>420</v>
      </c>
      <c r="AJ645" s="535" t="str">
        <f t="shared" si="94"/>
        <v>2016agegest40+32-36</v>
      </c>
      <c r="AK645" s="604">
        <v>2016</v>
      </c>
      <c r="AL645" s="604" t="s">
        <v>453</v>
      </c>
      <c r="AM645" s="604" t="s">
        <v>450</v>
      </c>
      <c r="AN645" s="604" t="s">
        <v>134</v>
      </c>
      <c r="AO645" s="604" t="s">
        <v>136</v>
      </c>
      <c r="AP645" s="604">
        <v>234</v>
      </c>
      <c r="AR645" s="538" t="str">
        <f t="shared" si="95"/>
        <v>1500-2499bwtfetalTairawhiti</v>
      </c>
      <c r="AS645" s="604">
        <v>2016</v>
      </c>
      <c r="AT645" s="604" t="s">
        <v>430</v>
      </c>
      <c r="AU645" s="604" t="s">
        <v>447</v>
      </c>
      <c r="AV645" s="604" t="s">
        <v>433</v>
      </c>
      <c r="AW645" s="604">
        <v>0</v>
      </c>
      <c r="AX645" s="604">
        <v>52</v>
      </c>
      <c r="AY645" s="606">
        <v>0</v>
      </c>
      <c r="AZ645" s="604" t="s">
        <v>420</v>
      </c>
      <c r="BB645" s="536" t="str">
        <f t="shared" si="90"/>
        <v>37-41gestbirthsNew Zealand</v>
      </c>
      <c r="BC645" s="604">
        <v>2016</v>
      </c>
      <c r="BD645" s="604" t="s">
        <v>137</v>
      </c>
      <c r="BE645" s="604" t="s">
        <v>450</v>
      </c>
      <c r="BF645" s="604" t="s">
        <v>16</v>
      </c>
      <c r="BG645" s="604">
        <v>54899</v>
      </c>
      <c r="BH645" s="604" t="s">
        <v>445</v>
      </c>
      <c r="BY645" s="553" t="str">
        <f t="shared" si="96"/>
        <v>2011Counties ManukaudhbSIDS</v>
      </c>
      <c r="BZ645" s="604">
        <v>2011</v>
      </c>
      <c r="CA645" s="604" t="s">
        <v>88</v>
      </c>
      <c r="CB645" s="604" t="s">
        <v>448</v>
      </c>
      <c r="CC645" s="604">
        <v>4</v>
      </c>
      <c r="CD645" s="604" t="s">
        <v>32</v>
      </c>
      <c r="CF645" s="559" t="str">
        <f t="shared" si="97"/>
        <v>5yearsAsianWaikatodhbSUDI</v>
      </c>
      <c r="CG645" s="604" t="s">
        <v>475</v>
      </c>
      <c r="CH645" s="604" t="s">
        <v>355</v>
      </c>
      <c r="CI645" s="604" t="s">
        <v>89</v>
      </c>
      <c r="CJ645" s="604" t="s">
        <v>448</v>
      </c>
      <c r="CK645" s="604">
        <v>0</v>
      </c>
      <c r="CL645" s="604" t="s">
        <v>33</v>
      </c>
    </row>
    <row r="646" spans="9:90">
      <c r="I646" s="578" t="str">
        <f t="shared" si="91"/>
        <v>2005gest28-31Fetal</v>
      </c>
      <c r="J646" s="604">
        <v>2005</v>
      </c>
      <c r="K646" s="604" t="s">
        <v>450</v>
      </c>
      <c r="L646" s="604" t="s">
        <v>395</v>
      </c>
      <c r="M646" s="604">
        <v>40</v>
      </c>
      <c r="N646" s="604">
        <v>518</v>
      </c>
      <c r="O646" s="604">
        <v>77.2</v>
      </c>
      <c r="P646" s="604" t="s">
        <v>47</v>
      </c>
      <c r="Q646" s="499"/>
      <c r="R646" s="502" t="str">
        <f t="shared" si="92"/>
        <v>2013birthsdhbHutt Valley</v>
      </c>
      <c r="S646" s="604">
        <v>2013</v>
      </c>
      <c r="T646" s="604" t="s">
        <v>445</v>
      </c>
      <c r="U646" s="604" t="s">
        <v>448</v>
      </c>
      <c r="V646" s="604" t="s">
        <v>97</v>
      </c>
      <c r="W646" s="604">
        <v>1903</v>
      </c>
      <c r="Y646" s="535" t="str">
        <f t="shared" si="93"/>
        <v>2016agegest&lt;2037-41fetal</v>
      </c>
      <c r="Z646" s="604">
        <v>2016</v>
      </c>
      <c r="AA646" s="604" t="s">
        <v>453</v>
      </c>
      <c r="AB646" s="604" t="s">
        <v>450</v>
      </c>
      <c r="AC646" s="604" t="s">
        <v>339</v>
      </c>
      <c r="AD646" s="604" t="s">
        <v>137</v>
      </c>
      <c r="AE646" s="604">
        <v>7</v>
      </c>
      <c r="AF646" s="604">
        <v>2277</v>
      </c>
      <c r="AG646" s="604">
        <v>3.1</v>
      </c>
      <c r="AH646" s="604" t="s">
        <v>420</v>
      </c>
      <c r="AJ646" s="535" t="str">
        <f t="shared" si="94"/>
        <v>2016agegest&lt;2037-41</v>
      </c>
      <c r="AK646" s="604">
        <v>2016</v>
      </c>
      <c r="AL646" s="604" t="s">
        <v>453</v>
      </c>
      <c r="AM646" s="604" t="s">
        <v>450</v>
      </c>
      <c r="AN646" s="604" t="s">
        <v>339</v>
      </c>
      <c r="AO646" s="604" t="s">
        <v>137</v>
      </c>
      <c r="AP646" s="604">
        <v>2277</v>
      </c>
      <c r="AR646" s="538" t="str">
        <f t="shared" si="95"/>
        <v>2500-4499bwtfetalTairawhiti</v>
      </c>
      <c r="AS646" s="604">
        <v>2016</v>
      </c>
      <c r="AT646" s="604" t="s">
        <v>431</v>
      </c>
      <c r="AU646" s="604" t="s">
        <v>447</v>
      </c>
      <c r="AV646" s="604" t="s">
        <v>433</v>
      </c>
      <c r="AW646" s="604">
        <v>0</v>
      </c>
      <c r="AX646" s="604">
        <v>685</v>
      </c>
      <c r="AY646" s="606">
        <v>0</v>
      </c>
      <c r="AZ646" s="604" t="s">
        <v>420</v>
      </c>
      <c r="BB646" s="536" t="str">
        <f t="shared" si="90"/>
        <v>42+gestbirthsNew Zealand</v>
      </c>
      <c r="BC646" s="604">
        <v>2016</v>
      </c>
      <c r="BD646" s="604" t="s">
        <v>138</v>
      </c>
      <c r="BE646" s="604" t="s">
        <v>450</v>
      </c>
      <c r="BF646" s="604" t="s">
        <v>16</v>
      </c>
      <c r="BG646" s="604">
        <v>1017</v>
      </c>
      <c r="BH646" s="604" t="s">
        <v>445</v>
      </c>
      <c r="BY646" s="553" t="str">
        <f t="shared" si="96"/>
        <v>2011WaikatodhbSIDS</v>
      </c>
      <c r="BZ646" s="604">
        <v>2011</v>
      </c>
      <c r="CA646" s="604" t="s">
        <v>89</v>
      </c>
      <c r="CB646" s="604" t="s">
        <v>448</v>
      </c>
      <c r="CC646" s="604">
        <v>3</v>
      </c>
      <c r="CD646" s="604" t="s">
        <v>32</v>
      </c>
      <c r="CF646" s="559" t="str">
        <f t="shared" si="97"/>
        <v>5yearsEuropean or OtherWaikatodhbSUDI</v>
      </c>
      <c r="CG646" s="604" t="s">
        <v>475</v>
      </c>
      <c r="CH646" s="604" t="s">
        <v>356</v>
      </c>
      <c r="CI646" s="604" t="s">
        <v>89</v>
      </c>
      <c r="CJ646" s="604" t="s">
        <v>448</v>
      </c>
      <c r="CK646" s="604">
        <v>8</v>
      </c>
      <c r="CL646" s="604" t="s">
        <v>33</v>
      </c>
    </row>
    <row r="647" spans="9:90">
      <c r="I647" s="578" t="str">
        <f t="shared" si="91"/>
        <v>2005gest32-36Fetal</v>
      </c>
      <c r="J647" s="604">
        <v>2005</v>
      </c>
      <c r="K647" s="604" t="s">
        <v>450</v>
      </c>
      <c r="L647" s="604" t="s">
        <v>136</v>
      </c>
      <c r="M647" s="604">
        <v>54</v>
      </c>
      <c r="N647" s="604">
        <v>3518</v>
      </c>
      <c r="O647" s="604">
        <v>15.3</v>
      </c>
      <c r="P647" s="604" t="s">
        <v>47</v>
      </c>
      <c r="Q647" s="499"/>
      <c r="R647" s="502" t="str">
        <f t="shared" si="92"/>
        <v>2013birthsdhbWairarapa</v>
      </c>
      <c r="S647" s="604">
        <v>2013</v>
      </c>
      <c r="T647" s="604" t="s">
        <v>445</v>
      </c>
      <c r="U647" s="604" t="s">
        <v>448</v>
      </c>
      <c r="V647" s="604" t="s">
        <v>98</v>
      </c>
      <c r="W647" s="604">
        <v>497</v>
      </c>
      <c r="Y647" s="535" t="str">
        <f t="shared" si="93"/>
        <v>2016agegest20-2437-41fetal</v>
      </c>
      <c r="Z647" s="604">
        <v>2016</v>
      </c>
      <c r="AA647" s="604" t="s">
        <v>453</v>
      </c>
      <c r="AB647" s="604" t="s">
        <v>450</v>
      </c>
      <c r="AC647" s="604" t="s">
        <v>130</v>
      </c>
      <c r="AD647" s="604" t="s">
        <v>137</v>
      </c>
      <c r="AE647" s="604">
        <v>20</v>
      </c>
      <c r="AF647" s="604">
        <v>9027</v>
      </c>
      <c r="AG647" s="604">
        <v>2.2000000000000002</v>
      </c>
      <c r="AH647" s="604" t="s">
        <v>420</v>
      </c>
      <c r="AJ647" s="535" t="str">
        <f t="shared" si="94"/>
        <v>2016agegest20-2437-41</v>
      </c>
      <c r="AK647" s="604">
        <v>2016</v>
      </c>
      <c r="AL647" s="604" t="s">
        <v>453</v>
      </c>
      <c r="AM647" s="604" t="s">
        <v>450</v>
      </c>
      <c r="AN647" s="604" t="s">
        <v>130</v>
      </c>
      <c r="AO647" s="604" t="s">
        <v>137</v>
      </c>
      <c r="AP647" s="604">
        <v>9027</v>
      </c>
      <c r="AR647" s="538" t="str">
        <f t="shared" si="95"/>
        <v>4500+bwtfetalTairawhiti</v>
      </c>
      <c r="AS647" s="604">
        <v>2016</v>
      </c>
      <c r="AT647" s="604" t="s">
        <v>432</v>
      </c>
      <c r="AU647" s="604" t="s">
        <v>447</v>
      </c>
      <c r="AV647" s="604" t="s">
        <v>433</v>
      </c>
      <c r="AW647" s="604">
        <v>0</v>
      </c>
      <c r="AX647" s="604">
        <v>25</v>
      </c>
      <c r="AY647" s="606">
        <v>0</v>
      </c>
      <c r="AZ647" s="604" t="s">
        <v>420</v>
      </c>
      <c r="BB647" s="536" t="str">
        <f t="shared" si="90"/>
        <v>UnknowngestbirthsNew Zealand</v>
      </c>
      <c r="BC647" s="604">
        <v>2016</v>
      </c>
      <c r="BD647" s="604" t="s">
        <v>63</v>
      </c>
      <c r="BE647" s="604" t="s">
        <v>450</v>
      </c>
      <c r="BF647" s="604" t="s">
        <v>16</v>
      </c>
      <c r="BG647" s="604">
        <v>29</v>
      </c>
      <c r="BH647" s="604" t="s">
        <v>445</v>
      </c>
      <c r="BY647" s="553" t="str">
        <f t="shared" si="96"/>
        <v>2011LakesdhbSIDS</v>
      </c>
      <c r="BZ647" s="604">
        <v>2011</v>
      </c>
      <c r="CA647" s="604" t="s">
        <v>90</v>
      </c>
      <c r="CB647" s="604" t="s">
        <v>448</v>
      </c>
      <c r="CC647" s="604">
        <v>3</v>
      </c>
      <c r="CD647" s="604" t="s">
        <v>32</v>
      </c>
      <c r="CF647" s="559" t="str">
        <f t="shared" si="97"/>
        <v>5yearsMaoriWaikatodhbSUDI</v>
      </c>
      <c r="CG647" s="604" t="s">
        <v>475</v>
      </c>
      <c r="CH647" s="604" t="s">
        <v>129</v>
      </c>
      <c r="CI647" s="604" t="s">
        <v>89</v>
      </c>
      <c r="CJ647" s="604" t="s">
        <v>448</v>
      </c>
      <c r="CK647" s="604">
        <v>18</v>
      </c>
      <c r="CL647" s="604" t="s">
        <v>33</v>
      </c>
    </row>
    <row r="648" spans="9:90">
      <c r="I648" s="578" t="str">
        <f t="shared" si="91"/>
        <v>2005gest37-41Fetal</v>
      </c>
      <c r="J648" s="604">
        <v>2005</v>
      </c>
      <c r="K648" s="604" t="s">
        <v>450</v>
      </c>
      <c r="L648" s="604" t="s">
        <v>137</v>
      </c>
      <c r="M648" s="604">
        <v>83</v>
      </c>
      <c r="N648" s="604">
        <v>52730</v>
      </c>
      <c r="O648" s="604">
        <v>1.6</v>
      </c>
      <c r="P648" s="604" t="s">
        <v>47</v>
      </c>
      <c r="Q648" s="499"/>
      <c r="R648" s="502" t="str">
        <f t="shared" si="92"/>
        <v>2013birthsdhbNelson Marlborough</v>
      </c>
      <c r="S648" s="604">
        <v>2013</v>
      </c>
      <c r="T648" s="604" t="s">
        <v>445</v>
      </c>
      <c r="U648" s="604" t="s">
        <v>448</v>
      </c>
      <c r="V648" s="604" t="s">
        <v>99</v>
      </c>
      <c r="W648" s="604">
        <v>1556</v>
      </c>
      <c r="Y648" s="535" t="str">
        <f t="shared" si="93"/>
        <v>2016agegest25-2937-41fetal</v>
      </c>
      <c r="Z648" s="604">
        <v>2016</v>
      </c>
      <c r="AA648" s="604" t="s">
        <v>453</v>
      </c>
      <c r="AB648" s="604" t="s">
        <v>450</v>
      </c>
      <c r="AC648" s="604" t="s">
        <v>131</v>
      </c>
      <c r="AD648" s="604" t="s">
        <v>137</v>
      </c>
      <c r="AE648" s="604">
        <v>18</v>
      </c>
      <c r="AF648" s="604">
        <v>15201</v>
      </c>
      <c r="AG648" s="604">
        <v>1.2</v>
      </c>
      <c r="AH648" s="604" t="s">
        <v>420</v>
      </c>
      <c r="AJ648" s="535" t="str">
        <f t="shared" si="94"/>
        <v>2016agegest25-2937-41</v>
      </c>
      <c r="AK648" s="604">
        <v>2016</v>
      </c>
      <c r="AL648" s="604" t="s">
        <v>453</v>
      </c>
      <c r="AM648" s="604" t="s">
        <v>450</v>
      </c>
      <c r="AN648" s="604" t="s">
        <v>131</v>
      </c>
      <c r="AO648" s="604" t="s">
        <v>137</v>
      </c>
      <c r="AP648" s="604">
        <v>15201</v>
      </c>
      <c r="AR648" s="538" t="str">
        <f t="shared" si="95"/>
        <v>500-999bwtfetalHawke's Bay</v>
      </c>
      <c r="AS648" s="604">
        <v>2016</v>
      </c>
      <c r="AT648" s="604" t="s">
        <v>428</v>
      </c>
      <c r="AU648" s="604" t="s">
        <v>447</v>
      </c>
      <c r="AV648" s="604" t="s">
        <v>92</v>
      </c>
      <c r="AW648" s="604">
        <v>0</v>
      </c>
      <c r="AX648" s="604">
        <v>7</v>
      </c>
      <c r="AY648" s="606">
        <v>0</v>
      </c>
      <c r="AZ648" s="604" t="s">
        <v>420</v>
      </c>
      <c r="BB648" s="536" t="str">
        <f t="shared" si="90"/>
        <v>&lt;500bwtbirthsNew Zealand</v>
      </c>
      <c r="BC648" s="604">
        <v>2016</v>
      </c>
      <c r="BD648" s="604" t="s">
        <v>427</v>
      </c>
      <c r="BE648" s="604" t="s">
        <v>447</v>
      </c>
      <c r="BF648" s="604" t="s">
        <v>16</v>
      </c>
      <c r="BG648" s="604">
        <v>53</v>
      </c>
      <c r="BH648" s="604" t="s">
        <v>445</v>
      </c>
      <c r="BY648" s="553" t="str">
        <f t="shared" si="96"/>
        <v>2011Bay of PlentydhbSIDS</v>
      </c>
      <c r="BZ648" s="604">
        <v>2011</v>
      </c>
      <c r="CA648" s="604" t="s">
        <v>91</v>
      </c>
      <c r="CB648" s="604" t="s">
        <v>448</v>
      </c>
      <c r="CC648" s="604">
        <v>5</v>
      </c>
      <c r="CD648" s="604" t="s">
        <v>32</v>
      </c>
      <c r="CF648" s="559" t="str">
        <f t="shared" si="97"/>
        <v>5yearsPacific peoplesWaikatodhbSUDI</v>
      </c>
      <c r="CG648" s="604" t="s">
        <v>475</v>
      </c>
      <c r="CH648" s="604" t="s">
        <v>320</v>
      </c>
      <c r="CI648" s="604" t="s">
        <v>89</v>
      </c>
      <c r="CJ648" s="604" t="s">
        <v>448</v>
      </c>
      <c r="CK648" s="604">
        <v>3</v>
      </c>
      <c r="CL648" s="604" t="s">
        <v>33</v>
      </c>
    </row>
    <row r="649" spans="9:90">
      <c r="I649" s="578" t="str">
        <f t="shared" si="91"/>
        <v>2005gest42+Fetal</v>
      </c>
      <c r="J649" s="604">
        <v>2005</v>
      </c>
      <c r="K649" s="604" t="s">
        <v>450</v>
      </c>
      <c r="L649" s="604" t="s">
        <v>138</v>
      </c>
      <c r="M649" s="604">
        <v>5</v>
      </c>
      <c r="N649" s="604">
        <v>1830</v>
      </c>
      <c r="O649" s="604">
        <v>2.7</v>
      </c>
      <c r="P649" s="604" t="s">
        <v>47</v>
      </c>
      <c r="Q649" s="499"/>
      <c r="R649" s="502" t="str">
        <f t="shared" si="92"/>
        <v>2013birthsdhbWest Coast</v>
      </c>
      <c r="S649" s="604">
        <v>2013</v>
      </c>
      <c r="T649" s="604" t="s">
        <v>445</v>
      </c>
      <c r="U649" s="604" t="s">
        <v>448</v>
      </c>
      <c r="V649" s="604" t="s">
        <v>100</v>
      </c>
      <c r="W649" s="604">
        <v>392</v>
      </c>
      <c r="Y649" s="535" t="str">
        <f t="shared" si="93"/>
        <v>2016agegest30-3437-41fetal</v>
      </c>
      <c r="Z649" s="604">
        <v>2016</v>
      </c>
      <c r="AA649" s="604" t="s">
        <v>453</v>
      </c>
      <c r="AB649" s="604" t="s">
        <v>450</v>
      </c>
      <c r="AC649" s="604" t="s">
        <v>132</v>
      </c>
      <c r="AD649" s="604" t="s">
        <v>137</v>
      </c>
      <c r="AE649" s="604">
        <v>21</v>
      </c>
      <c r="AF649" s="604">
        <v>17088</v>
      </c>
      <c r="AG649" s="604">
        <v>1.2</v>
      </c>
      <c r="AH649" s="604" t="s">
        <v>420</v>
      </c>
      <c r="AJ649" s="535" t="str">
        <f t="shared" si="94"/>
        <v>2016agegest30-3437-41</v>
      </c>
      <c r="AK649" s="604">
        <v>2016</v>
      </c>
      <c r="AL649" s="604" t="s">
        <v>453</v>
      </c>
      <c r="AM649" s="604" t="s">
        <v>450</v>
      </c>
      <c r="AN649" s="604" t="s">
        <v>132</v>
      </c>
      <c r="AO649" s="604" t="s">
        <v>137</v>
      </c>
      <c r="AP649" s="604">
        <v>17088</v>
      </c>
      <c r="AR649" s="538" t="str">
        <f t="shared" si="95"/>
        <v>1500-2499bwtfetalHawke's Bay</v>
      </c>
      <c r="AS649" s="604">
        <v>2016</v>
      </c>
      <c r="AT649" s="604" t="s">
        <v>430</v>
      </c>
      <c r="AU649" s="604" t="s">
        <v>447</v>
      </c>
      <c r="AV649" s="604" t="s">
        <v>92</v>
      </c>
      <c r="AW649" s="604">
        <v>0</v>
      </c>
      <c r="AX649" s="604">
        <v>118</v>
      </c>
      <c r="AY649" s="606">
        <v>0</v>
      </c>
      <c r="AZ649" s="604" t="s">
        <v>420</v>
      </c>
      <c r="BB649" s="536" t="str">
        <f t="shared" si="90"/>
        <v>500-999bwtbirthsNew Zealand</v>
      </c>
      <c r="BC649" s="604">
        <v>2016</v>
      </c>
      <c r="BD649" s="604" t="s">
        <v>428</v>
      </c>
      <c r="BE649" s="604" t="s">
        <v>447</v>
      </c>
      <c r="BF649" s="604" t="s">
        <v>16</v>
      </c>
      <c r="BG649" s="604">
        <v>196</v>
      </c>
      <c r="BH649" s="604" t="s">
        <v>445</v>
      </c>
      <c r="BY649" s="553" t="str">
        <f t="shared" si="96"/>
        <v>2011TairawhitidhbSIDS</v>
      </c>
      <c r="BZ649" s="604">
        <v>2011</v>
      </c>
      <c r="CA649" s="604" t="s">
        <v>433</v>
      </c>
      <c r="CB649" s="604" t="s">
        <v>448</v>
      </c>
      <c r="CC649" s="604">
        <v>0</v>
      </c>
      <c r="CD649" s="604" t="s">
        <v>32</v>
      </c>
      <c r="CF649" s="559" t="str">
        <f t="shared" si="97"/>
        <v>5yearsAsianLakesdhbSUDI</v>
      </c>
      <c r="CG649" s="604" t="s">
        <v>475</v>
      </c>
      <c r="CH649" s="604" t="s">
        <v>355</v>
      </c>
      <c r="CI649" s="604" t="s">
        <v>90</v>
      </c>
      <c r="CJ649" s="604" t="s">
        <v>448</v>
      </c>
      <c r="CK649" s="604">
        <v>0</v>
      </c>
      <c r="CL649" s="604" t="s">
        <v>33</v>
      </c>
    </row>
    <row r="650" spans="9:90">
      <c r="I650" s="578" t="str">
        <f t="shared" si="91"/>
        <v>2005gestUnknownFetal</v>
      </c>
      <c r="J650" s="604">
        <v>2005</v>
      </c>
      <c r="K650" s="604" t="s">
        <v>450</v>
      </c>
      <c r="L650" s="604" t="s">
        <v>63</v>
      </c>
      <c r="M650" s="604">
        <v>1</v>
      </c>
      <c r="N650" s="604">
        <v>41</v>
      </c>
      <c r="O650" s="604" t="s">
        <v>119</v>
      </c>
      <c r="P650" s="604" t="s">
        <v>47</v>
      </c>
      <c r="Q650" s="499"/>
      <c r="R650" s="502" t="str">
        <f t="shared" si="92"/>
        <v>2013birthsdhbCanterbury</v>
      </c>
      <c r="S650" s="604">
        <v>2013</v>
      </c>
      <c r="T650" s="604" t="s">
        <v>445</v>
      </c>
      <c r="U650" s="604" t="s">
        <v>448</v>
      </c>
      <c r="V650" s="604" t="s">
        <v>101</v>
      </c>
      <c r="W650" s="604">
        <v>5945</v>
      </c>
      <c r="Y650" s="535" t="str">
        <f t="shared" si="93"/>
        <v>2016agegest35-3937-41fetal</v>
      </c>
      <c r="Z650" s="604">
        <v>2016</v>
      </c>
      <c r="AA650" s="604" t="s">
        <v>453</v>
      </c>
      <c r="AB650" s="604" t="s">
        <v>450</v>
      </c>
      <c r="AC650" s="604" t="s">
        <v>133</v>
      </c>
      <c r="AD650" s="604" t="s">
        <v>137</v>
      </c>
      <c r="AE650" s="604">
        <v>15</v>
      </c>
      <c r="AF650" s="604">
        <v>9143</v>
      </c>
      <c r="AG650" s="604">
        <v>1.6</v>
      </c>
      <c r="AH650" s="604" t="s">
        <v>420</v>
      </c>
      <c r="AJ650" s="535" t="str">
        <f t="shared" si="94"/>
        <v>2016agegest35-3937-41</v>
      </c>
      <c r="AK650" s="604">
        <v>2016</v>
      </c>
      <c r="AL650" s="604" t="s">
        <v>453</v>
      </c>
      <c r="AM650" s="604" t="s">
        <v>450</v>
      </c>
      <c r="AN650" s="604" t="s">
        <v>133</v>
      </c>
      <c r="AO650" s="604" t="s">
        <v>137</v>
      </c>
      <c r="AP650" s="604">
        <v>9143</v>
      </c>
      <c r="AR650" s="538" t="str">
        <f t="shared" si="95"/>
        <v>4500+bwtfetalHawke's Bay</v>
      </c>
      <c r="AS650" s="604">
        <v>2016</v>
      </c>
      <c r="AT650" s="604" t="s">
        <v>432</v>
      </c>
      <c r="AU650" s="604" t="s">
        <v>447</v>
      </c>
      <c r="AV650" s="604" t="s">
        <v>92</v>
      </c>
      <c r="AW650" s="604">
        <v>0</v>
      </c>
      <c r="AX650" s="604">
        <v>50</v>
      </c>
      <c r="AY650" s="606">
        <v>0</v>
      </c>
      <c r="AZ650" s="604" t="s">
        <v>420</v>
      </c>
      <c r="BB650" s="536" t="str">
        <f t="shared" si="90"/>
        <v>1000-1499bwtbirthsNew Zealand</v>
      </c>
      <c r="BC650" s="604">
        <v>2016</v>
      </c>
      <c r="BD650" s="604" t="s">
        <v>429</v>
      </c>
      <c r="BE650" s="604" t="s">
        <v>447</v>
      </c>
      <c r="BF650" s="604" t="s">
        <v>16</v>
      </c>
      <c r="BG650" s="604">
        <v>331</v>
      </c>
      <c r="BH650" s="604" t="s">
        <v>445</v>
      </c>
      <c r="BY650" s="553" t="str">
        <f t="shared" si="96"/>
        <v>2011Hawke's BaydhbSIDS</v>
      </c>
      <c r="BZ650" s="604">
        <v>2011</v>
      </c>
      <c r="CA650" s="604" t="s">
        <v>92</v>
      </c>
      <c r="CB650" s="604" t="s">
        <v>448</v>
      </c>
      <c r="CC650" s="604">
        <v>0</v>
      </c>
      <c r="CD650" s="604" t="s">
        <v>32</v>
      </c>
      <c r="CF650" s="559" t="str">
        <f t="shared" si="97"/>
        <v>5yearsEuropean or OtherLakesdhbSUDI</v>
      </c>
      <c r="CG650" s="604" t="s">
        <v>475</v>
      </c>
      <c r="CH650" s="604" t="s">
        <v>356</v>
      </c>
      <c r="CI650" s="604" t="s">
        <v>90</v>
      </c>
      <c r="CJ650" s="604" t="s">
        <v>448</v>
      </c>
      <c r="CK650" s="604">
        <v>1</v>
      </c>
      <c r="CL650" s="604" t="s">
        <v>33</v>
      </c>
    </row>
    <row r="651" spans="9:90">
      <c r="I651" s="578" t="str">
        <f t="shared" si="91"/>
        <v>2006gest&lt;28Fetal</v>
      </c>
      <c r="J651" s="604">
        <v>2006</v>
      </c>
      <c r="K651" s="604" t="s">
        <v>450</v>
      </c>
      <c r="L651" s="604" t="s">
        <v>375</v>
      </c>
      <c r="M651" s="604">
        <v>229</v>
      </c>
      <c r="N651" s="604">
        <v>498</v>
      </c>
      <c r="O651" s="604">
        <v>459.8</v>
      </c>
      <c r="P651" s="604" t="s">
        <v>47</v>
      </c>
      <c r="Q651" s="499"/>
      <c r="R651" s="502" t="str">
        <f t="shared" si="92"/>
        <v>2013birthsdhbSouth Canterbury</v>
      </c>
      <c r="S651" s="604">
        <v>2013</v>
      </c>
      <c r="T651" s="604" t="s">
        <v>445</v>
      </c>
      <c r="U651" s="604" t="s">
        <v>448</v>
      </c>
      <c r="V651" s="604" t="s">
        <v>102</v>
      </c>
      <c r="W651" s="604">
        <v>629</v>
      </c>
      <c r="Y651" s="535" t="str">
        <f t="shared" si="93"/>
        <v>2016agegest40+37-41fetal</v>
      </c>
      <c r="Z651" s="604">
        <v>2016</v>
      </c>
      <c r="AA651" s="604" t="s">
        <v>453</v>
      </c>
      <c r="AB651" s="604" t="s">
        <v>450</v>
      </c>
      <c r="AC651" s="604" t="s">
        <v>134</v>
      </c>
      <c r="AD651" s="604" t="s">
        <v>137</v>
      </c>
      <c r="AE651" s="604">
        <v>5</v>
      </c>
      <c r="AF651" s="604">
        <v>2163</v>
      </c>
      <c r="AG651" s="604">
        <v>2.2999999999999998</v>
      </c>
      <c r="AH651" s="604" t="s">
        <v>420</v>
      </c>
      <c r="AJ651" s="535" t="str">
        <f t="shared" si="94"/>
        <v>2016agegest40+37-41</v>
      </c>
      <c r="AK651" s="604">
        <v>2016</v>
      </c>
      <c r="AL651" s="604" t="s">
        <v>453</v>
      </c>
      <c r="AM651" s="604" t="s">
        <v>450</v>
      </c>
      <c r="AN651" s="604" t="s">
        <v>134</v>
      </c>
      <c r="AO651" s="604" t="s">
        <v>137</v>
      </c>
      <c r="AP651" s="604">
        <v>2163</v>
      </c>
      <c r="AR651" s="538" t="str">
        <f t="shared" si="95"/>
        <v>1000-1499bwtfetalTaranaki</v>
      </c>
      <c r="AS651" s="604">
        <v>2016</v>
      </c>
      <c r="AT651" s="604" t="s">
        <v>429</v>
      </c>
      <c r="AU651" s="604" t="s">
        <v>447</v>
      </c>
      <c r="AV651" s="604" t="s">
        <v>93</v>
      </c>
      <c r="AW651" s="604">
        <v>0</v>
      </c>
      <c r="AX651" s="604">
        <v>6</v>
      </c>
      <c r="AY651" s="606">
        <v>0</v>
      </c>
      <c r="AZ651" s="604" t="s">
        <v>420</v>
      </c>
      <c r="BB651" s="536" t="str">
        <f t="shared" si="90"/>
        <v>1500-2499bwtbirthsNew Zealand</v>
      </c>
      <c r="BC651" s="604">
        <v>2016</v>
      </c>
      <c r="BD651" s="604" t="s">
        <v>430</v>
      </c>
      <c r="BE651" s="604" t="s">
        <v>447</v>
      </c>
      <c r="BF651" s="604" t="s">
        <v>16</v>
      </c>
      <c r="BG651" s="604">
        <v>2991</v>
      </c>
      <c r="BH651" s="604" t="s">
        <v>445</v>
      </c>
      <c r="BY651" s="553" t="str">
        <f t="shared" si="96"/>
        <v>2011TaranakidhbSIDS</v>
      </c>
      <c r="BZ651" s="604">
        <v>2011</v>
      </c>
      <c r="CA651" s="604" t="s">
        <v>93</v>
      </c>
      <c r="CB651" s="604" t="s">
        <v>448</v>
      </c>
      <c r="CC651" s="604">
        <v>2</v>
      </c>
      <c r="CD651" s="604" t="s">
        <v>32</v>
      </c>
      <c r="CF651" s="559" t="str">
        <f t="shared" si="97"/>
        <v>5yearsMaoriLakesdhbSUDI</v>
      </c>
      <c r="CG651" s="604" t="s">
        <v>475</v>
      </c>
      <c r="CH651" s="604" t="s">
        <v>129</v>
      </c>
      <c r="CI651" s="604" t="s">
        <v>90</v>
      </c>
      <c r="CJ651" s="604" t="s">
        <v>448</v>
      </c>
      <c r="CK651" s="604">
        <v>5</v>
      </c>
      <c r="CL651" s="604" t="s">
        <v>33</v>
      </c>
    </row>
    <row r="652" spans="9:90">
      <c r="I652" s="578" t="str">
        <f t="shared" si="91"/>
        <v>2006gest28-31Fetal</v>
      </c>
      <c r="J652" s="604">
        <v>2006</v>
      </c>
      <c r="K652" s="604" t="s">
        <v>450</v>
      </c>
      <c r="L652" s="604" t="s">
        <v>395</v>
      </c>
      <c r="M652" s="604">
        <v>46</v>
      </c>
      <c r="N652" s="604">
        <v>527</v>
      </c>
      <c r="O652" s="604">
        <v>87.3</v>
      </c>
      <c r="P652" s="604" t="s">
        <v>47</v>
      </c>
      <c r="Q652" s="499"/>
      <c r="R652" s="502" t="str">
        <f t="shared" si="92"/>
        <v>2013birthsdhbSouthern</v>
      </c>
      <c r="S652" s="604">
        <v>2013</v>
      </c>
      <c r="T652" s="604" t="s">
        <v>445</v>
      </c>
      <c r="U652" s="604" t="s">
        <v>448</v>
      </c>
      <c r="V652" s="604" t="s">
        <v>103</v>
      </c>
      <c r="W652" s="604">
        <v>3478</v>
      </c>
      <c r="Y652" s="535" t="str">
        <f t="shared" si="93"/>
        <v>2016agegest&lt;2042+fetal</v>
      </c>
      <c r="Z652" s="604">
        <v>2016</v>
      </c>
      <c r="AA652" s="604" t="s">
        <v>453</v>
      </c>
      <c r="AB652" s="604" t="s">
        <v>450</v>
      </c>
      <c r="AC652" s="604" t="s">
        <v>339</v>
      </c>
      <c r="AD652" s="604" t="s">
        <v>138</v>
      </c>
      <c r="AE652" s="604">
        <v>0</v>
      </c>
      <c r="AF652" s="604">
        <v>45</v>
      </c>
      <c r="AG652" s="604">
        <v>0</v>
      </c>
      <c r="AH652" s="604" t="s">
        <v>420</v>
      </c>
      <c r="AJ652" s="535" t="str">
        <f t="shared" si="94"/>
        <v>2016agegest&lt;2042+</v>
      </c>
      <c r="AK652" s="604">
        <v>2016</v>
      </c>
      <c r="AL652" s="604" t="s">
        <v>453</v>
      </c>
      <c r="AM652" s="604" t="s">
        <v>450</v>
      </c>
      <c r="AN652" s="604" t="s">
        <v>339</v>
      </c>
      <c r="AO652" s="604" t="s">
        <v>138</v>
      </c>
      <c r="AP652" s="604">
        <v>45</v>
      </c>
      <c r="AR652" s="538" t="str">
        <f t="shared" si="95"/>
        <v>4500+bwtfetalTaranaki</v>
      </c>
      <c r="AS652" s="604">
        <v>2016</v>
      </c>
      <c r="AT652" s="604" t="s">
        <v>432</v>
      </c>
      <c r="AU652" s="604" t="s">
        <v>447</v>
      </c>
      <c r="AV652" s="604" t="s">
        <v>93</v>
      </c>
      <c r="AW652" s="604">
        <v>0</v>
      </c>
      <c r="AX652" s="604">
        <v>26</v>
      </c>
      <c r="AY652" s="606">
        <v>0</v>
      </c>
      <c r="AZ652" s="604" t="s">
        <v>420</v>
      </c>
      <c r="BB652" s="536" t="str">
        <f t="shared" si="90"/>
        <v>2500-4499bwtbirthsNew Zealand</v>
      </c>
      <c r="BC652" s="604">
        <v>2016</v>
      </c>
      <c r="BD652" s="604" t="s">
        <v>431</v>
      </c>
      <c r="BE652" s="604" t="s">
        <v>447</v>
      </c>
      <c r="BF652" s="604" t="s">
        <v>16</v>
      </c>
      <c r="BG652" s="604">
        <v>55407</v>
      </c>
      <c r="BH652" s="604" t="s">
        <v>445</v>
      </c>
      <c r="BY652" s="553" t="str">
        <f t="shared" si="96"/>
        <v>2011MidCentraldhbSIDS</v>
      </c>
      <c r="BZ652" s="604">
        <v>2011</v>
      </c>
      <c r="CA652" s="604" t="s">
        <v>94</v>
      </c>
      <c r="CB652" s="604" t="s">
        <v>448</v>
      </c>
      <c r="CC652" s="604">
        <v>0</v>
      </c>
      <c r="CD652" s="604" t="s">
        <v>32</v>
      </c>
      <c r="CF652" s="559" t="str">
        <f t="shared" si="97"/>
        <v>5yearsPacific peoplesLakesdhbSUDI</v>
      </c>
      <c r="CG652" s="604" t="s">
        <v>475</v>
      </c>
      <c r="CH652" s="604" t="s">
        <v>320</v>
      </c>
      <c r="CI652" s="604" t="s">
        <v>90</v>
      </c>
      <c r="CJ652" s="604" t="s">
        <v>448</v>
      </c>
      <c r="CK652" s="604">
        <v>0</v>
      </c>
      <c r="CL652" s="604" t="s">
        <v>33</v>
      </c>
    </row>
    <row r="653" spans="9:90">
      <c r="I653" s="578" t="str">
        <f t="shared" si="91"/>
        <v>2006gest32-36Fetal</v>
      </c>
      <c r="J653" s="604">
        <v>2006</v>
      </c>
      <c r="K653" s="604" t="s">
        <v>450</v>
      </c>
      <c r="L653" s="604" t="s">
        <v>136</v>
      </c>
      <c r="M653" s="604">
        <v>51</v>
      </c>
      <c r="N653" s="604">
        <v>3632</v>
      </c>
      <c r="O653" s="604">
        <v>14</v>
      </c>
      <c r="P653" s="604" t="s">
        <v>47</v>
      </c>
      <c r="Q653" s="499"/>
      <c r="R653" s="502" t="str">
        <f t="shared" si="92"/>
        <v>2013birthsdhbUnknown</v>
      </c>
      <c r="S653" s="604">
        <v>2013</v>
      </c>
      <c r="T653" s="604" t="s">
        <v>445</v>
      </c>
      <c r="U653" s="604" t="s">
        <v>448</v>
      </c>
      <c r="V653" s="604" t="s">
        <v>63</v>
      </c>
      <c r="W653" s="604">
        <v>196</v>
      </c>
      <c r="Y653" s="535" t="str">
        <f t="shared" si="93"/>
        <v>2016agegest20-2442+fetal</v>
      </c>
      <c r="Z653" s="604">
        <v>2016</v>
      </c>
      <c r="AA653" s="604" t="s">
        <v>453</v>
      </c>
      <c r="AB653" s="604" t="s">
        <v>450</v>
      </c>
      <c r="AC653" s="604" t="s">
        <v>130</v>
      </c>
      <c r="AD653" s="604" t="s">
        <v>138</v>
      </c>
      <c r="AE653" s="604">
        <v>0</v>
      </c>
      <c r="AF653" s="604">
        <v>180</v>
      </c>
      <c r="AG653" s="604">
        <v>0</v>
      </c>
      <c r="AH653" s="604" t="s">
        <v>420</v>
      </c>
      <c r="AJ653" s="535" t="str">
        <f t="shared" si="94"/>
        <v>2016agegest20-2442+</v>
      </c>
      <c r="AK653" s="604">
        <v>2016</v>
      </c>
      <c r="AL653" s="604" t="s">
        <v>453</v>
      </c>
      <c r="AM653" s="604" t="s">
        <v>450</v>
      </c>
      <c r="AN653" s="604" t="s">
        <v>130</v>
      </c>
      <c r="AO653" s="604" t="s">
        <v>138</v>
      </c>
      <c r="AP653" s="604">
        <v>180</v>
      </c>
      <c r="AR653" s="538" t="str">
        <f t="shared" si="95"/>
        <v>4500+bwtfetalMidCentral</v>
      </c>
      <c r="AS653" s="604">
        <v>2016</v>
      </c>
      <c r="AT653" s="604" t="s">
        <v>432</v>
      </c>
      <c r="AU653" s="604" t="s">
        <v>447</v>
      </c>
      <c r="AV653" s="604" t="s">
        <v>94</v>
      </c>
      <c r="AW653" s="604">
        <v>0</v>
      </c>
      <c r="AX653" s="604">
        <v>54</v>
      </c>
      <c r="AY653" s="606">
        <v>0</v>
      </c>
      <c r="AZ653" s="604" t="s">
        <v>420</v>
      </c>
      <c r="BB653" s="536" t="str">
        <f t="shared" si="90"/>
        <v>4500+bwtbirthsNew Zealand</v>
      </c>
      <c r="BC653" s="604">
        <v>2016</v>
      </c>
      <c r="BD653" s="604" t="s">
        <v>432</v>
      </c>
      <c r="BE653" s="604" t="s">
        <v>447</v>
      </c>
      <c r="BF653" s="604" t="s">
        <v>16</v>
      </c>
      <c r="BG653" s="604">
        <v>1423</v>
      </c>
      <c r="BH653" s="604" t="s">
        <v>445</v>
      </c>
      <c r="BY653" s="553" t="str">
        <f t="shared" si="96"/>
        <v>2011WhanganuidhbSIDS</v>
      </c>
      <c r="BZ653" s="604">
        <v>2011</v>
      </c>
      <c r="CA653" s="604" t="s">
        <v>95</v>
      </c>
      <c r="CB653" s="604" t="s">
        <v>448</v>
      </c>
      <c r="CC653" s="604">
        <v>0</v>
      </c>
      <c r="CD653" s="604" t="s">
        <v>32</v>
      </c>
      <c r="CF653" s="559" t="str">
        <f t="shared" si="97"/>
        <v>5yearsAsianBay of PlentydhbSUDI</v>
      </c>
      <c r="CG653" s="604" t="s">
        <v>475</v>
      </c>
      <c r="CH653" s="604" t="s">
        <v>355</v>
      </c>
      <c r="CI653" s="604" t="s">
        <v>91</v>
      </c>
      <c r="CJ653" s="604" t="s">
        <v>448</v>
      </c>
      <c r="CK653" s="604">
        <v>0</v>
      </c>
      <c r="CL653" s="604" t="s">
        <v>33</v>
      </c>
    </row>
    <row r="654" spans="9:90">
      <c r="I654" s="578" t="str">
        <f t="shared" si="91"/>
        <v>2006gest37-41Fetal</v>
      </c>
      <c r="J654" s="604">
        <v>2006</v>
      </c>
      <c r="K654" s="604" t="s">
        <v>450</v>
      </c>
      <c r="L654" s="604" t="s">
        <v>137</v>
      </c>
      <c r="M654" s="604">
        <v>78</v>
      </c>
      <c r="N654" s="604">
        <v>54154</v>
      </c>
      <c r="O654" s="604">
        <v>1.4</v>
      </c>
      <c r="P654" s="604" t="s">
        <v>47</v>
      </c>
      <c r="Q654" s="499"/>
      <c r="R654" s="502" t="str">
        <f t="shared" si="92"/>
        <v>2014birthsdhbNorthland</v>
      </c>
      <c r="S654" s="604">
        <v>2014</v>
      </c>
      <c r="T654" s="604" t="s">
        <v>445</v>
      </c>
      <c r="U654" s="604" t="s">
        <v>448</v>
      </c>
      <c r="V654" s="604" t="s">
        <v>85</v>
      </c>
      <c r="W654" s="604">
        <v>2127</v>
      </c>
      <c r="Y654" s="535" t="str">
        <f t="shared" si="93"/>
        <v>2016agegest25-2942+fetal</v>
      </c>
      <c r="Z654" s="604">
        <v>2016</v>
      </c>
      <c r="AA654" s="604" t="s">
        <v>453</v>
      </c>
      <c r="AB654" s="604" t="s">
        <v>450</v>
      </c>
      <c r="AC654" s="604" t="s">
        <v>131</v>
      </c>
      <c r="AD654" s="604" t="s">
        <v>138</v>
      </c>
      <c r="AE654" s="604">
        <v>0</v>
      </c>
      <c r="AF654" s="604">
        <v>294</v>
      </c>
      <c r="AG654" s="604">
        <v>0</v>
      </c>
      <c r="AH654" s="604" t="s">
        <v>420</v>
      </c>
      <c r="AJ654" s="535" t="str">
        <f t="shared" si="94"/>
        <v>2016agegest25-2942+</v>
      </c>
      <c r="AK654" s="604">
        <v>2016</v>
      </c>
      <c r="AL654" s="604" t="s">
        <v>453</v>
      </c>
      <c r="AM654" s="604" t="s">
        <v>450</v>
      </c>
      <c r="AN654" s="604" t="s">
        <v>131</v>
      </c>
      <c r="AO654" s="604" t="s">
        <v>138</v>
      </c>
      <c r="AP654" s="604">
        <v>294</v>
      </c>
      <c r="AR654" s="538" t="str">
        <f t="shared" si="95"/>
        <v>1000-1499bwtfetalWhanganui</v>
      </c>
      <c r="AS654" s="604">
        <v>2016</v>
      </c>
      <c r="AT654" s="604" t="s">
        <v>429</v>
      </c>
      <c r="AU654" s="604" t="s">
        <v>447</v>
      </c>
      <c r="AV654" s="604" t="s">
        <v>95</v>
      </c>
      <c r="AW654" s="604">
        <v>0</v>
      </c>
      <c r="AX654" s="604">
        <v>4</v>
      </c>
      <c r="AY654" s="606">
        <v>0</v>
      </c>
      <c r="AZ654" s="604" t="s">
        <v>420</v>
      </c>
      <c r="BB654" s="536" t="str">
        <f t="shared" si="90"/>
        <v>UnknownbwtbirthsNew Zealand</v>
      </c>
      <c r="BC654" s="604">
        <v>2016</v>
      </c>
      <c r="BD654" s="604" t="s">
        <v>63</v>
      </c>
      <c r="BE654" s="604" t="s">
        <v>447</v>
      </c>
      <c r="BF654" s="604" t="s">
        <v>16</v>
      </c>
      <c r="BG654" s="604">
        <v>35</v>
      </c>
      <c r="BH654" s="604" t="s">
        <v>445</v>
      </c>
      <c r="BY654" s="553" t="str">
        <f t="shared" si="96"/>
        <v>2011Capital &amp; CoastdhbSIDS</v>
      </c>
      <c r="BZ654" s="604">
        <v>2011</v>
      </c>
      <c r="CA654" s="604" t="s">
        <v>96</v>
      </c>
      <c r="CB654" s="604" t="s">
        <v>448</v>
      </c>
      <c r="CC654" s="604">
        <v>1</v>
      </c>
      <c r="CD654" s="604" t="s">
        <v>32</v>
      </c>
      <c r="CF654" s="559" t="str">
        <f t="shared" si="97"/>
        <v>5yearsEuropean or OtherBay of PlentydhbSUDI</v>
      </c>
      <c r="CG654" s="604" t="s">
        <v>475</v>
      </c>
      <c r="CH654" s="604" t="s">
        <v>356</v>
      </c>
      <c r="CI654" s="604" t="s">
        <v>91</v>
      </c>
      <c r="CJ654" s="604" t="s">
        <v>448</v>
      </c>
      <c r="CK654" s="604">
        <v>1</v>
      </c>
      <c r="CL654" s="604" t="s">
        <v>33</v>
      </c>
    </row>
    <row r="655" spans="9:90">
      <c r="I655" s="578" t="str">
        <f t="shared" si="91"/>
        <v>2006gest42+Fetal</v>
      </c>
      <c r="J655" s="604">
        <v>2006</v>
      </c>
      <c r="K655" s="604" t="s">
        <v>450</v>
      </c>
      <c r="L655" s="604" t="s">
        <v>138</v>
      </c>
      <c r="M655" s="604">
        <v>4</v>
      </c>
      <c r="N655" s="604">
        <v>1799</v>
      </c>
      <c r="O655" s="604">
        <v>2.2000000000000002</v>
      </c>
      <c r="P655" s="604" t="s">
        <v>47</v>
      </c>
      <c r="Q655" s="499"/>
      <c r="R655" s="502" t="str">
        <f t="shared" si="92"/>
        <v>2014birthsdhbWaitemata</v>
      </c>
      <c r="S655" s="604">
        <v>2014</v>
      </c>
      <c r="T655" s="604" t="s">
        <v>445</v>
      </c>
      <c r="U655" s="604" t="s">
        <v>448</v>
      </c>
      <c r="V655" s="604" t="s">
        <v>86</v>
      </c>
      <c r="W655" s="604">
        <v>7737</v>
      </c>
      <c r="Y655" s="535" t="str">
        <f t="shared" si="93"/>
        <v>2016agegest30-3442+fetal</v>
      </c>
      <c r="Z655" s="604">
        <v>2016</v>
      </c>
      <c r="AA655" s="604" t="s">
        <v>453</v>
      </c>
      <c r="AB655" s="604" t="s">
        <v>450</v>
      </c>
      <c r="AC655" s="604" t="s">
        <v>132</v>
      </c>
      <c r="AD655" s="604" t="s">
        <v>138</v>
      </c>
      <c r="AE655" s="604">
        <v>0</v>
      </c>
      <c r="AF655" s="604">
        <v>318</v>
      </c>
      <c r="AG655" s="604">
        <v>0</v>
      </c>
      <c r="AH655" s="604" t="s">
        <v>420</v>
      </c>
      <c r="AJ655" s="535" t="str">
        <f t="shared" si="94"/>
        <v>2016agegest30-3442+</v>
      </c>
      <c r="AK655" s="604">
        <v>2016</v>
      </c>
      <c r="AL655" s="604" t="s">
        <v>453</v>
      </c>
      <c r="AM655" s="604" t="s">
        <v>450</v>
      </c>
      <c r="AN655" s="604" t="s">
        <v>132</v>
      </c>
      <c r="AO655" s="604" t="s">
        <v>138</v>
      </c>
      <c r="AP655" s="604">
        <v>318</v>
      </c>
      <c r="AR655" s="538" t="str">
        <f t="shared" si="95"/>
        <v>1500-2499bwtfetalWhanganui</v>
      </c>
      <c r="AS655" s="604">
        <v>2016</v>
      </c>
      <c r="AT655" s="604" t="s">
        <v>430</v>
      </c>
      <c r="AU655" s="604" t="s">
        <v>447</v>
      </c>
      <c r="AV655" s="604" t="s">
        <v>95</v>
      </c>
      <c r="AW655" s="604">
        <v>0</v>
      </c>
      <c r="AX655" s="604">
        <v>46</v>
      </c>
      <c r="AY655" s="606">
        <v>0</v>
      </c>
      <c r="AZ655" s="604" t="s">
        <v>420</v>
      </c>
      <c r="BB655" s="536" t="str">
        <f t="shared" si="90"/>
        <v/>
      </c>
      <c r="BY655" s="553" t="str">
        <f t="shared" si="96"/>
        <v>2011Hutt ValleydhbSIDS</v>
      </c>
      <c r="BZ655" s="604">
        <v>2011</v>
      </c>
      <c r="CA655" s="604" t="s">
        <v>97</v>
      </c>
      <c r="CB655" s="604" t="s">
        <v>448</v>
      </c>
      <c r="CC655" s="604">
        <v>0</v>
      </c>
      <c r="CD655" s="604" t="s">
        <v>32</v>
      </c>
      <c r="CF655" s="559" t="str">
        <f t="shared" si="97"/>
        <v>5yearsMaoriBay of PlentydhbSUDI</v>
      </c>
      <c r="CG655" s="604" t="s">
        <v>475</v>
      </c>
      <c r="CH655" s="604" t="s">
        <v>129</v>
      </c>
      <c r="CI655" s="604" t="s">
        <v>91</v>
      </c>
      <c r="CJ655" s="604" t="s">
        <v>448</v>
      </c>
      <c r="CK655" s="604">
        <v>4</v>
      </c>
      <c r="CL655" s="604" t="s">
        <v>33</v>
      </c>
    </row>
    <row r="656" spans="9:90">
      <c r="I656" s="578" t="str">
        <f t="shared" si="91"/>
        <v>2006gestUnknownFetal</v>
      </c>
      <c r="J656" s="604">
        <v>2006</v>
      </c>
      <c r="K656" s="604" t="s">
        <v>450</v>
      </c>
      <c r="L656" s="604" t="s">
        <v>63</v>
      </c>
      <c r="M656" s="604">
        <v>1</v>
      </c>
      <c r="N656" s="604">
        <v>73</v>
      </c>
      <c r="O656" s="604" t="s">
        <v>119</v>
      </c>
      <c r="P656" s="604" t="s">
        <v>47</v>
      </c>
      <c r="Q656" s="499"/>
      <c r="R656" s="502" t="str">
        <f t="shared" si="92"/>
        <v>2014birthsdhbAuckland</v>
      </c>
      <c r="S656" s="604">
        <v>2014</v>
      </c>
      <c r="T656" s="604" t="s">
        <v>445</v>
      </c>
      <c r="U656" s="604" t="s">
        <v>448</v>
      </c>
      <c r="V656" s="604" t="s">
        <v>87</v>
      </c>
      <c r="W656" s="604">
        <v>6074</v>
      </c>
      <c r="Y656" s="535" t="str">
        <f t="shared" si="93"/>
        <v>2016agegest35-3942+fetal</v>
      </c>
      <c r="Z656" s="604">
        <v>2016</v>
      </c>
      <c r="AA656" s="604" t="s">
        <v>453</v>
      </c>
      <c r="AB656" s="604" t="s">
        <v>450</v>
      </c>
      <c r="AC656" s="604" t="s">
        <v>133</v>
      </c>
      <c r="AD656" s="604" t="s">
        <v>138</v>
      </c>
      <c r="AE656" s="604">
        <v>0</v>
      </c>
      <c r="AF656" s="604">
        <v>162</v>
      </c>
      <c r="AG656" s="604">
        <v>0</v>
      </c>
      <c r="AH656" s="604" t="s">
        <v>420</v>
      </c>
      <c r="AJ656" s="535" t="str">
        <f t="shared" si="94"/>
        <v>2016agegest35-3942+</v>
      </c>
      <c r="AK656" s="604">
        <v>2016</v>
      </c>
      <c r="AL656" s="604" t="s">
        <v>453</v>
      </c>
      <c r="AM656" s="604" t="s">
        <v>450</v>
      </c>
      <c r="AN656" s="604" t="s">
        <v>133</v>
      </c>
      <c r="AO656" s="604" t="s">
        <v>138</v>
      </c>
      <c r="AP656" s="604">
        <v>162</v>
      </c>
      <c r="AR656" s="538" t="str">
        <f t="shared" si="95"/>
        <v>2500-4499bwtfetalWhanganui</v>
      </c>
      <c r="AS656" s="604">
        <v>2016</v>
      </c>
      <c r="AT656" s="604" t="s">
        <v>431</v>
      </c>
      <c r="AU656" s="604" t="s">
        <v>447</v>
      </c>
      <c r="AV656" s="604" t="s">
        <v>95</v>
      </c>
      <c r="AW656" s="604">
        <v>0</v>
      </c>
      <c r="AX656" s="604">
        <v>773</v>
      </c>
      <c r="AY656" s="606">
        <v>0</v>
      </c>
      <c r="AZ656" s="604" t="s">
        <v>420</v>
      </c>
      <c r="BB656" s="536"/>
      <c r="BY656" s="553" t="str">
        <f t="shared" si="96"/>
        <v>2011WairarapadhbSIDS</v>
      </c>
      <c r="BZ656" s="604">
        <v>2011</v>
      </c>
      <c r="CA656" s="604" t="s">
        <v>98</v>
      </c>
      <c r="CB656" s="604" t="s">
        <v>448</v>
      </c>
      <c r="CC656" s="604">
        <v>0</v>
      </c>
      <c r="CD656" s="604" t="s">
        <v>32</v>
      </c>
      <c r="CF656" s="559" t="str">
        <f t="shared" si="97"/>
        <v>5yearsPacific peoplesBay of PlentydhbSUDI</v>
      </c>
      <c r="CG656" s="604" t="s">
        <v>475</v>
      </c>
      <c r="CH656" s="604" t="s">
        <v>320</v>
      </c>
      <c r="CI656" s="604" t="s">
        <v>91</v>
      </c>
      <c r="CJ656" s="604" t="s">
        <v>448</v>
      </c>
      <c r="CK656" s="604">
        <v>0</v>
      </c>
      <c r="CL656" s="604" t="s">
        <v>33</v>
      </c>
    </row>
    <row r="657" spans="9:90">
      <c r="I657" s="578" t="str">
        <f t="shared" si="91"/>
        <v>2007gest&lt;28Fetal</v>
      </c>
      <c r="J657" s="604">
        <v>2007</v>
      </c>
      <c r="K657" s="604" t="s">
        <v>450</v>
      </c>
      <c r="L657" s="604" t="s">
        <v>375</v>
      </c>
      <c r="M657" s="604">
        <v>252</v>
      </c>
      <c r="N657" s="604">
        <v>563</v>
      </c>
      <c r="O657" s="604">
        <v>447.6</v>
      </c>
      <c r="P657" s="604" t="s">
        <v>47</v>
      </c>
      <c r="Q657" s="499"/>
      <c r="R657" s="502" t="str">
        <f t="shared" si="92"/>
        <v>2014birthsdhbCounties Manukau</v>
      </c>
      <c r="S657" s="604">
        <v>2014</v>
      </c>
      <c r="T657" s="604" t="s">
        <v>445</v>
      </c>
      <c r="U657" s="604" t="s">
        <v>448</v>
      </c>
      <c r="V657" s="604" t="s">
        <v>88</v>
      </c>
      <c r="W657" s="604">
        <v>8072</v>
      </c>
      <c r="Y657" s="535" t="str">
        <f t="shared" si="93"/>
        <v>2016agegest40+42+fetal</v>
      </c>
      <c r="Z657" s="604">
        <v>2016</v>
      </c>
      <c r="AA657" s="604" t="s">
        <v>453</v>
      </c>
      <c r="AB657" s="604" t="s">
        <v>450</v>
      </c>
      <c r="AC657" s="604" t="s">
        <v>134</v>
      </c>
      <c r="AD657" s="604" t="s">
        <v>138</v>
      </c>
      <c r="AE657" s="604">
        <v>0</v>
      </c>
      <c r="AF657" s="604">
        <v>18</v>
      </c>
      <c r="AG657" s="604">
        <v>0</v>
      </c>
      <c r="AH657" s="604" t="s">
        <v>420</v>
      </c>
      <c r="AJ657" s="535" t="str">
        <f t="shared" si="94"/>
        <v>2016agegest40+42+</v>
      </c>
      <c r="AK657" s="604">
        <v>2016</v>
      </c>
      <c r="AL657" s="604" t="s">
        <v>453</v>
      </c>
      <c r="AM657" s="604" t="s">
        <v>450</v>
      </c>
      <c r="AN657" s="604" t="s">
        <v>134</v>
      </c>
      <c r="AO657" s="604" t="s">
        <v>138</v>
      </c>
      <c r="AP657" s="604">
        <v>18</v>
      </c>
      <c r="AR657" s="538" t="str">
        <f t="shared" si="95"/>
        <v>4500+bwtfetalWhanganui</v>
      </c>
      <c r="AS657" s="604">
        <v>2016</v>
      </c>
      <c r="AT657" s="604" t="s">
        <v>432</v>
      </c>
      <c r="AU657" s="604" t="s">
        <v>447</v>
      </c>
      <c r="AV657" s="604" t="s">
        <v>95</v>
      </c>
      <c r="AW657" s="604">
        <v>0</v>
      </c>
      <c r="AX657" s="604">
        <v>19</v>
      </c>
      <c r="AY657" s="606">
        <v>0</v>
      </c>
      <c r="AZ657" s="604" t="s">
        <v>420</v>
      </c>
      <c r="BB657" s="536"/>
      <c r="BY657" s="553" t="str">
        <f t="shared" si="96"/>
        <v>2011Nelson MarlboroughdhbSIDS</v>
      </c>
      <c r="BZ657" s="604">
        <v>2011</v>
      </c>
      <c r="CA657" s="604" t="s">
        <v>99</v>
      </c>
      <c r="CB657" s="604" t="s">
        <v>448</v>
      </c>
      <c r="CC657" s="604">
        <v>1</v>
      </c>
      <c r="CD657" s="604" t="s">
        <v>32</v>
      </c>
      <c r="CF657" s="559" t="str">
        <f t="shared" si="97"/>
        <v>5yearsAsianTairawhitidhbSUDI</v>
      </c>
      <c r="CG657" s="604" t="s">
        <v>475</v>
      </c>
      <c r="CH657" s="604" t="s">
        <v>355</v>
      </c>
      <c r="CI657" s="604" t="s">
        <v>433</v>
      </c>
      <c r="CJ657" s="604" t="s">
        <v>448</v>
      </c>
      <c r="CK657" s="604">
        <v>0</v>
      </c>
      <c r="CL657" s="604" t="s">
        <v>33</v>
      </c>
    </row>
    <row r="658" spans="9:90">
      <c r="I658" s="578" t="str">
        <f t="shared" si="91"/>
        <v>2007gest28-31Fetal</v>
      </c>
      <c r="J658" s="604">
        <v>2007</v>
      </c>
      <c r="K658" s="604" t="s">
        <v>450</v>
      </c>
      <c r="L658" s="604" t="s">
        <v>395</v>
      </c>
      <c r="M658" s="604">
        <v>44</v>
      </c>
      <c r="N658" s="604">
        <v>537</v>
      </c>
      <c r="O658" s="604">
        <v>81.900000000000006</v>
      </c>
      <c r="P658" s="604" t="s">
        <v>47</v>
      </c>
      <c r="Q658" s="499"/>
      <c r="R658" s="502" t="str">
        <f t="shared" si="92"/>
        <v>2014birthsdhbWaikato</v>
      </c>
      <c r="S658" s="604">
        <v>2014</v>
      </c>
      <c r="T658" s="604" t="s">
        <v>445</v>
      </c>
      <c r="U658" s="604" t="s">
        <v>448</v>
      </c>
      <c r="V658" s="604" t="s">
        <v>89</v>
      </c>
      <c r="W658" s="604">
        <v>5235</v>
      </c>
      <c r="Y658" s="535" t="str">
        <f t="shared" si="93"/>
        <v>2016agegest&lt;20Unknownfetal</v>
      </c>
      <c r="Z658" s="604">
        <v>2016</v>
      </c>
      <c r="AA658" s="604" t="s">
        <v>453</v>
      </c>
      <c r="AB658" s="604" t="s">
        <v>450</v>
      </c>
      <c r="AC658" s="604" t="s">
        <v>339</v>
      </c>
      <c r="AD658" s="604" t="s">
        <v>63</v>
      </c>
      <c r="AE658" s="604">
        <v>1</v>
      </c>
      <c r="AF658" s="604">
        <v>2</v>
      </c>
      <c r="AG658" s="604" t="s">
        <v>119</v>
      </c>
      <c r="AH658" s="604" t="s">
        <v>420</v>
      </c>
      <c r="AJ658" s="535" t="str">
        <f t="shared" si="94"/>
        <v>2016agegest&lt;20Unknown</v>
      </c>
      <c r="AK658" s="604">
        <v>2016</v>
      </c>
      <c r="AL658" s="604" t="s">
        <v>453</v>
      </c>
      <c r="AM658" s="604" t="s">
        <v>450</v>
      </c>
      <c r="AN658" s="604" t="s">
        <v>339</v>
      </c>
      <c r="AO658" s="604" t="s">
        <v>63</v>
      </c>
      <c r="AP658" s="604">
        <v>2</v>
      </c>
      <c r="AR658" s="538" t="str">
        <f t="shared" si="95"/>
        <v>4500+bwtfetalCapital &amp; Coast</v>
      </c>
      <c r="AS658" s="604">
        <v>2016</v>
      </c>
      <c r="AT658" s="604" t="s">
        <v>432</v>
      </c>
      <c r="AU658" s="604" t="s">
        <v>447</v>
      </c>
      <c r="AV658" s="604" t="s">
        <v>96</v>
      </c>
      <c r="AW658" s="604">
        <v>0</v>
      </c>
      <c r="AX658" s="604">
        <v>73</v>
      </c>
      <c r="AY658" s="606">
        <v>0</v>
      </c>
      <c r="AZ658" s="604" t="s">
        <v>420</v>
      </c>
      <c r="BB658" s="536"/>
      <c r="BY658" s="553" t="str">
        <f t="shared" si="96"/>
        <v>2011West CoastdhbSIDS</v>
      </c>
      <c r="BZ658" s="604">
        <v>2011</v>
      </c>
      <c r="CA658" s="604" t="s">
        <v>100</v>
      </c>
      <c r="CB658" s="604" t="s">
        <v>448</v>
      </c>
      <c r="CC658" s="604">
        <v>1</v>
      </c>
      <c r="CD658" s="604" t="s">
        <v>32</v>
      </c>
      <c r="CF658" s="559" t="str">
        <f t="shared" si="97"/>
        <v>5yearsEuropean or OtherTairawhitidhbSUDI</v>
      </c>
      <c r="CG658" s="604" t="s">
        <v>475</v>
      </c>
      <c r="CH658" s="604" t="s">
        <v>356</v>
      </c>
      <c r="CI658" s="604" t="s">
        <v>433</v>
      </c>
      <c r="CJ658" s="604" t="s">
        <v>448</v>
      </c>
      <c r="CK658" s="604">
        <v>0</v>
      </c>
      <c r="CL658" s="604" t="s">
        <v>33</v>
      </c>
    </row>
    <row r="659" spans="9:90">
      <c r="I659" s="578" t="str">
        <f t="shared" si="91"/>
        <v>2007gest32-36Fetal</v>
      </c>
      <c r="J659" s="604">
        <v>2007</v>
      </c>
      <c r="K659" s="604" t="s">
        <v>450</v>
      </c>
      <c r="L659" s="604" t="s">
        <v>136</v>
      </c>
      <c r="M659" s="604">
        <v>71</v>
      </c>
      <c r="N659" s="604">
        <v>3922</v>
      </c>
      <c r="O659" s="604">
        <v>18.100000000000001</v>
      </c>
      <c r="P659" s="604" t="s">
        <v>47</v>
      </c>
      <c r="Q659" s="499"/>
      <c r="R659" s="502" t="str">
        <f t="shared" si="92"/>
        <v>2014birthsdhbLakes</v>
      </c>
      <c r="S659" s="604">
        <v>2014</v>
      </c>
      <c r="T659" s="604" t="s">
        <v>445</v>
      </c>
      <c r="U659" s="604" t="s">
        <v>448</v>
      </c>
      <c r="V659" s="604" t="s">
        <v>90</v>
      </c>
      <c r="W659" s="604">
        <v>1364</v>
      </c>
      <c r="Y659" s="535" t="str">
        <f t="shared" si="93"/>
        <v>2016agegest20-24Unknownfetal</v>
      </c>
      <c r="Z659" s="604">
        <v>2016</v>
      </c>
      <c r="AA659" s="604" t="s">
        <v>453</v>
      </c>
      <c r="AB659" s="604" t="s">
        <v>450</v>
      </c>
      <c r="AC659" s="604" t="s">
        <v>130</v>
      </c>
      <c r="AD659" s="604" t="s">
        <v>63</v>
      </c>
      <c r="AE659" s="604">
        <v>2</v>
      </c>
      <c r="AF659" s="604">
        <v>6</v>
      </c>
      <c r="AG659" s="604" t="s">
        <v>119</v>
      </c>
      <c r="AH659" s="604" t="s">
        <v>420</v>
      </c>
      <c r="AJ659" s="535" t="str">
        <f t="shared" si="94"/>
        <v>2016agegest20-24Unknown</v>
      </c>
      <c r="AK659" s="604">
        <v>2016</v>
      </c>
      <c r="AL659" s="604" t="s">
        <v>453</v>
      </c>
      <c r="AM659" s="604" t="s">
        <v>450</v>
      </c>
      <c r="AN659" s="604" t="s">
        <v>130</v>
      </c>
      <c r="AO659" s="604" t="s">
        <v>63</v>
      </c>
      <c r="AP659" s="604">
        <v>6</v>
      </c>
      <c r="AR659" s="538" t="str">
        <f t="shared" si="95"/>
        <v>UnknownbwtfetalCapital &amp; Coast</v>
      </c>
      <c r="AS659" s="604">
        <v>2016</v>
      </c>
      <c r="AT659" s="604" t="s">
        <v>63</v>
      </c>
      <c r="AU659" s="604" t="s">
        <v>447</v>
      </c>
      <c r="AV659" s="604" t="s">
        <v>96</v>
      </c>
      <c r="AW659" s="604">
        <v>0</v>
      </c>
      <c r="AX659" s="604">
        <v>1</v>
      </c>
      <c r="AY659" s="606" t="s">
        <v>119</v>
      </c>
      <c r="AZ659" s="604" t="s">
        <v>420</v>
      </c>
      <c r="BB659" s="536"/>
      <c r="BY659" s="553" t="str">
        <f t="shared" si="96"/>
        <v>2011CanterburydhbSIDS</v>
      </c>
      <c r="BZ659" s="604">
        <v>2011</v>
      </c>
      <c r="CA659" s="604" t="s">
        <v>101</v>
      </c>
      <c r="CB659" s="604" t="s">
        <v>448</v>
      </c>
      <c r="CC659" s="604">
        <v>0</v>
      </c>
      <c r="CD659" s="604" t="s">
        <v>32</v>
      </c>
      <c r="CF659" s="559" t="str">
        <f t="shared" si="97"/>
        <v>5yearsMaoriTairawhitidhbSUDI</v>
      </c>
      <c r="CG659" s="604" t="s">
        <v>475</v>
      </c>
      <c r="CH659" s="604" t="s">
        <v>129</v>
      </c>
      <c r="CI659" s="604" t="s">
        <v>433</v>
      </c>
      <c r="CJ659" s="604" t="s">
        <v>448</v>
      </c>
      <c r="CK659" s="604">
        <v>7</v>
      </c>
      <c r="CL659" s="604" t="s">
        <v>33</v>
      </c>
    </row>
    <row r="660" spans="9:90">
      <c r="I660" s="578" t="str">
        <f t="shared" si="91"/>
        <v>2007gest37-41Fetal</v>
      </c>
      <c r="J660" s="604">
        <v>2007</v>
      </c>
      <c r="K660" s="604" t="s">
        <v>450</v>
      </c>
      <c r="L660" s="604" t="s">
        <v>137</v>
      </c>
      <c r="M660" s="604">
        <v>97</v>
      </c>
      <c r="N660" s="604">
        <v>58634</v>
      </c>
      <c r="O660" s="604">
        <v>1.7</v>
      </c>
      <c r="P660" s="604" t="s">
        <v>47</v>
      </c>
      <c r="Q660" s="499"/>
      <c r="R660" s="502" t="str">
        <f t="shared" si="92"/>
        <v>2014birthsdhbBay of Plenty</v>
      </c>
      <c r="S660" s="604">
        <v>2014</v>
      </c>
      <c r="T660" s="604" t="s">
        <v>445</v>
      </c>
      <c r="U660" s="604" t="s">
        <v>448</v>
      </c>
      <c r="V660" s="604" t="s">
        <v>91</v>
      </c>
      <c r="W660" s="604">
        <v>2688</v>
      </c>
      <c r="Y660" s="535" t="str">
        <f t="shared" si="93"/>
        <v>2016agegest25-29Unknownfetal</v>
      </c>
      <c r="Z660" s="604">
        <v>2016</v>
      </c>
      <c r="AA660" s="604" t="s">
        <v>453</v>
      </c>
      <c r="AB660" s="604" t="s">
        <v>450</v>
      </c>
      <c r="AC660" s="604" t="s">
        <v>131</v>
      </c>
      <c r="AD660" s="604" t="s">
        <v>63</v>
      </c>
      <c r="AE660" s="604">
        <v>1</v>
      </c>
      <c r="AF660" s="604">
        <v>7</v>
      </c>
      <c r="AG660" s="604" t="s">
        <v>119</v>
      </c>
      <c r="AH660" s="604" t="s">
        <v>420</v>
      </c>
      <c r="AJ660" s="535" t="str">
        <f t="shared" si="94"/>
        <v>2016agegest25-29Unknown</v>
      </c>
      <c r="AK660" s="604">
        <v>2016</v>
      </c>
      <c r="AL660" s="604" t="s">
        <v>453</v>
      </c>
      <c r="AM660" s="604" t="s">
        <v>450</v>
      </c>
      <c r="AN660" s="604" t="s">
        <v>131</v>
      </c>
      <c r="AO660" s="604" t="s">
        <v>63</v>
      </c>
      <c r="AP660" s="604">
        <v>7</v>
      </c>
      <c r="AR660" s="538" t="str">
        <f t="shared" si="95"/>
        <v>2500-4499bwtfetalHutt Valley</v>
      </c>
      <c r="AS660" s="604">
        <v>2016</v>
      </c>
      <c r="AT660" s="604" t="s">
        <v>431</v>
      </c>
      <c r="AU660" s="604" t="s">
        <v>447</v>
      </c>
      <c r="AV660" s="604" t="s">
        <v>97</v>
      </c>
      <c r="AW660" s="604">
        <v>0</v>
      </c>
      <c r="AX660" s="604">
        <v>1811</v>
      </c>
      <c r="AY660" s="606">
        <v>0</v>
      </c>
      <c r="AZ660" s="604" t="s">
        <v>420</v>
      </c>
      <c r="BB660" s="536"/>
      <c r="BY660" s="553" t="str">
        <f t="shared" si="96"/>
        <v>2011South CanterburydhbSIDS</v>
      </c>
      <c r="BZ660" s="604">
        <v>2011</v>
      </c>
      <c r="CA660" s="604" t="s">
        <v>102</v>
      </c>
      <c r="CB660" s="604" t="s">
        <v>448</v>
      </c>
      <c r="CC660" s="604">
        <v>0</v>
      </c>
      <c r="CD660" s="604" t="s">
        <v>32</v>
      </c>
      <c r="CF660" s="559" t="str">
        <f t="shared" si="97"/>
        <v>5yearsAsianHawke's BaydhbSUDI</v>
      </c>
      <c r="CG660" s="604" t="s">
        <v>475</v>
      </c>
      <c r="CH660" s="604" t="s">
        <v>355</v>
      </c>
      <c r="CI660" s="604" t="s">
        <v>92</v>
      </c>
      <c r="CJ660" s="604" t="s">
        <v>448</v>
      </c>
      <c r="CK660" s="604">
        <v>0</v>
      </c>
      <c r="CL660" s="604" t="s">
        <v>33</v>
      </c>
    </row>
    <row r="661" spans="9:90">
      <c r="I661" s="578" t="str">
        <f t="shared" si="91"/>
        <v>2007gest42+Fetal</v>
      </c>
      <c r="J661" s="604">
        <v>2007</v>
      </c>
      <c r="K661" s="604" t="s">
        <v>450</v>
      </c>
      <c r="L661" s="604" t="s">
        <v>138</v>
      </c>
      <c r="M661" s="604">
        <v>4</v>
      </c>
      <c r="N661" s="604">
        <v>1885</v>
      </c>
      <c r="O661" s="604">
        <v>2.1</v>
      </c>
      <c r="P661" s="604" t="s">
        <v>47</v>
      </c>
      <c r="Q661" s="499"/>
      <c r="R661" s="502" t="str">
        <f t="shared" si="92"/>
        <v>2014birthsdhbTairawhiti</v>
      </c>
      <c r="S661" s="604">
        <v>2014</v>
      </c>
      <c r="T661" s="604" t="s">
        <v>445</v>
      </c>
      <c r="U661" s="604" t="s">
        <v>448</v>
      </c>
      <c r="V661" s="604" t="s">
        <v>433</v>
      </c>
      <c r="W661" s="604">
        <v>673</v>
      </c>
      <c r="Y661" s="535" t="str">
        <f t="shared" si="93"/>
        <v>2016agegest30-34Unknownfetal</v>
      </c>
      <c r="Z661" s="604">
        <v>2016</v>
      </c>
      <c r="AA661" s="604" t="s">
        <v>453</v>
      </c>
      <c r="AB661" s="604" t="s">
        <v>450</v>
      </c>
      <c r="AC661" s="604" t="s">
        <v>132</v>
      </c>
      <c r="AD661" s="604" t="s">
        <v>63</v>
      </c>
      <c r="AE661" s="604">
        <v>1</v>
      </c>
      <c r="AF661" s="604">
        <v>8</v>
      </c>
      <c r="AG661" s="604" t="s">
        <v>119</v>
      </c>
      <c r="AH661" s="604" t="s">
        <v>420</v>
      </c>
      <c r="AJ661" s="535" t="str">
        <f t="shared" si="94"/>
        <v>2016agegest30-34Unknown</v>
      </c>
      <c r="AK661" s="604">
        <v>2016</v>
      </c>
      <c r="AL661" s="604" t="s">
        <v>453</v>
      </c>
      <c r="AM661" s="604" t="s">
        <v>450</v>
      </c>
      <c r="AN661" s="604" t="s">
        <v>132</v>
      </c>
      <c r="AO661" s="604" t="s">
        <v>63</v>
      </c>
      <c r="AP661" s="604">
        <v>8</v>
      </c>
      <c r="AR661" s="538" t="str">
        <f t="shared" si="95"/>
        <v>4500+bwtfetalHutt Valley</v>
      </c>
      <c r="AS661" s="604">
        <v>2016</v>
      </c>
      <c r="AT661" s="604" t="s">
        <v>432</v>
      </c>
      <c r="AU661" s="604" t="s">
        <v>447</v>
      </c>
      <c r="AV661" s="604" t="s">
        <v>97</v>
      </c>
      <c r="AW661" s="604">
        <v>0</v>
      </c>
      <c r="AX661" s="604">
        <v>52</v>
      </c>
      <c r="AY661" s="606">
        <v>0</v>
      </c>
      <c r="AZ661" s="604" t="s">
        <v>420</v>
      </c>
      <c r="BB661" s="536"/>
      <c r="BY661" s="553" t="str">
        <f t="shared" si="96"/>
        <v>2011SoutherndhbSIDS</v>
      </c>
      <c r="BZ661" s="604">
        <v>2011</v>
      </c>
      <c r="CA661" s="604" t="s">
        <v>103</v>
      </c>
      <c r="CB661" s="604" t="s">
        <v>448</v>
      </c>
      <c r="CC661" s="604">
        <v>4</v>
      </c>
      <c r="CD661" s="604" t="s">
        <v>32</v>
      </c>
      <c r="CF661" s="559" t="str">
        <f t="shared" si="97"/>
        <v>5yearsEuropean or OtherHawke's BaydhbSUDI</v>
      </c>
      <c r="CG661" s="604" t="s">
        <v>475</v>
      </c>
      <c r="CH661" s="604" t="s">
        <v>356</v>
      </c>
      <c r="CI661" s="604" t="s">
        <v>92</v>
      </c>
      <c r="CJ661" s="604" t="s">
        <v>448</v>
      </c>
      <c r="CK661" s="604">
        <v>2</v>
      </c>
      <c r="CL661" s="604" t="s">
        <v>33</v>
      </c>
    </row>
    <row r="662" spans="9:90">
      <c r="I662" s="578" t="str">
        <f t="shared" si="91"/>
        <v>2007gestUnknownFetal</v>
      </c>
      <c r="J662" s="604">
        <v>2007</v>
      </c>
      <c r="K662" s="604" t="s">
        <v>450</v>
      </c>
      <c r="L662" s="604" t="s">
        <v>63</v>
      </c>
      <c r="M662" s="604">
        <v>2</v>
      </c>
      <c r="N662" s="604">
        <v>50</v>
      </c>
      <c r="O662" s="604" t="s">
        <v>119</v>
      </c>
      <c r="P662" s="604" t="s">
        <v>47</v>
      </c>
      <c r="Q662" s="499"/>
      <c r="R662" s="502" t="str">
        <f t="shared" si="92"/>
        <v>2014birthsdhbHawke's Bay</v>
      </c>
      <c r="S662" s="604">
        <v>2014</v>
      </c>
      <c r="T662" s="604" t="s">
        <v>445</v>
      </c>
      <c r="U662" s="604" t="s">
        <v>448</v>
      </c>
      <c r="V662" s="604" t="s">
        <v>92</v>
      </c>
      <c r="W662" s="604">
        <v>2094</v>
      </c>
      <c r="Y662" s="535" t="str">
        <f t="shared" si="93"/>
        <v>2016agegest35-39Unknownfetal</v>
      </c>
      <c r="Z662" s="604">
        <v>2016</v>
      </c>
      <c r="AA662" s="604" t="s">
        <v>453</v>
      </c>
      <c r="AB662" s="604" t="s">
        <v>450</v>
      </c>
      <c r="AC662" s="604" t="s">
        <v>133</v>
      </c>
      <c r="AD662" s="604" t="s">
        <v>63</v>
      </c>
      <c r="AE662" s="604">
        <v>1</v>
      </c>
      <c r="AF662" s="604">
        <v>3</v>
      </c>
      <c r="AG662" s="604" t="s">
        <v>119</v>
      </c>
      <c r="AH662" s="604" t="s">
        <v>420</v>
      </c>
      <c r="AJ662" s="535" t="str">
        <f t="shared" si="94"/>
        <v>2016agegest35-39Unknown</v>
      </c>
      <c r="AK662" s="604">
        <v>2016</v>
      </c>
      <c r="AL662" s="604" t="s">
        <v>453</v>
      </c>
      <c r="AM662" s="604" t="s">
        <v>450</v>
      </c>
      <c r="AN662" s="604" t="s">
        <v>133</v>
      </c>
      <c r="AO662" s="604" t="s">
        <v>63</v>
      </c>
      <c r="AP662" s="604">
        <v>3</v>
      </c>
      <c r="AR662" s="538" t="str">
        <f t="shared" si="95"/>
        <v>1000-1499bwtfetalWairarapa</v>
      </c>
      <c r="AS662" s="604">
        <v>2016</v>
      </c>
      <c r="AT662" s="604" t="s">
        <v>429</v>
      </c>
      <c r="AU662" s="604" t="s">
        <v>447</v>
      </c>
      <c r="AV662" s="604" t="s">
        <v>98</v>
      </c>
      <c r="AW662" s="604">
        <v>0</v>
      </c>
      <c r="AX662" s="604">
        <v>2</v>
      </c>
      <c r="AY662" s="606">
        <v>0</v>
      </c>
      <c r="AZ662" s="604" t="s">
        <v>420</v>
      </c>
      <c r="BB662" s="536"/>
      <c r="BY662" s="553" t="str">
        <f t="shared" si="96"/>
        <v>2011UnknowndhbSIDS</v>
      </c>
      <c r="BZ662" s="604">
        <v>2011</v>
      </c>
      <c r="CA662" s="604" t="s">
        <v>63</v>
      </c>
      <c r="CB662" s="604" t="s">
        <v>448</v>
      </c>
      <c r="CC662" s="604">
        <v>0</v>
      </c>
      <c r="CD662" s="604" t="s">
        <v>32</v>
      </c>
      <c r="CF662" s="559" t="str">
        <f t="shared" si="97"/>
        <v>5yearsMaoriHawke's BaydhbSUDI</v>
      </c>
      <c r="CG662" s="604" t="s">
        <v>475</v>
      </c>
      <c r="CH662" s="604" t="s">
        <v>129</v>
      </c>
      <c r="CI662" s="604" t="s">
        <v>92</v>
      </c>
      <c r="CJ662" s="604" t="s">
        <v>448</v>
      </c>
      <c r="CK662" s="604">
        <v>7</v>
      </c>
      <c r="CL662" s="604" t="s">
        <v>33</v>
      </c>
    </row>
    <row r="663" spans="9:90">
      <c r="I663" s="578" t="str">
        <f t="shared" si="91"/>
        <v>2008gest&lt;28Fetal</v>
      </c>
      <c r="J663" s="604">
        <v>2008</v>
      </c>
      <c r="K663" s="604" t="s">
        <v>450</v>
      </c>
      <c r="L663" s="604" t="s">
        <v>375</v>
      </c>
      <c r="M663" s="604">
        <v>299</v>
      </c>
      <c r="N663" s="604">
        <v>607</v>
      </c>
      <c r="O663" s="604">
        <v>492.6</v>
      </c>
      <c r="P663" s="604" t="s">
        <v>47</v>
      </c>
      <c r="Q663" s="499"/>
      <c r="R663" s="502" t="str">
        <f t="shared" si="92"/>
        <v>2014birthsdhbTaranaki</v>
      </c>
      <c r="S663" s="604">
        <v>2014</v>
      </c>
      <c r="T663" s="604" t="s">
        <v>445</v>
      </c>
      <c r="U663" s="604" t="s">
        <v>448</v>
      </c>
      <c r="V663" s="604" t="s">
        <v>93</v>
      </c>
      <c r="W663" s="604">
        <v>1534</v>
      </c>
      <c r="Y663" s="535" t="str">
        <f t="shared" si="93"/>
        <v>2016agegest40+Unknownfetal</v>
      </c>
      <c r="Z663" s="604">
        <v>2016</v>
      </c>
      <c r="AA663" s="604" t="s">
        <v>453</v>
      </c>
      <c r="AB663" s="604" t="s">
        <v>450</v>
      </c>
      <c r="AC663" s="604" t="s">
        <v>134</v>
      </c>
      <c r="AD663" s="604" t="s">
        <v>63</v>
      </c>
      <c r="AE663" s="604">
        <v>0</v>
      </c>
      <c r="AF663" s="604">
        <v>3</v>
      </c>
      <c r="AG663" s="604" t="s">
        <v>119</v>
      </c>
      <c r="AH663" s="604" t="s">
        <v>420</v>
      </c>
      <c r="AJ663" s="535" t="str">
        <f t="shared" si="94"/>
        <v>2016agegest40+Unknown</v>
      </c>
      <c r="AK663" s="604">
        <v>2016</v>
      </c>
      <c r="AL663" s="604" t="s">
        <v>453</v>
      </c>
      <c r="AM663" s="604" t="s">
        <v>450</v>
      </c>
      <c r="AN663" s="604" t="s">
        <v>134</v>
      </c>
      <c r="AO663" s="604" t="s">
        <v>63</v>
      </c>
      <c r="AP663" s="604">
        <v>3</v>
      </c>
      <c r="AR663" s="538" t="str">
        <f t="shared" si="95"/>
        <v>4500+bwtfetalWairarapa</v>
      </c>
      <c r="AS663" s="604">
        <v>2016</v>
      </c>
      <c r="AT663" s="604" t="s">
        <v>432</v>
      </c>
      <c r="AU663" s="604" t="s">
        <v>447</v>
      </c>
      <c r="AV663" s="604" t="s">
        <v>98</v>
      </c>
      <c r="AW663" s="604">
        <v>0</v>
      </c>
      <c r="AX663" s="604">
        <v>16</v>
      </c>
      <c r="AY663" s="606">
        <v>0</v>
      </c>
      <c r="AZ663" s="604" t="s">
        <v>420</v>
      </c>
      <c r="BB663" s="536"/>
      <c r="BY663" s="553" t="str">
        <f t="shared" si="96"/>
        <v>2012NorthlanddhbSIDS</v>
      </c>
      <c r="BZ663" s="604">
        <v>2012</v>
      </c>
      <c r="CA663" s="604" t="s">
        <v>85</v>
      </c>
      <c r="CB663" s="604" t="s">
        <v>448</v>
      </c>
      <c r="CC663" s="604">
        <v>0</v>
      </c>
      <c r="CD663" s="604" t="s">
        <v>32</v>
      </c>
      <c r="CF663" s="559" t="str">
        <f t="shared" si="97"/>
        <v>5yearsPacific peoplesHawke's BaydhbSUDI</v>
      </c>
      <c r="CG663" s="604" t="s">
        <v>475</v>
      </c>
      <c r="CH663" s="604" t="s">
        <v>320</v>
      </c>
      <c r="CI663" s="604" t="s">
        <v>92</v>
      </c>
      <c r="CJ663" s="604" t="s">
        <v>448</v>
      </c>
      <c r="CK663" s="604">
        <v>0</v>
      </c>
      <c r="CL663" s="604" t="s">
        <v>33</v>
      </c>
    </row>
    <row r="664" spans="9:90">
      <c r="I664" s="578" t="str">
        <f t="shared" si="91"/>
        <v>2008gest28-31Fetal</v>
      </c>
      <c r="J664" s="604">
        <v>2008</v>
      </c>
      <c r="K664" s="604" t="s">
        <v>450</v>
      </c>
      <c r="L664" s="604" t="s">
        <v>395</v>
      </c>
      <c r="M664" s="604">
        <v>51</v>
      </c>
      <c r="N664" s="604">
        <v>582</v>
      </c>
      <c r="O664" s="604">
        <v>87.6</v>
      </c>
      <c r="P664" s="604" t="s">
        <v>47</v>
      </c>
      <c r="Q664" s="499"/>
      <c r="R664" s="502" t="str">
        <f t="shared" si="92"/>
        <v>2014birthsdhbMidCentral</v>
      </c>
      <c r="S664" s="604">
        <v>2014</v>
      </c>
      <c r="T664" s="604" t="s">
        <v>445</v>
      </c>
      <c r="U664" s="604" t="s">
        <v>448</v>
      </c>
      <c r="V664" s="604" t="s">
        <v>94</v>
      </c>
      <c r="W664" s="604">
        <v>2093</v>
      </c>
      <c r="Y664" s="535" t="str">
        <f t="shared" si="93"/>
        <v>2016depgestQuin 1&lt;28fetal</v>
      </c>
      <c r="Z664" s="604">
        <v>2016</v>
      </c>
      <c r="AA664" s="604" t="s">
        <v>454</v>
      </c>
      <c r="AB664" s="604" t="s">
        <v>450</v>
      </c>
      <c r="AC664" s="604" t="s">
        <v>421</v>
      </c>
      <c r="AD664" s="604" t="s">
        <v>375</v>
      </c>
      <c r="AE664" s="604">
        <v>28</v>
      </c>
      <c r="AF664" s="604">
        <v>36</v>
      </c>
      <c r="AG664" s="604">
        <v>437.5</v>
      </c>
      <c r="AH664" s="604" t="s">
        <v>420</v>
      </c>
      <c r="AJ664" s="535" t="str">
        <f t="shared" si="94"/>
        <v>2016depgestQuin 1&lt;28</v>
      </c>
      <c r="AK664" s="604">
        <v>2016</v>
      </c>
      <c r="AL664" s="604" t="s">
        <v>454</v>
      </c>
      <c r="AM664" s="604" t="s">
        <v>450</v>
      </c>
      <c r="AN664" s="604" t="s">
        <v>421</v>
      </c>
      <c r="AO664" s="604" t="s">
        <v>375</v>
      </c>
      <c r="AP664" s="604">
        <v>36</v>
      </c>
      <c r="AR664" s="538" t="str">
        <f t="shared" si="95"/>
        <v>UnknownbwtfetalWairarapa</v>
      </c>
      <c r="AS664" s="604">
        <v>2016</v>
      </c>
      <c r="AT664" s="604" t="s">
        <v>63</v>
      </c>
      <c r="AU664" s="604" t="s">
        <v>447</v>
      </c>
      <c r="AV664" s="604" t="s">
        <v>98</v>
      </c>
      <c r="AW664" s="604">
        <v>0</v>
      </c>
      <c r="AX664" s="604">
        <v>1</v>
      </c>
      <c r="AY664" s="606" t="s">
        <v>119</v>
      </c>
      <c r="AZ664" s="604" t="s">
        <v>420</v>
      </c>
      <c r="BB664" s="536"/>
      <c r="BY664" s="553" t="str">
        <f t="shared" si="96"/>
        <v>2012WaitematadhbSIDS</v>
      </c>
      <c r="BZ664" s="604">
        <v>2012</v>
      </c>
      <c r="CA664" s="604" t="s">
        <v>86</v>
      </c>
      <c r="CB664" s="604" t="s">
        <v>448</v>
      </c>
      <c r="CC664" s="604">
        <v>0</v>
      </c>
      <c r="CD664" s="604" t="s">
        <v>32</v>
      </c>
      <c r="CF664" s="559" t="str">
        <f t="shared" si="97"/>
        <v>5yearsAsianTaranakidhbSUDI</v>
      </c>
      <c r="CG664" s="604" t="s">
        <v>475</v>
      </c>
      <c r="CH664" s="604" t="s">
        <v>355</v>
      </c>
      <c r="CI664" s="604" t="s">
        <v>93</v>
      </c>
      <c r="CJ664" s="604" t="s">
        <v>448</v>
      </c>
      <c r="CK664" s="604">
        <v>0</v>
      </c>
      <c r="CL664" s="604" t="s">
        <v>33</v>
      </c>
    </row>
    <row r="665" spans="9:90">
      <c r="I665" s="578" t="str">
        <f t="shared" si="91"/>
        <v>2008gest32-36Fetal</v>
      </c>
      <c r="J665" s="604">
        <v>2008</v>
      </c>
      <c r="K665" s="604" t="s">
        <v>450</v>
      </c>
      <c r="L665" s="604" t="s">
        <v>136</v>
      </c>
      <c r="M665" s="604">
        <v>70</v>
      </c>
      <c r="N665" s="604">
        <v>4079</v>
      </c>
      <c r="O665" s="604">
        <v>17.2</v>
      </c>
      <c r="P665" s="604" t="s">
        <v>47</v>
      </c>
      <c r="Q665" s="499"/>
      <c r="R665" s="502" t="str">
        <f t="shared" si="92"/>
        <v>2014birthsdhbWhanganui</v>
      </c>
      <c r="S665" s="604">
        <v>2014</v>
      </c>
      <c r="T665" s="604" t="s">
        <v>445</v>
      </c>
      <c r="U665" s="604" t="s">
        <v>448</v>
      </c>
      <c r="V665" s="604" t="s">
        <v>95</v>
      </c>
      <c r="W665" s="604">
        <v>800</v>
      </c>
      <c r="Y665" s="535" t="str">
        <f t="shared" si="93"/>
        <v>2016depgestQuin 2&lt;28fetal</v>
      </c>
      <c r="Z665" s="604">
        <v>2016</v>
      </c>
      <c r="AA665" s="604" t="s">
        <v>454</v>
      </c>
      <c r="AB665" s="604" t="s">
        <v>450</v>
      </c>
      <c r="AC665" s="604" t="s">
        <v>422</v>
      </c>
      <c r="AD665" s="604" t="s">
        <v>375</v>
      </c>
      <c r="AE665" s="604">
        <v>39</v>
      </c>
      <c r="AF665" s="604">
        <v>30</v>
      </c>
      <c r="AG665" s="604" t="s">
        <v>119</v>
      </c>
      <c r="AH665" s="604" t="s">
        <v>420</v>
      </c>
      <c r="AJ665" s="535" t="str">
        <f t="shared" si="94"/>
        <v>2016depgestQuin 2&lt;28</v>
      </c>
      <c r="AK665" s="604">
        <v>2016</v>
      </c>
      <c r="AL665" s="604" t="s">
        <v>454</v>
      </c>
      <c r="AM665" s="604" t="s">
        <v>450</v>
      </c>
      <c r="AN665" s="604" t="s">
        <v>422</v>
      </c>
      <c r="AO665" s="604" t="s">
        <v>375</v>
      </c>
      <c r="AP665" s="604">
        <v>30</v>
      </c>
      <c r="AR665" s="538" t="str">
        <f t="shared" si="95"/>
        <v>1000-1499bwtfetalNelson Marlborough</v>
      </c>
      <c r="AS665" s="604">
        <v>2016</v>
      </c>
      <c r="AT665" s="604" t="s">
        <v>429</v>
      </c>
      <c r="AU665" s="604" t="s">
        <v>447</v>
      </c>
      <c r="AV665" s="604" t="s">
        <v>99</v>
      </c>
      <c r="AW665" s="604">
        <v>0</v>
      </c>
      <c r="AX665" s="604">
        <v>5</v>
      </c>
      <c r="AY665" s="606">
        <v>0</v>
      </c>
      <c r="AZ665" s="604" t="s">
        <v>420</v>
      </c>
      <c r="BB665" s="536"/>
      <c r="BY665" s="553" t="str">
        <f t="shared" si="96"/>
        <v>2012AucklanddhbSIDS</v>
      </c>
      <c r="BZ665" s="604">
        <v>2012</v>
      </c>
      <c r="CA665" s="604" t="s">
        <v>87</v>
      </c>
      <c r="CB665" s="604" t="s">
        <v>448</v>
      </c>
      <c r="CC665" s="604">
        <v>1</v>
      </c>
      <c r="CD665" s="604" t="s">
        <v>32</v>
      </c>
      <c r="CF665" s="559" t="str">
        <f t="shared" si="97"/>
        <v>5yearsEuropean or OtherTaranakidhbSUDI</v>
      </c>
      <c r="CG665" s="604" t="s">
        <v>475</v>
      </c>
      <c r="CH665" s="604" t="s">
        <v>356</v>
      </c>
      <c r="CI665" s="604" t="s">
        <v>93</v>
      </c>
      <c r="CJ665" s="604" t="s">
        <v>448</v>
      </c>
      <c r="CK665" s="604">
        <v>3</v>
      </c>
      <c r="CL665" s="604" t="s">
        <v>33</v>
      </c>
    </row>
    <row r="666" spans="9:90">
      <c r="I666" s="578" t="str">
        <f t="shared" si="91"/>
        <v>2008gest37-41Fetal</v>
      </c>
      <c r="J666" s="604">
        <v>2008</v>
      </c>
      <c r="K666" s="604" t="s">
        <v>450</v>
      </c>
      <c r="L666" s="604" t="s">
        <v>137</v>
      </c>
      <c r="M666" s="604">
        <v>127</v>
      </c>
      <c r="N666" s="604">
        <v>58586</v>
      </c>
      <c r="O666" s="604">
        <v>2.2000000000000002</v>
      </c>
      <c r="P666" s="604" t="s">
        <v>47</v>
      </c>
      <c r="Q666" s="499"/>
      <c r="R666" s="502" t="str">
        <f t="shared" si="92"/>
        <v>2014birthsdhbCapital &amp; Coast</v>
      </c>
      <c r="S666" s="604">
        <v>2014</v>
      </c>
      <c r="T666" s="604" t="s">
        <v>445</v>
      </c>
      <c r="U666" s="604" t="s">
        <v>448</v>
      </c>
      <c r="V666" s="604" t="s">
        <v>96</v>
      </c>
      <c r="W666" s="604">
        <v>3559</v>
      </c>
      <c r="Y666" s="535" t="str">
        <f t="shared" si="93"/>
        <v>2016depgestQuin 3&lt;28fetal</v>
      </c>
      <c r="Z666" s="604">
        <v>2016</v>
      </c>
      <c r="AA666" s="604" t="s">
        <v>454</v>
      </c>
      <c r="AB666" s="604" t="s">
        <v>450</v>
      </c>
      <c r="AC666" s="604" t="s">
        <v>423</v>
      </c>
      <c r="AD666" s="604" t="s">
        <v>375</v>
      </c>
      <c r="AE666" s="604">
        <v>33</v>
      </c>
      <c r="AF666" s="604">
        <v>44</v>
      </c>
      <c r="AG666" s="604">
        <v>428.6</v>
      </c>
      <c r="AH666" s="604" t="s">
        <v>420</v>
      </c>
      <c r="AJ666" s="535" t="str">
        <f t="shared" si="94"/>
        <v>2016depgestQuin 3&lt;28</v>
      </c>
      <c r="AK666" s="604">
        <v>2016</v>
      </c>
      <c r="AL666" s="604" t="s">
        <v>454</v>
      </c>
      <c r="AM666" s="604" t="s">
        <v>450</v>
      </c>
      <c r="AN666" s="604" t="s">
        <v>423</v>
      </c>
      <c r="AO666" s="604" t="s">
        <v>375</v>
      </c>
      <c r="AP666" s="604">
        <v>44</v>
      </c>
      <c r="AR666" s="538" t="str">
        <f t="shared" si="95"/>
        <v>1500-2499bwtfetalNelson Marlborough</v>
      </c>
      <c r="AS666" s="604">
        <v>2016</v>
      </c>
      <c r="AT666" s="604" t="s">
        <v>430</v>
      </c>
      <c r="AU666" s="604" t="s">
        <v>447</v>
      </c>
      <c r="AV666" s="604" t="s">
        <v>99</v>
      </c>
      <c r="AW666" s="604">
        <v>0</v>
      </c>
      <c r="AX666" s="604">
        <v>58</v>
      </c>
      <c r="AY666" s="606">
        <v>0</v>
      </c>
      <c r="AZ666" s="604" t="s">
        <v>420</v>
      </c>
      <c r="BB666" s="536"/>
      <c r="BY666" s="553" t="str">
        <f t="shared" si="96"/>
        <v>2012Counties ManukaudhbSIDS</v>
      </c>
      <c r="BZ666" s="604">
        <v>2012</v>
      </c>
      <c r="CA666" s="604" t="s">
        <v>88</v>
      </c>
      <c r="CB666" s="604" t="s">
        <v>448</v>
      </c>
      <c r="CC666" s="604">
        <v>0</v>
      </c>
      <c r="CD666" s="604" t="s">
        <v>32</v>
      </c>
      <c r="CF666" s="559" t="str">
        <f t="shared" si="97"/>
        <v>5yearsMaoriTaranakidhbSUDI</v>
      </c>
      <c r="CG666" s="604" t="s">
        <v>475</v>
      </c>
      <c r="CH666" s="604" t="s">
        <v>129</v>
      </c>
      <c r="CI666" s="604" t="s">
        <v>93</v>
      </c>
      <c r="CJ666" s="604" t="s">
        <v>448</v>
      </c>
      <c r="CK666" s="604">
        <v>4</v>
      </c>
      <c r="CL666" s="604" t="s">
        <v>33</v>
      </c>
    </row>
    <row r="667" spans="9:90">
      <c r="I667" s="578" t="str">
        <f t="shared" si="91"/>
        <v>2008gest42+Fetal</v>
      </c>
      <c r="J667" s="604">
        <v>2008</v>
      </c>
      <c r="K667" s="604" t="s">
        <v>450</v>
      </c>
      <c r="L667" s="604" t="s">
        <v>138</v>
      </c>
      <c r="M667" s="604">
        <v>6</v>
      </c>
      <c r="N667" s="604">
        <v>1987</v>
      </c>
      <c r="O667" s="604">
        <v>3</v>
      </c>
      <c r="P667" s="604" t="s">
        <v>47</v>
      </c>
      <c r="Q667" s="499"/>
      <c r="R667" s="502" t="str">
        <f t="shared" si="92"/>
        <v>2014birthsdhbHutt Valley</v>
      </c>
      <c r="S667" s="604">
        <v>2014</v>
      </c>
      <c r="T667" s="604" t="s">
        <v>445</v>
      </c>
      <c r="U667" s="604" t="s">
        <v>448</v>
      </c>
      <c r="V667" s="604" t="s">
        <v>97</v>
      </c>
      <c r="W667" s="604">
        <v>1814</v>
      </c>
      <c r="Y667" s="535" t="str">
        <f t="shared" si="93"/>
        <v>2016depgestQuin 4&lt;28fetal</v>
      </c>
      <c r="Z667" s="604">
        <v>2016</v>
      </c>
      <c r="AA667" s="604" t="s">
        <v>454</v>
      </c>
      <c r="AB667" s="604" t="s">
        <v>450</v>
      </c>
      <c r="AC667" s="604" t="s">
        <v>424</v>
      </c>
      <c r="AD667" s="604" t="s">
        <v>375</v>
      </c>
      <c r="AE667" s="604">
        <v>49</v>
      </c>
      <c r="AF667" s="604">
        <v>65</v>
      </c>
      <c r="AG667" s="604">
        <v>429.8</v>
      </c>
      <c r="AH667" s="604" t="s">
        <v>420</v>
      </c>
      <c r="AJ667" s="535" t="str">
        <f t="shared" si="94"/>
        <v>2016depgestQuin 4&lt;28</v>
      </c>
      <c r="AK667" s="604">
        <v>2016</v>
      </c>
      <c r="AL667" s="604" t="s">
        <v>454</v>
      </c>
      <c r="AM667" s="604" t="s">
        <v>450</v>
      </c>
      <c r="AN667" s="604" t="s">
        <v>424</v>
      </c>
      <c r="AO667" s="604" t="s">
        <v>375</v>
      </c>
      <c r="AP667" s="604">
        <v>65</v>
      </c>
      <c r="AR667" s="538" t="str">
        <f t="shared" si="95"/>
        <v>4500+bwtfetalNelson Marlborough</v>
      </c>
      <c r="AS667" s="604">
        <v>2016</v>
      </c>
      <c r="AT667" s="604" t="s">
        <v>432</v>
      </c>
      <c r="AU667" s="604" t="s">
        <v>447</v>
      </c>
      <c r="AV667" s="604" t="s">
        <v>99</v>
      </c>
      <c r="AW667" s="604">
        <v>0</v>
      </c>
      <c r="AX667" s="604">
        <v>53</v>
      </c>
      <c r="AY667" s="606">
        <v>0</v>
      </c>
      <c r="AZ667" s="604" t="s">
        <v>420</v>
      </c>
      <c r="BY667" s="553" t="str">
        <f t="shared" si="96"/>
        <v>2012WaikatodhbSIDS</v>
      </c>
      <c r="BZ667" s="604">
        <v>2012</v>
      </c>
      <c r="CA667" s="604" t="s">
        <v>89</v>
      </c>
      <c r="CB667" s="604" t="s">
        <v>448</v>
      </c>
      <c r="CC667" s="604">
        <v>2</v>
      </c>
      <c r="CD667" s="604" t="s">
        <v>32</v>
      </c>
      <c r="CF667" s="559" t="str">
        <f t="shared" si="97"/>
        <v>5yearsPacific peoplesTaranakidhbSUDI</v>
      </c>
      <c r="CG667" s="604" t="s">
        <v>475</v>
      </c>
      <c r="CH667" s="604" t="s">
        <v>320</v>
      </c>
      <c r="CI667" s="604" t="s">
        <v>93</v>
      </c>
      <c r="CJ667" s="604" t="s">
        <v>448</v>
      </c>
      <c r="CK667" s="604">
        <v>0</v>
      </c>
      <c r="CL667" s="604" t="s">
        <v>33</v>
      </c>
    </row>
    <row r="668" spans="9:90">
      <c r="I668" s="578" t="str">
        <f t="shared" si="91"/>
        <v>2008gestUnknownFetal</v>
      </c>
      <c r="J668" s="604">
        <v>2008</v>
      </c>
      <c r="K668" s="604" t="s">
        <v>450</v>
      </c>
      <c r="L668" s="604" t="s">
        <v>63</v>
      </c>
      <c r="M668" s="604">
        <v>3</v>
      </c>
      <c r="N668" s="604">
        <v>48</v>
      </c>
      <c r="O668" s="604" t="s">
        <v>119</v>
      </c>
      <c r="P668" s="604" t="s">
        <v>47</v>
      </c>
      <c r="Q668" s="499"/>
      <c r="R668" s="502" t="str">
        <f t="shared" si="92"/>
        <v>2014birthsdhbWairarapa</v>
      </c>
      <c r="S668" s="604">
        <v>2014</v>
      </c>
      <c r="T668" s="604" t="s">
        <v>445</v>
      </c>
      <c r="U668" s="604" t="s">
        <v>448</v>
      </c>
      <c r="V668" s="604" t="s">
        <v>98</v>
      </c>
      <c r="W668" s="604">
        <v>493</v>
      </c>
      <c r="Y668" s="535" t="str">
        <f t="shared" si="93"/>
        <v>2016depgestQuin 5&lt;28fetal</v>
      </c>
      <c r="Z668" s="604">
        <v>2016</v>
      </c>
      <c r="AA668" s="604" t="s">
        <v>454</v>
      </c>
      <c r="AB668" s="604" t="s">
        <v>450</v>
      </c>
      <c r="AC668" s="604" t="s">
        <v>425</v>
      </c>
      <c r="AD668" s="604" t="s">
        <v>375</v>
      </c>
      <c r="AE668" s="604">
        <v>64</v>
      </c>
      <c r="AF668" s="604">
        <v>84</v>
      </c>
      <c r="AG668" s="604">
        <v>432.4</v>
      </c>
      <c r="AH668" s="604" t="s">
        <v>420</v>
      </c>
      <c r="AJ668" s="535" t="str">
        <f t="shared" si="94"/>
        <v>2016depgestQuin 5&lt;28</v>
      </c>
      <c r="AK668" s="604">
        <v>2016</v>
      </c>
      <c r="AL668" s="604" t="s">
        <v>454</v>
      </c>
      <c r="AM668" s="604" t="s">
        <v>450</v>
      </c>
      <c r="AN668" s="604" t="s">
        <v>425</v>
      </c>
      <c r="AO668" s="604" t="s">
        <v>375</v>
      </c>
      <c r="AP668" s="604">
        <v>84</v>
      </c>
      <c r="AR668" s="538" t="str">
        <f t="shared" si="95"/>
        <v>4500+bwtfetalWest Coast</v>
      </c>
      <c r="AS668" s="604">
        <v>2016</v>
      </c>
      <c r="AT668" s="604" t="s">
        <v>432</v>
      </c>
      <c r="AU668" s="604" t="s">
        <v>447</v>
      </c>
      <c r="AV668" s="604" t="s">
        <v>100</v>
      </c>
      <c r="AW668" s="604">
        <v>0</v>
      </c>
      <c r="AX668" s="604">
        <v>10</v>
      </c>
      <c r="AY668" s="606">
        <v>0</v>
      </c>
      <c r="AZ668" s="604" t="s">
        <v>420</v>
      </c>
      <c r="BY668" s="553" t="str">
        <f t="shared" si="96"/>
        <v>2012LakesdhbSIDS</v>
      </c>
      <c r="BZ668" s="604">
        <v>2012</v>
      </c>
      <c r="CA668" s="604" t="s">
        <v>90</v>
      </c>
      <c r="CB668" s="604" t="s">
        <v>448</v>
      </c>
      <c r="CC668" s="604">
        <v>1</v>
      </c>
      <c r="CD668" s="604" t="s">
        <v>32</v>
      </c>
      <c r="CF668" s="559" t="str">
        <f t="shared" si="97"/>
        <v>5yearsAsianMidCentraldhbSUDI</v>
      </c>
      <c r="CG668" s="604" t="s">
        <v>475</v>
      </c>
      <c r="CH668" s="604" t="s">
        <v>355</v>
      </c>
      <c r="CI668" s="604" t="s">
        <v>94</v>
      </c>
      <c r="CJ668" s="604" t="s">
        <v>448</v>
      </c>
      <c r="CK668" s="604">
        <v>0</v>
      </c>
      <c r="CL668" s="604" t="s">
        <v>33</v>
      </c>
    </row>
    <row r="669" spans="9:90">
      <c r="I669" s="578" t="str">
        <f t="shared" si="91"/>
        <v>2009gest&lt;28Fetal</v>
      </c>
      <c r="J669" s="604">
        <v>2009</v>
      </c>
      <c r="K669" s="604" t="s">
        <v>450</v>
      </c>
      <c r="L669" s="604" t="s">
        <v>375</v>
      </c>
      <c r="M669" s="604">
        <v>259</v>
      </c>
      <c r="N669" s="604">
        <v>538</v>
      </c>
      <c r="O669" s="604">
        <v>481.4</v>
      </c>
      <c r="P669" s="604" t="s">
        <v>47</v>
      </c>
      <c r="Q669" s="499"/>
      <c r="R669" s="502" t="str">
        <f t="shared" si="92"/>
        <v>2014birthsdhbNelson Marlborough</v>
      </c>
      <c r="S669" s="604">
        <v>2014</v>
      </c>
      <c r="T669" s="604" t="s">
        <v>445</v>
      </c>
      <c r="U669" s="604" t="s">
        <v>448</v>
      </c>
      <c r="V669" s="604" t="s">
        <v>99</v>
      </c>
      <c r="W669" s="604">
        <v>1449</v>
      </c>
      <c r="Y669" s="535" t="str">
        <f t="shared" si="93"/>
        <v>2016depgestQuin 9&lt;28fetal</v>
      </c>
      <c r="Z669" s="604">
        <v>2016</v>
      </c>
      <c r="AA669" s="604" t="s">
        <v>454</v>
      </c>
      <c r="AB669" s="604" t="s">
        <v>450</v>
      </c>
      <c r="AC669" s="604" t="s">
        <v>426</v>
      </c>
      <c r="AD669" s="604" t="s">
        <v>375</v>
      </c>
      <c r="AE669" s="604">
        <v>14</v>
      </c>
      <c r="AF669" s="604">
        <v>1</v>
      </c>
      <c r="AG669" s="604" t="s">
        <v>119</v>
      </c>
      <c r="AH669" s="604" t="s">
        <v>420</v>
      </c>
      <c r="AJ669" s="535" t="str">
        <f t="shared" si="94"/>
        <v>2016depgestQuin 9&lt;28</v>
      </c>
      <c r="AK669" s="604">
        <v>2016</v>
      </c>
      <c r="AL669" s="604" t="s">
        <v>454</v>
      </c>
      <c r="AM669" s="604" t="s">
        <v>450</v>
      </c>
      <c r="AN669" s="604" t="s">
        <v>426</v>
      </c>
      <c r="AO669" s="604" t="s">
        <v>375</v>
      </c>
      <c r="AP669" s="604">
        <v>1</v>
      </c>
      <c r="AR669" s="538" t="str">
        <f t="shared" si="95"/>
        <v>4500+bwtfetalCanterbury</v>
      </c>
      <c r="AS669" s="604">
        <v>2016</v>
      </c>
      <c r="AT669" s="604" t="s">
        <v>432</v>
      </c>
      <c r="AU669" s="604" t="s">
        <v>447</v>
      </c>
      <c r="AV669" s="604" t="s">
        <v>101</v>
      </c>
      <c r="AW669" s="604">
        <v>0</v>
      </c>
      <c r="AX669" s="604">
        <v>163</v>
      </c>
      <c r="AY669" s="606">
        <v>0</v>
      </c>
      <c r="AZ669" s="604" t="s">
        <v>420</v>
      </c>
      <c r="BY669" s="553" t="str">
        <f t="shared" si="96"/>
        <v>2012Bay of PlentydhbSIDS</v>
      </c>
      <c r="BZ669" s="604">
        <v>2012</v>
      </c>
      <c r="CA669" s="604" t="s">
        <v>91</v>
      </c>
      <c r="CB669" s="604" t="s">
        <v>448</v>
      </c>
      <c r="CC669" s="604">
        <v>1</v>
      </c>
      <c r="CD669" s="604" t="s">
        <v>32</v>
      </c>
      <c r="CF669" s="559" t="str">
        <f t="shared" si="97"/>
        <v>5yearsEuropean or OtherMidCentraldhbSUDI</v>
      </c>
      <c r="CG669" s="604" t="s">
        <v>475</v>
      </c>
      <c r="CH669" s="604" t="s">
        <v>356</v>
      </c>
      <c r="CI669" s="604" t="s">
        <v>94</v>
      </c>
      <c r="CJ669" s="604" t="s">
        <v>448</v>
      </c>
      <c r="CK669" s="604">
        <v>1</v>
      </c>
      <c r="CL669" s="604" t="s">
        <v>33</v>
      </c>
    </row>
    <row r="670" spans="9:90">
      <c r="I670" s="578" t="str">
        <f t="shared" si="91"/>
        <v>2009gest28-31Fetal</v>
      </c>
      <c r="J670" s="604">
        <v>2009</v>
      </c>
      <c r="K670" s="604" t="s">
        <v>450</v>
      </c>
      <c r="L670" s="604" t="s">
        <v>395</v>
      </c>
      <c r="M670" s="604">
        <v>43</v>
      </c>
      <c r="N670" s="604">
        <v>538</v>
      </c>
      <c r="O670" s="604">
        <v>79.900000000000006</v>
      </c>
      <c r="P670" s="604" t="s">
        <v>47</v>
      </c>
      <c r="Q670" s="499"/>
      <c r="R670" s="502" t="str">
        <f t="shared" si="92"/>
        <v>2014birthsdhbWest Coast</v>
      </c>
      <c r="S670" s="604">
        <v>2014</v>
      </c>
      <c r="T670" s="604" t="s">
        <v>445</v>
      </c>
      <c r="U670" s="604" t="s">
        <v>448</v>
      </c>
      <c r="V670" s="604" t="s">
        <v>100</v>
      </c>
      <c r="W670" s="604">
        <v>381</v>
      </c>
      <c r="Y670" s="535" t="str">
        <f t="shared" si="93"/>
        <v>2016depgestQuin 128-31fetal</v>
      </c>
      <c r="Z670" s="604">
        <v>2016</v>
      </c>
      <c r="AA670" s="604" t="s">
        <v>454</v>
      </c>
      <c r="AB670" s="604" t="s">
        <v>450</v>
      </c>
      <c r="AC670" s="604" t="s">
        <v>421</v>
      </c>
      <c r="AD670" s="604" t="s">
        <v>395</v>
      </c>
      <c r="AE670" s="604">
        <v>4</v>
      </c>
      <c r="AF670" s="604">
        <v>60</v>
      </c>
      <c r="AG670" s="604">
        <v>62.5</v>
      </c>
      <c r="AH670" s="604" t="s">
        <v>420</v>
      </c>
      <c r="AJ670" s="535" t="str">
        <f t="shared" si="94"/>
        <v>2016depgestQuin 128-31</v>
      </c>
      <c r="AK670" s="604">
        <v>2016</v>
      </c>
      <c r="AL670" s="604" t="s">
        <v>454</v>
      </c>
      <c r="AM670" s="604" t="s">
        <v>450</v>
      </c>
      <c r="AN670" s="604" t="s">
        <v>421</v>
      </c>
      <c r="AO670" s="604" t="s">
        <v>395</v>
      </c>
      <c r="AP670" s="604">
        <v>60</v>
      </c>
      <c r="AR670" s="538" t="str">
        <f t="shared" si="95"/>
        <v>500-999bwtfetalSouth Canterbury</v>
      </c>
      <c r="AS670" s="604">
        <v>2016</v>
      </c>
      <c r="AT670" s="604" t="s">
        <v>428</v>
      </c>
      <c r="AU670" s="604" t="s">
        <v>447</v>
      </c>
      <c r="AV670" s="604" t="s">
        <v>102</v>
      </c>
      <c r="AW670" s="604">
        <v>0</v>
      </c>
      <c r="AX670" s="604">
        <v>2</v>
      </c>
      <c r="AY670" s="606">
        <v>0</v>
      </c>
      <c r="AZ670" s="604" t="s">
        <v>420</v>
      </c>
      <c r="BY670" s="553" t="str">
        <f t="shared" si="96"/>
        <v>2012TairawhitidhbSIDS</v>
      </c>
      <c r="BZ670" s="604">
        <v>2012</v>
      </c>
      <c r="CA670" s="604" t="s">
        <v>433</v>
      </c>
      <c r="CB670" s="604" t="s">
        <v>448</v>
      </c>
      <c r="CC670" s="604">
        <v>0</v>
      </c>
      <c r="CD670" s="604" t="s">
        <v>32</v>
      </c>
      <c r="CF670" s="559" t="str">
        <f t="shared" si="97"/>
        <v>5yearsMaoriMidCentraldhbSUDI</v>
      </c>
      <c r="CG670" s="604" t="s">
        <v>475</v>
      </c>
      <c r="CH670" s="604" t="s">
        <v>129</v>
      </c>
      <c r="CI670" s="604" t="s">
        <v>94</v>
      </c>
      <c r="CJ670" s="604" t="s">
        <v>448</v>
      </c>
      <c r="CK670" s="604">
        <v>6</v>
      </c>
      <c r="CL670" s="604" t="s">
        <v>33</v>
      </c>
    </row>
    <row r="671" spans="9:90">
      <c r="I671" s="578" t="str">
        <f t="shared" si="91"/>
        <v>2009gest32-36Fetal</v>
      </c>
      <c r="J671" s="604">
        <v>2009</v>
      </c>
      <c r="K671" s="604" t="s">
        <v>450</v>
      </c>
      <c r="L671" s="604" t="s">
        <v>136</v>
      </c>
      <c r="M671" s="604">
        <v>57</v>
      </c>
      <c r="N671" s="604">
        <v>3935</v>
      </c>
      <c r="O671" s="604">
        <v>14.5</v>
      </c>
      <c r="P671" s="604" t="s">
        <v>47</v>
      </c>
      <c r="Q671" s="499"/>
      <c r="R671" s="502" t="str">
        <f t="shared" si="92"/>
        <v>2014birthsdhbCanterbury</v>
      </c>
      <c r="S671" s="604">
        <v>2014</v>
      </c>
      <c r="T671" s="604" t="s">
        <v>445</v>
      </c>
      <c r="U671" s="604" t="s">
        <v>448</v>
      </c>
      <c r="V671" s="604" t="s">
        <v>101</v>
      </c>
      <c r="W671" s="604">
        <v>5993</v>
      </c>
      <c r="Y671" s="535" t="str">
        <f t="shared" si="93"/>
        <v>2016depgestQuin 228-31fetal</v>
      </c>
      <c r="Z671" s="604">
        <v>2016</v>
      </c>
      <c r="AA671" s="604" t="s">
        <v>454</v>
      </c>
      <c r="AB671" s="604" t="s">
        <v>450</v>
      </c>
      <c r="AC671" s="604" t="s">
        <v>422</v>
      </c>
      <c r="AD671" s="604" t="s">
        <v>395</v>
      </c>
      <c r="AE671" s="604">
        <v>6</v>
      </c>
      <c r="AF671" s="604">
        <v>65</v>
      </c>
      <c r="AG671" s="604">
        <v>84.5</v>
      </c>
      <c r="AH671" s="604" t="s">
        <v>420</v>
      </c>
      <c r="AJ671" s="535" t="str">
        <f t="shared" si="94"/>
        <v>2016depgestQuin 228-31</v>
      </c>
      <c r="AK671" s="604">
        <v>2016</v>
      </c>
      <c r="AL671" s="604" t="s">
        <v>454</v>
      </c>
      <c r="AM671" s="604" t="s">
        <v>450</v>
      </c>
      <c r="AN671" s="604" t="s">
        <v>422</v>
      </c>
      <c r="AO671" s="604" t="s">
        <v>395</v>
      </c>
      <c r="AP671" s="604">
        <v>65</v>
      </c>
      <c r="AR671" s="538" t="str">
        <f t="shared" si="95"/>
        <v>1000-1499bwtfetalSouth Canterbury</v>
      </c>
      <c r="AS671" s="604">
        <v>2016</v>
      </c>
      <c r="AT671" s="604" t="s">
        <v>429</v>
      </c>
      <c r="AU671" s="604" t="s">
        <v>447</v>
      </c>
      <c r="AV671" s="604" t="s">
        <v>102</v>
      </c>
      <c r="AW671" s="604">
        <v>0</v>
      </c>
      <c r="AX671" s="604">
        <v>5</v>
      </c>
      <c r="AY671" s="606">
        <v>0</v>
      </c>
      <c r="AZ671" s="604" t="s">
        <v>420</v>
      </c>
      <c r="BY671" s="553" t="str">
        <f t="shared" si="96"/>
        <v>2012Hawke's BaydhbSIDS</v>
      </c>
      <c r="BZ671" s="604">
        <v>2012</v>
      </c>
      <c r="CA671" s="604" t="s">
        <v>92</v>
      </c>
      <c r="CB671" s="604" t="s">
        <v>448</v>
      </c>
      <c r="CC671" s="604">
        <v>1</v>
      </c>
      <c r="CD671" s="604" t="s">
        <v>32</v>
      </c>
      <c r="CF671" s="559" t="str">
        <f t="shared" si="97"/>
        <v>5yearsPacific peoplesMidCentraldhbSUDI</v>
      </c>
      <c r="CG671" s="604" t="s">
        <v>475</v>
      </c>
      <c r="CH671" s="604" t="s">
        <v>320</v>
      </c>
      <c r="CI671" s="604" t="s">
        <v>94</v>
      </c>
      <c r="CJ671" s="604" t="s">
        <v>448</v>
      </c>
      <c r="CK671" s="604">
        <v>0</v>
      </c>
      <c r="CL671" s="604" t="s">
        <v>33</v>
      </c>
    </row>
    <row r="672" spans="9:90">
      <c r="I672" s="578" t="str">
        <f t="shared" si="91"/>
        <v>2009gest37-41Fetal</v>
      </c>
      <c r="J672" s="604">
        <v>2009</v>
      </c>
      <c r="K672" s="604" t="s">
        <v>450</v>
      </c>
      <c r="L672" s="604" t="s">
        <v>137</v>
      </c>
      <c r="M672" s="604">
        <v>116</v>
      </c>
      <c r="N672" s="604">
        <v>56980</v>
      </c>
      <c r="O672" s="604">
        <v>2</v>
      </c>
      <c r="P672" s="604" t="s">
        <v>47</v>
      </c>
      <c r="Q672" s="499"/>
      <c r="R672" s="502" t="str">
        <f t="shared" si="92"/>
        <v>2014birthsdhbSouth Canterbury</v>
      </c>
      <c r="S672" s="604">
        <v>2014</v>
      </c>
      <c r="T672" s="604" t="s">
        <v>445</v>
      </c>
      <c r="U672" s="604" t="s">
        <v>448</v>
      </c>
      <c r="V672" s="604" t="s">
        <v>102</v>
      </c>
      <c r="W672" s="604">
        <v>624</v>
      </c>
      <c r="Y672" s="535" t="str">
        <f t="shared" si="93"/>
        <v>2016depgestQuin 328-31fetal</v>
      </c>
      <c r="Z672" s="604">
        <v>2016</v>
      </c>
      <c r="AA672" s="604" t="s">
        <v>454</v>
      </c>
      <c r="AB672" s="604" t="s">
        <v>450</v>
      </c>
      <c r="AC672" s="604" t="s">
        <v>423</v>
      </c>
      <c r="AD672" s="604" t="s">
        <v>395</v>
      </c>
      <c r="AE672" s="604">
        <v>5</v>
      </c>
      <c r="AF672" s="604">
        <v>75</v>
      </c>
      <c r="AG672" s="604">
        <v>62.5</v>
      </c>
      <c r="AH672" s="604" t="s">
        <v>420</v>
      </c>
      <c r="AJ672" s="535" t="str">
        <f t="shared" si="94"/>
        <v>2016depgestQuin 328-31</v>
      </c>
      <c r="AK672" s="604">
        <v>2016</v>
      </c>
      <c r="AL672" s="604" t="s">
        <v>454</v>
      </c>
      <c r="AM672" s="604" t="s">
        <v>450</v>
      </c>
      <c r="AN672" s="604" t="s">
        <v>423</v>
      </c>
      <c r="AO672" s="604" t="s">
        <v>395</v>
      </c>
      <c r="AP672" s="604">
        <v>75</v>
      </c>
      <c r="AR672" s="538" t="str">
        <f t="shared" si="95"/>
        <v>2500-4499bwtfetalSouth Canterbury</v>
      </c>
      <c r="AS672" s="604">
        <v>2016</v>
      </c>
      <c r="AT672" s="604" t="s">
        <v>431</v>
      </c>
      <c r="AU672" s="604" t="s">
        <v>447</v>
      </c>
      <c r="AV672" s="604" t="s">
        <v>102</v>
      </c>
      <c r="AW672" s="604">
        <v>0</v>
      </c>
      <c r="AX672" s="604">
        <v>588</v>
      </c>
      <c r="AY672" s="606">
        <v>0</v>
      </c>
      <c r="AZ672" s="604" t="s">
        <v>420</v>
      </c>
      <c r="BY672" s="553" t="str">
        <f t="shared" si="96"/>
        <v>2012TaranakidhbSIDS</v>
      </c>
      <c r="BZ672" s="604">
        <v>2012</v>
      </c>
      <c r="CA672" s="604" t="s">
        <v>93</v>
      </c>
      <c r="CB672" s="604" t="s">
        <v>448</v>
      </c>
      <c r="CC672" s="604">
        <v>0</v>
      </c>
      <c r="CD672" s="604" t="s">
        <v>32</v>
      </c>
      <c r="CF672" s="559" t="str">
        <f t="shared" si="97"/>
        <v>5yearsAsianWhanganuidhbSUDI</v>
      </c>
      <c r="CG672" s="604" t="s">
        <v>475</v>
      </c>
      <c r="CH672" s="604" t="s">
        <v>355</v>
      </c>
      <c r="CI672" s="604" t="s">
        <v>95</v>
      </c>
      <c r="CJ672" s="604" t="s">
        <v>448</v>
      </c>
      <c r="CK672" s="604">
        <v>0</v>
      </c>
      <c r="CL672" s="604" t="s">
        <v>33</v>
      </c>
    </row>
    <row r="673" spans="9:90">
      <c r="I673" s="578" t="str">
        <f t="shared" si="91"/>
        <v>2009gest42+Fetal</v>
      </c>
      <c r="J673" s="604">
        <v>2009</v>
      </c>
      <c r="K673" s="604" t="s">
        <v>450</v>
      </c>
      <c r="L673" s="604" t="s">
        <v>138</v>
      </c>
      <c r="M673" s="604">
        <v>3</v>
      </c>
      <c r="N673" s="604">
        <v>1718</v>
      </c>
      <c r="O673" s="604">
        <v>1.7</v>
      </c>
      <c r="P673" s="604" t="s">
        <v>47</v>
      </c>
      <c r="Q673" s="499"/>
      <c r="R673" s="502" t="str">
        <f t="shared" si="92"/>
        <v>2014birthsdhbSouthern</v>
      </c>
      <c r="S673" s="604">
        <v>2014</v>
      </c>
      <c r="T673" s="604" t="s">
        <v>445</v>
      </c>
      <c r="U673" s="604" t="s">
        <v>448</v>
      </c>
      <c r="V673" s="604" t="s">
        <v>103</v>
      </c>
      <c r="W673" s="604">
        <v>3269</v>
      </c>
      <c r="Y673" s="535" t="str">
        <f t="shared" si="93"/>
        <v>2016depgestQuin 428-31fetal</v>
      </c>
      <c r="Z673" s="604">
        <v>2016</v>
      </c>
      <c r="AA673" s="604" t="s">
        <v>454</v>
      </c>
      <c r="AB673" s="604" t="s">
        <v>450</v>
      </c>
      <c r="AC673" s="604" t="s">
        <v>424</v>
      </c>
      <c r="AD673" s="604" t="s">
        <v>395</v>
      </c>
      <c r="AE673" s="604">
        <v>8</v>
      </c>
      <c r="AF673" s="604">
        <v>96</v>
      </c>
      <c r="AG673" s="604">
        <v>76.900000000000006</v>
      </c>
      <c r="AH673" s="604" t="s">
        <v>420</v>
      </c>
      <c r="AJ673" s="535" t="str">
        <f t="shared" si="94"/>
        <v>2016depgestQuin 428-31</v>
      </c>
      <c r="AK673" s="604">
        <v>2016</v>
      </c>
      <c r="AL673" s="604" t="s">
        <v>454</v>
      </c>
      <c r="AM673" s="604" t="s">
        <v>450</v>
      </c>
      <c r="AN673" s="604" t="s">
        <v>424</v>
      </c>
      <c r="AO673" s="604" t="s">
        <v>395</v>
      </c>
      <c r="AP673" s="604">
        <v>96</v>
      </c>
      <c r="AR673" s="538" t="str">
        <f t="shared" si="95"/>
        <v>4500+bwtfetalSouth Canterbury</v>
      </c>
      <c r="AS673" s="604">
        <v>2016</v>
      </c>
      <c r="AT673" s="604" t="s">
        <v>432</v>
      </c>
      <c r="AU673" s="604" t="s">
        <v>447</v>
      </c>
      <c r="AV673" s="604" t="s">
        <v>102</v>
      </c>
      <c r="AW673" s="604">
        <v>0</v>
      </c>
      <c r="AX673" s="604">
        <v>18</v>
      </c>
      <c r="AY673" s="606">
        <v>0</v>
      </c>
      <c r="AZ673" s="604" t="s">
        <v>420</v>
      </c>
      <c r="BY673" s="553" t="str">
        <f t="shared" si="96"/>
        <v>2012MidCentraldhbSIDS</v>
      </c>
      <c r="BZ673" s="604">
        <v>2012</v>
      </c>
      <c r="CA673" s="604" t="s">
        <v>94</v>
      </c>
      <c r="CB673" s="604" t="s">
        <v>448</v>
      </c>
      <c r="CC673" s="604">
        <v>1</v>
      </c>
      <c r="CD673" s="604" t="s">
        <v>32</v>
      </c>
      <c r="CF673" s="559" t="str">
        <f t="shared" si="97"/>
        <v>5yearsEuropean or OtherWhanganuidhbSUDI</v>
      </c>
      <c r="CG673" s="604" t="s">
        <v>475</v>
      </c>
      <c r="CH673" s="604" t="s">
        <v>356</v>
      </c>
      <c r="CI673" s="604" t="s">
        <v>95</v>
      </c>
      <c r="CJ673" s="604" t="s">
        <v>448</v>
      </c>
      <c r="CK673" s="604">
        <v>1</v>
      </c>
      <c r="CL673" s="604" t="s">
        <v>33</v>
      </c>
    </row>
    <row r="674" spans="9:90">
      <c r="I674" s="578" t="str">
        <f t="shared" si="91"/>
        <v>2009gestUnknownFetal</v>
      </c>
      <c r="J674" s="604">
        <v>2009</v>
      </c>
      <c r="K674" s="604" t="s">
        <v>450</v>
      </c>
      <c r="L674" s="604" t="s">
        <v>63</v>
      </c>
      <c r="M674" s="604">
        <v>4</v>
      </c>
      <c r="N674" s="604">
        <v>58</v>
      </c>
      <c r="O674" s="604" t="s">
        <v>119</v>
      </c>
      <c r="P674" s="604" t="s">
        <v>47</v>
      </c>
      <c r="Q674" s="499"/>
      <c r="R674" s="502" t="str">
        <f t="shared" si="92"/>
        <v>2014birthsdhbUnknown</v>
      </c>
      <c r="S674" s="604">
        <v>2014</v>
      </c>
      <c r="T674" s="604" t="s">
        <v>445</v>
      </c>
      <c r="U674" s="604" t="s">
        <v>448</v>
      </c>
      <c r="V674" s="604" t="s">
        <v>63</v>
      </c>
      <c r="W674" s="604">
        <v>212</v>
      </c>
      <c r="Y674" s="535" t="str">
        <f t="shared" si="93"/>
        <v>2016depgestQuin 528-31fetal</v>
      </c>
      <c r="Z674" s="604">
        <v>2016</v>
      </c>
      <c r="AA674" s="604" t="s">
        <v>454</v>
      </c>
      <c r="AB674" s="604" t="s">
        <v>450</v>
      </c>
      <c r="AC674" s="604" t="s">
        <v>425</v>
      </c>
      <c r="AD674" s="604" t="s">
        <v>395</v>
      </c>
      <c r="AE674" s="604">
        <v>12</v>
      </c>
      <c r="AF674" s="604">
        <v>121</v>
      </c>
      <c r="AG674" s="604">
        <v>90.2</v>
      </c>
      <c r="AH674" s="604" t="s">
        <v>420</v>
      </c>
      <c r="AJ674" s="535" t="str">
        <f t="shared" si="94"/>
        <v>2016depgestQuin 528-31</v>
      </c>
      <c r="AK674" s="604">
        <v>2016</v>
      </c>
      <c r="AL674" s="604" t="s">
        <v>454</v>
      </c>
      <c r="AM674" s="604" t="s">
        <v>450</v>
      </c>
      <c r="AN674" s="604" t="s">
        <v>425</v>
      </c>
      <c r="AO674" s="604" t="s">
        <v>395</v>
      </c>
      <c r="AP674" s="604">
        <v>121</v>
      </c>
      <c r="AR674" s="538" t="str">
        <f t="shared" si="95"/>
        <v>1000-1499bwtfetalSouthern</v>
      </c>
      <c r="AS674" s="604">
        <v>2016</v>
      </c>
      <c r="AT674" s="604" t="s">
        <v>429</v>
      </c>
      <c r="AU674" s="604" t="s">
        <v>447</v>
      </c>
      <c r="AV674" s="604" t="s">
        <v>103</v>
      </c>
      <c r="AW674" s="604">
        <v>0</v>
      </c>
      <c r="AX674" s="604">
        <v>25</v>
      </c>
      <c r="AY674" s="606">
        <v>0</v>
      </c>
      <c r="AZ674" s="604" t="s">
        <v>420</v>
      </c>
      <c r="BY674" s="553" t="str">
        <f t="shared" si="96"/>
        <v>2012WhanganuidhbSIDS</v>
      </c>
      <c r="BZ674" s="604">
        <v>2012</v>
      </c>
      <c r="CA674" s="604" t="s">
        <v>95</v>
      </c>
      <c r="CB674" s="604" t="s">
        <v>448</v>
      </c>
      <c r="CC674" s="604">
        <v>1</v>
      </c>
      <c r="CD674" s="604" t="s">
        <v>32</v>
      </c>
      <c r="CF674" s="559" t="str">
        <f t="shared" si="97"/>
        <v>5yearsMaoriWhanganuidhbSUDI</v>
      </c>
      <c r="CG674" s="604" t="s">
        <v>475</v>
      </c>
      <c r="CH674" s="604" t="s">
        <v>129</v>
      </c>
      <c r="CI674" s="604" t="s">
        <v>95</v>
      </c>
      <c r="CJ674" s="604" t="s">
        <v>448</v>
      </c>
      <c r="CK674" s="604">
        <v>5</v>
      </c>
      <c r="CL674" s="604" t="s">
        <v>33</v>
      </c>
    </row>
    <row r="675" spans="9:90">
      <c r="I675" s="578" t="str">
        <f t="shared" si="91"/>
        <v>2010gest&lt;28Fetal</v>
      </c>
      <c r="J675" s="604">
        <v>2010</v>
      </c>
      <c r="K675" s="604" t="s">
        <v>450</v>
      </c>
      <c r="L675" s="604" t="s">
        <v>375</v>
      </c>
      <c r="M675" s="604">
        <v>267</v>
      </c>
      <c r="N675" s="604">
        <v>581</v>
      </c>
      <c r="O675" s="604">
        <v>459.6</v>
      </c>
      <c r="P675" s="604" t="s">
        <v>47</v>
      </c>
      <c r="Q675" s="499"/>
      <c r="R675" s="502" t="str">
        <f t="shared" si="92"/>
        <v>2015birthsdhbNorthland</v>
      </c>
      <c r="S675" s="604">
        <v>2015</v>
      </c>
      <c r="T675" s="604" t="s">
        <v>445</v>
      </c>
      <c r="U675" s="604" t="s">
        <v>448</v>
      </c>
      <c r="V675" s="604" t="s">
        <v>85</v>
      </c>
      <c r="W675" s="604">
        <v>2287</v>
      </c>
      <c r="Y675" s="535" t="str">
        <f t="shared" si="93"/>
        <v>2016depgestQuin 132-36fetal</v>
      </c>
      <c r="Z675" s="604">
        <v>2016</v>
      </c>
      <c r="AA675" s="604" t="s">
        <v>454</v>
      </c>
      <c r="AB675" s="604" t="s">
        <v>450</v>
      </c>
      <c r="AC675" s="604" t="s">
        <v>421</v>
      </c>
      <c r="AD675" s="604" t="s">
        <v>136</v>
      </c>
      <c r="AE675" s="604">
        <v>2</v>
      </c>
      <c r="AF675" s="604">
        <v>574</v>
      </c>
      <c r="AG675" s="604">
        <v>3.5</v>
      </c>
      <c r="AH675" s="604" t="s">
        <v>420</v>
      </c>
      <c r="AJ675" s="535" t="str">
        <f t="shared" si="94"/>
        <v>2016depgestQuin 132-36</v>
      </c>
      <c r="AK675" s="604">
        <v>2016</v>
      </c>
      <c r="AL675" s="604" t="s">
        <v>454</v>
      </c>
      <c r="AM675" s="604" t="s">
        <v>450</v>
      </c>
      <c r="AN675" s="604" t="s">
        <v>421</v>
      </c>
      <c r="AO675" s="604" t="s">
        <v>136</v>
      </c>
      <c r="AP675" s="604">
        <v>574</v>
      </c>
      <c r="AR675" s="538" t="str">
        <f t="shared" si="95"/>
        <v>500-999bwtfetalUnknown</v>
      </c>
      <c r="AS675" s="604">
        <v>2016</v>
      </c>
      <c r="AT675" s="604" t="s">
        <v>428</v>
      </c>
      <c r="AU675" s="604" t="s">
        <v>447</v>
      </c>
      <c r="AV675" s="604" t="s">
        <v>63</v>
      </c>
      <c r="AW675" s="604">
        <v>0</v>
      </c>
      <c r="AX675" s="604">
        <v>1</v>
      </c>
      <c r="AY675" s="606" t="s">
        <v>119</v>
      </c>
      <c r="AZ675" s="604" t="s">
        <v>420</v>
      </c>
      <c r="BY675" s="553" t="str">
        <f t="shared" si="96"/>
        <v>2012Capital &amp; CoastdhbSIDS</v>
      </c>
      <c r="BZ675" s="604">
        <v>2012</v>
      </c>
      <c r="CA675" s="604" t="s">
        <v>96</v>
      </c>
      <c r="CB675" s="604" t="s">
        <v>448</v>
      </c>
      <c r="CC675" s="604">
        <v>2</v>
      </c>
      <c r="CD675" s="604" t="s">
        <v>32</v>
      </c>
      <c r="CF675" s="559" t="str">
        <f t="shared" si="97"/>
        <v>5yearsPacific peoplesWhanganuidhbSUDI</v>
      </c>
      <c r="CG675" s="604" t="s">
        <v>475</v>
      </c>
      <c r="CH675" s="604" t="s">
        <v>320</v>
      </c>
      <c r="CI675" s="604" t="s">
        <v>95</v>
      </c>
      <c r="CJ675" s="604" t="s">
        <v>448</v>
      </c>
      <c r="CK675" s="604">
        <v>1</v>
      </c>
      <c r="CL675" s="604" t="s">
        <v>33</v>
      </c>
    </row>
    <row r="676" spans="9:90">
      <c r="I676" s="578" t="str">
        <f t="shared" si="91"/>
        <v>2010gest28-31Fetal</v>
      </c>
      <c r="J676" s="604">
        <v>2010</v>
      </c>
      <c r="K676" s="604" t="s">
        <v>450</v>
      </c>
      <c r="L676" s="604" t="s">
        <v>395</v>
      </c>
      <c r="M676" s="604">
        <v>39</v>
      </c>
      <c r="N676" s="604">
        <v>555</v>
      </c>
      <c r="O676" s="604">
        <v>70.3</v>
      </c>
      <c r="P676" s="604" t="s">
        <v>47</v>
      </c>
      <c r="Q676" s="499"/>
      <c r="R676" s="502" t="str">
        <f t="shared" si="92"/>
        <v>2015birthsdhbWaitemata</v>
      </c>
      <c r="S676" s="604">
        <v>2015</v>
      </c>
      <c r="T676" s="604" t="s">
        <v>445</v>
      </c>
      <c r="U676" s="604" t="s">
        <v>448</v>
      </c>
      <c r="V676" s="604" t="s">
        <v>86</v>
      </c>
      <c r="W676" s="604">
        <v>8092</v>
      </c>
      <c r="Y676" s="535" t="str">
        <f t="shared" si="93"/>
        <v>2016depgestQuin 232-36fetal</v>
      </c>
      <c r="Z676" s="604">
        <v>2016</v>
      </c>
      <c r="AA676" s="604" t="s">
        <v>454</v>
      </c>
      <c r="AB676" s="604" t="s">
        <v>450</v>
      </c>
      <c r="AC676" s="604" t="s">
        <v>422</v>
      </c>
      <c r="AD676" s="604" t="s">
        <v>136</v>
      </c>
      <c r="AE676" s="604">
        <v>6</v>
      </c>
      <c r="AF676" s="604">
        <v>580</v>
      </c>
      <c r="AG676" s="604">
        <v>10.199999999999999</v>
      </c>
      <c r="AH676" s="604" t="s">
        <v>420</v>
      </c>
      <c r="AJ676" s="535" t="str">
        <f t="shared" si="94"/>
        <v>2016depgestQuin 232-36</v>
      </c>
      <c r="AK676" s="604">
        <v>2016</v>
      </c>
      <c r="AL676" s="604" t="s">
        <v>454</v>
      </c>
      <c r="AM676" s="604" t="s">
        <v>450</v>
      </c>
      <c r="AN676" s="604" t="s">
        <v>422</v>
      </c>
      <c r="AO676" s="604" t="s">
        <v>136</v>
      </c>
      <c r="AP676" s="604">
        <v>580</v>
      </c>
      <c r="AR676" s="538" t="str">
        <f t="shared" si="95"/>
        <v>2500-4499bwtfetalUnknown</v>
      </c>
      <c r="AS676" s="604">
        <v>2016</v>
      </c>
      <c r="AT676" s="604" t="s">
        <v>431</v>
      </c>
      <c r="AU676" s="604" t="s">
        <v>447</v>
      </c>
      <c r="AV676" s="604" t="s">
        <v>63</v>
      </c>
      <c r="AW676" s="604">
        <v>0</v>
      </c>
      <c r="AX676" s="604">
        <v>122</v>
      </c>
      <c r="AY676" s="606" t="s">
        <v>119</v>
      </c>
      <c r="AZ676" s="604" t="s">
        <v>420</v>
      </c>
      <c r="BY676" s="553" t="str">
        <f t="shared" si="96"/>
        <v>2012Hutt ValleydhbSIDS</v>
      </c>
      <c r="BZ676" s="604">
        <v>2012</v>
      </c>
      <c r="CA676" s="604" t="s">
        <v>97</v>
      </c>
      <c r="CB676" s="604" t="s">
        <v>448</v>
      </c>
      <c r="CC676" s="604">
        <v>1</v>
      </c>
      <c r="CD676" s="604" t="s">
        <v>32</v>
      </c>
      <c r="CF676" s="559" t="str">
        <f t="shared" si="97"/>
        <v>5yearsAsianCapital &amp; CoastdhbSUDI</v>
      </c>
      <c r="CG676" s="604" t="s">
        <v>475</v>
      </c>
      <c r="CH676" s="604" t="s">
        <v>355</v>
      </c>
      <c r="CI676" s="604" t="s">
        <v>96</v>
      </c>
      <c r="CJ676" s="604" t="s">
        <v>448</v>
      </c>
      <c r="CK676" s="604">
        <v>0</v>
      </c>
      <c r="CL676" s="604" t="s">
        <v>33</v>
      </c>
    </row>
    <row r="677" spans="9:90">
      <c r="I677" s="578" t="str">
        <f t="shared" si="91"/>
        <v>2010gest32-36Fetal</v>
      </c>
      <c r="J677" s="604">
        <v>2010</v>
      </c>
      <c r="K677" s="604" t="s">
        <v>450</v>
      </c>
      <c r="L677" s="604" t="s">
        <v>136</v>
      </c>
      <c r="M677" s="604">
        <v>69</v>
      </c>
      <c r="N677" s="604">
        <v>4123</v>
      </c>
      <c r="O677" s="604">
        <v>16.7</v>
      </c>
      <c r="P677" s="604" t="s">
        <v>47</v>
      </c>
      <c r="Q677" s="499"/>
      <c r="R677" s="502" t="str">
        <f t="shared" si="92"/>
        <v>2015birthsdhbAuckland</v>
      </c>
      <c r="S677" s="604">
        <v>2015</v>
      </c>
      <c r="T677" s="604" t="s">
        <v>445</v>
      </c>
      <c r="U677" s="604" t="s">
        <v>448</v>
      </c>
      <c r="V677" s="604" t="s">
        <v>87</v>
      </c>
      <c r="W677" s="604">
        <v>6264</v>
      </c>
      <c r="Y677" s="535" t="str">
        <f t="shared" si="93"/>
        <v>2016depgestQuin 332-36fetal</v>
      </c>
      <c r="Z677" s="604">
        <v>2016</v>
      </c>
      <c r="AA677" s="604" t="s">
        <v>454</v>
      </c>
      <c r="AB677" s="604" t="s">
        <v>450</v>
      </c>
      <c r="AC677" s="604" t="s">
        <v>423</v>
      </c>
      <c r="AD677" s="604" t="s">
        <v>136</v>
      </c>
      <c r="AE677" s="604">
        <v>14</v>
      </c>
      <c r="AF677" s="604">
        <v>676</v>
      </c>
      <c r="AG677" s="604">
        <v>20.3</v>
      </c>
      <c r="AH677" s="604" t="s">
        <v>420</v>
      </c>
      <c r="AJ677" s="535" t="str">
        <f t="shared" si="94"/>
        <v>2016depgestQuin 332-36</v>
      </c>
      <c r="AK677" s="604">
        <v>2016</v>
      </c>
      <c r="AL677" s="604" t="s">
        <v>454</v>
      </c>
      <c r="AM677" s="604" t="s">
        <v>450</v>
      </c>
      <c r="AN677" s="604" t="s">
        <v>423</v>
      </c>
      <c r="AO677" s="604" t="s">
        <v>136</v>
      </c>
      <c r="AP677" s="604">
        <v>676</v>
      </c>
      <c r="AR677" s="538" t="str">
        <f t="shared" si="95"/>
        <v>4500+bwtfetalUnknown</v>
      </c>
      <c r="AS677" s="604">
        <v>2016</v>
      </c>
      <c r="AT677" s="604" t="s">
        <v>432</v>
      </c>
      <c r="AU677" s="604" t="s">
        <v>447</v>
      </c>
      <c r="AV677" s="604" t="s">
        <v>63</v>
      </c>
      <c r="AW677" s="604">
        <v>0</v>
      </c>
      <c r="AX677" s="604">
        <v>2</v>
      </c>
      <c r="AY677" s="606" t="s">
        <v>119</v>
      </c>
      <c r="AZ677" s="604" t="s">
        <v>420</v>
      </c>
      <c r="BY677" s="553" t="str">
        <f t="shared" si="96"/>
        <v>2012WairarapadhbSIDS</v>
      </c>
      <c r="BZ677" s="604">
        <v>2012</v>
      </c>
      <c r="CA677" s="604" t="s">
        <v>98</v>
      </c>
      <c r="CB677" s="604" t="s">
        <v>448</v>
      </c>
      <c r="CC677" s="604">
        <v>0</v>
      </c>
      <c r="CD677" s="604" t="s">
        <v>32</v>
      </c>
      <c r="CF677" s="559" t="str">
        <f t="shared" si="97"/>
        <v>5yearsEuropean or OtherCapital &amp; CoastdhbSUDI</v>
      </c>
      <c r="CG677" s="604" t="s">
        <v>475</v>
      </c>
      <c r="CH677" s="604" t="s">
        <v>356</v>
      </c>
      <c r="CI677" s="604" t="s">
        <v>96</v>
      </c>
      <c r="CJ677" s="604" t="s">
        <v>448</v>
      </c>
      <c r="CK677" s="604">
        <v>2</v>
      </c>
      <c r="CL677" s="604" t="s">
        <v>33</v>
      </c>
    </row>
    <row r="678" spans="9:90">
      <c r="I678" s="578" t="str">
        <f t="shared" si="91"/>
        <v>2010gest37-41Fetal</v>
      </c>
      <c r="J678" s="604">
        <v>2010</v>
      </c>
      <c r="K678" s="604" t="s">
        <v>450</v>
      </c>
      <c r="L678" s="604" t="s">
        <v>137</v>
      </c>
      <c r="M678" s="604">
        <v>91</v>
      </c>
      <c r="N678" s="604">
        <v>58049</v>
      </c>
      <c r="O678" s="604">
        <v>1.6</v>
      </c>
      <c r="P678" s="604" t="s">
        <v>47</v>
      </c>
      <c r="Q678" s="499"/>
      <c r="R678" s="502" t="str">
        <f t="shared" si="92"/>
        <v>2015birthsdhbCounties Manukau</v>
      </c>
      <c r="S678" s="604">
        <v>2015</v>
      </c>
      <c r="T678" s="604" t="s">
        <v>445</v>
      </c>
      <c r="U678" s="604" t="s">
        <v>448</v>
      </c>
      <c r="V678" s="604" t="s">
        <v>88</v>
      </c>
      <c r="W678" s="604">
        <v>8562</v>
      </c>
      <c r="Y678" s="535" t="str">
        <f t="shared" si="93"/>
        <v>2016depgestQuin 432-36fetal</v>
      </c>
      <c r="Z678" s="604">
        <v>2016</v>
      </c>
      <c r="AA678" s="604" t="s">
        <v>454</v>
      </c>
      <c r="AB678" s="604" t="s">
        <v>450</v>
      </c>
      <c r="AC678" s="604" t="s">
        <v>424</v>
      </c>
      <c r="AD678" s="604" t="s">
        <v>136</v>
      </c>
      <c r="AE678" s="604">
        <v>11</v>
      </c>
      <c r="AF678" s="604">
        <v>835</v>
      </c>
      <c r="AG678" s="604">
        <v>13</v>
      </c>
      <c r="AH678" s="604" t="s">
        <v>420</v>
      </c>
      <c r="AJ678" s="535" t="str">
        <f t="shared" si="94"/>
        <v>2016depgestQuin 432-36</v>
      </c>
      <c r="AK678" s="604">
        <v>2016</v>
      </c>
      <c r="AL678" s="604" t="s">
        <v>454</v>
      </c>
      <c r="AM678" s="604" t="s">
        <v>450</v>
      </c>
      <c r="AN678" s="604" t="s">
        <v>424</v>
      </c>
      <c r="AO678" s="604" t="s">
        <v>136</v>
      </c>
      <c r="AP678" s="604">
        <v>835</v>
      </c>
      <c r="AR678" s="538" t="str">
        <f t="shared" si="95"/>
        <v>UnknownbwtfetalUnknown</v>
      </c>
      <c r="AS678" s="604">
        <v>2016</v>
      </c>
      <c r="AT678" s="604" t="s">
        <v>63</v>
      </c>
      <c r="AU678" s="604" t="s">
        <v>447</v>
      </c>
      <c r="AV678" s="604" t="s">
        <v>63</v>
      </c>
      <c r="AW678" s="604">
        <v>0</v>
      </c>
      <c r="AX678" s="604">
        <v>1</v>
      </c>
      <c r="AY678" s="606" t="s">
        <v>119</v>
      </c>
      <c r="AZ678" s="604" t="s">
        <v>420</v>
      </c>
      <c r="BY678" s="553" t="str">
        <f t="shared" si="96"/>
        <v>2012Nelson MarlboroughdhbSIDS</v>
      </c>
      <c r="BZ678" s="604">
        <v>2012</v>
      </c>
      <c r="CA678" s="604" t="s">
        <v>99</v>
      </c>
      <c r="CB678" s="604" t="s">
        <v>448</v>
      </c>
      <c r="CC678" s="604">
        <v>0</v>
      </c>
      <c r="CD678" s="604" t="s">
        <v>32</v>
      </c>
      <c r="CF678" s="559" t="str">
        <f t="shared" si="97"/>
        <v>5yearsMaoriCapital &amp; CoastdhbSUDI</v>
      </c>
      <c r="CG678" s="604" t="s">
        <v>475</v>
      </c>
      <c r="CH678" s="604" t="s">
        <v>129</v>
      </c>
      <c r="CI678" s="604" t="s">
        <v>96</v>
      </c>
      <c r="CJ678" s="604" t="s">
        <v>448</v>
      </c>
      <c r="CK678" s="604">
        <v>7</v>
      </c>
      <c r="CL678" s="604" t="s">
        <v>33</v>
      </c>
    </row>
    <row r="679" spans="9:90">
      <c r="I679" s="578" t="str">
        <f t="shared" si="91"/>
        <v>2010gest42+Fetal</v>
      </c>
      <c r="J679" s="604">
        <v>2010</v>
      </c>
      <c r="K679" s="604" t="s">
        <v>450</v>
      </c>
      <c r="L679" s="604" t="s">
        <v>138</v>
      </c>
      <c r="M679" s="604">
        <v>1</v>
      </c>
      <c r="N679" s="604">
        <v>1834</v>
      </c>
      <c r="O679" s="604">
        <v>0.5</v>
      </c>
      <c r="P679" s="604" t="s">
        <v>47</v>
      </c>
      <c r="Q679" s="499"/>
      <c r="R679" s="502" t="str">
        <f t="shared" si="92"/>
        <v>2015birthsdhbWaikato</v>
      </c>
      <c r="S679" s="604">
        <v>2015</v>
      </c>
      <c r="T679" s="604" t="s">
        <v>445</v>
      </c>
      <c r="U679" s="604" t="s">
        <v>448</v>
      </c>
      <c r="V679" s="604" t="s">
        <v>89</v>
      </c>
      <c r="W679" s="604">
        <v>5690</v>
      </c>
      <c r="Y679" s="535" t="str">
        <f t="shared" si="93"/>
        <v>2016depgestQuin 532-36fetal</v>
      </c>
      <c r="Z679" s="604">
        <v>2016</v>
      </c>
      <c r="AA679" s="604" t="s">
        <v>454</v>
      </c>
      <c r="AB679" s="604" t="s">
        <v>450</v>
      </c>
      <c r="AC679" s="604" t="s">
        <v>425</v>
      </c>
      <c r="AD679" s="604" t="s">
        <v>136</v>
      </c>
      <c r="AE679" s="604">
        <v>21</v>
      </c>
      <c r="AF679" s="604">
        <v>1137</v>
      </c>
      <c r="AG679" s="604">
        <v>18.100000000000001</v>
      </c>
      <c r="AH679" s="604" t="s">
        <v>420</v>
      </c>
      <c r="AJ679" s="535" t="str">
        <f t="shared" si="94"/>
        <v>2016depgestQuin 532-36</v>
      </c>
      <c r="AK679" s="604">
        <v>2016</v>
      </c>
      <c r="AL679" s="604" t="s">
        <v>454</v>
      </c>
      <c r="AM679" s="604" t="s">
        <v>450</v>
      </c>
      <c r="AN679" s="604" t="s">
        <v>425</v>
      </c>
      <c r="AO679" s="604" t="s">
        <v>136</v>
      </c>
      <c r="AP679" s="604">
        <v>1137</v>
      </c>
      <c r="AR679" s="538" t="str">
        <f t="shared" si="95"/>
        <v>42+gestfetalNew Zealand</v>
      </c>
      <c r="AS679" s="604">
        <v>2016</v>
      </c>
      <c r="AT679" s="604" t="s">
        <v>138</v>
      </c>
      <c r="AU679" s="604" t="s">
        <v>450</v>
      </c>
      <c r="AV679" s="604" t="s">
        <v>16</v>
      </c>
      <c r="AW679" s="604">
        <v>0</v>
      </c>
      <c r="AX679" s="604">
        <v>1017</v>
      </c>
      <c r="AY679" s="606">
        <v>0</v>
      </c>
      <c r="AZ679" s="604" t="s">
        <v>420</v>
      </c>
      <c r="BY679" s="553" t="str">
        <f t="shared" si="96"/>
        <v>2012West CoastdhbSIDS</v>
      </c>
      <c r="BZ679" s="604">
        <v>2012</v>
      </c>
      <c r="CA679" s="604" t="s">
        <v>100</v>
      </c>
      <c r="CB679" s="604" t="s">
        <v>448</v>
      </c>
      <c r="CC679" s="604">
        <v>0</v>
      </c>
      <c r="CD679" s="604" t="s">
        <v>32</v>
      </c>
      <c r="CF679" s="559" t="str">
        <f t="shared" si="97"/>
        <v>5yearsPacific peoplesCapital &amp; CoastdhbSUDI</v>
      </c>
      <c r="CG679" s="604" t="s">
        <v>475</v>
      </c>
      <c r="CH679" s="604" t="s">
        <v>320</v>
      </c>
      <c r="CI679" s="604" t="s">
        <v>96</v>
      </c>
      <c r="CJ679" s="604" t="s">
        <v>448</v>
      </c>
      <c r="CK679" s="604">
        <v>4</v>
      </c>
      <c r="CL679" s="604" t="s">
        <v>33</v>
      </c>
    </row>
    <row r="680" spans="9:90">
      <c r="I680" s="578" t="str">
        <f t="shared" si="91"/>
        <v>2010gestUnknownFetal</v>
      </c>
      <c r="J680" s="604">
        <v>2010</v>
      </c>
      <c r="K680" s="604" t="s">
        <v>450</v>
      </c>
      <c r="L680" s="604" t="s">
        <v>63</v>
      </c>
      <c r="M680" s="604">
        <v>2</v>
      </c>
      <c r="N680" s="604">
        <v>26</v>
      </c>
      <c r="O680" s="604" t="s">
        <v>119</v>
      </c>
      <c r="P680" s="604" t="s">
        <v>47</v>
      </c>
      <c r="Q680" s="499"/>
      <c r="R680" s="502" t="str">
        <f t="shared" si="92"/>
        <v>2015birthsdhbLakes</v>
      </c>
      <c r="S680" s="604">
        <v>2015</v>
      </c>
      <c r="T680" s="604" t="s">
        <v>445</v>
      </c>
      <c r="U680" s="604" t="s">
        <v>448</v>
      </c>
      <c r="V680" s="604" t="s">
        <v>90</v>
      </c>
      <c r="W680" s="604">
        <v>1591</v>
      </c>
      <c r="Y680" s="535" t="str">
        <f t="shared" si="93"/>
        <v>2016depgestQuin 932-36fetal</v>
      </c>
      <c r="Z680" s="604">
        <v>2016</v>
      </c>
      <c r="AA680" s="604" t="s">
        <v>454</v>
      </c>
      <c r="AB680" s="604" t="s">
        <v>450</v>
      </c>
      <c r="AC680" s="604" t="s">
        <v>426</v>
      </c>
      <c r="AD680" s="604" t="s">
        <v>136</v>
      </c>
      <c r="AE680" s="604">
        <v>2</v>
      </c>
      <c r="AF680" s="604">
        <v>12</v>
      </c>
      <c r="AG680" s="604" t="s">
        <v>119</v>
      </c>
      <c r="AH680" s="604" t="s">
        <v>420</v>
      </c>
      <c r="AJ680" s="535" t="str">
        <f t="shared" si="94"/>
        <v>2016depgestQuin 932-36</v>
      </c>
      <c r="AK680" s="604">
        <v>2016</v>
      </c>
      <c r="AL680" s="604" t="s">
        <v>454</v>
      </c>
      <c r="AM680" s="604" t="s">
        <v>450</v>
      </c>
      <c r="AN680" s="604" t="s">
        <v>426</v>
      </c>
      <c r="AO680" s="604" t="s">
        <v>136</v>
      </c>
      <c r="AP680" s="604">
        <v>12</v>
      </c>
      <c r="AR680" s="538" t="str">
        <f t="shared" si="95"/>
        <v>TotalOverallinfantNorthland</v>
      </c>
      <c r="AS680" s="604">
        <v>2016</v>
      </c>
      <c r="AT680" s="604" t="s">
        <v>44</v>
      </c>
      <c r="AU680" s="604" t="s">
        <v>104</v>
      </c>
      <c r="AV680" s="604" t="s">
        <v>85</v>
      </c>
      <c r="AW680" s="604">
        <v>12</v>
      </c>
      <c r="AX680" s="604">
        <v>2320</v>
      </c>
      <c r="AY680" s="606">
        <v>5.2</v>
      </c>
      <c r="AZ680" s="604" t="s">
        <v>437</v>
      </c>
      <c r="BY680" s="553" t="str">
        <f t="shared" si="96"/>
        <v>2012CanterburydhbSIDS</v>
      </c>
      <c r="BZ680" s="604">
        <v>2012</v>
      </c>
      <c r="CA680" s="604" t="s">
        <v>101</v>
      </c>
      <c r="CB680" s="604" t="s">
        <v>448</v>
      </c>
      <c r="CC680" s="604">
        <v>5</v>
      </c>
      <c r="CD680" s="604" t="s">
        <v>32</v>
      </c>
      <c r="CF680" s="559" t="str">
        <f t="shared" si="97"/>
        <v>5yearsAsianHutt ValleydhbSUDI</v>
      </c>
      <c r="CG680" s="604" t="s">
        <v>475</v>
      </c>
      <c r="CH680" s="604" t="s">
        <v>355</v>
      </c>
      <c r="CI680" s="604" t="s">
        <v>97</v>
      </c>
      <c r="CJ680" s="604" t="s">
        <v>448</v>
      </c>
      <c r="CK680" s="604">
        <v>1</v>
      </c>
      <c r="CL680" s="604" t="s">
        <v>33</v>
      </c>
    </row>
    <row r="681" spans="9:90">
      <c r="I681" s="578" t="str">
        <f t="shared" si="91"/>
        <v>2011gest&lt;28Fetal</v>
      </c>
      <c r="J681" s="604">
        <v>2011</v>
      </c>
      <c r="K681" s="604" t="s">
        <v>450</v>
      </c>
      <c r="L681" s="604" t="s">
        <v>375</v>
      </c>
      <c r="M681" s="604">
        <v>257</v>
      </c>
      <c r="N681" s="604">
        <v>531</v>
      </c>
      <c r="O681" s="604">
        <v>484</v>
      </c>
      <c r="P681" s="604" t="s">
        <v>47</v>
      </c>
      <c r="Q681" s="499"/>
      <c r="R681" s="502" t="str">
        <f t="shared" si="92"/>
        <v>2015birthsdhbBay of Plenty</v>
      </c>
      <c r="S681" s="604">
        <v>2015</v>
      </c>
      <c r="T681" s="604" t="s">
        <v>445</v>
      </c>
      <c r="U681" s="604" t="s">
        <v>448</v>
      </c>
      <c r="V681" s="604" t="s">
        <v>91</v>
      </c>
      <c r="W681" s="604">
        <v>2946</v>
      </c>
      <c r="Y681" s="535" t="str">
        <f t="shared" si="93"/>
        <v>2016depgestQuin 137-41fetal</v>
      </c>
      <c r="Z681" s="604">
        <v>2016</v>
      </c>
      <c r="AA681" s="604" t="s">
        <v>454</v>
      </c>
      <c r="AB681" s="604" t="s">
        <v>450</v>
      </c>
      <c r="AC681" s="604" t="s">
        <v>421</v>
      </c>
      <c r="AD681" s="604" t="s">
        <v>137</v>
      </c>
      <c r="AE681" s="604">
        <v>9</v>
      </c>
      <c r="AF681" s="604">
        <v>8377</v>
      </c>
      <c r="AG681" s="604">
        <v>1.1000000000000001</v>
      </c>
      <c r="AH681" s="604" t="s">
        <v>420</v>
      </c>
      <c r="AJ681" s="535" t="str">
        <f t="shared" si="94"/>
        <v>2016depgestQuin 137-41</v>
      </c>
      <c r="AK681" s="604">
        <v>2016</v>
      </c>
      <c r="AL681" s="604" t="s">
        <v>454</v>
      </c>
      <c r="AM681" s="604" t="s">
        <v>450</v>
      </c>
      <c r="AN681" s="604" t="s">
        <v>421</v>
      </c>
      <c r="AO681" s="604" t="s">
        <v>137</v>
      </c>
      <c r="AP681" s="604">
        <v>8377</v>
      </c>
      <c r="AR681" s="538" t="str">
        <f t="shared" si="95"/>
        <v>TotalOverallinfantWaitemata</v>
      </c>
      <c r="AS681" s="604">
        <v>2016</v>
      </c>
      <c r="AT681" s="604" t="s">
        <v>44</v>
      </c>
      <c r="AU681" s="604" t="s">
        <v>104</v>
      </c>
      <c r="AV681" s="604" t="s">
        <v>86</v>
      </c>
      <c r="AW681" s="604">
        <v>18</v>
      </c>
      <c r="AX681" s="604">
        <v>8051</v>
      </c>
      <c r="AY681" s="606">
        <v>2.2000000000000002</v>
      </c>
      <c r="AZ681" s="604" t="s">
        <v>437</v>
      </c>
      <c r="BY681" s="553" t="str">
        <f t="shared" si="96"/>
        <v>2012South CanterburydhbSIDS</v>
      </c>
      <c r="BZ681" s="604">
        <v>2012</v>
      </c>
      <c r="CA681" s="604" t="s">
        <v>102</v>
      </c>
      <c r="CB681" s="604" t="s">
        <v>448</v>
      </c>
      <c r="CC681" s="604">
        <v>0</v>
      </c>
      <c r="CD681" s="604" t="s">
        <v>32</v>
      </c>
      <c r="CF681" s="559" t="str">
        <f t="shared" si="97"/>
        <v>5yearsEuropean or OtherHutt ValleydhbSUDI</v>
      </c>
      <c r="CG681" s="604" t="s">
        <v>475</v>
      </c>
      <c r="CH681" s="604" t="s">
        <v>356</v>
      </c>
      <c r="CI681" s="604" t="s">
        <v>97</v>
      </c>
      <c r="CJ681" s="604" t="s">
        <v>448</v>
      </c>
      <c r="CK681" s="604">
        <v>2</v>
      </c>
      <c r="CL681" s="604" t="s">
        <v>33</v>
      </c>
    </row>
    <row r="682" spans="9:90">
      <c r="I682" s="578" t="str">
        <f t="shared" si="91"/>
        <v>2011gest28-31Fetal</v>
      </c>
      <c r="J682" s="604">
        <v>2011</v>
      </c>
      <c r="K682" s="604" t="s">
        <v>450</v>
      </c>
      <c r="L682" s="604" t="s">
        <v>395</v>
      </c>
      <c r="M682" s="604">
        <v>43</v>
      </c>
      <c r="N682" s="604">
        <v>525</v>
      </c>
      <c r="O682" s="604">
        <v>81.900000000000006</v>
      </c>
      <c r="P682" s="604" t="s">
        <v>47</v>
      </c>
      <c r="Q682" s="499"/>
      <c r="R682" s="502" t="str">
        <f t="shared" si="92"/>
        <v>2015birthsdhbTairawhiti</v>
      </c>
      <c r="S682" s="604">
        <v>2015</v>
      </c>
      <c r="T682" s="604" t="s">
        <v>445</v>
      </c>
      <c r="U682" s="604" t="s">
        <v>448</v>
      </c>
      <c r="V682" s="604" t="s">
        <v>433</v>
      </c>
      <c r="W682" s="604">
        <v>739</v>
      </c>
      <c r="Y682" s="535" t="str">
        <f t="shared" si="93"/>
        <v>2016depgestQuin 237-41fetal</v>
      </c>
      <c r="Z682" s="604">
        <v>2016</v>
      </c>
      <c r="AA682" s="604" t="s">
        <v>454</v>
      </c>
      <c r="AB682" s="604" t="s">
        <v>450</v>
      </c>
      <c r="AC682" s="604" t="s">
        <v>422</v>
      </c>
      <c r="AD682" s="604" t="s">
        <v>137</v>
      </c>
      <c r="AE682" s="604">
        <v>13</v>
      </c>
      <c r="AF682" s="604">
        <v>9282</v>
      </c>
      <c r="AG682" s="604">
        <v>1.4</v>
      </c>
      <c r="AH682" s="604" t="s">
        <v>420</v>
      </c>
      <c r="AJ682" s="535" t="str">
        <f t="shared" si="94"/>
        <v>2016depgestQuin 237-41</v>
      </c>
      <c r="AK682" s="604">
        <v>2016</v>
      </c>
      <c r="AL682" s="604" t="s">
        <v>454</v>
      </c>
      <c r="AM682" s="604" t="s">
        <v>450</v>
      </c>
      <c r="AN682" s="604" t="s">
        <v>422</v>
      </c>
      <c r="AO682" s="604" t="s">
        <v>137</v>
      </c>
      <c r="AP682" s="604">
        <v>9282</v>
      </c>
      <c r="AR682" s="538" t="str">
        <f t="shared" si="95"/>
        <v>TotalOverallinfantAuckland</v>
      </c>
      <c r="AS682" s="604">
        <v>2016</v>
      </c>
      <c r="AT682" s="604" t="s">
        <v>44</v>
      </c>
      <c r="AU682" s="604" t="s">
        <v>104</v>
      </c>
      <c r="AV682" s="604" t="s">
        <v>87</v>
      </c>
      <c r="AW682" s="604">
        <v>18</v>
      </c>
      <c r="AX682" s="604">
        <v>5905</v>
      </c>
      <c r="AY682" s="606">
        <v>3</v>
      </c>
      <c r="AZ682" s="604" t="s">
        <v>437</v>
      </c>
      <c r="BY682" s="553" t="str">
        <f t="shared" si="96"/>
        <v>2012SoutherndhbSIDS</v>
      </c>
      <c r="BZ682" s="604">
        <v>2012</v>
      </c>
      <c r="CA682" s="604" t="s">
        <v>103</v>
      </c>
      <c r="CB682" s="604" t="s">
        <v>448</v>
      </c>
      <c r="CC682" s="604">
        <v>2</v>
      </c>
      <c r="CD682" s="604" t="s">
        <v>32</v>
      </c>
      <c r="CF682" s="559" t="str">
        <f t="shared" si="97"/>
        <v>5yearsMaoriHutt ValleydhbSUDI</v>
      </c>
      <c r="CG682" s="604" t="s">
        <v>475</v>
      </c>
      <c r="CH682" s="604" t="s">
        <v>129</v>
      </c>
      <c r="CI682" s="604" t="s">
        <v>97</v>
      </c>
      <c r="CJ682" s="604" t="s">
        <v>448</v>
      </c>
      <c r="CK682" s="604">
        <v>4</v>
      </c>
      <c r="CL682" s="604" t="s">
        <v>33</v>
      </c>
    </row>
    <row r="683" spans="9:90">
      <c r="I683" s="578" t="str">
        <f t="shared" si="91"/>
        <v>2011gest32-36Fetal</v>
      </c>
      <c r="J683" s="604">
        <v>2011</v>
      </c>
      <c r="K683" s="604" t="s">
        <v>450</v>
      </c>
      <c r="L683" s="604" t="s">
        <v>136</v>
      </c>
      <c r="M683" s="604">
        <v>58</v>
      </c>
      <c r="N683" s="604">
        <v>3940</v>
      </c>
      <c r="O683" s="604">
        <v>14.7</v>
      </c>
      <c r="P683" s="604" t="s">
        <v>47</v>
      </c>
      <c r="Q683" s="499"/>
      <c r="R683" s="502" t="str">
        <f t="shared" si="92"/>
        <v>2015birthsdhbHawke's Bay</v>
      </c>
      <c r="S683" s="604">
        <v>2015</v>
      </c>
      <c r="T683" s="604" t="s">
        <v>445</v>
      </c>
      <c r="U683" s="604" t="s">
        <v>448</v>
      </c>
      <c r="V683" s="604" t="s">
        <v>92</v>
      </c>
      <c r="W683" s="604">
        <v>2208</v>
      </c>
      <c r="Y683" s="535" t="str">
        <f t="shared" si="93"/>
        <v>2016depgestQuin 337-41fetal</v>
      </c>
      <c r="Z683" s="604">
        <v>2016</v>
      </c>
      <c r="AA683" s="604" t="s">
        <v>454</v>
      </c>
      <c r="AB683" s="604" t="s">
        <v>450</v>
      </c>
      <c r="AC683" s="604" t="s">
        <v>423</v>
      </c>
      <c r="AD683" s="604" t="s">
        <v>137</v>
      </c>
      <c r="AE683" s="604">
        <v>16</v>
      </c>
      <c r="AF683" s="604">
        <v>9986</v>
      </c>
      <c r="AG683" s="604">
        <v>1.6</v>
      </c>
      <c r="AH683" s="604" t="s">
        <v>420</v>
      </c>
      <c r="AJ683" s="535" t="str">
        <f t="shared" si="94"/>
        <v>2016depgestQuin 337-41</v>
      </c>
      <c r="AK683" s="604">
        <v>2016</v>
      </c>
      <c r="AL683" s="604" t="s">
        <v>454</v>
      </c>
      <c r="AM683" s="604" t="s">
        <v>450</v>
      </c>
      <c r="AN683" s="604" t="s">
        <v>423</v>
      </c>
      <c r="AO683" s="604" t="s">
        <v>137</v>
      </c>
      <c r="AP683" s="604">
        <v>9986</v>
      </c>
      <c r="AR683" s="538" t="str">
        <f t="shared" si="95"/>
        <v>TotalOverallinfantCounties Manukau</v>
      </c>
      <c r="AS683" s="604">
        <v>2016</v>
      </c>
      <c r="AT683" s="604" t="s">
        <v>44</v>
      </c>
      <c r="AU683" s="604" t="s">
        <v>104</v>
      </c>
      <c r="AV683" s="604" t="s">
        <v>88</v>
      </c>
      <c r="AW683" s="604">
        <v>57</v>
      </c>
      <c r="AX683" s="604">
        <v>8375</v>
      </c>
      <c r="AY683" s="606">
        <v>6.8</v>
      </c>
      <c r="AZ683" s="604" t="s">
        <v>437</v>
      </c>
      <c r="BY683" s="553" t="str">
        <f t="shared" si="96"/>
        <v>2012UnknowndhbSIDS</v>
      </c>
      <c r="BZ683" s="604">
        <v>2012</v>
      </c>
      <c r="CA683" s="604" t="s">
        <v>63</v>
      </c>
      <c r="CB683" s="604" t="s">
        <v>448</v>
      </c>
      <c r="CC683" s="604">
        <v>0</v>
      </c>
      <c r="CD683" s="604" t="s">
        <v>32</v>
      </c>
      <c r="CF683" s="559" t="str">
        <f t="shared" si="97"/>
        <v>5yearsPacific peoplesHutt ValleydhbSUDI</v>
      </c>
      <c r="CG683" s="604" t="s">
        <v>475</v>
      </c>
      <c r="CH683" s="604" t="s">
        <v>320</v>
      </c>
      <c r="CI683" s="604" t="s">
        <v>97</v>
      </c>
      <c r="CJ683" s="604" t="s">
        <v>448</v>
      </c>
      <c r="CK683" s="604">
        <v>1</v>
      </c>
      <c r="CL683" s="604" t="s">
        <v>33</v>
      </c>
    </row>
    <row r="684" spans="9:90">
      <c r="I684" s="578" t="str">
        <f t="shared" si="91"/>
        <v>2011gest37-41Fetal</v>
      </c>
      <c r="J684" s="604">
        <v>2011</v>
      </c>
      <c r="K684" s="604" t="s">
        <v>450</v>
      </c>
      <c r="L684" s="604" t="s">
        <v>137</v>
      </c>
      <c r="M684" s="604">
        <v>89</v>
      </c>
      <c r="N684" s="604">
        <v>56008</v>
      </c>
      <c r="O684" s="604">
        <v>1.6</v>
      </c>
      <c r="P684" s="604" t="s">
        <v>47</v>
      </c>
      <c r="Q684" s="499"/>
      <c r="R684" s="502" t="str">
        <f t="shared" si="92"/>
        <v>2015birthsdhbTaranaki</v>
      </c>
      <c r="S684" s="604">
        <v>2015</v>
      </c>
      <c r="T684" s="604" t="s">
        <v>445</v>
      </c>
      <c r="U684" s="604" t="s">
        <v>448</v>
      </c>
      <c r="V684" s="604" t="s">
        <v>93</v>
      </c>
      <c r="W684" s="604">
        <v>1638</v>
      </c>
      <c r="Y684" s="535" t="str">
        <f t="shared" si="93"/>
        <v>2016depgestQuin 437-41fetal</v>
      </c>
      <c r="Z684" s="604">
        <v>2016</v>
      </c>
      <c r="AA684" s="604" t="s">
        <v>454</v>
      </c>
      <c r="AB684" s="604" t="s">
        <v>450</v>
      </c>
      <c r="AC684" s="604" t="s">
        <v>424</v>
      </c>
      <c r="AD684" s="604" t="s">
        <v>137</v>
      </c>
      <c r="AE684" s="604">
        <v>18</v>
      </c>
      <c r="AF684" s="604">
        <v>11898</v>
      </c>
      <c r="AG684" s="604">
        <v>1.5</v>
      </c>
      <c r="AH684" s="604" t="s">
        <v>420</v>
      </c>
      <c r="AJ684" s="535" t="str">
        <f t="shared" si="94"/>
        <v>2016depgestQuin 437-41</v>
      </c>
      <c r="AK684" s="604">
        <v>2016</v>
      </c>
      <c r="AL684" s="604" t="s">
        <v>454</v>
      </c>
      <c r="AM684" s="604" t="s">
        <v>450</v>
      </c>
      <c r="AN684" s="604" t="s">
        <v>424</v>
      </c>
      <c r="AO684" s="604" t="s">
        <v>137</v>
      </c>
      <c r="AP684" s="604">
        <v>11898</v>
      </c>
      <c r="AR684" s="538" t="str">
        <f t="shared" si="95"/>
        <v>TotalOverallinfantWaikato</v>
      </c>
      <c r="AS684" s="604">
        <v>2016</v>
      </c>
      <c r="AT684" s="604" t="s">
        <v>44</v>
      </c>
      <c r="AU684" s="604" t="s">
        <v>104</v>
      </c>
      <c r="AV684" s="604" t="s">
        <v>89</v>
      </c>
      <c r="AW684" s="604">
        <v>28</v>
      </c>
      <c r="AX684" s="604">
        <v>5507</v>
      </c>
      <c r="AY684" s="606">
        <v>5.0999999999999996</v>
      </c>
      <c r="AZ684" s="604" t="s">
        <v>437</v>
      </c>
      <c r="BY684" s="553" t="str">
        <f t="shared" si="96"/>
        <v>2013NorthlanddhbSIDS</v>
      </c>
      <c r="BZ684" s="604">
        <v>2013</v>
      </c>
      <c r="CA684" s="604" t="s">
        <v>85</v>
      </c>
      <c r="CB684" s="604" t="s">
        <v>448</v>
      </c>
      <c r="CC684" s="604">
        <v>2</v>
      </c>
      <c r="CD684" s="604" t="s">
        <v>32</v>
      </c>
      <c r="CF684" s="559" t="str">
        <f t="shared" si="97"/>
        <v>5yearsEuropean or OtherWairarapadhbSUDI</v>
      </c>
      <c r="CG684" s="604" t="s">
        <v>475</v>
      </c>
      <c r="CH684" s="604" t="s">
        <v>356</v>
      </c>
      <c r="CI684" s="604" t="s">
        <v>98</v>
      </c>
      <c r="CJ684" s="604" t="s">
        <v>448</v>
      </c>
      <c r="CK684" s="604">
        <v>1</v>
      </c>
      <c r="CL684" s="604" t="s">
        <v>33</v>
      </c>
    </row>
    <row r="685" spans="9:90">
      <c r="I685" s="578" t="str">
        <f t="shared" si="91"/>
        <v>2011gest42+Fetal</v>
      </c>
      <c r="J685" s="604">
        <v>2011</v>
      </c>
      <c r="K685" s="604" t="s">
        <v>450</v>
      </c>
      <c r="L685" s="604" t="s">
        <v>138</v>
      </c>
      <c r="M685" s="604">
        <v>4</v>
      </c>
      <c r="N685" s="604">
        <v>1603</v>
      </c>
      <c r="O685" s="604">
        <v>2.5</v>
      </c>
      <c r="P685" s="604" t="s">
        <v>47</v>
      </c>
      <c r="Q685" s="499"/>
      <c r="R685" s="502" t="str">
        <f t="shared" si="92"/>
        <v>2015birthsdhbMidCentral</v>
      </c>
      <c r="S685" s="604">
        <v>2015</v>
      </c>
      <c r="T685" s="604" t="s">
        <v>445</v>
      </c>
      <c r="U685" s="604" t="s">
        <v>448</v>
      </c>
      <c r="V685" s="604" t="s">
        <v>94</v>
      </c>
      <c r="W685" s="604">
        <v>2217</v>
      </c>
      <c r="Y685" s="535" t="str">
        <f t="shared" si="93"/>
        <v>2016depgestQuin 537-41fetal</v>
      </c>
      <c r="Z685" s="604">
        <v>2016</v>
      </c>
      <c r="AA685" s="604" t="s">
        <v>454</v>
      </c>
      <c r="AB685" s="604" t="s">
        <v>450</v>
      </c>
      <c r="AC685" s="604" t="s">
        <v>425</v>
      </c>
      <c r="AD685" s="604" t="s">
        <v>137</v>
      </c>
      <c r="AE685" s="604">
        <v>27</v>
      </c>
      <c r="AF685" s="604">
        <v>15244</v>
      </c>
      <c r="AG685" s="604">
        <v>1.8</v>
      </c>
      <c r="AH685" s="604" t="s">
        <v>420</v>
      </c>
      <c r="AJ685" s="535" t="str">
        <f t="shared" si="94"/>
        <v>2016depgestQuin 537-41</v>
      </c>
      <c r="AK685" s="604">
        <v>2016</v>
      </c>
      <c r="AL685" s="604" t="s">
        <v>454</v>
      </c>
      <c r="AM685" s="604" t="s">
        <v>450</v>
      </c>
      <c r="AN685" s="604" t="s">
        <v>425</v>
      </c>
      <c r="AO685" s="604" t="s">
        <v>137</v>
      </c>
      <c r="AP685" s="604">
        <v>15244</v>
      </c>
      <c r="AR685" s="538" t="str">
        <f t="shared" si="95"/>
        <v>TotalOverallinfantBay of Plenty</v>
      </c>
      <c r="AS685" s="604">
        <v>2016</v>
      </c>
      <c r="AT685" s="604" t="s">
        <v>44</v>
      </c>
      <c r="AU685" s="604" t="s">
        <v>104</v>
      </c>
      <c r="AV685" s="604" t="s">
        <v>91</v>
      </c>
      <c r="AW685" s="604">
        <v>18</v>
      </c>
      <c r="AX685" s="604">
        <v>2940</v>
      </c>
      <c r="AY685" s="606">
        <v>6.1</v>
      </c>
      <c r="AZ685" s="604" t="s">
        <v>437</v>
      </c>
      <c r="BY685" s="553" t="str">
        <f t="shared" si="96"/>
        <v>2013WaitematadhbSIDS</v>
      </c>
      <c r="BZ685" s="604">
        <v>2013</v>
      </c>
      <c r="CA685" s="604" t="s">
        <v>86</v>
      </c>
      <c r="CB685" s="604" t="s">
        <v>448</v>
      </c>
      <c r="CC685" s="604">
        <v>1</v>
      </c>
      <c r="CD685" s="604" t="s">
        <v>32</v>
      </c>
      <c r="CF685" s="559" t="str">
        <f t="shared" si="97"/>
        <v>5yearsMaoriWairarapadhbSUDI</v>
      </c>
      <c r="CG685" s="604" t="s">
        <v>475</v>
      </c>
      <c r="CH685" s="604" t="s">
        <v>129</v>
      </c>
      <c r="CI685" s="604" t="s">
        <v>98</v>
      </c>
      <c r="CJ685" s="604" t="s">
        <v>448</v>
      </c>
      <c r="CK685" s="604">
        <v>0</v>
      </c>
      <c r="CL685" s="604" t="s">
        <v>33</v>
      </c>
    </row>
    <row r="686" spans="9:90">
      <c r="I686" s="578" t="str">
        <f t="shared" si="91"/>
        <v>2011gestUnknownFetal</v>
      </c>
      <c r="J686" s="604">
        <v>2011</v>
      </c>
      <c r="K686" s="604" t="s">
        <v>450</v>
      </c>
      <c r="L686" s="604" t="s">
        <v>63</v>
      </c>
      <c r="M686" s="604">
        <v>0</v>
      </c>
      <c r="N686" s="604">
        <v>18</v>
      </c>
      <c r="O686" s="604" t="s">
        <v>119</v>
      </c>
      <c r="P686" s="604" t="s">
        <v>47</v>
      </c>
      <c r="Q686" s="499"/>
      <c r="R686" s="502" t="str">
        <f t="shared" si="92"/>
        <v>2015birthsdhbWhanganui</v>
      </c>
      <c r="S686" s="604">
        <v>2015</v>
      </c>
      <c r="T686" s="604" t="s">
        <v>445</v>
      </c>
      <c r="U686" s="604" t="s">
        <v>448</v>
      </c>
      <c r="V686" s="604" t="s">
        <v>95</v>
      </c>
      <c r="W686" s="604">
        <v>874</v>
      </c>
      <c r="Y686" s="535" t="str">
        <f t="shared" si="93"/>
        <v>2016depgestQuin 937-41fetal</v>
      </c>
      <c r="Z686" s="604">
        <v>2016</v>
      </c>
      <c r="AA686" s="604" t="s">
        <v>454</v>
      </c>
      <c r="AB686" s="604" t="s">
        <v>450</v>
      </c>
      <c r="AC686" s="604" t="s">
        <v>426</v>
      </c>
      <c r="AD686" s="604" t="s">
        <v>137</v>
      </c>
      <c r="AE686" s="604">
        <v>3</v>
      </c>
      <c r="AF686" s="604">
        <v>112</v>
      </c>
      <c r="AG686" s="604" t="s">
        <v>119</v>
      </c>
      <c r="AH686" s="604" t="s">
        <v>420</v>
      </c>
      <c r="AJ686" s="535" t="str">
        <f t="shared" si="94"/>
        <v>2016depgestQuin 937-41</v>
      </c>
      <c r="AK686" s="604">
        <v>2016</v>
      </c>
      <c r="AL686" s="604" t="s">
        <v>454</v>
      </c>
      <c r="AM686" s="604" t="s">
        <v>450</v>
      </c>
      <c r="AN686" s="604" t="s">
        <v>426</v>
      </c>
      <c r="AO686" s="604" t="s">
        <v>137</v>
      </c>
      <c r="AP686" s="604">
        <v>112</v>
      </c>
      <c r="AR686" s="538" t="str">
        <f t="shared" si="95"/>
        <v>TotalOverallinfantTairawhiti</v>
      </c>
      <c r="AS686" s="604">
        <v>2016</v>
      </c>
      <c r="AT686" s="604" t="s">
        <v>44</v>
      </c>
      <c r="AU686" s="604" t="s">
        <v>104</v>
      </c>
      <c r="AV686" s="604" t="s">
        <v>433</v>
      </c>
      <c r="AW686" s="604">
        <v>3</v>
      </c>
      <c r="AX686" s="604">
        <v>769</v>
      </c>
      <c r="AY686" s="606">
        <v>3.9</v>
      </c>
      <c r="AZ686" s="604" t="s">
        <v>437</v>
      </c>
      <c r="BY686" s="553" t="str">
        <f t="shared" si="96"/>
        <v>2013AucklanddhbSIDS</v>
      </c>
      <c r="BZ686" s="604">
        <v>2013</v>
      </c>
      <c r="CA686" s="604" t="s">
        <v>87</v>
      </c>
      <c r="CB686" s="604" t="s">
        <v>448</v>
      </c>
      <c r="CC686" s="604">
        <v>1</v>
      </c>
      <c r="CD686" s="604" t="s">
        <v>32</v>
      </c>
      <c r="CF686" s="559" t="str">
        <f t="shared" si="97"/>
        <v>5yearsAsianNelson MarlboroughdhbSUDI</v>
      </c>
      <c r="CG686" s="604" t="s">
        <v>475</v>
      </c>
      <c r="CH686" s="604" t="s">
        <v>355</v>
      </c>
      <c r="CI686" s="604" t="s">
        <v>99</v>
      </c>
      <c r="CJ686" s="604" t="s">
        <v>448</v>
      </c>
      <c r="CK686" s="604">
        <v>0</v>
      </c>
      <c r="CL686" s="604" t="s">
        <v>33</v>
      </c>
    </row>
    <row r="687" spans="9:90">
      <c r="I687" s="578" t="str">
        <f t="shared" si="91"/>
        <v>2012gest&lt;28Fetal</v>
      </c>
      <c r="J687" s="604">
        <v>2012</v>
      </c>
      <c r="K687" s="604" t="s">
        <v>450</v>
      </c>
      <c r="L687" s="604" t="s">
        <v>375</v>
      </c>
      <c r="M687" s="604">
        <v>270</v>
      </c>
      <c r="N687" s="604">
        <v>554</v>
      </c>
      <c r="O687" s="604">
        <v>487.4</v>
      </c>
      <c r="P687" s="604" t="s">
        <v>47</v>
      </c>
      <c r="Q687" s="499"/>
      <c r="R687" s="502" t="str">
        <f t="shared" si="92"/>
        <v>2015birthsdhbCapital &amp; Coast</v>
      </c>
      <c r="S687" s="604">
        <v>2015</v>
      </c>
      <c r="T687" s="604" t="s">
        <v>445</v>
      </c>
      <c r="U687" s="604" t="s">
        <v>448</v>
      </c>
      <c r="V687" s="604" t="s">
        <v>96</v>
      </c>
      <c r="W687" s="604">
        <v>3615</v>
      </c>
      <c r="Y687" s="535" t="str">
        <f t="shared" si="93"/>
        <v>2016depgestQuin 142+fetal</v>
      </c>
      <c r="Z687" s="604">
        <v>2016</v>
      </c>
      <c r="AA687" s="604" t="s">
        <v>454</v>
      </c>
      <c r="AB687" s="604" t="s">
        <v>450</v>
      </c>
      <c r="AC687" s="604" t="s">
        <v>421</v>
      </c>
      <c r="AD687" s="604" t="s">
        <v>138</v>
      </c>
      <c r="AE687" s="604">
        <v>0</v>
      </c>
      <c r="AF687" s="604">
        <v>144</v>
      </c>
      <c r="AG687" s="604">
        <v>0</v>
      </c>
      <c r="AH687" s="604" t="s">
        <v>420</v>
      </c>
      <c r="AJ687" s="535" t="str">
        <f t="shared" si="94"/>
        <v>2016depgestQuin 142+</v>
      </c>
      <c r="AK687" s="604">
        <v>2016</v>
      </c>
      <c r="AL687" s="604" t="s">
        <v>454</v>
      </c>
      <c r="AM687" s="604" t="s">
        <v>450</v>
      </c>
      <c r="AN687" s="604" t="s">
        <v>421</v>
      </c>
      <c r="AO687" s="604" t="s">
        <v>138</v>
      </c>
      <c r="AP687" s="604">
        <v>144</v>
      </c>
      <c r="AR687" s="538" t="str">
        <f t="shared" si="95"/>
        <v>TotalOverallinfantHawke's Bay</v>
      </c>
      <c r="AS687" s="604">
        <v>2016</v>
      </c>
      <c r="AT687" s="604" t="s">
        <v>44</v>
      </c>
      <c r="AU687" s="604" t="s">
        <v>104</v>
      </c>
      <c r="AV687" s="604" t="s">
        <v>92</v>
      </c>
      <c r="AW687" s="604">
        <v>6</v>
      </c>
      <c r="AX687" s="604">
        <v>2098</v>
      </c>
      <c r="AY687" s="606">
        <v>2.9</v>
      </c>
      <c r="AZ687" s="604" t="s">
        <v>437</v>
      </c>
      <c r="BY687" s="553" t="str">
        <f t="shared" si="96"/>
        <v>2013Counties ManukaudhbSIDS</v>
      </c>
      <c r="BZ687" s="604">
        <v>2013</v>
      </c>
      <c r="CA687" s="604" t="s">
        <v>88</v>
      </c>
      <c r="CB687" s="604" t="s">
        <v>448</v>
      </c>
      <c r="CC687" s="604">
        <v>3</v>
      </c>
      <c r="CD687" s="604" t="s">
        <v>32</v>
      </c>
      <c r="CF687" s="559" t="str">
        <f t="shared" si="97"/>
        <v>5yearsEuropean or OtherNelson MarlboroughdhbSUDI</v>
      </c>
      <c r="CG687" s="604" t="s">
        <v>475</v>
      </c>
      <c r="CH687" s="604" t="s">
        <v>356</v>
      </c>
      <c r="CI687" s="604" t="s">
        <v>99</v>
      </c>
      <c r="CJ687" s="604" t="s">
        <v>448</v>
      </c>
      <c r="CK687" s="604">
        <v>1</v>
      </c>
      <c r="CL687" s="604" t="s">
        <v>33</v>
      </c>
    </row>
    <row r="688" spans="9:90">
      <c r="I688" s="578" t="str">
        <f t="shared" si="91"/>
        <v>2012gest28-31Fetal</v>
      </c>
      <c r="J688" s="604">
        <v>2012</v>
      </c>
      <c r="K688" s="604" t="s">
        <v>450</v>
      </c>
      <c r="L688" s="604" t="s">
        <v>395</v>
      </c>
      <c r="M688" s="604">
        <v>37</v>
      </c>
      <c r="N688" s="604">
        <v>528</v>
      </c>
      <c r="O688" s="604">
        <v>70.099999999999994</v>
      </c>
      <c r="P688" s="604" t="s">
        <v>47</v>
      </c>
      <c r="Q688" s="499"/>
      <c r="R688" s="502" t="str">
        <f t="shared" si="92"/>
        <v>2015birthsdhbHutt Valley</v>
      </c>
      <c r="S688" s="604">
        <v>2015</v>
      </c>
      <c r="T688" s="604" t="s">
        <v>445</v>
      </c>
      <c r="U688" s="604" t="s">
        <v>448</v>
      </c>
      <c r="V688" s="604" t="s">
        <v>97</v>
      </c>
      <c r="W688" s="604">
        <v>2091</v>
      </c>
      <c r="Y688" s="535" t="str">
        <f t="shared" si="93"/>
        <v>2016depgestQuin 242+fetal</v>
      </c>
      <c r="Z688" s="604">
        <v>2016</v>
      </c>
      <c r="AA688" s="604" t="s">
        <v>454</v>
      </c>
      <c r="AB688" s="604" t="s">
        <v>450</v>
      </c>
      <c r="AC688" s="604" t="s">
        <v>422</v>
      </c>
      <c r="AD688" s="604" t="s">
        <v>138</v>
      </c>
      <c r="AE688" s="604">
        <v>0</v>
      </c>
      <c r="AF688" s="604">
        <v>165</v>
      </c>
      <c r="AG688" s="604">
        <v>0</v>
      </c>
      <c r="AH688" s="604" t="s">
        <v>420</v>
      </c>
      <c r="AJ688" s="535" t="str">
        <f t="shared" si="94"/>
        <v>2016depgestQuin 242+</v>
      </c>
      <c r="AK688" s="604">
        <v>2016</v>
      </c>
      <c r="AL688" s="604" t="s">
        <v>454</v>
      </c>
      <c r="AM688" s="604" t="s">
        <v>450</v>
      </c>
      <c r="AN688" s="604" t="s">
        <v>422</v>
      </c>
      <c r="AO688" s="604" t="s">
        <v>138</v>
      </c>
      <c r="AP688" s="604">
        <v>165</v>
      </c>
      <c r="AR688" s="538" t="str">
        <f t="shared" si="95"/>
        <v>TotalOverallinfantTaranaki</v>
      </c>
      <c r="AS688" s="604">
        <v>2016</v>
      </c>
      <c r="AT688" s="604" t="s">
        <v>44</v>
      </c>
      <c r="AU688" s="604" t="s">
        <v>104</v>
      </c>
      <c r="AV688" s="604" t="s">
        <v>93</v>
      </c>
      <c r="AW688" s="604">
        <v>6</v>
      </c>
      <c r="AX688" s="604">
        <v>1491</v>
      </c>
      <c r="AY688" s="606">
        <v>4</v>
      </c>
      <c r="AZ688" s="604" t="s">
        <v>437</v>
      </c>
      <c r="BY688" s="553" t="str">
        <f t="shared" si="96"/>
        <v>2013WaikatodhbSIDS</v>
      </c>
      <c r="BZ688" s="604">
        <v>2013</v>
      </c>
      <c r="CA688" s="604" t="s">
        <v>89</v>
      </c>
      <c r="CB688" s="604" t="s">
        <v>448</v>
      </c>
      <c r="CC688" s="604">
        <v>1</v>
      </c>
      <c r="CD688" s="604" t="s">
        <v>32</v>
      </c>
      <c r="CF688" s="559" t="str">
        <f t="shared" si="97"/>
        <v>5yearsMaoriNelson MarlboroughdhbSUDI</v>
      </c>
      <c r="CG688" s="604" t="s">
        <v>475</v>
      </c>
      <c r="CH688" s="604" t="s">
        <v>129</v>
      </c>
      <c r="CI688" s="604" t="s">
        <v>99</v>
      </c>
      <c r="CJ688" s="604" t="s">
        <v>448</v>
      </c>
      <c r="CK688" s="604">
        <v>2</v>
      </c>
      <c r="CL688" s="604" t="s">
        <v>33</v>
      </c>
    </row>
    <row r="689" spans="9:90">
      <c r="I689" s="578" t="str">
        <f t="shared" si="91"/>
        <v>2012gest32-36Fetal</v>
      </c>
      <c r="J689" s="604">
        <v>2012</v>
      </c>
      <c r="K689" s="604" t="s">
        <v>450</v>
      </c>
      <c r="L689" s="604" t="s">
        <v>136</v>
      </c>
      <c r="M689" s="604">
        <v>54</v>
      </c>
      <c r="N689" s="604">
        <v>3989</v>
      </c>
      <c r="O689" s="604">
        <v>13.5</v>
      </c>
      <c r="P689" s="604" t="s">
        <v>47</v>
      </c>
      <c r="Q689" s="499"/>
      <c r="R689" s="502" t="str">
        <f t="shared" si="92"/>
        <v>2015birthsdhbWairarapa</v>
      </c>
      <c r="S689" s="604">
        <v>2015</v>
      </c>
      <c r="T689" s="604" t="s">
        <v>445</v>
      </c>
      <c r="U689" s="604" t="s">
        <v>448</v>
      </c>
      <c r="V689" s="604" t="s">
        <v>98</v>
      </c>
      <c r="W689" s="604">
        <v>494</v>
      </c>
      <c r="Y689" s="535" t="str">
        <f t="shared" si="93"/>
        <v>2016depgestQuin 342+fetal</v>
      </c>
      <c r="Z689" s="604">
        <v>2016</v>
      </c>
      <c r="AA689" s="604" t="s">
        <v>454</v>
      </c>
      <c r="AB689" s="604" t="s">
        <v>450</v>
      </c>
      <c r="AC689" s="604" t="s">
        <v>423</v>
      </c>
      <c r="AD689" s="604" t="s">
        <v>138</v>
      </c>
      <c r="AE689" s="604">
        <v>0</v>
      </c>
      <c r="AF689" s="604">
        <v>181</v>
      </c>
      <c r="AG689" s="604">
        <v>0</v>
      </c>
      <c r="AH689" s="604" t="s">
        <v>420</v>
      </c>
      <c r="AJ689" s="535" t="str">
        <f t="shared" si="94"/>
        <v>2016depgestQuin 342+</v>
      </c>
      <c r="AK689" s="604">
        <v>2016</v>
      </c>
      <c r="AL689" s="604" t="s">
        <v>454</v>
      </c>
      <c r="AM689" s="604" t="s">
        <v>450</v>
      </c>
      <c r="AN689" s="604" t="s">
        <v>423</v>
      </c>
      <c r="AO689" s="604" t="s">
        <v>138</v>
      </c>
      <c r="AP689" s="604">
        <v>181</v>
      </c>
      <c r="AR689" s="538" t="str">
        <f t="shared" si="95"/>
        <v>TotalOverallinfantMidCentral</v>
      </c>
      <c r="AS689" s="604">
        <v>2016</v>
      </c>
      <c r="AT689" s="604" t="s">
        <v>44</v>
      </c>
      <c r="AU689" s="604" t="s">
        <v>104</v>
      </c>
      <c r="AV689" s="604" t="s">
        <v>94</v>
      </c>
      <c r="AW689" s="604">
        <v>10</v>
      </c>
      <c r="AX689" s="604">
        <v>2106</v>
      </c>
      <c r="AY689" s="606">
        <v>4.7</v>
      </c>
      <c r="AZ689" s="604" t="s">
        <v>437</v>
      </c>
      <c r="BY689" s="553" t="str">
        <f t="shared" si="96"/>
        <v>2013LakesdhbSIDS</v>
      </c>
      <c r="BZ689" s="604">
        <v>2013</v>
      </c>
      <c r="CA689" s="604" t="s">
        <v>90</v>
      </c>
      <c r="CB689" s="604" t="s">
        <v>448</v>
      </c>
      <c r="CC689" s="604">
        <v>1</v>
      </c>
      <c r="CD689" s="604" t="s">
        <v>32</v>
      </c>
      <c r="CF689" s="559" t="str">
        <f t="shared" si="97"/>
        <v>5yearsPacific peoplesNelson MarlboroughdhbSUDI</v>
      </c>
      <c r="CG689" s="604" t="s">
        <v>475</v>
      </c>
      <c r="CH689" s="604" t="s">
        <v>320</v>
      </c>
      <c r="CI689" s="604" t="s">
        <v>99</v>
      </c>
      <c r="CJ689" s="604" t="s">
        <v>448</v>
      </c>
      <c r="CK689" s="604">
        <v>0</v>
      </c>
      <c r="CL689" s="604" t="s">
        <v>33</v>
      </c>
    </row>
    <row r="690" spans="9:90">
      <c r="I690" s="578" t="str">
        <f t="shared" si="91"/>
        <v>2012gest37-41Fetal</v>
      </c>
      <c r="J690" s="604">
        <v>2012</v>
      </c>
      <c r="K690" s="604" t="s">
        <v>450</v>
      </c>
      <c r="L690" s="604" t="s">
        <v>137</v>
      </c>
      <c r="M690" s="604">
        <v>83</v>
      </c>
      <c r="N690" s="604">
        <v>55908</v>
      </c>
      <c r="O690" s="604">
        <v>1.5</v>
      </c>
      <c r="P690" s="604" t="s">
        <v>47</v>
      </c>
      <c r="Q690" s="499"/>
      <c r="R690" s="502" t="str">
        <f t="shared" si="92"/>
        <v>2015birthsdhbNelson Marlborough</v>
      </c>
      <c r="S690" s="604">
        <v>2015</v>
      </c>
      <c r="T690" s="604" t="s">
        <v>445</v>
      </c>
      <c r="U690" s="604" t="s">
        <v>448</v>
      </c>
      <c r="V690" s="604" t="s">
        <v>99</v>
      </c>
      <c r="W690" s="604">
        <v>1489</v>
      </c>
      <c r="Y690" s="535" t="str">
        <f t="shared" si="93"/>
        <v>2016depgestQuin 442+fetal</v>
      </c>
      <c r="Z690" s="604">
        <v>2016</v>
      </c>
      <c r="AA690" s="604" t="s">
        <v>454</v>
      </c>
      <c r="AB690" s="604" t="s">
        <v>450</v>
      </c>
      <c r="AC690" s="604" t="s">
        <v>424</v>
      </c>
      <c r="AD690" s="604" t="s">
        <v>138</v>
      </c>
      <c r="AE690" s="604">
        <v>0</v>
      </c>
      <c r="AF690" s="604">
        <v>232</v>
      </c>
      <c r="AG690" s="604">
        <v>0</v>
      </c>
      <c r="AH690" s="604" t="s">
        <v>420</v>
      </c>
      <c r="AJ690" s="535" t="str">
        <f t="shared" si="94"/>
        <v>2016depgestQuin 442+</v>
      </c>
      <c r="AK690" s="604">
        <v>2016</v>
      </c>
      <c r="AL690" s="604" t="s">
        <v>454</v>
      </c>
      <c r="AM690" s="604" t="s">
        <v>450</v>
      </c>
      <c r="AN690" s="604" t="s">
        <v>424</v>
      </c>
      <c r="AO690" s="604" t="s">
        <v>138</v>
      </c>
      <c r="AP690" s="604">
        <v>232</v>
      </c>
      <c r="AR690" s="538" t="str">
        <f t="shared" si="95"/>
        <v>TotalOverallinfantWhanganui</v>
      </c>
      <c r="AS690" s="604">
        <v>2016</v>
      </c>
      <c r="AT690" s="604" t="s">
        <v>44</v>
      </c>
      <c r="AU690" s="604" t="s">
        <v>104</v>
      </c>
      <c r="AV690" s="604" t="s">
        <v>95</v>
      </c>
      <c r="AW690" s="604">
        <v>6</v>
      </c>
      <c r="AX690" s="604">
        <v>843</v>
      </c>
      <c r="AY690" s="606">
        <v>7.1</v>
      </c>
      <c r="AZ690" s="604" t="s">
        <v>437</v>
      </c>
      <c r="BY690" s="553" t="str">
        <f t="shared" si="96"/>
        <v>2013Bay of PlentydhbSIDS</v>
      </c>
      <c r="BZ690" s="604">
        <v>2013</v>
      </c>
      <c r="CA690" s="604" t="s">
        <v>91</v>
      </c>
      <c r="CB690" s="604" t="s">
        <v>448</v>
      </c>
      <c r="CC690" s="604">
        <v>0</v>
      </c>
      <c r="CD690" s="604" t="s">
        <v>32</v>
      </c>
      <c r="CF690" s="559" t="str">
        <f t="shared" si="97"/>
        <v>5yearsEuropean or OtherWest CoastdhbSUDI</v>
      </c>
      <c r="CG690" s="604" t="s">
        <v>475</v>
      </c>
      <c r="CH690" s="604" t="s">
        <v>356</v>
      </c>
      <c r="CI690" s="604" t="s">
        <v>100</v>
      </c>
      <c r="CJ690" s="604" t="s">
        <v>448</v>
      </c>
      <c r="CK690" s="604">
        <v>0</v>
      </c>
      <c r="CL690" s="604" t="s">
        <v>33</v>
      </c>
    </row>
    <row r="691" spans="9:90">
      <c r="I691" s="578" t="str">
        <f t="shared" si="91"/>
        <v>2012gest42+Fetal</v>
      </c>
      <c r="J691" s="604">
        <v>2012</v>
      </c>
      <c r="K691" s="604" t="s">
        <v>450</v>
      </c>
      <c r="L691" s="604" t="s">
        <v>138</v>
      </c>
      <c r="M691" s="604">
        <v>2</v>
      </c>
      <c r="N691" s="604">
        <v>1483</v>
      </c>
      <c r="O691" s="604">
        <v>1.3</v>
      </c>
      <c r="P691" s="604" t="s">
        <v>47</v>
      </c>
      <c r="Q691" s="499"/>
      <c r="R691" s="502" t="str">
        <f t="shared" si="92"/>
        <v>2015birthsdhbWest Coast</v>
      </c>
      <c r="S691" s="604">
        <v>2015</v>
      </c>
      <c r="T691" s="604" t="s">
        <v>445</v>
      </c>
      <c r="U691" s="604" t="s">
        <v>448</v>
      </c>
      <c r="V691" s="604" t="s">
        <v>100</v>
      </c>
      <c r="W691" s="604">
        <v>389</v>
      </c>
      <c r="Y691" s="535" t="str">
        <f t="shared" si="93"/>
        <v>2016depgestQuin 542+fetal</v>
      </c>
      <c r="Z691" s="604">
        <v>2016</v>
      </c>
      <c r="AA691" s="604" t="s">
        <v>454</v>
      </c>
      <c r="AB691" s="604" t="s">
        <v>450</v>
      </c>
      <c r="AC691" s="604" t="s">
        <v>425</v>
      </c>
      <c r="AD691" s="604" t="s">
        <v>138</v>
      </c>
      <c r="AE691" s="604">
        <v>0</v>
      </c>
      <c r="AF691" s="604">
        <v>290</v>
      </c>
      <c r="AG691" s="604">
        <v>0</v>
      </c>
      <c r="AH691" s="604" t="s">
        <v>420</v>
      </c>
      <c r="AJ691" s="535" t="str">
        <f t="shared" si="94"/>
        <v>2016depgestQuin 542+</v>
      </c>
      <c r="AK691" s="604">
        <v>2016</v>
      </c>
      <c r="AL691" s="604" t="s">
        <v>454</v>
      </c>
      <c r="AM691" s="604" t="s">
        <v>450</v>
      </c>
      <c r="AN691" s="604" t="s">
        <v>425</v>
      </c>
      <c r="AO691" s="604" t="s">
        <v>138</v>
      </c>
      <c r="AP691" s="604">
        <v>290</v>
      </c>
      <c r="AR691" s="538" t="str">
        <f t="shared" si="95"/>
        <v>TotalOverallinfantCapital &amp; Coast</v>
      </c>
      <c r="AS691" s="604">
        <v>2016</v>
      </c>
      <c r="AT691" s="604" t="s">
        <v>44</v>
      </c>
      <c r="AU691" s="604" t="s">
        <v>104</v>
      </c>
      <c r="AV691" s="604" t="s">
        <v>96</v>
      </c>
      <c r="AW691" s="604">
        <v>11</v>
      </c>
      <c r="AX691" s="604">
        <v>3527</v>
      </c>
      <c r="AY691" s="606">
        <v>3.1</v>
      </c>
      <c r="AZ691" s="604" t="s">
        <v>437</v>
      </c>
      <c r="BY691" s="553" t="str">
        <f t="shared" si="96"/>
        <v>2013TairawhitidhbSIDS</v>
      </c>
      <c r="BZ691" s="604">
        <v>2013</v>
      </c>
      <c r="CA691" s="604" t="s">
        <v>433</v>
      </c>
      <c r="CB691" s="604" t="s">
        <v>448</v>
      </c>
      <c r="CC691" s="604">
        <v>0</v>
      </c>
      <c r="CD691" s="604" t="s">
        <v>32</v>
      </c>
      <c r="CF691" s="559" t="str">
        <f t="shared" si="97"/>
        <v>5yearsMaoriWest CoastdhbSUDI</v>
      </c>
      <c r="CG691" s="604" t="s">
        <v>475</v>
      </c>
      <c r="CH691" s="604" t="s">
        <v>129</v>
      </c>
      <c r="CI691" s="604" t="s">
        <v>100</v>
      </c>
      <c r="CJ691" s="604" t="s">
        <v>448</v>
      </c>
      <c r="CK691" s="604">
        <v>0</v>
      </c>
      <c r="CL691" s="604" t="s">
        <v>33</v>
      </c>
    </row>
    <row r="692" spans="9:90">
      <c r="I692" s="578" t="str">
        <f t="shared" si="91"/>
        <v>2012gestUnknownFetal</v>
      </c>
      <c r="J692" s="604">
        <v>2012</v>
      </c>
      <c r="K692" s="604" t="s">
        <v>450</v>
      </c>
      <c r="L692" s="604" t="s">
        <v>63</v>
      </c>
      <c r="M692" s="604">
        <v>2</v>
      </c>
      <c r="N692" s="604">
        <v>21</v>
      </c>
      <c r="O692" s="604" t="s">
        <v>119</v>
      </c>
      <c r="P692" s="604" t="s">
        <v>47</v>
      </c>
      <c r="Q692" s="499"/>
      <c r="R692" s="502" t="str">
        <f t="shared" si="92"/>
        <v>2015birthsdhbCanterbury</v>
      </c>
      <c r="S692" s="604">
        <v>2015</v>
      </c>
      <c r="T692" s="604" t="s">
        <v>445</v>
      </c>
      <c r="U692" s="604" t="s">
        <v>448</v>
      </c>
      <c r="V692" s="604" t="s">
        <v>101</v>
      </c>
      <c r="W692" s="604">
        <v>6439</v>
      </c>
      <c r="Y692" s="535" t="str">
        <f t="shared" si="93"/>
        <v>2016depgestQuin 942+fetal</v>
      </c>
      <c r="Z692" s="604">
        <v>2016</v>
      </c>
      <c r="AA692" s="604" t="s">
        <v>454</v>
      </c>
      <c r="AB692" s="604" t="s">
        <v>450</v>
      </c>
      <c r="AC692" s="604" t="s">
        <v>426</v>
      </c>
      <c r="AD692" s="604" t="s">
        <v>138</v>
      </c>
      <c r="AE692" s="604">
        <v>0</v>
      </c>
      <c r="AF692" s="604">
        <v>5</v>
      </c>
      <c r="AG692" s="604" t="s">
        <v>119</v>
      </c>
      <c r="AH692" s="604" t="s">
        <v>420</v>
      </c>
      <c r="AJ692" s="535" t="str">
        <f t="shared" si="94"/>
        <v>2016depgestQuin 942+</v>
      </c>
      <c r="AK692" s="604">
        <v>2016</v>
      </c>
      <c r="AL692" s="604" t="s">
        <v>454</v>
      </c>
      <c r="AM692" s="604" t="s">
        <v>450</v>
      </c>
      <c r="AN692" s="604" t="s">
        <v>426</v>
      </c>
      <c r="AO692" s="604" t="s">
        <v>138</v>
      </c>
      <c r="AP692" s="604">
        <v>5</v>
      </c>
      <c r="AR692" s="538" t="str">
        <f t="shared" si="95"/>
        <v>TotalOverallinfantHutt Valley</v>
      </c>
      <c r="AS692" s="604">
        <v>2016</v>
      </c>
      <c r="AT692" s="604" t="s">
        <v>44</v>
      </c>
      <c r="AU692" s="604" t="s">
        <v>104</v>
      </c>
      <c r="AV692" s="604" t="s">
        <v>97</v>
      </c>
      <c r="AW692" s="604">
        <v>9</v>
      </c>
      <c r="AX692" s="604">
        <v>2004</v>
      </c>
      <c r="AY692" s="606">
        <v>4.5</v>
      </c>
      <c r="AZ692" s="604" t="s">
        <v>437</v>
      </c>
      <c r="BY692" s="553" t="str">
        <f t="shared" si="96"/>
        <v>2013Hawke's BaydhbSIDS</v>
      </c>
      <c r="BZ692" s="604">
        <v>2013</v>
      </c>
      <c r="CA692" s="604" t="s">
        <v>92</v>
      </c>
      <c r="CB692" s="604" t="s">
        <v>448</v>
      </c>
      <c r="CC692" s="604">
        <v>0</v>
      </c>
      <c r="CD692" s="604" t="s">
        <v>32</v>
      </c>
      <c r="CF692" s="559" t="str">
        <f t="shared" si="97"/>
        <v>5yearsAsianCanterburydhbSUDI</v>
      </c>
      <c r="CG692" s="604" t="s">
        <v>475</v>
      </c>
      <c r="CH692" s="604" t="s">
        <v>355</v>
      </c>
      <c r="CI692" s="604" t="s">
        <v>101</v>
      </c>
      <c r="CJ692" s="604" t="s">
        <v>448</v>
      </c>
      <c r="CK692" s="604">
        <v>2</v>
      </c>
      <c r="CL692" s="604" t="s">
        <v>33</v>
      </c>
    </row>
    <row r="693" spans="9:90">
      <c r="I693" s="578" t="str">
        <f t="shared" si="91"/>
        <v>2013gest&lt;28Fetal</v>
      </c>
      <c r="J693" s="604">
        <v>2013</v>
      </c>
      <c r="K693" s="604" t="s">
        <v>450</v>
      </c>
      <c r="L693" s="604" t="s">
        <v>375</v>
      </c>
      <c r="M693" s="604">
        <v>223</v>
      </c>
      <c r="N693" s="604">
        <v>522</v>
      </c>
      <c r="O693" s="604">
        <v>427.2</v>
      </c>
      <c r="P693" s="604" t="s">
        <v>47</v>
      </c>
      <c r="Q693" s="499"/>
      <c r="R693" s="502" t="str">
        <f t="shared" si="92"/>
        <v>2015birthsdhbSouth Canterbury</v>
      </c>
      <c r="S693" s="604">
        <v>2015</v>
      </c>
      <c r="T693" s="604" t="s">
        <v>445</v>
      </c>
      <c r="U693" s="604" t="s">
        <v>448</v>
      </c>
      <c r="V693" s="604" t="s">
        <v>102</v>
      </c>
      <c r="W693" s="604">
        <v>682</v>
      </c>
      <c r="Y693" s="535" t="str">
        <f t="shared" si="93"/>
        <v>2016depgestQuin 1Unknownfetal</v>
      </c>
      <c r="Z693" s="604">
        <v>2016</v>
      </c>
      <c r="AA693" s="604" t="s">
        <v>454</v>
      </c>
      <c r="AB693" s="604" t="s">
        <v>450</v>
      </c>
      <c r="AC693" s="604" t="s">
        <v>421</v>
      </c>
      <c r="AD693" s="604" t="s">
        <v>63</v>
      </c>
      <c r="AE693" s="604">
        <v>0</v>
      </c>
      <c r="AF693" s="604">
        <v>3</v>
      </c>
      <c r="AG693" s="604" t="s">
        <v>119</v>
      </c>
      <c r="AH693" s="604" t="s">
        <v>420</v>
      </c>
      <c r="AJ693" s="535" t="str">
        <f t="shared" si="94"/>
        <v>2016depgestQuin 1Unknown</v>
      </c>
      <c r="AK693" s="604">
        <v>2016</v>
      </c>
      <c r="AL693" s="604" t="s">
        <v>454</v>
      </c>
      <c r="AM693" s="604" t="s">
        <v>450</v>
      </c>
      <c r="AN693" s="604" t="s">
        <v>421</v>
      </c>
      <c r="AO693" s="604" t="s">
        <v>63</v>
      </c>
      <c r="AP693" s="604">
        <v>3</v>
      </c>
      <c r="AR693" s="538" t="str">
        <f t="shared" si="95"/>
        <v>TotalOverallinfantWairarapa</v>
      </c>
      <c r="AS693" s="604">
        <v>2016</v>
      </c>
      <c r="AT693" s="604" t="s">
        <v>44</v>
      </c>
      <c r="AU693" s="604" t="s">
        <v>104</v>
      </c>
      <c r="AV693" s="604" t="s">
        <v>98</v>
      </c>
      <c r="AW693" s="604">
        <v>1</v>
      </c>
      <c r="AX693" s="604">
        <v>481</v>
      </c>
      <c r="AY693" s="606">
        <v>2.1</v>
      </c>
      <c r="AZ693" s="604" t="s">
        <v>437</v>
      </c>
      <c r="BY693" s="553" t="str">
        <f t="shared" si="96"/>
        <v>2013TaranakidhbSIDS</v>
      </c>
      <c r="BZ693" s="604">
        <v>2013</v>
      </c>
      <c r="CA693" s="604" t="s">
        <v>93</v>
      </c>
      <c r="CB693" s="604" t="s">
        <v>448</v>
      </c>
      <c r="CC693" s="604">
        <v>1</v>
      </c>
      <c r="CD693" s="604" t="s">
        <v>32</v>
      </c>
      <c r="CF693" s="559" t="str">
        <f t="shared" si="97"/>
        <v>5yearsEuropean or OtherCanterburydhbSUDI</v>
      </c>
      <c r="CG693" s="604" t="s">
        <v>475</v>
      </c>
      <c r="CH693" s="604" t="s">
        <v>356</v>
      </c>
      <c r="CI693" s="604" t="s">
        <v>101</v>
      </c>
      <c r="CJ693" s="604" t="s">
        <v>448</v>
      </c>
      <c r="CK693" s="604">
        <v>15</v>
      </c>
      <c r="CL693" s="604" t="s">
        <v>33</v>
      </c>
    </row>
    <row r="694" spans="9:90">
      <c r="I694" s="578" t="str">
        <f t="shared" si="91"/>
        <v>2013gest28-31Fetal</v>
      </c>
      <c r="J694" s="604">
        <v>2013</v>
      </c>
      <c r="K694" s="604" t="s">
        <v>450</v>
      </c>
      <c r="L694" s="604" t="s">
        <v>395</v>
      </c>
      <c r="M694" s="604">
        <v>32</v>
      </c>
      <c r="N694" s="604">
        <v>480</v>
      </c>
      <c r="O694" s="604">
        <v>66.7</v>
      </c>
      <c r="P694" s="604" t="s">
        <v>47</v>
      </c>
      <c r="Q694" s="499"/>
      <c r="R694" s="502" t="str">
        <f t="shared" si="92"/>
        <v>2015birthsdhbSouthern</v>
      </c>
      <c r="S694" s="604">
        <v>2015</v>
      </c>
      <c r="T694" s="604" t="s">
        <v>445</v>
      </c>
      <c r="U694" s="604" t="s">
        <v>448</v>
      </c>
      <c r="V694" s="604" t="s">
        <v>103</v>
      </c>
      <c r="W694" s="604">
        <v>3646</v>
      </c>
      <c r="Y694" s="535" t="str">
        <f t="shared" si="93"/>
        <v>2016depgestQuin 2Unknownfetal</v>
      </c>
      <c r="Z694" s="604">
        <v>2016</v>
      </c>
      <c r="AA694" s="604" t="s">
        <v>454</v>
      </c>
      <c r="AB694" s="604" t="s">
        <v>450</v>
      </c>
      <c r="AC694" s="604" t="s">
        <v>422</v>
      </c>
      <c r="AD694" s="604" t="s">
        <v>63</v>
      </c>
      <c r="AE694" s="604">
        <v>0</v>
      </c>
      <c r="AF694" s="604">
        <v>1</v>
      </c>
      <c r="AG694" s="604" t="s">
        <v>119</v>
      </c>
      <c r="AH694" s="604" t="s">
        <v>420</v>
      </c>
      <c r="AJ694" s="535" t="str">
        <f t="shared" si="94"/>
        <v>2016depgestQuin 2Unknown</v>
      </c>
      <c r="AK694" s="604">
        <v>2016</v>
      </c>
      <c r="AL694" s="604" t="s">
        <v>454</v>
      </c>
      <c r="AM694" s="604" t="s">
        <v>450</v>
      </c>
      <c r="AN694" s="604" t="s">
        <v>422</v>
      </c>
      <c r="AO694" s="604" t="s">
        <v>63</v>
      </c>
      <c r="AP694" s="604">
        <v>1</v>
      </c>
      <c r="AR694" s="538" t="str">
        <f t="shared" si="95"/>
        <v>TotalOverallinfantNelson Marlborough</v>
      </c>
      <c r="AS694" s="604">
        <v>2016</v>
      </c>
      <c r="AT694" s="604" t="s">
        <v>44</v>
      </c>
      <c r="AU694" s="604" t="s">
        <v>104</v>
      </c>
      <c r="AV694" s="604" t="s">
        <v>99</v>
      </c>
      <c r="AW694" s="604">
        <v>2</v>
      </c>
      <c r="AX694" s="604">
        <v>1539</v>
      </c>
      <c r="AY694" s="606">
        <v>1.3</v>
      </c>
      <c r="AZ694" s="604" t="s">
        <v>437</v>
      </c>
      <c r="BY694" s="553" t="str">
        <f t="shared" si="96"/>
        <v>2013MidCentraldhbSIDS</v>
      </c>
      <c r="BZ694" s="604">
        <v>2013</v>
      </c>
      <c r="CA694" s="604" t="s">
        <v>94</v>
      </c>
      <c r="CB694" s="604" t="s">
        <v>448</v>
      </c>
      <c r="CC694" s="604">
        <v>0</v>
      </c>
      <c r="CD694" s="604" t="s">
        <v>32</v>
      </c>
      <c r="CF694" s="559" t="str">
        <f t="shared" si="97"/>
        <v>5yearsMaoriCanterburydhbSUDI</v>
      </c>
      <c r="CG694" s="604" t="s">
        <v>475</v>
      </c>
      <c r="CH694" s="604" t="s">
        <v>129</v>
      </c>
      <c r="CI694" s="604" t="s">
        <v>101</v>
      </c>
      <c r="CJ694" s="604" t="s">
        <v>448</v>
      </c>
      <c r="CK694" s="604">
        <v>3</v>
      </c>
      <c r="CL694" s="604" t="s">
        <v>33</v>
      </c>
    </row>
    <row r="695" spans="9:90">
      <c r="I695" s="578" t="str">
        <f t="shared" si="91"/>
        <v>2013gest32-36Fetal</v>
      </c>
      <c r="J695" s="604">
        <v>2013</v>
      </c>
      <c r="K695" s="604" t="s">
        <v>450</v>
      </c>
      <c r="L695" s="604" t="s">
        <v>136</v>
      </c>
      <c r="M695" s="604">
        <v>62</v>
      </c>
      <c r="N695" s="604">
        <v>3782</v>
      </c>
      <c r="O695" s="604">
        <v>16.399999999999999</v>
      </c>
      <c r="P695" s="604" t="s">
        <v>47</v>
      </c>
      <c r="Q695" s="499"/>
      <c r="R695" s="502" t="str">
        <f t="shared" si="92"/>
        <v>2015birthsdhbUnknown</v>
      </c>
      <c r="S695" s="604">
        <v>2015</v>
      </c>
      <c r="T695" s="604" t="s">
        <v>445</v>
      </c>
      <c r="U695" s="604" t="s">
        <v>448</v>
      </c>
      <c r="V695" s="604" t="s">
        <v>63</v>
      </c>
      <c r="W695" s="604">
        <v>169</v>
      </c>
      <c r="Y695" s="535" t="str">
        <f t="shared" si="93"/>
        <v>2016depgestQuin 3Unknownfetal</v>
      </c>
      <c r="Z695" s="604">
        <v>2016</v>
      </c>
      <c r="AA695" s="604" t="s">
        <v>454</v>
      </c>
      <c r="AB695" s="604" t="s">
        <v>450</v>
      </c>
      <c r="AC695" s="604" t="s">
        <v>423</v>
      </c>
      <c r="AD695" s="604" t="s">
        <v>63</v>
      </c>
      <c r="AE695" s="604">
        <v>0</v>
      </c>
      <c r="AF695" s="604">
        <v>9</v>
      </c>
      <c r="AG695" s="604" t="s">
        <v>119</v>
      </c>
      <c r="AH695" s="604" t="s">
        <v>420</v>
      </c>
      <c r="AJ695" s="535" t="str">
        <f t="shared" si="94"/>
        <v>2016depgestQuin 3Unknown</v>
      </c>
      <c r="AK695" s="604">
        <v>2016</v>
      </c>
      <c r="AL695" s="604" t="s">
        <v>454</v>
      </c>
      <c r="AM695" s="604" t="s">
        <v>450</v>
      </c>
      <c r="AN695" s="604" t="s">
        <v>423</v>
      </c>
      <c r="AO695" s="604" t="s">
        <v>63</v>
      </c>
      <c r="AP695" s="604">
        <v>9</v>
      </c>
      <c r="AR695" s="538" t="str">
        <f t="shared" si="95"/>
        <v>TotalOverallinfantWest Coast</v>
      </c>
      <c r="AS695" s="604">
        <v>2016</v>
      </c>
      <c r="AT695" s="604" t="s">
        <v>44</v>
      </c>
      <c r="AU695" s="604" t="s">
        <v>104</v>
      </c>
      <c r="AV695" s="604" t="s">
        <v>100</v>
      </c>
      <c r="AW695" s="604">
        <v>2</v>
      </c>
      <c r="AX695" s="604">
        <v>327</v>
      </c>
      <c r="AY695" s="606">
        <v>6.1</v>
      </c>
      <c r="AZ695" s="604" t="s">
        <v>437</v>
      </c>
      <c r="BY695" s="553" t="str">
        <f t="shared" si="96"/>
        <v>2013WhanganuidhbSIDS</v>
      </c>
      <c r="BZ695" s="604">
        <v>2013</v>
      </c>
      <c r="CA695" s="604" t="s">
        <v>95</v>
      </c>
      <c r="CB695" s="604" t="s">
        <v>448</v>
      </c>
      <c r="CC695" s="604">
        <v>1</v>
      </c>
      <c r="CD695" s="604" t="s">
        <v>32</v>
      </c>
      <c r="CF695" s="559" t="str">
        <f t="shared" si="97"/>
        <v>5yearsPacific peoplesCanterburydhbSUDI</v>
      </c>
      <c r="CG695" s="604" t="s">
        <v>475</v>
      </c>
      <c r="CH695" s="604" t="s">
        <v>320</v>
      </c>
      <c r="CI695" s="604" t="s">
        <v>101</v>
      </c>
      <c r="CJ695" s="604" t="s">
        <v>448</v>
      </c>
      <c r="CK695" s="604">
        <v>1</v>
      </c>
      <c r="CL695" s="604" t="s">
        <v>33</v>
      </c>
    </row>
    <row r="696" spans="9:90">
      <c r="I696" s="578" t="str">
        <f t="shared" si="91"/>
        <v>2013gest37-41Fetal</v>
      </c>
      <c r="J696" s="604">
        <v>2013</v>
      </c>
      <c r="K696" s="604" t="s">
        <v>450</v>
      </c>
      <c r="L696" s="604" t="s">
        <v>137</v>
      </c>
      <c r="M696" s="604">
        <v>74</v>
      </c>
      <c r="N696" s="604">
        <v>54112</v>
      </c>
      <c r="O696" s="604">
        <v>1.4</v>
      </c>
      <c r="P696" s="604" t="s">
        <v>47</v>
      </c>
      <c r="Q696" s="499"/>
      <c r="R696" s="502" t="str">
        <f t="shared" si="92"/>
        <v>2016birthsdhbNorthland</v>
      </c>
      <c r="S696" s="604">
        <v>2016</v>
      </c>
      <c r="T696" s="604" t="s">
        <v>445</v>
      </c>
      <c r="U696" s="604" t="s">
        <v>448</v>
      </c>
      <c r="V696" s="604" t="s">
        <v>85</v>
      </c>
      <c r="W696" s="604">
        <v>2320</v>
      </c>
      <c r="Y696" s="535" t="str">
        <f t="shared" si="93"/>
        <v>2016depgestQuin 4Unknownfetal</v>
      </c>
      <c r="Z696" s="604">
        <v>2016</v>
      </c>
      <c r="AA696" s="604" t="s">
        <v>454</v>
      </c>
      <c r="AB696" s="604" t="s">
        <v>450</v>
      </c>
      <c r="AC696" s="604" t="s">
        <v>424</v>
      </c>
      <c r="AD696" s="604" t="s">
        <v>63</v>
      </c>
      <c r="AE696" s="604">
        <v>4</v>
      </c>
      <c r="AF696" s="604">
        <v>5</v>
      </c>
      <c r="AG696" s="604" t="s">
        <v>119</v>
      </c>
      <c r="AH696" s="604" t="s">
        <v>420</v>
      </c>
      <c r="AJ696" s="535" t="str">
        <f t="shared" si="94"/>
        <v>2016depgestQuin 4Unknown</v>
      </c>
      <c r="AK696" s="604">
        <v>2016</v>
      </c>
      <c r="AL696" s="604" t="s">
        <v>454</v>
      </c>
      <c r="AM696" s="604" t="s">
        <v>450</v>
      </c>
      <c r="AN696" s="604" t="s">
        <v>424</v>
      </c>
      <c r="AO696" s="604" t="s">
        <v>63</v>
      </c>
      <c r="AP696" s="604">
        <v>5</v>
      </c>
      <c r="AR696" s="538" t="str">
        <f t="shared" si="95"/>
        <v>TotalOverallinfantCanterbury</v>
      </c>
      <c r="AS696" s="604">
        <v>2016</v>
      </c>
      <c r="AT696" s="604" t="s">
        <v>44</v>
      </c>
      <c r="AU696" s="604" t="s">
        <v>104</v>
      </c>
      <c r="AV696" s="604" t="s">
        <v>101</v>
      </c>
      <c r="AW696" s="604">
        <v>21</v>
      </c>
      <c r="AX696" s="604">
        <v>6399</v>
      </c>
      <c r="AY696" s="606">
        <v>3.3</v>
      </c>
      <c r="AZ696" s="604" t="s">
        <v>437</v>
      </c>
      <c r="BY696" s="553" t="str">
        <f t="shared" si="96"/>
        <v>2013Capital &amp; CoastdhbSIDS</v>
      </c>
      <c r="BZ696" s="604">
        <v>2013</v>
      </c>
      <c r="CA696" s="604" t="s">
        <v>96</v>
      </c>
      <c r="CB696" s="604" t="s">
        <v>448</v>
      </c>
      <c r="CC696" s="604">
        <v>1</v>
      </c>
      <c r="CD696" s="604" t="s">
        <v>32</v>
      </c>
      <c r="CF696" s="559" t="str">
        <f t="shared" si="97"/>
        <v>5yearsAsianSouth CanterburydhbSUDI</v>
      </c>
      <c r="CG696" s="604" t="s">
        <v>475</v>
      </c>
      <c r="CH696" s="604" t="s">
        <v>355</v>
      </c>
      <c r="CI696" s="604" t="s">
        <v>102</v>
      </c>
      <c r="CJ696" s="604" t="s">
        <v>448</v>
      </c>
      <c r="CK696" s="604">
        <v>1</v>
      </c>
      <c r="CL696" s="604" t="s">
        <v>33</v>
      </c>
    </row>
    <row r="697" spans="9:90">
      <c r="I697" s="578" t="str">
        <f t="shared" si="91"/>
        <v>2013gest42+Fetal</v>
      </c>
      <c r="J697" s="604">
        <v>2013</v>
      </c>
      <c r="K697" s="604" t="s">
        <v>450</v>
      </c>
      <c r="L697" s="604" t="s">
        <v>138</v>
      </c>
      <c r="M697" s="604">
        <v>1</v>
      </c>
      <c r="N697" s="604">
        <v>1176</v>
      </c>
      <c r="O697" s="604">
        <v>0.9</v>
      </c>
      <c r="P697" s="604" t="s">
        <v>47</v>
      </c>
      <c r="Q697" s="499"/>
      <c r="R697" s="502" t="str">
        <f t="shared" si="92"/>
        <v>2016birthsdhbWaitemata</v>
      </c>
      <c r="S697" s="604">
        <v>2016</v>
      </c>
      <c r="T697" s="604" t="s">
        <v>445</v>
      </c>
      <c r="U697" s="604" t="s">
        <v>448</v>
      </c>
      <c r="V697" s="604" t="s">
        <v>86</v>
      </c>
      <c r="W697" s="604">
        <v>8051</v>
      </c>
      <c r="Y697" s="535" t="str">
        <f t="shared" si="93"/>
        <v>2016depgestQuin 5Unknownfetal</v>
      </c>
      <c r="Z697" s="604">
        <v>2016</v>
      </c>
      <c r="AA697" s="604" t="s">
        <v>454</v>
      </c>
      <c r="AB697" s="604" t="s">
        <v>450</v>
      </c>
      <c r="AC697" s="604" t="s">
        <v>425</v>
      </c>
      <c r="AD697" s="604" t="s">
        <v>63</v>
      </c>
      <c r="AE697" s="604">
        <v>2</v>
      </c>
      <c r="AF697" s="604">
        <v>10</v>
      </c>
      <c r="AG697" s="604" t="s">
        <v>119</v>
      </c>
      <c r="AH697" s="604" t="s">
        <v>420</v>
      </c>
      <c r="AJ697" s="535" t="str">
        <f t="shared" si="94"/>
        <v>2016depgestQuin 5Unknown</v>
      </c>
      <c r="AK697" s="604">
        <v>2016</v>
      </c>
      <c r="AL697" s="604" t="s">
        <v>454</v>
      </c>
      <c r="AM697" s="604" t="s">
        <v>450</v>
      </c>
      <c r="AN697" s="604" t="s">
        <v>425</v>
      </c>
      <c r="AO697" s="604" t="s">
        <v>63</v>
      </c>
      <c r="AP697" s="604">
        <v>10</v>
      </c>
      <c r="AR697" s="538" t="str">
        <f t="shared" si="95"/>
        <v>TotalOverallinfantSouth Canterbury</v>
      </c>
      <c r="AS697" s="604">
        <v>2016</v>
      </c>
      <c r="AT697" s="604" t="s">
        <v>44</v>
      </c>
      <c r="AU697" s="604" t="s">
        <v>104</v>
      </c>
      <c r="AV697" s="604" t="s">
        <v>102</v>
      </c>
      <c r="AW697" s="604">
        <v>3</v>
      </c>
      <c r="AX697" s="604">
        <v>641</v>
      </c>
      <c r="AY697" s="606">
        <v>4.7</v>
      </c>
      <c r="AZ697" s="604" t="s">
        <v>437</v>
      </c>
      <c r="BY697" s="553" t="str">
        <f t="shared" si="96"/>
        <v>2013Hutt ValleydhbSIDS</v>
      </c>
      <c r="BZ697" s="604">
        <v>2013</v>
      </c>
      <c r="CA697" s="604" t="s">
        <v>97</v>
      </c>
      <c r="CB697" s="604" t="s">
        <v>448</v>
      </c>
      <c r="CC697" s="604">
        <v>2</v>
      </c>
      <c r="CD697" s="604" t="s">
        <v>32</v>
      </c>
      <c r="CF697" s="559" t="str">
        <f t="shared" si="97"/>
        <v>5yearsEuropean or OtherSouth CanterburydhbSUDI</v>
      </c>
      <c r="CG697" s="604" t="s">
        <v>475</v>
      </c>
      <c r="CH697" s="604" t="s">
        <v>356</v>
      </c>
      <c r="CI697" s="604" t="s">
        <v>102</v>
      </c>
      <c r="CJ697" s="604" t="s">
        <v>448</v>
      </c>
      <c r="CK697" s="604">
        <v>0</v>
      </c>
      <c r="CL697" s="604" t="s">
        <v>33</v>
      </c>
    </row>
    <row r="698" spans="9:90">
      <c r="I698" s="578" t="str">
        <f t="shared" si="91"/>
        <v>2013gestUnknownFetal</v>
      </c>
      <c r="J698" s="604">
        <v>2013</v>
      </c>
      <c r="K698" s="604" t="s">
        <v>450</v>
      </c>
      <c r="L698" s="604" t="s">
        <v>63</v>
      </c>
      <c r="M698" s="604">
        <v>1</v>
      </c>
      <c r="N698" s="604">
        <v>22</v>
      </c>
      <c r="O698" s="604" t="s">
        <v>119</v>
      </c>
      <c r="P698" s="604" t="s">
        <v>47</v>
      </c>
      <c r="Q698" s="499"/>
      <c r="R698" s="502" t="str">
        <f t="shared" si="92"/>
        <v>2016birthsdhbAuckland</v>
      </c>
      <c r="S698" s="604">
        <v>2016</v>
      </c>
      <c r="T698" s="604" t="s">
        <v>445</v>
      </c>
      <c r="U698" s="604" t="s">
        <v>448</v>
      </c>
      <c r="V698" s="604" t="s">
        <v>87</v>
      </c>
      <c r="W698" s="604">
        <v>5905</v>
      </c>
      <c r="Y698" s="535" t="str">
        <f t="shared" si="93"/>
        <v>2016depgestQuin 9Unknownfetal</v>
      </c>
      <c r="Z698" s="604">
        <v>2016</v>
      </c>
      <c r="AA698" s="604" t="s">
        <v>454</v>
      </c>
      <c r="AB698" s="604" t="s">
        <v>450</v>
      </c>
      <c r="AC698" s="604" t="s">
        <v>426</v>
      </c>
      <c r="AD698" s="604" t="s">
        <v>63</v>
      </c>
      <c r="AE698" s="604">
        <v>0</v>
      </c>
      <c r="AF698" s="604">
        <v>1</v>
      </c>
      <c r="AG698" s="604" t="s">
        <v>119</v>
      </c>
      <c r="AH698" s="604" t="s">
        <v>420</v>
      </c>
      <c r="AJ698" s="535" t="str">
        <f t="shared" si="94"/>
        <v>2016depgestQuin 9Unknown</v>
      </c>
      <c r="AK698" s="604">
        <v>2016</v>
      </c>
      <c r="AL698" s="604" t="s">
        <v>454</v>
      </c>
      <c r="AM698" s="604" t="s">
        <v>450</v>
      </c>
      <c r="AN698" s="604" t="s">
        <v>426</v>
      </c>
      <c r="AO698" s="604" t="s">
        <v>63</v>
      </c>
      <c r="AP698" s="604">
        <v>1</v>
      </c>
      <c r="AR698" s="538" t="str">
        <f t="shared" si="95"/>
        <v>TotalOverallinfantSouthern</v>
      </c>
      <c r="AS698" s="604">
        <v>2016</v>
      </c>
      <c r="AT698" s="604" t="s">
        <v>44</v>
      </c>
      <c r="AU698" s="604" t="s">
        <v>104</v>
      </c>
      <c r="AV698" s="604" t="s">
        <v>103</v>
      </c>
      <c r="AW698" s="604">
        <v>9</v>
      </c>
      <c r="AX698" s="604">
        <v>3414</v>
      </c>
      <c r="AY698" s="606">
        <v>2.6</v>
      </c>
      <c r="AZ698" s="604" t="s">
        <v>437</v>
      </c>
      <c r="BY698" s="553" t="str">
        <f t="shared" si="96"/>
        <v>2013WairarapadhbSIDS</v>
      </c>
      <c r="BZ698" s="604">
        <v>2013</v>
      </c>
      <c r="CA698" s="604" t="s">
        <v>98</v>
      </c>
      <c r="CB698" s="604" t="s">
        <v>448</v>
      </c>
      <c r="CC698" s="604">
        <v>1</v>
      </c>
      <c r="CD698" s="604" t="s">
        <v>32</v>
      </c>
      <c r="CF698" s="559" t="str">
        <f t="shared" si="97"/>
        <v>5yearsMaoriSouth CanterburydhbSUDI</v>
      </c>
      <c r="CG698" s="604" t="s">
        <v>475</v>
      </c>
      <c r="CH698" s="604" t="s">
        <v>129</v>
      </c>
      <c r="CI698" s="604" t="s">
        <v>102</v>
      </c>
      <c r="CJ698" s="604" t="s">
        <v>448</v>
      </c>
      <c r="CK698" s="604">
        <v>1</v>
      </c>
      <c r="CL698" s="604" t="s">
        <v>33</v>
      </c>
    </row>
    <row r="699" spans="9:90">
      <c r="I699" s="578" t="str">
        <f t="shared" si="91"/>
        <v>2014gest&lt;28Fetal</v>
      </c>
      <c r="J699" s="604">
        <v>2014</v>
      </c>
      <c r="K699" s="604" t="s">
        <v>450</v>
      </c>
      <c r="L699" s="604" t="s">
        <v>375</v>
      </c>
      <c r="M699" s="604">
        <v>273</v>
      </c>
      <c r="N699" s="604">
        <v>591</v>
      </c>
      <c r="O699" s="604">
        <v>461.9</v>
      </c>
      <c r="P699" s="604" t="s">
        <v>47</v>
      </c>
      <c r="Q699" s="499"/>
      <c r="R699" s="502" t="str">
        <f t="shared" si="92"/>
        <v>2016birthsdhbCounties Manukau</v>
      </c>
      <c r="S699" s="604">
        <v>2016</v>
      </c>
      <c r="T699" s="604" t="s">
        <v>445</v>
      </c>
      <c r="U699" s="604" t="s">
        <v>448</v>
      </c>
      <c r="V699" s="604" t="s">
        <v>88</v>
      </c>
      <c r="W699" s="604">
        <v>8375</v>
      </c>
      <c r="Y699" s="535" t="str">
        <f t="shared" si="93"/>
        <v>2016OverallsexTotalMalefetal</v>
      </c>
      <c r="Z699" s="604">
        <v>2016</v>
      </c>
      <c r="AA699" s="604" t="s">
        <v>104</v>
      </c>
      <c r="AB699" s="604" t="s">
        <v>451</v>
      </c>
      <c r="AC699" s="604" t="s">
        <v>44</v>
      </c>
      <c r="AD699" s="604" t="s">
        <v>70</v>
      </c>
      <c r="AE699" s="604">
        <v>216</v>
      </c>
      <c r="AF699" s="604">
        <v>31009</v>
      </c>
      <c r="AG699" s="604">
        <v>6.9</v>
      </c>
      <c r="AH699" s="604" t="s">
        <v>420</v>
      </c>
      <c r="AJ699" s="535" t="str">
        <f t="shared" si="94"/>
        <v>2016OverallsexTotalMale</v>
      </c>
      <c r="AK699" s="604">
        <v>2016</v>
      </c>
      <c r="AL699" s="604" t="s">
        <v>104</v>
      </c>
      <c r="AM699" s="604" t="s">
        <v>451</v>
      </c>
      <c r="AN699" s="604" t="s">
        <v>44</v>
      </c>
      <c r="AO699" s="604" t="s">
        <v>70</v>
      </c>
      <c r="AP699" s="604">
        <v>31009</v>
      </c>
      <c r="AR699" s="538" t="str">
        <f t="shared" si="95"/>
        <v>TotalOverallinfantUnknown</v>
      </c>
      <c r="AS699" s="604">
        <v>2016</v>
      </c>
      <c r="AT699" s="604" t="s">
        <v>44</v>
      </c>
      <c r="AU699" s="604" t="s">
        <v>104</v>
      </c>
      <c r="AV699" s="604" t="s">
        <v>63</v>
      </c>
      <c r="AW699" s="604">
        <v>1</v>
      </c>
      <c r="AX699" s="604">
        <v>130</v>
      </c>
      <c r="AY699" s="606" t="s">
        <v>119</v>
      </c>
      <c r="AZ699" s="604" t="s">
        <v>437</v>
      </c>
      <c r="BY699" s="553" t="str">
        <f t="shared" si="96"/>
        <v>2013Nelson MarlboroughdhbSIDS</v>
      </c>
      <c r="BZ699" s="604">
        <v>2013</v>
      </c>
      <c r="CA699" s="604" t="s">
        <v>99</v>
      </c>
      <c r="CB699" s="604" t="s">
        <v>448</v>
      </c>
      <c r="CC699" s="604">
        <v>0</v>
      </c>
      <c r="CD699" s="604" t="s">
        <v>32</v>
      </c>
      <c r="CF699" s="559" t="str">
        <f t="shared" si="97"/>
        <v>5yearsPacific peoplesSouth CanterburydhbSUDI</v>
      </c>
      <c r="CG699" s="604" t="s">
        <v>475</v>
      </c>
      <c r="CH699" s="604" t="s">
        <v>320</v>
      </c>
      <c r="CI699" s="604" t="s">
        <v>102</v>
      </c>
      <c r="CJ699" s="604" t="s">
        <v>448</v>
      </c>
      <c r="CK699" s="604">
        <v>0</v>
      </c>
      <c r="CL699" s="604" t="s">
        <v>33</v>
      </c>
    </row>
    <row r="700" spans="9:90">
      <c r="I700" s="578" t="str">
        <f t="shared" si="91"/>
        <v>2014gest28-31Fetal</v>
      </c>
      <c r="J700" s="604">
        <v>2014</v>
      </c>
      <c r="K700" s="604" t="s">
        <v>450</v>
      </c>
      <c r="L700" s="604" t="s">
        <v>395</v>
      </c>
      <c r="M700" s="604">
        <v>43</v>
      </c>
      <c r="N700" s="604">
        <v>464</v>
      </c>
      <c r="O700" s="604">
        <v>92.7</v>
      </c>
      <c r="P700" s="604" t="s">
        <v>47</v>
      </c>
      <c r="Q700" s="499"/>
      <c r="R700" s="502" t="str">
        <f t="shared" si="92"/>
        <v>2016birthsdhbWaikato</v>
      </c>
      <c r="S700" s="604">
        <v>2016</v>
      </c>
      <c r="T700" s="604" t="s">
        <v>445</v>
      </c>
      <c r="U700" s="604" t="s">
        <v>448</v>
      </c>
      <c r="V700" s="604" t="s">
        <v>89</v>
      </c>
      <c r="W700" s="604">
        <v>5507</v>
      </c>
      <c r="Y700" s="535" t="str">
        <f t="shared" si="93"/>
        <v>2016OverallsexTotalFemalefetal</v>
      </c>
      <c r="Z700" s="604">
        <v>2016</v>
      </c>
      <c r="AA700" s="604" t="s">
        <v>104</v>
      </c>
      <c r="AB700" s="604" t="s">
        <v>451</v>
      </c>
      <c r="AC700" s="604" t="s">
        <v>44</v>
      </c>
      <c r="AD700" s="604" t="s">
        <v>71</v>
      </c>
      <c r="AE700" s="604">
        <v>189</v>
      </c>
      <c r="AF700" s="604">
        <v>29427</v>
      </c>
      <c r="AG700" s="604">
        <v>6.4</v>
      </c>
      <c r="AH700" s="604" t="s">
        <v>420</v>
      </c>
      <c r="AJ700" s="535" t="str">
        <f t="shared" si="94"/>
        <v>2016OverallsexTotalFemale</v>
      </c>
      <c r="AK700" s="604">
        <v>2016</v>
      </c>
      <c r="AL700" s="604" t="s">
        <v>104</v>
      </c>
      <c r="AM700" s="604" t="s">
        <v>451</v>
      </c>
      <c r="AN700" s="604" t="s">
        <v>44</v>
      </c>
      <c r="AO700" s="604" t="s">
        <v>71</v>
      </c>
      <c r="AP700" s="604">
        <v>29427</v>
      </c>
      <c r="AR700" s="538" t="str">
        <f t="shared" si="95"/>
        <v>TotalOverallinfantNew Zealand</v>
      </c>
      <c r="AS700" s="604">
        <v>2016</v>
      </c>
      <c r="AT700" s="604" t="s">
        <v>44</v>
      </c>
      <c r="AU700" s="604" t="s">
        <v>104</v>
      </c>
      <c r="AV700" s="604" t="s">
        <v>16</v>
      </c>
      <c r="AW700" s="604">
        <v>241</v>
      </c>
      <c r="AX700" s="604">
        <v>60436</v>
      </c>
      <c r="AY700" s="606">
        <v>4</v>
      </c>
      <c r="AZ700" s="604" t="s">
        <v>437</v>
      </c>
      <c r="BY700" s="553" t="str">
        <f t="shared" si="96"/>
        <v>2013West CoastdhbSIDS</v>
      </c>
      <c r="BZ700" s="604">
        <v>2013</v>
      </c>
      <c r="CA700" s="604" t="s">
        <v>100</v>
      </c>
      <c r="CB700" s="604" t="s">
        <v>448</v>
      </c>
      <c r="CC700" s="604">
        <v>0</v>
      </c>
      <c r="CD700" s="604" t="s">
        <v>32</v>
      </c>
      <c r="CF700" s="559" t="str">
        <f t="shared" si="97"/>
        <v>5yearsAsianSoutherndhbSUDI</v>
      </c>
      <c r="CG700" s="604" t="s">
        <v>475</v>
      </c>
      <c r="CH700" s="604" t="s">
        <v>355</v>
      </c>
      <c r="CI700" s="604" t="s">
        <v>103</v>
      </c>
      <c r="CJ700" s="604" t="s">
        <v>448</v>
      </c>
      <c r="CK700" s="604">
        <v>0</v>
      </c>
      <c r="CL700" s="604" t="s">
        <v>33</v>
      </c>
    </row>
    <row r="701" spans="9:90">
      <c r="I701" s="578" t="str">
        <f t="shared" si="91"/>
        <v>2014gest32-36Fetal</v>
      </c>
      <c r="J701" s="604">
        <v>2014</v>
      </c>
      <c r="K701" s="604" t="s">
        <v>450</v>
      </c>
      <c r="L701" s="604" t="s">
        <v>136</v>
      </c>
      <c r="M701" s="604">
        <v>54</v>
      </c>
      <c r="N701" s="604">
        <v>3671</v>
      </c>
      <c r="O701" s="604">
        <v>14.7</v>
      </c>
      <c r="P701" s="604" t="s">
        <v>47</v>
      </c>
      <c r="Q701" s="499"/>
      <c r="R701" s="502" t="str">
        <f t="shared" si="92"/>
        <v>2016birthsdhbLakes</v>
      </c>
      <c r="S701" s="604">
        <v>2016</v>
      </c>
      <c r="T701" s="604" t="s">
        <v>445</v>
      </c>
      <c r="U701" s="604" t="s">
        <v>448</v>
      </c>
      <c r="V701" s="604" t="s">
        <v>90</v>
      </c>
      <c r="W701" s="604">
        <v>1569</v>
      </c>
      <c r="Y701" s="535" t="str">
        <f t="shared" si="93"/>
        <v>2016OverallethTotalMaorifetal</v>
      </c>
      <c r="Z701" s="604">
        <v>2016</v>
      </c>
      <c r="AA701" s="604" t="s">
        <v>104</v>
      </c>
      <c r="AB701" s="604" t="s">
        <v>449</v>
      </c>
      <c r="AC701" s="604" t="s">
        <v>44</v>
      </c>
      <c r="AD701" s="604" t="s">
        <v>129</v>
      </c>
      <c r="AE701" s="604">
        <v>122</v>
      </c>
      <c r="AF701" s="604">
        <v>17329</v>
      </c>
      <c r="AG701" s="604">
        <v>7</v>
      </c>
      <c r="AH701" s="604" t="s">
        <v>420</v>
      </c>
      <c r="AJ701" s="535" t="str">
        <f t="shared" si="94"/>
        <v>2016OverallethTotalMaori</v>
      </c>
      <c r="AK701" s="604">
        <v>2016</v>
      </c>
      <c r="AL701" s="604" t="s">
        <v>104</v>
      </c>
      <c r="AM701" s="604" t="s">
        <v>449</v>
      </c>
      <c r="AN701" s="604" t="s">
        <v>44</v>
      </c>
      <c r="AO701" s="604" t="s">
        <v>129</v>
      </c>
      <c r="AP701" s="604">
        <v>17329</v>
      </c>
      <c r="AR701" s="538" t="str">
        <f t="shared" si="95"/>
        <v>20-24ageinfantNorthland</v>
      </c>
      <c r="AS701" s="604">
        <v>2016</v>
      </c>
      <c r="AT701" s="604" t="s">
        <v>130</v>
      </c>
      <c r="AU701" s="604" t="s">
        <v>453</v>
      </c>
      <c r="AV701" s="604" t="s">
        <v>85</v>
      </c>
      <c r="AW701" s="604">
        <v>4</v>
      </c>
      <c r="AX701" s="604">
        <v>528</v>
      </c>
      <c r="AY701" s="606">
        <v>7.6</v>
      </c>
      <c r="AZ701" s="604" t="s">
        <v>437</v>
      </c>
      <c r="BY701" s="553" t="str">
        <f t="shared" si="96"/>
        <v>2013CanterburydhbSIDS</v>
      </c>
      <c r="BZ701" s="604">
        <v>2013</v>
      </c>
      <c r="CA701" s="604" t="s">
        <v>101</v>
      </c>
      <c r="CB701" s="604" t="s">
        <v>448</v>
      </c>
      <c r="CC701" s="604">
        <v>5</v>
      </c>
      <c r="CD701" s="604" t="s">
        <v>32</v>
      </c>
      <c r="CF701" s="559" t="str">
        <f t="shared" si="97"/>
        <v>5yearsEuropean or OtherSoutherndhbSUDI</v>
      </c>
      <c r="CG701" s="604" t="s">
        <v>475</v>
      </c>
      <c r="CH701" s="604" t="s">
        <v>356</v>
      </c>
      <c r="CI701" s="604" t="s">
        <v>103</v>
      </c>
      <c r="CJ701" s="604" t="s">
        <v>448</v>
      </c>
      <c r="CK701" s="604">
        <v>4</v>
      </c>
      <c r="CL701" s="604" t="s">
        <v>33</v>
      </c>
    </row>
    <row r="702" spans="9:90">
      <c r="I702" s="578" t="str">
        <f t="shared" si="91"/>
        <v>2014gest37-41Fetal</v>
      </c>
      <c r="J702" s="604">
        <v>2014</v>
      </c>
      <c r="K702" s="604" t="s">
        <v>450</v>
      </c>
      <c r="L702" s="604" t="s">
        <v>137</v>
      </c>
      <c r="M702" s="604">
        <v>75</v>
      </c>
      <c r="N702" s="604">
        <v>52872</v>
      </c>
      <c r="O702" s="604">
        <v>1.4</v>
      </c>
      <c r="P702" s="604" t="s">
        <v>47</v>
      </c>
      <c r="Q702" s="499"/>
      <c r="R702" s="502" t="str">
        <f t="shared" si="92"/>
        <v>2016birthsdhbBay of Plenty</v>
      </c>
      <c r="S702" s="604">
        <v>2016</v>
      </c>
      <c r="T702" s="604" t="s">
        <v>445</v>
      </c>
      <c r="U702" s="604" t="s">
        <v>448</v>
      </c>
      <c r="V702" s="604" t="s">
        <v>91</v>
      </c>
      <c r="W702" s="604">
        <v>2940</v>
      </c>
      <c r="Y702" s="535" t="str">
        <f t="shared" si="93"/>
        <v>2016OverallethTotalPacific peoplesfetal</v>
      </c>
      <c r="Z702" s="604">
        <v>2016</v>
      </c>
      <c r="AA702" s="604" t="s">
        <v>104</v>
      </c>
      <c r="AB702" s="604" t="s">
        <v>449</v>
      </c>
      <c r="AC702" s="604" t="s">
        <v>44</v>
      </c>
      <c r="AD702" s="604" t="s">
        <v>320</v>
      </c>
      <c r="AE702" s="604">
        <v>45</v>
      </c>
      <c r="AF702" s="604">
        <v>5976</v>
      </c>
      <c r="AG702" s="604">
        <v>7.5</v>
      </c>
      <c r="AH702" s="604" t="s">
        <v>420</v>
      </c>
      <c r="AJ702" s="535" t="str">
        <f t="shared" si="94"/>
        <v>2016OverallethTotalPacific peoples</v>
      </c>
      <c r="AK702" s="604">
        <v>2016</v>
      </c>
      <c r="AL702" s="604" t="s">
        <v>104</v>
      </c>
      <c r="AM702" s="604" t="s">
        <v>449</v>
      </c>
      <c r="AN702" s="604" t="s">
        <v>44</v>
      </c>
      <c r="AO702" s="604" t="s">
        <v>320</v>
      </c>
      <c r="AP702" s="604">
        <v>5976</v>
      </c>
      <c r="AR702" s="538" t="str">
        <f t="shared" si="95"/>
        <v>25-29ageinfantNorthland</v>
      </c>
      <c r="AS702" s="604">
        <v>2016</v>
      </c>
      <c r="AT702" s="604" t="s">
        <v>131</v>
      </c>
      <c r="AU702" s="604" t="s">
        <v>453</v>
      </c>
      <c r="AV702" s="604" t="s">
        <v>85</v>
      </c>
      <c r="AW702" s="604">
        <v>1</v>
      </c>
      <c r="AX702" s="604">
        <v>676</v>
      </c>
      <c r="AY702" s="606">
        <v>1.5</v>
      </c>
      <c r="AZ702" s="604" t="s">
        <v>437</v>
      </c>
      <c r="BY702" s="553" t="str">
        <f t="shared" si="96"/>
        <v>2013South CanterburydhbSIDS</v>
      </c>
      <c r="BZ702" s="604">
        <v>2013</v>
      </c>
      <c r="CA702" s="604" t="s">
        <v>102</v>
      </c>
      <c r="CB702" s="604" t="s">
        <v>448</v>
      </c>
      <c r="CC702" s="604">
        <v>0</v>
      </c>
      <c r="CD702" s="604" t="s">
        <v>32</v>
      </c>
      <c r="CF702" s="559" t="str">
        <f t="shared" si="97"/>
        <v>5yearsMaoriSoutherndhbSUDI</v>
      </c>
      <c r="CG702" s="604" t="s">
        <v>475</v>
      </c>
      <c r="CH702" s="604" t="s">
        <v>129</v>
      </c>
      <c r="CI702" s="604" t="s">
        <v>103</v>
      </c>
      <c r="CJ702" s="604" t="s">
        <v>448</v>
      </c>
      <c r="CK702" s="604">
        <v>5</v>
      </c>
      <c r="CL702" s="604" t="s">
        <v>33</v>
      </c>
    </row>
    <row r="703" spans="9:90">
      <c r="I703" s="578" t="str">
        <f t="shared" si="91"/>
        <v>2014gest42+Fetal</v>
      </c>
      <c r="J703" s="604">
        <v>2014</v>
      </c>
      <c r="K703" s="604" t="s">
        <v>450</v>
      </c>
      <c r="L703" s="604" t="s">
        <v>138</v>
      </c>
      <c r="M703" s="604">
        <v>0</v>
      </c>
      <c r="N703" s="604">
        <v>1120</v>
      </c>
      <c r="O703" s="604">
        <v>0</v>
      </c>
      <c r="P703" s="604" t="s">
        <v>47</v>
      </c>
      <c r="Q703" s="499"/>
      <c r="R703" s="502" t="str">
        <f t="shared" si="92"/>
        <v>2016birthsdhbTairawhiti</v>
      </c>
      <c r="S703" s="604">
        <v>2016</v>
      </c>
      <c r="T703" s="604" t="s">
        <v>445</v>
      </c>
      <c r="U703" s="604" t="s">
        <v>448</v>
      </c>
      <c r="V703" s="604" t="s">
        <v>433</v>
      </c>
      <c r="W703" s="604">
        <v>769</v>
      </c>
      <c r="Y703" s="535" t="str">
        <f t="shared" si="93"/>
        <v>2016OverallethTotalAsianfetal</v>
      </c>
      <c r="Z703" s="604">
        <v>2016</v>
      </c>
      <c r="AA703" s="604" t="s">
        <v>104</v>
      </c>
      <c r="AB703" s="604" t="s">
        <v>449</v>
      </c>
      <c r="AC703" s="604" t="s">
        <v>44</v>
      </c>
      <c r="AD703" s="604" t="s">
        <v>355</v>
      </c>
      <c r="AE703" s="604">
        <v>73</v>
      </c>
      <c r="AF703" s="604">
        <v>10902</v>
      </c>
      <c r="AG703" s="604">
        <v>6.7</v>
      </c>
      <c r="AH703" s="604" t="s">
        <v>420</v>
      </c>
      <c r="AJ703" s="535" t="str">
        <f t="shared" si="94"/>
        <v>2016OverallethTotalAsian</v>
      </c>
      <c r="AK703" s="604">
        <v>2016</v>
      </c>
      <c r="AL703" s="604" t="s">
        <v>104</v>
      </c>
      <c r="AM703" s="604" t="s">
        <v>449</v>
      </c>
      <c r="AN703" s="604" t="s">
        <v>44</v>
      </c>
      <c r="AO703" s="604" t="s">
        <v>355</v>
      </c>
      <c r="AP703" s="604">
        <v>10902</v>
      </c>
      <c r="AR703" s="538" t="str">
        <f t="shared" si="95"/>
        <v>30-34ageinfantNorthland</v>
      </c>
      <c r="AS703" s="604">
        <v>2016</v>
      </c>
      <c r="AT703" s="604" t="s">
        <v>132</v>
      </c>
      <c r="AU703" s="604" t="s">
        <v>453</v>
      </c>
      <c r="AV703" s="604" t="s">
        <v>85</v>
      </c>
      <c r="AW703" s="604">
        <v>2</v>
      </c>
      <c r="AX703" s="604">
        <v>579</v>
      </c>
      <c r="AY703" s="606">
        <v>3.5</v>
      </c>
      <c r="AZ703" s="604" t="s">
        <v>437</v>
      </c>
      <c r="BY703" s="553" t="str">
        <f t="shared" si="96"/>
        <v>2013SoutherndhbSIDS</v>
      </c>
      <c r="BZ703" s="604">
        <v>2013</v>
      </c>
      <c r="CA703" s="604" t="s">
        <v>103</v>
      </c>
      <c r="CB703" s="604" t="s">
        <v>448</v>
      </c>
      <c r="CC703" s="604">
        <v>1</v>
      </c>
      <c r="CD703" s="604" t="s">
        <v>32</v>
      </c>
      <c r="CF703" s="559" t="str">
        <f t="shared" si="97"/>
        <v>5yearsPacific peoplesSoutherndhbSUDI</v>
      </c>
      <c r="CG703" s="604" t="s">
        <v>475</v>
      </c>
      <c r="CH703" s="604" t="s">
        <v>320</v>
      </c>
      <c r="CI703" s="604" t="s">
        <v>103</v>
      </c>
      <c r="CJ703" s="604" t="s">
        <v>448</v>
      </c>
      <c r="CK703" s="604">
        <v>1</v>
      </c>
      <c r="CL703" s="604" t="s">
        <v>33</v>
      </c>
    </row>
    <row r="704" spans="9:90">
      <c r="I704" s="578" t="str">
        <f t="shared" si="91"/>
        <v>2014gestUnknownFetal</v>
      </c>
      <c r="J704" s="604">
        <v>2014</v>
      </c>
      <c r="K704" s="604" t="s">
        <v>450</v>
      </c>
      <c r="L704" s="604" t="s">
        <v>63</v>
      </c>
      <c r="M704" s="604">
        <v>2</v>
      </c>
      <c r="N704" s="604">
        <v>14</v>
      </c>
      <c r="O704" s="604" t="s">
        <v>119</v>
      </c>
      <c r="P704" s="604" t="s">
        <v>47</v>
      </c>
      <c r="Q704" s="499"/>
      <c r="R704" s="502" t="str">
        <f t="shared" si="92"/>
        <v>2016birthsdhbHawke's Bay</v>
      </c>
      <c r="S704" s="604">
        <v>2016</v>
      </c>
      <c r="T704" s="604" t="s">
        <v>445</v>
      </c>
      <c r="U704" s="604" t="s">
        <v>448</v>
      </c>
      <c r="V704" s="604" t="s">
        <v>92</v>
      </c>
      <c r="W704" s="604">
        <v>2098</v>
      </c>
      <c r="Y704" s="535" t="str">
        <f t="shared" si="93"/>
        <v>2016OverallethTotalEuropean or Otherfetal</v>
      </c>
      <c r="Z704" s="604">
        <v>2016</v>
      </c>
      <c r="AA704" s="604" t="s">
        <v>104</v>
      </c>
      <c r="AB704" s="604" t="s">
        <v>449</v>
      </c>
      <c r="AC704" s="604" t="s">
        <v>44</v>
      </c>
      <c r="AD704" s="604" t="s">
        <v>356</v>
      </c>
      <c r="AE704" s="604">
        <v>173</v>
      </c>
      <c r="AF704" s="604">
        <v>26229</v>
      </c>
      <c r="AG704" s="604">
        <v>6.6</v>
      </c>
      <c r="AH704" s="604" t="s">
        <v>420</v>
      </c>
      <c r="AJ704" s="535" t="str">
        <f t="shared" si="94"/>
        <v>2016OverallethTotalEuropean or Other</v>
      </c>
      <c r="AK704" s="604">
        <v>2016</v>
      </c>
      <c r="AL704" s="604" t="s">
        <v>104</v>
      </c>
      <c r="AM704" s="604" t="s">
        <v>449</v>
      </c>
      <c r="AN704" s="604" t="s">
        <v>44</v>
      </c>
      <c r="AO704" s="604" t="s">
        <v>356</v>
      </c>
      <c r="AP704" s="604">
        <v>26229</v>
      </c>
      <c r="AR704" s="538" t="str">
        <f t="shared" si="95"/>
        <v>35-39ageinfantNorthland</v>
      </c>
      <c r="AS704" s="604">
        <v>2016</v>
      </c>
      <c r="AT704" s="604" t="s">
        <v>133</v>
      </c>
      <c r="AU704" s="604" t="s">
        <v>453</v>
      </c>
      <c r="AV704" s="604" t="s">
        <v>85</v>
      </c>
      <c r="AW704" s="604">
        <v>2</v>
      </c>
      <c r="AX704" s="604">
        <v>288</v>
      </c>
      <c r="AY704" s="606">
        <v>6.9</v>
      </c>
      <c r="AZ704" s="604" t="s">
        <v>437</v>
      </c>
      <c r="BY704" s="553" t="str">
        <f t="shared" si="96"/>
        <v>2013UnknowndhbSIDS</v>
      </c>
      <c r="BZ704" s="604">
        <v>2013</v>
      </c>
      <c r="CA704" s="604" t="s">
        <v>63</v>
      </c>
      <c r="CB704" s="604" t="s">
        <v>448</v>
      </c>
      <c r="CC704" s="604">
        <v>0</v>
      </c>
      <c r="CD704" s="604" t="s">
        <v>32</v>
      </c>
      <c r="CF704" s="559" t="str">
        <f t="shared" si="97"/>
        <v>5yearsEuropean or OtherUnknowndhbSUDI</v>
      </c>
      <c r="CG704" s="604" t="s">
        <v>475</v>
      </c>
      <c r="CH704" s="604" t="s">
        <v>356</v>
      </c>
      <c r="CI704" s="604" t="s">
        <v>63</v>
      </c>
      <c r="CJ704" s="604" t="s">
        <v>448</v>
      </c>
      <c r="CK704" s="604">
        <v>0</v>
      </c>
      <c r="CL704" s="604" t="s">
        <v>33</v>
      </c>
    </row>
    <row r="705" spans="9:90">
      <c r="I705" s="578" t="str">
        <f t="shared" si="91"/>
        <v>2015gest&lt;28Fetal</v>
      </c>
      <c r="J705" s="604">
        <v>2015</v>
      </c>
      <c r="K705" s="604" t="s">
        <v>450</v>
      </c>
      <c r="L705" s="604" t="s">
        <v>375</v>
      </c>
      <c r="M705" s="604">
        <v>213</v>
      </c>
      <c r="N705" s="604">
        <v>498</v>
      </c>
      <c r="O705" s="604">
        <v>427.7</v>
      </c>
      <c r="P705" s="604" t="s">
        <v>47</v>
      </c>
      <c r="Q705" s="499"/>
      <c r="R705" s="502" t="str">
        <f t="shared" si="92"/>
        <v>2016birthsdhbTaranaki</v>
      </c>
      <c r="S705" s="604">
        <v>2016</v>
      </c>
      <c r="T705" s="604" t="s">
        <v>445</v>
      </c>
      <c r="U705" s="604" t="s">
        <v>448</v>
      </c>
      <c r="V705" s="604" t="s">
        <v>93</v>
      </c>
      <c r="W705" s="604">
        <v>1491</v>
      </c>
      <c r="Y705" s="535" t="str">
        <f t="shared" si="93"/>
        <v>2016OverallageTotal&lt;20fetal</v>
      </c>
      <c r="Z705" s="604">
        <v>2016</v>
      </c>
      <c r="AA705" s="604" t="s">
        <v>104</v>
      </c>
      <c r="AB705" s="604" t="s">
        <v>453</v>
      </c>
      <c r="AC705" s="604" t="s">
        <v>44</v>
      </c>
      <c r="AD705" s="604" t="s">
        <v>339</v>
      </c>
      <c r="AE705" s="604">
        <v>36</v>
      </c>
      <c r="AF705" s="604">
        <v>2559</v>
      </c>
      <c r="AG705" s="604">
        <v>13.9</v>
      </c>
      <c r="AH705" s="604" t="s">
        <v>420</v>
      </c>
      <c r="AJ705" s="535" t="str">
        <f t="shared" si="94"/>
        <v>2016OverallageTotal&lt;20</v>
      </c>
      <c r="AK705" s="604">
        <v>2016</v>
      </c>
      <c r="AL705" s="604" t="s">
        <v>104</v>
      </c>
      <c r="AM705" s="604" t="s">
        <v>453</v>
      </c>
      <c r="AN705" s="604" t="s">
        <v>44</v>
      </c>
      <c r="AO705" s="604" t="s">
        <v>339</v>
      </c>
      <c r="AP705" s="604">
        <v>2559</v>
      </c>
      <c r="AR705" s="538" t="str">
        <f t="shared" si="95"/>
        <v>40+ageinfantNorthland</v>
      </c>
      <c r="AS705" s="604">
        <v>2016</v>
      </c>
      <c r="AT705" s="604" t="s">
        <v>134</v>
      </c>
      <c r="AU705" s="604" t="s">
        <v>453</v>
      </c>
      <c r="AV705" s="604" t="s">
        <v>85</v>
      </c>
      <c r="AW705" s="604">
        <v>3</v>
      </c>
      <c r="AX705" s="604">
        <v>98</v>
      </c>
      <c r="AY705" s="606">
        <v>30.6</v>
      </c>
      <c r="AZ705" s="604" t="s">
        <v>437</v>
      </c>
      <c r="BY705" s="553" t="str">
        <f t="shared" si="96"/>
        <v>2014NorthlanddhbSIDS</v>
      </c>
      <c r="BZ705" s="604">
        <v>2014</v>
      </c>
      <c r="CA705" s="604" t="s">
        <v>85</v>
      </c>
      <c r="CB705" s="604" t="s">
        <v>448</v>
      </c>
      <c r="CC705" s="604">
        <v>0</v>
      </c>
      <c r="CD705" s="604" t="s">
        <v>32</v>
      </c>
      <c r="CF705" s="559" t="str">
        <f t="shared" si="97"/>
        <v>5yearsMaoriUnknowndhbSUDI</v>
      </c>
      <c r="CG705" s="604" t="s">
        <v>475</v>
      </c>
      <c r="CH705" s="604" t="s">
        <v>129</v>
      </c>
      <c r="CI705" s="604" t="s">
        <v>63</v>
      </c>
      <c r="CJ705" s="604" t="s">
        <v>448</v>
      </c>
      <c r="CK705" s="604">
        <v>0</v>
      </c>
      <c r="CL705" s="604" t="s">
        <v>33</v>
      </c>
    </row>
    <row r="706" spans="9:90">
      <c r="I706" s="578" t="str">
        <f t="shared" si="91"/>
        <v>2015gest28-31Fetal</v>
      </c>
      <c r="J706" s="604">
        <v>2015</v>
      </c>
      <c r="K706" s="604" t="s">
        <v>450</v>
      </c>
      <c r="L706" s="604" t="s">
        <v>395</v>
      </c>
      <c r="M706" s="604">
        <v>30</v>
      </c>
      <c r="N706" s="604">
        <v>507</v>
      </c>
      <c r="O706" s="604">
        <v>59.2</v>
      </c>
      <c r="P706" s="604" t="s">
        <v>47</v>
      </c>
      <c r="Q706" s="499"/>
      <c r="R706" s="502" t="str">
        <f t="shared" si="92"/>
        <v>2016birthsdhbMidCentral</v>
      </c>
      <c r="S706" s="604">
        <v>2016</v>
      </c>
      <c r="T706" s="604" t="s">
        <v>445</v>
      </c>
      <c r="U706" s="604" t="s">
        <v>448</v>
      </c>
      <c r="V706" s="604" t="s">
        <v>94</v>
      </c>
      <c r="W706" s="604">
        <v>2106</v>
      </c>
      <c r="Y706" s="535" t="str">
        <f t="shared" si="93"/>
        <v>2016OverallageTotal20-24fetal</v>
      </c>
      <c r="Z706" s="604">
        <v>2016</v>
      </c>
      <c r="AA706" s="604" t="s">
        <v>104</v>
      </c>
      <c r="AB706" s="604" t="s">
        <v>453</v>
      </c>
      <c r="AC706" s="604" t="s">
        <v>44</v>
      </c>
      <c r="AD706" s="604" t="s">
        <v>130</v>
      </c>
      <c r="AE706" s="604">
        <v>73</v>
      </c>
      <c r="AF706" s="604">
        <v>9934</v>
      </c>
      <c r="AG706" s="604">
        <v>7.3</v>
      </c>
      <c r="AH706" s="604" t="s">
        <v>420</v>
      </c>
      <c r="AJ706" s="535" t="str">
        <f t="shared" si="94"/>
        <v>2016OverallageTotal20-24</v>
      </c>
      <c r="AK706" s="604">
        <v>2016</v>
      </c>
      <c r="AL706" s="604" t="s">
        <v>104</v>
      </c>
      <c r="AM706" s="604" t="s">
        <v>453</v>
      </c>
      <c r="AN706" s="604" t="s">
        <v>44</v>
      </c>
      <c r="AO706" s="604" t="s">
        <v>130</v>
      </c>
      <c r="AP706" s="604">
        <v>9934</v>
      </c>
      <c r="AR706" s="538" t="str">
        <f t="shared" si="95"/>
        <v>&lt;20ageinfantWaitemata</v>
      </c>
      <c r="AS706" s="604">
        <v>2016</v>
      </c>
      <c r="AT706" s="604" t="s">
        <v>339</v>
      </c>
      <c r="AU706" s="604" t="s">
        <v>453</v>
      </c>
      <c r="AV706" s="604" t="s">
        <v>86</v>
      </c>
      <c r="AW706" s="604">
        <v>2</v>
      </c>
      <c r="AX706" s="604">
        <v>192</v>
      </c>
      <c r="AY706" s="606">
        <v>10.4</v>
      </c>
      <c r="AZ706" s="604" t="s">
        <v>437</v>
      </c>
      <c r="BY706" s="553" t="str">
        <f t="shared" si="96"/>
        <v>2014WaitematadhbSIDS</v>
      </c>
      <c r="BZ706" s="604">
        <v>2014</v>
      </c>
      <c r="CA706" s="604" t="s">
        <v>86</v>
      </c>
      <c r="CB706" s="604" t="s">
        <v>448</v>
      </c>
      <c r="CC706" s="604">
        <v>0</v>
      </c>
      <c r="CD706" s="604" t="s">
        <v>32</v>
      </c>
      <c r="CF706" s="559" t="str">
        <f t="shared" si="97"/>
        <v>5yearsPacific peoplesUnknowndhbSUDI</v>
      </c>
      <c r="CG706" s="604" t="s">
        <v>475</v>
      </c>
      <c r="CH706" s="604" t="s">
        <v>320</v>
      </c>
      <c r="CI706" s="604" t="s">
        <v>63</v>
      </c>
      <c r="CJ706" s="604" t="s">
        <v>448</v>
      </c>
      <c r="CK706" s="604">
        <v>0</v>
      </c>
      <c r="CL706" s="604" t="s">
        <v>33</v>
      </c>
    </row>
    <row r="707" spans="9:90">
      <c r="I707" s="578" t="str">
        <f t="shared" si="91"/>
        <v>2015gest32-36Fetal</v>
      </c>
      <c r="J707" s="604">
        <v>2015</v>
      </c>
      <c r="K707" s="604" t="s">
        <v>450</v>
      </c>
      <c r="L707" s="604" t="s">
        <v>136</v>
      </c>
      <c r="M707" s="604">
        <v>46</v>
      </c>
      <c r="N707" s="604">
        <v>3912</v>
      </c>
      <c r="O707" s="604">
        <v>11.8</v>
      </c>
      <c r="P707" s="604" t="s">
        <v>47</v>
      </c>
      <c r="Q707" s="499"/>
      <c r="R707" s="502" t="str">
        <f t="shared" si="92"/>
        <v>2016birthsdhbWhanganui</v>
      </c>
      <c r="S707" s="604">
        <v>2016</v>
      </c>
      <c r="T707" s="604" t="s">
        <v>445</v>
      </c>
      <c r="U707" s="604" t="s">
        <v>448</v>
      </c>
      <c r="V707" s="604" t="s">
        <v>95</v>
      </c>
      <c r="W707" s="604">
        <v>843</v>
      </c>
      <c r="Y707" s="535" t="str">
        <f t="shared" si="93"/>
        <v>2016OverallageTotal25-29fetal</v>
      </c>
      <c r="Z707" s="604">
        <v>2016</v>
      </c>
      <c r="AA707" s="604" t="s">
        <v>104</v>
      </c>
      <c r="AB707" s="604" t="s">
        <v>453</v>
      </c>
      <c r="AC707" s="604" t="s">
        <v>44</v>
      </c>
      <c r="AD707" s="604" t="s">
        <v>131</v>
      </c>
      <c r="AE707" s="604">
        <v>103</v>
      </c>
      <c r="AF707" s="604">
        <v>16664</v>
      </c>
      <c r="AG707" s="604">
        <v>6.1</v>
      </c>
      <c r="AH707" s="604" t="s">
        <v>420</v>
      </c>
      <c r="AJ707" s="535" t="str">
        <f t="shared" si="94"/>
        <v>2016OverallageTotal25-29</v>
      </c>
      <c r="AK707" s="604">
        <v>2016</v>
      </c>
      <c r="AL707" s="604" t="s">
        <v>104</v>
      </c>
      <c r="AM707" s="604" t="s">
        <v>453</v>
      </c>
      <c r="AN707" s="604" t="s">
        <v>44</v>
      </c>
      <c r="AO707" s="604" t="s">
        <v>131</v>
      </c>
      <c r="AP707" s="604">
        <v>16664</v>
      </c>
      <c r="AR707" s="538" t="str">
        <f t="shared" si="95"/>
        <v>20-24ageinfantWaitemata</v>
      </c>
      <c r="AS707" s="604">
        <v>2016</v>
      </c>
      <c r="AT707" s="604" t="s">
        <v>130</v>
      </c>
      <c r="AU707" s="604" t="s">
        <v>453</v>
      </c>
      <c r="AV707" s="604" t="s">
        <v>86</v>
      </c>
      <c r="AW707" s="604">
        <v>3</v>
      </c>
      <c r="AX707" s="604">
        <v>862</v>
      </c>
      <c r="AY707" s="606">
        <v>3.5</v>
      </c>
      <c r="AZ707" s="604" t="s">
        <v>437</v>
      </c>
      <c r="BY707" s="553" t="str">
        <f t="shared" si="96"/>
        <v>2014AucklanddhbSIDS</v>
      </c>
      <c r="BZ707" s="604">
        <v>2014</v>
      </c>
      <c r="CA707" s="604" t="s">
        <v>87</v>
      </c>
      <c r="CB707" s="604" t="s">
        <v>448</v>
      </c>
      <c r="CC707" s="604">
        <v>1</v>
      </c>
      <c r="CD707" s="604" t="s">
        <v>32</v>
      </c>
      <c r="CF707" s="559" t="str">
        <f t="shared" si="97"/>
        <v>5yearsAsian&lt;500bwtSUDI</v>
      </c>
      <c r="CG707" s="604" t="s">
        <v>475</v>
      </c>
      <c r="CH707" s="604" t="s">
        <v>355</v>
      </c>
      <c r="CI707" s="604" t="s">
        <v>427</v>
      </c>
      <c r="CJ707" s="604" t="s">
        <v>447</v>
      </c>
      <c r="CK707" s="604">
        <v>0</v>
      </c>
      <c r="CL707" s="604" t="s">
        <v>33</v>
      </c>
    </row>
    <row r="708" spans="9:90">
      <c r="I708" s="578" t="str">
        <f t="shared" ref="I708:I771" si="98">J708&amp;K708&amp;L708&amp;P708</f>
        <v>2015gest37-41Fetal</v>
      </c>
      <c r="J708" s="604">
        <v>2015</v>
      </c>
      <c r="K708" s="604" t="s">
        <v>450</v>
      </c>
      <c r="L708" s="604" t="s">
        <v>137</v>
      </c>
      <c r="M708" s="604">
        <v>83</v>
      </c>
      <c r="N708" s="604">
        <v>56381</v>
      </c>
      <c r="O708" s="604">
        <v>1.5</v>
      </c>
      <c r="P708" s="604" t="s">
        <v>47</v>
      </c>
      <c r="Q708" s="499"/>
      <c r="R708" s="502" t="str">
        <f t="shared" ref="R708:R771" si="99">S708&amp;T708&amp;U708&amp;V708</f>
        <v>2016birthsdhbCapital &amp; Coast</v>
      </c>
      <c r="S708" s="604">
        <v>2016</v>
      </c>
      <c r="T708" s="604" t="s">
        <v>445</v>
      </c>
      <c r="U708" s="604" t="s">
        <v>448</v>
      </c>
      <c r="V708" s="604" t="s">
        <v>96</v>
      </c>
      <c r="W708" s="604">
        <v>3527</v>
      </c>
      <c r="Y708" s="535" t="str">
        <f t="shared" ref="Y708:Y771" si="100">Z708&amp;AA708&amp;AB708&amp;AC708&amp;AD708&amp;AH708</f>
        <v>2016OverallageTotal30-34fetal</v>
      </c>
      <c r="Z708" s="604">
        <v>2016</v>
      </c>
      <c r="AA708" s="604" t="s">
        <v>104</v>
      </c>
      <c r="AB708" s="604" t="s">
        <v>453</v>
      </c>
      <c r="AC708" s="604" t="s">
        <v>44</v>
      </c>
      <c r="AD708" s="604" t="s">
        <v>132</v>
      </c>
      <c r="AE708" s="604">
        <v>115</v>
      </c>
      <c r="AF708" s="604">
        <v>18720</v>
      </c>
      <c r="AG708" s="604">
        <v>6.1</v>
      </c>
      <c r="AH708" s="604" t="s">
        <v>420</v>
      </c>
      <c r="AJ708" s="535" t="str">
        <f t="shared" ref="AJ708:AJ771" si="101">AK708&amp;AL708&amp;AM708&amp;AN708&amp;AO708</f>
        <v>2016OverallageTotal30-34</v>
      </c>
      <c r="AK708" s="604">
        <v>2016</v>
      </c>
      <c r="AL708" s="604" t="s">
        <v>104</v>
      </c>
      <c r="AM708" s="604" t="s">
        <v>453</v>
      </c>
      <c r="AN708" s="604" t="s">
        <v>44</v>
      </c>
      <c r="AO708" s="604" t="s">
        <v>132</v>
      </c>
      <c r="AP708" s="604">
        <v>18720</v>
      </c>
      <c r="AR708" s="538" t="str">
        <f t="shared" ref="AR708:AR771" si="102">AT708&amp;AU708&amp;AZ708&amp;AV708</f>
        <v>25-29ageinfantWaitemata</v>
      </c>
      <c r="AS708" s="604">
        <v>2016</v>
      </c>
      <c r="AT708" s="604" t="s">
        <v>131</v>
      </c>
      <c r="AU708" s="604" t="s">
        <v>453</v>
      </c>
      <c r="AV708" s="604" t="s">
        <v>86</v>
      </c>
      <c r="AW708" s="604">
        <v>3</v>
      </c>
      <c r="AX708" s="604">
        <v>2112</v>
      </c>
      <c r="AY708" s="606">
        <v>1.4</v>
      </c>
      <c r="AZ708" s="604" t="s">
        <v>437</v>
      </c>
      <c r="BY708" s="553" t="str">
        <f t="shared" ref="BY708:BY771" si="103">BZ708&amp;CA708&amp;CB708&amp;CD708</f>
        <v>2014Counties ManukaudhbSIDS</v>
      </c>
      <c r="BZ708" s="604">
        <v>2014</v>
      </c>
      <c r="CA708" s="604" t="s">
        <v>88</v>
      </c>
      <c r="CB708" s="604" t="s">
        <v>448</v>
      </c>
      <c r="CC708" s="604">
        <v>2</v>
      </c>
      <c r="CD708" s="604" t="s">
        <v>32</v>
      </c>
      <c r="CF708" s="559" t="str">
        <f t="shared" ref="CF708:CF764" si="104">CG708&amp;CH708&amp;CI708&amp;CJ708&amp;CL708</f>
        <v>5yearsEuropean or Other&lt;500bwtSUDI</v>
      </c>
      <c r="CG708" s="604" t="s">
        <v>475</v>
      </c>
      <c r="CH708" s="604" t="s">
        <v>356</v>
      </c>
      <c r="CI708" s="604" t="s">
        <v>427</v>
      </c>
      <c r="CJ708" s="604" t="s">
        <v>447</v>
      </c>
      <c r="CK708" s="604">
        <v>0</v>
      </c>
      <c r="CL708" s="604" t="s">
        <v>33</v>
      </c>
    </row>
    <row r="709" spans="9:90">
      <c r="I709" s="578" t="str">
        <f t="shared" si="98"/>
        <v>2015gest42+Fetal</v>
      </c>
      <c r="J709" s="604">
        <v>2015</v>
      </c>
      <c r="K709" s="604" t="s">
        <v>450</v>
      </c>
      <c r="L709" s="604" t="s">
        <v>138</v>
      </c>
      <c r="M709" s="604">
        <v>2</v>
      </c>
      <c r="N709" s="604">
        <v>1184</v>
      </c>
      <c r="O709" s="604">
        <v>1.7</v>
      </c>
      <c r="P709" s="604" t="s">
        <v>47</v>
      </c>
      <c r="Q709" s="499"/>
      <c r="R709" s="502" t="str">
        <f t="shared" si="99"/>
        <v>2016birthsdhbHutt Valley</v>
      </c>
      <c r="S709" s="604">
        <v>2016</v>
      </c>
      <c r="T709" s="604" t="s">
        <v>445</v>
      </c>
      <c r="U709" s="604" t="s">
        <v>448</v>
      </c>
      <c r="V709" s="604" t="s">
        <v>97</v>
      </c>
      <c r="W709" s="604">
        <v>2004</v>
      </c>
      <c r="Y709" s="535" t="str">
        <f t="shared" si="100"/>
        <v>2016OverallageTotal35-39fetal</v>
      </c>
      <c r="Z709" s="604">
        <v>2016</v>
      </c>
      <c r="AA709" s="604" t="s">
        <v>104</v>
      </c>
      <c r="AB709" s="604" t="s">
        <v>453</v>
      </c>
      <c r="AC709" s="604" t="s">
        <v>44</v>
      </c>
      <c r="AD709" s="604" t="s">
        <v>133</v>
      </c>
      <c r="AE709" s="604">
        <v>70</v>
      </c>
      <c r="AF709" s="604">
        <v>10105</v>
      </c>
      <c r="AG709" s="604">
        <v>6.9</v>
      </c>
      <c r="AH709" s="604" t="s">
        <v>420</v>
      </c>
      <c r="AJ709" s="535" t="str">
        <f t="shared" si="101"/>
        <v>2016OverallageTotal35-39</v>
      </c>
      <c r="AK709" s="604">
        <v>2016</v>
      </c>
      <c r="AL709" s="604" t="s">
        <v>104</v>
      </c>
      <c r="AM709" s="604" t="s">
        <v>453</v>
      </c>
      <c r="AN709" s="604" t="s">
        <v>44</v>
      </c>
      <c r="AO709" s="604" t="s">
        <v>133</v>
      </c>
      <c r="AP709" s="604">
        <v>10105</v>
      </c>
      <c r="AR709" s="538" t="str">
        <f t="shared" si="102"/>
        <v>30-34ageinfantWaitemata</v>
      </c>
      <c r="AS709" s="604">
        <v>2016</v>
      </c>
      <c r="AT709" s="604" t="s">
        <v>132</v>
      </c>
      <c r="AU709" s="604" t="s">
        <v>453</v>
      </c>
      <c r="AV709" s="604" t="s">
        <v>86</v>
      </c>
      <c r="AW709" s="604">
        <v>6</v>
      </c>
      <c r="AX709" s="604">
        <v>2932</v>
      </c>
      <c r="AY709" s="606">
        <v>2</v>
      </c>
      <c r="AZ709" s="604" t="s">
        <v>437</v>
      </c>
      <c r="BY709" s="553" t="str">
        <f t="shared" si="103"/>
        <v>2014WaikatodhbSIDS</v>
      </c>
      <c r="BZ709" s="604">
        <v>2014</v>
      </c>
      <c r="CA709" s="604" t="s">
        <v>89</v>
      </c>
      <c r="CB709" s="604" t="s">
        <v>448</v>
      </c>
      <c r="CC709" s="604">
        <v>1</v>
      </c>
      <c r="CD709" s="604" t="s">
        <v>32</v>
      </c>
      <c r="CF709" s="559" t="str">
        <f t="shared" si="104"/>
        <v>5yearsMaori&lt;500bwtSUDI</v>
      </c>
      <c r="CG709" s="604" t="s">
        <v>475</v>
      </c>
      <c r="CH709" s="604" t="s">
        <v>129</v>
      </c>
      <c r="CI709" s="604" t="s">
        <v>427</v>
      </c>
      <c r="CJ709" s="604" t="s">
        <v>447</v>
      </c>
      <c r="CK709" s="604">
        <v>0</v>
      </c>
      <c r="CL709" s="604" t="s">
        <v>33</v>
      </c>
    </row>
    <row r="710" spans="9:90">
      <c r="I710" s="578" t="str">
        <f t="shared" si="98"/>
        <v>2015gestUnknownFetal</v>
      </c>
      <c r="J710" s="604">
        <v>2015</v>
      </c>
      <c r="K710" s="604" t="s">
        <v>450</v>
      </c>
      <c r="L710" s="604" t="s">
        <v>63</v>
      </c>
      <c r="M710" s="604">
        <v>10</v>
      </c>
      <c r="N710" s="604">
        <v>24</v>
      </c>
      <c r="O710" s="604" t="s">
        <v>119</v>
      </c>
      <c r="P710" s="604" t="s">
        <v>47</v>
      </c>
      <c r="Q710" s="499"/>
      <c r="R710" s="502" t="str">
        <f t="shared" si="99"/>
        <v>2016birthsdhbWairarapa</v>
      </c>
      <c r="S710" s="604">
        <v>2016</v>
      </c>
      <c r="T710" s="604" t="s">
        <v>445</v>
      </c>
      <c r="U710" s="604" t="s">
        <v>448</v>
      </c>
      <c r="V710" s="604" t="s">
        <v>98</v>
      </c>
      <c r="W710" s="604">
        <v>481</v>
      </c>
      <c r="Y710" s="535" t="str">
        <f t="shared" si="100"/>
        <v>2016OverallageTotal40+fetal</v>
      </c>
      <c r="Z710" s="604">
        <v>2016</v>
      </c>
      <c r="AA710" s="604" t="s">
        <v>104</v>
      </c>
      <c r="AB710" s="604" t="s">
        <v>453</v>
      </c>
      <c r="AC710" s="604" t="s">
        <v>44</v>
      </c>
      <c r="AD710" s="604" t="s">
        <v>134</v>
      </c>
      <c r="AE710" s="604">
        <v>16</v>
      </c>
      <c r="AF710" s="604">
        <v>2454</v>
      </c>
      <c r="AG710" s="604">
        <v>6.5</v>
      </c>
      <c r="AH710" s="604" t="s">
        <v>420</v>
      </c>
      <c r="AJ710" s="535" t="str">
        <f t="shared" si="101"/>
        <v>2016OverallageTotal40+</v>
      </c>
      <c r="AK710" s="604">
        <v>2016</v>
      </c>
      <c r="AL710" s="604" t="s">
        <v>104</v>
      </c>
      <c r="AM710" s="604" t="s">
        <v>453</v>
      </c>
      <c r="AN710" s="604" t="s">
        <v>44</v>
      </c>
      <c r="AO710" s="604" t="s">
        <v>134</v>
      </c>
      <c r="AP710" s="604">
        <v>2454</v>
      </c>
      <c r="AR710" s="538" t="str">
        <f t="shared" si="102"/>
        <v>35-39ageinfantWaitemata</v>
      </c>
      <c r="AS710" s="604">
        <v>2016</v>
      </c>
      <c r="AT710" s="604" t="s">
        <v>133</v>
      </c>
      <c r="AU710" s="604" t="s">
        <v>453</v>
      </c>
      <c r="AV710" s="604" t="s">
        <v>86</v>
      </c>
      <c r="AW710" s="604">
        <v>4</v>
      </c>
      <c r="AX710" s="604">
        <v>1618</v>
      </c>
      <c r="AY710" s="606">
        <v>2.5</v>
      </c>
      <c r="AZ710" s="604" t="s">
        <v>437</v>
      </c>
      <c r="BY710" s="553" t="str">
        <f t="shared" si="103"/>
        <v>2014LakesdhbSIDS</v>
      </c>
      <c r="BZ710" s="604">
        <v>2014</v>
      </c>
      <c r="CA710" s="604" t="s">
        <v>90</v>
      </c>
      <c r="CB710" s="604" t="s">
        <v>448</v>
      </c>
      <c r="CC710" s="604">
        <v>1</v>
      </c>
      <c r="CD710" s="604" t="s">
        <v>32</v>
      </c>
      <c r="CF710" s="559" t="str">
        <f t="shared" si="104"/>
        <v>5yearsPacific peoples&lt;500bwtSUDI</v>
      </c>
      <c r="CG710" s="604" t="s">
        <v>475</v>
      </c>
      <c r="CH710" s="604" t="s">
        <v>320</v>
      </c>
      <c r="CI710" s="604" t="s">
        <v>427</v>
      </c>
      <c r="CJ710" s="604" t="s">
        <v>447</v>
      </c>
      <c r="CK710" s="604">
        <v>0</v>
      </c>
      <c r="CL710" s="604" t="s">
        <v>33</v>
      </c>
    </row>
    <row r="711" spans="9:90">
      <c r="I711" s="578" t="str">
        <f t="shared" si="98"/>
        <v>2016gest&lt;28Fetal</v>
      </c>
      <c r="J711" s="604">
        <v>2016</v>
      </c>
      <c r="K711" s="604" t="s">
        <v>450</v>
      </c>
      <c r="L711" s="604" t="s">
        <v>375</v>
      </c>
      <c r="M711" s="604">
        <v>227</v>
      </c>
      <c r="N711" s="604">
        <v>487</v>
      </c>
      <c r="O711" s="604">
        <v>466.1</v>
      </c>
      <c r="P711" s="604" t="s">
        <v>47</v>
      </c>
      <c r="Q711" s="499"/>
      <c r="R711" s="502" t="str">
        <f t="shared" si="99"/>
        <v>2016birthsdhbNelson Marlborough</v>
      </c>
      <c r="S711" s="604">
        <v>2016</v>
      </c>
      <c r="T711" s="604" t="s">
        <v>445</v>
      </c>
      <c r="U711" s="604" t="s">
        <v>448</v>
      </c>
      <c r="V711" s="604" t="s">
        <v>99</v>
      </c>
      <c r="W711" s="604">
        <v>1539</v>
      </c>
      <c r="Y711" s="535" t="str">
        <f t="shared" si="100"/>
        <v>2016OveralldepTotalQuin 1fetal</v>
      </c>
      <c r="Z711" s="604">
        <v>2016</v>
      </c>
      <c r="AA711" s="604" t="s">
        <v>104</v>
      </c>
      <c r="AB711" s="604" t="s">
        <v>454</v>
      </c>
      <c r="AC711" s="604" t="s">
        <v>44</v>
      </c>
      <c r="AD711" s="604" t="s">
        <v>421</v>
      </c>
      <c r="AE711" s="604">
        <v>43</v>
      </c>
      <c r="AF711" s="604">
        <v>9194</v>
      </c>
      <c r="AG711" s="604">
        <v>4.7</v>
      </c>
      <c r="AH711" s="604" t="s">
        <v>420</v>
      </c>
      <c r="AJ711" s="535" t="str">
        <f t="shared" si="101"/>
        <v>2016OveralldepTotalQuin 1</v>
      </c>
      <c r="AK711" s="604">
        <v>2016</v>
      </c>
      <c r="AL711" s="604" t="s">
        <v>104</v>
      </c>
      <c r="AM711" s="604" t="s">
        <v>454</v>
      </c>
      <c r="AN711" s="604" t="s">
        <v>44</v>
      </c>
      <c r="AO711" s="604" t="s">
        <v>421</v>
      </c>
      <c r="AP711" s="604">
        <v>9194</v>
      </c>
      <c r="AR711" s="538" t="str">
        <f t="shared" si="102"/>
        <v>&lt;20ageinfantAuckland</v>
      </c>
      <c r="AS711" s="604">
        <v>2016</v>
      </c>
      <c r="AT711" s="604" t="s">
        <v>339</v>
      </c>
      <c r="AU711" s="604" t="s">
        <v>453</v>
      </c>
      <c r="AV711" s="604" t="s">
        <v>87</v>
      </c>
      <c r="AW711" s="604">
        <v>2</v>
      </c>
      <c r="AX711" s="604">
        <v>129</v>
      </c>
      <c r="AY711" s="606">
        <v>15.5</v>
      </c>
      <c r="AZ711" s="604" t="s">
        <v>437</v>
      </c>
      <c r="BY711" s="553" t="str">
        <f t="shared" si="103"/>
        <v>2014Bay of PlentydhbSIDS</v>
      </c>
      <c r="BZ711" s="604">
        <v>2014</v>
      </c>
      <c r="CA711" s="604" t="s">
        <v>91</v>
      </c>
      <c r="CB711" s="604" t="s">
        <v>448</v>
      </c>
      <c r="CC711" s="604">
        <v>0</v>
      </c>
      <c r="CD711" s="604" t="s">
        <v>32</v>
      </c>
      <c r="CF711" s="559" t="str">
        <f t="shared" si="104"/>
        <v>5yearsAsian500-999bwtSUDI</v>
      </c>
      <c r="CG711" s="604" t="s">
        <v>475</v>
      </c>
      <c r="CH711" s="604" t="s">
        <v>355</v>
      </c>
      <c r="CI711" s="604" t="s">
        <v>428</v>
      </c>
      <c r="CJ711" s="604" t="s">
        <v>447</v>
      </c>
      <c r="CK711" s="604">
        <v>0</v>
      </c>
      <c r="CL711" s="604" t="s">
        <v>33</v>
      </c>
    </row>
    <row r="712" spans="9:90">
      <c r="I712" s="578" t="str">
        <f t="shared" si="98"/>
        <v>2016gest28-31Fetal</v>
      </c>
      <c r="J712" s="604">
        <v>2016</v>
      </c>
      <c r="K712" s="604" t="s">
        <v>450</v>
      </c>
      <c r="L712" s="604" t="s">
        <v>395</v>
      </c>
      <c r="M712" s="604">
        <v>38</v>
      </c>
      <c r="N712" s="604">
        <v>455</v>
      </c>
      <c r="O712" s="604">
        <v>83.5</v>
      </c>
      <c r="P712" s="604" t="s">
        <v>47</v>
      </c>
      <c r="Q712" s="499"/>
      <c r="R712" s="502" t="str">
        <f t="shared" si="99"/>
        <v>2016birthsdhbWest Coast</v>
      </c>
      <c r="S712" s="604">
        <v>2016</v>
      </c>
      <c r="T712" s="604" t="s">
        <v>445</v>
      </c>
      <c r="U712" s="604" t="s">
        <v>448</v>
      </c>
      <c r="V712" s="604" t="s">
        <v>100</v>
      </c>
      <c r="W712" s="604">
        <v>327</v>
      </c>
      <c r="Y712" s="535" t="str">
        <f t="shared" si="100"/>
        <v>2016OveralldepTotalQuin 2fetal</v>
      </c>
      <c r="Z712" s="604">
        <v>2016</v>
      </c>
      <c r="AA712" s="604" t="s">
        <v>104</v>
      </c>
      <c r="AB712" s="604" t="s">
        <v>454</v>
      </c>
      <c r="AC712" s="604" t="s">
        <v>44</v>
      </c>
      <c r="AD712" s="604" t="s">
        <v>422</v>
      </c>
      <c r="AE712" s="604">
        <v>64</v>
      </c>
      <c r="AF712" s="604">
        <v>10123</v>
      </c>
      <c r="AG712" s="604">
        <v>6.3</v>
      </c>
      <c r="AH712" s="604" t="s">
        <v>420</v>
      </c>
      <c r="AJ712" s="535" t="str">
        <f t="shared" si="101"/>
        <v>2016OveralldepTotalQuin 2</v>
      </c>
      <c r="AK712" s="604">
        <v>2016</v>
      </c>
      <c r="AL712" s="604" t="s">
        <v>104</v>
      </c>
      <c r="AM712" s="604" t="s">
        <v>454</v>
      </c>
      <c r="AN712" s="604" t="s">
        <v>44</v>
      </c>
      <c r="AO712" s="604" t="s">
        <v>422</v>
      </c>
      <c r="AP712" s="604">
        <v>10123</v>
      </c>
      <c r="AR712" s="538" t="str">
        <f t="shared" si="102"/>
        <v>20-24ageinfantAuckland</v>
      </c>
      <c r="AS712" s="604">
        <v>2016</v>
      </c>
      <c r="AT712" s="604" t="s">
        <v>130</v>
      </c>
      <c r="AU712" s="604" t="s">
        <v>453</v>
      </c>
      <c r="AV712" s="604" t="s">
        <v>87</v>
      </c>
      <c r="AW712" s="604">
        <v>2</v>
      </c>
      <c r="AX712" s="604">
        <v>617</v>
      </c>
      <c r="AY712" s="606">
        <v>3.2</v>
      </c>
      <c r="AZ712" s="604" t="s">
        <v>437</v>
      </c>
      <c r="BY712" s="553" t="str">
        <f t="shared" si="103"/>
        <v>2014TairawhitidhbSIDS</v>
      </c>
      <c r="BZ712" s="604">
        <v>2014</v>
      </c>
      <c r="CA712" s="604" t="s">
        <v>433</v>
      </c>
      <c r="CB712" s="604" t="s">
        <v>448</v>
      </c>
      <c r="CC712" s="604">
        <v>1</v>
      </c>
      <c r="CD712" s="604" t="s">
        <v>32</v>
      </c>
      <c r="CF712" s="559" t="str">
        <f t="shared" si="104"/>
        <v>5yearsEuropean or Other500-999bwtSUDI</v>
      </c>
      <c r="CG712" s="604" t="s">
        <v>475</v>
      </c>
      <c r="CH712" s="604" t="s">
        <v>356</v>
      </c>
      <c r="CI712" s="604" t="s">
        <v>428</v>
      </c>
      <c r="CJ712" s="604" t="s">
        <v>447</v>
      </c>
      <c r="CK712" s="604">
        <v>0</v>
      </c>
      <c r="CL712" s="604" t="s">
        <v>33</v>
      </c>
    </row>
    <row r="713" spans="9:90">
      <c r="I713" s="578" t="str">
        <f t="shared" si="98"/>
        <v>2016gest32-36Fetal</v>
      </c>
      <c r="J713" s="604">
        <v>2016</v>
      </c>
      <c r="K713" s="604" t="s">
        <v>450</v>
      </c>
      <c r="L713" s="604" t="s">
        <v>136</v>
      </c>
      <c r="M713" s="604">
        <v>56</v>
      </c>
      <c r="N713" s="604">
        <v>3870</v>
      </c>
      <c r="O713" s="604">
        <v>14.5</v>
      </c>
      <c r="P713" s="604" t="s">
        <v>47</v>
      </c>
      <c r="Q713" s="499"/>
      <c r="R713" s="502" t="str">
        <f t="shared" si="99"/>
        <v>2016birthsdhbCanterbury</v>
      </c>
      <c r="S713" s="604">
        <v>2016</v>
      </c>
      <c r="T713" s="604" t="s">
        <v>445</v>
      </c>
      <c r="U713" s="604" t="s">
        <v>448</v>
      </c>
      <c r="V713" s="604" t="s">
        <v>101</v>
      </c>
      <c r="W713" s="604">
        <v>6399</v>
      </c>
      <c r="Y713" s="535" t="str">
        <f t="shared" si="100"/>
        <v>2016OveralldepTotalQuin 3fetal</v>
      </c>
      <c r="Z713" s="604">
        <v>2016</v>
      </c>
      <c r="AA713" s="604" t="s">
        <v>104</v>
      </c>
      <c r="AB713" s="604" t="s">
        <v>454</v>
      </c>
      <c r="AC713" s="604" t="s">
        <v>44</v>
      </c>
      <c r="AD713" s="604" t="s">
        <v>423</v>
      </c>
      <c r="AE713" s="604">
        <v>68</v>
      </c>
      <c r="AF713" s="604">
        <v>10971</v>
      </c>
      <c r="AG713" s="604">
        <v>6.2</v>
      </c>
      <c r="AH713" s="604" t="s">
        <v>420</v>
      </c>
      <c r="AJ713" s="535" t="str">
        <f t="shared" si="101"/>
        <v>2016OveralldepTotalQuin 3</v>
      </c>
      <c r="AK713" s="604">
        <v>2016</v>
      </c>
      <c r="AL713" s="604" t="s">
        <v>104</v>
      </c>
      <c r="AM713" s="604" t="s">
        <v>454</v>
      </c>
      <c r="AN713" s="604" t="s">
        <v>44</v>
      </c>
      <c r="AO713" s="604" t="s">
        <v>423</v>
      </c>
      <c r="AP713" s="604">
        <v>10971</v>
      </c>
      <c r="AR713" s="538" t="str">
        <f t="shared" si="102"/>
        <v>25-29ageinfantAuckland</v>
      </c>
      <c r="AS713" s="604">
        <v>2016</v>
      </c>
      <c r="AT713" s="604" t="s">
        <v>131</v>
      </c>
      <c r="AU713" s="604" t="s">
        <v>453</v>
      </c>
      <c r="AV713" s="604" t="s">
        <v>87</v>
      </c>
      <c r="AW713" s="604">
        <v>4</v>
      </c>
      <c r="AX713" s="604">
        <v>1317</v>
      </c>
      <c r="AY713" s="606">
        <v>3</v>
      </c>
      <c r="AZ713" s="604" t="s">
        <v>437</v>
      </c>
      <c r="BY713" s="553" t="str">
        <f t="shared" si="103"/>
        <v>2014Hawke's BaydhbSIDS</v>
      </c>
      <c r="BZ713" s="604">
        <v>2014</v>
      </c>
      <c r="CA713" s="604" t="s">
        <v>92</v>
      </c>
      <c r="CB713" s="604" t="s">
        <v>448</v>
      </c>
      <c r="CC713" s="604">
        <v>1</v>
      </c>
      <c r="CD713" s="604" t="s">
        <v>32</v>
      </c>
      <c r="CF713" s="559" t="str">
        <f t="shared" si="104"/>
        <v>5yearsMaori500-999bwtSUDI</v>
      </c>
      <c r="CG713" s="604" t="s">
        <v>475</v>
      </c>
      <c r="CH713" s="604" t="s">
        <v>129</v>
      </c>
      <c r="CI713" s="604" t="s">
        <v>428</v>
      </c>
      <c r="CJ713" s="604" t="s">
        <v>447</v>
      </c>
      <c r="CK713" s="604">
        <v>0</v>
      </c>
      <c r="CL713" s="604" t="s">
        <v>33</v>
      </c>
    </row>
    <row r="714" spans="9:90">
      <c r="I714" s="578" t="str">
        <f t="shared" si="98"/>
        <v>2016gest37-41Fetal</v>
      </c>
      <c r="J714" s="604">
        <v>2016</v>
      </c>
      <c r="K714" s="604" t="s">
        <v>450</v>
      </c>
      <c r="L714" s="604" t="s">
        <v>137</v>
      </c>
      <c r="M714" s="604">
        <v>86</v>
      </c>
      <c r="N714" s="604">
        <v>54985</v>
      </c>
      <c r="O714" s="604">
        <v>1.6</v>
      </c>
      <c r="P714" s="604" t="s">
        <v>47</v>
      </c>
      <c r="Q714" s="499"/>
      <c r="R714" s="502" t="str">
        <f t="shared" si="99"/>
        <v>2016birthsdhbSouth Canterbury</v>
      </c>
      <c r="S714" s="604">
        <v>2016</v>
      </c>
      <c r="T714" s="604" t="s">
        <v>445</v>
      </c>
      <c r="U714" s="604" t="s">
        <v>448</v>
      </c>
      <c r="V714" s="604" t="s">
        <v>102</v>
      </c>
      <c r="W714" s="604">
        <v>641</v>
      </c>
      <c r="Y714" s="535" t="str">
        <f t="shared" si="100"/>
        <v>2016OveralldepTotalQuin 4fetal</v>
      </c>
      <c r="Z714" s="604">
        <v>2016</v>
      </c>
      <c r="AA714" s="604" t="s">
        <v>104</v>
      </c>
      <c r="AB714" s="604" t="s">
        <v>454</v>
      </c>
      <c r="AC714" s="604" t="s">
        <v>44</v>
      </c>
      <c r="AD714" s="604" t="s">
        <v>424</v>
      </c>
      <c r="AE714" s="604">
        <v>90</v>
      </c>
      <c r="AF714" s="604">
        <v>13131</v>
      </c>
      <c r="AG714" s="604">
        <v>6.8</v>
      </c>
      <c r="AH714" s="604" t="s">
        <v>420</v>
      </c>
      <c r="AJ714" s="535" t="str">
        <f t="shared" si="101"/>
        <v>2016OveralldepTotalQuin 4</v>
      </c>
      <c r="AK714" s="604">
        <v>2016</v>
      </c>
      <c r="AL714" s="604" t="s">
        <v>104</v>
      </c>
      <c r="AM714" s="604" t="s">
        <v>454</v>
      </c>
      <c r="AN714" s="604" t="s">
        <v>44</v>
      </c>
      <c r="AO714" s="604" t="s">
        <v>424</v>
      </c>
      <c r="AP714" s="604">
        <v>13131</v>
      </c>
      <c r="AR714" s="538" t="str">
        <f t="shared" si="102"/>
        <v>30-34ageinfantAuckland</v>
      </c>
      <c r="AS714" s="604">
        <v>2016</v>
      </c>
      <c r="AT714" s="604" t="s">
        <v>132</v>
      </c>
      <c r="AU714" s="604" t="s">
        <v>453</v>
      </c>
      <c r="AV714" s="604" t="s">
        <v>87</v>
      </c>
      <c r="AW714" s="604">
        <v>7</v>
      </c>
      <c r="AX714" s="604">
        <v>2138</v>
      </c>
      <c r="AY714" s="606">
        <v>3.3</v>
      </c>
      <c r="AZ714" s="604" t="s">
        <v>437</v>
      </c>
      <c r="BY714" s="553" t="str">
        <f t="shared" si="103"/>
        <v>2014TaranakidhbSIDS</v>
      </c>
      <c r="BZ714" s="604">
        <v>2014</v>
      </c>
      <c r="CA714" s="604" t="s">
        <v>93</v>
      </c>
      <c r="CB714" s="604" t="s">
        <v>448</v>
      </c>
      <c r="CC714" s="604">
        <v>1</v>
      </c>
      <c r="CD714" s="604" t="s">
        <v>32</v>
      </c>
      <c r="CF714" s="559" t="str">
        <f t="shared" si="104"/>
        <v>5yearsPacific peoples500-999bwtSUDI</v>
      </c>
      <c r="CG714" s="604" t="s">
        <v>475</v>
      </c>
      <c r="CH714" s="604" t="s">
        <v>320</v>
      </c>
      <c r="CI714" s="604" t="s">
        <v>428</v>
      </c>
      <c r="CJ714" s="604" t="s">
        <v>447</v>
      </c>
      <c r="CK714" s="604">
        <v>0</v>
      </c>
      <c r="CL714" s="604" t="s">
        <v>33</v>
      </c>
    </row>
    <row r="715" spans="9:90">
      <c r="I715" s="578" t="str">
        <f t="shared" si="98"/>
        <v>2016gest42+Fetal</v>
      </c>
      <c r="J715" s="604">
        <v>2016</v>
      </c>
      <c r="K715" s="604" t="s">
        <v>450</v>
      </c>
      <c r="L715" s="604" t="s">
        <v>138</v>
      </c>
      <c r="M715" s="604">
        <v>0</v>
      </c>
      <c r="N715" s="604">
        <v>1017</v>
      </c>
      <c r="O715" s="604">
        <v>0</v>
      </c>
      <c r="P715" s="604" t="s">
        <v>47</v>
      </c>
      <c r="Q715" s="499"/>
      <c r="R715" s="502" t="str">
        <f t="shared" si="99"/>
        <v>2016birthsdhbSouthern</v>
      </c>
      <c r="S715" s="604">
        <v>2016</v>
      </c>
      <c r="T715" s="604" t="s">
        <v>445</v>
      </c>
      <c r="U715" s="604" t="s">
        <v>448</v>
      </c>
      <c r="V715" s="604" t="s">
        <v>103</v>
      </c>
      <c r="W715" s="604">
        <v>3414</v>
      </c>
      <c r="Y715" s="535" t="str">
        <f t="shared" si="100"/>
        <v>2016OveralldepTotalQuin 5fetal</v>
      </c>
      <c r="Z715" s="604">
        <v>2016</v>
      </c>
      <c r="AA715" s="604" t="s">
        <v>104</v>
      </c>
      <c r="AB715" s="604" t="s">
        <v>454</v>
      </c>
      <c r="AC715" s="604" t="s">
        <v>44</v>
      </c>
      <c r="AD715" s="604" t="s">
        <v>425</v>
      </c>
      <c r="AE715" s="604">
        <v>126</v>
      </c>
      <c r="AF715" s="604">
        <v>16886</v>
      </c>
      <c r="AG715" s="604">
        <v>7.4</v>
      </c>
      <c r="AH715" s="604" t="s">
        <v>420</v>
      </c>
      <c r="AJ715" s="535" t="str">
        <f t="shared" si="101"/>
        <v>2016OveralldepTotalQuin 5</v>
      </c>
      <c r="AK715" s="604">
        <v>2016</v>
      </c>
      <c r="AL715" s="604" t="s">
        <v>104</v>
      </c>
      <c r="AM715" s="604" t="s">
        <v>454</v>
      </c>
      <c r="AN715" s="604" t="s">
        <v>44</v>
      </c>
      <c r="AO715" s="604" t="s">
        <v>425</v>
      </c>
      <c r="AP715" s="604">
        <v>16886</v>
      </c>
      <c r="AR715" s="538" t="str">
        <f t="shared" si="102"/>
        <v>35-39ageinfantAuckland</v>
      </c>
      <c r="AS715" s="604">
        <v>2016</v>
      </c>
      <c r="AT715" s="604" t="s">
        <v>133</v>
      </c>
      <c r="AU715" s="604" t="s">
        <v>453</v>
      </c>
      <c r="AV715" s="604" t="s">
        <v>87</v>
      </c>
      <c r="AW715" s="604">
        <v>2</v>
      </c>
      <c r="AX715" s="604">
        <v>1355</v>
      </c>
      <c r="AY715" s="606">
        <v>1.5</v>
      </c>
      <c r="AZ715" s="604" t="s">
        <v>437</v>
      </c>
      <c r="BY715" s="553" t="str">
        <f t="shared" si="103"/>
        <v>2014MidCentraldhbSIDS</v>
      </c>
      <c r="BZ715" s="604">
        <v>2014</v>
      </c>
      <c r="CA715" s="604" t="s">
        <v>94</v>
      </c>
      <c r="CB715" s="604" t="s">
        <v>448</v>
      </c>
      <c r="CC715" s="604">
        <v>0</v>
      </c>
      <c r="CD715" s="604" t="s">
        <v>32</v>
      </c>
      <c r="CF715" s="559" t="str">
        <f t="shared" si="104"/>
        <v>5yearsAsian1000-1499bwtSUDI</v>
      </c>
      <c r="CG715" s="604" t="s">
        <v>475</v>
      </c>
      <c r="CH715" s="604" t="s">
        <v>355</v>
      </c>
      <c r="CI715" s="604" t="s">
        <v>429</v>
      </c>
      <c r="CJ715" s="604" t="s">
        <v>447</v>
      </c>
      <c r="CK715" s="604">
        <v>0</v>
      </c>
      <c r="CL715" s="604" t="s">
        <v>33</v>
      </c>
    </row>
    <row r="716" spans="9:90">
      <c r="I716" s="578" t="str">
        <f t="shared" si="98"/>
        <v>2016gestUnknownFetal</v>
      </c>
      <c r="J716" s="604">
        <v>2016</v>
      </c>
      <c r="K716" s="604" t="s">
        <v>450</v>
      </c>
      <c r="L716" s="604" t="s">
        <v>63</v>
      </c>
      <c r="M716" s="604">
        <v>6</v>
      </c>
      <c r="N716" s="604">
        <v>35</v>
      </c>
      <c r="O716" s="604" t="s">
        <v>119</v>
      </c>
      <c r="P716" s="604" t="s">
        <v>47</v>
      </c>
      <c r="Q716" s="499"/>
      <c r="R716" s="502" t="str">
        <f t="shared" si="99"/>
        <v>2016birthsdhbUnknown</v>
      </c>
      <c r="S716" s="604">
        <v>2016</v>
      </c>
      <c r="T716" s="604" t="s">
        <v>445</v>
      </c>
      <c r="U716" s="604" t="s">
        <v>448</v>
      </c>
      <c r="V716" s="604" t="s">
        <v>63</v>
      </c>
      <c r="W716" s="604">
        <v>130</v>
      </c>
      <c r="Y716" s="535" t="str">
        <f t="shared" si="100"/>
        <v>2016OveralldepTotalQuin 9fetal</v>
      </c>
      <c r="Z716" s="604">
        <v>2016</v>
      </c>
      <c r="AA716" s="604" t="s">
        <v>104</v>
      </c>
      <c r="AB716" s="604" t="s">
        <v>454</v>
      </c>
      <c r="AC716" s="604" t="s">
        <v>44</v>
      </c>
      <c r="AD716" s="604" t="s">
        <v>426</v>
      </c>
      <c r="AE716" s="604">
        <v>22</v>
      </c>
      <c r="AF716" s="604">
        <v>131</v>
      </c>
      <c r="AG716" s="604" t="s">
        <v>119</v>
      </c>
      <c r="AH716" s="604" t="s">
        <v>420</v>
      </c>
      <c r="AJ716" s="535" t="str">
        <f t="shared" si="101"/>
        <v>2016OveralldepTotalQuin 9</v>
      </c>
      <c r="AK716" s="604">
        <v>2016</v>
      </c>
      <c r="AL716" s="604" t="s">
        <v>104</v>
      </c>
      <c r="AM716" s="604" t="s">
        <v>454</v>
      </c>
      <c r="AN716" s="604" t="s">
        <v>44</v>
      </c>
      <c r="AO716" s="604" t="s">
        <v>426</v>
      </c>
      <c r="AP716" s="604">
        <v>131</v>
      </c>
      <c r="AR716" s="538" t="str">
        <f t="shared" si="102"/>
        <v>40+ageinfantAuckland</v>
      </c>
      <c r="AS716" s="604">
        <v>2016</v>
      </c>
      <c r="AT716" s="604" t="s">
        <v>134</v>
      </c>
      <c r="AU716" s="604" t="s">
        <v>453</v>
      </c>
      <c r="AV716" s="604" t="s">
        <v>87</v>
      </c>
      <c r="AW716" s="604">
        <v>1</v>
      </c>
      <c r="AX716" s="604">
        <v>349</v>
      </c>
      <c r="AY716" s="606">
        <v>2.9</v>
      </c>
      <c r="AZ716" s="604" t="s">
        <v>437</v>
      </c>
      <c r="BY716" s="553" t="str">
        <f t="shared" si="103"/>
        <v>2014WhanganuidhbSIDS</v>
      </c>
      <c r="BZ716" s="604">
        <v>2014</v>
      </c>
      <c r="CA716" s="604" t="s">
        <v>95</v>
      </c>
      <c r="CB716" s="604" t="s">
        <v>448</v>
      </c>
      <c r="CC716" s="604">
        <v>0</v>
      </c>
      <c r="CD716" s="604" t="s">
        <v>32</v>
      </c>
      <c r="CF716" s="559" t="str">
        <f t="shared" si="104"/>
        <v>5yearsEuropean or Other1000-1499bwtSUDI</v>
      </c>
      <c r="CG716" s="604" t="s">
        <v>475</v>
      </c>
      <c r="CH716" s="604" t="s">
        <v>356</v>
      </c>
      <c r="CI716" s="604" t="s">
        <v>429</v>
      </c>
      <c r="CJ716" s="604" t="s">
        <v>447</v>
      </c>
      <c r="CK716" s="604">
        <v>2</v>
      </c>
      <c r="CL716" s="604" t="s">
        <v>33</v>
      </c>
    </row>
    <row r="717" spans="9:90">
      <c r="I717" s="578" t="str">
        <f t="shared" si="98"/>
        <v>1996dhbNorthlandFetal</v>
      </c>
      <c r="J717" s="604">
        <v>1996</v>
      </c>
      <c r="K717" s="604" t="s">
        <v>448</v>
      </c>
      <c r="L717" s="604" t="s">
        <v>85</v>
      </c>
      <c r="M717" s="604">
        <v>9</v>
      </c>
      <c r="N717" s="604">
        <v>2249</v>
      </c>
      <c r="O717" s="604">
        <v>4</v>
      </c>
      <c r="P717" s="604" t="s">
        <v>47</v>
      </c>
      <c r="Q717" s="499"/>
      <c r="R717" s="502" t="str">
        <f t="shared" si="99"/>
        <v>1996birthsethMaori</v>
      </c>
      <c r="S717" s="604">
        <v>1996</v>
      </c>
      <c r="T717" s="604" t="s">
        <v>445</v>
      </c>
      <c r="U717" s="604" t="s">
        <v>449</v>
      </c>
      <c r="V717" s="604" t="s">
        <v>129</v>
      </c>
      <c r="W717" s="604">
        <v>16011</v>
      </c>
      <c r="Y717" s="535" t="str">
        <f t="shared" si="100"/>
        <v>2016OverallgestTotal&lt;28fetal</v>
      </c>
      <c r="Z717" s="604">
        <v>2016</v>
      </c>
      <c r="AA717" s="604" t="s">
        <v>104</v>
      </c>
      <c r="AB717" s="604" t="s">
        <v>450</v>
      </c>
      <c r="AC717" s="604" t="s">
        <v>44</v>
      </c>
      <c r="AD717" s="604" t="s">
        <v>375</v>
      </c>
      <c r="AE717" s="604">
        <v>227</v>
      </c>
      <c r="AF717" s="604">
        <v>260</v>
      </c>
      <c r="AG717" s="604">
        <v>466.1</v>
      </c>
      <c r="AH717" s="604" t="s">
        <v>420</v>
      </c>
      <c r="AJ717" s="535" t="str">
        <f t="shared" si="101"/>
        <v>2016OverallgestTotal&lt;28</v>
      </c>
      <c r="AK717" s="604">
        <v>2016</v>
      </c>
      <c r="AL717" s="604" t="s">
        <v>104</v>
      </c>
      <c r="AM717" s="604" t="s">
        <v>450</v>
      </c>
      <c r="AN717" s="604" t="s">
        <v>44</v>
      </c>
      <c r="AO717" s="604" t="s">
        <v>375</v>
      </c>
      <c r="AP717" s="604">
        <v>260</v>
      </c>
      <c r="AR717" s="538" t="str">
        <f t="shared" si="102"/>
        <v>&lt;20ageinfantCounties Manukau</v>
      </c>
      <c r="AS717" s="604">
        <v>2016</v>
      </c>
      <c r="AT717" s="604" t="s">
        <v>339</v>
      </c>
      <c r="AU717" s="604" t="s">
        <v>453</v>
      </c>
      <c r="AV717" s="604" t="s">
        <v>88</v>
      </c>
      <c r="AW717" s="604">
        <v>12</v>
      </c>
      <c r="AX717" s="604">
        <v>443</v>
      </c>
      <c r="AY717" s="606">
        <v>27.1</v>
      </c>
      <c r="AZ717" s="604" t="s">
        <v>437</v>
      </c>
      <c r="BY717" s="553" t="str">
        <f t="shared" si="103"/>
        <v>2014Capital &amp; CoastdhbSIDS</v>
      </c>
      <c r="BZ717" s="604">
        <v>2014</v>
      </c>
      <c r="CA717" s="604" t="s">
        <v>96</v>
      </c>
      <c r="CB717" s="604" t="s">
        <v>448</v>
      </c>
      <c r="CC717" s="604">
        <v>1</v>
      </c>
      <c r="CD717" s="604" t="s">
        <v>32</v>
      </c>
      <c r="CF717" s="559" t="str">
        <f t="shared" si="104"/>
        <v>5yearsMaori1000-1499bwtSUDI</v>
      </c>
      <c r="CG717" s="604" t="s">
        <v>475</v>
      </c>
      <c r="CH717" s="604" t="s">
        <v>129</v>
      </c>
      <c r="CI717" s="604" t="s">
        <v>429</v>
      </c>
      <c r="CJ717" s="604" t="s">
        <v>447</v>
      </c>
      <c r="CK717" s="604">
        <v>0</v>
      </c>
      <c r="CL717" s="604" t="s">
        <v>33</v>
      </c>
    </row>
    <row r="718" spans="9:90">
      <c r="I718" s="578" t="str">
        <f t="shared" si="98"/>
        <v>1996dhbWaitemataFetal</v>
      </c>
      <c r="J718" s="604">
        <v>1996</v>
      </c>
      <c r="K718" s="604" t="s">
        <v>448</v>
      </c>
      <c r="L718" s="604" t="s">
        <v>86</v>
      </c>
      <c r="M718" s="604">
        <v>34</v>
      </c>
      <c r="N718" s="604">
        <v>6359</v>
      </c>
      <c r="O718" s="604">
        <v>5.3</v>
      </c>
      <c r="P718" s="604" t="s">
        <v>47</v>
      </c>
      <c r="Q718" s="499"/>
      <c r="R718" s="502" t="str">
        <f t="shared" si="99"/>
        <v>1996birthsethPacific peoples</v>
      </c>
      <c r="S718" s="604">
        <v>1996</v>
      </c>
      <c r="T718" s="604" t="s">
        <v>445</v>
      </c>
      <c r="U718" s="604" t="s">
        <v>449</v>
      </c>
      <c r="V718" s="604" t="s">
        <v>320</v>
      </c>
      <c r="W718" s="604">
        <v>5726</v>
      </c>
      <c r="Y718" s="535" t="str">
        <f t="shared" si="100"/>
        <v>2016OverallgestTotal28-31fetal</v>
      </c>
      <c r="Z718" s="604">
        <v>2016</v>
      </c>
      <c r="AA718" s="604" t="s">
        <v>104</v>
      </c>
      <c r="AB718" s="604" t="s">
        <v>450</v>
      </c>
      <c r="AC718" s="604" t="s">
        <v>44</v>
      </c>
      <c r="AD718" s="604" t="s">
        <v>395</v>
      </c>
      <c r="AE718" s="604">
        <v>38</v>
      </c>
      <c r="AF718" s="604">
        <v>417</v>
      </c>
      <c r="AG718" s="604">
        <v>83.5</v>
      </c>
      <c r="AH718" s="604" t="s">
        <v>420</v>
      </c>
      <c r="AJ718" s="535" t="str">
        <f t="shared" si="101"/>
        <v>2016OverallgestTotal28-31</v>
      </c>
      <c r="AK718" s="604">
        <v>2016</v>
      </c>
      <c r="AL718" s="604" t="s">
        <v>104</v>
      </c>
      <c r="AM718" s="604" t="s">
        <v>450</v>
      </c>
      <c r="AN718" s="604" t="s">
        <v>44</v>
      </c>
      <c r="AO718" s="604" t="s">
        <v>395</v>
      </c>
      <c r="AP718" s="604">
        <v>417</v>
      </c>
      <c r="AR718" s="538" t="str">
        <f t="shared" si="102"/>
        <v>20-24ageinfantCounties Manukau</v>
      </c>
      <c r="AS718" s="604">
        <v>2016</v>
      </c>
      <c r="AT718" s="604" t="s">
        <v>130</v>
      </c>
      <c r="AU718" s="604" t="s">
        <v>453</v>
      </c>
      <c r="AV718" s="604" t="s">
        <v>88</v>
      </c>
      <c r="AW718" s="604">
        <v>15</v>
      </c>
      <c r="AX718" s="604">
        <v>1634</v>
      </c>
      <c r="AY718" s="606">
        <v>9.1999999999999993</v>
      </c>
      <c r="AZ718" s="604" t="s">
        <v>437</v>
      </c>
      <c r="BY718" s="553" t="str">
        <f t="shared" si="103"/>
        <v>2014Hutt ValleydhbSIDS</v>
      </c>
      <c r="BZ718" s="604">
        <v>2014</v>
      </c>
      <c r="CA718" s="604" t="s">
        <v>97</v>
      </c>
      <c r="CB718" s="604" t="s">
        <v>448</v>
      </c>
      <c r="CC718" s="604">
        <v>0</v>
      </c>
      <c r="CD718" s="604" t="s">
        <v>32</v>
      </c>
      <c r="CF718" s="559" t="str">
        <f t="shared" si="104"/>
        <v>5yearsPacific peoples1000-1499bwtSUDI</v>
      </c>
      <c r="CG718" s="604" t="s">
        <v>475</v>
      </c>
      <c r="CH718" s="604" t="s">
        <v>320</v>
      </c>
      <c r="CI718" s="604" t="s">
        <v>429</v>
      </c>
      <c r="CJ718" s="604" t="s">
        <v>447</v>
      </c>
      <c r="CK718" s="604">
        <v>0</v>
      </c>
      <c r="CL718" s="604" t="s">
        <v>33</v>
      </c>
    </row>
    <row r="719" spans="9:90">
      <c r="I719" s="578" t="str">
        <f t="shared" si="98"/>
        <v>1996dhbAucklandFetal</v>
      </c>
      <c r="J719" s="604">
        <v>1996</v>
      </c>
      <c r="K719" s="604" t="s">
        <v>448</v>
      </c>
      <c r="L719" s="604" t="s">
        <v>87</v>
      </c>
      <c r="M719" s="604">
        <v>35</v>
      </c>
      <c r="N719" s="604">
        <v>6029</v>
      </c>
      <c r="O719" s="604">
        <v>5.8</v>
      </c>
      <c r="P719" s="604" t="s">
        <v>47</v>
      </c>
      <c r="Q719" s="499"/>
      <c r="R719" s="502" t="str">
        <f t="shared" si="99"/>
        <v>1996birthsethAsian</v>
      </c>
      <c r="S719" s="604">
        <v>1996</v>
      </c>
      <c r="T719" s="604" t="s">
        <v>445</v>
      </c>
      <c r="U719" s="604" t="s">
        <v>449</v>
      </c>
      <c r="V719" s="604" t="s">
        <v>355</v>
      </c>
      <c r="W719" s="604">
        <v>3394</v>
      </c>
      <c r="Y719" s="535" t="str">
        <f t="shared" si="100"/>
        <v>2016OverallgestTotal32-36fetal</v>
      </c>
      <c r="Z719" s="604">
        <v>2016</v>
      </c>
      <c r="AA719" s="604" t="s">
        <v>104</v>
      </c>
      <c r="AB719" s="604" t="s">
        <v>450</v>
      </c>
      <c r="AC719" s="604" t="s">
        <v>44</v>
      </c>
      <c r="AD719" s="604" t="s">
        <v>136</v>
      </c>
      <c r="AE719" s="604">
        <v>56</v>
      </c>
      <c r="AF719" s="604">
        <v>3814</v>
      </c>
      <c r="AG719" s="604">
        <v>14.5</v>
      </c>
      <c r="AH719" s="604" t="s">
        <v>420</v>
      </c>
      <c r="AJ719" s="535" t="str">
        <f t="shared" si="101"/>
        <v>2016OverallgestTotal32-36</v>
      </c>
      <c r="AK719" s="604">
        <v>2016</v>
      </c>
      <c r="AL719" s="604" t="s">
        <v>104</v>
      </c>
      <c r="AM719" s="604" t="s">
        <v>450</v>
      </c>
      <c r="AN719" s="604" t="s">
        <v>44</v>
      </c>
      <c r="AO719" s="604" t="s">
        <v>136</v>
      </c>
      <c r="AP719" s="604">
        <v>3814</v>
      </c>
      <c r="AR719" s="538" t="str">
        <f t="shared" si="102"/>
        <v>25-29ageinfantCounties Manukau</v>
      </c>
      <c r="AS719" s="604">
        <v>2016</v>
      </c>
      <c r="AT719" s="604" t="s">
        <v>131</v>
      </c>
      <c r="AU719" s="604" t="s">
        <v>453</v>
      </c>
      <c r="AV719" s="604" t="s">
        <v>88</v>
      </c>
      <c r="AW719" s="604">
        <v>7</v>
      </c>
      <c r="AX719" s="604">
        <v>2434</v>
      </c>
      <c r="AY719" s="606">
        <v>2.9</v>
      </c>
      <c r="AZ719" s="604" t="s">
        <v>437</v>
      </c>
      <c r="BY719" s="553" t="str">
        <f t="shared" si="103"/>
        <v>2014WairarapadhbSIDS</v>
      </c>
      <c r="BZ719" s="604">
        <v>2014</v>
      </c>
      <c r="CA719" s="604" t="s">
        <v>98</v>
      </c>
      <c r="CB719" s="604" t="s">
        <v>448</v>
      </c>
      <c r="CC719" s="604">
        <v>0</v>
      </c>
      <c r="CD719" s="604" t="s">
        <v>32</v>
      </c>
      <c r="CF719" s="559" t="str">
        <f t="shared" si="104"/>
        <v>5yearsAsian1500-2499bwtSUDI</v>
      </c>
      <c r="CG719" s="604" t="s">
        <v>475</v>
      </c>
      <c r="CH719" s="604" t="s">
        <v>355</v>
      </c>
      <c r="CI719" s="604" t="s">
        <v>430</v>
      </c>
      <c r="CJ719" s="604" t="s">
        <v>447</v>
      </c>
      <c r="CK719" s="604">
        <v>1</v>
      </c>
      <c r="CL719" s="604" t="s">
        <v>33</v>
      </c>
    </row>
    <row r="720" spans="9:90">
      <c r="I720" s="578" t="str">
        <f t="shared" si="98"/>
        <v>1996dhbCounties ManukauFetal</v>
      </c>
      <c r="J720" s="604">
        <v>1996</v>
      </c>
      <c r="K720" s="604" t="s">
        <v>448</v>
      </c>
      <c r="L720" s="604" t="s">
        <v>88</v>
      </c>
      <c r="M720" s="604">
        <v>44</v>
      </c>
      <c r="N720" s="604">
        <v>6919</v>
      </c>
      <c r="O720" s="604">
        <v>6.4</v>
      </c>
      <c r="P720" s="604" t="s">
        <v>47</v>
      </c>
      <c r="Q720" s="499"/>
      <c r="R720" s="502" t="str">
        <f t="shared" si="99"/>
        <v>1996birthsethEuropean or Other</v>
      </c>
      <c r="S720" s="604">
        <v>1996</v>
      </c>
      <c r="T720" s="604" t="s">
        <v>445</v>
      </c>
      <c r="U720" s="604" t="s">
        <v>449</v>
      </c>
      <c r="V720" s="604" t="s">
        <v>356</v>
      </c>
      <c r="W720" s="604">
        <v>32303</v>
      </c>
      <c r="Y720" s="535" t="str">
        <f t="shared" si="100"/>
        <v>2016OverallgestTotal37-41fetal</v>
      </c>
      <c r="Z720" s="604">
        <v>2016</v>
      </c>
      <c r="AA720" s="604" t="s">
        <v>104</v>
      </c>
      <c r="AB720" s="604" t="s">
        <v>450</v>
      </c>
      <c r="AC720" s="604" t="s">
        <v>44</v>
      </c>
      <c r="AD720" s="604" t="s">
        <v>137</v>
      </c>
      <c r="AE720" s="604">
        <v>86</v>
      </c>
      <c r="AF720" s="604">
        <v>54899</v>
      </c>
      <c r="AG720" s="604">
        <v>1.6</v>
      </c>
      <c r="AH720" s="604" t="s">
        <v>420</v>
      </c>
      <c r="AJ720" s="535" t="str">
        <f t="shared" si="101"/>
        <v>2016OverallgestTotal37-41</v>
      </c>
      <c r="AK720" s="604">
        <v>2016</v>
      </c>
      <c r="AL720" s="604" t="s">
        <v>104</v>
      </c>
      <c r="AM720" s="604" t="s">
        <v>450</v>
      </c>
      <c r="AN720" s="604" t="s">
        <v>44</v>
      </c>
      <c r="AO720" s="604" t="s">
        <v>137</v>
      </c>
      <c r="AP720" s="604">
        <v>54899</v>
      </c>
      <c r="AR720" s="538" t="str">
        <f t="shared" si="102"/>
        <v>30-34ageinfantCounties Manukau</v>
      </c>
      <c r="AS720" s="604">
        <v>2016</v>
      </c>
      <c r="AT720" s="604" t="s">
        <v>132</v>
      </c>
      <c r="AU720" s="604" t="s">
        <v>453</v>
      </c>
      <c r="AV720" s="604" t="s">
        <v>88</v>
      </c>
      <c r="AW720" s="604">
        <v>13</v>
      </c>
      <c r="AX720" s="604">
        <v>2379</v>
      </c>
      <c r="AY720" s="606">
        <v>5.5</v>
      </c>
      <c r="AZ720" s="604" t="s">
        <v>437</v>
      </c>
      <c r="BY720" s="553" t="str">
        <f t="shared" si="103"/>
        <v>2014Nelson MarlboroughdhbSIDS</v>
      </c>
      <c r="BZ720" s="604">
        <v>2014</v>
      </c>
      <c r="CA720" s="604" t="s">
        <v>99</v>
      </c>
      <c r="CB720" s="604" t="s">
        <v>448</v>
      </c>
      <c r="CC720" s="604">
        <v>1</v>
      </c>
      <c r="CD720" s="604" t="s">
        <v>32</v>
      </c>
      <c r="CF720" s="559" t="str">
        <f t="shared" si="104"/>
        <v>5yearsEuropean or Other1500-2499bwtSUDI</v>
      </c>
      <c r="CG720" s="604" t="s">
        <v>475</v>
      </c>
      <c r="CH720" s="604" t="s">
        <v>356</v>
      </c>
      <c r="CI720" s="604" t="s">
        <v>430</v>
      </c>
      <c r="CJ720" s="604" t="s">
        <v>447</v>
      </c>
      <c r="CK720" s="604">
        <v>6</v>
      </c>
      <c r="CL720" s="604" t="s">
        <v>33</v>
      </c>
    </row>
    <row r="721" spans="9:90">
      <c r="I721" s="578" t="str">
        <f t="shared" si="98"/>
        <v>1996dhbWaikatoFetal</v>
      </c>
      <c r="J721" s="604">
        <v>1996</v>
      </c>
      <c r="K721" s="604" t="s">
        <v>448</v>
      </c>
      <c r="L721" s="604" t="s">
        <v>89</v>
      </c>
      <c r="M721" s="604">
        <v>43</v>
      </c>
      <c r="N721" s="604">
        <v>4987</v>
      </c>
      <c r="O721" s="604">
        <v>8.6</v>
      </c>
      <c r="P721" s="604" t="s">
        <v>47</v>
      </c>
      <c r="Q721" s="499"/>
      <c r="R721" s="502" t="str">
        <f t="shared" si="99"/>
        <v>1997birthsethMaori</v>
      </c>
      <c r="S721" s="604">
        <v>1997</v>
      </c>
      <c r="T721" s="604" t="s">
        <v>445</v>
      </c>
      <c r="U721" s="604" t="s">
        <v>449</v>
      </c>
      <c r="V721" s="604" t="s">
        <v>129</v>
      </c>
      <c r="W721" s="604">
        <v>16309</v>
      </c>
      <c r="Y721" s="535" t="str">
        <f t="shared" si="100"/>
        <v>2016OverallgestTotal42+fetal</v>
      </c>
      <c r="Z721" s="604">
        <v>2016</v>
      </c>
      <c r="AA721" s="604" t="s">
        <v>104</v>
      </c>
      <c r="AB721" s="604" t="s">
        <v>450</v>
      </c>
      <c r="AC721" s="604" t="s">
        <v>44</v>
      </c>
      <c r="AD721" s="604" t="s">
        <v>138</v>
      </c>
      <c r="AE721" s="604">
        <v>0</v>
      </c>
      <c r="AF721" s="604">
        <v>1017</v>
      </c>
      <c r="AG721" s="604">
        <v>0</v>
      </c>
      <c r="AH721" s="604" t="s">
        <v>420</v>
      </c>
      <c r="AJ721" s="535" t="str">
        <f t="shared" si="101"/>
        <v>2016OverallgestTotal42+</v>
      </c>
      <c r="AK721" s="604">
        <v>2016</v>
      </c>
      <c r="AL721" s="604" t="s">
        <v>104</v>
      </c>
      <c r="AM721" s="604" t="s">
        <v>450</v>
      </c>
      <c r="AN721" s="604" t="s">
        <v>44</v>
      </c>
      <c r="AO721" s="604" t="s">
        <v>138</v>
      </c>
      <c r="AP721" s="604">
        <v>1017</v>
      </c>
      <c r="AR721" s="538" t="str">
        <f t="shared" si="102"/>
        <v>35-39ageinfantCounties Manukau</v>
      </c>
      <c r="AS721" s="604">
        <v>2016</v>
      </c>
      <c r="AT721" s="604" t="s">
        <v>133</v>
      </c>
      <c r="AU721" s="604" t="s">
        <v>453</v>
      </c>
      <c r="AV721" s="604" t="s">
        <v>88</v>
      </c>
      <c r="AW721" s="604">
        <v>4</v>
      </c>
      <c r="AX721" s="604">
        <v>1167</v>
      </c>
      <c r="AY721" s="606">
        <v>3.4</v>
      </c>
      <c r="AZ721" s="604" t="s">
        <v>437</v>
      </c>
      <c r="BY721" s="553" t="str">
        <f t="shared" si="103"/>
        <v>2014West CoastdhbSIDS</v>
      </c>
      <c r="BZ721" s="604">
        <v>2014</v>
      </c>
      <c r="CA721" s="604" t="s">
        <v>100</v>
      </c>
      <c r="CB721" s="604" t="s">
        <v>448</v>
      </c>
      <c r="CC721" s="604">
        <v>0</v>
      </c>
      <c r="CD721" s="604" t="s">
        <v>32</v>
      </c>
      <c r="CF721" s="559" t="str">
        <f t="shared" si="104"/>
        <v>5yearsMaori1500-2499bwtSUDI</v>
      </c>
      <c r="CG721" s="604" t="s">
        <v>475</v>
      </c>
      <c r="CH721" s="604" t="s">
        <v>129</v>
      </c>
      <c r="CI721" s="604" t="s">
        <v>430</v>
      </c>
      <c r="CJ721" s="604" t="s">
        <v>447</v>
      </c>
      <c r="CK721" s="604">
        <v>20</v>
      </c>
      <c r="CL721" s="604" t="s">
        <v>33</v>
      </c>
    </row>
    <row r="722" spans="9:90">
      <c r="I722" s="578" t="str">
        <f t="shared" si="98"/>
        <v>1996dhbLakesFetal</v>
      </c>
      <c r="J722" s="604">
        <v>1996</v>
      </c>
      <c r="K722" s="604" t="s">
        <v>448</v>
      </c>
      <c r="L722" s="604" t="s">
        <v>90</v>
      </c>
      <c r="M722" s="604">
        <v>10</v>
      </c>
      <c r="N722" s="604">
        <v>1742</v>
      </c>
      <c r="O722" s="604">
        <v>5.7</v>
      </c>
      <c r="P722" s="604" t="s">
        <v>47</v>
      </c>
      <c r="Q722" s="499"/>
      <c r="R722" s="502" t="str">
        <f t="shared" si="99"/>
        <v>1997birthsethPacific peoples</v>
      </c>
      <c r="S722" s="604">
        <v>1997</v>
      </c>
      <c r="T722" s="604" t="s">
        <v>445</v>
      </c>
      <c r="U722" s="604" t="s">
        <v>449</v>
      </c>
      <c r="V722" s="604" t="s">
        <v>320</v>
      </c>
      <c r="W722" s="604">
        <v>5696</v>
      </c>
      <c r="Y722" s="535" t="str">
        <f t="shared" si="100"/>
        <v>2016OverallgestTotalUnknownfetal</v>
      </c>
      <c r="Z722" s="604">
        <v>2016</v>
      </c>
      <c r="AA722" s="604" t="s">
        <v>104</v>
      </c>
      <c r="AB722" s="604" t="s">
        <v>450</v>
      </c>
      <c r="AC722" s="604" t="s">
        <v>44</v>
      </c>
      <c r="AD722" s="604" t="s">
        <v>63</v>
      </c>
      <c r="AE722" s="604">
        <v>6</v>
      </c>
      <c r="AF722" s="604">
        <v>29</v>
      </c>
      <c r="AG722" s="604" t="s">
        <v>119</v>
      </c>
      <c r="AH722" s="604" t="s">
        <v>420</v>
      </c>
      <c r="AJ722" s="535" t="str">
        <f t="shared" si="101"/>
        <v>2016OverallgestTotalUnknown</v>
      </c>
      <c r="AK722" s="604">
        <v>2016</v>
      </c>
      <c r="AL722" s="604" t="s">
        <v>104</v>
      </c>
      <c r="AM722" s="604" t="s">
        <v>450</v>
      </c>
      <c r="AN722" s="604" t="s">
        <v>44</v>
      </c>
      <c r="AO722" s="604" t="s">
        <v>63</v>
      </c>
      <c r="AP722" s="604">
        <v>29</v>
      </c>
      <c r="AR722" s="538" t="str">
        <f t="shared" si="102"/>
        <v>40+ageinfantCounties Manukau</v>
      </c>
      <c r="AS722" s="604">
        <v>2016</v>
      </c>
      <c r="AT722" s="604" t="s">
        <v>134</v>
      </c>
      <c r="AU722" s="604" t="s">
        <v>453</v>
      </c>
      <c r="AV722" s="604" t="s">
        <v>88</v>
      </c>
      <c r="AW722" s="604">
        <v>6</v>
      </c>
      <c r="AX722" s="604">
        <v>318</v>
      </c>
      <c r="AY722" s="606">
        <v>18.899999999999999</v>
      </c>
      <c r="AZ722" s="604" t="s">
        <v>437</v>
      </c>
      <c r="BY722" s="553" t="str">
        <f t="shared" si="103"/>
        <v>2014CanterburydhbSIDS</v>
      </c>
      <c r="BZ722" s="604">
        <v>2014</v>
      </c>
      <c r="CA722" s="604" t="s">
        <v>101</v>
      </c>
      <c r="CB722" s="604" t="s">
        <v>448</v>
      </c>
      <c r="CC722" s="604">
        <v>1</v>
      </c>
      <c r="CD722" s="604" t="s">
        <v>32</v>
      </c>
      <c r="CF722" s="559" t="str">
        <f t="shared" si="104"/>
        <v>5yearsPacific peoples1500-2499bwtSUDI</v>
      </c>
      <c r="CG722" s="604" t="s">
        <v>475</v>
      </c>
      <c r="CH722" s="604" t="s">
        <v>320</v>
      </c>
      <c r="CI722" s="604" t="s">
        <v>430</v>
      </c>
      <c r="CJ722" s="604" t="s">
        <v>447</v>
      </c>
      <c r="CK722" s="604">
        <v>3</v>
      </c>
      <c r="CL722" s="604" t="s">
        <v>33</v>
      </c>
    </row>
    <row r="723" spans="9:90">
      <c r="I723" s="578" t="str">
        <f t="shared" si="98"/>
        <v>1996dhbBay of PlentyFetal</v>
      </c>
      <c r="J723" s="604">
        <v>1996</v>
      </c>
      <c r="K723" s="604" t="s">
        <v>448</v>
      </c>
      <c r="L723" s="604" t="s">
        <v>91</v>
      </c>
      <c r="M723" s="604">
        <v>15</v>
      </c>
      <c r="N723" s="604">
        <v>2590</v>
      </c>
      <c r="O723" s="604">
        <v>5.8</v>
      </c>
      <c r="P723" s="604" t="s">
        <v>47</v>
      </c>
      <c r="Q723" s="499"/>
      <c r="R723" s="502" t="str">
        <f t="shared" si="99"/>
        <v>1997birthsethAsian</v>
      </c>
      <c r="S723" s="604">
        <v>1997</v>
      </c>
      <c r="T723" s="604" t="s">
        <v>445</v>
      </c>
      <c r="U723" s="604" t="s">
        <v>449</v>
      </c>
      <c r="V723" s="604" t="s">
        <v>355</v>
      </c>
      <c r="W723" s="604">
        <v>3802</v>
      </c>
      <c r="Y723" s="535" t="str">
        <f t="shared" si="100"/>
        <v>2016OverallbwtTotal&lt;500fetal</v>
      </c>
      <c r="Z723" s="604">
        <v>2016</v>
      </c>
      <c r="AA723" s="604" t="s">
        <v>104</v>
      </c>
      <c r="AB723" s="604" t="s">
        <v>447</v>
      </c>
      <c r="AC723" s="604" t="s">
        <v>44</v>
      </c>
      <c r="AD723" s="604" t="s">
        <v>427</v>
      </c>
      <c r="AE723" s="604">
        <v>141</v>
      </c>
      <c r="AF723" s="604">
        <v>53</v>
      </c>
      <c r="AG723" s="604" t="s">
        <v>119</v>
      </c>
      <c r="AH723" s="604" t="s">
        <v>420</v>
      </c>
      <c r="AJ723" s="535" t="str">
        <f t="shared" si="101"/>
        <v>2016OverallbwtTotal&lt;500</v>
      </c>
      <c r="AK723" s="604">
        <v>2016</v>
      </c>
      <c r="AL723" s="604" t="s">
        <v>104</v>
      </c>
      <c r="AM723" s="604" t="s">
        <v>447</v>
      </c>
      <c r="AN723" s="604" t="s">
        <v>44</v>
      </c>
      <c r="AO723" s="604" t="s">
        <v>427</v>
      </c>
      <c r="AP723" s="604">
        <v>53</v>
      </c>
      <c r="AR723" s="538" t="str">
        <f t="shared" si="102"/>
        <v>&lt;20ageinfantWaikato</v>
      </c>
      <c r="AS723" s="604">
        <v>2016</v>
      </c>
      <c r="AT723" s="604" t="s">
        <v>339</v>
      </c>
      <c r="AU723" s="604" t="s">
        <v>453</v>
      </c>
      <c r="AV723" s="604" t="s">
        <v>89</v>
      </c>
      <c r="AW723" s="604">
        <v>4</v>
      </c>
      <c r="AX723" s="604">
        <v>317</v>
      </c>
      <c r="AY723" s="606">
        <v>12.6</v>
      </c>
      <c r="AZ723" s="604" t="s">
        <v>437</v>
      </c>
      <c r="BY723" s="553" t="str">
        <f t="shared" si="103"/>
        <v>2014South CanterburydhbSIDS</v>
      </c>
      <c r="BZ723" s="604">
        <v>2014</v>
      </c>
      <c r="CA723" s="604" t="s">
        <v>102</v>
      </c>
      <c r="CB723" s="604" t="s">
        <v>448</v>
      </c>
      <c r="CC723" s="604">
        <v>1</v>
      </c>
      <c r="CD723" s="604" t="s">
        <v>32</v>
      </c>
      <c r="CF723" s="559" t="str">
        <f t="shared" si="104"/>
        <v>5yearsAsian2500-4499bwtSUDI</v>
      </c>
      <c r="CG723" s="604" t="s">
        <v>475</v>
      </c>
      <c r="CH723" s="604" t="s">
        <v>355</v>
      </c>
      <c r="CI723" s="604" t="s">
        <v>431</v>
      </c>
      <c r="CJ723" s="604" t="s">
        <v>447</v>
      </c>
      <c r="CK723" s="604">
        <v>5</v>
      </c>
      <c r="CL723" s="604" t="s">
        <v>33</v>
      </c>
    </row>
    <row r="724" spans="9:90">
      <c r="I724" s="578" t="str">
        <f t="shared" si="98"/>
        <v>1996dhbTairawhitiFetal</v>
      </c>
      <c r="J724" s="604">
        <v>1996</v>
      </c>
      <c r="K724" s="604" t="s">
        <v>448</v>
      </c>
      <c r="L724" s="604" t="s">
        <v>433</v>
      </c>
      <c r="M724" s="604">
        <v>5</v>
      </c>
      <c r="N724" s="604">
        <v>876</v>
      </c>
      <c r="O724" s="604">
        <v>5.7</v>
      </c>
      <c r="P724" s="604" t="s">
        <v>47</v>
      </c>
      <c r="Q724" s="499"/>
      <c r="R724" s="502" t="str">
        <f t="shared" si="99"/>
        <v>1997birthsethEuropean or Other</v>
      </c>
      <c r="S724" s="604">
        <v>1997</v>
      </c>
      <c r="T724" s="604" t="s">
        <v>445</v>
      </c>
      <c r="U724" s="604" t="s">
        <v>449</v>
      </c>
      <c r="V724" s="604" t="s">
        <v>356</v>
      </c>
      <c r="W724" s="604">
        <v>31927</v>
      </c>
      <c r="Y724" s="535" t="str">
        <f t="shared" si="100"/>
        <v>2016OverallbwtTotal500-999fetal</v>
      </c>
      <c r="Z724" s="604">
        <v>2016</v>
      </c>
      <c r="AA724" s="604" t="s">
        <v>104</v>
      </c>
      <c r="AB724" s="604" t="s">
        <v>447</v>
      </c>
      <c r="AC724" s="604" t="s">
        <v>44</v>
      </c>
      <c r="AD724" s="604" t="s">
        <v>428</v>
      </c>
      <c r="AE724" s="604">
        <v>97</v>
      </c>
      <c r="AF724" s="604">
        <v>196</v>
      </c>
      <c r="AG724" s="604">
        <v>331.1</v>
      </c>
      <c r="AH724" s="604" t="s">
        <v>420</v>
      </c>
      <c r="AJ724" s="535" t="str">
        <f t="shared" si="101"/>
        <v>2016OverallbwtTotal500-999</v>
      </c>
      <c r="AK724" s="604">
        <v>2016</v>
      </c>
      <c r="AL724" s="604" t="s">
        <v>104</v>
      </c>
      <c r="AM724" s="604" t="s">
        <v>447</v>
      </c>
      <c r="AN724" s="604" t="s">
        <v>44</v>
      </c>
      <c r="AO724" s="604" t="s">
        <v>428</v>
      </c>
      <c r="AP724" s="604">
        <v>196</v>
      </c>
      <c r="AR724" s="538" t="str">
        <f t="shared" si="102"/>
        <v>20-24ageinfantWaikato</v>
      </c>
      <c r="AS724" s="604">
        <v>2016</v>
      </c>
      <c r="AT724" s="604" t="s">
        <v>130</v>
      </c>
      <c r="AU724" s="604" t="s">
        <v>453</v>
      </c>
      <c r="AV724" s="604" t="s">
        <v>89</v>
      </c>
      <c r="AW724" s="604">
        <v>7</v>
      </c>
      <c r="AX724" s="604">
        <v>1100</v>
      </c>
      <c r="AY724" s="606">
        <v>6.4</v>
      </c>
      <c r="AZ724" s="604" t="s">
        <v>437</v>
      </c>
      <c r="BY724" s="553" t="str">
        <f t="shared" si="103"/>
        <v>2014SoutherndhbSIDS</v>
      </c>
      <c r="BZ724" s="604">
        <v>2014</v>
      </c>
      <c r="CA724" s="604" t="s">
        <v>103</v>
      </c>
      <c r="CB724" s="604" t="s">
        <v>448</v>
      </c>
      <c r="CC724" s="604">
        <v>2</v>
      </c>
      <c r="CD724" s="604" t="s">
        <v>32</v>
      </c>
      <c r="CF724" s="559" t="str">
        <f t="shared" si="104"/>
        <v>5yearsEuropean or Other2500-4499bwtSUDI</v>
      </c>
      <c r="CG724" s="604" t="s">
        <v>475</v>
      </c>
      <c r="CH724" s="604" t="s">
        <v>356</v>
      </c>
      <c r="CI724" s="604" t="s">
        <v>431</v>
      </c>
      <c r="CJ724" s="604" t="s">
        <v>447</v>
      </c>
      <c r="CK724" s="604">
        <v>34</v>
      </c>
      <c r="CL724" s="604" t="s">
        <v>33</v>
      </c>
    </row>
    <row r="725" spans="9:90">
      <c r="I725" s="578" t="str">
        <f t="shared" si="98"/>
        <v>1996dhbHawke's BayFetal</v>
      </c>
      <c r="J725" s="604">
        <v>1996</v>
      </c>
      <c r="K725" s="604" t="s">
        <v>448</v>
      </c>
      <c r="L725" s="604" t="s">
        <v>92</v>
      </c>
      <c r="M725" s="604">
        <v>20</v>
      </c>
      <c r="N725" s="604">
        <v>2425</v>
      </c>
      <c r="O725" s="604">
        <v>8.1999999999999993</v>
      </c>
      <c r="P725" s="604" t="s">
        <v>47</v>
      </c>
      <c r="Q725" s="499"/>
      <c r="R725" s="502" t="str">
        <f t="shared" si="99"/>
        <v>1998birthsethMaori</v>
      </c>
      <c r="S725" s="604">
        <v>1998</v>
      </c>
      <c r="T725" s="604" t="s">
        <v>445</v>
      </c>
      <c r="U725" s="604" t="s">
        <v>449</v>
      </c>
      <c r="V725" s="604" t="s">
        <v>129</v>
      </c>
      <c r="W725" s="604">
        <v>14427</v>
      </c>
      <c r="Y725" s="535" t="str">
        <f t="shared" si="100"/>
        <v>2016OverallbwtTotal1000-1499fetal</v>
      </c>
      <c r="Z725" s="604">
        <v>2016</v>
      </c>
      <c r="AA725" s="604" t="s">
        <v>104</v>
      </c>
      <c r="AB725" s="604" t="s">
        <v>447</v>
      </c>
      <c r="AC725" s="604" t="s">
        <v>44</v>
      </c>
      <c r="AD725" s="604" t="s">
        <v>429</v>
      </c>
      <c r="AE725" s="604">
        <v>27</v>
      </c>
      <c r="AF725" s="604">
        <v>331</v>
      </c>
      <c r="AG725" s="604">
        <v>75.400000000000006</v>
      </c>
      <c r="AH725" s="604" t="s">
        <v>420</v>
      </c>
      <c r="AJ725" s="535" t="str">
        <f t="shared" si="101"/>
        <v>2016OverallbwtTotal1000-1499</v>
      </c>
      <c r="AK725" s="604">
        <v>2016</v>
      </c>
      <c r="AL725" s="604" t="s">
        <v>104</v>
      </c>
      <c r="AM725" s="604" t="s">
        <v>447</v>
      </c>
      <c r="AN725" s="604" t="s">
        <v>44</v>
      </c>
      <c r="AO725" s="604" t="s">
        <v>429</v>
      </c>
      <c r="AP725" s="604">
        <v>331</v>
      </c>
      <c r="AR725" s="538" t="str">
        <f t="shared" si="102"/>
        <v>25-29ageinfantWaikato</v>
      </c>
      <c r="AS725" s="604">
        <v>2016</v>
      </c>
      <c r="AT725" s="604" t="s">
        <v>131</v>
      </c>
      <c r="AU725" s="604" t="s">
        <v>453</v>
      </c>
      <c r="AV725" s="604" t="s">
        <v>89</v>
      </c>
      <c r="AW725" s="604">
        <v>7</v>
      </c>
      <c r="AX725" s="604">
        <v>1653</v>
      </c>
      <c r="AY725" s="606">
        <v>4.2</v>
      </c>
      <c r="AZ725" s="604" t="s">
        <v>437</v>
      </c>
      <c r="BY725" s="553" t="str">
        <f t="shared" si="103"/>
        <v>2014UnknowndhbSIDS</v>
      </c>
      <c r="BZ725" s="604">
        <v>2014</v>
      </c>
      <c r="CA725" s="604" t="s">
        <v>63</v>
      </c>
      <c r="CB725" s="604" t="s">
        <v>448</v>
      </c>
      <c r="CC725" s="604">
        <v>0</v>
      </c>
      <c r="CD725" s="604" t="s">
        <v>32</v>
      </c>
      <c r="CF725" s="559" t="str">
        <f t="shared" si="104"/>
        <v>5yearsMaori2500-4499bwtSUDI</v>
      </c>
      <c r="CG725" s="604" t="s">
        <v>475</v>
      </c>
      <c r="CH725" s="604" t="s">
        <v>129</v>
      </c>
      <c r="CI725" s="604" t="s">
        <v>431</v>
      </c>
      <c r="CJ725" s="604" t="s">
        <v>447</v>
      </c>
      <c r="CK725" s="604">
        <v>91</v>
      </c>
      <c r="CL725" s="604" t="s">
        <v>33</v>
      </c>
    </row>
    <row r="726" spans="9:90">
      <c r="I726" s="578" t="str">
        <f t="shared" si="98"/>
        <v>1996dhbTaranakiFetal</v>
      </c>
      <c r="J726" s="604">
        <v>1996</v>
      </c>
      <c r="K726" s="604" t="s">
        <v>448</v>
      </c>
      <c r="L726" s="604" t="s">
        <v>93</v>
      </c>
      <c r="M726" s="604">
        <v>19</v>
      </c>
      <c r="N726" s="604">
        <v>1557</v>
      </c>
      <c r="O726" s="604">
        <v>12.2</v>
      </c>
      <c r="P726" s="604" t="s">
        <v>47</v>
      </c>
      <c r="Q726" s="499"/>
      <c r="R726" s="502" t="str">
        <f t="shared" si="99"/>
        <v>1998birthsethPacific peoples</v>
      </c>
      <c r="S726" s="604">
        <v>1998</v>
      </c>
      <c r="T726" s="604" t="s">
        <v>445</v>
      </c>
      <c r="U726" s="604" t="s">
        <v>449</v>
      </c>
      <c r="V726" s="604" t="s">
        <v>320</v>
      </c>
      <c r="W726" s="604">
        <v>5210</v>
      </c>
      <c r="Y726" s="535" t="str">
        <f t="shared" si="100"/>
        <v>2016OverallbwtTotal1500-2499fetal</v>
      </c>
      <c r="Z726" s="604">
        <v>2016</v>
      </c>
      <c r="AA726" s="604" t="s">
        <v>104</v>
      </c>
      <c r="AB726" s="604" t="s">
        <v>447</v>
      </c>
      <c r="AC726" s="604" t="s">
        <v>44</v>
      </c>
      <c r="AD726" s="604" t="s">
        <v>430</v>
      </c>
      <c r="AE726" s="604">
        <v>45</v>
      </c>
      <c r="AF726" s="604">
        <v>2991</v>
      </c>
      <c r="AG726" s="604">
        <v>14.8</v>
      </c>
      <c r="AH726" s="604" t="s">
        <v>420</v>
      </c>
      <c r="AJ726" s="535" t="str">
        <f t="shared" si="101"/>
        <v>2016OverallbwtTotal1500-2499</v>
      </c>
      <c r="AK726" s="604">
        <v>2016</v>
      </c>
      <c r="AL726" s="604" t="s">
        <v>104</v>
      </c>
      <c r="AM726" s="604" t="s">
        <v>447</v>
      </c>
      <c r="AN726" s="604" t="s">
        <v>44</v>
      </c>
      <c r="AO726" s="604" t="s">
        <v>430</v>
      </c>
      <c r="AP726" s="604">
        <v>2991</v>
      </c>
      <c r="AR726" s="538" t="str">
        <f t="shared" si="102"/>
        <v>30-34ageinfantWaikato</v>
      </c>
      <c r="AS726" s="604">
        <v>2016</v>
      </c>
      <c r="AT726" s="604" t="s">
        <v>132</v>
      </c>
      <c r="AU726" s="604" t="s">
        <v>453</v>
      </c>
      <c r="AV726" s="604" t="s">
        <v>89</v>
      </c>
      <c r="AW726" s="604">
        <v>8</v>
      </c>
      <c r="AX726" s="604">
        <v>1537</v>
      </c>
      <c r="AY726" s="606">
        <v>5.2</v>
      </c>
      <c r="AZ726" s="604" t="s">
        <v>437</v>
      </c>
      <c r="BY726" s="553" t="str">
        <f t="shared" si="103"/>
        <v>2015NorthlanddhbSIDS</v>
      </c>
      <c r="BZ726" s="604">
        <v>2015</v>
      </c>
      <c r="CA726" s="604" t="s">
        <v>85</v>
      </c>
      <c r="CB726" s="604" t="s">
        <v>448</v>
      </c>
      <c r="CC726" s="604">
        <v>2</v>
      </c>
      <c r="CD726" s="604" t="s">
        <v>32</v>
      </c>
      <c r="CF726" s="559" t="str">
        <f t="shared" si="104"/>
        <v>5yearsPacific peoples2500-4499bwtSUDI</v>
      </c>
      <c r="CG726" s="604" t="s">
        <v>475</v>
      </c>
      <c r="CH726" s="604" t="s">
        <v>320</v>
      </c>
      <c r="CI726" s="604" t="s">
        <v>431</v>
      </c>
      <c r="CJ726" s="604" t="s">
        <v>447</v>
      </c>
      <c r="CK726" s="604">
        <v>33</v>
      </c>
      <c r="CL726" s="604" t="s">
        <v>33</v>
      </c>
    </row>
    <row r="727" spans="9:90">
      <c r="I727" s="578" t="str">
        <f t="shared" si="98"/>
        <v>1996dhbMidCentralFetal</v>
      </c>
      <c r="J727" s="604">
        <v>1996</v>
      </c>
      <c r="K727" s="604" t="s">
        <v>448</v>
      </c>
      <c r="L727" s="604" t="s">
        <v>94</v>
      </c>
      <c r="M727" s="604">
        <v>21</v>
      </c>
      <c r="N727" s="604">
        <v>2451</v>
      </c>
      <c r="O727" s="604">
        <v>8.6</v>
      </c>
      <c r="P727" s="604" t="s">
        <v>47</v>
      </c>
      <c r="Q727" s="499"/>
      <c r="R727" s="502" t="str">
        <f t="shared" si="99"/>
        <v>1998birthsethAsian</v>
      </c>
      <c r="S727" s="604">
        <v>1998</v>
      </c>
      <c r="T727" s="604" t="s">
        <v>445</v>
      </c>
      <c r="U727" s="604" t="s">
        <v>449</v>
      </c>
      <c r="V727" s="604" t="s">
        <v>355</v>
      </c>
      <c r="W727" s="604">
        <v>3610</v>
      </c>
      <c r="Y727" s="535" t="str">
        <f t="shared" si="100"/>
        <v>2016OverallbwtTotal2500-4499fetal</v>
      </c>
      <c r="Z727" s="604">
        <v>2016</v>
      </c>
      <c r="AA727" s="604" t="s">
        <v>104</v>
      </c>
      <c r="AB727" s="604" t="s">
        <v>447</v>
      </c>
      <c r="AC727" s="604" t="s">
        <v>44</v>
      </c>
      <c r="AD727" s="604" t="s">
        <v>431</v>
      </c>
      <c r="AE727" s="604">
        <v>81</v>
      </c>
      <c r="AF727" s="604">
        <v>55407</v>
      </c>
      <c r="AG727" s="604">
        <v>1.5</v>
      </c>
      <c r="AH727" s="604" t="s">
        <v>420</v>
      </c>
      <c r="AJ727" s="535" t="str">
        <f t="shared" si="101"/>
        <v>2016OverallbwtTotal2500-4499</v>
      </c>
      <c r="AK727" s="604">
        <v>2016</v>
      </c>
      <c r="AL727" s="604" t="s">
        <v>104</v>
      </c>
      <c r="AM727" s="604" t="s">
        <v>447</v>
      </c>
      <c r="AN727" s="604" t="s">
        <v>44</v>
      </c>
      <c r="AO727" s="604" t="s">
        <v>431</v>
      </c>
      <c r="AP727" s="604">
        <v>55407</v>
      </c>
      <c r="AR727" s="538" t="str">
        <f t="shared" si="102"/>
        <v>35-39ageinfantWaikato</v>
      </c>
      <c r="AS727" s="604">
        <v>2016</v>
      </c>
      <c r="AT727" s="604" t="s">
        <v>133</v>
      </c>
      <c r="AU727" s="604" t="s">
        <v>453</v>
      </c>
      <c r="AV727" s="604" t="s">
        <v>89</v>
      </c>
      <c r="AW727" s="604">
        <v>2</v>
      </c>
      <c r="AX727" s="604">
        <v>741</v>
      </c>
      <c r="AY727" s="606">
        <v>2.7</v>
      </c>
      <c r="AZ727" s="604" t="s">
        <v>437</v>
      </c>
      <c r="BY727" s="553" t="str">
        <f t="shared" si="103"/>
        <v>2015WaitematadhbSIDS</v>
      </c>
      <c r="BZ727" s="604">
        <v>2015</v>
      </c>
      <c r="CA727" s="604" t="s">
        <v>86</v>
      </c>
      <c r="CB727" s="604" t="s">
        <v>448</v>
      </c>
      <c r="CC727" s="604">
        <v>1</v>
      </c>
      <c r="CD727" s="604" t="s">
        <v>32</v>
      </c>
      <c r="CF727" s="559" t="str">
        <f t="shared" si="104"/>
        <v>5yearsAsian4500+bwtSUDI</v>
      </c>
      <c r="CG727" s="604" t="s">
        <v>475</v>
      </c>
      <c r="CH727" s="604" t="s">
        <v>355</v>
      </c>
      <c r="CI727" s="604" t="s">
        <v>432</v>
      </c>
      <c r="CJ727" s="604" t="s">
        <v>447</v>
      </c>
      <c r="CK727" s="604">
        <v>0</v>
      </c>
      <c r="CL727" s="604" t="s">
        <v>33</v>
      </c>
    </row>
    <row r="728" spans="9:90">
      <c r="I728" s="578" t="str">
        <f t="shared" si="98"/>
        <v>1996dhbWhanganuiFetal</v>
      </c>
      <c r="J728" s="604">
        <v>1996</v>
      </c>
      <c r="K728" s="604" t="s">
        <v>448</v>
      </c>
      <c r="L728" s="604" t="s">
        <v>95</v>
      </c>
      <c r="M728" s="604">
        <v>10</v>
      </c>
      <c r="N728" s="604">
        <v>1088</v>
      </c>
      <c r="O728" s="604">
        <v>9.1999999999999993</v>
      </c>
      <c r="P728" s="604" t="s">
        <v>47</v>
      </c>
      <c r="Q728" s="499"/>
      <c r="R728" s="502" t="str">
        <f t="shared" si="99"/>
        <v>1998birthsethEuropean or Other</v>
      </c>
      <c r="S728" s="604">
        <v>1998</v>
      </c>
      <c r="T728" s="604" t="s">
        <v>445</v>
      </c>
      <c r="U728" s="604" t="s">
        <v>449</v>
      </c>
      <c r="V728" s="604" t="s">
        <v>356</v>
      </c>
      <c r="W728" s="604">
        <v>32274</v>
      </c>
      <c r="Y728" s="535" t="str">
        <f t="shared" si="100"/>
        <v>2016OverallbwtTotal4500+fetal</v>
      </c>
      <c r="Z728" s="604">
        <v>2016</v>
      </c>
      <c r="AA728" s="604" t="s">
        <v>104</v>
      </c>
      <c r="AB728" s="604" t="s">
        <v>447</v>
      </c>
      <c r="AC728" s="604" t="s">
        <v>44</v>
      </c>
      <c r="AD728" s="604" t="s">
        <v>432</v>
      </c>
      <c r="AE728" s="604">
        <v>4</v>
      </c>
      <c r="AF728" s="604">
        <v>1423</v>
      </c>
      <c r="AG728" s="604">
        <v>2.8</v>
      </c>
      <c r="AH728" s="604" t="s">
        <v>420</v>
      </c>
      <c r="AJ728" s="535" t="str">
        <f t="shared" si="101"/>
        <v>2016OverallbwtTotal4500+</v>
      </c>
      <c r="AK728" s="604">
        <v>2016</v>
      </c>
      <c r="AL728" s="604" t="s">
        <v>104</v>
      </c>
      <c r="AM728" s="604" t="s">
        <v>447</v>
      </c>
      <c r="AN728" s="604" t="s">
        <v>44</v>
      </c>
      <c r="AO728" s="604" t="s">
        <v>432</v>
      </c>
      <c r="AP728" s="604">
        <v>1423</v>
      </c>
      <c r="AR728" s="538" t="str">
        <f t="shared" si="102"/>
        <v>&lt;20ageinfantBay of Plenty</v>
      </c>
      <c r="AS728" s="604">
        <v>2016</v>
      </c>
      <c r="AT728" s="604" t="s">
        <v>339</v>
      </c>
      <c r="AU728" s="604" t="s">
        <v>453</v>
      </c>
      <c r="AV728" s="604" t="s">
        <v>91</v>
      </c>
      <c r="AW728" s="604">
        <v>1</v>
      </c>
      <c r="AX728" s="604">
        <v>149</v>
      </c>
      <c r="AY728" s="606">
        <v>6.7</v>
      </c>
      <c r="AZ728" s="604" t="s">
        <v>437</v>
      </c>
      <c r="BY728" s="553" t="str">
        <f t="shared" si="103"/>
        <v>2015AucklanddhbSIDS</v>
      </c>
      <c r="BZ728" s="604">
        <v>2015</v>
      </c>
      <c r="CA728" s="604" t="s">
        <v>87</v>
      </c>
      <c r="CB728" s="604" t="s">
        <v>448</v>
      </c>
      <c r="CC728" s="604">
        <v>1</v>
      </c>
      <c r="CD728" s="604" t="s">
        <v>32</v>
      </c>
      <c r="CF728" s="559" t="str">
        <f t="shared" si="104"/>
        <v>5yearsEuropean or Other4500+bwtSUDI</v>
      </c>
      <c r="CG728" s="604" t="s">
        <v>475</v>
      </c>
      <c r="CH728" s="604" t="s">
        <v>356</v>
      </c>
      <c r="CI728" s="604" t="s">
        <v>432</v>
      </c>
      <c r="CJ728" s="604" t="s">
        <v>447</v>
      </c>
      <c r="CK728" s="604">
        <v>0</v>
      </c>
      <c r="CL728" s="604" t="s">
        <v>33</v>
      </c>
    </row>
    <row r="729" spans="9:90">
      <c r="I729" s="578" t="str">
        <f t="shared" si="98"/>
        <v>1996dhbCapital &amp; CoastFetal</v>
      </c>
      <c r="J729" s="604">
        <v>1996</v>
      </c>
      <c r="K729" s="604" t="s">
        <v>448</v>
      </c>
      <c r="L729" s="604" t="s">
        <v>96</v>
      </c>
      <c r="M729" s="604">
        <v>23</v>
      </c>
      <c r="N729" s="604">
        <v>3667</v>
      </c>
      <c r="O729" s="604">
        <v>6.3</v>
      </c>
      <c r="P729" s="604" t="s">
        <v>47</v>
      </c>
      <c r="Q729" s="499"/>
      <c r="R729" s="502" t="str">
        <f t="shared" si="99"/>
        <v>1999birthsethMaori</v>
      </c>
      <c r="S729" s="604">
        <v>1999</v>
      </c>
      <c r="T729" s="604" t="s">
        <v>445</v>
      </c>
      <c r="U729" s="604" t="s">
        <v>449</v>
      </c>
      <c r="V729" s="604" t="s">
        <v>129</v>
      </c>
      <c r="W729" s="604">
        <v>16027</v>
      </c>
      <c r="Y729" s="535" t="str">
        <f t="shared" si="100"/>
        <v>2016OverallbwtTotalUnknownfetal</v>
      </c>
      <c r="Z729" s="604">
        <v>2016</v>
      </c>
      <c r="AA729" s="604" t="s">
        <v>104</v>
      </c>
      <c r="AB729" s="604" t="s">
        <v>447</v>
      </c>
      <c r="AC729" s="604" t="s">
        <v>44</v>
      </c>
      <c r="AD729" s="604" t="s">
        <v>63</v>
      </c>
      <c r="AE729" s="604">
        <v>18</v>
      </c>
      <c r="AF729" s="604">
        <v>35</v>
      </c>
      <c r="AG729" s="604" t="s">
        <v>119</v>
      </c>
      <c r="AH729" s="604" t="s">
        <v>420</v>
      </c>
      <c r="AJ729" s="535" t="str">
        <f t="shared" si="101"/>
        <v>2016OverallbwtTotalUnknown</v>
      </c>
      <c r="AK729" s="604">
        <v>2016</v>
      </c>
      <c r="AL729" s="604" t="s">
        <v>104</v>
      </c>
      <c r="AM729" s="604" t="s">
        <v>447</v>
      </c>
      <c r="AN729" s="604" t="s">
        <v>44</v>
      </c>
      <c r="AO729" s="604" t="s">
        <v>63</v>
      </c>
      <c r="AP729" s="604">
        <v>35</v>
      </c>
      <c r="AR729" s="538" t="str">
        <f t="shared" si="102"/>
        <v>20-24ageinfantBay of Plenty</v>
      </c>
      <c r="AS729" s="604">
        <v>2016</v>
      </c>
      <c r="AT729" s="604" t="s">
        <v>130</v>
      </c>
      <c r="AU729" s="604" t="s">
        <v>453</v>
      </c>
      <c r="AV729" s="604" t="s">
        <v>91</v>
      </c>
      <c r="AW729" s="604">
        <v>5</v>
      </c>
      <c r="AX729" s="604">
        <v>617</v>
      </c>
      <c r="AY729" s="606">
        <v>8.1</v>
      </c>
      <c r="AZ729" s="604" t="s">
        <v>437</v>
      </c>
      <c r="BY729" s="553" t="str">
        <f t="shared" si="103"/>
        <v>2015Counties ManukaudhbSIDS</v>
      </c>
      <c r="BZ729" s="604">
        <v>2015</v>
      </c>
      <c r="CA729" s="604" t="s">
        <v>88</v>
      </c>
      <c r="CB729" s="604" t="s">
        <v>448</v>
      </c>
      <c r="CC729" s="604">
        <v>5</v>
      </c>
      <c r="CD729" s="604" t="s">
        <v>32</v>
      </c>
      <c r="CF729" s="559" t="str">
        <f t="shared" si="104"/>
        <v>5yearsMaori4500+bwtSUDI</v>
      </c>
      <c r="CG729" s="604" t="s">
        <v>475</v>
      </c>
      <c r="CH729" s="604" t="s">
        <v>129</v>
      </c>
      <c r="CI729" s="604" t="s">
        <v>432</v>
      </c>
      <c r="CJ729" s="604" t="s">
        <v>447</v>
      </c>
      <c r="CK729" s="604">
        <v>0</v>
      </c>
      <c r="CL729" s="604" t="s">
        <v>33</v>
      </c>
    </row>
    <row r="730" spans="9:90">
      <c r="I730" s="578" t="str">
        <f t="shared" si="98"/>
        <v>1996dhbHutt ValleyFetal</v>
      </c>
      <c r="J730" s="604">
        <v>1996</v>
      </c>
      <c r="K730" s="604" t="s">
        <v>448</v>
      </c>
      <c r="L730" s="604" t="s">
        <v>97</v>
      </c>
      <c r="M730" s="604">
        <v>12</v>
      </c>
      <c r="N730" s="604">
        <v>2147</v>
      </c>
      <c r="O730" s="604">
        <v>5.6</v>
      </c>
      <c r="P730" s="604" t="s">
        <v>47</v>
      </c>
      <c r="Q730" s="499"/>
      <c r="R730" s="502" t="str">
        <f t="shared" si="99"/>
        <v>1999birthsethPacific peoples</v>
      </c>
      <c r="S730" s="604">
        <v>1999</v>
      </c>
      <c r="T730" s="604" t="s">
        <v>445</v>
      </c>
      <c r="U730" s="604" t="s">
        <v>449</v>
      </c>
      <c r="V730" s="604" t="s">
        <v>320</v>
      </c>
      <c r="W730" s="604">
        <v>6223</v>
      </c>
      <c r="Y730" s="535" t="str">
        <f t="shared" si="100"/>
        <v>2016OverallageTotalTotalfetal</v>
      </c>
      <c r="Z730" s="604">
        <v>2016</v>
      </c>
      <c r="AA730" s="604" t="s">
        <v>104</v>
      </c>
      <c r="AB730" s="604" t="s">
        <v>453</v>
      </c>
      <c r="AC730" s="604" t="s">
        <v>44</v>
      </c>
      <c r="AD730" s="604" t="s">
        <v>44</v>
      </c>
      <c r="AE730" s="604">
        <v>413</v>
      </c>
      <c r="AF730" s="604">
        <v>60436</v>
      </c>
      <c r="AG730" s="604">
        <v>6.8</v>
      </c>
      <c r="AH730" s="604" t="s">
        <v>420</v>
      </c>
      <c r="AJ730" s="535" t="str">
        <f t="shared" si="101"/>
        <v>2016OverallageTotalTotal</v>
      </c>
      <c r="AK730" s="604">
        <v>2016</v>
      </c>
      <c r="AL730" s="604" t="s">
        <v>104</v>
      </c>
      <c r="AM730" s="604" t="s">
        <v>453</v>
      </c>
      <c r="AN730" s="604" t="s">
        <v>44</v>
      </c>
      <c r="AO730" s="604" t="s">
        <v>44</v>
      </c>
      <c r="AP730" s="604">
        <v>60436</v>
      </c>
      <c r="AR730" s="538" t="str">
        <f t="shared" si="102"/>
        <v>25-29ageinfantBay of Plenty</v>
      </c>
      <c r="AS730" s="604">
        <v>2016</v>
      </c>
      <c r="AT730" s="604" t="s">
        <v>131</v>
      </c>
      <c r="AU730" s="604" t="s">
        <v>453</v>
      </c>
      <c r="AV730" s="604" t="s">
        <v>91</v>
      </c>
      <c r="AW730" s="604">
        <v>4</v>
      </c>
      <c r="AX730" s="604">
        <v>808</v>
      </c>
      <c r="AY730" s="606">
        <v>5</v>
      </c>
      <c r="AZ730" s="604" t="s">
        <v>437</v>
      </c>
      <c r="BY730" s="553" t="str">
        <f t="shared" si="103"/>
        <v>2015WaikatodhbSIDS</v>
      </c>
      <c r="BZ730" s="604">
        <v>2015</v>
      </c>
      <c r="CA730" s="604" t="s">
        <v>89</v>
      </c>
      <c r="CB730" s="604" t="s">
        <v>448</v>
      </c>
      <c r="CC730" s="604">
        <v>5</v>
      </c>
      <c r="CD730" s="604" t="s">
        <v>32</v>
      </c>
      <c r="CF730" s="559" t="str">
        <f t="shared" si="104"/>
        <v>5yearsPacific peoples4500+bwtSUDI</v>
      </c>
      <c r="CG730" s="604" t="s">
        <v>475</v>
      </c>
      <c r="CH730" s="604" t="s">
        <v>320</v>
      </c>
      <c r="CI730" s="604" t="s">
        <v>432</v>
      </c>
      <c r="CJ730" s="604" t="s">
        <v>447</v>
      </c>
      <c r="CK730" s="604">
        <v>1</v>
      </c>
      <c r="CL730" s="604" t="s">
        <v>33</v>
      </c>
    </row>
    <row r="731" spans="9:90">
      <c r="I731" s="578" t="str">
        <f t="shared" si="98"/>
        <v>1996dhbWairarapaFetal</v>
      </c>
      <c r="J731" s="604">
        <v>1996</v>
      </c>
      <c r="K731" s="604" t="s">
        <v>448</v>
      </c>
      <c r="L731" s="604" t="s">
        <v>98</v>
      </c>
      <c r="M731" s="604">
        <v>9</v>
      </c>
      <c r="N731" s="604">
        <v>579</v>
      </c>
      <c r="O731" s="604">
        <v>15.5</v>
      </c>
      <c r="P731" s="604" t="s">
        <v>47</v>
      </c>
      <c r="Q731" s="499"/>
      <c r="R731" s="502" t="str">
        <f t="shared" si="99"/>
        <v>1999birthsethAsian</v>
      </c>
      <c r="S731" s="604">
        <v>1999</v>
      </c>
      <c r="T731" s="604" t="s">
        <v>445</v>
      </c>
      <c r="U731" s="604" t="s">
        <v>449</v>
      </c>
      <c r="V731" s="604" t="s">
        <v>355</v>
      </c>
      <c r="W731" s="604">
        <v>3980</v>
      </c>
      <c r="Y731" s="535" t="str">
        <f t="shared" si="100"/>
        <v>2016OverallethTotalTotalfetal</v>
      </c>
      <c r="Z731" s="604">
        <v>2016</v>
      </c>
      <c r="AA731" s="604" t="s">
        <v>104</v>
      </c>
      <c r="AB731" s="604" t="s">
        <v>449</v>
      </c>
      <c r="AC731" s="604" t="s">
        <v>44</v>
      </c>
      <c r="AD731" s="604" t="s">
        <v>44</v>
      </c>
      <c r="AE731" s="604">
        <v>413</v>
      </c>
      <c r="AF731" s="604">
        <v>60436</v>
      </c>
      <c r="AG731" s="604">
        <v>6.8</v>
      </c>
      <c r="AH731" s="604" t="s">
        <v>420</v>
      </c>
      <c r="AJ731" s="535" t="str">
        <f t="shared" si="101"/>
        <v>2016OverallethTotalTotal</v>
      </c>
      <c r="AK731" s="604">
        <v>2016</v>
      </c>
      <c r="AL731" s="604" t="s">
        <v>104</v>
      </c>
      <c r="AM731" s="604" t="s">
        <v>449</v>
      </c>
      <c r="AN731" s="604" t="s">
        <v>44</v>
      </c>
      <c r="AO731" s="604" t="s">
        <v>44</v>
      </c>
      <c r="AP731" s="604">
        <v>60436</v>
      </c>
      <c r="AR731" s="538" t="str">
        <f t="shared" si="102"/>
        <v>30-34ageinfantBay of Plenty</v>
      </c>
      <c r="AS731" s="604">
        <v>2016</v>
      </c>
      <c r="AT731" s="604" t="s">
        <v>132</v>
      </c>
      <c r="AU731" s="604" t="s">
        <v>453</v>
      </c>
      <c r="AV731" s="604" t="s">
        <v>91</v>
      </c>
      <c r="AW731" s="604">
        <v>3</v>
      </c>
      <c r="AX731" s="604">
        <v>815</v>
      </c>
      <c r="AY731" s="606">
        <v>3.7</v>
      </c>
      <c r="AZ731" s="604" t="s">
        <v>437</v>
      </c>
      <c r="BY731" s="553" t="str">
        <f t="shared" si="103"/>
        <v>2015LakesdhbSIDS</v>
      </c>
      <c r="BZ731" s="604">
        <v>2015</v>
      </c>
      <c r="CA731" s="604" t="s">
        <v>90</v>
      </c>
      <c r="CB731" s="604" t="s">
        <v>448</v>
      </c>
      <c r="CC731" s="604">
        <v>1</v>
      </c>
      <c r="CD731" s="604" t="s">
        <v>32</v>
      </c>
      <c r="CF731" s="559" t="str">
        <f t="shared" si="104"/>
        <v>5yearsAsianUnknownbwtSUDI</v>
      </c>
      <c r="CG731" s="604" t="s">
        <v>475</v>
      </c>
      <c r="CH731" s="604" t="s">
        <v>355</v>
      </c>
      <c r="CI731" s="604" t="s">
        <v>63</v>
      </c>
      <c r="CJ731" s="604" t="s">
        <v>447</v>
      </c>
      <c r="CK731" s="604">
        <v>0</v>
      </c>
      <c r="CL731" s="604" t="s">
        <v>33</v>
      </c>
    </row>
    <row r="732" spans="9:90">
      <c r="I732" s="578" t="str">
        <f t="shared" si="98"/>
        <v>1996dhbNelson MarlboroughFetal</v>
      </c>
      <c r="J732" s="604">
        <v>1996</v>
      </c>
      <c r="K732" s="604" t="s">
        <v>448</v>
      </c>
      <c r="L732" s="604" t="s">
        <v>99</v>
      </c>
      <c r="M732" s="604">
        <v>9</v>
      </c>
      <c r="N732" s="604">
        <v>1485</v>
      </c>
      <c r="O732" s="604">
        <v>6.1</v>
      </c>
      <c r="P732" s="604" t="s">
        <v>47</v>
      </c>
      <c r="Q732" s="499"/>
      <c r="R732" s="502" t="str">
        <f t="shared" si="99"/>
        <v>1999birthsethEuropean or Other</v>
      </c>
      <c r="S732" s="604">
        <v>1999</v>
      </c>
      <c r="T732" s="604" t="s">
        <v>445</v>
      </c>
      <c r="U732" s="604" t="s">
        <v>449</v>
      </c>
      <c r="V732" s="604" t="s">
        <v>356</v>
      </c>
      <c r="W732" s="604">
        <v>31191</v>
      </c>
      <c r="Y732" s="535" t="str">
        <f t="shared" si="100"/>
        <v>2016OverallsexTotalTotalfetal</v>
      </c>
      <c r="Z732" s="604">
        <v>2016</v>
      </c>
      <c r="AA732" s="604" t="s">
        <v>104</v>
      </c>
      <c r="AB732" s="604" t="s">
        <v>451</v>
      </c>
      <c r="AC732" s="604" t="s">
        <v>44</v>
      </c>
      <c r="AD732" s="604" t="s">
        <v>44</v>
      </c>
      <c r="AE732" s="604">
        <v>413</v>
      </c>
      <c r="AF732" s="604">
        <v>60436</v>
      </c>
      <c r="AG732" s="604">
        <v>6.8</v>
      </c>
      <c r="AH732" s="604" t="s">
        <v>420</v>
      </c>
      <c r="AJ732" s="535" t="str">
        <f t="shared" si="101"/>
        <v>2016OverallsexTotalTotal</v>
      </c>
      <c r="AK732" s="604">
        <v>2016</v>
      </c>
      <c r="AL732" s="604" t="s">
        <v>104</v>
      </c>
      <c r="AM732" s="604" t="s">
        <v>451</v>
      </c>
      <c r="AN732" s="604" t="s">
        <v>44</v>
      </c>
      <c r="AO732" s="604" t="s">
        <v>44</v>
      </c>
      <c r="AP732" s="604">
        <v>60436</v>
      </c>
      <c r="AR732" s="538" t="str">
        <f t="shared" si="102"/>
        <v>35-39ageinfantBay of Plenty</v>
      </c>
      <c r="AS732" s="604">
        <v>2016</v>
      </c>
      <c r="AT732" s="604" t="s">
        <v>133</v>
      </c>
      <c r="AU732" s="604" t="s">
        <v>453</v>
      </c>
      <c r="AV732" s="604" t="s">
        <v>91</v>
      </c>
      <c r="AW732" s="604">
        <v>2</v>
      </c>
      <c r="AX732" s="604">
        <v>438</v>
      </c>
      <c r="AY732" s="606">
        <v>4.5999999999999996</v>
      </c>
      <c r="AZ732" s="604" t="s">
        <v>437</v>
      </c>
      <c r="BY732" s="553" t="str">
        <f t="shared" si="103"/>
        <v>2015Bay of PlentydhbSIDS</v>
      </c>
      <c r="BZ732" s="604">
        <v>2015</v>
      </c>
      <c r="CA732" s="604" t="s">
        <v>91</v>
      </c>
      <c r="CB732" s="604" t="s">
        <v>448</v>
      </c>
      <c r="CC732" s="604">
        <v>0</v>
      </c>
      <c r="CD732" s="604" t="s">
        <v>32</v>
      </c>
      <c r="CF732" s="559" t="str">
        <f t="shared" si="104"/>
        <v>5yearsEuropean or OtherUnknownbwtSUDI</v>
      </c>
      <c r="CG732" s="604" t="s">
        <v>475</v>
      </c>
      <c r="CH732" s="604" t="s">
        <v>356</v>
      </c>
      <c r="CI732" s="604" t="s">
        <v>63</v>
      </c>
      <c r="CJ732" s="604" t="s">
        <v>447</v>
      </c>
      <c r="CK732" s="604">
        <v>6</v>
      </c>
      <c r="CL732" s="604" t="s">
        <v>33</v>
      </c>
    </row>
    <row r="733" spans="9:90">
      <c r="I733" s="578" t="str">
        <f t="shared" si="98"/>
        <v>1996dhbWest CoastFetal</v>
      </c>
      <c r="J733" s="604">
        <v>1996</v>
      </c>
      <c r="K733" s="604" t="s">
        <v>448</v>
      </c>
      <c r="L733" s="604" t="s">
        <v>100</v>
      </c>
      <c r="M733" s="604">
        <v>2</v>
      </c>
      <c r="N733" s="604">
        <v>493</v>
      </c>
      <c r="O733" s="604">
        <v>4.0999999999999996</v>
      </c>
      <c r="P733" s="604" t="s">
        <v>47</v>
      </c>
      <c r="Q733" s="499"/>
      <c r="R733" s="502" t="str">
        <f t="shared" si="99"/>
        <v>2000birthsethMaori</v>
      </c>
      <c r="S733" s="604">
        <v>2000</v>
      </c>
      <c r="T733" s="604" t="s">
        <v>445</v>
      </c>
      <c r="U733" s="604" t="s">
        <v>449</v>
      </c>
      <c r="V733" s="604" t="s">
        <v>129</v>
      </c>
      <c r="W733" s="604">
        <v>15867</v>
      </c>
      <c r="Y733" s="535" t="str">
        <f t="shared" si="100"/>
        <v>2016OveralldepTotalTotalfetal</v>
      </c>
      <c r="Z733" s="604">
        <v>2016</v>
      </c>
      <c r="AA733" s="604" t="s">
        <v>104</v>
      </c>
      <c r="AB733" s="604" t="s">
        <v>454</v>
      </c>
      <c r="AC733" s="604" t="s">
        <v>44</v>
      </c>
      <c r="AD733" s="604" t="s">
        <v>44</v>
      </c>
      <c r="AE733" s="604">
        <v>413</v>
      </c>
      <c r="AF733" s="604">
        <v>60436</v>
      </c>
      <c r="AG733" s="604">
        <v>6.8</v>
      </c>
      <c r="AH733" s="604" t="s">
        <v>420</v>
      </c>
      <c r="AJ733" s="535" t="str">
        <f t="shared" si="101"/>
        <v>2016OveralldepTotalTotal</v>
      </c>
      <c r="AK733" s="604">
        <v>2016</v>
      </c>
      <c r="AL733" s="604" t="s">
        <v>104</v>
      </c>
      <c r="AM733" s="604" t="s">
        <v>454</v>
      </c>
      <c r="AN733" s="604" t="s">
        <v>44</v>
      </c>
      <c r="AO733" s="604" t="s">
        <v>44</v>
      </c>
      <c r="AP733" s="604">
        <v>60436</v>
      </c>
      <c r="AR733" s="538" t="str">
        <f t="shared" si="102"/>
        <v>40+ageinfantBay of Plenty</v>
      </c>
      <c r="AS733" s="604">
        <v>2016</v>
      </c>
      <c r="AT733" s="604" t="s">
        <v>134</v>
      </c>
      <c r="AU733" s="604" t="s">
        <v>453</v>
      </c>
      <c r="AV733" s="604" t="s">
        <v>91</v>
      </c>
      <c r="AW733" s="604">
        <v>3</v>
      </c>
      <c r="AX733" s="604">
        <v>113</v>
      </c>
      <c r="AY733" s="606">
        <v>26.5</v>
      </c>
      <c r="AZ733" s="604" t="s">
        <v>437</v>
      </c>
      <c r="BY733" s="553" t="str">
        <f t="shared" si="103"/>
        <v>2015TairawhitidhbSIDS</v>
      </c>
      <c r="BZ733" s="604">
        <v>2015</v>
      </c>
      <c r="CA733" s="604" t="s">
        <v>433</v>
      </c>
      <c r="CB733" s="604" t="s">
        <v>448</v>
      </c>
      <c r="CC733" s="604">
        <v>0</v>
      </c>
      <c r="CD733" s="604" t="s">
        <v>32</v>
      </c>
      <c r="CF733" s="559" t="str">
        <f t="shared" si="104"/>
        <v>5yearsMaoriUnknownbwtSUDI</v>
      </c>
      <c r="CG733" s="604" t="s">
        <v>475</v>
      </c>
      <c r="CH733" s="604" t="s">
        <v>129</v>
      </c>
      <c r="CI733" s="604" t="s">
        <v>63</v>
      </c>
      <c r="CJ733" s="604" t="s">
        <v>447</v>
      </c>
      <c r="CK733" s="604">
        <v>5</v>
      </c>
      <c r="CL733" s="604" t="s">
        <v>33</v>
      </c>
    </row>
    <row r="734" spans="9:90">
      <c r="I734" s="578" t="str">
        <f t="shared" si="98"/>
        <v>1996dhbCanterburyFetal</v>
      </c>
      <c r="J734" s="604">
        <v>1996</v>
      </c>
      <c r="K734" s="604" t="s">
        <v>448</v>
      </c>
      <c r="L734" s="604" t="s">
        <v>101</v>
      </c>
      <c r="M734" s="604">
        <v>53</v>
      </c>
      <c r="N734" s="604">
        <v>5591</v>
      </c>
      <c r="O734" s="604">
        <v>9.5</v>
      </c>
      <c r="P734" s="604" t="s">
        <v>47</v>
      </c>
      <c r="Q734" s="499"/>
      <c r="R734" s="502" t="str">
        <f t="shared" si="99"/>
        <v>2000birthsethPacific peoples</v>
      </c>
      <c r="S734" s="604">
        <v>2000</v>
      </c>
      <c r="T734" s="604" t="s">
        <v>445</v>
      </c>
      <c r="U734" s="604" t="s">
        <v>449</v>
      </c>
      <c r="V734" s="604" t="s">
        <v>320</v>
      </c>
      <c r="W734" s="604">
        <v>6149</v>
      </c>
      <c r="Y734" s="535" t="str">
        <f t="shared" si="100"/>
        <v>2016OverallgestTotalTotalfetal</v>
      </c>
      <c r="Z734" s="604">
        <v>2016</v>
      </c>
      <c r="AA734" s="604" t="s">
        <v>104</v>
      </c>
      <c r="AB734" s="604" t="s">
        <v>450</v>
      </c>
      <c r="AC734" s="604" t="s">
        <v>44</v>
      </c>
      <c r="AD734" s="604" t="s">
        <v>44</v>
      </c>
      <c r="AE734" s="604">
        <v>413</v>
      </c>
      <c r="AF734" s="604">
        <v>60436</v>
      </c>
      <c r="AG734" s="604">
        <v>6.8</v>
      </c>
      <c r="AH734" s="604" t="s">
        <v>420</v>
      </c>
      <c r="AJ734" s="535" t="str">
        <f t="shared" si="101"/>
        <v>2016OverallgestTotalTotal</v>
      </c>
      <c r="AK734" s="604">
        <v>2016</v>
      </c>
      <c r="AL734" s="604" t="s">
        <v>104</v>
      </c>
      <c r="AM734" s="604" t="s">
        <v>450</v>
      </c>
      <c r="AN734" s="604" t="s">
        <v>44</v>
      </c>
      <c r="AO734" s="604" t="s">
        <v>44</v>
      </c>
      <c r="AP734" s="604">
        <v>60436</v>
      </c>
      <c r="AR734" s="538" t="str">
        <f t="shared" si="102"/>
        <v>20-24ageinfantTairawhiti</v>
      </c>
      <c r="AS734" s="604">
        <v>2016</v>
      </c>
      <c r="AT734" s="604" t="s">
        <v>130</v>
      </c>
      <c r="AU734" s="604" t="s">
        <v>453</v>
      </c>
      <c r="AV734" s="604" t="s">
        <v>433</v>
      </c>
      <c r="AW734" s="604">
        <v>2</v>
      </c>
      <c r="AX734" s="604">
        <v>177</v>
      </c>
      <c r="AY734" s="606">
        <v>11.3</v>
      </c>
      <c r="AZ734" s="604" t="s">
        <v>437</v>
      </c>
      <c r="BY734" s="553" t="str">
        <f t="shared" si="103"/>
        <v>2015Hawke's BaydhbSIDS</v>
      </c>
      <c r="BZ734" s="604">
        <v>2015</v>
      </c>
      <c r="CA734" s="604" t="s">
        <v>92</v>
      </c>
      <c r="CB734" s="604" t="s">
        <v>448</v>
      </c>
      <c r="CC734" s="604">
        <v>0</v>
      </c>
      <c r="CD734" s="604" t="s">
        <v>32</v>
      </c>
      <c r="CF734" s="559" t="str">
        <f t="shared" si="104"/>
        <v>5yearsPacific peoplesUnknownbwtSUDI</v>
      </c>
      <c r="CG734" s="604" t="s">
        <v>475</v>
      </c>
      <c r="CH734" s="604" t="s">
        <v>320</v>
      </c>
      <c r="CI734" s="604" t="s">
        <v>63</v>
      </c>
      <c r="CJ734" s="604" t="s">
        <v>447</v>
      </c>
      <c r="CK734" s="604">
        <v>2</v>
      </c>
      <c r="CL734" s="604" t="s">
        <v>33</v>
      </c>
    </row>
    <row r="735" spans="9:90">
      <c r="I735" s="578" t="str">
        <f t="shared" si="98"/>
        <v>1996dhbSouth CanterburyFetal</v>
      </c>
      <c r="J735" s="604">
        <v>1996</v>
      </c>
      <c r="K735" s="604" t="s">
        <v>448</v>
      </c>
      <c r="L735" s="604" t="s">
        <v>102</v>
      </c>
      <c r="M735" s="604">
        <v>7</v>
      </c>
      <c r="N735" s="604">
        <v>705</v>
      </c>
      <c r="O735" s="604">
        <v>9.9</v>
      </c>
      <c r="P735" s="604" t="s">
        <v>47</v>
      </c>
      <c r="Q735" s="499"/>
      <c r="R735" s="502" t="str">
        <f t="shared" si="99"/>
        <v>2000birthsethAsian</v>
      </c>
      <c r="S735" s="604">
        <v>2000</v>
      </c>
      <c r="T735" s="604" t="s">
        <v>445</v>
      </c>
      <c r="U735" s="604" t="s">
        <v>449</v>
      </c>
      <c r="V735" s="604" t="s">
        <v>355</v>
      </c>
      <c r="W735" s="604">
        <v>4222</v>
      </c>
      <c r="Y735" s="535" t="str">
        <f t="shared" si="100"/>
        <v>2016OverallbwtTotalTotalfetal</v>
      </c>
      <c r="Z735" s="604">
        <v>2016</v>
      </c>
      <c r="AA735" s="604" t="s">
        <v>104</v>
      </c>
      <c r="AB735" s="604" t="s">
        <v>447</v>
      </c>
      <c r="AC735" s="604" t="s">
        <v>44</v>
      </c>
      <c r="AD735" s="604" t="s">
        <v>44</v>
      </c>
      <c r="AE735" s="604">
        <v>413</v>
      </c>
      <c r="AF735" s="604">
        <v>60436</v>
      </c>
      <c r="AG735" s="604">
        <v>6.8</v>
      </c>
      <c r="AH735" s="604" t="s">
        <v>420</v>
      </c>
      <c r="AJ735" s="535" t="str">
        <f t="shared" si="101"/>
        <v>2016OverallbwtTotalTotal</v>
      </c>
      <c r="AK735" s="604">
        <v>2016</v>
      </c>
      <c r="AL735" s="604" t="s">
        <v>104</v>
      </c>
      <c r="AM735" s="604" t="s">
        <v>447</v>
      </c>
      <c r="AN735" s="604" t="s">
        <v>44</v>
      </c>
      <c r="AO735" s="604" t="s">
        <v>44</v>
      </c>
      <c r="AP735" s="604">
        <v>60436</v>
      </c>
      <c r="AR735" s="538" t="str">
        <f t="shared" si="102"/>
        <v>25-29ageinfantTairawhiti</v>
      </c>
      <c r="AS735" s="604">
        <v>2016</v>
      </c>
      <c r="AT735" s="604" t="s">
        <v>131</v>
      </c>
      <c r="AU735" s="604" t="s">
        <v>453</v>
      </c>
      <c r="AV735" s="604" t="s">
        <v>433</v>
      </c>
      <c r="AW735" s="604">
        <v>1</v>
      </c>
      <c r="AX735" s="604">
        <v>232</v>
      </c>
      <c r="AY735" s="606">
        <v>4.3</v>
      </c>
      <c r="AZ735" s="604" t="s">
        <v>437</v>
      </c>
      <c r="BY735" s="553" t="str">
        <f t="shared" si="103"/>
        <v>2015TaranakidhbSIDS</v>
      </c>
      <c r="BZ735" s="604">
        <v>2015</v>
      </c>
      <c r="CA735" s="604" t="s">
        <v>93</v>
      </c>
      <c r="CB735" s="604" t="s">
        <v>448</v>
      </c>
      <c r="CC735" s="604">
        <v>0</v>
      </c>
      <c r="CD735" s="604" t="s">
        <v>32</v>
      </c>
      <c r="CF735" s="559" t="str">
        <f t="shared" si="104"/>
        <v>5yearsAsian&lt;28gestSUDI</v>
      </c>
      <c r="CG735" s="604" t="s">
        <v>475</v>
      </c>
      <c r="CH735" s="604" t="s">
        <v>355</v>
      </c>
      <c r="CI735" s="604" t="s">
        <v>375</v>
      </c>
      <c r="CJ735" s="604" t="s">
        <v>450</v>
      </c>
      <c r="CK735" s="604">
        <v>0</v>
      </c>
      <c r="CL735" s="604" t="s">
        <v>33</v>
      </c>
    </row>
    <row r="736" spans="9:90">
      <c r="I736" s="578" t="str">
        <f t="shared" si="98"/>
        <v>1996dhbSouthernFetal</v>
      </c>
      <c r="J736" s="604">
        <v>1996</v>
      </c>
      <c r="K736" s="604" t="s">
        <v>448</v>
      </c>
      <c r="L736" s="604" t="s">
        <v>103</v>
      </c>
      <c r="M736" s="604">
        <v>28</v>
      </c>
      <c r="N736" s="604">
        <v>3745</v>
      </c>
      <c r="O736" s="604">
        <v>7.5</v>
      </c>
      <c r="P736" s="604" t="s">
        <v>47</v>
      </c>
      <c r="Q736" s="499"/>
      <c r="R736" s="502" t="str">
        <f t="shared" si="99"/>
        <v>2000birthsethEuropean or Other</v>
      </c>
      <c r="S736" s="604">
        <v>2000</v>
      </c>
      <c r="T736" s="604" t="s">
        <v>445</v>
      </c>
      <c r="U736" s="604" t="s">
        <v>449</v>
      </c>
      <c r="V736" s="604" t="s">
        <v>356</v>
      </c>
      <c r="W736" s="604">
        <v>30756</v>
      </c>
      <c r="Y736" s="535" t="str">
        <f t="shared" si="100"/>
        <v>2016sexageMaleTotalfetal</v>
      </c>
      <c r="Z736" s="604">
        <v>2016</v>
      </c>
      <c r="AA736" s="604" t="s">
        <v>451</v>
      </c>
      <c r="AB736" s="604" t="s">
        <v>453</v>
      </c>
      <c r="AC736" s="604" t="s">
        <v>70</v>
      </c>
      <c r="AD736" s="604" t="s">
        <v>44</v>
      </c>
      <c r="AE736" s="604">
        <v>216</v>
      </c>
      <c r="AF736" s="604">
        <v>31009</v>
      </c>
      <c r="AG736" s="604">
        <v>6.9</v>
      </c>
      <c r="AH736" s="604" t="s">
        <v>420</v>
      </c>
      <c r="AJ736" s="535" t="str">
        <f t="shared" si="101"/>
        <v>2016sexageMaleTotal</v>
      </c>
      <c r="AK736" s="604">
        <v>2016</v>
      </c>
      <c r="AL736" s="604" t="s">
        <v>451</v>
      </c>
      <c r="AM736" s="604" t="s">
        <v>453</v>
      </c>
      <c r="AN736" s="604" t="s">
        <v>70</v>
      </c>
      <c r="AO736" s="604" t="s">
        <v>44</v>
      </c>
      <c r="AP736" s="604">
        <v>31009</v>
      </c>
      <c r="AR736" s="538" t="str">
        <f t="shared" si="102"/>
        <v>&lt;20ageinfantHawke's Bay</v>
      </c>
      <c r="AS736" s="604">
        <v>2016</v>
      </c>
      <c r="AT736" s="604" t="s">
        <v>339</v>
      </c>
      <c r="AU736" s="604" t="s">
        <v>453</v>
      </c>
      <c r="AV736" s="604" t="s">
        <v>92</v>
      </c>
      <c r="AW736" s="604">
        <v>2</v>
      </c>
      <c r="AX736" s="604">
        <v>148</v>
      </c>
      <c r="AY736" s="606">
        <v>13.5</v>
      </c>
      <c r="AZ736" s="604" t="s">
        <v>437</v>
      </c>
      <c r="BY736" s="553" t="str">
        <f t="shared" si="103"/>
        <v>2015MidCentraldhbSIDS</v>
      </c>
      <c r="BZ736" s="604">
        <v>2015</v>
      </c>
      <c r="CA736" s="604" t="s">
        <v>94</v>
      </c>
      <c r="CB736" s="604" t="s">
        <v>448</v>
      </c>
      <c r="CC736" s="604">
        <v>2</v>
      </c>
      <c r="CD736" s="604" t="s">
        <v>32</v>
      </c>
      <c r="CF736" s="559" t="str">
        <f t="shared" si="104"/>
        <v>5yearsEuropean or Other&lt;28gestSUDI</v>
      </c>
      <c r="CG736" s="604" t="s">
        <v>475</v>
      </c>
      <c r="CH736" s="604" t="s">
        <v>356</v>
      </c>
      <c r="CI736" s="604" t="s">
        <v>375</v>
      </c>
      <c r="CJ736" s="604" t="s">
        <v>450</v>
      </c>
      <c r="CK736" s="604">
        <v>0</v>
      </c>
      <c r="CL736" s="604" t="s">
        <v>33</v>
      </c>
    </row>
    <row r="737" spans="9:90">
      <c r="I737" s="578" t="str">
        <f t="shared" si="98"/>
        <v>1996dhbUnknownFetal</v>
      </c>
      <c r="J737" s="604">
        <v>1996</v>
      </c>
      <c r="K737" s="604" t="s">
        <v>448</v>
      </c>
      <c r="L737" s="604" t="s">
        <v>63</v>
      </c>
      <c r="M737" s="604">
        <v>1</v>
      </c>
      <c r="N737" s="604">
        <v>159</v>
      </c>
      <c r="O737" s="604" t="s">
        <v>119</v>
      </c>
      <c r="P737" s="604" t="s">
        <v>47</v>
      </c>
      <c r="Q737" s="499"/>
      <c r="R737" s="502" t="str">
        <f t="shared" si="99"/>
        <v>2001birthsethMaori</v>
      </c>
      <c r="S737" s="604">
        <v>2001</v>
      </c>
      <c r="T737" s="604" t="s">
        <v>445</v>
      </c>
      <c r="U737" s="604" t="s">
        <v>449</v>
      </c>
      <c r="V737" s="604" t="s">
        <v>129</v>
      </c>
      <c r="W737" s="604">
        <v>15869</v>
      </c>
      <c r="Y737" s="535" t="str">
        <f t="shared" si="100"/>
        <v>2016sexageFemaleTotalfetal</v>
      </c>
      <c r="Z737" s="604">
        <v>2016</v>
      </c>
      <c r="AA737" s="604" t="s">
        <v>451</v>
      </c>
      <c r="AB737" s="604" t="s">
        <v>453</v>
      </c>
      <c r="AC737" s="604" t="s">
        <v>71</v>
      </c>
      <c r="AD737" s="604" t="s">
        <v>44</v>
      </c>
      <c r="AE737" s="604">
        <v>189</v>
      </c>
      <c r="AF737" s="604">
        <v>29427</v>
      </c>
      <c r="AG737" s="604">
        <v>6.4</v>
      </c>
      <c r="AH737" s="604" t="s">
        <v>420</v>
      </c>
      <c r="AJ737" s="535" t="str">
        <f t="shared" si="101"/>
        <v>2016sexageFemaleTotal</v>
      </c>
      <c r="AK737" s="604">
        <v>2016</v>
      </c>
      <c r="AL737" s="604" t="s">
        <v>451</v>
      </c>
      <c r="AM737" s="604" t="s">
        <v>453</v>
      </c>
      <c r="AN737" s="604" t="s">
        <v>71</v>
      </c>
      <c r="AO737" s="604" t="s">
        <v>44</v>
      </c>
      <c r="AP737" s="604">
        <v>29427</v>
      </c>
      <c r="AR737" s="538" t="str">
        <f t="shared" si="102"/>
        <v>20-24ageinfantHawke's Bay</v>
      </c>
      <c r="AS737" s="604">
        <v>2016</v>
      </c>
      <c r="AT737" s="604" t="s">
        <v>130</v>
      </c>
      <c r="AU737" s="604" t="s">
        <v>453</v>
      </c>
      <c r="AV737" s="604" t="s">
        <v>92</v>
      </c>
      <c r="AW737" s="604">
        <v>1</v>
      </c>
      <c r="AX737" s="604">
        <v>472</v>
      </c>
      <c r="AY737" s="606">
        <v>2.1</v>
      </c>
      <c r="AZ737" s="604" t="s">
        <v>437</v>
      </c>
      <c r="BY737" s="553" t="str">
        <f t="shared" si="103"/>
        <v>2015WhanganuidhbSIDS</v>
      </c>
      <c r="BZ737" s="604">
        <v>2015</v>
      </c>
      <c r="CA737" s="604" t="s">
        <v>95</v>
      </c>
      <c r="CB737" s="604" t="s">
        <v>448</v>
      </c>
      <c r="CC737" s="604">
        <v>1</v>
      </c>
      <c r="CD737" s="604" t="s">
        <v>32</v>
      </c>
      <c r="CF737" s="559" t="str">
        <f t="shared" si="104"/>
        <v>5yearsMaori&lt;28gestSUDI</v>
      </c>
      <c r="CG737" s="604" t="s">
        <v>475</v>
      </c>
      <c r="CH737" s="604" t="s">
        <v>129</v>
      </c>
      <c r="CI737" s="604" t="s">
        <v>375</v>
      </c>
      <c r="CJ737" s="604" t="s">
        <v>450</v>
      </c>
      <c r="CK737" s="604">
        <v>0</v>
      </c>
      <c r="CL737" s="604" t="s">
        <v>33</v>
      </c>
    </row>
    <row r="738" spans="9:90">
      <c r="I738" s="578" t="str">
        <f t="shared" si="98"/>
        <v>1997dhbNorthlandFetal</v>
      </c>
      <c r="J738" s="604">
        <v>1997</v>
      </c>
      <c r="K738" s="604" t="s">
        <v>448</v>
      </c>
      <c r="L738" s="604" t="s">
        <v>85</v>
      </c>
      <c r="M738" s="604">
        <v>13</v>
      </c>
      <c r="N738" s="604">
        <v>2226</v>
      </c>
      <c r="O738" s="604">
        <v>5.8</v>
      </c>
      <c r="P738" s="604" t="s">
        <v>47</v>
      </c>
      <c r="Q738" s="499"/>
      <c r="R738" s="502" t="str">
        <f t="shared" si="99"/>
        <v>2001birthsethPacific peoples</v>
      </c>
      <c r="S738" s="604">
        <v>2001</v>
      </c>
      <c r="T738" s="604" t="s">
        <v>445</v>
      </c>
      <c r="U738" s="604" t="s">
        <v>449</v>
      </c>
      <c r="V738" s="604" t="s">
        <v>320</v>
      </c>
      <c r="W738" s="604">
        <v>6140</v>
      </c>
      <c r="Y738" s="535" t="str">
        <f t="shared" si="100"/>
        <v>2016ethageMaoriTotalfetal</v>
      </c>
      <c r="Z738" s="604">
        <v>2016</v>
      </c>
      <c r="AA738" s="604" t="s">
        <v>449</v>
      </c>
      <c r="AB738" s="604" t="s">
        <v>453</v>
      </c>
      <c r="AC738" s="604" t="s">
        <v>129</v>
      </c>
      <c r="AD738" s="604" t="s">
        <v>44</v>
      </c>
      <c r="AE738" s="604">
        <v>122</v>
      </c>
      <c r="AF738" s="604">
        <v>17329</v>
      </c>
      <c r="AG738" s="604">
        <v>7</v>
      </c>
      <c r="AH738" s="604" t="s">
        <v>420</v>
      </c>
      <c r="AJ738" s="535" t="str">
        <f t="shared" si="101"/>
        <v>2016ethageMaoriTotal</v>
      </c>
      <c r="AK738" s="604">
        <v>2016</v>
      </c>
      <c r="AL738" s="604" t="s">
        <v>449</v>
      </c>
      <c r="AM738" s="604" t="s">
        <v>453</v>
      </c>
      <c r="AN738" s="604" t="s">
        <v>129</v>
      </c>
      <c r="AO738" s="604" t="s">
        <v>44</v>
      </c>
      <c r="AP738" s="604">
        <v>17329</v>
      </c>
      <c r="AR738" s="538" t="str">
        <f t="shared" si="102"/>
        <v>25-29ageinfantHawke's Bay</v>
      </c>
      <c r="AS738" s="604">
        <v>2016</v>
      </c>
      <c r="AT738" s="604" t="s">
        <v>131</v>
      </c>
      <c r="AU738" s="604" t="s">
        <v>453</v>
      </c>
      <c r="AV738" s="604" t="s">
        <v>92</v>
      </c>
      <c r="AW738" s="604">
        <v>2</v>
      </c>
      <c r="AX738" s="604">
        <v>593</v>
      </c>
      <c r="AY738" s="606">
        <v>3.4</v>
      </c>
      <c r="AZ738" s="604" t="s">
        <v>437</v>
      </c>
      <c r="BY738" s="553" t="str">
        <f t="shared" si="103"/>
        <v>2015Capital &amp; CoastdhbSIDS</v>
      </c>
      <c r="BZ738" s="604">
        <v>2015</v>
      </c>
      <c r="CA738" s="604" t="s">
        <v>96</v>
      </c>
      <c r="CB738" s="604" t="s">
        <v>448</v>
      </c>
      <c r="CC738" s="604">
        <v>2</v>
      </c>
      <c r="CD738" s="604" t="s">
        <v>32</v>
      </c>
      <c r="CF738" s="559" t="str">
        <f t="shared" si="104"/>
        <v>5yearsPacific peoples&lt;28gestSUDI</v>
      </c>
      <c r="CG738" s="604" t="s">
        <v>475</v>
      </c>
      <c r="CH738" s="604" t="s">
        <v>320</v>
      </c>
      <c r="CI738" s="604" t="s">
        <v>375</v>
      </c>
      <c r="CJ738" s="604" t="s">
        <v>450</v>
      </c>
      <c r="CK738" s="604">
        <v>0</v>
      </c>
      <c r="CL738" s="604" t="s">
        <v>33</v>
      </c>
    </row>
    <row r="739" spans="9:90">
      <c r="I739" s="578" t="str">
        <f t="shared" si="98"/>
        <v>1997dhbWaitemataFetal</v>
      </c>
      <c r="J739" s="604">
        <v>1997</v>
      </c>
      <c r="K739" s="604" t="s">
        <v>448</v>
      </c>
      <c r="L739" s="604" t="s">
        <v>86</v>
      </c>
      <c r="M739" s="604">
        <v>36</v>
      </c>
      <c r="N739" s="604">
        <v>6397</v>
      </c>
      <c r="O739" s="604">
        <v>5.6</v>
      </c>
      <c r="P739" s="604" t="s">
        <v>47</v>
      </c>
      <c r="Q739" s="499"/>
      <c r="R739" s="502" t="str">
        <f t="shared" si="99"/>
        <v>2001birthsethAsian</v>
      </c>
      <c r="S739" s="604">
        <v>2001</v>
      </c>
      <c r="T739" s="604" t="s">
        <v>445</v>
      </c>
      <c r="U739" s="604" t="s">
        <v>449</v>
      </c>
      <c r="V739" s="604" t="s">
        <v>355</v>
      </c>
      <c r="W739" s="604">
        <v>4041</v>
      </c>
      <c r="Y739" s="535" t="str">
        <f t="shared" si="100"/>
        <v>2016ethagePacific peoplesTotalfetal</v>
      </c>
      <c r="Z739" s="604">
        <v>2016</v>
      </c>
      <c r="AA739" s="604" t="s">
        <v>449</v>
      </c>
      <c r="AB739" s="604" t="s">
        <v>453</v>
      </c>
      <c r="AC739" s="604" t="s">
        <v>320</v>
      </c>
      <c r="AD739" s="604" t="s">
        <v>44</v>
      </c>
      <c r="AE739" s="604">
        <v>45</v>
      </c>
      <c r="AF739" s="604">
        <v>5976</v>
      </c>
      <c r="AG739" s="604">
        <v>7.5</v>
      </c>
      <c r="AH739" s="604" t="s">
        <v>420</v>
      </c>
      <c r="AJ739" s="535" t="str">
        <f t="shared" si="101"/>
        <v>2016ethagePacific peoplesTotal</v>
      </c>
      <c r="AK739" s="604">
        <v>2016</v>
      </c>
      <c r="AL739" s="604" t="s">
        <v>449</v>
      </c>
      <c r="AM739" s="604" t="s">
        <v>453</v>
      </c>
      <c r="AN739" s="604" t="s">
        <v>320</v>
      </c>
      <c r="AO739" s="604" t="s">
        <v>44</v>
      </c>
      <c r="AP739" s="604">
        <v>5976</v>
      </c>
      <c r="AR739" s="538" t="str">
        <f t="shared" si="102"/>
        <v>30-34ageinfantHawke's Bay</v>
      </c>
      <c r="AS739" s="604">
        <v>2016</v>
      </c>
      <c r="AT739" s="604" t="s">
        <v>132</v>
      </c>
      <c r="AU739" s="604" t="s">
        <v>453</v>
      </c>
      <c r="AV739" s="604" t="s">
        <v>92</v>
      </c>
      <c r="AW739" s="604">
        <v>1</v>
      </c>
      <c r="AX739" s="604">
        <v>559</v>
      </c>
      <c r="AY739" s="606">
        <v>1.8</v>
      </c>
      <c r="AZ739" s="604" t="s">
        <v>437</v>
      </c>
      <c r="BY739" s="553" t="str">
        <f t="shared" si="103"/>
        <v>2015Hutt ValleydhbSIDS</v>
      </c>
      <c r="BZ739" s="604">
        <v>2015</v>
      </c>
      <c r="CA739" s="604" t="s">
        <v>97</v>
      </c>
      <c r="CB739" s="604" t="s">
        <v>448</v>
      </c>
      <c r="CC739" s="604">
        <v>1</v>
      </c>
      <c r="CD739" s="604" t="s">
        <v>32</v>
      </c>
      <c r="CF739" s="559" t="str">
        <f t="shared" si="104"/>
        <v>5yearsAsian28-31gestSUDI</v>
      </c>
      <c r="CG739" s="604" t="s">
        <v>475</v>
      </c>
      <c r="CH739" s="604" t="s">
        <v>355</v>
      </c>
      <c r="CI739" s="604" t="s">
        <v>395</v>
      </c>
      <c r="CJ739" s="604" t="s">
        <v>450</v>
      </c>
      <c r="CK739" s="604">
        <v>0</v>
      </c>
      <c r="CL739" s="604" t="s">
        <v>33</v>
      </c>
    </row>
    <row r="740" spans="9:90">
      <c r="I740" s="578" t="str">
        <f t="shared" si="98"/>
        <v>1997dhbAucklandFetal</v>
      </c>
      <c r="J740" s="604">
        <v>1997</v>
      </c>
      <c r="K740" s="604" t="s">
        <v>448</v>
      </c>
      <c r="L740" s="604" t="s">
        <v>87</v>
      </c>
      <c r="M740" s="604">
        <v>40</v>
      </c>
      <c r="N740" s="604">
        <v>5966</v>
      </c>
      <c r="O740" s="604">
        <v>6.7</v>
      </c>
      <c r="P740" s="604" t="s">
        <v>47</v>
      </c>
      <c r="Q740" s="499"/>
      <c r="R740" s="502" t="str">
        <f t="shared" si="99"/>
        <v>2001birthsethEuropean or Other</v>
      </c>
      <c r="S740" s="604">
        <v>2001</v>
      </c>
      <c r="T740" s="604" t="s">
        <v>445</v>
      </c>
      <c r="U740" s="604" t="s">
        <v>449</v>
      </c>
      <c r="V740" s="604" t="s">
        <v>356</v>
      </c>
      <c r="W740" s="604">
        <v>30174</v>
      </c>
      <c r="Y740" s="535" t="str">
        <f t="shared" si="100"/>
        <v>2016ethageAsianTotalfetal</v>
      </c>
      <c r="Z740" s="604">
        <v>2016</v>
      </c>
      <c r="AA740" s="604" t="s">
        <v>449</v>
      </c>
      <c r="AB740" s="604" t="s">
        <v>453</v>
      </c>
      <c r="AC740" s="604" t="s">
        <v>355</v>
      </c>
      <c r="AD740" s="604" t="s">
        <v>44</v>
      </c>
      <c r="AE740" s="604">
        <v>73</v>
      </c>
      <c r="AF740" s="604">
        <v>10902</v>
      </c>
      <c r="AG740" s="604">
        <v>6.7</v>
      </c>
      <c r="AH740" s="604" t="s">
        <v>420</v>
      </c>
      <c r="AJ740" s="535" t="str">
        <f t="shared" si="101"/>
        <v>2016ethageAsianTotal</v>
      </c>
      <c r="AK740" s="604">
        <v>2016</v>
      </c>
      <c r="AL740" s="604" t="s">
        <v>449</v>
      </c>
      <c r="AM740" s="604" t="s">
        <v>453</v>
      </c>
      <c r="AN740" s="604" t="s">
        <v>355</v>
      </c>
      <c r="AO740" s="604" t="s">
        <v>44</v>
      </c>
      <c r="AP740" s="604">
        <v>10902</v>
      </c>
      <c r="AR740" s="538" t="str">
        <f t="shared" si="102"/>
        <v>20-24ageinfantTaranaki</v>
      </c>
      <c r="AS740" s="604">
        <v>2016</v>
      </c>
      <c r="AT740" s="604" t="s">
        <v>130</v>
      </c>
      <c r="AU740" s="604" t="s">
        <v>453</v>
      </c>
      <c r="AV740" s="604" t="s">
        <v>93</v>
      </c>
      <c r="AW740" s="604">
        <v>3</v>
      </c>
      <c r="AX740" s="604">
        <v>301</v>
      </c>
      <c r="AY740" s="606">
        <v>10</v>
      </c>
      <c r="AZ740" s="604" t="s">
        <v>437</v>
      </c>
      <c r="BY740" s="553" t="str">
        <f t="shared" si="103"/>
        <v>2015WairarapadhbSIDS</v>
      </c>
      <c r="BZ740" s="604">
        <v>2015</v>
      </c>
      <c r="CA740" s="604" t="s">
        <v>98</v>
      </c>
      <c r="CB740" s="604" t="s">
        <v>448</v>
      </c>
      <c r="CC740" s="604">
        <v>0</v>
      </c>
      <c r="CD740" s="604" t="s">
        <v>32</v>
      </c>
      <c r="CF740" s="559" t="str">
        <f t="shared" si="104"/>
        <v>5yearsEuropean or Other28-31gestSUDI</v>
      </c>
      <c r="CG740" s="604" t="s">
        <v>475</v>
      </c>
      <c r="CH740" s="604" t="s">
        <v>356</v>
      </c>
      <c r="CI740" s="604" t="s">
        <v>395</v>
      </c>
      <c r="CJ740" s="604" t="s">
        <v>450</v>
      </c>
      <c r="CK740" s="604">
        <v>2</v>
      </c>
      <c r="CL740" s="604" t="s">
        <v>33</v>
      </c>
    </row>
    <row r="741" spans="9:90">
      <c r="I741" s="578" t="str">
        <f t="shared" si="98"/>
        <v>1997dhbCounties ManukauFetal</v>
      </c>
      <c r="J741" s="604">
        <v>1997</v>
      </c>
      <c r="K741" s="604" t="s">
        <v>448</v>
      </c>
      <c r="L741" s="604" t="s">
        <v>88</v>
      </c>
      <c r="M741" s="604">
        <v>43</v>
      </c>
      <c r="N741" s="604">
        <v>7019</v>
      </c>
      <c r="O741" s="604">
        <v>6.1</v>
      </c>
      <c r="P741" s="604" t="s">
        <v>47</v>
      </c>
      <c r="Q741" s="499"/>
      <c r="R741" s="502" t="str">
        <f t="shared" si="99"/>
        <v>2002birthsethMaori</v>
      </c>
      <c r="S741" s="604">
        <v>2002</v>
      </c>
      <c r="T741" s="604" t="s">
        <v>445</v>
      </c>
      <c r="U741" s="604" t="s">
        <v>449</v>
      </c>
      <c r="V741" s="604" t="s">
        <v>129</v>
      </c>
      <c r="W741" s="604">
        <v>14905</v>
      </c>
      <c r="Y741" s="535" t="str">
        <f t="shared" si="100"/>
        <v>2016ethageEuropean or OtherTotalfetal</v>
      </c>
      <c r="Z741" s="604">
        <v>2016</v>
      </c>
      <c r="AA741" s="604" t="s">
        <v>449</v>
      </c>
      <c r="AB741" s="604" t="s">
        <v>453</v>
      </c>
      <c r="AC741" s="604" t="s">
        <v>356</v>
      </c>
      <c r="AD741" s="604" t="s">
        <v>44</v>
      </c>
      <c r="AE741" s="604">
        <v>173</v>
      </c>
      <c r="AF741" s="604">
        <v>26229</v>
      </c>
      <c r="AG741" s="604">
        <v>6.6</v>
      </c>
      <c r="AH741" s="604" t="s">
        <v>420</v>
      </c>
      <c r="AJ741" s="535" t="str">
        <f t="shared" si="101"/>
        <v>2016ethageEuropean or OtherTotal</v>
      </c>
      <c r="AK741" s="604">
        <v>2016</v>
      </c>
      <c r="AL741" s="604" t="s">
        <v>449</v>
      </c>
      <c r="AM741" s="604" t="s">
        <v>453</v>
      </c>
      <c r="AN741" s="604" t="s">
        <v>356</v>
      </c>
      <c r="AO741" s="604" t="s">
        <v>44</v>
      </c>
      <c r="AP741" s="604">
        <v>26229</v>
      </c>
      <c r="AR741" s="538" t="str">
        <f t="shared" si="102"/>
        <v>25-29ageinfantTaranaki</v>
      </c>
      <c r="AS741" s="604">
        <v>2016</v>
      </c>
      <c r="AT741" s="604" t="s">
        <v>131</v>
      </c>
      <c r="AU741" s="604" t="s">
        <v>453</v>
      </c>
      <c r="AV741" s="604" t="s">
        <v>93</v>
      </c>
      <c r="AW741" s="604">
        <v>2</v>
      </c>
      <c r="AX741" s="604">
        <v>451</v>
      </c>
      <c r="AY741" s="606">
        <v>4.4000000000000004</v>
      </c>
      <c r="AZ741" s="604" t="s">
        <v>437</v>
      </c>
      <c r="BY741" s="553" t="str">
        <f t="shared" si="103"/>
        <v>2015Nelson MarlboroughdhbSIDS</v>
      </c>
      <c r="BZ741" s="604">
        <v>2015</v>
      </c>
      <c r="CA741" s="604" t="s">
        <v>99</v>
      </c>
      <c r="CB741" s="604" t="s">
        <v>448</v>
      </c>
      <c r="CC741" s="604">
        <v>0</v>
      </c>
      <c r="CD741" s="604" t="s">
        <v>32</v>
      </c>
      <c r="CF741" s="559" t="str">
        <f t="shared" si="104"/>
        <v>5yearsMaori28-31gestSUDI</v>
      </c>
      <c r="CG741" s="604" t="s">
        <v>475</v>
      </c>
      <c r="CH741" s="604" t="s">
        <v>129</v>
      </c>
      <c r="CI741" s="604" t="s">
        <v>395</v>
      </c>
      <c r="CJ741" s="604" t="s">
        <v>450</v>
      </c>
      <c r="CK741" s="604">
        <v>0</v>
      </c>
      <c r="CL741" s="604" t="s">
        <v>33</v>
      </c>
    </row>
    <row r="742" spans="9:90">
      <c r="I742" s="578" t="str">
        <f t="shared" si="98"/>
        <v>1997dhbWaikatoFetal</v>
      </c>
      <c r="J742" s="604">
        <v>1997</v>
      </c>
      <c r="K742" s="604" t="s">
        <v>448</v>
      </c>
      <c r="L742" s="604" t="s">
        <v>89</v>
      </c>
      <c r="M742" s="604">
        <v>33</v>
      </c>
      <c r="N742" s="604">
        <v>5272</v>
      </c>
      <c r="O742" s="604">
        <v>6.3</v>
      </c>
      <c r="P742" s="604" t="s">
        <v>47</v>
      </c>
      <c r="Q742" s="499"/>
      <c r="R742" s="502" t="str">
        <f t="shared" si="99"/>
        <v>2002birthsethPacific peoples</v>
      </c>
      <c r="S742" s="604">
        <v>2002</v>
      </c>
      <c r="T742" s="604" t="s">
        <v>445</v>
      </c>
      <c r="U742" s="604" t="s">
        <v>449</v>
      </c>
      <c r="V742" s="604" t="s">
        <v>320</v>
      </c>
      <c r="W742" s="604">
        <v>5977</v>
      </c>
      <c r="Y742" s="535" t="str">
        <f t="shared" si="100"/>
        <v>2016depageQuin 1Totalfetal</v>
      </c>
      <c r="Z742" s="604">
        <v>2016</v>
      </c>
      <c r="AA742" s="604" t="s">
        <v>454</v>
      </c>
      <c r="AB742" s="604" t="s">
        <v>453</v>
      </c>
      <c r="AC742" s="604" t="s">
        <v>421</v>
      </c>
      <c r="AD742" s="604" t="s">
        <v>44</v>
      </c>
      <c r="AE742" s="604">
        <v>43</v>
      </c>
      <c r="AF742" s="604">
        <v>9194</v>
      </c>
      <c r="AG742" s="604">
        <v>4.7</v>
      </c>
      <c r="AH742" s="604" t="s">
        <v>420</v>
      </c>
      <c r="AJ742" s="535" t="str">
        <f t="shared" si="101"/>
        <v>2016depageQuin 1Total</v>
      </c>
      <c r="AK742" s="604">
        <v>2016</v>
      </c>
      <c r="AL742" s="604" t="s">
        <v>454</v>
      </c>
      <c r="AM742" s="604" t="s">
        <v>453</v>
      </c>
      <c r="AN742" s="604" t="s">
        <v>421</v>
      </c>
      <c r="AO742" s="604" t="s">
        <v>44</v>
      </c>
      <c r="AP742" s="604">
        <v>9194</v>
      </c>
      <c r="AR742" s="538" t="str">
        <f t="shared" si="102"/>
        <v>30-34ageinfantTaranaki</v>
      </c>
      <c r="AS742" s="604">
        <v>2016</v>
      </c>
      <c r="AT742" s="604" t="s">
        <v>132</v>
      </c>
      <c r="AU742" s="604" t="s">
        <v>453</v>
      </c>
      <c r="AV742" s="604" t="s">
        <v>93</v>
      </c>
      <c r="AW742" s="604">
        <v>1</v>
      </c>
      <c r="AX742" s="604">
        <v>428</v>
      </c>
      <c r="AY742" s="606">
        <v>2.2999999999999998</v>
      </c>
      <c r="AZ742" s="604" t="s">
        <v>437</v>
      </c>
      <c r="BY742" s="553" t="str">
        <f t="shared" si="103"/>
        <v>2015West CoastdhbSIDS</v>
      </c>
      <c r="BZ742" s="604">
        <v>2015</v>
      </c>
      <c r="CA742" s="604" t="s">
        <v>100</v>
      </c>
      <c r="CB742" s="604" t="s">
        <v>448</v>
      </c>
      <c r="CC742" s="604">
        <v>0</v>
      </c>
      <c r="CD742" s="604" t="s">
        <v>32</v>
      </c>
      <c r="CF742" s="559" t="str">
        <f t="shared" si="104"/>
        <v>5yearsPacific peoples28-31gestSUDI</v>
      </c>
      <c r="CG742" s="604" t="s">
        <v>475</v>
      </c>
      <c r="CH742" s="604" t="s">
        <v>320</v>
      </c>
      <c r="CI742" s="604" t="s">
        <v>395</v>
      </c>
      <c r="CJ742" s="604" t="s">
        <v>450</v>
      </c>
      <c r="CK742" s="604">
        <v>1</v>
      </c>
      <c r="CL742" s="604" t="s">
        <v>33</v>
      </c>
    </row>
    <row r="743" spans="9:90">
      <c r="I743" s="578" t="str">
        <f t="shared" si="98"/>
        <v>1997dhbLakesFetal</v>
      </c>
      <c r="J743" s="604">
        <v>1997</v>
      </c>
      <c r="K743" s="604" t="s">
        <v>448</v>
      </c>
      <c r="L743" s="604" t="s">
        <v>90</v>
      </c>
      <c r="M743" s="604">
        <v>25</v>
      </c>
      <c r="N743" s="604">
        <v>1903</v>
      </c>
      <c r="O743" s="604">
        <v>13.1</v>
      </c>
      <c r="P743" s="604" t="s">
        <v>47</v>
      </c>
      <c r="Q743" s="499"/>
      <c r="R743" s="502" t="str">
        <f t="shared" si="99"/>
        <v>2002birthsethAsian</v>
      </c>
      <c r="S743" s="604">
        <v>2002</v>
      </c>
      <c r="T743" s="604" t="s">
        <v>445</v>
      </c>
      <c r="U743" s="604" t="s">
        <v>449</v>
      </c>
      <c r="V743" s="604" t="s">
        <v>355</v>
      </c>
      <c r="W743" s="604">
        <v>4599</v>
      </c>
      <c r="Y743" s="535" t="str">
        <f t="shared" si="100"/>
        <v>2016depageQuin 2Totalfetal</v>
      </c>
      <c r="Z743" s="604">
        <v>2016</v>
      </c>
      <c r="AA743" s="604" t="s">
        <v>454</v>
      </c>
      <c r="AB743" s="604" t="s">
        <v>453</v>
      </c>
      <c r="AC743" s="604" t="s">
        <v>422</v>
      </c>
      <c r="AD743" s="604" t="s">
        <v>44</v>
      </c>
      <c r="AE743" s="604">
        <v>64</v>
      </c>
      <c r="AF743" s="604">
        <v>10123</v>
      </c>
      <c r="AG743" s="604">
        <v>6.3</v>
      </c>
      <c r="AH743" s="604" t="s">
        <v>420</v>
      </c>
      <c r="AJ743" s="535" t="str">
        <f t="shared" si="101"/>
        <v>2016depageQuin 2Total</v>
      </c>
      <c r="AK743" s="604">
        <v>2016</v>
      </c>
      <c r="AL743" s="604" t="s">
        <v>454</v>
      </c>
      <c r="AM743" s="604" t="s">
        <v>453</v>
      </c>
      <c r="AN743" s="604" t="s">
        <v>422</v>
      </c>
      <c r="AO743" s="604" t="s">
        <v>44</v>
      </c>
      <c r="AP743" s="604">
        <v>10123</v>
      </c>
      <c r="AR743" s="538" t="str">
        <f t="shared" si="102"/>
        <v>&lt;20ageinfantMidCentral</v>
      </c>
      <c r="AS743" s="604">
        <v>2016</v>
      </c>
      <c r="AT743" s="604" t="s">
        <v>339</v>
      </c>
      <c r="AU743" s="604" t="s">
        <v>453</v>
      </c>
      <c r="AV743" s="604" t="s">
        <v>94</v>
      </c>
      <c r="AW743" s="604">
        <v>1</v>
      </c>
      <c r="AX743" s="604">
        <v>110</v>
      </c>
      <c r="AY743" s="606">
        <v>9.1</v>
      </c>
      <c r="AZ743" s="604" t="s">
        <v>437</v>
      </c>
      <c r="BY743" s="553" t="str">
        <f t="shared" si="103"/>
        <v>2015CanterburydhbSIDS</v>
      </c>
      <c r="BZ743" s="604">
        <v>2015</v>
      </c>
      <c r="CA743" s="604" t="s">
        <v>101</v>
      </c>
      <c r="CB743" s="604" t="s">
        <v>448</v>
      </c>
      <c r="CC743" s="604">
        <v>2</v>
      </c>
      <c r="CD743" s="604" t="s">
        <v>32</v>
      </c>
      <c r="CF743" s="559" t="str">
        <f t="shared" si="104"/>
        <v>5yearsAsian32-36gestSUDI</v>
      </c>
      <c r="CG743" s="604" t="s">
        <v>475</v>
      </c>
      <c r="CH743" s="604" t="s">
        <v>355</v>
      </c>
      <c r="CI743" s="604" t="s">
        <v>136</v>
      </c>
      <c r="CJ743" s="604" t="s">
        <v>450</v>
      </c>
      <c r="CK743" s="604">
        <v>0</v>
      </c>
      <c r="CL743" s="604" t="s">
        <v>33</v>
      </c>
    </row>
    <row r="744" spans="9:90">
      <c r="I744" s="578" t="str">
        <f t="shared" si="98"/>
        <v>1997dhbBay of PlentyFetal</v>
      </c>
      <c r="J744" s="604">
        <v>1997</v>
      </c>
      <c r="K744" s="604" t="s">
        <v>448</v>
      </c>
      <c r="L744" s="604" t="s">
        <v>91</v>
      </c>
      <c r="M744" s="604">
        <v>15</v>
      </c>
      <c r="N744" s="604">
        <v>2761</v>
      </c>
      <c r="O744" s="604">
        <v>5.4</v>
      </c>
      <c r="P744" s="604" t="s">
        <v>47</v>
      </c>
      <c r="Q744" s="499"/>
      <c r="R744" s="502" t="str">
        <f t="shared" si="99"/>
        <v>2002birthsethEuropean or Other</v>
      </c>
      <c r="S744" s="604">
        <v>2002</v>
      </c>
      <c r="T744" s="604" t="s">
        <v>445</v>
      </c>
      <c r="U744" s="604" t="s">
        <v>449</v>
      </c>
      <c r="V744" s="604" t="s">
        <v>356</v>
      </c>
      <c r="W744" s="604">
        <v>29034</v>
      </c>
      <c r="Y744" s="535" t="str">
        <f t="shared" si="100"/>
        <v>2016depageQuin 3Totalfetal</v>
      </c>
      <c r="Z744" s="604">
        <v>2016</v>
      </c>
      <c r="AA744" s="604" t="s">
        <v>454</v>
      </c>
      <c r="AB744" s="604" t="s">
        <v>453</v>
      </c>
      <c r="AC744" s="604" t="s">
        <v>423</v>
      </c>
      <c r="AD744" s="604" t="s">
        <v>44</v>
      </c>
      <c r="AE744" s="604">
        <v>68</v>
      </c>
      <c r="AF744" s="604">
        <v>10971</v>
      </c>
      <c r="AG744" s="604">
        <v>6.2</v>
      </c>
      <c r="AH744" s="604" t="s">
        <v>420</v>
      </c>
      <c r="AJ744" s="535" t="str">
        <f t="shared" si="101"/>
        <v>2016depageQuin 3Total</v>
      </c>
      <c r="AK744" s="604">
        <v>2016</v>
      </c>
      <c r="AL744" s="604" t="s">
        <v>454</v>
      </c>
      <c r="AM744" s="604" t="s">
        <v>453</v>
      </c>
      <c r="AN744" s="604" t="s">
        <v>423</v>
      </c>
      <c r="AO744" s="604" t="s">
        <v>44</v>
      </c>
      <c r="AP744" s="604">
        <v>10971</v>
      </c>
      <c r="AR744" s="538" t="str">
        <f t="shared" si="102"/>
        <v>20-24ageinfantMidCentral</v>
      </c>
      <c r="AS744" s="604">
        <v>2016</v>
      </c>
      <c r="AT744" s="604" t="s">
        <v>130</v>
      </c>
      <c r="AU744" s="604" t="s">
        <v>453</v>
      </c>
      <c r="AV744" s="604" t="s">
        <v>94</v>
      </c>
      <c r="AW744" s="604">
        <v>4</v>
      </c>
      <c r="AX744" s="604">
        <v>409</v>
      </c>
      <c r="AY744" s="606">
        <v>9.8000000000000007</v>
      </c>
      <c r="AZ744" s="604" t="s">
        <v>437</v>
      </c>
      <c r="BY744" s="553" t="str">
        <f t="shared" si="103"/>
        <v>2015South CanterburydhbSIDS</v>
      </c>
      <c r="BZ744" s="604">
        <v>2015</v>
      </c>
      <c r="CA744" s="604" t="s">
        <v>102</v>
      </c>
      <c r="CB744" s="604" t="s">
        <v>448</v>
      </c>
      <c r="CC744" s="604">
        <v>0</v>
      </c>
      <c r="CD744" s="604" t="s">
        <v>32</v>
      </c>
      <c r="CF744" s="559" t="str">
        <f t="shared" si="104"/>
        <v>5yearsEuropean or Other32-36gestSUDI</v>
      </c>
      <c r="CG744" s="604" t="s">
        <v>475</v>
      </c>
      <c r="CH744" s="604" t="s">
        <v>356</v>
      </c>
      <c r="CI744" s="604" t="s">
        <v>136</v>
      </c>
      <c r="CJ744" s="604" t="s">
        <v>450</v>
      </c>
      <c r="CK744" s="604">
        <v>9</v>
      </c>
      <c r="CL744" s="604" t="s">
        <v>33</v>
      </c>
    </row>
    <row r="745" spans="9:90">
      <c r="I745" s="578" t="str">
        <f t="shared" si="98"/>
        <v>1997dhbTairawhitiFetal</v>
      </c>
      <c r="J745" s="604">
        <v>1997</v>
      </c>
      <c r="K745" s="604" t="s">
        <v>448</v>
      </c>
      <c r="L745" s="604" t="s">
        <v>433</v>
      </c>
      <c r="M745" s="604">
        <v>4</v>
      </c>
      <c r="N745" s="604">
        <v>840</v>
      </c>
      <c r="O745" s="604">
        <v>4.8</v>
      </c>
      <c r="P745" s="604" t="s">
        <v>47</v>
      </c>
      <c r="Q745" s="499"/>
      <c r="R745" s="502" t="str">
        <f t="shared" si="99"/>
        <v>2003birthsethMaori</v>
      </c>
      <c r="S745" s="604">
        <v>2003</v>
      </c>
      <c r="T745" s="604" t="s">
        <v>445</v>
      </c>
      <c r="U745" s="604" t="s">
        <v>449</v>
      </c>
      <c r="V745" s="604" t="s">
        <v>129</v>
      </c>
      <c r="W745" s="604">
        <v>15682</v>
      </c>
      <c r="Y745" s="535" t="str">
        <f t="shared" si="100"/>
        <v>2016depageQuin 4Totalfetal</v>
      </c>
      <c r="Z745" s="604">
        <v>2016</v>
      </c>
      <c r="AA745" s="604" t="s">
        <v>454</v>
      </c>
      <c r="AB745" s="604" t="s">
        <v>453</v>
      </c>
      <c r="AC745" s="604" t="s">
        <v>424</v>
      </c>
      <c r="AD745" s="604" t="s">
        <v>44</v>
      </c>
      <c r="AE745" s="604">
        <v>90</v>
      </c>
      <c r="AF745" s="604">
        <v>13131</v>
      </c>
      <c r="AG745" s="604">
        <v>6.8</v>
      </c>
      <c r="AH745" s="604" t="s">
        <v>420</v>
      </c>
      <c r="AJ745" s="535" t="str">
        <f t="shared" si="101"/>
        <v>2016depageQuin 4Total</v>
      </c>
      <c r="AK745" s="604">
        <v>2016</v>
      </c>
      <c r="AL745" s="604" t="s">
        <v>454</v>
      </c>
      <c r="AM745" s="604" t="s">
        <v>453</v>
      </c>
      <c r="AN745" s="604" t="s">
        <v>424</v>
      </c>
      <c r="AO745" s="604" t="s">
        <v>44</v>
      </c>
      <c r="AP745" s="604">
        <v>13131</v>
      </c>
      <c r="AR745" s="538" t="str">
        <f t="shared" si="102"/>
        <v>25-29ageinfantMidCentral</v>
      </c>
      <c r="AS745" s="604">
        <v>2016</v>
      </c>
      <c r="AT745" s="604" t="s">
        <v>131</v>
      </c>
      <c r="AU745" s="604" t="s">
        <v>453</v>
      </c>
      <c r="AV745" s="604" t="s">
        <v>94</v>
      </c>
      <c r="AW745" s="604">
        <v>4</v>
      </c>
      <c r="AX745" s="604">
        <v>675</v>
      </c>
      <c r="AY745" s="606">
        <v>5.9</v>
      </c>
      <c r="AZ745" s="604" t="s">
        <v>437</v>
      </c>
      <c r="BY745" s="553" t="str">
        <f t="shared" si="103"/>
        <v>2015SoutherndhbSIDS</v>
      </c>
      <c r="BZ745" s="604">
        <v>2015</v>
      </c>
      <c r="CA745" s="604" t="s">
        <v>103</v>
      </c>
      <c r="CB745" s="604" t="s">
        <v>448</v>
      </c>
      <c r="CC745" s="604">
        <v>2</v>
      </c>
      <c r="CD745" s="604" t="s">
        <v>32</v>
      </c>
      <c r="CF745" s="559" t="str">
        <f t="shared" si="104"/>
        <v>5yearsMaori32-36gestSUDI</v>
      </c>
      <c r="CG745" s="604" t="s">
        <v>475</v>
      </c>
      <c r="CH745" s="604" t="s">
        <v>129</v>
      </c>
      <c r="CI745" s="604" t="s">
        <v>136</v>
      </c>
      <c r="CJ745" s="604" t="s">
        <v>450</v>
      </c>
      <c r="CK745" s="604">
        <v>24</v>
      </c>
      <c r="CL745" s="604" t="s">
        <v>33</v>
      </c>
    </row>
    <row r="746" spans="9:90">
      <c r="I746" s="578" t="str">
        <f t="shared" si="98"/>
        <v>1997dhbHawke's BayFetal</v>
      </c>
      <c r="J746" s="604">
        <v>1997</v>
      </c>
      <c r="K746" s="604" t="s">
        <v>448</v>
      </c>
      <c r="L746" s="604" t="s">
        <v>92</v>
      </c>
      <c r="M746" s="604">
        <v>13</v>
      </c>
      <c r="N746" s="604">
        <v>2316</v>
      </c>
      <c r="O746" s="604">
        <v>5.6</v>
      </c>
      <c r="P746" s="604" t="s">
        <v>47</v>
      </c>
      <c r="Q746" s="499"/>
      <c r="R746" s="502" t="str">
        <f t="shared" si="99"/>
        <v>2003birthsethPacific peoples</v>
      </c>
      <c r="S746" s="604">
        <v>2003</v>
      </c>
      <c r="T746" s="604" t="s">
        <v>445</v>
      </c>
      <c r="U746" s="604" t="s">
        <v>449</v>
      </c>
      <c r="V746" s="604" t="s">
        <v>320</v>
      </c>
      <c r="W746" s="604">
        <v>6146</v>
      </c>
      <c r="Y746" s="535" t="str">
        <f t="shared" si="100"/>
        <v>2016depageQuin 5Totalfetal</v>
      </c>
      <c r="Z746" s="604">
        <v>2016</v>
      </c>
      <c r="AA746" s="604" t="s">
        <v>454</v>
      </c>
      <c r="AB746" s="604" t="s">
        <v>453</v>
      </c>
      <c r="AC746" s="604" t="s">
        <v>425</v>
      </c>
      <c r="AD746" s="604" t="s">
        <v>44</v>
      </c>
      <c r="AE746" s="604">
        <v>126</v>
      </c>
      <c r="AF746" s="604">
        <v>16886</v>
      </c>
      <c r="AG746" s="604">
        <v>7.4</v>
      </c>
      <c r="AH746" s="604" t="s">
        <v>420</v>
      </c>
      <c r="AJ746" s="535" t="str">
        <f t="shared" si="101"/>
        <v>2016depageQuin 5Total</v>
      </c>
      <c r="AK746" s="604">
        <v>2016</v>
      </c>
      <c r="AL746" s="604" t="s">
        <v>454</v>
      </c>
      <c r="AM746" s="604" t="s">
        <v>453</v>
      </c>
      <c r="AN746" s="604" t="s">
        <v>425</v>
      </c>
      <c r="AO746" s="604" t="s">
        <v>44</v>
      </c>
      <c r="AP746" s="604">
        <v>16886</v>
      </c>
      <c r="AR746" s="538" t="str">
        <f t="shared" si="102"/>
        <v>30-34ageinfantMidCentral</v>
      </c>
      <c r="AS746" s="604">
        <v>2016</v>
      </c>
      <c r="AT746" s="604" t="s">
        <v>132</v>
      </c>
      <c r="AU746" s="604" t="s">
        <v>453</v>
      </c>
      <c r="AV746" s="604" t="s">
        <v>94</v>
      </c>
      <c r="AW746" s="604">
        <v>1</v>
      </c>
      <c r="AX746" s="604">
        <v>564</v>
      </c>
      <c r="AY746" s="606">
        <v>1.8</v>
      </c>
      <c r="AZ746" s="604" t="s">
        <v>437</v>
      </c>
      <c r="BY746" s="553" t="str">
        <f t="shared" si="103"/>
        <v>2015UnknowndhbSIDS</v>
      </c>
      <c r="BZ746" s="604">
        <v>2015</v>
      </c>
      <c r="CA746" s="604" t="s">
        <v>63</v>
      </c>
      <c r="CB746" s="604" t="s">
        <v>448</v>
      </c>
      <c r="CC746" s="604">
        <v>0</v>
      </c>
      <c r="CD746" s="604" t="s">
        <v>32</v>
      </c>
      <c r="CF746" s="559" t="str">
        <f t="shared" si="104"/>
        <v>5yearsPacific peoples32-36gestSUDI</v>
      </c>
      <c r="CG746" s="604" t="s">
        <v>475</v>
      </c>
      <c r="CH746" s="604" t="s">
        <v>320</v>
      </c>
      <c r="CI746" s="604" t="s">
        <v>136</v>
      </c>
      <c r="CJ746" s="604" t="s">
        <v>450</v>
      </c>
      <c r="CK746" s="604">
        <v>4</v>
      </c>
      <c r="CL746" s="604" t="s">
        <v>33</v>
      </c>
    </row>
    <row r="747" spans="9:90">
      <c r="I747" s="578" t="str">
        <f t="shared" si="98"/>
        <v>1997dhbTaranakiFetal</v>
      </c>
      <c r="J747" s="604">
        <v>1997</v>
      </c>
      <c r="K747" s="604" t="s">
        <v>448</v>
      </c>
      <c r="L747" s="604" t="s">
        <v>93</v>
      </c>
      <c r="M747" s="604">
        <v>12</v>
      </c>
      <c r="N747" s="604">
        <v>1516</v>
      </c>
      <c r="O747" s="604">
        <v>7.9</v>
      </c>
      <c r="P747" s="604" t="s">
        <v>47</v>
      </c>
      <c r="Q747" s="499"/>
      <c r="R747" s="502" t="str">
        <f t="shared" si="99"/>
        <v>2003birthsethAsian</v>
      </c>
      <c r="S747" s="604">
        <v>2003</v>
      </c>
      <c r="T747" s="604" t="s">
        <v>445</v>
      </c>
      <c r="U747" s="604" t="s">
        <v>449</v>
      </c>
      <c r="V747" s="604" t="s">
        <v>355</v>
      </c>
      <c r="W747" s="604">
        <v>5223</v>
      </c>
      <c r="Y747" s="535" t="str">
        <f t="shared" si="100"/>
        <v>2016depageQuin 9Totalfetal</v>
      </c>
      <c r="Z747" s="604">
        <v>2016</v>
      </c>
      <c r="AA747" s="604" t="s">
        <v>454</v>
      </c>
      <c r="AB747" s="604" t="s">
        <v>453</v>
      </c>
      <c r="AC747" s="604" t="s">
        <v>426</v>
      </c>
      <c r="AD747" s="604" t="s">
        <v>44</v>
      </c>
      <c r="AE747" s="604">
        <v>22</v>
      </c>
      <c r="AF747" s="604">
        <v>131</v>
      </c>
      <c r="AG747" s="604" t="s">
        <v>119</v>
      </c>
      <c r="AH747" s="604" t="s">
        <v>420</v>
      </c>
      <c r="AJ747" s="535" t="str">
        <f t="shared" si="101"/>
        <v>2016depageQuin 9Total</v>
      </c>
      <c r="AK747" s="604">
        <v>2016</v>
      </c>
      <c r="AL747" s="604" t="s">
        <v>454</v>
      </c>
      <c r="AM747" s="604" t="s">
        <v>453</v>
      </c>
      <c r="AN747" s="604" t="s">
        <v>426</v>
      </c>
      <c r="AO747" s="604" t="s">
        <v>44</v>
      </c>
      <c r="AP747" s="604">
        <v>131</v>
      </c>
      <c r="AR747" s="538" t="str">
        <f t="shared" si="102"/>
        <v>20-24ageinfantWhanganui</v>
      </c>
      <c r="AS747" s="604">
        <v>2016</v>
      </c>
      <c r="AT747" s="604" t="s">
        <v>130</v>
      </c>
      <c r="AU747" s="604" t="s">
        <v>453</v>
      </c>
      <c r="AV747" s="604" t="s">
        <v>95</v>
      </c>
      <c r="AW747" s="604">
        <v>2</v>
      </c>
      <c r="AX747" s="604">
        <v>207</v>
      </c>
      <c r="AY747" s="606">
        <v>9.6999999999999993</v>
      </c>
      <c r="AZ747" s="604" t="s">
        <v>437</v>
      </c>
      <c r="BY747" s="553" t="str">
        <f t="shared" si="103"/>
        <v>2016NorthlanddhbSIDS</v>
      </c>
      <c r="BZ747" s="604">
        <v>2016</v>
      </c>
      <c r="CA747" s="604" t="s">
        <v>85</v>
      </c>
      <c r="CB747" s="604" t="s">
        <v>448</v>
      </c>
      <c r="CC747" s="604">
        <v>0</v>
      </c>
      <c r="CD747" s="604" t="s">
        <v>32</v>
      </c>
      <c r="CF747" s="559" t="str">
        <f t="shared" si="104"/>
        <v>5yearsAsian37-41gestSUDI</v>
      </c>
      <c r="CG747" s="604" t="s">
        <v>475</v>
      </c>
      <c r="CH747" s="604" t="s">
        <v>355</v>
      </c>
      <c r="CI747" s="604" t="s">
        <v>137</v>
      </c>
      <c r="CJ747" s="604" t="s">
        <v>450</v>
      </c>
      <c r="CK747" s="604">
        <v>6</v>
      </c>
      <c r="CL747" s="604" t="s">
        <v>33</v>
      </c>
    </row>
    <row r="748" spans="9:90">
      <c r="I748" s="578" t="str">
        <f t="shared" si="98"/>
        <v>1997dhbMidCentralFetal</v>
      </c>
      <c r="J748" s="604">
        <v>1997</v>
      </c>
      <c r="K748" s="604" t="s">
        <v>448</v>
      </c>
      <c r="L748" s="604" t="s">
        <v>94</v>
      </c>
      <c r="M748" s="604">
        <v>22</v>
      </c>
      <c r="N748" s="604">
        <v>2402</v>
      </c>
      <c r="O748" s="604">
        <v>9.1999999999999993</v>
      </c>
      <c r="P748" s="604" t="s">
        <v>47</v>
      </c>
      <c r="Q748" s="499"/>
      <c r="R748" s="502" t="str">
        <f t="shared" si="99"/>
        <v>2003birthsethEuropean or Other</v>
      </c>
      <c r="S748" s="604">
        <v>2003</v>
      </c>
      <c r="T748" s="604" t="s">
        <v>445</v>
      </c>
      <c r="U748" s="604" t="s">
        <v>449</v>
      </c>
      <c r="V748" s="604" t="s">
        <v>356</v>
      </c>
      <c r="W748" s="604">
        <v>29525</v>
      </c>
      <c r="Y748" s="535" t="str">
        <f t="shared" si="100"/>
        <v>2016gestage&lt;28Totalfetal</v>
      </c>
      <c r="Z748" s="604">
        <v>2016</v>
      </c>
      <c r="AA748" s="604" t="s">
        <v>450</v>
      </c>
      <c r="AB748" s="604" t="s">
        <v>453</v>
      </c>
      <c r="AC748" s="604" t="s">
        <v>375</v>
      </c>
      <c r="AD748" s="604" t="s">
        <v>44</v>
      </c>
      <c r="AE748" s="604">
        <v>227</v>
      </c>
      <c r="AF748" s="604">
        <v>260</v>
      </c>
      <c r="AG748" s="604">
        <v>466.1</v>
      </c>
      <c r="AH748" s="604" t="s">
        <v>420</v>
      </c>
      <c r="AJ748" s="535" t="str">
        <f t="shared" si="101"/>
        <v>2016gestage&lt;28Total</v>
      </c>
      <c r="AK748" s="604">
        <v>2016</v>
      </c>
      <c r="AL748" s="604" t="s">
        <v>450</v>
      </c>
      <c r="AM748" s="604" t="s">
        <v>453</v>
      </c>
      <c r="AN748" s="604" t="s">
        <v>375</v>
      </c>
      <c r="AO748" s="604" t="s">
        <v>44</v>
      </c>
      <c r="AP748" s="604">
        <v>260</v>
      </c>
      <c r="AR748" s="538" t="str">
        <f t="shared" si="102"/>
        <v>25-29ageinfantWhanganui</v>
      </c>
      <c r="AS748" s="604">
        <v>2016</v>
      </c>
      <c r="AT748" s="604" t="s">
        <v>131</v>
      </c>
      <c r="AU748" s="604" t="s">
        <v>453</v>
      </c>
      <c r="AV748" s="604" t="s">
        <v>95</v>
      </c>
      <c r="AW748" s="604">
        <v>1</v>
      </c>
      <c r="AX748" s="604">
        <v>273</v>
      </c>
      <c r="AY748" s="606">
        <v>3.7</v>
      </c>
      <c r="AZ748" s="604" t="s">
        <v>437</v>
      </c>
      <c r="BY748" s="553" t="str">
        <f t="shared" si="103"/>
        <v>2016WaitematadhbSIDS</v>
      </c>
      <c r="BZ748" s="604">
        <v>2016</v>
      </c>
      <c r="CA748" s="604" t="s">
        <v>86</v>
      </c>
      <c r="CB748" s="604" t="s">
        <v>448</v>
      </c>
      <c r="CC748" s="604">
        <v>0</v>
      </c>
      <c r="CD748" s="604" t="s">
        <v>32</v>
      </c>
      <c r="CF748" s="559" t="str">
        <f t="shared" si="104"/>
        <v>5yearsEuropean or Other37-41gestSUDI</v>
      </c>
      <c r="CG748" s="604" t="s">
        <v>475</v>
      </c>
      <c r="CH748" s="604" t="s">
        <v>356</v>
      </c>
      <c r="CI748" s="604" t="s">
        <v>137</v>
      </c>
      <c r="CJ748" s="604" t="s">
        <v>450</v>
      </c>
      <c r="CK748" s="604">
        <v>31</v>
      </c>
      <c r="CL748" s="604" t="s">
        <v>33</v>
      </c>
    </row>
    <row r="749" spans="9:90">
      <c r="I749" s="578" t="str">
        <f t="shared" si="98"/>
        <v>1997dhbWhanganuiFetal</v>
      </c>
      <c r="J749" s="604">
        <v>1997</v>
      </c>
      <c r="K749" s="604" t="s">
        <v>448</v>
      </c>
      <c r="L749" s="604" t="s">
        <v>95</v>
      </c>
      <c r="M749" s="604">
        <v>6</v>
      </c>
      <c r="N749" s="604">
        <v>1088</v>
      </c>
      <c r="O749" s="604">
        <v>5.5</v>
      </c>
      <c r="P749" s="604" t="s">
        <v>47</v>
      </c>
      <c r="Q749" s="499"/>
      <c r="R749" s="502" t="str">
        <f t="shared" si="99"/>
        <v>2004birthsethMaori</v>
      </c>
      <c r="S749" s="604">
        <v>2004</v>
      </c>
      <c r="T749" s="604" t="s">
        <v>445</v>
      </c>
      <c r="U749" s="604" t="s">
        <v>449</v>
      </c>
      <c r="V749" s="604" t="s">
        <v>129</v>
      </c>
      <c r="W749" s="604">
        <v>16520</v>
      </c>
      <c r="Y749" s="535" t="str">
        <f t="shared" si="100"/>
        <v>2016gestage28-31Totalfetal</v>
      </c>
      <c r="Z749" s="604">
        <v>2016</v>
      </c>
      <c r="AA749" s="604" t="s">
        <v>450</v>
      </c>
      <c r="AB749" s="604" t="s">
        <v>453</v>
      </c>
      <c r="AC749" s="604" t="s">
        <v>395</v>
      </c>
      <c r="AD749" s="604" t="s">
        <v>44</v>
      </c>
      <c r="AE749" s="604">
        <v>38</v>
      </c>
      <c r="AF749" s="604">
        <v>417</v>
      </c>
      <c r="AG749" s="604">
        <v>83.5</v>
      </c>
      <c r="AH749" s="604" t="s">
        <v>420</v>
      </c>
      <c r="AJ749" s="535" t="str">
        <f t="shared" si="101"/>
        <v>2016gestage28-31Total</v>
      </c>
      <c r="AK749" s="604">
        <v>2016</v>
      </c>
      <c r="AL749" s="604" t="s">
        <v>450</v>
      </c>
      <c r="AM749" s="604" t="s">
        <v>453</v>
      </c>
      <c r="AN749" s="604" t="s">
        <v>395</v>
      </c>
      <c r="AO749" s="604" t="s">
        <v>44</v>
      </c>
      <c r="AP749" s="604">
        <v>417</v>
      </c>
      <c r="AR749" s="538" t="str">
        <f t="shared" si="102"/>
        <v>30-34ageinfantWhanganui</v>
      </c>
      <c r="AS749" s="604">
        <v>2016</v>
      </c>
      <c r="AT749" s="604" t="s">
        <v>132</v>
      </c>
      <c r="AU749" s="604" t="s">
        <v>453</v>
      </c>
      <c r="AV749" s="604" t="s">
        <v>95</v>
      </c>
      <c r="AW749" s="604">
        <v>2</v>
      </c>
      <c r="AX749" s="604">
        <v>194</v>
      </c>
      <c r="AY749" s="606">
        <v>10.3</v>
      </c>
      <c r="AZ749" s="604" t="s">
        <v>437</v>
      </c>
      <c r="BY749" s="553" t="str">
        <f t="shared" si="103"/>
        <v>2016AucklanddhbSIDS</v>
      </c>
      <c r="BZ749" s="604">
        <v>2016</v>
      </c>
      <c r="CA749" s="604" t="s">
        <v>87</v>
      </c>
      <c r="CB749" s="604" t="s">
        <v>448</v>
      </c>
      <c r="CC749" s="604">
        <v>0</v>
      </c>
      <c r="CD749" s="604" t="s">
        <v>32</v>
      </c>
      <c r="CF749" s="559" t="str">
        <f t="shared" si="104"/>
        <v>5yearsMaori37-41gestSUDI</v>
      </c>
      <c r="CG749" s="604" t="s">
        <v>475</v>
      </c>
      <c r="CH749" s="604" t="s">
        <v>129</v>
      </c>
      <c r="CI749" s="604" t="s">
        <v>137</v>
      </c>
      <c r="CJ749" s="604" t="s">
        <v>450</v>
      </c>
      <c r="CK749" s="604">
        <v>85</v>
      </c>
      <c r="CL749" s="604" t="s">
        <v>33</v>
      </c>
    </row>
    <row r="750" spans="9:90">
      <c r="I750" s="578" t="str">
        <f t="shared" si="98"/>
        <v>1997dhbCapital &amp; CoastFetal</v>
      </c>
      <c r="J750" s="604">
        <v>1997</v>
      </c>
      <c r="K750" s="604" t="s">
        <v>448</v>
      </c>
      <c r="L750" s="604" t="s">
        <v>96</v>
      </c>
      <c r="M750" s="604">
        <v>27</v>
      </c>
      <c r="N750" s="604">
        <v>3593</v>
      </c>
      <c r="O750" s="604">
        <v>7.5</v>
      </c>
      <c r="P750" s="604" t="s">
        <v>47</v>
      </c>
      <c r="Q750" s="499"/>
      <c r="R750" s="502" t="str">
        <f t="shared" si="99"/>
        <v>2004birthsethPacific peoples</v>
      </c>
      <c r="S750" s="604">
        <v>2004</v>
      </c>
      <c r="T750" s="604" t="s">
        <v>445</v>
      </c>
      <c r="U750" s="604" t="s">
        <v>449</v>
      </c>
      <c r="V750" s="604" t="s">
        <v>320</v>
      </c>
      <c r="W750" s="604">
        <v>6345</v>
      </c>
      <c r="Y750" s="535" t="str">
        <f t="shared" si="100"/>
        <v>2016gestage32-36Totalfetal</v>
      </c>
      <c r="Z750" s="604">
        <v>2016</v>
      </c>
      <c r="AA750" s="604" t="s">
        <v>450</v>
      </c>
      <c r="AB750" s="604" t="s">
        <v>453</v>
      </c>
      <c r="AC750" s="604" t="s">
        <v>136</v>
      </c>
      <c r="AD750" s="604" t="s">
        <v>44</v>
      </c>
      <c r="AE750" s="604">
        <v>56</v>
      </c>
      <c r="AF750" s="604">
        <v>3814</v>
      </c>
      <c r="AG750" s="604">
        <v>14.5</v>
      </c>
      <c r="AH750" s="604" t="s">
        <v>420</v>
      </c>
      <c r="AJ750" s="535" t="str">
        <f t="shared" si="101"/>
        <v>2016gestage32-36Total</v>
      </c>
      <c r="AK750" s="604">
        <v>2016</v>
      </c>
      <c r="AL750" s="604" t="s">
        <v>450</v>
      </c>
      <c r="AM750" s="604" t="s">
        <v>453</v>
      </c>
      <c r="AN750" s="604" t="s">
        <v>136</v>
      </c>
      <c r="AO750" s="604" t="s">
        <v>44</v>
      </c>
      <c r="AP750" s="604">
        <v>3814</v>
      </c>
      <c r="AR750" s="538" t="str">
        <f t="shared" si="102"/>
        <v>35-39ageinfantWhanganui</v>
      </c>
      <c r="AS750" s="604">
        <v>2016</v>
      </c>
      <c r="AT750" s="604" t="s">
        <v>133</v>
      </c>
      <c r="AU750" s="604" t="s">
        <v>453</v>
      </c>
      <c r="AV750" s="604" t="s">
        <v>95</v>
      </c>
      <c r="AW750" s="604">
        <v>1</v>
      </c>
      <c r="AX750" s="604">
        <v>95</v>
      </c>
      <c r="AY750" s="606">
        <v>10.5</v>
      </c>
      <c r="AZ750" s="604" t="s">
        <v>437</v>
      </c>
      <c r="BY750" s="553" t="str">
        <f t="shared" si="103"/>
        <v>2016Counties ManukaudhbSIDS</v>
      </c>
      <c r="BZ750" s="604">
        <v>2016</v>
      </c>
      <c r="CA750" s="604" t="s">
        <v>88</v>
      </c>
      <c r="CB750" s="604" t="s">
        <v>448</v>
      </c>
      <c r="CC750" s="604">
        <v>4</v>
      </c>
      <c r="CD750" s="604" t="s">
        <v>32</v>
      </c>
      <c r="CF750" s="559" t="str">
        <f t="shared" si="104"/>
        <v>5yearsPacific peoples37-41gestSUDI</v>
      </c>
      <c r="CG750" s="604" t="s">
        <v>475</v>
      </c>
      <c r="CH750" s="604" t="s">
        <v>320</v>
      </c>
      <c r="CI750" s="604" t="s">
        <v>137</v>
      </c>
      <c r="CJ750" s="604" t="s">
        <v>450</v>
      </c>
      <c r="CK750" s="604">
        <v>32</v>
      </c>
      <c r="CL750" s="604" t="s">
        <v>33</v>
      </c>
    </row>
    <row r="751" spans="9:90">
      <c r="I751" s="578" t="str">
        <f t="shared" si="98"/>
        <v>1997dhbHutt ValleyFetal</v>
      </c>
      <c r="J751" s="604">
        <v>1997</v>
      </c>
      <c r="K751" s="604" t="s">
        <v>448</v>
      </c>
      <c r="L751" s="604" t="s">
        <v>97</v>
      </c>
      <c r="M751" s="604">
        <v>17</v>
      </c>
      <c r="N751" s="604">
        <v>2133</v>
      </c>
      <c r="O751" s="604">
        <v>8</v>
      </c>
      <c r="P751" s="604" t="s">
        <v>47</v>
      </c>
      <c r="Q751" s="499"/>
      <c r="R751" s="502" t="str">
        <f t="shared" si="99"/>
        <v>2004birthsethAsian</v>
      </c>
      <c r="S751" s="604">
        <v>2004</v>
      </c>
      <c r="T751" s="604" t="s">
        <v>445</v>
      </c>
      <c r="U751" s="604" t="s">
        <v>449</v>
      </c>
      <c r="V751" s="604" t="s">
        <v>355</v>
      </c>
      <c r="W751" s="604">
        <v>5647</v>
      </c>
      <c r="Y751" s="535" t="str">
        <f t="shared" si="100"/>
        <v>2016gestage37-41Totalfetal</v>
      </c>
      <c r="Z751" s="604">
        <v>2016</v>
      </c>
      <c r="AA751" s="604" t="s">
        <v>450</v>
      </c>
      <c r="AB751" s="604" t="s">
        <v>453</v>
      </c>
      <c r="AC751" s="604" t="s">
        <v>137</v>
      </c>
      <c r="AD751" s="604" t="s">
        <v>44</v>
      </c>
      <c r="AE751" s="604">
        <v>86</v>
      </c>
      <c r="AF751" s="604">
        <v>54899</v>
      </c>
      <c r="AG751" s="604">
        <v>1.6</v>
      </c>
      <c r="AH751" s="604" t="s">
        <v>420</v>
      </c>
      <c r="AJ751" s="535" t="str">
        <f t="shared" si="101"/>
        <v>2016gestage37-41Total</v>
      </c>
      <c r="AK751" s="604">
        <v>2016</v>
      </c>
      <c r="AL751" s="604" t="s">
        <v>450</v>
      </c>
      <c r="AM751" s="604" t="s">
        <v>453</v>
      </c>
      <c r="AN751" s="604" t="s">
        <v>137</v>
      </c>
      <c r="AO751" s="604" t="s">
        <v>44</v>
      </c>
      <c r="AP751" s="604">
        <v>54899</v>
      </c>
      <c r="AR751" s="538" t="str">
        <f t="shared" si="102"/>
        <v>25-29ageinfantCapital &amp; Coast</v>
      </c>
      <c r="AS751" s="604">
        <v>2016</v>
      </c>
      <c r="AT751" s="604" t="s">
        <v>131</v>
      </c>
      <c r="AU751" s="604" t="s">
        <v>453</v>
      </c>
      <c r="AV751" s="604" t="s">
        <v>96</v>
      </c>
      <c r="AW751" s="604">
        <v>4</v>
      </c>
      <c r="AX751" s="604">
        <v>754</v>
      </c>
      <c r="AY751" s="606">
        <v>5.3</v>
      </c>
      <c r="AZ751" s="604" t="s">
        <v>437</v>
      </c>
      <c r="BY751" s="553" t="str">
        <f t="shared" si="103"/>
        <v>2016WaikatodhbSIDS</v>
      </c>
      <c r="BZ751" s="604">
        <v>2016</v>
      </c>
      <c r="CA751" s="604" t="s">
        <v>89</v>
      </c>
      <c r="CB751" s="604" t="s">
        <v>448</v>
      </c>
      <c r="CC751" s="604">
        <v>3</v>
      </c>
      <c r="CD751" s="604" t="s">
        <v>32</v>
      </c>
      <c r="CF751" s="575" t="str">
        <f t="shared" si="104"/>
        <v>5yearsAsian42+gestSUDI</v>
      </c>
      <c r="CG751" s="604" t="s">
        <v>475</v>
      </c>
      <c r="CH751" s="604" t="s">
        <v>355</v>
      </c>
      <c r="CI751" s="604" t="s">
        <v>138</v>
      </c>
      <c r="CJ751" s="604" t="s">
        <v>450</v>
      </c>
      <c r="CK751" s="604">
        <v>0</v>
      </c>
      <c r="CL751" s="604" t="s">
        <v>33</v>
      </c>
    </row>
    <row r="752" spans="9:90">
      <c r="I752" s="578" t="str">
        <f t="shared" si="98"/>
        <v>1997dhbWairarapaFetal</v>
      </c>
      <c r="J752" s="604">
        <v>1997</v>
      </c>
      <c r="K752" s="604" t="s">
        <v>448</v>
      </c>
      <c r="L752" s="604" t="s">
        <v>98</v>
      </c>
      <c r="M752" s="604">
        <v>9</v>
      </c>
      <c r="N752" s="604">
        <v>572</v>
      </c>
      <c r="O752" s="604">
        <v>15.7</v>
      </c>
      <c r="P752" s="604" t="s">
        <v>47</v>
      </c>
      <c r="Q752" s="499"/>
      <c r="R752" s="502" t="str">
        <f t="shared" si="99"/>
        <v>2004birthsethEuropean or Other</v>
      </c>
      <c r="S752" s="604">
        <v>2004</v>
      </c>
      <c r="T752" s="604" t="s">
        <v>445</v>
      </c>
      <c r="U752" s="604" t="s">
        <v>449</v>
      </c>
      <c r="V752" s="604" t="s">
        <v>356</v>
      </c>
      <c r="W752" s="604">
        <v>30211</v>
      </c>
      <c r="Y752" s="535" t="str">
        <f t="shared" si="100"/>
        <v>2016gestage42+Totalfetal</v>
      </c>
      <c r="Z752" s="604">
        <v>2016</v>
      </c>
      <c r="AA752" s="604" t="s">
        <v>450</v>
      </c>
      <c r="AB752" s="604" t="s">
        <v>453</v>
      </c>
      <c r="AC752" s="604" t="s">
        <v>138</v>
      </c>
      <c r="AD752" s="604" t="s">
        <v>44</v>
      </c>
      <c r="AE752" s="604">
        <v>0</v>
      </c>
      <c r="AF752" s="604">
        <v>1017</v>
      </c>
      <c r="AG752" s="604">
        <v>0</v>
      </c>
      <c r="AH752" s="604" t="s">
        <v>420</v>
      </c>
      <c r="AJ752" s="535" t="str">
        <f t="shared" si="101"/>
        <v>2016gestage42+Total</v>
      </c>
      <c r="AK752" s="604">
        <v>2016</v>
      </c>
      <c r="AL752" s="604" t="s">
        <v>450</v>
      </c>
      <c r="AM752" s="604" t="s">
        <v>453</v>
      </c>
      <c r="AN752" s="604" t="s">
        <v>138</v>
      </c>
      <c r="AO752" s="604" t="s">
        <v>44</v>
      </c>
      <c r="AP752" s="604">
        <v>1017</v>
      </c>
      <c r="AR752" s="538" t="str">
        <f t="shared" si="102"/>
        <v>30-34ageinfantCapital &amp; Coast</v>
      </c>
      <c r="AS752" s="604">
        <v>2016</v>
      </c>
      <c r="AT752" s="604" t="s">
        <v>132</v>
      </c>
      <c r="AU752" s="604" t="s">
        <v>453</v>
      </c>
      <c r="AV752" s="604" t="s">
        <v>96</v>
      </c>
      <c r="AW752" s="604">
        <v>4</v>
      </c>
      <c r="AX752" s="604">
        <v>1246</v>
      </c>
      <c r="AY752" s="606">
        <v>3.2</v>
      </c>
      <c r="AZ752" s="604" t="s">
        <v>437</v>
      </c>
      <c r="BY752" s="553" t="str">
        <f t="shared" si="103"/>
        <v>2016LakesdhbSIDS</v>
      </c>
      <c r="BZ752" s="604">
        <v>2016</v>
      </c>
      <c r="CA752" s="604" t="s">
        <v>90</v>
      </c>
      <c r="CB752" s="604" t="s">
        <v>448</v>
      </c>
      <c r="CC752" s="604">
        <v>0</v>
      </c>
      <c r="CD752" s="604" t="s">
        <v>32</v>
      </c>
      <c r="CF752" s="575" t="str">
        <f t="shared" si="104"/>
        <v>5yearsEuropean or Other42+gestSUDI</v>
      </c>
      <c r="CG752" s="604" t="s">
        <v>475</v>
      </c>
      <c r="CH752" s="604" t="s">
        <v>356</v>
      </c>
      <c r="CI752" s="604" t="s">
        <v>138</v>
      </c>
      <c r="CJ752" s="604" t="s">
        <v>450</v>
      </c>
      <c r="CK752" s="604">
        <v>0</v>
      </c>
      <c r="CL752" s="604" t="s">
        <v>33</v>
      </c>
    </row>
    <row r="753" spans="9:90">
      <c r="I753" s="578" t="str">
        <f t="shared" si="98"/>
        <v>1997dhbNelson MarlboroughFetal</v>
      </c>
      <c r="J753" s="604">
        <v>1997</v>
      </c>
      <c r="K753" s="604" t="s">
        <v>448</v>
      </c>
      <c r="L753" s="604" t="s">
        <v>99</v>
      </c>
      <c r="M753" s="604">
        <v>14</v>
      </c>
      <c r="N753" s="604">
        <v>1558</v>
      </c>
      <c r="O753" s="604">
        <v>9</v>
      </c>
      <c r="P753" s="604" t="s">
        <v>47</v>
      </c>
      <c r="Q753" s="499"/>
      <c r="R753" s="502" t="str">
        <f t="shared" si="99"/>
        <v>2005birthsethMaori</v>
      </c>
      <c r="S753" s="604">
        <v>2005</v>
      </c>
      <c r="T753" s="604" t="s">
        <v>445</v>
      </c>
      <c r="U753" s="604" t="s">
        <v>449</v>
      </c>
      <c r="V753" s="604" t="s">
        <v>129</v>
      </c>
      <c r="W753" s="604">
        <v>17004</v>
      </c>
      <c r="Y753" s="535" t="str">
        <f t="shared" si="100"/>
        <v>2016gestageUnknownTotalfetal</v>
      </c>
      <c r="Z753" s="604">
        <v>2016</v>
      </c>
      <c r="AA753" s="604" t="s">
        <v>450</v>
      </c>
      <c r="AB753" s="604" t="s">
        <v>453</v>
      </c>
      <c r="AC753" s="604" t="s">
        <v>63</v>
      </c>
      <c r="AD753" s="604" t="s">
        <v>44</v>
      </c>
      <c r="AE753" s="604">
        <v>6</v>
      </c>
      <c r="AF753" s="604">
        <v>29</v>
      </c>
      <c r="AG753" s="604" t="s">
        <v>119</v>
      </c>
      <c r="AH753" s="604" t="s">
        <v>420</v>
      </c>
      <c r="AJ753" s="535" t="str">
        <f t="shared" si="101"/>
        <v>2016gestageUnknownTotal</v>
      </c>
      <c r="AK753" s="604">
        <v>2016</v>
      </c>
      <c r="AL753" s="604" t="s">
        <v>450</v>
      </c>
      <c r="AM753" s="604" t="s">
        <v>453</v>
      </c>
      <c r="AN753" s="604" t="s">
        <v>63</v>
      </c>
      <c r="AO753" s="604" t="s">
        <v>44</v>
      </c>
      <c r="AP753" s="604">
        <v>29</v>
      </c>
      <c r="AR753" s="538" t="str">
        <f t="shared" si="102"/>
        <v>35-39ageinfantCapital &amp; Coast</v>
      </c>
      <c r="AS753" s="604">
        <v>2016</v>
      </c>
      <c r="AT753" s="604" t="s">
        <v>133</v>
      </c>
      <c r="AU753" s="604" t="s">
        <v>453</v>
      </c>
      <c r="AV753" s="604" t="s">
        <v>96</v>
      </c>
      <c r="AW753" s="604">
        <v>2</v>
      </c>
      <c r="AX753" s="604">
        <v>863</v>
      </c>
      <c r="AY753" s="606">
        <v>2.2999999999999998</v>
      </c>
      <c r="AZ753" s="604" t="s">
        <v>437</v>
      </c>
      <c r="BY753" s="553" t="str">
        <f t="shared" si="103"/>
        <v>2016Bay of PlentydhbSIDS</v>
      </c>
      <c r="BZ753" s="604">
        <v>2016</v>
      </c>
      <c r="CA753" s="604" t="s">
        <v>91</v>
      </c>
      <c r="CB753" s="604" t="s">
        <v>448</v>
      </c>
      <c r="CC753" s="604">
        <v>0</v>
      </c>
      <c r="CD753" s="604" t="s">
        <v>32</v>
      </c>
      <c r="CF753" s="575" t="str">
        <f t="shared" si="104"/>
        <v>5yearsMaori42+gestSUDI</v>
      </c>
      <c r="CG753" s="604" t="s">
        <v>475</v>
      </c>
      <c r="CH753" s="604" t="s">
        <v>129</v>
      </c>
      <c r="CI753" s="604" t="s">
        <v>138</v>
      </c>
      <c r="CJ753" s="604" t="s">
        <v>450</v>
      </c>
      <c r="CK753" s="604">
        <v>1</v>
      </c>
      <c r="CL753" s="604" t="s">
        <v>33</v>
      </c>
    </row>
    <row r="754" spans="9:90">
      <c r="I754" s="578" t="str">
        <f t="shared" si="98"/>
        <v>1997dhbWest CoastFetal</v>
      </c>
      <c r="J754" s="604">
        <v>1997</v>
      </c>
      <c r="K754" s="604" t="s">
        <v>448</v>
      </c>
      <c r="L754" s="604" t="s">
        <v>100</v>
      </c>
      <c r="M754" s="604">
        <v>5</v>
      </c>
      <c r="N754" s="604">
        <v>433</v>
      </c>
      <c r="O754" s="604">
        <v>11.5</v>
      </c>
      <c r="P754" s="604" t="s">
        <v>47</v>
      </c>
      <c r="Q754" s="499"/>
      <c r="R754" s="502" t="str">
        <f t="shared" si="99"/>
        <v>2005birthsethPacific peoples</v>
      </c>
      <c r="S754" s="604">
        <v>2005</v>
      </c>
      <c r="T754" s="604" t="s">
        <v>445</v>
      </c>
      <c r="U754" s="604" t="s">
        <v>449</v>
      </c>
      <c r="V754" s="604" t="s">
        <v>320</v>
      </c>
      <c r="W754" s="604">
        <v>6238</v>
      </c>
      <c r="Y754" s="535" t="str">
        <f t="shared" si="100"/>
        <v>2016bwtage&lt;500Totalfetal</v>
      </c>
      <c r="Z754" s="604">
        <v>2016</v>
      </c>
      <c r="AA754" s="604" t="s">
        <v>447</v>
      </c>
      <c r="AB754" s="604" t="s">
        <v>453</v>
      </c>
      <c r="AC754" s="604" t="s">
        <v>427</v>
      </c>
      <c r="AD754" s="604" t="s">
        <v>44</v>
      </c>
      <c r="AE754" s="604">
        <v>141</v>
      </c>
      <c r="AF754" s="604">
        <v>53</v>
      </c>
      <c r="AG754" s="604" t="s">
        <v>119</v>
      </c>
      <c r="AH754" s="604" t="s">
        <v>420</v>
      </c>
      <c r="AJ754" s="535" t="str">
        <f t="shared" si="101"/>
        <v>2016bwtage&lt;500Total</v>
      </c>
      <c r="AK754" s="604">
        <v>2016</v>
      </c>
      <c r="AL754" s="604" t="s">
        <v>447</v>
      </c>
      <c r="AM754" s="604" t="s">
        <v>453</v>
      </c>
      <c r="AN754" s="604" t="s">
        <v>427</v>
      </c>
      <c r="AO754" s="604" t="s">
        <v>44</v>
      </c>
      <c r="AP754" s="604">
        <v>53</v>
      </c>
      <c r="AR754" s="538" t="str">
        <f t="shared" si="102"/>
        <v>40+ageinfantCapital &amp; Coast</v>
      </c>
      <c r="AS754" s="604">
        <v>2016</v>
      </c>
      <c r="AT754" s="604" t="s">
        <v>134</v>
      </c>
      <c r="AU754" s="604" t="s">
        <v>453</v>
      </c>
      <c r="AV754" s="604" t="s">
        <v>96</v>
      </c>
      <c r="AW754" s="604">
        <v>1</v>
      </c>
      <c r="AX754" s="604">
        <v>215</v>
      </c>
      <c r="AY754" s="606">
        <v>4.7</v>
      </c>
      <c r="AZ754" s="604" t="s">
        <v>437</v>
      </c>
      <c r="BY754" s="553" t="str">
        <f t="shared" si="103"/>
        <v>2016TairawhitidhbSIDS</v>
      </c>
      <c r="BZ754" s="604">
        <v>2016</v>
      </c>
      <c r="CA754" s="604" t="s">
        <v>433</v>
      </c>
      <c r="CB754" s="604" t="s">
        <v>448</v>
      </c>
      <c r="CC754" s="604">
        <v>1</v>
      </c>
      <c r="CD754" s="604" t="s">
        <v>32</v>
      </c>
      <c r="CF754" s="575" t="str">
        <f t="shared" si="104"/>
        <v>5yearsPacific peoples42+gestSUDI</v>
      </c>
      <c r="CG754" s="604" t="s">
        <v>475</v>
      </c>
      <c r="CH754" s="604" t="s">
        <v>320</v>
      </c>
      <c r="CI754" s="604" t="s">
        <v>138</v>
      </c>
      <c r="CJ754" s="604" t="s">
        <v>450</v>
      </c>
      <c r="CK754" s="604">
        <v>0</v>
      </c>
      <c r="CL754" s="604" t="s">
        <v>33</v>
      </c>
    </row>
    <row r="755" spans="9:90">
      <c r="I755" s="578" t="str">
        <f t="shared" si="98"/>
        <v>1997dhbCanterburyFetal</v>
      </c>
      <c r="J755" s="604">
        <v>1997</v>
      </c>
      <c r="K755" s="604" t="s">
        <v>448</v>
      </c>
      <c r="L755" s="604" t="s">
        <v>101</v>
      </c>
      <c r="M755" s="604">
        <v>49</v>
      </c>
      <c r="N755" s="604">
        <v>5716</v>
      </c>
      <c r="O755" s="604">
        <v>8.6</v>
      </c>
      <c r="P755" s="604" t="s">
        <v>47</v>
      </c>
      <c r="Q755" s="499"/>
      <c r="R755" s="502" t="str">
        <f t="shared" si="99"/>
        <v>2005birthsethAsian</v>
      </c>
      <c r="S755" s="604">
        <v>2005</v>
      </c>
      <c r="T755" s="604" t="s">
        <v>445</v>
      </c>
      <c r="U755" s="604" t="s">
        <v>449</v>
      </c>
      <c r="V755" s="604" t="s">
        <v>355</v>
      </c>
      <c r="W755" s="604">
        <v>5495</v>
      </c>
      <c r="Y755" s="535" t="str">
        <f t="shared" si="100"/>
        <v>2016bwtage500-999Totalfetal</v>
      </c>
      <c r="Z755" s="604">
        <v>2016</v>
      </c>
      <c r="AA755" s="604" t="s">
        <v>447</v>
      </c>
      <c r="AB755" s="604" t="s">
        <v>453</v>
      </c>
      <c r="AC755" s="604" t="s">
        <v>428</v>
      </c>
      <c r="AD755" s="604" t="s">
        <v>44</v>
      </c>
      <c r="AE755" s="604">
        <v>97</v>
      </c>
      <c r="AF755" s="604">
        <v>196</v>
      </c>
      <c r="AG755" s="604">
        <v>331.1</v>
      </c>
      <c r="AH755" s="604" t="s">
        <v>420</v>
      </c>
      <c r="AJ755" s="535" t="str">
        <f t="shared" si="101"/>
        <v>2016bwtage500-999Total</v>
      </c>
      <c r="AK755" s="604">
        <v>2016</v>
      </c>
      <c r="AL755" s="604" t="s">
        <v>447</v>
      </c>
      <c r="AM755" s="604" t="s">
        <v>453</v>
      </c>
      <c r="AN755" s="604" t="s">
        <v>428</v>
      </c>
      <c r="AO755" s="604" t="s">
        <v>44</v>
      </c>
      <c r="AP755" s="604">
        <v>196</v>
      </c>
      <c r="AR755" s="538" t="str">
        <f t="shared" si="102"/>
        <v>&lt;20ageinfantHutt Valley</v>
      </c>
      <c r="AS755" s="604">
        <v>2016</v>
      </c>
      <c r="AT755" s="604" t="s">
        <v>339</v>
      </c>
      <c r="AU755" s="604" t="s">
        <v>453</v>
      </c>
      <c r="AV755" s="604" t="s">
        <v>97</v>
      </c>
      <c r="AW755" s="604">
        <v>1</v>
      </c>
      <c r="AX755" s="604">
        <v>103</v>
      </c>
      <c r="AY755" s="606">
        <v>9.6999999999999993</v>
      </c>
      <c r="AZ755" s="604" t="s">
        <v>437</v>
      </c>
      <c r="BY755" s="553" t="str">
        <f t="shared" si="103"/>
        <v>2016Hawke's BaydhbSIDS</v>
      </c>
      <c r="BZ755" s="604">
        <v>2016</v>
      </c>
      <c r="CA755" s="604" t="s">
        <v>92</v>
      </c>
      <c r="CB755" s="604" t="s">
        <v>448</v>
      </c>
      <c r="CC755" s="604">
        <v>3</v>
      </c>
      <c r="CD755" s="604" t="s">
        <v>32</v>
      </c>
      <c r="CF755" s="575" t="str">
        <f t="shared" si="104"/>
        <v>5yearsAsianUnknowngestSUDI</v>
      </c>
      <c r="CG755" s="604" t="s">
        <v>475</v>
      </c>
      <c r="CH755" s="604" t="s">
        <v>355</v>
      </c>
      <c r="CI755" s="604" t="s">
        <v>63</v>
      </c>
      <c r="CJ755" s="604" t="s">
        <v>450</v>
      </c>
      <c r="CK755" s="604">
        <v>0</v>
      </c>
      <c r="CL755" s="604" t="s">
        <v>33</v>
      </c>
    </row>
    <row r="756" spans="9:90">
      <c r="I756" s="578" t="str">
        <f t="shared" si="98"/>
        <v>1997dhbSouth CanterburyFetal</v>
      </c>
      <c r="J756" s="604">
        <v>1997</v>
      </c>
      <c r="K756" s="604" t="s">
        <v>448</v>
      </c>
      <c r="L756" s="604" t="s">
        <v>102</v>
      </c>
      <c r="M756" s="604">
        <v>6</v>
      </c>
      <c r="N756" s="604">
        <v>659</v>
      </c>
      <c r="O756" s="604">
        <v>9.1</v>
      </c>
      <c r="P756" s="604" t="s">
        <v>47</v>
      </c>
      <c r="Q756" s="499"/>
      <c r="R756" s="502" t="str">
        <f t="shared" si="99"/>
        <v>2005birthsethEuropean or Other</v>
      </c>
      <c r="S756" s="604">
        <v>2005</v>
      </c>
      <c r="T756" s="604" t="s">
        <v>445</v>
      </c>
      <c r="U756" s="604" t="s">
        <v>449</v>
      </c>
      <c r="V756" s="604" t="s">
        <v>356</v>
      </c>
      <c r="W756" s="604">
        <v>29990</v>
      </c>
      <c r="Y756" s="535" t="str">
        <f t="shared" si="100"/>
        <v>2016bwtage1000-1499Totalfetal</v>
      </c>
      <c r="Z756" s="604">
        <v>2016</v>
      </c>
      <c r="AA756" s="604" t="s">
        <v>447</v>
      </c>
      <c r="AB756" s="604" t="s">
        <v>453</v>
      </c>
      <c r="AC756" s="604" t="s">
        <v>429</v>
      </c>
      <c r="AD756" s="604" t="s">
        <v>44</v>
      </c>
      <c r="AE756" s="604">
        <v>27</v>
      </c>
      <c r="AF756" s="604">
        <v>331</v>
      </c>
      <c r="AG756" s="604">
        <v>75.400000000000006</v>
      </c>
      <c r="AH756" s="604" t="s">
        <v>420</v>
      </c>
      <c r="AJ756" s="535" t="str">
        <f t="shared" si="101"/>
        <v>2016bwtage1000-1499Total</v>
      </c>
      <c r="AK756" s="604">
        <v>2016</v>
      </c>
      <c r="AL756" s="604" t="s">
        <v>447</v>
      </c>
      <c r="AM756" s="604" t="s">
        <v>453</v>
      </c>
      <c r="AN756" s="604" t="s">
        <v>429</v>
      </c>
      <c r="AO756" s="604" t="s">
        <v>44</v>
      </c>
      <c r="AP756" s="604">
        <v>331</v>
      </c>
      <c r="AR756" s="538" t="str">
        <f t="shared" si="102"/>
        <v>20-24ageinfantHutt Valley</v>
      </c>
      <c r="AS756" s="604">
        <v>2016</v>
      </c>
      <c r="AT756" s="604" t="s">
        <v>130</v>
      </c>
      <c r="AU756" s="604" t="s">
        <v>453</v>
      </c>
      <c r="AV756" s="604" t="s">
        <v>97</v>
      </c>
      <c r="AW756" s="604">
        <v>3</v>
      </c>
      <c r="AX756" s="604">
        <v>328</v>
      </c>
      <c r="AY756" s="606">
        <v>9.1</v>
      </c>
      <c r="AZ756" s="604" t="s">
        <v>437</v>
      </c>
      <c r="BY756" s="553" t="str">
        <f t="shared" si="103"/>
        <v>2016TaranakidhbSIDS</v>
      </c>
      <c r="BZ756" s="604">
        <v>2016</v>
      </c>
      <c r="CA756" s="604" t="s">
        <v>93</v>
      </c>
      <c r="CB756" s="604" t="s">
        <v>448</v>
      </c>
      <c r="CC756" s="604">
        <v>3</v>
      </c>
      <c r="CD756" s="604" t="s">
        <v>32</v>
      </c>
      <c r="CF756" s="575" t="str">
        <f t="shared" si="104"/>
        <v>5yearsEuropean or OtherUnknowngestSUDI</v>
      </c>
      <c r="CG756" s="604" t="s">
        <v>475</v>
      </c>
      <c r="CH756" s="604" t="s">
        <v>356</v>
      </c>
      <c r="CI756" s="604" t="s">
        <v>63</v>
      </c>
      <c r="CJ756" s="604" t="s">
        <v>450</v>
      </c>
      <c r="CK756" s="604">
        <v>6</v>
      </c>
      <c r="CL756" s="604" t="s">
        <v>33</v>
      </c>
    </row>
    <row r="757" spans="9:90">
      <c r="I757" s="578" t="str">
        <f t="shared" si="98"/>
        <v>1997dhbSouthernFetal</v>
      </c>
      <c r="J757" s="604">
        <v>1997</v>
      </c>
      <c r="K757" s="604" t="s">
        <v>448</v>
      </c>
      <c r="L757" s="604" t="s">
        <v>103</v>
      </c>
      <c r="M757" s="604">
        <v>27</v>
      </c>
      <c r="N757" s="604">
        <v>3645</v>
      </c>
      <c r="O757" s="604">
        <v>7.4</v>
      </c>
      <c r="P757" s="604" t="s">
        <v>47</v>
      </c>
      <c r="Q757" s="499"/>
      <c r="R757" s="502" t="str">
        <f t="shared" si="99"/>
        <v>2006birthsethMaori</v>
      </c>
      <c r="S757" s="604">
        <v>2006</v>
      </c>
      <c r="T757" s="604" t="s">
        <v>445</v>
      </c>
      <c r="U757" s="604" t="s">
        <v>449</v>
      </c>
      <c r="V757" s="604" t="s">
        <v>129</v>
      </c>
      <c r="W757" s="604">
        <v>17935</v>
      </c>
      <c r="Y757" s="535" t="str">
        <f t="shared" si="100"/>
        <v>2016bwtage1500-2499Totalfetal</v>
      </c>
      <c r="Z757" s="604">
        <v>2016</v>
      </c>
      <c r="AA757" s="604" t="s">
        <v>447</v>
      </c>
      <c r="AB757" s="604" t="s">
        <v>453</v>
      </c>
      <c r="AC757" s="604" t="s">
        <v>430</v>
      </c>
      <c r="AD757" s="604" t="s">
        <v>44</v>
      </c>
      <c r="AE757" s="604">
        <v>45</v>
      </c>
      <c r="AF757" s="604">
        <v>2991</v>
      </c>
      <c r="AG757" s="604">
        <v>14.8</v>
      </c>
      <c r="AH757" s="604" t="s">
        <v>420</v>
      </c>
      <c r="AJ757" s="535" t="str">
        <f t="shared" si="101"/>
        <v>2016bwtage1500-2499Total</v>
      </c>
      <c r="AK757" s="604">
        <v>2016</v>
      </c>
      <c r="AL757" s="604" t="s">
        <v>447</v>
      </c>
      <c r="AM757" s="604" t="s">
        <v>453</v>
      </c>
      <c r="AN757" s="604" t="s">
        <v>430</v>
      </c>
      <c r="AO757" s="604" t="s">
        <v>44</v>
      </c>
      <c r="AP757" s="604">
        <v>2991</v>
      </c>
      <c r="AR757" s="538" t="str">
        <f t="shared" si="102"/>
        <v>30-34ageinfantHutt Valley</v>
      </c>
      <c r="AS757" s="604">
        <v>2016</v>
      </c>
      <c r="AT757" s="604" t="s">
        <v>132</v>
      </c>
      <c r="AU757" s="604" t="s">
        <v>453</v>
      </c>
      <c r="AV757" s="604" t="s">
        <v>97</v>
      </c>
      <c r="AW757" s="604">
        <v>1</v>
      </c>
      <c r="AX757" s="604">
        <v>616</v>
      </c>
      <c r="AY757" s="606">
        <v>1.6</v>
      </c>
      <c r="AZ757" s="604" t="s">
        <v>437</v>
      </c>
      <c r="BY757" s="553" t="str">
        <f t="shared" si="103"/>
        <v>2016MidCentraldhbSIDS</v>
      </c>
      <c r="BZ757" s="604">
        <v>2016</v>
      </c>
      <c r="CA757" s="604" t="s">
        <v>94</v>
      </c>
      <c r="CB757" s="604" t="s">
        <v>448</v>
      </c>
      <c r="CC757" s="604">
        <v>3</v>
      </c>
      <c r="CD757" s="604" t="s">
        <v>32</v>
      </c>
      <c r="CF757" s="575" t="str">
        <f t="shared" si="104"/>
        <v>5yearsMaoriUnknowngestSUDI</v>
      </c>
      <c r="CG757" s="604" t="s">
        <v>475</v>
      </c>
      <c r="CH757" s="604" t="s">
        <v>129</v>
      </c>
      <c r="CI757" s="604" t="s">
        <v>63</v>
      </c>
      <c r="CJ757" s="604" t="s">
        <v>450</v>
      </c>
      <c r="CK757" s="604">
        <v>6</v>
      </c>
      <c r="CL757" s="604" t="s">
        <v>33</v>
      </c>
    </row>
    <row r="758" spans="9:90">
      <c r="I758" s="578" t="str">
        <f t="shared" si="98"/>
        <v>1997dhbUnknownFetal</v>
      </c>
      <c r="J758" s="604">
        <v>1997</v>
      </c>
      <c r="K758" s="604" t="s">
        <v>448</v>
      </c>
      <c r="L758" s="604" t="s">
        <v>63</v>
      </c>
      <c r="M758" s="604">
        <v>1</v>
      </c>
      <c r="N758" s="604">
        <v>136</v>
      </c>
      <c r="O758" s="604" t="s">
        <v>119</v>
      </c>
      <c r="P758" s="604" t="s">
        <v>47</v>
      </c>
      <c r="Q758" s="499"/>
      <c r="R758" s="502" t="str">
        <f t="shared" si="99"/>
        <v>2006birthsethPacific peoples</v>
      </c>
      <c r="S758" s="604">
        <v>2006</v>
      </c>
      <c r="T758" s="604" t="s">
        <v>445</v>
      </c>
      <c r="U758" s="604" t="s">
        <v>449</v>
      </c>
      <c r="V758" s="604" t="s">
        <v>320</v>
      </c>
      <c r="W758" s="604">
        <v>6408</v>
      </c>
      <c r="Y758" s="535" t="str">
        <f t="shared" si="100"/>
        <v>2016bwtage2500-4499Totalfetal</v>
      </c>
      <c r="Z758" s="604">
        <v>2016</v>
      </c>
      <c r="AA758" s="604" t="s">
        <v>447</v>
      </c>
      <c r="AB758" s="604" t="s">
        <v>453</v>
      </c>
      <c r="AC758" s="604" t="s">
        <v>431</v>
      </c>
      <c r="AD758" s="604" t="s">
        <v>44</v>
      </c>
      <c r="AE758" s="604">
        <v>81</v>
      </c>
      <c r="AF758" s="604">
        <v>55407</v>
      </c>
      <c r="AG758" s="604">
        <v>1.5</v>
      </c>
      <c r="AH758" s="604" t="s">
        <v>420</v>
      </c>
      <c r="AJ758" s="535" t="str">
        <f t="shared" si="101"/>
        <v>2016bwtage2500-4499Total</v>
      </c>
      <c r="AK758" s="604">
        <v>2016</v>
      </c>
      <c r="AL758" s="604" t="s">
        <v>447</v>
      </c>
      <c r="AM758" s="604" t="s">
        <v>453</v>
      </c>
      <c r="AN758" s="604" t="s">
        <v>431</v>
      </c>
      <c r="AO758" s="604" t="s">
        <v>44</v>
      </c>
      <c r="AP758" s="604">
        <v>55407</v>
      </c>
      <c r="AR758" s="538" t="str">
        <f t="shared" si="102"/>
        <v>35-39ageinfantHutt Valley</v>
      </c>
      <c r="AS758" s="604">
        <v>2016</v>
      </c>
      <c r="AT758" s="604" t="s">
        <v>133</v>
      </c>
      <c r="AU758" s="604" t="s">
        <v>453</v>
      </c>
      <c r="AV758" s="604" t="s">
        <v>97</v>
      </c>
      <c r="AW758" s="604">
        <v>3</v>
      </c>
      <c r="AX758" s="604">
        <v>314</v>
      </c>
      <c r="AY758" s="606">
        <v>9.6</v>
      </c>
      <c r="AZ758" s="604" t="s">
        <v>437</v>
      </c>
      <c r="BY758" s="553" t="str">
        <f t="shared" si="103"/>
        <v>2016WhanganuidhbSIDS</v>
      </c>
      <c r="BZ758" s="604">
        <v>2016</v>
      </c>
      <c r="CA758" s="604" t="s">
        <v>95</v>
      </c>
      <c r="CB758" s="604" t="s">
        <v>448</v>
      </c>
      <c r="CC758" s="604">
        <v>1</v>
      </c>
      <c r="CD758" s="604" t="s">
        <v>32</v>
      </c>
      <c r="CF758" s="575" t="str">
        <f t="shared" si="104"/>
        <v>5yearsPacific peoplesUnknowngestSUDI</v>
      </c>
      <c r="CG758" s="604" t="s">
        <v>475</v>
      </c>
      <c r="CH758" s="604" t="s">
        <v>320</v>
      </c>
      <c r="CI758" s="604" t="s">
        <v>63</v>
      </c>
      <c r="CJ758" s="604" t="s">
        <v>450</v>
      </c>
      <c r="CK758" s="604">
        <v>2</v>
      </c>
      <c r="CL758" s="604" t="s">
        <v>33</v>
      </c>
    </row>
    <row r="759" spans="9:90">
      <c r="I759" s="578" t="str">
        <f t="shared" si="98"/>
        <v>1998dhbNorthlandFetal</v>
      </c>
      <c r="J759" s="604">
        <v>1998</v>
      </c>
      <c r="K759" s="604" t="s">
        <v>448</v>
      </c>
      <c r="L759" s="604" t="s">
        <v>85</v>
      </c>
      <c r="M759" s="604">
        <v>14</v>
      </c>
      <c r="N759" s="604">
        <v>2227</v>
      </c>
      <c r="O759" s="604">
        <v>6.3</v>
      </c>
      <c r="P759" s="604" t="s">
        <v>47</v>
      </c>
      <c r="Q759" s="499"/>
      <c r="R759" s="502" t="str">
        <f t="shared" si="99"/>
        <v>2006birthsethAsian</v>
      </c>
      <c r="S759" s="604">
        <v>2006</v>
      </c>
      <c r="T759" s="604" t="s">
        <v>445</v>
      </c>
      <c r="U759" s="604" t="s">
        <v>449</v>
      </c>
      <c r="V759" s="604" t="s">
        <v>355</v>
      </c>
      <c r="W759" s="604">
        <v>5389</v>
      </c>
      <c r="Y759" s="535" t="str">
        <f t="shared" si="100"/>
        <v>2016bwtage4500+Totalfetal</v>
      </c>
      <c r="Z759" s="604">
        <v>2016</v>
      </c>
      <c r="AA759" s="604" t="s">
        <v>447</v>
      </c>
      <c r="AB759" s="604" t="s">
        <v>453</v>
      </c>
      <c r="AC759" s="604" t="s">
        <v>432</v>
      </c>
      <c r="AD759" s="604" t="s">
        <v>44</v>
      </c>
      <c r="AE759" s="604">
        <v>4</v>
      </c>
      <c r="AF759" s="604">
        <v>1423</v>
      </c>
      <c r="AG759" s="604">
        <v>2.8</v>
      </c>
      <c r="AH759" s="604" t="s">
        <v>420</v>
      </c>
      <c r="AJ759" s="535" t="str">
        <f t="shared" si="101"/>
        <v>2016bwtage4500+Total</v>
      </c>
      <c r="AK759" s="604">
        <v>2016</v>
      </c>
      <c r="AL759" s="604" t="s">
        <v>447</v>
      </c>
      <c r="AM759" s="604" t="s">
        <v>453</v>
      </c>
      <c r="AN759" s="604" t="s">
        <v>432</v>
      </c>
      <c r="AO759" s="604" t="s">
        <v>44</v>
      </c>
      <c r="AP759" s="604">
        <v>1423</v>
      </c>
      <c r="AR759" s="538" t="str">
        <f t="shared" si="102"/>
        <v>40+ageinfantHutt Valley</v>
      </c>
      <c r="AS759" s="604">
        <v>2016</v>
      </c>
      <c r="AT759" s="604" t="s">
        <v>134</v>
      </c>
      <c r="AU759" s="604" t="s">
        <v>453</v>
      </c>
      <c r="AV759" s="604" t="s">
        <v>97</v>
      </c>
      <c r="AW759" s="604">
        <v>1</v>
      </c>
      <c r="AX759" s="604">
        <v>87</v>
      </c>
      <c r="AY759" s="606">
        <v>11.5</v>
      </c>
      <c r="AZ759" s="604" t="s">
        <v>437</v>
      </c>
      <c r="BY759" s="553" t="str">
        <f t="shared" si="103"/>
        <v>2016Capital &amp; CoastdhbSIDS</v>
      </c>
      <c r="BZ759" s="604">
        <v>2016</v>
      </c>
      <c r="CA759" s="604" t="s">
        <v>96</v>
      </c>
      <c r="CB759" s="604" t="s">
        <v>448</v>
      </c>
      <c r="CC759" s="604">
        <v>0</v>
      </c>
      <c r="CD759" s="604" t="s">
        <v>32</v>
      </c>
      <c r="CF759" s="696" t="str">
        <f t="shared" si="104"/>
        <v>5yearsAsianTotalOverallSUDI</v>
      </c>
      <c r="CG759" s="604" t="s">
        <v>475</v>
      </c>
      <c r="CH759" s="604" t="s">
        <v>355</v>
      </c>
      <c r="CI759" s="604" t="s">
        <v>44</v>
      </c>
      <c r="CJ759" s="604" t="s">
        <v>104</v>
      </c>
      <c r="CK759" s="604">
        <v>6</v>
      </c>
      <c r="CL759" s="604" t="s">
        <v>33</v>
      </c>
    </row>
    <row r="760" spans="9:90">
      <c r="I760" s="578" t="str">
        <f t="shared" si="98"/>
        <v>1998dhbWaitemataFetal</v>
      </c>
      <c r="J760" s="604">
        <v>1998</v>
      </c>
      <c r="K760" s="604" t="s">
        <v>448</v>
      </c>
      <c r="L760" s="604" t="s">
        <v>86</v>
      </c>
      <c r="M760" s="604">
        <v>34</v>
      </c>
      <c r="N760" s="604">
        <v>6395</v>
      </c>
      <c r="O760" s="604">
        <v>5.3</v>
      </c>
      <c r="P760" s="604" t="s">
        <v>47</v>
      </c>
      <c r="Q760" s="499"/>
      <c r="R760" s="502" t="str">
        <f t="shared" si="99"/>
        <v>2006birthsethEuropean or Other</v>
      </c>
      <c r="S760" s="604">
        <v>2006</v>
      </c>
      <c r="T760" s="604" t="s">
        <v>445</v>
      </c>
      <c r="U760" s="604" t="s">
        <v>449</v>
      </c>
      <c r="V760" s="604" t="s">
        <v>356</v>
      </c>
      <c r="W760" s="604">
        <v>30542</v>
      </c>
      <c r="Y760" s="535" t="str">
        <f t="shared" si="100"/>
        <v>2016bwtageUnknownTotalfetal</v>
      </c>
      <c r="Z760" s="604">
        <v>2016</v>
      </c>
      <c r="AA760" s="604" t="s">
        <v>447</v>
      </c>
      <c r="AB760" s="604" t="s">
        <v>453</v>
      </c>
      <c r="AC760" s="604" t="s">
        <v>63</v>
      </c>
      <c r="AD760" s="604" t="s">
        <v>44</v>
      </c>
      <c r="AE760" s="604">
        <v>18</v>
      </c>
      <c r="AF760" s="604">
        <v>35</v>
      </c>
      <c r="AG760" s="604" t="s">
        <v>119</v>
      </c>
      <c r="AH760" s="604" t="s">
        <v>420</v>
      </c>
      <c r="AJ760" s="535" t="str">
        <f t="shared" si="101"/>
        <v>2016bwtageUnknownTotal</v>
      </c>
      <c r="AK760" s="604">
        <v>2016</v>
      </c>
      <c r="AL760" s="604" t="s">
        <v>447</v>
      </c>
      <c r="AM760" s="604" t="s">
        <v>453</v>
      </c>
      <c r="AN760" s="604" t="s">
        <v>63</v>
      </c>
      <c r="AO760" s="604" t="s">
        <v>44</v>
      </c>
      <c r="AP760" s="604">
        <v>35</v>
      </c>
      <c r="AR760" s="538" t="str">
        <f t="shared" si="102"/>
        <v>&lt;20ageinfantWairarapa</v>
      </c>
      <c r="AS760" s="604">
        <v>2016</v>
      </c>
      <c r="AT760" s="604" t="s">
        <v>339</v>
      </c>
      <c r="AU760" s="604" t="s">
        <v>453</v>
      </c>
      <c r="AV760" s="604" t="s">
        <v>98</v>
      </c>
      <c r="AW760" s="604">
        <v>1</v>
      </c>
      <c r="AX760" s="604">
        <v>27</v>
      </c>
      <c r="AY760" s="606">
        <v>37</v>
      </c>
      <c r="AZ760" s="604" t="s">
        <v>437</v>
      </c>
      <c r="BY760" s="553" t="str">
        <f t="shared" si="103"/>
        <v>2016Hutt ValleydhbSIDS</v>
      </c>
      <c r="BZ760" s="604">
        <v>2016</v>
      </c>
      <c r="CA760" s="604" t="s">
        <v>97</v>
      </c>
      <c r="CB760" s="604" t="s">
        <v>448</v>
      </c>
      <c r="CC760" s="604">
        <v>1</v>
      </c>
      <c r="CD760" s="604" t="s">
        <v>32</v>
      </c>
      <c r="CF760" s="696" t="str">
        <f t="shared" si="104"/>
        <v>5yearsEuropean or OtherTotalOverallSUDI</v>
      </c>
      <c r="CG760" s="604" t="s">
        <v>475</v>
      </c>
      <c r="CH760" s="604" t="s">
        <v>356</v>
      </c>
      <c r="CI760" s="604" t="s">
        <v>44</v>
      </c>
      <c r="CJ760" s="604" t="s">
        <v>104</v>
      </c>
      <c r="CK760" s="604">
        <v>48</v>
      </c>
      <c r="CL760" s="604" t="s">
        <v>33</v>
      </c>
    </row>
    <row r="761" spans="9:90">
      <c r="I761" s="578" t="str">
        <f t="shared" si="98"/>
        <v>1998dhbAucklandFetal</v>
      </c>
      <c r="J761" s="604">
        <v>1998</v>
      </c>
      <c r="K761" s="604" t="s">
        <v>448</v>
      </c>
      <c r="L761" s="604" t="s">
        <v>87</v>
      </c>
      <c r="M761" s="604">
        <v>27</v>
      </c>
      <c r="N761" s="604">
        <v>5953</v>
      </c>
      <c r="O761" s="604">
        <v>4.5</v>
      </c>
      <c r="P761" s="604" t="s">
        <v>47</v>
      </c>
      <c r="Q761" s="499"/>
      <c r="R761" s="502" t="str">
        <f t="shared" si="99"/>
        <v>2007birthsethMaori</v>
      </c>
      <c r="S761" s="604">
        <v>2007</v>
      </c>
      <c r="T761" s="604" t="s">
        <v>445</v>
      </c>
      <c r="U761" s="604" t="s">
        <v>449</v>
      </c>
      <c r="V761" s="604" t="s">
        <v>129</v>
      </c>
      <c r="W761" s="604">
        <v>19338</v>
      </c>
      <c r="Y761" s="535" t="str">
        <f t="shared" si="100"/>
        <v>2016sexethMaleTotalfetal</v>
      </c>
      <c r="Z761" s="604">
        <v>2016</v>
      </c>
      <c r="AA761" s="604" t="s">
        <v>451</v>
      </c>
      <c r="AB761" s="604" t="s">
        <v>449</v>
      </c>
      <c r="AC761" s="604" t="s">
        <v>70</v>
      </c>
      <c r="AD761" s="604" t="s">
        <v>44</v>
      </c>
      <c r="AE761" s="604">
        <v>216</v>
      </c>
      <c r="AF761" s="604">
        <v>31009</v>
      </c>
      <c r="AG761" s="604">
        <v>6.9</v>
      </c>
      <c r="AH761" s="604" t="s">
        <v>420</v>
      </c>
      <c r="AJ761" s="535" t="str">
        <f t="shared" si="101"/>
        <v>2016sexethMaleTotal</v>
      </c>
      <c r="AK761" s="604">
        <v>2016</v>
      </c>
      <c r="AL761" s="604" t="s">
        <v>451</v>
      </c>
      <c r="AM761" s="604" t="s">
        <v>449</v>
      </c>
      <c r="AN761" s="604" t="s">
        <v>70</v>
      </c>
      <c r="AO761" s="604" t="s">
        <v>44</v>
      </c>
      <c r="AP761" s="604">
        <v>31009</v>
      </c>
      <c r="AR761" s="538" t="str">
        <f t="shared" si="102"/>
        <v>25-29ageinfantNelson Marlborough</v>
      </c>
      <c r="AS761" s="604">
        <v>2016</v>
      </c>
      <c r="AT761" s="604" t="s">
        <v>131</v>
      </c>
      <c r="AU761" s="604" t="s">
        <v>453</v>
      </c>
      <c r="AV761" s="604" t="s">
        <v>99</v>
      </c>
      <c r="AW761" s="604">
        <v>2</v>
      </c>
      <c r="AX761" s="604">
        <v>431</v>
      </c>
      <c r="AY761" s="606">
        <v>4.5999999999999996</v>
      </c>
      <c r="AZ761" s="604" t="s">
        <v>437</v>
      </c>
      <c r="BY761" s="553" t="str">
        <f t="shared" si="103"/>
        <v>2016WairarapadhbSIDS</v>
      </c>
      <c r="BZ761" s="604">
        <v>2016</v>
      </c>
      <c r="CA761" s="604" t="s">
        <v>98</v>
      </c>
      <c r="CB761" s="604" t="s">
        <v>448</v>
      </c>
      <c r="CC761" s="604">
        <v>0</v>
      </c>
      <c r="CD761" s="604" t="s">
        <v>32</v>
      </c>
      <c r="CF761" s="696" t="str">
        <f t="shared" si="104"/>
        <v>5yearsMaoriTotalOverallSUDI</v>
      </c>
      <c r="CG761" s="604" t="s">
        <v>475</v>
      </c>
      <c r="CH761" s="604" t="s">
        <v>129</v>
      </c>
      <c r="CI761" s="604" t="s">
        <v>44</v>
      </c>
      <c r="CJ761" s="604" t="s">
        <v>104</v>
      </c>
      <c r="CK761" s="604">
        <v>116</v>
      </c>
      <c r="CL761" s="604" t="s">
        <v>33</v>
      </c>
    </row>
    <row r="762" spans="9:90">
      <c r="I762" s="578" t="str">
        <f t="shared" si="98"/>
        <v>1998dhbCounties ManukauFetal</v>
      </c>
      <c r="J762" s="604">
        <v>1998</v>
      </c>
      <c r="K762" s="604" t="s">
        <v>448</v>
      </c>
      <c r="L762" s="604" t="s">
        <v>88</v>
      </c>
      <c r="M762" s="604">
        <v>70</v>
      </c>
      <c r="N762" s="604">
        <v>7046</v>
      </c>
      <c r="O762" s="604">
        <v>9.9</v>
      </c>
      <c r="P762" s="604" t="s">
        <v>47</v>
      </c>
      <c r="Q762" s="499"/>
      <c r="R762" s="502" t="str">
        <f t="shared" si="99"/>
        <v>2007birthsethPacific peoples</v>
      </c>
      <c r="S762" s="604">
        <v>2007</v>
      </c>
      <c r="T762" s="604" t="s">
        <v>445</v>
      </c>
      <c r="U762" s="604" t="s">
        <v>449</v>
      </c>
      <c r="V762" s="604" t="s">
        <v>320</v>
      </c>
      <c r="W762" s="604">
        <v>7005</v>
      </c>
      <c r="Y762" s="535" t="str">
        <f t="shared" si="100"/>
        <v>2016sexethFemaleTotalfetal</v>
      </c>
      <c r="Z762" s="604">
        <v>2016</v>
      </c>
      <c r="AA762" s="604" t="s">
        <v>451</v>
      </c>
      <c r="AB762" s="604" t="s">
        <v>449</v>
      </c>
      <c r="AC762" s="604" t="s">
        <v>71</v>
      </c>
      <c r="AD762" s="604" t="s">
        <v>44</v>
      </c>
      <c r="AE762" s="604">
        <v>189</v>
      </c>
      <c r="AF762" s="604">
        <v>29427</v>
      </c>
      <c r="AG762" s="604">
        <v>6.4</v>
      </c>
      <c r="AH762" s="604" t="s">
        <v>420</v>
      </c>
      <c r="AJ762" s="535" t="str">
        <f t="shared" si="101"/>
        <v>2016sexethFemaleTotal</v>
      </c>
      <c r="AK762" s="604">
        <v>2016</v>
      </c>
      <c r="AL762" s="604" t="s">
        <v>451</v>
      </c>
      <c r="AM762" s="604" t="s">
        <v>449</v>
      </c>
      <c r="AN762" s="604" t="s">
        <v>71</v>
      </c>
      <c r="AO762" s="604" t="s">
        <v>44</v>
      </c>
      <c r="AP762" s="604">
        <v>29427</v>
      </c>
      <c r="AR762" s="538" t="str">
        <f t="shared" si="102"/>
        <v>&lt;20ageinfantWest Coast</v>
      </c>
      <c r="AS762" s="604">
        <v>2016</v>
      </c>
      <c r="AT762" s="604" t="s">
        <v>339</v>
      </c>
      <c r="AU762" s="604" t="s">
        <v>453</v>
      </c>
      <c r="AV762" s="604" t="s">
        <v>100</v>
      </c>
      <c r="AW762" s="604">
        <v>1</v>
      </c>
      <c r="AX762" s="604">
        <v>17</v>
      </c>
      <c r="AY762" s="606">
        <v>58.8</v>
      </c>
      <c r="AZ762" s="604" t="s">
        <v>437</v>
      </c>
      <c r="BY762" s="553" t="str">
        <f t="shared" si="103"/>
        <v>2016Nelson MarlboroughdhbSIDS</v>
      </c>
      <c r="BZ762" s="604">
        <v>2016</v>
      </c>
      <c r="CA762" s="604" t="s">
        <v>99</v>
      </c>
      <c r="CB762" s="604" t="s">
        <v>448</v>
      </c>
      <c r="CC762" s="604">
        <v>0</v>
      </c>
      <c r="CD762" s="604" t="s">
        <v>32</v>
      </c>
      <c r="CF762" s="696" t="str">
        <f t="shared" si="104"/>
        <v>5yearsPacific peoplesTotalOverallSUDI</v>
      </c>
      <c r="CG762" s="604" t="s">
        <v>475</v>
      </c>
      <c r="CH762" s="604" t="s">
        <v>320</v>
      </c>
      <c r="CI762" s="604" t="s">
        <v>44</v>
      </c>
      <c r="CJ762" s="604" t="s">
        <v>104</v>
      </c>
      <c r="CK762" s="604">
        <v>39</v>
      </c>
      <c r="CL762" s="604" t="s">
        <v>33</v>
      </c>
    </row>
    <row r="763" spans="9:90">
      <c r="I763" s="578" t="str">
        <f t="shared" si="98"/>
        <v>1998dhbWaikatoFetal</v>
      </c>
      <c r="J763" s="604">
        <v>1998</v>
      </c>
      <c r="K763" s="604" t="s">
        <v>448</v>
      </c>
      <c r="L763" s="604" t="s">
        <v>89</v>
      </c>
      <c r="M763" s="604">
        <v>24</v>
      </c>
      <c r="N763" s="604">
        <v>5263</v>
      </c>
      <c r="O763" s="604">
        <v>4.5999999999999996</v>
      </c>
      <c r="P763" s="604" t="s">
        <v>47</v>
      </c>
      <c r="Q763" s="499"/>
      <c r="R763" s="502" t="str">
        <f t="shared" si="99"/>
        <v>2007birthsethAsian</v>
      </c>
      <c r="S763" s="604">
        <v>2007</v>
      </c>
      <c r="T763" s="604" t="s">
        <v>445</v>
      </c>
      <c r="U763" s="604" t="s">
        <v>449</v>
      </c>
      <c r="V763" s="604" t="s">
        <v>355</v>
      </c>
      <c r="W763" s="604">
        <v>6386</v>
      </c>
      <c r="Y763" s="535" t="str">
        <f t="shared" si="100"/>
        <v>2016ageeth&lt;20Totalfetal</v>
      </c>
      <c r="Z763" s="604">
        <v>2016</v>
      </c>
      <c r="AA763" s="604" t="s">
        <v>453</v>
      </c>
      <c r="AB763" s="604" t="s">
        <v>449</v>
      </c>
      <c r="AC763" s="604" t="s">
        <v>339</v>
      </c>
      <c r="AD763" s="604" t="s">
        <v>44</v>
      </c>
      <c r="AE763" s="604">
        <v>36</v>
      </c>
      <c r="AF763" s="604">
        <v>2559</v>
      </c>
      <c r="AG763" s="604">
        <v>13.9</v>
      </c>
      <c r="AH763" s="604" t="s">
        <v>420</v>
      </c>
      <c r="AJ763" s="535" t="str">
        <f t="shared" si="101"/>
        <v>2016ageeth&lt;20Total</v>
      </c>
      <c r="AK763" s="604">
        <v>2016</v>
      </c>
      <c r="AL763" s="604" t="s">
        <v>453</v>
      </c>
      <c r="AM763" s="604" t="s">
        <v>449</v>
      </c>
      <c r="AN763" s="604" t="s">
        <v>339</v>
      </c>
      <c r="AO763" s="604" t="s">
        <v>44</v>
      </c>
      <c r="AP763" s="604">
        <v>2559</v>
      </c>
      <c r="AR763" s="538" t="str">
        <f t="shared" si="102"/>
        <v>20-24ageinfantWest Coast</v>
      </c>
      <c r="AS763" s="604">
        <v>2016</v>
      </c>
      <c r="AT763" s="604" t="s">
        <v>130</v>
      </c>
      <c r="AU763" s="604" t="s">
        <v>453</v>
      </c>
      <c r="AV763" s="604" t="s">
        <v>100</v>
      </c>
      <c r="AW763" s="604">
        <v>1</v>
      </c>
      <c r="AX763" s="604">
        <v>65</v>
      </c>
      <c r="AY763" s="606">
        <v>15.4</v>
      </c>
      <c r="AZ763" s="604" t="s">
        <v>437</v>
      </c>
      <c r="BY763" s="553" t="str">
        <f t="shared" si="103"/>
        <v>2016West CoastdhbSIDS</v>
      </c>
      <c r="BZ763" s="604">
        <v>2016</v>
      </c>
      <c r="CA763" s="604" t="s">
        <v>100</v>
      </c>
      <c r="CB763" s="604" t="s">
        <v>448</v>
      </c>
      <c r="CC763" s="604">
        <v>0</v>
      </c>
      <c r="CD763" s="604" t="s">
        <v>32</v>
      </c>
      <c r="CF763" s="696" t="str">
        <f t="shared" si="104"/>
        <v/>
      </c>
    </row>
    <row r="764" spans="9:90">
      <c r="I764" s="578" t="str">
        <f t="shared" si="98"/>
        <v>1998dhbLakesFetal</v>
      </c>
      <c r="J764" s="604">
        <v>1998</v>
      </c>
      <c r="K764" s="604" t="s">
        <v>448</v>
      </c>
      <c r="L764" s="604" t="s">
        <v>90</v>
      </c>
      <c r="M764" s="604">
        <v>11</v>
      </c>
      <c r="N764" s="604">
        <v>1889</v>
      </c>
      <c r="O764" s="604">
        <v>5.8</v>
      </c>
      <c r="P764" s="604" t="s">
        <v>47</v>
      </c>
      <c r="Q764" s="499"/>
      <c r="R764" s="502" t="str">
        <f t="shared" si="99"/>
        <v>2007birthsethEuropean or Other</v>
      </c>
      <c r="S764" s="604">
        <v>2007</v>
      </c>
      <c r="T764" s="604" t="s">
        <v>445</v>
      </c>
      <c r="U764" s="604" t="s">
        <v>449</v>
      </c>
      <c r="V764" s="604" t="s">
        <v>356</v>
      </c>
      <c r="W764" s="604">
        <v>32392</v>
      </c>
      <c r="Y764" s="535" t="str">
        <f t="shared" si="100"/>
        <v>2016ageeth20-24Totalfetal</v>
      </c>
      <c r="Z764" s="604">
        <v>2016</v>
      </c>
      <c r="AA764" s="604" t="s">
        <v>453</v>
      </c>
      <c r="AB764" s="604" t="s">
        <v>449</v>
      </c>
      <c r="AC764" s="604" t="s">
        <v>130</v>
      </c>
      <c r="AD764" s="604" t="s">
        <v>44</v>
      </c>
      <c r="AE764" s="604">
        <v>73</v>
      </c>
      <c r="AF764" s="604">
        <v>9934</v>
      </c>
      <c r="AG764" s="604">
        <v>7.3</v>
      </c>
      <c r="AH764" s="604" t="s">
        <v>420</v>
      </c>
      <c r="AJ764" s="535" t="str">
        <f t="shared" si="101"/>
        <v>2016ageeth20-24Total</v>
      </c>
      <c r="AK764" s="604">
        <v>2016</v>
      </c>
      <c r="AL764" s="604" t="s">
        <v>453</v>
      </c>
      <c r="AM764" s="604" t="s">
        <v>449</v>
      </c>
      <c r="AN764" s="604" t="s">
        <v>130</v>
      </c>
      <c r="AO764" s="604" t="s">
        <v>44</v>
      </c>
      <c r="AP764" s="604">
        <v>9934</v>
      </c>
      <c r="AR764" s="538" t="str">
        <f t="shared" si="102"/>
        <v>20-24ageinfantCanterbury</v>
      </c>
      <c r="AS764" s="604">
        <v>2016</v>
      </c>
      <c r="AT764" s="604" t="s">
        <v>130</v>
      </c>
      <c r="AU764" s="604" t="s">
        <v>453</v>
      </c>
      <c r="AV764" s="604" t="s">
        <v>101</v>
      </c>
      <c r="AW764" s="604">
        <v>6</v>
      </c>
      <c r="AX764" s="604">
        <v>858</v>
      </c>
      <c r="AY764" s="606">
        <v>7</v>
      </c>
      <c r="AZ764" s="604" t="s">
        <v>437</v>
      </c>
      <c r="BY764" s="553" t="str">
        <f t="shared" si="103"/>
        <v>2016CanterburydhbSIDS</v>
      </c>
      <c r="BZ764" s="604">
        <v>2016</v>
      </c>
      <c r="CA764" s="604" t="s">
        <v>101</v>
      </c>
      <c r="CB764" s="604" t="s">
        <v>448</v>
      </c>
      <c r="CC764" s="604">
        <v>2</v>
      </c>
      <c r="CD764" s="604" t="s">
        <v>32</v>
      </c>
      <c r="CF764" s="696" t="str">
        <f t="shared" si="104"/>
        <v/>
      </c>
    </row>
    <row r="765" spans="9:90">
      <c r="I765" s="578" t="str">
        <f t="shared" si="98"/>
        <v>1998dhbBay of PlentyFetal</v>
      </c>
      <c r="J765" s="604">
        <v>1998</v>
      </c>
      <c r="K765" s="604" t="s">
        <v>448</v>
      </c>
      <c r="L765" s="604" t="s">
        <v>91</v>
      </c>
      <c r="M765" s="604">
        <v>13</v>
      </c>
      <c r="N765" s="604">
        <v>2759</v>
      </c>
      <c r="O765" s="604">
        <v>4.7</v>
      </c>
      <c r="P765" s="604" t="s">
        <v>47</v>
      </c>
      <c r="Q765" s="499"/>
      <c r="R765" s="502" t="str">
        <f t="shared" si="99"/>
        <v>2008birthsethMaori</v>
      </c>
      <c r="S765" s="604">
        <v>2008</v>
      </c>
      <c r="T765" s="604" t="s">
        <v>445</v>
      </c>
      <c r="U765" s="604" t="s">
        <v>449</v>
      </c>
      <c r="V765" s="604" t="s">
        <v>129</v>
      </c>
      <c r="W765" s="604">
        <v>19452</v>
      </c>
      <c r="Y765" s="535" t="str">
        <f t="shared" si="100"/>
        <v>2016ageeth25-29Totalfetal</v>
      </c>
      <c r="Z765" s="604">
        <v>2016</v>
      </c>
      <c r="AA765" s="604" t="s">
        <v>453</v>
      </c>
      <c r="AB765" s="604" t="s">
        <v>449</v>
      </c>
      <c r="AC765" s="604" t="s">
        <v>131</v>
      </c>
      <c r="AD765" s="604" t="s">
        <v>44</v>
      </c>
      <c r="AE765" s="604">
        <v>103</v>
      </c>
      <c r="AF765" s="604">
        <v>16664</v>
      </c>
      <c r="AG765" s="604">
        <v>6.1</v>
      </c>
      <c r="AH765" s="604" t="s">
        <v>420</v>
      </c>
      <c r="AJ765" s="535" t="str">
        <f t="shared" si="101"/>
        <v>2016ageeth25-29Total</v>
      </c>
      <c r="AK765" s="604">
        <v>2016</v>
      </c>
      <c r="AL765" s="604" t="s">
        <v>453</v>
      </c>
      <c r="AM765" s="604" t="s">
        <v>449</v>
      </c>
      <c r="AN765" s="604" t="s">
        <v>131</v>
      </c>
      <c r="AO765" s="604" t="s">
        <v>44</v>
      </c>
      <c r="AP765" s="604">
        <v>16664</v>
      </c>
      <c r="AR765" s="538" t="str">
        <f t="shared" si="102"/>
        <v>25-29ageinfantCanterbury</v>
      </c>
      <c r="AS765" s="604">
        <v>2016</v>
      </c>
      <c r="AT765" s="604" t="s">
        <v>131</v>
      </c>
      <c r="AU765" s="604" t="s">
        <v>453</v>
      </c>
      <c r="AV765" s="604" t="s">
        <v>101</v>
      </c>
      <c r="AW765" s="604">
        <v>7</v>
      </c>
      <c r="AX765" s="604">
        <v>1811</v>
      </c>
      <c r="AY765" s="606">
        <v>3.9</v>
      </c>
      <c r="AZ765" s="604" t="s">
        <v>437</v>
      </c>
      <c r="BY765" s="553" t="str">
        <f t="shared" si="103"/>
        <v>2016South CanterburydhbSIDS</v>
      </c>
      <c r="BZ765" s="604">
        <v>2016</v>
      </c>
      <c r="CA765" s="604" t="s">
        <v>102</v>
      </c>
      <c r="CB765" s="604" t="s">
        <v>448</v>
      </c>
      <c r="CC765" s="604">
        <v>0</v>
      </c>
      <c r="CD765" s="604" t="s">
        <v>32</v>
      </c>
    </row>
    <row r="766" spans="9:90">
      <c r="I766" s="578" t="str">
        <f t="shared" si="98"/>
        <v>1998dhbTairawhitiFetal</v>
      </c>
      <c r="J766" s="604">
        <v>1998</v>
      </c>
      <c r="K766" s="604" t="s">
        <v>448</v>
      </c>
      <c r="L766" s="604" t="s">
        <v>433</v>
      </c>
      <c r="M766" s="604">
        <v>3</v>
      </c>
      <c r="N766" s="604">
        <v>839</v>
      </c>
      <c r="O766" s="604">
        <v>3.6</v>
      </c>
      <c r="P766" s="604" t="s">
        <v>47</v>
      </c>
      <c r="Q766" s="499"/>
      <c r="R766" s="502" t="str">
        <f t="shared" si="99"/>
        <v>2008birthsethPacific peoples</v>
      </c>
      <c r="S766" s="604">
        <v>2008</v>
      </c>
      <c r="T766" s="604" t="s">
        <v>445</v>
      </c>
      <c r="U766" s="604" t="s">
        <v>449</v>
      </c>
      <c r="V766" s="604" t="s">
        <v>320</v>
      </c>
      <c r="W766" s="604">
        <v>7221</v>
      </c>
      <c r="Y766" s="535" t="str">
        <f t="shared" si="100"/>
        <v>2016ageeth30-34Totalfetal</v>
      </c>
      <c r="Z766" s="604">
        <v>2016</v>
      </c>
      <c r="AA766" s="604" t="s">
        <v>453</v>
      </c>
      <c r="AB766" s="604" t="s">
        <v>449</v>
      </c>
      <c r="AC766" s="604" t="s">
        <v>132</v>
      </c>
      <c r="AD766" s="604" t="s">
        <v>44</v>
      </c>
      <c r="AE766" s="604">
        <v>115</v>
      </c>
      <c r="AF766" s="604">
        <v>18720</v>
      </c>
      <c r="AG766" s="604">
        <v>6.1</v>
      </c>
      <c r="AH766" s="604" t="s">
        <v>420</v>
      </c>
      <c r="AJ766" s="535" t="str">
        <f t="shared" si="101"/>
        <v>2016ageeth30-34Total</v>
      </c>
      <c r="AK766" s="604">
        <v>2016</v>
      </c>
      <c r="AL766" s="604" t="s">
        <v>453</v>
      </c>
      <c r="AM766" s="604" t="s">
        <v>449</v>
      </c>
      <c r="AN766" s="604" t="s">
        <v>132</v>
      </c>
      <c r="AO766" s="604" t="s">
        <v>44</v>
      </c>
      <c r="AP766" s="604">
        <v>18720</v>
      </c>
      <c r="AR766" s="538" t="str">
        <f t="shared" si="102"/>
        <v>30-34ageinfantCanterbury</v>
      </c>
      <c r="AS766" s="604">
        <v>2016</v>
      </c>
      <c r="AT766" s="604" t="s">
        <v>132</v>
      </c>
      <c r="AU766" s="604" t="s">
        <v>453</v>
      </c>
      <c r="AV766" s="604" t="s">
        <v>101</v>
      </c>
      <c r="AW766" s="604">
        <v>6</v>
      </c>
      <c r="AX766" s="604">
        <v>2148</v>
      </c>
      <c r="AY766" s="606">
        <v>2.8</v>
      </c>
      <c r="AZ766" s="604" t="s">
        <v>437</v>
      </c>
      <c r="BY766" s="553" t="str">
        <f t="shared" si="103"/>
        <v>2016SoutherndhbSIDS</v>
      </c>
      <c r="BZ766" s="604">
        <v>2016</v>
      </c>
      <c r="CA766" s="604" t="s">
        <v>103</v>
      </c>
      <c r="CB766" s="604" t="s">
        <v>448</v>
      </c>
      <c r="CC766" s="604">
        <v>2</v>
      </c>
      <c r="CD766" s="604" t="s">
        <v>32</v>
      </c>
    </row>
    <row r="767" spans="9:90">
      <c r="I767" s="578" t="str">
        <f t="shared" si="98"/>
        <v>1998dhbHawke's BayFetal</v>
      </c>
      <c r="J767" s="604">
        <v>1998</v>
      </c>
      <c r="K767" s="604" t="s">
        <v>448</v>
      </c>
      <c r="L767" s="604" t="s">
        <v>92</v>
      </c>
      <c r="M767" s="604">
        <v>12</v>
      </c>
      <c r="N767" s="604">
        <v>2315</v>
      </c>
      <c r="O767" s="604">
        <v>5.2</v>
      </c>
      <c r="P767" s="604" t="s">
        <v>47</v>
      </c>
      <c r="Q767" s="499"/>
      <c r="R767" s="502" t="str">
        <f t="shared" si="99"/>
        <v>2008birthsethAsian</v>
      </c>
      <c r="S767" s="604">
        <v>2008</v>
      </c>
      <c r="T767" s="604" t="s">
        <v>445</v>
      </c>
      <c r="U767" s="604" t="s">
        <v>449</v>
      </c>
      <c r="V767" s="604" t="s">
        <v>355</v>
      </c>
      <c r="W767" s="604">
        <v>6557</v>
      </c>
      <c r="Y767" s="535" t="str">
        <f t="shared" si="100"/>
        <v>2016ageeth35-39Totalfetal</v>
      </c>
      <c r="Z767" s="604">
        <v>2016</v>
      </c>
      <c r="AA767" s="604" t="s">
        <v>453</v>
      </c>
      <c r="AB767" s="604" t="s">
        <v>449</v>
      </c>
      <c r="AC767" s="604" t="s">
        <v>133</v>
      </c>
      <c r="AD767" s="604" t="s">
        <v>44</v>
      </c>
      <c r="AE767" s="604">
        <v>70</v>
      </c>
      <c r="AF767" s="604">
        <v>10105</v>
      </c>
      <c r="AG767" s="604">
        <v>6.9</v>
      </c>
      <c r="AH767" s="604" t="s">
        <v>420</v>
      </c>
      <c r="AJ767" s="535" t="str">
        <f t="shared" si="101"/>
        <v>2016ageeth35-39Total</v>
      </c>
      <c r="AK767" s="604">
        <v>2016</v>
      </c>
      <c r="AL767" s="604" t="s">
        <v>453</v>
      </c>
      <c r="AM767" s="604" t="s">
        <v>449</v>
      </c>
      <c r="AN767" s="604" t="s">
        <v>133</v>
      </c>
      <c r="AO767" s="604" t="s">
        <v>44</v>
      </c>
      <c r="AP767" s="604">
        <v>10105</v>
      </c>
      <c r="AR767" s="538" t="str">
        <f t="shared" si="102"/>
        <v>35-39ageinfantCanterbury</v>
      </c>
      <c r="AS767" s="604">
        <v>2016</v>
      </c>
      <c r="AT767" s="604" t="s">
        <v>133</v>
      </c>
      <c r="AU767" s="604" t="s">
        <v>453</v>
      </c>
      <c r="AV767" s="604" t="s">
        <v>101</v>
      </c>
      <c r="AW767" s="604">
        <v>2</v>
      </c>
      <c r="AX767" s="604">
        <v>1124</v>
      </c>
      <c r="AY767" s="606">
        <v>1.8</v>
      </c>
      <c r="AZ767" s="604" t="s">
        <v>437</v>
      </c>
      <c r="BY767" s="553" t="str">
        <f t="shared" si="103"/>
        <v>2016UnknowndhbSIDS</v>
      </c>
      <c r="BZ767" s="604">
        <v>2016</v>
      </c>
      <c r="CA767" s="604" t="s">
        <v>63</v>
      </c>
      <c r="CB767" s="604" t="s">
        <v>448</v>
      </c>
      <c r="CC767" s="604">
        <v>0</v>
      </c>
      <c r="CD767" s="604" t="s">
        <v>32</v>
      </c>
    </row>
    <row r="768" spans="9:90">
      <c r="I768" s="578" t="str">
        <f t="shared" si="98"/>
        <v>1998dhbTaranakiFetal</v>
      </c>
      <c r="J768" s="604">
        <v>1998</v>
      </c>
      <c r="K768" s="604" t="s">
        <v>448</v>
      </c>
      <c r="L768" s="604" t="s">
        <v>93</v>
      </c>
      <c r="M768" s="604">
        <v>9</v>
      </c>
      <c r="N768" s="604">
        <v>1513</v>
      </c>
      <c r="O768" s="604">
        <v>5.9</v>
      </c>
      <c r="P768" s="604" t="s">
        <v>47</v>
      </c>
      <c r="Q768" s="499"/>
      <c r="R768" s="502" t="str">
        <f t="shared" si="99"/>
        <v>2008birthsethEuropean or Other</v>
      </c>
      <c r="S768" s="604">
        <v>2008</v>
      </c>
      <c r="T768" s="604" t="s">
        <v>445</v>
      </c>
      <c r="U768" s="604" t="s">
        <v>449</v>
      </c>
      <c r="V768" s="604" t="s">
        <v>356</v>
      </c>
      <c r="W768" s="604">
        <v>32103</v>
      </c>
      <c r="Y768" s="535" t="str">
        <f t="shared" si="100"/>
        <v>2016ageeth40+Totalfetal</v>
      </c>
      <c r="Z768" s="604">
        <v>2016</v>
      </c>
      <c r="AA768" s="604" t="s">
        <v>453</v>
      </c>
      <c r="AB768" s="604" t="s">
        <v>449</v>
      </c>
      <c r="AC768" s="604" t="s">
        <v>134</v>
      </c>
      <c r="AD768" s="604" t="s">
        <v>44</v>
      </c>
      <c r="AE768" s="604">
        <v>16</v>
      </c>
      <c r="AF768" s="604">
        <v>2454</v>
      </c>
      <c r="AG768" s="604">
        <v>6.5</v>
      </c>
      <c r="AH768" s="604" t="s">
        <v>420</v>
      </c>
      <c r="AJ768" s="535" t="str">
        <f t="shared" si="101"/>
        <v>2016ageeth40+Total</v>
      </c>
      <c r="AK768" s="604">
        <v>2016</v>
      </c>
      <c r="AL768" s="604" t="s">
        <v>453</v>
      </c>
      <c r="AM768" s="604" t="s">
        <v>449</v>
      </c>
      <c r="AN768" s="604" t="s">
        <v>134</v>
      </c>
      <c r="AO768" s="604" t="s">
        <v>44</v>
      </c>
      <c r="AP768" s="604">
        <v>2454</v>
      </c>
      <c r="AR768" s="538" t="str">
        <f t="shared" si="102"/>
        <v>20-24ageinfantSouth Canterbury</v>
      </c>
      <c r="AS768" s="604">
        <v>2016</v>
      </c>
      <c r="AT768" s="604" t="s">
        <v>130</v>
      </c>
      <c r="AU768" s="604" t="s">
        <v>453</v>
      </c>
      <c r="AV768" s="604" t="s">
        <v>102</v>
      </c>
      <c r="AW768" s="604">
        <v>1</v>
      </c>
      <c r="AX768" s="604">
        <v>121</v>
      </c>
      <c r="AY768" s="606">
        <v>8.3000000000000007</v>
      </c>
      <c r="AZ768" s="604" t="s">
        <v>437</v>
      </c>
      <c r="BY768" s="553" t="str">
        <f t="shared" si="103"/>
        <v>2000&lt;28gestSIDS</v>
      </c>
      <c r="BZ768" s="604">
        <v>2000</v>
      </c>
      <c r="CA768" s="604" t="s">
        <v>375</v>
      </c>
      <c r="CB768" s="604" t="s">
        <v>450</v>
      </c>
      <c r="CC768" s="604">
        <v>0</v>
      </c>
      <c r="CD768" s="604" t="s">
        <v>32</v>
      </c>
    </row>
    <row r="769" spans="9:82">
      <c r="I769" s="578" t="str">
        <f t="shared" si="98"/>
        <v>1998dhbMidCentralFetal</v>
      </c>
      <c r="J769" s="604">
        <v>1998</v>
      </c>
      <c r="K769" s="604" t="s">
        <v>448</v>
      </c>
      <c r="L769" s="604" t="s">
        <v>94</v>
      </c>
      <c r="M769" s="604">
        <v>19</v>
      </c>
      <c r="N769" s="604">
        <v>2399</v>
      </c>
      <c r="O769" s="604">
        <v>7.9</v>
      </c>
      <c r="P769" s="604" t="s">
        <v>47</v>
      </c>
      <c r="Q769" s="499"/>
      <c r="R769" s="502" t="str">
        <f t="shared" si="99"/>
        <v>2009birthsethMaori</v>
      </c>
      <c r="S769" s="604">
        <v>2009</v>
      </c>
      <c r="T769" s="604" t="s">
        <v>445</v>
      </c>
      <c r="U769" s="604" t="s">
        <v>449</v>
      </c>
      <c r="V769" s="604" t="s">
        <v>129</v>
      </c>
      <c r="W769" s="604">
        <v>18470</v>
      </c>
      <c r="Y769" s="535" t="str">
        <f t="shared" si="100"/>
        <v>2016depethQuin 1Totalfetal</v>
      </c>
      <c r="Z769" s="604">
        <v>2016</v>
      </c>
      <c r="AA769" s="604" t="s">
        <v>454</v>
      </c>
      <c r="AB769" s="604" t="s">
        <v>449</v>
      </c>
      <c r="AC769" s="604" t="s">
        <v>421</v>
      </c>
      <c r="AD769" s="604" t="s">
        <v>44</v>
      </c>
      <c r="AE769" s="604">
        <v>43</v>
      </c>
      <c r="AF769" s="604">
        <v>9194</v>
      </c>
      <c r="AG769" s="604">
        <v>4.7</v>
      </c>
      <c r="AH769" s="604" t="s">
        <v>420</v>
      </c>
      <c r="AJ769" s="535" t="str">
        <f t="shared" si="101"/>
        <v>2016depethQuin 1Total</v>
      </c>
      <c r="AK769" s="604">
        <v>2016</v>
      </c>
      <c r="AL769" s="604" t="s">
        <v>454</v>
      </c>
      <c r="AM769" s="604" t="s">
        <v>449</v>
      </c>
      <c r="AN769" s="604" t="s">
        <v>421</v>
      </c>
      <c r="AO769" s="604" t="s">
        <v>44</v>
      </c>
      <c r="AP769" s="604">
        <v>9194</v>
      </c>
      <c r="AR769" s="538" t="str">
        <f t="shared" si="102"/>
        <v>25-29ageinfantSouth Canterbury</v>
      </c>
      <c r="AS769" s="604">
        <v>2016</v>
      </c>
      <c r="AT769" s="604" t="s">
        <v>131</v>
      </c>
      <c r="AU769" s="604" t="s">
        <v>453</v>
      </c>
      <c r="AV769" s="604" t="s">
        <v>102</v>
      </c>
      <c r="AW769" s="604">
        <v>1</v>
      </c>
      <c r="AX769" s="604">
        <v>217</v>
      </c>
      <c r="AY769" s="606">
        <v>4.5999999999999996</v>
      </c>
      <c r="AZ769" s="604" t="s">
        <v>437</v>
      </c>
      <c r="BY769" s="553" t="str">
        <f t="shared" si="103"/>
        <v>200028-31gestSIDS</v>
      </c>
      <c r="BZ769" s="604">
        <v>2000</v>
      </c>
      <c r="CA769" s="604" t="s">
        <v>395</v>
      </c>
      <c r="CB769" s="604" t="s">
        <v>450</v>
      </c>
      <c r="CC769" s="604">
        <v>1</v>
      </c>
      <c r="CD769" s="604" t="s">
        <v>32</v>
      </c>
    </row>
    <row r="770" spans="9:82">
      <c r="I770" s="578" t="str">
        <f t="shared" si="98"/>
        <v>1998dhbWhanganuiFetal</v>
      </c>
      <c r="J770" s="604">
        <v>1998</v>
      </c>
      <c r="K770" s="604" t="s">
        <v>448</v>
      </c>
      <c r="L770" s="604" t="s">
        <v>95</v>
      </c>
      <c r="M770" s="604">
        <v>8</v>
      </c>
      <c r="N770" s="604">
        <v>1090</v>
      </c>
      <c r="O770" s="604">
        <v>7.3</v>
      </c>
      <c r="P770" s="604" t="s">
        <v>47</v>
      </c>
      <c r="Q770" s="499"/>
      <c r="R770" s="502" t="str">
        <f t="shared" si="99"/>
        <v>2009birthsethPacific peoples</v>
      </c>
      <c r="S770" s="604">
        <v>2009</v>
      </c>
      <c r="T770" s="604" t="s">
        <v>445</v>
      </c>
      <c r="U770" s="604" t="s">
        <v>449</v>
      </c>
      <c r="V770" s="604" t="s">
        <v>320</v>
      </c>
      <c r="W770" s="604">
        <v>7124</v>
      </c>
      <c r="Y770" s="535" t="str">
        <f t="shared" si="100"/>
        <v>2016depethQuin 2Totalfetal</v>
      </c>
      <c r="Z770" s="604">
        <v>2016</v>
      </c>
      <c r="AA770" s="604" t="s">
        <v>454</v>
      </c>
      <c r="AB770" s="604" t="s">
        <v>449</v>
      </c>
      <c r="AC770" s="604" t="s">
        <v>422</v>
      </c>
      <c r="AD770" s="604" t="s">
        <v>44</v>
      </c>
      <c r="AE770" s="604">
        <v>64</v>
      </c>
      <c r="AF770" s="604">
        <v>10123</v>
      </c>
      <c r="AG770" s="604">
        <v>6.3</v>
      </c>
      <c r="AH770" s="604" t="s">
        <v>420</v>
      </c>
      <c r="AJ770" s="535" t="str">
        <f t="shared" si="101"/>
        <v>2016depethQuin 2Total</v>
      </c>
      <c r="AK770" s="604">
        <v>2016</v>
      </c>
      <c r="AL770" s="604" t="s">
        <v>454</v>
      </c>
      <c r="AM770" s="604" t="s">
        <v>449</v>
      </c>
      <c r="AN770" s="604" t="s">
        <v>422</v>
      </c>
      <c r="AO770" s="604" t="s">
        <v>44</v>
      </c>
      <c r="AP770" s="604">
        <v>10123</v>
      </c>
      <c r="AR770" s="538" t="str">
        <f t="shared" si="102"/>
        <v>30-34ageinfantSouth Canterbury</v>
      </c>
      <c r="AS770" s="604">
        <v>2016</v>
      </c>
      <c r="AT770" s="604" t="s">
        <v>132</v>
      </c>
      <c r="AU770" s="604" t="s">
        <v>453</v>
      </c>
      <c r="AV770" s="604" t="s">
        <v>102</v>
      </c>
      <c r="AW770" s="604">
        <v>1</v>
      </c>
      <c r="AX770" s="604">
        <v>189</v>
      </c>
      <c r="AY770" s="606">
        <v>5.3</v>
      </c>
      <c r="AZ770" s="604" t="s">
        <v>437</v>
      </c>
      <c r="BY770" s="553" t="str">
        <f t="shared" si="103"/>
        <v>200032-36gestSIDS</v>
      </c>
      <c r="BZ770" s="604">
        <v>2000</v>
      </c>
      <c r="CA770" s="604" t="s">
        <v>136</v>
      </c>
      <c r="CB770" s="604" t="s">
        <v>450</v>
      </c>
      <c r="CC770" s="604">
        <v>15</v>
      </c>
      <c r="CD770" s="604" t="s">
        <v>32</v>
      </c>
    </row>
    <row r="771" spans="9:82">
      <c r="I771" s="578" t="str">
        <f t="shared" si="98"/>
        <v>1998dhbCapital &amp; CoastFetal</v>
      </c>
      <c r="J771" s="604">
        <v>1998</v>
      </c>
      <c r="K771" s="604" t="s">
        <v>448</v>
      </c>
      <c r="L771" s="604" t="s">
        <v>96</v>
      </c>
      <c r="M771" s="604">
        <v>29</v>
      </c>
      <c r="N771" s="604">
        <v>3595</v>
      </c>
      <c r="O771" s="604">
        <v>8.1</v>
      </c>
      <c r="P771" s="604" t="s">
        <v>47</v>
      </c>
      <c r="Q771" s="499"/>
      <c r="R771" s="502" t="str">
        <f t="shared" si="99"/>
        <v>2009birthsethAsian</v>
      </c>
      <c r="S771" s="604">
        <v>2009</v>
      </c>
      <c r="T771" s="604" t="s">
        <v>445</v>
      </c>
      <c r="U771" s="604" t="s">
        <v>449</v>
      </c>
      <c r="V771" s="604" t="s">
        <v>355</v>
      </c>
      <c r="W771" s="604">
        <v>6763</v>
      </c>
      <c r="Y771" s="535" t="str">
        <f t="shared" si="100"/>
        <v>2016depethQuin 3Totalfetal</v>
      </c>
      <c r="Z771" s="604">
        <v>2016</v>
      </c>
      <c r="AA771" s="604" t="s">
        <v>454</v>
      </c>
      <c r="AB771" s="604" t="s">
        <v>449</v>
      </c>
      <c r="AC771" s="604" t="s">
        <v>423</v>
      </c>
      <c r="AD771" s="604" t="s">
        <v>44</v>
      </c>
      <c r="AE771" s="604">
        <v>68</v>
      </c>
      <c r="AF771" s="604">
        <v>10971</v>
      </c>
      <c r="AG771" s="604">
        <v>6.2</v>
      </c>
      <c r="AH771" s="604" t="s">
        <v>420</v>
      </c>
      <c r="AJ771" s="535" t="str">
        <f t="shared" si="101"/>
        <v>2016depethQuin 3Total</v>
      </c>
      <c r="AK771" s="604">
        <v>2016</v>
      </c>
      <c r="AL771" s="604" t="s">
        <v>454</v>
      </c>
      <c r="AM771" s="604" t="s">
        <v>449</v>
      </c>
      <c r="AN771" s="604" t="s">
        <v>423</v>
      </c>
      <c r="AO771" s="604" t="s">
        <v>44</v>
      </c>
      <c r="AP771" s="604">
        <v>10971</v>
      </c>
      <c r="AR771" s="538" t="str">
        <f t="shared" si="102"/>
        <v>20-24ageinfantSouthern</v>
      </c>
      <c r="AS771" s="604">
        <v>2016</v>
      </c>
      <c r="AT771" s="604" t="s">
        <v>130</v>
      </c>
      <c r="AU771" s="604" t="s">
        <v>453</v>
      </c>
      <c r="AV771" s="604" t="s">
        <v>103</v>
      </c>
      <c r="AW771" s="604">
        <v>2</v>
      </c>
      <c r="AX771" s="604">
        <v>531</v>
      </c>
      <c r="AY771" s="606">
        <v>3.8</v>
      </c>
      <c r="AZ771" s="604" t="s">
        <v>437</v>
      </c>
      <c r="BY771" s="553" t="str">
        <f t="shared" si="103"/>
        <v>200037-41gestSIDS</v>
      </c>
      <c r="BZ771" s="604">
        <v>2000</v>
      </c>
      <c r="CA771" s="604" t="s">
        <v>137</v>
      </c>
      <c r="CB771" s="604" t="s">
        <v>450</v>
      </c>
      <c r="CC771" s="604">
        <v>47</v>
      </c>
      <c r="CD771" s="604" t="s">
        <v>32</v>
      </c>
    </row>
    <row r="772" spans="9:82">
      <c r="I772" s="578" t="str">
        <f t="shared" ref="I772:I835" si="105">J772&amp;K772&amp;L772&amp;P772</f>
        <v>1998dhbHutt ValleyFetal</v>
      </c>
      <c r="J772" s="604">
        <v>1998</v>
      </c>
      <c r="K772" s="604" t="s">
        <v>448</v>
      </c>
      <c r="L772" s="604" t="s">
        <v>97</v>
      </c>
      <c r="M772" s="604">
        <v>10</v>
      </c>
      <c r="N772" s="604">
        <v>2126</v>
      </c>
      <c r="O772" s="604">
        <v>4.7</v>
      </c>
      <c r="P772" s="604" t="s">
        <v>47</v>
      </c>
      <c r="Q772" s="499"/>
      <c r="R772" s="502" t="str">
        <f t="shared" ref="R772:R835" si="106">S772&amp;T772&amp;U772&amp;V772</f>
        <v>2009birthsethEuropean or Other</v>
      </c>
      <c r="S772" s="604">
        <v>2009</v>
      </c>
      <c r="T772" s="604" t="s">
        <v>445</v>
      </c>
      <c r="U772" s="604" t="s">
        <v>449</v>
      </c>
      <c r="V772" s="604" t="s">
        <v>356</v>
      </c>
      <c r="W772" s="604">
        <v>30928</v>
      </c>
      <c r="Y772" s="535" t="str">
        <f t="shared" ref="Y772:Y835" si="107">Z772&amp;AA772&amp;AB772&amp;AC772&amp;AD772&amp;AH772</f>
        <v>2016depethQuin 4Totalfetal</v>
      </c>
      <c r="Z772" s="604">
        <v>2016</v>
      </c>
      <c r="AA772" s="604" t="s">
        <v>454</v>
      </c>
      <c r="AB772" s="604" t="s">
        <v>449</v>
      </c>
      <c r="AC772" s="604" t="s">
        <v>424</v>
      </c>
      <c r="AD772" s="604" t="s">
        <v>44</v>
      </c>
      <c r="AE772" s="604">
        <v>90</v>
      </c>
      <c r="AF772" s="604">
        <v>13131</v>
      </c>
      <c r="AG772" s="604">
        <v>6.8</v>
      </c>
      <c r="AH772" s="604" t="s">
        <v>420</v>
      </c>
      <c r="AJ772" s="535" t="str">
        <f t="shared" ref="AJ772:AJ817" si="108">AK772&amp;AL772&amp;AM772&amp;AN772&amp;AO772</f>
        <v>2016depethQuin 4Total</v>
      </c>
      <c r="AK772" s="604">
        <v>2016</v>
      </c>
      <c r="AL772" s="604" t="s">
        <v>454</v>
      </c>
      <c r="AM772" s="604" t="s">
        <v>449</v>
      </c>
      <c r="AN772" s="604" t="s">
        <v>424</v>
      </c>
      <c r="AO772" s="604" t="s">
        <v>44</v>
      </c>
      <c r="AP772" s="604">
        <v>13131</v>
      </c>
      <c r="AR772" s="538" t="str">
        <f t="shared" ref="AR772:AR835" si="109">AT772&amp;AU772&amp;AZ772&amp;AV772</f>
        <v>25-29ageinfantSouthern</v>
      </c>
      <c r="AS772" s="604">
        <v>2016</v>
      </c>
      <c r="AT772" s="604" t="s">
        <v>131</v>
      </c>
      <c r="AU772" s="604" t="s">
        <v>453</v>
      </c>
      <c r="AV772" s="604" t="s">
        <v>103</v>
      </c>
      <c r="AW772" s="604">
        <v>2</v>
      </c>
      <c r="AX772" s="604">
        <v>899</v>
      </c>
      <c r="AY772" s="606">
        <v>2.2000000000000002</v>
      </c>
      <c r="AZ772" s="604" t="s">
        <v>437</v>
      </c>
      <c r="BY772" s="553" t="str">
        <f t="shared" ref="BY772:BY835" si="110">BZ772&amp;CA772&amp;CB772&amp;CD772</f>
        <v>200042+gestSIDS</v>
      </c>
      <c r="BZ772" s="604">
        <v>2000</v>
      </c>
      <c r="CA772" s="604" t="s">
        <v>138</v>
      </c>
      <c r="CB772" s="604" t="s">
        <v>450</v>
      </c>
      <c r="CC772" s="604">
        <v>0</v>
      </c>
      <c r="CD772" s="604" t="s">
        <v>32</v>
      </c>
    </row>
    <row r="773" spans="9:82">
      <c r="I773" s="578" t="str">
        <f t="shared" si="105"/>
        <v>1998dhbWairarapaFetal</v>
      </c>
      <c r="J773" s="604">
        <v>1998</v>
      </c>
      <c r="K773" s="604" t="s">
        <v>448</v>
      </c>
      <c r="L773" s="604" t="s">
        <v>98</v>
      </c>
      <c r="M773" s="604">
        <v>3</v>
      </c>
      <c r="N773" s="604">
        <v>566</v>
      </c>
      <c r="O773" s="604">
        <v>5.3</v>
      </c>
      <c r="P773" s="604" t="s">
        <v>47</v>
      </c>
      <c r="Q773" s="499"/>
      <c r="R773" s="502" t="str">
        <f t="shared" si="106"/>
        <v>2010birthsethMaori</v>
      </c>
      <c r="S773" s="604">
        <v>2010</v>
      </c>
      <c r="T773" s="604" t="s">
        <v>445</v>
      </c>
      <c r="U773" s="604" t="s">
        <v>449</v>
      </c>
      <c r="V773" s="604" t="s">
        <v>129</v>
      </c>
      <c r="W773" s="604">
        <v>18893</v>
      </c>
      <c r="Y773" s="535" t="str">
        <f t="shared" si="107"/>
        <v>2016depethQuin 5Totalfetal</v>
      </c>
      <c r="Z773" s="604">
        <v>2016</v>
      </c>
      <c r="AA773" s="604" t="s">
        <v>454</v>
      </c>
      <c r="AB773" s="604" t="s">
        <v>449</v>
      </c>
      <c r="AC773" s="604" t="s">
        <v>425</v>
      </c>
      <c r="AD773" s="604" t="s">
        <v>44</v>
      </c>
      <c r="AE773" s="604">
        <v>126</v>
      </c>
      <c r="AF773" s="604">
        <v>16886</v>
      </c>
      <c r="AG773" s="604">
        <v>7.4</v>
      </c>
      <c r="AH773" s="604" t="s">
        <v>420</v>
      </c>
      <c r="AJ773" s="535" t="str">
        <f t="shared" si="108"/>
        <v>2016depethQuin 5Total</v>
      </c>
      <c r="AK773" s="604">
        <v>2016</v>
      </c>
      <c r="AL773" s="604" t="s">
        <v>454</v>
      </c>
      <c r="AM773" s="604" t="s">
        <v>449</v>
      </c>
      <c r="AN773" s="604" t="s">
        <v>425</v>
      </c>
      <c r="AO773" s="604" t="s">
        <v>44</v>
      </c>
      <c r="AP773" s="604">
        <v>16886</v>
      </c>
      <c r="AR773" s="538" t="str">
        <f t="shared" si="109"/>
        <v>30-34ageinfantSouthern</v>
      </c>
      <c r="AS773" s="604">
        <v>2016</v>
      </c>
      <c r="AT773" s="604" t="s">
        <v>132</v>
      </c>
      <c r="AU773" s="604" t="s">
        <v>453</v>
      </c>
      <c r="AV773" s="604" t="s">
        <v>103</v>
      </c>
      <c r="AW773" s="604">
        <v>3</v>
      </c>
      <c r="AX773" s="604">
        <v>1131</v>
      </c>
      <c r="AY773" s="606">
        <v>2.7</v>
      </c>
      <c r="AZ773" s="604" t="s">
        <v>437</v>
      </c>
      <c r="BY773" s="553" t="str">
        <f t="shared" si="110"/>
        <v>2000UnknowngestSIDS</v>
      </c>
      <c r="BZ773" s="604">
        <v>2000</v>
      </c>
      <c r="CA773" s="604" t="s">
        <v>63</v>
      </c>
      <c r="CB773" s="604" t="s">
        <v>450</v>
      </c>
      <c r="CC773" s="604">
        <v>0</v>
      </c>
      <c r="CD773" s="604" t="s">
        <v>32</v>
      </c>
    </row>
    <row r="774" spans="9:82">
      <c r="I774" s="578" t="str">
        <f t="shared" si="105"/>
        <v>1998dhbNelson MarlboroughFetal</v>
      </c>
      <c r="J774" s="604">
        <v>1998</v>
      </c>
      <c r="K774" s="604" t="s">
        <v>448</v>
      </c>
      <c r="L774" s="604" t="s">
        <v>99</v>
      </c>
      <c r="M774" s="604">
        <v>9</v>
      </c>
      <c r="N774" s="604">
        <v>1553</v>
      </c>
      <c r="O774" s="604">
        <v>5.8</v>
      </c>
      <c r="P774" s="604" t="s">
        <v>47</v>
      </c>
      <c r="Q774" s="499"/>
      <c r="R774" s="502" t="str">
        <f t="shared" si="106"/>
        <v>2010birthsethPacific peoples</v>
      </c>
      <c r="S774" s="604">
        <v>2010</v>
      </c>
      <c r="T774" s="604" t="s">
        <v>445</v>
      </c>
      <c r="U774" s="604" t="s">
        <v>449</v>
      </c>
      <c r="V774" s="604" t="s">
        <v>320</v>
      </c>
      <c r="W774" s="604">
        <v>7261</v>
      </c>
      <c r="Y774" s="535" t="str">
        <f t="shared" si="107"/>
        <v>2016depethQuin 9Totalfetal</v>
      </c>
      <c r="Z774" s="604">
        <v>2016</v>
      </c>
      <c r="AA774" s="604" t="s">
        <v>454</v>
      </c>
      <c r="AB774" s="604" t="s">
        <v>449</v>
      </c>
      <c r="AC774" s="604" t="s">
        <v>426</v>
      </c>
      <c r="AD774" s="604" t="s">
        <v>44</v>
      </c>
      <c r="AE774" s="604">
        <v>22</v>
      </c>
      <c r="AF774" s="604">
        <v>131</v>
      </c>
      <c r="AG774" s="604" t="s">
        <v>119</v>
      </c>
      <c r="AH774" s="604" t="s">
        <v>420</v>
      </c>
      <c r="AJ774" s="535" t="str">
        <f t="shared" si="108"/>
        <v>2016depethQuin 9Total</v>
      </c>
      <c r="AK774" s="604">
        <v>2016</v>
      </c>
      <c r="AL774" s="604" t="s">
        <v>454</v>
      </c>
      <c r="AM774" s="604" t="s">
        <v>449</v>
      </c>
      <c r="AN774" s="604" t="s">
        <v>426</v>
      </c>
      <c r="AO774" s="604" t="s">
        <v>44</v>
      </c>
      <c r="AP774" s="604">
        <v>131</v>
      </c>
      <c r="AR774" s="538" t="str">
        <f t="shared" si="109"/>
        <v>35-39ageinfantSouthern</v>
      </c>
      <c r="AS774" s="604">
        <v>2016</v>
      </c>
      <c r="AT774" s="604" t="s">
        <v>133</v>
      </c>
      <c r="AU774" s="604" t="s">
        <v>453</v>
      </c>
      <c r="AV774" s="604" t="s">
        <v>103</v>
      </c>
      <c r="AW774" s="604">
        <v>2</v>
      </c>
      <c r="AX774" s="604">
        <v>593</v>
      </c>
      <c r="AY774" s="606">
        <v>3.4</v>
      </c>
      <c r="AZ774" s="604" t="s">
        <v>437</v>
      </c>
      <c r="BY774" s="553" t="str">
        <f t="shared" si="110"/>
        <v>2001&lt;28gestSIDS</v>
      </c>
      <c r="BZ774" s="604">
        <v>2001</v>
      </c>
      <c r="CA774" s="604" t="s">
        <v>375</v>
      </c>
      <c r="CB774" s="604" t="s">
        <v>450</v>
      </c>
      <c r="CC774" s="604">
        <v>0</v>
      </c>
      <c r="CD774" s="604" t="s">
        <v>32</v>
      </c>
    </row>
    <row r="775" spans="9:82">
      <c r="I775" s="578" t="str">
        <f t="shared" si="105"/>
        <v>1998dhbWest CoastFetal</v>
      </c>
      <c r="J775" s="604">
        <v>1998</v>
      </c>
      <c r="K775" s="604" t="s">
        <v>448</v>
      </c>
      <c r="L775" s="604" t="s">
        <v>100</v>
      </c>
      <c r="M775" s="604">
        <v>1</v>
      </c>
      <c r="N775" s="604">
        <v>429</v>
      </c>
      <c r="O775" s="604">
        <v>2.2999999999999998</v>
      </c>
      <c r="P775" s="604" t="s">
        <v>47</v>
      </c>
      <c r="Q775" s="499"/>
      <c r="R775" s="502" t="str">
        <f t="shared" si="106"/>
        <v>2010birthsethAsian</v>
      </c>
      <c r="S775" s="604">
        <v>2010</v>
      </c>
      <c r="T775" s="604" t="s">
        <v>445</v>
      </c>
      <c r="U775" s="604" t="s">
        <v>449</v>
      </c>
      <c r="V775" s="604" t="s">
        <v>355</v>
      </c>
      <c r="W775" s="604">
        <v>7451</v>
      </c>
      <c r="Y775" s="535" t="str">
        <f t="shared" si="107"/>
        <v>2016gesteth&lt;28Totalfetal</v>
      </c>
      <c r="Z775" s="604">
        <v>2016</v>
      </c>
      <c r="AA775" s="604" t="s">
        <v>450</v>
      </c>
      <c r="AB775" s="604" t="s">
        <v>449</v>
      </c>
      <c r="AC775" s="604" t="s">
        <v>375</v>
      </c>
      <c r="AD775" s="604" t="s">
        <v>44</v>
      </c>
      <c r="AE775" s="604">
        <v>227</v>
      </c>
      <c r="AF775" s="604">
        <v>260</v>
      </c>
      <c r="AG775" s="604">
        <v>466.1</v>
      </c>
      <c r="AH775" s="604" t="s">
        <v>420</v>
      </c>
      <c r="AJ775" s="535" t="str">
        <f t="shared" si="108"/>
        <v>2016gesteth&lt;28Total</v>
      </c>
      <c r="AK775" s="604">
        <v>2016</v>
      </c>
      <c r="AL775" s="604" t="s">
        <v>450</v>
      </c>
      <c r="AM775" s="604" t="s">
        <v>449</v>
      </c>
      <c r="AN775" s="604" t="s">
        <v>375</v>
      </c>
      <c r="AO775" s="604" t="s">
        <v>44</v>
      </c>
      <c r="AP775" s="604">
        <v>260</v>
      </c>
      <c r="AR775" s="538" t="str">
        <f t="shared" si="109"/>
        <v>UnknownageinfantUnknown</v>
      </c>
      <c r="AS775" s="604">
        <v>2016</v>
      </c>
      <c r="AT775" s="604" t="s">
        <v>63</v>
      </c>
      <c r="AU775" s="604" t="s">
        <v>453</v>
      </c>
      <c r="AV775" s="604" t="s">
        <v>63</v>
      </c>
      <c r="AW775" s="604">
        <v>1</v>
      </c>
      <c r="AX775" s="604">
        <v>0</v>
      </c>
      <c r="AY775" s="606" t="s">
        <v>119</v>
      </c>
      <c r="AZ775" s="604" t="s">
        <v>437</v>
      </c>
      <c r="BY775" s="553" t="str">
        <f t="shared" si="110"/>
        <v>200128-31gestSIDS</v>
      </c>
      <c r="BZ775" s="604">
        <v>2001</v>
      </c>
      <c r="CA775" s="604" t="s">
        <v>395</v>
      </c>
      <c r="CB775" s="604" t="s">
        <v>450</v>
      </c>
      <c r="CC775" s="604">
        <v>1</v>
      </c>
      <c r="CD775" s="604" t="s">
        <v>32</v>
      </c>
    </row>
    <row r="776" spans="9:82">
      <c r="I776" s="578" t="str">
        <f t="shared" si="105"/>
        <v>1998dhbCanterburyFetal</v>
      </c>
      <c r="J776" s="604">
        <v>1998</v>
      </c>
      <c r="K776" s="604" t="s">
        <v>448</v>
      </c>
      <c r="L776" s="604" t="s">
        <v>101</v>
      </c>
      <c r="M776" s="604">
        <v>34</v>
      </c>
      <c r="N776" s="604">
        <v>5701</v>
      </c>
      <c r="O776" s="604">
        <v>6</v>
      </c>
      <c r="P776" s="604" t="s">
        <v>47</v>
      </c>
      <c r="Q776" s="499"/>
      <c r="R776" s="502" t="str">
        <f t="shared" si="106"/>
        <v>2010birthsethEuropean or Other</v>
      </c>
      <c r="S776" s="604">
        <v>2010</v>
      </c>
      <c r="T776" s="604" t="s">
        <v>445</v>
      </c>
      <c r="U776" s="604" t="s">
        <v>449</v>
      </c>
      <c r="V776" s="604" t="s">
        <v>356</v>
      </c>
      <c r="W776" s="604">
        <v>31094</v>
      </c>
      <c r="Y776" s="535" t="str">
        <f t="shared" si="107"/>
        <v>2016gesteth28-31Totalfetal</v>
      </c>
      <c r="Z776" s="604">
        <v>2016</v>
      </c>
      <c r="AA776" s="604" t="s">
        <v>450</v>
      </c>
      <c r="AB776" s="604" t="s">
        <v>449</v>
      </c>
      <c r="AC776" s="604" t="s">
        <v>395</v>
      </c>
      <c r="AD776" s="604" t="s">
        <v>44</v>
      </c>
      <c r="AE776" s="604">
        <v>38</v>
      </c>
      <c r="AF776" s="604">
        <v>417</v>
      </c>
      <c r="AG776" s="604">
        <v>83.5</v>
      </c>
      <c r="AH776" s="604" t="s">
        <v>420</v>
      </c>
      <c r="AJ776" s="535" t="str">
        <f t="shared" si="108"/>
        <v>2016gesteth28-31Total</v>
      </c>
      <c r="AK776" s="604">
        <v>2016</v>
      </c>
      <c r="AL776" s="604" t="s">
        <v>450</v>
      </c>
      <c r="AM776" s="604" t="s">
        <v>449</v>
      </c>
      <c r="AN776" s="604" t="s">
        <v>395</v>
      </c>
      <c r="AO776" s="604" t="s">
        <v>44</v>
      </c>
      <c r="AP776" s="604">
        <v>417</v>
      </c>
      <c r="AR776" s="538" t="str">
        <f t="shared" si="109"/>
        <v>AsianethinfantNorthland</v>
      </c>
      <c r="AS776" s="604">
        <v>2016</v>
      </c>
      <c r="AT776" s="604" t="s">
        <v>355</v>
      </c>
      <c r="AU776" s="604" t="s">
        <v>449</v>
      </c>
      <c r="AV776" s="604" t="s">
        <v>85</v>
      </c>
      <c r="AW776" s="604">
        <v>1</v>
      </c>
      <c r="AX776" s="604">
        <v>126</v>
      </c>
      <c r="AY776" s="606">
        <v>7.9</v>
      </c>
      <c r="AZ776" s="604" t="s">
        <v>437</v>
      </c>
      <c r="BY776" s="553" t="str">
        <f t="shared" si="110"/>
        <v>200132-36gestSIDS</v>
      </c>
      <c r="BZ776" s="604">
        <v>2001</v>
      </c>
      <c r="CA776" s="604" t="s">
        <v>136</v>
      </c>
      <c r="CB776" s="604" t="s">
        <v>450</v>
      </c>
      <c r="CC776" s="604">
        <v>8</v>
      </c>
      <c r="CD776" s="604" t="s">
        <v>32</v>
      </c>
    </row>
    <row r="777" spans="9:82">
      <c r="I777" s="578" t="str">
        <f t="shared" si="105"/>
        <v>1998dhbSouth CanterburyFetal</v>
      </c>
      <c r="J777" s="604">
        <v>1998</v>
      </c>
      <c r="K777" s="604" t="s">
        <v>448</v>
      </c>
      <c r="L777" s="604" t="s">
        <v>102</v>
      </c>
      <c r="M777" s="604">
        <v>5</v>
      </c>
      <c r="N777" s="604">
        <v>658</v>
      </c>
      <c r="O777" s="604">
        <v>7.6</v>
      </c>
      <c r="P777" s="604" t="s">
        <v>47</v>
      </c>
      <c r="Q777" s="499"/>
      <c r="R777" s="502" t="str">
        <f t="shared" si="106"/>
        <v>2011birthsethMaori</v>
      </c>
      <c r="S777" s="604">
        <v>2011</v>
      </c>
      <c r="T777" s="604" t="s">
        <v>445</v>
      </c>
      <c r="U777" s="604" t="s">
        <v>449</v>
      </c>
      <c r="V777" s="604" t="s">
        <v>129</v>
      </c>
      <c r="W777" s="604">
        <v>18034</v>
      </c>
      <c r="Y777" s="535" t="str">
        <f t="shared" si="107"/>
        <v>2016gesteth32-36Totalfetal</v>
      </c>
      <c r="Z777" s="604">
        <v>2016</v>
      </c>
      <c r="AA777" s="604" t="s">
        <v>450</v>
      </c>
      <c r="AB777" s="604" t="s">
        <v>449</v>
      </c>
      <c r="AC777" s="604" t="s">
        <v>136</v>
      </c>
      <c r="AD777" s="604" t="s">
        <v>44</v>
      </c>
      <c r="AE777" s="604">
        <v>56</v>
      </c>
      <c r="AF777" s="604">
        <v>3814</v>
      </c>
      <c r="AG777" s="604">
        <v>14.5</v>
      </c>
      <c r="AH777" s="604" t="s">
        <v>420</v>
      </c>
      <c r="AJ777" s="535" t="str">
        <f t="shared" si="108"/>
        <v>2016gesteth32-36Total</v>
      </c>
      <c r="AK777" s="604">
        <v>2016</v>
      </c>
      <c r="AL777" s="604" t="s">
        <v>450</v>
      </c>
      <c r="AM777" s="604" t="s">
        <v>449</v>
      </c>
      <c r="AN777" s="604" t="s">
        <v>136</v>
      </c>
      <c r="AO777" s="604" t="s">
        <v>44</v>
      </c>
      <c r="AP777" s="604">
        <v>3814</v>
      </c>
      <c r="AR777" s="538" t="str">
        <f t="shared" si="109"/>
        <v>European or OtherethinfantNorthland</v>
      </c>
      <c r="AS777" s="604">
        <v>2016</v>
      </c>
      <c r="AT777" s="604" t="s">
        <v>356</v>
      </c>
      <c r="AU777" s="604" t="s">
        <v>449</v>
      </c>
      <c r="AV777" s="604" t="s">
        <v>85</v>
      </c>
      <c r="AW777" s="604">
        <v>4</v>
      </c>
      <c r="AX777" s="604">
        <v>815</v>
      </c>
      <c r="AY777" s="606">
        <v>4.9000000000000004</v>
      </c>
      <c r="AZ777" s="604" t="s">
        <v>437</v>
      </c>
      <c r="BY777" s="553" t="str">
        <f t="shared" si="110"/>
        <v>200137-41gestSIDS</v>
      </c>
      <c r="BZ777" s="604">
        <v>2001</v>
      </c>
      <c r="CA777" s="604" t="s">
        <v>137</v>
      </c>
      <c r="CB777" s="604" t="s">
        <v>450</v>
      </c>
      <c r="CC777" s="604">
        <v>39</v>
      </c>
      <c r="CD777" s="604" t="s">
        <v>32</v>
      </c>
    </row>
    <row r="778" spans="9:82">
      <c r="I778" s="578" t="str">
        <f t="shared" si="105"/>
        <v>1998dhbSouthernFetal</v>
      </c>
      <c r="J778" s="604">
        <v>1998</v>
      </c>
      <c r="K778" s="604" t="s">
        <v>448</v>
      </c>
      <c r="L778" s="604" t="s">
        <v>103</v>
      </c>
      <c r="M778" s="604">
        <v>13</v>
      </c>
      <c r="N778" s="604">
        <v>3631</v>
      </c>
      <c r="O778" s="604">
        <v>3.6</v>
      </c>
      <c r="P778" s="604" t="s">
        <v>47</v>
      </c>
      <c r="Q778" s="499"/>
      <c r="R778" s="502" t="str">
        <f t="shared" si="106"/>
        <v>2011birthsethPacific peoples</v>
      </c>
      <c r="S778" s="604">
        <v>2011</v>
      </c>
      <c r="T778" s="604" t="s">
        <v>445</v>
      </c>
      <c r="U778" s="604" t="s">
        <v>449</v>
      </c>
      <c r="V778" s="604" t="s">
        <v>320</v>
      </c>
      <c r="W778" s="604">
        <v>7141</v>
      </c>
      <c r="Y778" s="535" t="str">
        <f t="shared" si="107"/>
        <v>2016gesteth37-41Totalfetal</v>
      </c>
      <c r="Z778" s="604">
        <v>2016</v>
      </c>
      <c r="AA778" s="604" t="s">
        <v>450</v>
      </c>
      <c r="AB778" s="604" t="s">
        <v>449</v>
      </c>
      <c r="AC778" s="604" t="s">
        <v>137</v>
      </c>
      <c r="AD778" s="604" t="s">
        <v>44</v>
      </c>
      <c r="AE778" s="604">
        <v>86</v>
      </c>
      <c r="AF778" s="604">
        <v>54899</v>
      </c>
      <c r="AG778" s="604">
        <v>1.6</v>
      </c>
      <c r="AH778" s="604" t="s">
        <v>420</v>
      </c>
      <c r="AJ778" s="535" t="str">
        <f t="shared" si="108"/>
        <v>2016gesteth37-41Total</v>
      </c>
      <c r="AK778" s="604">
        <v>2016</v>
      </c>
      <c r="AL778" s="604" t="s">
        <v>450</v>
      </c>
      <c r="AM778" s="604" t="s">
        <v>449</v>
      </c>
      <c r="AN778" s="604" t="s">
        <v>137</v>
      </c>
      <c r="AO778" s="604" t="s">
        <v>44</v>
      </c>
      <c r="AP778" s="604">
        <v>54899</v>
      </c>
      <c r="AR778" s="538" t="str">
        <f t="shared" si="109"/>
        <v>MaoriethinfantNorthland</v>
      </c>
      <c r="AS778" s="604">
        <v>2016</v>
      </c>
      <c r="AT778" s="604" t="s">
        <v>129</v>
      </c>
      <c r="AU778" s="604" t="s">
        <v>449</v>
      </c>
      <c r="AV778" s="604" t="s">
        <v>85</v>
      </c>
      <c r="AW778" s="604">
        <v>7</v>
      </c>
      <c r="AX778" s="604">
        <v>1318</v>
      </c>
      <c r="AY778" s="606">
        <v>5.3</v>
      </c>
      <c r="AZ778" s="604" t="s">
        <v>437</v>
      </c>
      <c r="BY778" s="553" t="str">
        <f t="shared" si="110"/>
        <v>200142+gestSIDS</v>
      </c>
      <c r="BZ778" s="604">
        <v>2001</v>
      </c>
      <c r="CA778" s="604" t="s">
        <v>138</v>
      </c>
      <c r="CB778" s="604" t="s">
        <v>450</v>
      </c>
      <c r="CC778" s="604">
        <v>1</v>
      </c>
      <c r="CD778" s="604" t="s">
        <v>32</v>
      </c>
    </row>
    <row r="779" spans="9:82">
      <c r="I779" s="578" t="str">
        <f t="shared" si="105"/>
        <v>1998dhbUnknownFetal</v>
      </c>
      <c r="J779" s="604">
        <v>1998</v>
      </c>
      <c r="K779" s="604" t="s">
        <v>448</v>
      </c>
      <c r="L779" s="604" t="s">
        <v>63</v>
      </c>
      <c r="M779" s="604">
        <v>0</v>
      </c>
      <c r="N779" s="604">
        <v>135</v>
      </c>
      <c r="O779" s="604" t="s">
        <v>119</v>
      </c>
      <c r="P779" s="604" t="s">
        <v>47</v>
      </c>
      <c r="Q779" s="499"/>
      <c r="R779" s="502" t="str">
        <f t="shared" si="106"/>
        <v>2011birthsethAsian</v>
      </c>
      <c r="S779" s="604">
        <v>2011</v>
      </c>
      <c r="T779" s="604" t="s">
        <v>445</v>
      </c>
      <c r="U779" s="604" t="s">
        <v>449</v>
      </c>
      <c r="V779" s="604" t="s">
        <v>355</v>
      </c>
      <c r="W779" s="604">
        <v>7517</v>
      </c>
      <c r="Y779" s="535" t="str">
        <f t="shared" si="107"/>
        <v>2016gesteth42+Totalfetal</v>
      </c>
      <c r="Z779" s="604">
        <v>2016</v>
      </c>
      <c r="AA779" s="604" t="s">
        <v>450</v>
      </c>
      <c r="AB779" s="604" t="s">
        <v>449</v>
      </c>
      <c r="AC779" s="604" t="s">
        <v>138</v>
      </c>
      <c r="AD779" s="604" t="s">
        <v>44</v>
      </c>
      <c r="AE779" s="604">
        <v>0</v>
      </c>
      <c r="AF779" s="604">
        <v>1017</v>
      </c>
      <c r="AG779" s="604">
        <v>0</v>
      </c>
      <c r="AH779" s="604" t="s">
        <v>420</v>
      </c>
      <c r="AJ779" s="535" t="str">
        <f t="shared" si="108"/>
        <v>2016gesteth42+Total</v>
      </c>
      <c r="AK779" s="604">
        <v>2016</v>
      </c>
      <c r="AL779" s="604" t="s">
        <v>450</v>
      </c>
      <c r="AM779" s="604" t="s">
        <v>449</v>
      </c>
      <c r="AN779" s="604" t="s">
        <v>138</v>
      </c>
      <c r="AO779" s="604" t="s">
        <v>44</v>
      </c>
      <c r="AP779" s="604">
        <v>1017</v>
      </c>
      <c r="AR779" s="538" t="str">
        <f t="shared" si="109"/>
        <v>AsianethinfantWaitemata</v>
      </c>
      <c r="AS779" s="604">
        <v>2016</v>
      </c>
      <c r="AT779" s="604" t="s">
        <v>355</v>
      </c>
      <c r="AU779" s="604" t="s">
        <v>449</v>
      </c>
      <c r="AV779" s="604" t="s">
        <v>86</v>
      </c>
      <c r="AW779" s="604">
        <v>2</v>
      </c>
      <c r="AX779" s="604">
        <v>2342</v>
      </c>
      <c r="AY779" s="606">
        <v>0.9</v>
      </c>
      <c r="AZ779" s="604" t="s">
        <v>437</v>
      </c>
      <c r="BY779" s="553" t="str">
        <f t="shared" si="110"/>
        <v>2001UnknowngestSIDS</v>
      </c>
      <c r="BZ779" s="604">
        <v>2001</v>
      </c>
      <c r="CA779" s="604" t="s">
        <v>63</v>
      </c>
      <c r="CB779" s="604" t="s">
        <v>450</v>
      </c>
      <c r="CC779" s="604">
        <v>0</v>
      </c>
      <c r="CD779" s="604" t="s">
        <v>32</v>
      </c>
    </row>
    <row r="780" spans="9:82">
      <c r="I780" s="578" t="str">
        <f t="shared" si="105"/>
        <v>1999dhbNorthlandFetal</v>
      </c>
      <c r="J780" s="604">
        <v>1999</v>
      </c>
      <c r="K780" s="604" t="s">
        <v>448</v>
      </c>
      <c r="L780" s="604" t="s">
        <v>85</v>
      </c>
      <c r="M780" s="604">
        <v>12</v>
      </c>
      <c r="N780" s="604">
        <v>2170</v>
      </c>
      <c r="O780" s="604">
        <v>5.5</v>
      </c>
      <c r="P780" s="604" t="s">
        <v>47</v>
      </c>
      <c r="Q780" s="499"/>
      <c r="R780" s="502" t="str">
        <f t="shared" si="106"/>
        <v>2011birthsethEuropean or Other</v>
      </c>
      <c r="S780" s="604">
        <v>2011</v>
      </c>
      <c r="T780" s="604" t="s">
        <v>445</v>
      </c>
      <c r="U780" s="604" t="s">
        <v>449</v>
      </c>
      <c r="V780" s="604" t="s">
        <v>356</v>
      </c>
      <c r="W780" s="604">
        <v>29482</v>
      </c>
      <c r="Y780" s="535" t="str">
        <f t="shared" si="107"/>
        <v>2016gestethUnknownTotalfetal</v>
      </c>
      <c r="Z780" s="604">
        <v>2016</v>
      </c>
      <c r="AA780" s="604" t="s">
        <v>450</v>
      </c>
      <c r="AB780" s="604" t="s">
        <v>449</v>
      </c>
      <c r="AC780" s="604" t="s">
        <v>63</v>
      </c>
      <c r="AD780" s="604" t="s">
        <v>44</v>
      </c>
      <c r="AE780" s="604">
        <v>6</v>
      </c>
      <c r="AF780" s="604">
        <v>29</v>
      </c>
      <c r="AG780" s="604" t="s">
        <v>119</v>
      </c>
      <c r="AH780" s="604" t="s">
        <v>420</v>
      </c>
      <c r="AJ780" s="535" t="str">
        <f t="shared" si="108"/>
        <v>2016gestethUnknownTotal</v>
      </c>
      <c r="AK780" s="604">
        <v>2016</v>
      </c>
      <c r="AL780" s="604" t="s">
        <v>450</v>
      </c>
      <c r="AM780" s="604" t="s">
        <v>449</v>
      </c>
      <c r="AN780" s="604" t="s">
        <v>63</v>
      </c>
      <c r="AO780" s="604" t="s">
        <v>44</v>
      </c>
      <c r="AP780" s="604">
        <v>29</v>
      </c>
      <c r="AR780" s="538" t="str">
        <f t="shared" si="109"/>
        <v>European or OtherethinfantWaitemata</v>
      </c>
      <c r="AS780" s="604">
        <v>2016</v>
      </c>
      <c r="AT780" s="604" t="s">
        <v>356</v>
      </c>
      <c r="AU780" s="604" t="s">
        <v>449</v>
      </c>
      <c r="AV780" s="604" t="s">
        <v>86</v>
      </c>
      <c r="AW780" s="604">
        <v>9</v>
      </c>
      <c r="AX780" s="604">
        <v>3478</v>
      </c>
      <c r="AY780" s="606">
        <v>2.6</v>
      </c>
      <c r="AZ780" s="604" t="s">
        <v>437</v>
      </c>
      <c r="BY780" s="553" t="str">
        <f t="shared" si="110"/>
        <v>2002&lt;28gestSIDS</v>
      </c>
      <c r="BZ780" s="604">
        <v>2002</v>
      </c>
      <c r="CA780" s="604" t="s">
        <v>375</v>
      </c>
      <c r="CB780" s="604" t="s">
        <v>450</v>
      </c>
      <c r="CC780" s="604">
        <v>0</v>
      </c>
      <c r="CD780" s="604" t="s">
        <v>32</v>
      </c>
    </row>
    <row r="781" spans="9:82">
      <c r="I781" s="578" t="str">
        <f t="shared" si="105"/>
        <v>1999dhbWaitemataFetal</v>
      </c>
      <c r="J781" s="604">
        <v>1999</v>
      </c>
      <c r="K781" s="604" t="s">
        <v>448</v>
      </c>
      <c r="L781" s="604" t="s">
        <v>86</v>
      </c>
      <c r="M781" s="604">
        <v>50</v>
      </c>
      <c r="N781" s="604">
        <v>6472</v>
      </c>
      <c r="O781" s="604">
        <v>7.7</v>
      </c>
      <c r="P781" s="604" t="s">
        <v>47</v>
      </c>
      <c r="Q781" s="499"/>
      <c r="R781" s="502" t="str">
        <f t="shared" si="106"/>
        <v>2012birthsethMaori</v>
      </c>
      <c r="S781" s="604">
        <v>2012</v>
      </c>
      <c r="T781" s="604" t="s">
        <v>445</v>
      </c>
      <c r="U781" s="604" t="s">
        <v>449</v>
      </c>
      <c r="V781" s="604" t="s">
        <v>129</v>
      </c>
      <c r="W781" s="604">
        <v>17948</v>
      </c>
      <c r="Y781" s="535" t="str">
        <f t="shared" si="107"/>
        <v>2016bwteth&lt;500Totalfetal</v>
      </c>
      <c r="Z781" s="604">
        <v>2016</v>
      </c>
      <c r="AA781" s="604" t="s">
        <v>447</v>
      </c>
      <c r="AB781" s="604" t="s">
        <v>449</v>
      </c>
      <c r="AC781" s="604" t="s">
        <v>427</v>
      </c>
      <c r="AD781" s="604" t="s">
        <v>44</v>
      </c>
      <c r="AE781" s="604">
        <v>141</v>
      </c>
      <c r="AF781" s="604">
        <v>53</v>
      </c>
      <c r="AG781" s="604" t="s">
        <v>119</v>
      </c>
      <c r="AH781" s="604" t="s">
        <v>420</v>
      </c>
      <c r="AJ781" s="535" t="str">
        <f t="shared" si="108"/>
        <v>2016bwteth&lt;500Total</v>
      </c>
      <c r="AK781" s="604">
        <v>2016</v>
      </c>
      <c r="AL781" s="604" t="s">
        <v>447</v>
      </c>
      <c r="AM781" s="604" t="s">
        <v>449</v>
      </c>
      <c r="AN781" s="604" t="s">
        <v>427</v>
      </c>
      <c r="AO781" s="604" t="s">
        <v>44</v>
      </c>
      <c r="AP781" s="604">
        <v>53</v>
      </c>
      <c r="AR781" s="538" t="str">
        <f t="shared" si="109"/>
        <v>MaoriethinfantWaitemata</v>
      </c>
      <c r="AS781" s="604">
        <v>2016</v>
      </c>
      <c r="AT781" s="604" t="s">
        <v>129</v>
      </c>
      <c r="AU781" s="604" t="s">
        <v>449</v>
      </c>
      <c r="AV781" s="604" t="s">
        <v>86</v>
      </c>
      <c r="AW781" s="604">
        <v>5</v>
      </c>
      <c r="AX781" s="604">
        <v>1450</v>
      </c>
      <c r="AY781" s="606">
        <v>3.4</v>
      </c>
      <c r="AZ781" s="604" t="s">
        <v>437</v>
      </c>
      <c r="BY781" s="553" t="str">
        <f t="shared" si="110"/>
        <v>200228-31gestSIDS</v>
      </c>
      <c r="BZ781" s="604">
        <v>2002</v>
      </c>
      <c r="CA781" s="604" t="s">
        <v>395</v>
      </c>
      <c r="CB781" s="604" t="s">
        <v>450</v>
      </c>
      <c r="CC781" s="604">
        <v>1</v>
      </c>
      <c r="CD781" s="604" t="s">
        <v>32</v>
      </c>
    </row>
    <row r="782" spans="9:82">
      <c r="I782" s="578" t="str">
        <f t="shared" si="105"/>
        <v>1999dhbAucklandFetal</v>
      </c>
      <c r="J782" s="604">
        <v>1999</v>
      </c>
      <c r="K782" s="604" t="s">
        <v>448</v>
      </c>
      <c r="L782" s="604" t="s">
        <v>87</v>
      </c>
      <c r="M782" s="604">
        <v>35</v>
      </c>
      <c r="N782" s="604">
        <v>5931</v>
      </c>
      <c r="O782" s="604">
        <v>5.9</v>
      </c>
      <c r="P782" s="604" t="s">
        <v>47</v>
      </c>
      <c r="Q782" s="499"/>
      <c r="R782" s="502" t="str">
        <f t="shared" si="106"/>
        <v>2012birthsethPacific peoples</v>
      </c>
      <c r="S782" s="604">
        <v>2012</v>
      </c>
      <c r="T782" s="604" t="s">
        <v>445</v>
      </c>
      <c r="U782" s="604" t="s">
        <v>449</v>
      </c>
      <c r="V782" s="604" t="s">
        <v>320</v>
      </c>
      <c r="W782" s="604">
        <v>6955</v>
      </c>
      <c r="Y782" s="535" t="str">
        <f t="shared" si="107"/>
        <v>2016bwteth500-999Totalfetal</v>
      </c>
      <c r="Z782" s="604">
        <v>2016</v>
      </c>
      <c r="AA782" s="604" t="s">
        <v>447</v>
      </c>
      <c r="AB782" s="604" t="s">
        <v>449</v>
      </c>
      <c r="AC782" s="604" t="s">
        <v>428</v>
      </c>
      <c r="AD782" s="604" t="s">
        <v>44</v>
      </c>
      <c r="AE782" s="604">
        <v>97</v>
      </c>
      <c r="AF782" s="604">
        <v>196</v>
      </c>
      <c r="AG782" s="604">
        <v>331.1</v>
      </c>
      <c r="AH782" s="604" t="s">
        <v>420</v>
      </c>
      <c r="AJ782" s="535" t="str">
        <f t="shared" si="108"/>
        <v>2016bwteth500-999Total</v>
      </c>
      <c r="AK782" s="604">
        <v>2016</v>
      </c>
      <c r="AL782" s="604" t="s">
        <v>447</v>
      </c>
      <c r="AM782" s="604" t="s">
        <v>449</v>
      </c>
      <c r="AN782" s="604" t="s">
        <v>428</v>
      </c>
      <c r="AO782" s="604" t="s">
        <v>44</v>
      </c>
      <c r="AP782" s="604">
        <v>196</v>
      </c>
      <c r="AR782" s="538" t="str">
        <f t="shared" si="109"/>
        <v>Pacific peoplesethinfantWaitemata</v>
      </c>
      <c r="AS782" s="604">
        <v>2016</v>
      </c>
      <c r="AT782" s="604" t="s">
        <v>320</v>
      </c>
      <c r="AU782" s="604" t="s">
        <v>449</v>
      </c>
      <c r="AV782" s="604" t="s">
        <v>86</v>
      </c>
      <c r="AW782" s="604">
        <v>2</v>
      </c>
      <c r="AX782" s="604">
        <v>781</v>
      </c>
      <c r="AY782" s="606">
        <v>2.6</v>
      </c>
      <c r="AZ782" s="604" t="s">
        <v>437</v>
      </c>
      <c r="BY782" s="553" t="str">
        <f t="shared" si="110"/>
        <v>200232-36gestSIDS</v>
      </c>
      <c r="BZ782" s="604">
        <v>2002</v>
      </c>
      <c r="CA782" s="604" t="s">
        <v>136</v>
      </c>
      <c r="CB782" s="604" t="s">
        <v>450</v>
      </c>
      <c r="CC782" s="604">
        <v>8</v>
      </c>
      <c r="CD782" s="604" t="s">
        <v>32</v>
      </c>
    </row>
    <row r="783" spans="9:82">
      <c r="I783" s="578" t="str">
        <f t="shared" si="105"/>
        <v>1999dhbCounties ManukauFetal</v>
      </c>
      <c r="J783" s="604">
        <v>1999</v>
      </c>
      <c r="K783" s="604" t="s">
        <v>448</v>
      </c>
      <c r="L783" s="604" t="s">
        <v>88</v>
      </c>
      <c r="M783" s="604">
        <v>59</v>
      </c>
      <c r="N783" s="604">
        <v>7276</v>
      </c>
      <c r="O783" s="604">
        <v>8.1</v>
      </c>
      <c r="P783" s="604" t="s">
        <v>47</v>
      </c>
      <c r="Q783" s="499"/>
      <c r="R783" s="502" t="str">
        <f t="shared" si="106"/>
        <v>2012birthsethAsian</v>
      </c>
      <c r="S783" s="604">
        <v>2012</v>
      </c>
      <c r="T783" s="604" t="s">
        <v>445</v>
      </c>
      <c r="U783" s="604" t="s">
        <v>449</v>
      </c>
      <c r="V783" s="604" t="s">
        <v>355</v>
      </c>
      <c r="W783" s="604">
        <v>8613</v>
      </c>
      <c r="Y783" s="535" t="str">
        <f t="shared" si="107"/>
        <v>2016bwteth1000-1499Totalfetal</v>
      </c>
      <c r="Z783" s="604">
        <v>2016</v>
      </c>
      <c r="AA783" s="604" t="s">
        <v>447</v>
      </c>
      <c r="AB783" s="604" t="s">
        <v>449</v>
      </c>
      <c r="AC783" s="604" t="s">
        <v>429</v>
      </c>
      <c r="AD783" s="604" t="s">
        <v>44</v>
      </c>
      <c r="AE783" s="604">
        <v>27</v>
      </c>
      <c r="AF783" s="604">
        <v>331</v>
      </c>
      <c r="AG783" s="604">
        <v>75.400000000000006</v>
      </c>
      <c r="AH783" s="604" t="s">
        <v>420</v>
      </c>
      <c r="AJ783" s="535" t="str">
        <f t="shared" si="108"/>
        <v>2016bwteth1000-1499Total</v>
      </c>
      <c r="AK783" s="604">
        <v>2016</v>
      </c>
      <c r="AL783" s="604" t="s">
        <v>447</v>
      </c>
      <c r="AM783" s="604" t="s">
        <v>449</v>
      </c>
      <c r="AN783" s="604" t="s">
        <v>429</v>
      </c>
      <c r="AO783" s="604" t="s">
        <v>44</v>
      </c>
      <c r="AP783" s="604">
        <v>331</v>
      </c>
      <c r="AR783" s="538" t="str">
        <f t="shared" si="109"/>
        <v>AsianethinfantAuckland</v>
      </c>
      <c r="AS783" s="604">
        <v>2016</v>
      </c>
      <c r="AT783" s="604" t="s">
        <v>355</v>
      </c>
      <c r="AU783" s="604" t="s">
        <v>449</v>
      </c>
      <c r="AV783" s="604" t="s">
        <v>87</v>
      </c>
      <c r="AW783" s="604">
        <v>4</v>
      </c>
      <c r="AX783" s="604">
        <v>2061</v>
      </c>
      <c r="AY783" s="606">
        <v>1.9</v>
      </c>
      <c r="AZ783" s="604" t="s">
        <v>437</v>
      </c>
      <c r="BY783" s="553" t="str">
        <f t="shared" si="110"/>
        <v>200237-41gestSIDS</v>
      </c>
      <c r="BZ783" s="604">
        <v>2002</v>
      </c>
      <c r="CA783" s="604" t="s">
        <v>137</v>
      </c>
      <c r="CB783" s="604" t="s">
        <v>450</v>
      </c>
      <c r="CC783" s="604">
        <v>29</v>
      </c>
      <c r="CD783" s="604" t="s">
        <v>32</v>
      </c>
    </row>
    <row r="784" spans="9:82">
      <c r="I784" s="578" t="str">
        <f t="shared" si="105"/>
        <v>1999dhbWaikatoFetal</v>
      </c>
      <c r="J784" s="604">
        <v>1999</v>
      </c>
      <c r="K784" s="604" t="s">
        <v>448</v>
      </c>
      <c r="L784" s="604" t="s">
        <v>89</v>
      </c>
      <c r="M784" s="604">
        <v>36</v>
      </c>
      <c r="N784" s="604">
        <v>5230</v>
      </c>
      <c r="O784" s="604">
        <v>6.9</v>
      </c>
      <c r="P784" s="604" t="s">
        <v>47</v>
      </c>
      <c r="Q784" s="499"/>
      <c r="R784" s="502" t="str">
        <f t="shared" si="106"/>
        <v>2012birthsethEuropean or Other</v>
      </c>
      <c r="S784" s="604">
        <v>2012</v>
      </c>
      <c r="T784" s="604" t="s">
        <v>445</v>
      </c>
      <c r="U784" s="604" t="s">
        <v>449</v>
      </c>
      <c r="V784" s="604" t="s">
        <v>356</v>
      </c>
      <c r="W784" s="604">
        <v>28519</v>
      </c>
      <c r="Y784" s="535" t="str">
        <f t="shared" si="107"/>
        <v>2016bwteth1500-2499Totalfetal</v>
      </c>
      <c r="Z784" s="604">
        <v>2016</v>
      </c>
      <c r="AA784" s="604" t="s">
        <v>447</v>
      </c>
      <c r="AB784" s="604" t="s">
        <v>449</v>
      </c>
      <c r="AC784" s="604" t="s">
        <v>430</v>
      </c>
      <c r="AD784" s="604" t="s">
        <v>44</v>
      </c>
      <c r="AE784" s="604">
        <v>45</v>
      </c>
      <c r="AF784" s="604">
        <v>2991</v>
      </c>
      <c r="AG784" s="604">
        <v>14.8</v>
      </c>
      <c r="AH784" s="604" t="s">
        <v>420</v>
      </c>
      <c r="AJ784" s="535" t="str">
        <f t="shared" si="108"/>
        <v>2016bwteth1500-2499Total</v>
      </c>
      <c r="AK784" s="604">
        <v>2016</v>
      </c>
      <c r="AL784" s="604" t="s">
        <v>447</v>
      </c>
      <c r="AM784" s="604" t="s">
        <v>449</v>
      </c>
      <c r="AN784" s="604" t="s">
        <v>430</v>
      </c>
      <c r="AO784" s="604" t="s">
        <v>44</v>
      </c>
      <c r="AP784" s="604">
        <v>2991</v>
      </c>
      <c r="AR784" s="538" t="str">
        <f t="shared" si="109"/>
        <v>European or OtherethinfantAuckland</v>
      </c>
      <c r="AS784" s="604">
        <v>2016</v>
      </c>
      <c r="AT784" s="604" t="s">
        <v>356</v>
      </c>
      <c r="AU784" s="604" t="s">
        <v>449</v>
      </c>
      <c r="AV784" s="604" t="s">
        <v>87</v>
      </c>
      <c r="AW784" s="604">
        <v>3</v>
      </c>
      <c r="AX784" s="604">
        <v>2134</v>
      </c>
      <c r="AY784" s="606">
        <v>1.4</v>
      </c>
      <c r="AZ784" s="604" t="s">
        <v>437</v>
      </c>
      <c r="BY784" s="553" t="str">
        <f t="shared" si="110"/>
        <v>200242+gestSIDS</v>
      </c>
      <c r="BZ784" s="604">
        <v>2002</v>
      </c>
      <c r="CA784" s="604" t="s">
        <v>138</v>
      </c>
      <c r="CB784" s="604" t="s">
        <v>450</v>
      </c>
      <c r="CC784" s="604">
        <v>1</v>
      </c>
      <c r="CD784" s="604" t="s">
        <v>32</v>
      </c>
    </row>
    <row r="785" spans="9:82">
      <c r="I785" s="578" t="str">
        <f t="shared" si="105"/>
        <v>1999dhbLakesFetal</v>
      </c>
      <c r="J785" s="604">
        <v>1999</v>
      </c>
      <c r="K785" s="604" t="s">
        <v>448</v>
      </c>
      <c r="L785" s="604" t="s">
        <v>90</v>
      </c>
      <c r="M785" s="604">
        <v>10</v>
      </c>
      <c r="N785" s="604">
        <v>1706</v>
      </c>
      <c r="O785" s="604">
        <v>5.9</v>
      </c>
      <c r="P785" s="604" t="s">
        <v>47</v>
      </c>
      <c r="Q785" s="499"/>
      <c r="R785" s="502" t="str">
        <f t="shared" si="106"/>
        <v>2013birthsethMaori</v>
      </c>
      <c r="S785" s="604">
        <v>2013</v>
      </c>
      <c r="T785" s="604" t="s">
        <v>445</v>
      </c>
      <c r="U785" s="604" t="s">
        <v>449</v>
      </c>
      <c r="V785" s="604" t="s">
        <v>129</v>
      </c>
      <c r="W785" s="604">
        <v>17149</v>
      </c>
      <c r="Y785" s="535" t="str">
        <f t="shared" si="107"/>
        <v>2016bwteth2500-4499Totalfetal</v>
      </c>
      <c r="Z785" s="604">
        <v>2016</v>
      </c>
      <c r="AA785" s="604" t="s">
        <v>447</v>
      </c>
      <c r="AB785" s="604" t="s">
        <v>449</v>
      </c>
      <c r="AC785" s="604" t="s">
        <v>431</v>
      </c>
      <c r="AD785" s="604" t="s">
        <v>44</v>
      </c>
      <c r="AE785" s="604">
        <v>81</v>
      </c>
      <c r="AF785" s="604">
        <v>55407</v>
      </c>
      <c r="AG785" s="604">
        <v>1.5</v>
      </c>
      <c r="AH785" s="604" t="s">
        <v>420</v>
      </c>
      <c r="AJ785" s="535" t="str">
        <f t="shared" si="108"/>
        <v>2016bwteth2500-4499Total</v>
      </c>
      <c r="AK785" s="604">
        <v>2016</v>
      </c>
      <c r="AL785" s="604" t="s">
        <v>447</v>
      </c>
      <c r="AM785" s="604" t="s">
        <v>449</v>
      </c>
      <c r="AN785" s="604" t="s">
        <v>431</v>
      </c>
      <c r="AO785" s="604" t="s">
        <v>44</v>
      </c>
      <c r="AP785" s="604">
        <v>55407</v>
      </c>
      <c r="AR785" s="538" t="str">
        <f t="shared" si="109"/>
        <v>MaoriethinfantAuckland</v>
      </c>
      <c r="AS785" s="604">
        <v>2016</v>
      </c>
      <c r="AT785" s="604" t="s">
        <v>129</v>
      </c>
      <c r="AU785" s="604" t="s">
        <v>449</v>
      </c>
      <c r="AV785" s="604" t="s">
        <v>87</v>
      </c>
      <c r="AW785" s="604">
        <v>6</v>
      </c>
      <c r="AX785" s="604">
        <v>772</v>
      </c>
      <c r="AY785" s="606">
        <v>7.8</v>
      </c>
      <c r="AZ785" s="604" t="s">
        <v>437</v>
      </c>
      <c r="BY785" s="553" t="str">
        <f t="shared" si="110"/>
        <v>2002UnknowngestSIDS</v>
      </c>
      <c r="BZ785" s="604">
        <v>2002</v>
      </c>
      <c r="CA785" s="604" t="s">
        <v>63</v>
      </c>
      <c r="CB785" s="604" t="s">
        <v>450</v>
      </c>
      <c r="CC785" s="604">
        <v>5</v>
      </c>
      <c r="CD785" s="604" t="s">
        <v>32</v>
      </c>
    </row>
    <row r="786" spans="9:82">
      <c r="I786" s="578" t="str">
        <f t="shared" si="105"/>
        <v>1999dhbBay of PlentyFetal</v>
      </c>
      <c r="J786" s="604">
        <v>1999</v>
      </c>
      <c r="K786" s="604" t="s">
        <v>448</v>
      </c>
      <c r="L786" s="604" t="s">
        <v>91</v>
      </c>
      <c r="M786" s="604">
        <v>20</v>
      </c>
      <c r="N786" s="604">
        <v>2719</v>
      </c>
      <c r="O786" s="604">
        <v>7.4</v>
      </c>
      <c r="P786" s="604" t="s">
        <v>47</v>
      </c>
      <c r="Q786" s="499"/>
      <c r="R786" s="502" t="str">
        <f t="shared" si="106"/>
        <v>2013birthsethPacific peoples</v>
      </c>
      <c r="S786" s="604">
        <v>2013</v>
      </c>
      <c r="T786" s="604" t="s">
        <v>445</v>
      </c>
      <c r="U786" s="604" t="s">
        <v>449</v>
      </c>
      <c r="V786" s="604" t="s">
        <v>320</v>
      </c>
      <c r="W786" s="604">
        <v>6438</v>
      </c>
      <c r="Y786" s="535" t="str">
        <f t="shared" si="107"/>
        <v>2016bwteth4500+Totalfetal</v>
      </c>
      <c r="Z786" s="604">
        <v>2016</v>
      </c>
      <c r="AA786" s="604" t="s">
        <v>447</v>
      </c>
      <c r="AB786" s="604" t="s">
        <v>449</v>
      </c>
      <c r="AC786" s="604" t="s">
        <v>432</v>
      </c>
      <c r="AD786" s="604" t="s">
        <v>44</v>
      </c>
      <c r="AE786" s="604">
        <v>4</v>
      </c>
      <c r="AF786" s="604">
        <v>1423</v>
      </c>
      <c r="AG786" s="604">
        <v>2.8</v>
      </c>
      <c r="AH786" s="604" t="s">
        <v>420</v>
      </c>
      <c r="AJ786" s="535" t="str">
        <f t="shared" si="108"/>
        <v>2016bwteth4500+Total</v>
      </c>
      <c r="AK786" s="604">
        <v>2016</v>
      </c>
      <c r="AL786" s="604" t="s">
        <v>447</v>
      </c>
      <c r="AM786" s="604" t="s">
        <v>449</v>
      </c>
      <c r="AN786" s="604" t="s">
        <v>432</v>
      </c>
      <c r="AO786" s="604" t="s">
        <v>44</v>
      </c>
      <c r="AP786" s="604">
        <v>1423</v>
      </c>
      <c r="AR786" s="538" t="str">
        <f t="shared" si="109"/>
        <v>Pacific peoplesethinfantAuckland</v>
      </c>
      <c r="AS786" s="604">
        <v>2016</v>
      </c>
      <c r="AT786" s="604" t="s">
        <v>320</v>
      </c>
      <c r="AU786" s="604" t="s">
        <v>449</v>
      </c>
      <c r="AV786" s="604" t="s">
        <v>87</v>
      </c>
      <c r="AW786" s="604">
        <v>5</v>
      </c>
      <c r="AX786" s="604">
        <v>938</v>
      </c>
      <c r="AY786" s="606">
        <v>5.3</v>
      </c>
      <c r="AZ786" s="604" t="s">
        <v>437</v>
      </c>
      <c r="BY786" s="553" t="str">
        <f t="shared" si="110"/>
        <v>2003&lt;28gestSIDS</v>
      </c>
      <c r="BZ786" s="604">
        <v>2003</v>
      </c>
      <c r="CA786" s="604" t="s">
        <v>375</v>
      </c>
      <c r="CB786" s="604" t="s">
        <v>450</v>
      </c>
      <c r="CC786" s="604">
        <v>1</v>
      </c>
      <c r="CD786" s="604" t="s">
        <v>32</v>
      </c>
    </row>
    <row r="787" spans="9:82">
      <c r="I787" s="578" t="str">
        <f t="shared" si="105"/>
        <v>1999dhbTairawhitiFetal</v>
      </c>
      <c r="J787" s="604">
        <v>1999</v>
      </c>
      <c r="K787" s="604" t="s">
        <v>448</v>
      </c>
      <c r="L787" s="604" t="s">
        <v>433</v>
      </c>
      <c r="M787" s="604">
        <v>7</v>
      </c>
      <c r="N787" s="604">
        <v>778</v>
      </c>
      <c r="O787" s="604">
        <v>9</v>
      </c>
      <c r="P787" s="604" t="s">
        <v>47</v>
      </c>
      <c r="Q787" s="499"/>
      <c r="R787" s="502" t="str">
        <f t="shared" si="106"/>
        <v>2013birthsethAsian</v>
      </c>
      <c r="S787" s="604">
        <v>2013</v>
      </c>
      <c r="T787" s="604" t="s">
        <v>445</v>
      </c>
      <c r="U787" s="604" t="s">
        <v>449</v>
      </c>
      <c r="V787" s="604" t="s">
        <v>355</v>
      </c>
      <c r="W787" s="604">
        <v>8707</v>
      </c>
      <c r="Y787" s="535" t="str">
        <f t="shared" si="107"/>
        <v>2016bwtethUnknownTotalfetal</v>
      </c>
      <c r="Z787" s="604">
        <v>2016</v>
      </c>
      <c r="AA787" s="604" t="s">
        <v>447</v>
      </c>
      <c r="AB787" s="604" t="s">
        <v>449</v>
      </c>
      <c r="AC787" s="604" t="s">
        <v>63</v>
      </c>
      <c r="AD787" s="604" t="s">
        <v>44</v>
      </c>
      <c r="AE787" s="604">
        <v>18</v>
      </c>
      <c r="AF787" s="604">
        <v>35</v>
      </c>
      <c r="AG787" s="604" t="s">
        <v>119</v>
      </c>
      <c r="AH787" s="604" t="s">
        <v>420</v>
      </c>
      <c r="AJ787" s="535" t="str">
        <f t="shared" si="108"/>
        <v>2016bwtethUnknownTotal</v>
      </c>
      <c r="AK787" s="604">
        <v>2016</v>
      </c>
      <c r="AL787" s="604" t="s">
        <v>447</v>
      </c>
      <c r="AM787" s="604" t="s">
        <v>449</v>
      </c>
      <c r="AN787" s="604" t="s">
        <v>63</v>
      </c>
      <c r="AO787" s="604" t="s">
        <v>44</v>
      </c>
      <c r="AP787" s="604">
        <v>35</v>
      </c>
      <c r="AR787" s="538" t="str">
        <f t="shared" si="109"/>
        <v>AsianethinfantCounties Manukau</v>
      </c>
      <c r="AS787" s="604">
        <v>2016</v>
      </c>
      <c r="AT787" s="604" t="s">
        <v>355</v>
      </c>
      <c r="AU787" s="604" t="s">
        <v>449</v>
      </c>
      <c r="AV787" s="604" t="s">
        <v>88</v>
      </c>
      <c r="AW787" s="604">
        <v>8</v>
      </c>
      <c r="AX787" s="604">
        <v>2234</v>
      </c>
      <c r="AY787" s="606">
        <v>3.6</v>
      </c>
      <c r="AZ787" s="604" t="s">
        <v>437</v>
      </c>
      <c r="BY787" s="553" t="str">
        <f t="shared" si="110"/>
        <v>200328-31gestSIDS</v>
      </c>
      <c r="BZ787" s="604">
        <v>2003</v>
      </c>
      <c r="CA787" s="604" t="s">
        <v>395</v>
      </c>
      <c r="CB787" s="604" t="s">
        <v>450</v>
      </c>
      <c r="CC787" s="604">
        <v>1</v>
      </c>
      <c r="CD787" s="604" t="s">
        <v>32</v>
      </c>
    </row>
    <row r="788" spans="9:82">
      <c r="I788" s="578" t="str">
        <f t="shared" si="105"/>
        <v>1999dhbHawke's BayFetal</v>
      </c>
      <c r="J788" s="604">
        <v>1999</v>
      </c>
      <c r="K788" s="604" t="s">
        <v>448</v>
      </c>
      <c r="L788" s="604" t="s">
        <v>92</v>
      </c>
      <c r="M788" s="604">
        <v>20</v>
      </c>
      <c r="N788" s="604">
        <v>2184</v>
      </c>
      <c r="O788" s="604">
        <v>9.1999999999999993</v>
      </c>
      <c r="P788" s="604" t="s">
        <v>47</v>
      </c>
      <c r="Q788" s="499"/>
      <c r="R788" s="502" t="str">
        <f t="shared" si="106"/>
        <v>2013birthsethEuropean or Other</v>
      </c>
      <c r="S788" s="604">
        <v>2013</v>
      </c>
      <c r="T788" s="604" t="s">
        <v>445</v>
      </c>
      <c r="U788" s="604" t="s">
        <v>449</v>
      </c>
      <c r="V788" s="604" t="s">
        <v>356</v>
      </c>
      <c r="W788" s="604">
        <v>27407</v>
      </c>
      <c r="Y788" s="535" t="str">
        <f t="shared" si="107"/>
        <v>2016sexdepMaleTotalfetal</v>
      </c>
      <c r="Z788" s="604">
        <v>2016</v>
      </c>
      <c r="AA788" s="604" t="s">
        <v>451</v>
      </c>
      <c r="AB788" s="604" t="s">
        <v>454</v>
      </c>
      <c r="AC788" s="604" t="s">
        <v>70</v>
      </c>
      <c r="AD788" s="604" t="s">
        <v>44</v>
      </c>
      <c r="AE788" s="604">
        <v>216</v>
      </c>
      <c r="AF788" s="604">
        <v>31009</v>
      </c>
      <c r="AG788" s="604">
        <v>6.9</v>
      </c>
      <c r="AH788" s="604" t="s">
        <v>420</v>
      </c>
      <c r="AJ788" s="535" t="str">
        <f t="shared" si="108"/>
        <v>2016sexdepMaleTotal</v>
      </c>
      <c r="AK788" s="604">
        <v>2016</v>
      </c>
      <c r="AL788" s="604" t="s">
        <v>451</v>
      </c>
      <c r="AM788" s="604" t="s">
        <v>454</v>
      </c>
      <c r="AN788" s="604" t="s">
        <v>70</v>
      </c>
      <c r="AO788" s="604" t="s">
        <v>44</v>
      </c>
      <c r="AP788" s="604">
        <v>31009</v>
      </c>
      <c r="AR788" s="538" t="str">
        <f t="shared" si="109"/>
        <v>European or OtherethinfantCounties Manukau</v>
      </c>
      <c r="AS788" s="604">
        <v>2016</v>
      </c>
      <c r="AT788" s="604" t="s">
        <v>356</v>
      </c>
      <c r="AU788" s="604" t="s">
        <v>449</v>
      </c>
      <c r="AV788" s="604" t="s">
        <v>88</v>
      </c>
      <c r="AW788" s="604">
        <v>5</v>
      </c>
      <c r="AX788" s="604">
        <v>1694</v>
      </c>
      <c r="AY788" s="606">
        <v>3</v>
      </c>
      <c r="AZ788" s="604" t="s">
        <v>437</v>
      </c>
      <c r="BY788" s="553" t="str">
        <f t="shared" si="110"/>
        <v>200332-36gestSIDS</v>
      </c>
      <c r="BZ788" s="604">
        <v>2003</v>
      </c>
      <c r="CA788" s="604" t="s">
        <v>136</v>
      </c>
      <c r="CB788" s="604" t="s">
        <v>450</v>
      </c>
      <c r="CC788" s="604">
        <v>4</v>
      </c>
      <c r="CD788" s="604" t="s">
        <v>32</v>
      </c>
    </row>
    <row r="789" spans="9:82">
      <c r="I789" s="578" t="str">
        <f t="shared" si="105"/>
        <v>1999dhbTaranakiFetal</v>
      </c>
      <c r="J789" s="604">
        <v>1999</v>
      </c>
      <c r="K789" s="604" t="s">
        <v>448</v>
      </c>
      <c r="L789" s="604" t="s">
        <v>93</v>
      </c>
      <c r="M789" s="604">
        <v>15</v>
      </c>
      <c r="N789" s="604">
        <v>1512</v>
      </c>
      <c r="O789" s="604">
        <v>9.9</v>
      </c>
      <c r="P789" s="604" t="s">
        <v>47</v>
      </c>
      <c r="Q789" s="499"/>
      <c r="R789" s="502" t="str">
        <f t="shared" si="106"/>
        <v>2014birthsethMaori</v>
      </c>
      <c r="S789" s="604">
        <v>2014</v>
      </c>
      <c r="T789" s="604" t="s">
        <v>445</v>
      </c>
      <c r="U789" s="604" t="s">
        <v>449</v>
      </c>
      <c r="V789" s="604" t="s">
        <v>129</v>
      </c>
      <c r="W789" s="604">
        <v>16479</v>
      </c>
      <c r="Y789" s="535" t="str">
        <f t="shared" si="107"/>
        <v>2016sexdepFemaleTotalfetal</v>
      </c>
      <c r="Z789" s="604">
        <v>2016</v>
      </c>
      <c r="AA789" s="604" t="s">
        <v>451</v>
      </c>
      <c r="AB789" s="604" t="s">
        <v>454</v>
      </c>
      <c r="AC789" s="604" t="s">
        <v>71</v>
      </c>
      <c r="AD789" s="604" t="s">
        <v>44</v>
      </c>
      <c r="AE789" s="604">
        <v>189</v>
      </c>
      <c r="AF789" s="604">
        <v>29427</v>
      </c>
      <c r="AG789" s="604">
        <v>6.4</v>
      </c>
      <c r="AH789" s="604" t="s">
        <v>420</v>
      </c>
      <c r="AJ789" s="535" t="str">
        <f t="shared" si="108"/>
        <v>2016sexdepFemaleTotal</v>
      </c>
      <c r="AK789" s="604">
        <v>2016</v>
      </c>
      <c r="AL789" s="604" t="s">
        <v>451</v>
      </c>
      <c r="AM789" s="604" t="s">
        <v>454</v>
      </c>
      <c r="AN789" s="604" t="s">
        <v>71</v>
      </c>
      <c r="AO789" s="604" t="s">
        <v>44</v>
      </c>
      <c r="AP789" s="604">
        <v>29427</v>
      </c>
      <c r="AR789" s="538" t="str">
        <f t="shared" si="109"/>
        <v>MaoriethinfantCounties Manukau</v>
      </c>
      <c r="AS789" s="604">
        <v>2016</v>
      </c>
      <c r="AT789" s="604" t="s">
        <v>129</v>
      </c>
      <c r="AU789" s="604" t="s">
        <v>449</v>
      </c>
      <c r="AV789" s="604" t="s">
        <v>88</v>
      </c>
      <c r="AW789" s="604">
        <v>23</v>
      </c>
      <c r="AX789" s="604">
        <v>2147</v>
      </c>
      <c r="AY789" s="606">
        <v>10.7</v>
      </c>
      <c r="AZ789" s="604" t="s">
        <v>437</v>
      </c>
      <c r="BY789" s="553" t="str">
        <f t="shared" si="110"/>
        <v>200337-41gestSIDS</v>
      </c>
      <c r="BZ789" s="604">
        <v>2003</v>
      </c>
      <c r="CA789" s="604" t="s">
        <v>137</v>
      </c>
      <c r="CB789" s="604" t="s">
        <v>450</v>
      </c>
      <c r="CC789" s="604">
        <v>41</v>
      </c>
      <c r="CD789" s="604" t="s">
        <v>32</v>
      </c>
    </row>
    <row r="790" spans="9:82">
      <c r="I790" s="578" t="str">
        <f t="shared" si="105"/>
        <v>1999dhbMidCentralFetal</v>
      </c>
      <c r="J790" s="604">
        <v>1999</v>
      </c>
      <c r="K790" s="604" t="s">
        <v>448</v>
      </c>
      <c r="L790" s="604" t="s">
        <v>94</v>
      </c>
      <c r="M790" s="604">
        <v>18</v>
      </c>
      <c r="N790" s="604">
        <v>2209</v>
      </c>
      <c r="O790" s="604">
        <v>8.1</v>
      </c>
      <c r="P790" s="604" t="s">
        <v>47</v>
      </c>
      <c r="Q790" s="499"/>
      <c r="R790" s="502" t="str">
        <f t="shared" si="106"/>
        <v>2014birthsethPacific peoples</v>
      </c>
      <c r="S790" s="604">
        <v>2014</v>
      </c>
      <c r="T790" s="604" t="s">
        <v>445</v>
      </c>
      <c r="U790" s="604" t="s">
        <v>449</v>
      </c>
      <c r="V790" s="604" t="s">
        <v>320</v>
      </c>
      <c r="W790" s="604">
        <v>6196</v>
      </c>
      <c r="Y790" s="535" t="str">
        <f t="shared" si="107"/>
        <v>2016ethdepMaoriTotalfetal</v>
      </c>
      <c r="Z790" s="604">
        <v>2016</v>
      </c>
      <c r="AA790" s="604" t="s">
        <v>449</v>
      </c>
      <c r="AB790" s="604" t="s">
        <v>454</v>
      </c>
      <c r="AC790" s="604" t="s">
        <v>129</v>
      </c>
      <c r="AD790" s="604" t="s">
        <v>44</v>
      </c>
      <c r="AE790" s="604">
        <v>122</v>
      </c>
      <c r="AF790" s="604">
        <v>17329</v>
      </c>
      <c r="AG790" s="604">
        <v>7</v>
      </c>
      <c r="AH790" s="604" t="s">
        <v>420</v>
      </c>
      <c r="AJ790" s="535" t="str">
        <f t="shared" si="108"/>
        <v>2016ethdepMaoriTotal</v>
      </c>
      <c r="AK790" s="604">
        <v>2016</v>
      </c>
      <c r="AL790" s="604" t="s">
        <v>449</v>
      </c>
      <c r="AM790" s="604" t="s">
        <v>454</v>
      </c>
      <c r="AN790" s="604" t="s">
        <v>129</v>
      </c>
      <c r="AO790" s="604" t="s">
        <v>44</v>
      </c>
      <c r="AP790" s="604">
        <v>17329</v>
      </c>
      <c r="AR790" s="538" t="str">
        <f t="shared" si="109"/>
        <v>Pacific peoplesethinfantCounties Manukau</v>
      </c>
      <c r="AS790" s="604">
        <v>2016</v>
      </c>
      <c r="AT790" s="604" t="s">
        <v>320</v>
      </c>
      <c r="AU790" s="604" t="s">
        <v>449</v>
      </c>
      <c r="AV790" s="604" t="s">
        <v>88</v>
      </c>
      <c r="AW790" s="604">
        <v>21</v>
      </c>
      <c r="AX790" s="604">
        <v>2300</v>
      </c>
      <c r="AY790" s="606">
        <v>9.1</v>
      </c>
      <c r="AZ790" s="604" t="s">
        <v>437</v>
      </c>
      <c r="BY790" s="553" t="str">
        <f t="shared" si="110"/>
        <v>200342+gestSIDS</v>
      </c>
      <c r="BZ790" s="604">
        <v>2003</v>
      </c>
      <c r="CA790" s="604" t="s">
        <v>138</v>
      </c>
      <c r="CB790" s="604" t="s">
        <v>450</v>
      </c>
      <c r="CC790" s="604">
        <v>0</v>
      </c>
      <c r="CD790" s="604" t="s">
        <v>32</v>
      </c>
    </row>
    <row r="791" spans="9:82">
      <c r="I791" s="578" t="str">
        <f t="shared" si="105"/>
        <v>1999dhbWhanganuiFetal</v>
      </c>
      <c r="J791" s="604">
        <v>1999</v>
      </c>
      <c r="K791" s="604" t="s">
        <v>448</v>
      </c>
      <c r="L791" s="604" t="s">
        <v>95</v>
      </c>
      <c r="M791" s="604">
        <v>6</v>
      </c>
      <c r="N791" s="604">
        <v>965</v>
      </c>
      <c r="O791" s="604">
        <v>6.2</v>
      </c>
      <c r="P791" s="604" t="s">
        <v>47</v>
      </c>
      <c r="Q791" s="499"/>
      <c r="R791" s="502" t="str">
        <f t="shared" si="106"/>
        <v>2014birthsethAsian</v>
      </c>
      <c r="S791" s="604">
        <v>2014</v>
      </c>
      <c r="T791" s="604" t="s">
        <v>445</v>
      </c>
      <c r="U791" s="604" t="s">
        <v>449</v>
      </c>
      <c r="V791" s="604" t="s">
        <v>355</v>
      </c>
      <c r="W791" s="604">
        <v>9320</v>
      </c>
      <c r="Y791" s="535" t="str">
        <f t="shared" si="107"/>
        <v>2016ethdepPacific peoplesTotalfetal</v>
      </c>
      <c r="Z791" s="604">
        <v>2016</v>
      </c>
      <c r="AA791" s="604" t="s">
        <v>449</v>
      </c>
      <c r="AB791" s="604" t="s">
        <v>454</v>
      </c>
      <c r="AC791" s="604" t="s">
        <v>320</v>
      </c>
      <c r="AD791" s="604" t="s">
        <v>44</v>
      </c>
      <c r="AE791" s="604">
        <v>45</v>
      </c>
      <c r="AF791" s="604">
        <v>5976</v>
      </c>
      <c r="AG791" s="604">
        <v>7.5</v>
      </c>
      <c r="AH791" s="604" t="s">
        <v>420</v>
      </c>
      <c r="AJ791" s="535" t="str">
        <f t="shared" si="108"/>
        <v>2016ethdepPacific peoplesTotal</v>
      </c>
      <c r="AK791" s="604">
        <v>2016</v>
      </c>
      <c r="AL791" s="604" t="s">
        <v>449</v>
      </c>
      <c r="AM791" s="604" t="s">
        <v>454</v>
      </c>
      <c r="AN791" s="604" t="s">
        <v>320</v>
      </c>
      <c r="AO791" s="604" t="s">
        <v>44</v>
      </c>
      <c r="AP791" s="604">
        <v>5976</v>
      </c>
      <c r="AR791" s="538" t="str">
        <f t="shared" si="109"/>
        <v>European or OtherethinfantWaikato</v>
      </c>
      <c r="AS791" s="604">
        <v>2016</v>
      </c>
      <c r="AT791" s="604" t="s">
        <v>356</v>
      </c>
      <c r="AU791" s="604" t="s">
        <v>449</v>
      </c>
      <c r="AV791" s="604" t="s">
        <v>89</v>
      </c>
      <c r="AW791" s="604">
        <v>13</v>
      </c>
      <c r="AX791" s="604">
        <v>2373</v>
      </c>
      <c r="AY791" s="606">
        <v>5.5</v>
      </c>
      <c r="AZ791" s="604" t="s">
        <v>437</v>
      </c>
      <c r="BY791" s="553" t="str">
        <f t="shared" si="110"/>
        <v>2003UnknowngestSIDS</v>
      </c>
      <c r="BZ791" s="604">
        <v>2003</v>
      </c>
      <c r="CA791" s="604" t="s">
        <v>63</v>
      </c>
      <c r="CB791" s="604" t="s">
        <v>450</v>
      </c>
      <c r="CC791" s="604">
        <v>2</v>
      </c>
      <c r="CD791" s="604" t="s">
        <v>32</v>
      </c>
    </row>
    <row r="792" spans="9:82">
      <c r="I792" s="578" t="str">
        <f t="shared" si="105"/>
        <v>1999dhbCapital &amp; CoastFetal</v>
      </c>
      <c r="J792" s="604">
        <v>1999</v>
      </c>
      <c r="K792" s="604" t="s">
        <v>448</v>
      </c>
      <c r="L792" s="604" t="s">
        <v>96</v>
      </c>
      <c r="M792" s="604">
        <v>33</v>
      </c>
      <c r="N792" s="604">
        <v>3845</v>
      </c>
      <c r="O792" s="604">
        <v>8.6</v>
      </c>
      <c r="P792" s="604" t="s">
        <v>47</v>
      </c>
      <c r="Q792" s="499"/>
      <c r="R792" s="502" t="str">
        <f t="shared" si="106"/>
        <v>2014birthsethEuropean or Other</v>
      </c>
      <c r="S792" s="604">
        <v>2014</v>
      </c>
      <c r="T792" s="604" t="s">
        <v>445</v>
      </c>
      <c r="U792" s="604" t="s">
        <v>449</v>
      </c>
      <c r="V792" s="604" t="s">
        <v>356</v>
      </c>
      <c r="W792" s="604">
        <v>26290</v>
      </c>
      <c r="Y792" s="535" t="str">
        <f t="shared" si="107"/>
        <v>2016ethdepAsianTotalfetal</v>
      </c>
      <c r="Z792" s="604">
        <v>2016</v>
      </c>
      <c r="AA792" s="604" t="s">
        <v>449</v>
      </c>
      <c r="AB792" s="604" t="s">
        <v>454</v>
      </c>
      <c r="AC792" s="604" t="s">
        <v>355</v>
      </c>
      <c r="AD792" s="604" t="s">
        <v>44</v>
      </c>
      <c r="AE792" s="604">
        <v>73</v>
      </c>
      <c r="AF792" s="604">
        <v>10902</v>
      </c>
      <c r="AG792" s="604">
        <v>6.7</v>
      </c>
      <c r="AH792" s="604" t="s">
        <v>420</v>
      </c>
      <c r="AJ792" s="535" t="str">
        <f t="shared" si="108"/>
        <v>2016ethdepAsianTotal</v>
      </c>
      <c r="AK792" s="604">
        <v>2016</v>
      </c>
      <c r="AL792" s="604" t="s">
        <v>449</v>
      </c>
      <c r="AM792" s="604" t="s">
        <v>454</v>
      </c>
      <c r="AN792" s="604" t="s">
        <v>355</v>
      </c>
      <c r="AO792" s="604" t="s">
        <v>44</v>
      </c>
      <c r="AP792" s="604">
        <v>10902</v>
      </c>
      <c r="AR792" s="538" t="str">
        <f t="shared" si="109"/>
        <v>MaoriethinfantWaikato</v>
      </c>
      <c r="AS792" s="604">
        <v>2016</v>
      </c>
      <c r="AT792" s="604" t="s">
        <v>129</v>
      </c>
      <c r="AU792" s="604" t="s">
        <v>449</v>
      </c>
      <c r="AV792" s="604" t="s">
        <v>89</v>
      </c>
      <c r="AW792" s="604">
        <v>13</v>
      </c>
      <c r="AX792" s="604">
        <v>2248</v>
      </c>
      <c r="AY792" s="606">
        <v>5.8</v>
      </c>
      <c r="AZ792" s="604" t="s">
        <v>437</v>
      </c>
      <c r="BY792" s="553" t="str">
        <f t="shared" si="110"/>
        <v>2004&lt;28gestSIDS</v>
      </c>
      <c r="BZ792" s="604">
        <v>2004</v>
      </c>
      <c r="CA792" s="604" t="s">
        <v>375</v>
      </c>
      <c r="CB792" s="604" t="s">
        <v>450</v>
      </c>
      <c r="CC792" s="604">
        <v>0</v>
      </c>
      <c r="CD792" s="604" t="s">
        <v>32</v>
      </c>
    </row>
    <row r="793" spans="9:82">
      <c r="I793" s="578" t="str">
        <f t="shared" si="105"/>
        <v>1999dhbHutt ValleyFetal</v>
      </c>
      <c r="J793" s="604">
        <v>1999</v>
      </c>
      <c r="K793" s="604" t="s">
        <v>448</v>
      </c>
      <c r="L793" s="604" t="s">
        <v>97</v>
      </c>
      <c r="M793" s="604">
        <v>17</v>
      </c>
      <c r="N793" s="604">
        <v>2122</v>
      </c>
      <c r="O793" s="604">
        <v>8</v>
      </c>
      <c r="P793" s="604" t="s">
        <v>47</v>
      </c>
      <c r="Q793" s="499"/>
      <c r="R793" s="502" t="str">
        <f t="shared" si="106"/>
        <v>2015birthsethMaori</v>
      </c>
      <c r="S793" s="604">
        <v>2015</v>
      </c>
      <c r="T793" s="604" t="s">
        <v>445</v>
      </c>
      <c r="U793" s="604" t="s">
        <v>449</v>
      </c>
      <c r="V793" s="604" t="s">
        <v>129</v>
      </c>
      <c r="W793" s="604">
        <v>17781</v>
      </c>
      <c r="Y793" s="535" t="str">
        <f t="shared" si="107"/>
        <v>2016ethdepEuropean or OtherTotalfetal</v>
      </c>
      <c r="Z793" s="604">
        <v>2016</v>
      </c>
      <c r="AA793" s="604" t="s">
        <v>449</v>
      </c>
      <c r="AB793" s="604" t="s">
        <v>454</v>
      </c>
      <c r="AC793" s="604" t="s">
        <v>356</v>
      </c>
      <c r="AD793" s="604" t="s">
        <v>44</v>
      </c>
      <c r="AE793" s="604">
        <v>173</v>
      </c>
      <c r="AF793" s="604">
        <v>26229</v>
      </c>
      <c r="AG793" s="604">
        <v>6.6</v>
      </c>
      <c r="AH793" s="604" t="s">
        <v>420</v>
      </c>
      <c r="AJ793" s="535" t="str">
        <f t="shared" si="108"/>
        <v>2016ethdepEuropean or OtherTotal</v>
      </c>
      <c r="AK793" s="604">
        <v>2016</v>
      </c>
      <c r="AL793" s="604" t="s">
        <v>449</v>
      </c>
      <c r="AM793" s="604" t="s">
        <v>454</v>
      </c>
      <c r="AN793" s="604" t="s">
        <v>356</v>
      </c>
      <c r="AO793" s="604" t="s">
        <v>44</v>
      </c>
      <c r="AP793" s="604">
        <v>26229</v>
      </c>
      <c r="AR793" s="538" t="str">
        <f t="shared" si="109"/>
        <v>Pacific peoplesethinfantWaikato</v>
      </c>
      <c r="AS793" s="604">
        <v>2016</v>
      </c>
      <c r="AT793" s="604" t="s">
        <v>320</v>
      </c>
      <c r="AU793" s="604" t="s">
        <v>449</v>
      </c>
      <c r="AV793" s="604" t="s">
        <v>89</v>
      </c>
      <c r="AW793" s="604">
        <v>2</v>
      </c>
      <c r="AX793" s="604">
        <v>217</v>
      </c>
      <c r="AY793" s="606">
        <v>9.1999999999999993</v>
      </c>
      <c r="AZ793" s="604" t="s">
        <v>437</v>
      </c>
      <c r="BY793" s="553" t="str">
        <f t="shared" si="110"/>
        <v>200428-31gestSIDS</v>
      </c>
      <c r="BZ793" s="604">
        <v>2004</v>
      </c>
      <c r="CA793" s="604" t="s">
        <v>395</v>
      </c>
      <c r="CB793" s="604" t="s">
        <v>450</v>
      </c>
      <c r="CC793" s="604">
        <v>2</v>
      </c>
      <c r="CD793" s="604" t="s">
        <v>32</v>
      </c>
    </row>
    <row r="794" spans="9:82">
      <c r="I794" s="578" t="str">
        <f t="shared" si="105"/>
        <v>1999dhbWairarapaFetal</v>
      </c>
      <c r="J794" s="604">
        <v>1999</v>
      </c>
      <c r="K794" s="604" t="s">
        <v>448</v>
      </c>
      <c r="L794" s="604" t="s">
        <v>98</v>
      </c>
      <c r="M794" s="604">
        <v>4</v>
      </c>
      <c r="N794" s="604">
        <v>557</v>
      </c>
      <c r="O794" s="604">
        <v>7.2</v>
      </c>
      <c r="P794" s="604" t="s">
        <v>47</v>
      </c>
      <c r="Q794" s="499"/>
      <c r="R794" s="502" t="str">
        <f t="shared" si="106"/>
        <v>2015birthsethPacific peoples</v>
      </c>
      <c r="S794" s="604">
        <v>2015</v>
      </c>
      <c r="T794" s="604" t="s">
        <v>445</v>
      </c>
      <c r="U794" s="604" t="s">
        <v>449</v>
      </c>
      <c r="V794" s="604" t="s">
        <v>320</v>
      </c>
      <c r="W794" s="604">
        <v>6377</v>
      </c>
      <c r="Y794" s="535" t="str">
        <f t="shared" si="107"/>
        <v>2016agedep&lt;20Totalfetal</v>
      </c>
      <c r="Z794" s="604">
        <v>2016</v>
      </c>
      <c r="AA794" s="604" t="s">
        <v>453</v>
      </c>
      <c r="AB794" s="604" t="s">
        <v>454</v>
      </c>
      <c r="AC794" s="604" t="s">
        <v>339</v>
      </c>
      <c r="AD794" s="604" t="s">
        <v>44</v>
      </c>
      <c r="AE794" s="604">
        <v>36</v>
      </c>
      <c r="AF794" s="604">
        <v>2559</v>
      </c>
      <c r="AG794" s="604">
        <v>13.9</v>
      </c>
      <c r="AH794" s="604" t="s">
        <v>420</v>
      </c>
      <c r="AJ794" s="535" t="str">
        <f t="shared" si="108"/>
        <v>2016agedep&lt;20Total</v>
      </c>
      <c r="AK794" s="604">
        <v>2016</v>
      </c>
      <c r="AL794" s="604" t="s">
        <v>453</v>
      </c>
      <c r="AM794" s="604" t="s">
        <v>454</v>
      </c>
      <c r="AN794" s="604" t="s">
        <v>339</v>
      </c>
      <c r="AO794" s="604" t="s">
        <v>44</v>
      </c>
      <c r="AP794" s="604">
        <v>2559</v>
      </c>
      <c r="AR794" s="538" t="str">
        <f t="shared" si="109"/>
        <v>AsianethinfantBay of Plenty</v>
      </c>
      <c r="AS794" s="604">
        <v>2016</v>
      </c>
      <c r="AT794" s="604" t="s">
        <v>355</v>
      </c>
      <c r="AU794" s="604" t="s">
        <v>449</v>
      </c>
      <c r="AV794" s="604" t="s">
        <v>91</v>
      </c>
      <c r="AW794" s="604">
        <v>2</v>
      </c>
      <c r="AX794" s="604">
        <v>235</v>
      </c>
      <c r="AY794" s="606">
        <v>8.5</v>
      </c>
      <c r="AZ794" s="604" t="s">
        <v>437</v>
      </c>
      <c r="BY794" s="553" t="str">
        <f t="shared" si="110"/>
        <v>200432-36gestSIDS</v>
      </c>
      <c r="BZ794" s="604">
        <v>2004</v>
      </c>
      <c r="CA794" s="604" t="s">
        <v>136</v>
      </c>
      <c r="CB794" s="604" t="s">
        <v>450</v>
      </c>
      <c r="CC794" s="604">
        <v>6</v>
      </c>
      <c r="CD794" s="604" t="s">
        <v>32</v>
      </c>
    </row>
    <row r="795" spans="9:82">
      <c r="I795" s="578" t="str">
        <f t="shared" si="105"/>
        <v>1999dhbNelson MarlboroughFetal</v>
      </c>
      <c r="J795" s="604">
        <v>1999</v>
      </c>
      <c r="K795" s="604" t="s">
        <v>448</v>
      </c>
      <c r="L795" s="604" t="s">
        <v>99</v>
      </c>
      <c r="M795" s="604">
        <v>14</v>
      </c>
      <c r="N795" s="604">
        <v>1508</v>
      </c>
      <c r="O795" s="604">
        <v>9.3000000000000007</v>
      </c>
      <c r="P795" s="604" t="s">
        <v>47</v>
      </c>
      <c r="Q795" s="499"/>
      <c r="R795" s="502" t="str">
        <f t="shared" si="106"/>
        <v>2015birthsethAsian</v>
      </c>
      <c r="S795" s="604">
        <v>2015</v>
      </c>
      <c r="T795" s="604" t="s">
        <v>445</v>
      </c>
      <c r="U795" s="604" t="s">
        <v>449</v>
      </c>
      <c r="V795" s="604" t="s">
        <v>355</v>
      </c>
      <c r="W795" s="604">
        <v>10189</v>
      </c>
      <c r="Y795" s="535" t="str">
        <f t="shared" si="107"/>
        <v>2016agedep20-24Totalfetal</v>
      </c>
      <c r="Z795" s="604">
        <v>2016</v>
      </c>
      <c r="AA795" s="604" t="s">
        <v>453</v>
      </c>
      <c r="AB795" s="604" t="s">
        <v>454</v>
      </c>
      <c r="AC795" s="604" t="s">
        <v>130</v>
      </c>
      <c r="AD795" s="604" t="s">
        <v>44</v>
      </c>
      <c r="AE795" s="604">
        <v>73</v>
      </c>
      <c r="AF795" s="604">
        <v>9934</v>
      </c>
      <c r="AG795" s="604">
        <v>7.3</v>
      </c>
      <c r="AH795" s="604" t="s">
        <v>420</v>
      </c>
      <c r="AJ795" s="535" t="str">
        <f t="shared" si="108"/>
        <v>2016agedep20-24Total</v>
      </c>
      <c r="AK795" s="604">
        <v>2016</v>
      </c>
      <c r="AL795" s="604" t="s">
        <v>453</v>
      </c>
      <c r="AM795" s="604" t="s">
        <v>454</v>
      </c>
      <c r="AN795" s="604" t="s">
        <v>130</v>
      </c>
      <c r="AO795" s="604" t="s">
        <v>44</v>
      </c>
      <c r="AP795" s="604">
        <v>9934</v>
      </c>
      <c r="AR795" s="538" t="str">
        <f t="shared" si="109"/>
        <v>European or OtherethinfantBay of Plenty</v>
      </c>
      <c r="AS795" s="604">
        <v>2016</v>
      </c>
      <c r="AT795" s="604" t="s">
        <v>356</v>
      </c>
      <c r="AU795" s="604" t="s">
        <v>449</v>
      </c>
      <c r="AV795" s="604" t="s">
        <v>91</v>
      </c>
      <c r="AW795" s="604">
        <v>5</v>
      </c>
      <c r="AX795" s="604">
        <v>1282</v>
      </c>
      <c r="AY795" s="606">
        <v>3.9</v>
      </c>
      <c r="AZ795" s="604" t="s">
        <v>437</v>
      </c>
      <c r="BY795" s="553" t="str">
        <f t="shared" si="110"/>
        <v>200437-41gestSIDS</v>
      </c>
      <c r="BZ795" s="604">
        <v>2004</v>
      </c>
      <c r="CA795" s="604" t="s">
        <v>137</v>
      </c>
      <c r="CB795" s="604" t="s">
        <v>450</v>
      </c>
      <c r="CC795" s="604">
        <v>31</v>
      </c>
      <c r="CD795" s="604" t="s">
        <v>32</v>
      </c>
    </row>
    <row r="796" spans="9:82">
      <c r="I796" s="578" t="str">
        <f t="shared" si="105"/>
        <v>1999dhbWest CoastFetal</v>
      </c>
      <c r="J796" s="604">
        <v>1999</v>
      </c>
      <c r="K796" s="604" t="s">
        <v>448</v>
      </c>
      <c r="L796" s="604" t="s">
        <v>100</v>
      </c>
      <c r="M796" s="604">
        <v>1</v>
      </c>
      <c r="N796" s="604">
        <v>404</v>
      </c>
      <c r="O796" s="604">
        <v>2.5</v>
      </c>
      <c r="P796" s="604" t="s">
        <v>47</v>
      </c>
      <c r="Q796" s="499"/>
      <c r="R796" s="502" t="str">
        <f t="shared" si="106"/>
        <v>2015birthsethEuropean or Other</v>
      </c>
      <c r="S796" s="604">
        <v>2015</v>
      </c>
      <c r="T796" s="604" t="s">
        <v>445</v>
      </c>
      <c r="U796" s="604" t="s">
        <v>449</v>
      </c>
      <c r="V796" s="604" t="s">
        <v>356</v>
      </c>
      <c r="W796" s="604">
        <v>27775</v>
      </c>
      <c r="Y796" s="535" t="str">
        <f t="shared" si="107"/>
        <v>2016agedep25-29Totalfetal</v>
      </c>
      <c r="Z796" s="604">
        <v>2016</v>
      </c>
      <c r="AA796" s="604" t="s">
        <v>453</v>
      </c>
      <c r="AB796" s="604" t="s">
        <v>454</v>
      </c>
      <c r="AC796" s="604" t="s">
        <v>131</v>
      </c>
      <c r="AD796" s="604" t="s">
        <v>44</v>
      </c>
      <c r="AE796" s="604">
        <v>103</v>
      </c>
      <c r="AF796" s="604">
        <v>16664</v>
      </c>
      <c r="AG796" s="604">
        <v>6.1</v>
      </c>
      <c r="AH796" s="604" t="s">
        <v>420</v>
      </c>
      <c r="AJ796" s="535" t="str">
        <f t="shared" si="108"/>
        <v>2016agedep25-29Total</v>
      </c>
      <c r="AK796" s="604">
        <v>2016</v>
      </c>
      <c r="AL796" s="604" t="s">
        <v>453</v>
      </c>
      <c r="AM796" s="604" t="s">
        <v>454</v>
      </c>
      <c r="AN796" s="604" t="s">
        <v>131</v>
      </c>
      <c r="AO796" s="604" t="s">
        <v>44</v>
      </c>
      <c r="AP796" s="604">
        <v>16664</v>
      </c>
      <c r="AR796" s="538" t="str">
        <f t="shared" si="109"/>
        <v>MaoriethinfantBay of Plenty</v>
      </c>
      <c r="AS796" s="604">
        <v>2016</v>
      </c>
      <c r="AT796" s="604" t="s">
        <v>129</v>
      </c>
      <c r="AU796" s="604" t="s">
        <v>449</v>
      </c>
      <c r="AV796" s="604" t="s">
        <v>91</v>
      </c>
      <c r="AW796" s="604">
        <v>10</v>
      </c>
      <c r="AX796" s="604">
        <v>1343</v>
      </c>
      <c r="AY796" s="606">
        <v>7.4</v>
      </c>
      <c r="AZ796" s="604" t="s">
        <v>437</v>
      </c>
      <c r="BY796" s="553" t="str">
        <f t="shared" si="110"/>
        <v>200442+gestSIDS</v>
      </c>
      <c r="BZ796" s="604">
        <v>2004</v>
      </c>
      <c r="CA796" s="604" t="s">
        <v>138</v>
      </c>
      <c r="CB796" s="604" t="s">
        <v>450</v>
      </c>
      <c r="CC796" s="604">
        <v>1</v>
      </c>
      <c r="CD796" s="604" t="s">
        <v>32</v>
      </c>
    </row>
    <row r="797" spans="9:82">
      <c r="I797" s="578" t="str">
        <f t="shared" si="105"/>
        <v>1999dhbCanterburyFetal</v>
      </c>
      <c r="J797" s="604">
        <v>1999</v>
      </c>
      <c r="K797" s="604" t="s">
        <v>448</v>
      </c>
      <c r="L797" s="604" t="s">
        <v>101</v>
      </c>
      <c r="M797" s="604">
        <v>45</v>
      </c>
      <c r="N797" s="604">
        <v>5621</v>
      </c>
      <c r="O797" s="604">
        <v>8</v>
      </c>
      <c r="P797" s="604" t="s">
        <v>47</v>
      </c>
      <c r="Q797" s="499"/>
      <c r="R797" s="502" t="str">
        <f t="shared" si="106"/>
        <v>2016birthsethMaori</v>
      </c>
      <c r="S797" s="604">
        <v>2016</v>
      </c>
      <c r="T797" s="604" t="s">
        <v>445</v>
      </c>
      <c r="U797" s="604" t="s">
        <v>449</v>
      </c>
      <c r="V797" s="604" t="s">
        <v>129</v>
      </c>
      <c r="W797" s="604">
        <v>17329</v>
      </c>
      <c r="Y797" s="535" t="str">
        <f t="shared" si="107"/>
        <v>2016agedep30-34Totalfetal</v>
      </c>
      <c r="Z797" s="604">
        <v>2016</v>
      </c>
      <c r="AA797" s="604" t="s">
        <v>453</v>
      </c>
      <c r="AB797" s="604" t="s">
        <v>454</v>
      </c>
      <c r="AC797" s="604" t="s">
        <v>132</v>
      </c>
      <c r="AD797" s="604" t="s">
        <v>44</v>
      </c>
      <c r="AE797" s="604">
        <v>115</v>
      </c>
      <c r="AF797" s="604">
        <v>18720</v>
      </c>
      <c r="AG797" s="604">
        <v>6.1</v>
      </c>
      <c r="AH797" s="604" t="s">
        <v>420</v>
      </c>
      <c r="AJ797" s="535" t="str">
        <f t="shared" si="108"/>
        <v>2016agedep30-34Total</v>
      </c>
      <c r="AK797" s="604">
        <v>2016</v>
      </c>
      <c r="AL797" s="604" t="s">
        <v>453</v>
      </c>
      <c r="AM797" s="604" t="s">
        <v>454</v>
      </c>
      <c r="AN797" s="604" t="s">
        <v>132</v>
      </c>
      <c r="AO797" s="604" t="s">
        <v>44</v>
      </c>
      <c r="AP797" s="604">
        <v>18720</v>
      </c>
      <c r="AR797" s="538" t="str">
        <f t="shared" si="109"/>
        <v>Pacific peoplesethinfantBay of Plenty</v>
      </c>
      <c r="AS797" s="604">
        <v>2016</v>
      </c>
      <c r="AT797" s="604" t="s">
        <v>320</v>
      </c>
      <c r="AU797" s="604" t="s">
        <v>449</v>
      </c>
      <c r="AV797" s="604" t="s">
        <v>91</v>
      </c>
      <c r="AW797" s="604">
        <v>1</v>
      </c>
      <c r="AX797" s="604">
        <v>80</v>
      </c>
      <c r="AY797" s="606">
        <v>12.5</v>
      </c>
      <c r="AZ797" s="604" t="s">
        <v>437</v>
      </c>
      <c r="BY797" s="553" t="str">
        <f t="shared" si="110"/>
        <v>2004UnknowngestSIDS</v>
      </c>
      <c r="BZ797" s="604">
        <v>2004</v>
      </c>
      <c r="CA797" s="604" t="s">
        <v>63</v>
      </c>
      <c r="CB797" s="604" t="s">
        <v>450</v>
      </c>
      <c r="CC797" s="604">
        <v>5</v>
      </c>
      <c r="CD797" s="604" t="s">
        <v>32</v>
      </c>
    </row>
    <row r="798" spans="9:82">
      <c r="I798" s="578" t="str">
        <f t="shared" si="105"/>
        <v>1999dhbSouth CanterburyFetal</v>
      </c>
      <c r="J798" s="604">
        <v>1999</v>
      </c>
      <c r="K798" s="604" t="s">
        <v>448</v>
      </c>
      <c r="L798" s="604" t="s">
        <v>102</v>
      </c>
      <c r="M798" s="604">
        <v>5</v>
      </c>
      <c r="N798" s="604">
        <v>621</v>
      </c>
      <c r="O798" s="604">
        <v>8.1</v>
      </c>
      <c r="P798" s="604" t="s">
        <v>47</v>
      </c>
      <c r="Q798" s="499"/>
      <c r="R798" s="502" t="str">
        <f t="shared" si="106"/>
        <v>2016birthsethPacific peoples</v>
      </c>
      <c r="S798" s="604">
        <v>2016</v>
      </c>
      <c r="T798" s="604" t="s">
        <v>445</v>
      </c>
      <c r="U798" s="604" t="s">
        <v>449</v>
      </c>
      <c r="V798" s="604" t="s">
        <v>320</v>
      </c>
      <c r="W798" s="604">
        <v>5976</v>
      </c>
      <c r="Y798" s="535" t="str">
        <f t="shared" si="107"/>
        <v>2016agedep35-39Totalfetal</v>
      </c>
      <c r="Z798" s="604">
        <v>2016</v>
      </c>
      <c r="AA798" s="604" t="s">
        <v>453</v>
      </c>
      <c r="AB798" s="604" t="s">
        <v>454</v>
      </c>
      <c r="AC798" s="604" t="s">
        <v>133</v>
      </c>
      <c r="AD798" s="604" t="s">
        <v>44</v>
      </c>
      <c r="AE798" s="604">
        <v>70</v>
      </c>
      <c r="AF798" s="604">
        <v>10105</v>
      </c>
      <c r="AG798" s="604">
        <v>6.9</v>
      </c>
      <c r="AH798" s="604" t="s">
        <v>420</v>
      </c>
      <c r="AJ798" s="535" t="str">
        <f t="shared" si="108"/>
        <v>2016agedep35-39Total</v>
      </c>
      <c r="AK798" s="604">
        <v>2016</v>
      </c>
      <c r="AL798" s="604" t="s">
        <v>453</v>
      </c>
      <c r="AM798" s="604" t="s">
        <v>454</v>
      </c>
      <c r="AN798" s="604" t="s">
        <v>133</v>
      </c>
      <c r="AO798" s="604" t="s">
        <v>44</v>
      </c>
      <c r="AP798" s="604">
        <v>10105</v>
      </c>
      <c r="AR798" s="538" t="str">
        <f t="shared" si="109"/>
        <v>MaoriethinfantTairawhiti</v>
      </c>
      <c r="AS798" s="604">
        <v>2016</v>
      </c>
      <c r="AT798" s="604" t="s">
        <v>129</v>
      </c>
      <c r="AU798" s="604" t="s">
        <v>449</v>
      </c>
      <c r="AV798" s="604" t="s">
        <v>433</v>
      </c>
      <c r="AW798" s="604">
        <v>3</v>
      </c>
      <c r="AX798" s="604">
        <v>574</v>
      </c>
      <c r="AY798" s="606">
        <v>5.2</v>
      </c>
      <c r="AZ798" s="604" t="s">
        <v>437</v>
      </c>
      <c r="BY798" s="553" t="str">
        <f t="shared" si="110"/>
        <v>2005&lt;28gestSIDS</v>
      </c>
      <c r="BZ798" s="604">
        <v>2005</v>
      </c>
      <c r="CA798" s="604" t="s">
        <v>375</v>
      </c>
      <c r="CB798" s="604" t="s">
        <v>450</v>
      </c>
      <c r="CC798" s="604">
        <v>1</v>
      </c>
      <c r="CD798" s="604" t="s">
        <v>32</v>
      </c>
    </row>
    <row r="799" spans="9:82">
      <c r="I799" s="578" t="str">
        <f t="shared" si="105"/>
        <v>1999dhbSouthernFetal</v>
      </c>
      <c r="J799" s="604">
        <v>1999</v>
      </c>
      <c r="K799" s="604" t="s">
        <v>448</v>
      </c>
      <c r="L799" s="604" t="s">
        <v>103</v>
      </c>
      <c r="M799" s="604">
        <v>18</v>
      </c>
      <c r="N799" s="604">
        <v>3437</v>
      </c>
      <c r="O799" s="604">
        <v>5.2</v>
      </c>
      <c r="P799" s="604" t="s">
        <v>47</v>
      </c>
      <c r="Q799" s="499"/>
      <c r="R799" s="502" t="str">
        <f t="shared" si="106"/>
        <v>2016birthsethAsian</v>
      </c>
      <c r="S799" s="604">
        <v>2016</v>
      </c>
      <c r="T799" s="604" t="s">
        <v>445</v>
      </c>
      <c r="U799" s="604" t="s">
        <v>449</v>
      </c>
      <c r="V799" s="604" t="s">
        <v>355</v>
      </c>
      <c r="W799" s="604">
        <v>10902</v>
      </c>
      <c r="Y799" s="535" t="str">
        <f t="shared" si="107"/>
        <v>2016agedep40+Totalfetal</v>
      </c>
      <c r="Z799" s="604">
        <v>2016</v>
      </c>
      <c r="AA799" s="604" t="s">
        <v>453</v>
      </c>
      <c r="AB799" s="604" t="s">
        <v>454</v>
      </c>
      <c r="AC799" s="604" t="s">
        <v>134</v>
      </c>
      <c r="AD799" s="604" t="s">
        <v>44</v>
      </c>
      <c r="AE799" s="604">
        <v>16</v>
      </c>
      <c r="AF799" s="604">
        <v>2454</v>
      </c>
      <c r="AG799" s="604">
        <v>6.5</v>
      </c>
      <c r="AH799" s="604" t="s">
        <v>420</v>
      </c>
      <c r="AJ799" s="535" t="str">
        <f t="shared" si="108"/>
        <v>2016agedep40+Total</v>
      </c>
      <c r="AK799" s="604">
        <v>2016</v>
      </c>
      <c r="AL799" s="604" t="s">
        <v>453</v>
      </c>
      <c r="AM799" s="604" t="s">
        <v>454</v>
      </c>
      <c r="AN799" s="604" t="s">
        <v>134</v>
      </c>
      <c r="AO799" s="604" t="s">
        <v>44</v>
      </c>
      <c r="AP799" s="604">
        <v>2454</v>
      </c>
      <c r="AR799" s="538" t="str">
        <f t="shared" si="109"/>
        <v>AsianethinfantHawke's Bay</v>
      </c>
      <c r="AS799" s="604">
        <v>2016</v>
      </c>
      <c r="AT799" s="604" t="s">
        <v>355</v>
      </c>
      <c r="AU799" s="604" t="s">
        <v>449</v>
      </c>
      <c r="AV799" s="604" t="s">
        <v>92</v>
      </c>
      <c r="AW799" s="604">
        <v>1</v>
      </c>
      <c r="AX799" s="604">
        <v>111</v>
      </c>
      <c r="AY799" s="606">
        <v>9</v>
      </c>
      <c r="AZ799" s="604" t="s">
        <v>437</v>
      </c>
      <c r="BY799" s="553" t="str">
        <f t="shared" si="110"/>
        <v>200528-31gestSIDS</v>
      </c>
      <c r="BZ799" s="604">
        <v>2005</v>
      </c>
      <c r="CA799" s="604" t="s">
        <v>395</v>
      </c>
      <c r="CB799" s="604" t="s">
        <v>450</v>
      </c>
      <c r="CC799" s="604">
        <v>0</v>
      </c>
      <c r="CD799" s="604" t="s">
        <v>32</v>
      </c>
    </row>
    <row r="800" spans="9:82">
      <c r="I800" s="578" t="str">
        <f t="shared" si="105"/>
        <v>1999dhbUnknownFetal</v>
      </c>
      <c r="J800" s="604">
        <v>1999</v>
      </c>
      <c r="K800" s="604" t="s">
        <v>448</v>
      </c>
      <c r="L800" s="604" t="s">
        <v>63</v>
      </c>
      <c r="M800" s="604">
        <v>1</v>
      </c>
      <c r="N800" s="604">
        <v>580</v>
      </c>
      <c r="O800" s="604" t="s">
        <v>119</v>
      </c>
      <c r="P800" s="604" t="s">
        <v>47</v>
      </c>
      <c r="Q800" s="499"/>
      <c r="R800" s="502" t="str">
        <f t="shared" si="106"/>
        <v>2016birthsethEuropean or Other</v>
      </c>
      <c r="S800" s="604">
        <v>2016</v>
      </c>
      <c r="T800" s="604" t="s">
        <v>445</v>
      </c>
      <c r="U800" s="604" t="s">
        <v>449</v>
      </c>
      <c r="V800" s="604" t="s">
        <v>356</v>
      </c>
      <c r="W800" s="604">
        <v>26229</v>
      </c>
      <c r="Y800" s="535" t="str">
        <f t="shared" si="107"/>
        <v>2016gestdep&lt;28Totalfetal</v>
      </c>
      <c r="Z800" s="604">
        <v>2016</v>
      </c>
      <c r="AA800" s="604" t="s">
        <v>450</v>
      </c>
      <c r="AB800" s="604" t="s">
        <v>454</v>
      </c>
      <c r="AC800" s="604" t="s">
        <v>375</v>
      </c>
      <c r="AD800" s="604" t="s">
        <v>44</v>
      </c>
      <c r="AE800" s="604">
        <v>227</v>
      </c>
      <c r="AF800" s="604">
        <v>260</v>
      </c>
      <c r="AG800" s="604">
        <v>466.1</v>
      </c>
      <c r="AH800" s="604" t="s">
        <v>420</v>
      </c>
      <c r="AJ800" s="535" t="str">
        <f t="shared" si="108"/>
        <v>2016gestdep&lt;28Total</v>
      </c>
      <c r="AK800" s="604">
        <v>2016</v>
      </c>
      <c r="AL800" s="604" t="s">
        <v>450</v>
      </c>
      <c r="AM800" s="604" t="s">
        <v>454</v>
      </c>
      <c r="AN800" s="604" t="s">
        <v>375</v>
      </c>
      <c r="AO800" s="604" t="s">
        <v>44</v>
      </c>
      <c r="AP800" s="604">
        <v>260</v>
      </c>
      <c r="AR800" s="538" t="str">
        <f t="shared" si="109"/>
        <v>MaoriethinfantHawke's Bay</v>
      </c>
      <c r="AS800" s="604">
        <v>2016</v>
      </c>
      <c r="AT800" s="604" t="s">
        <v>129</v>
      </c>
      <c r="AU800" s="604" t="s">
        <v>449</v>
      </c>
      <c r="AV800" s="604" t="s">
        <v>92</v>
      </c>
      <c r="AW800" s="604">
        <v>4</v>
      </c>
      <c r="AX800" s="604">
        <v>1006</v>
      </c>
      <c r="AY800" s="606">
        <v>4</v>
      </c>
      <c r="AZ800" s="604" t="s">
        <v>437</v>
      </c>
      <c r="BY800" s="553" t="str">
        <f t="shared" si="110"/>
        <v>200532-36gestSIDS</v>
      </c>
      <c r="BZ800" s="604">
        <v>2005</v>
      </c>
      <c r="CA800" s="604" t="s">
        <v>136</v>
      </c>
      <c r="CB800" s="604" t="s">
        <v>450</v>
      </c>
      <c r="CC800" s="604">
        <v>8</v>
      </c>
      <c r="CD800" s="604" t="s">
        <v>32</v>
      </c>
    </row>
    <row r="801" spans="9:82">
      <c r="I801" s="578" t="str">
        <f t="shared" si="105"/>
        <v>2000dhbNorthlandFetal</v>
      </c>
      <c r="J801" s="604">
        <v>2000</v>
      </c>
      <c r="K801" s="604" t="s">
        <v>448</v>
      </c>
      <c r="L801" s="604" t="s">
        <v>85</v>
      </c>
      <c r="M801" s="604">
        <v>14</v>
      </c>
      <c r="N801" s="604">
        <v>2136</v>
      </c>
      <c r="O801" s="604">
        <v>6.6</v>
      </c>
      <c r="P801" s="604" t="s">
        <v>47</v>
      </c>
      <c r="Q801" s="499"/>
      <c r="R801" s="502" t="str">
        <f t="shared" si="106"/>
        <v>1996birthsgest&lt;28</v>
      </c>
      <c r="S801" s="604">
        <v>1996</v>
      </c>
      <c r="T801" s="604" t="s">
        <v>445</v>
      </c>
      <c r="U801" s="604" t="s">
        <v>450</v>
      </c>
      <c r="V801" s="604" t="s">
        <v>375</v>
      </c>
      <c r="W801" s="604">
        <v>254</v>
      </c>
      <c r="Y801" s="535" t="str">
        <f t="shared" si="107"/>
        <v>2016gestdep28-31Totalfetal</v>
      </c>
      <c r="Z801" s="604">
        <v>2016</v>
      </c>
      <c r="AA801" s="604" t="s">
        <v>450</v>
      </c>
      <c r="AB801" s="604" t="s">
        <v>454</v>
      </c>
      <c r="AC801" s="604" t="s">
        <v>395</v>
      </c>
      <c r="AD801" s="604" t="s">
        <v>44</v>
      </c>
      <c r="AE801" s="604">
        <v>38</v>
      </c>
      <c r="AF801" s="604">
        <v>417</v>
      </c>
      <c r="AG801" s="604">
        <v>83.5</v>
      </c>
      <c r="AH801" s="604" t="s">
        <v>420</v>
      </c>
      <c r="AJ801" s="535" t="str">
        <f t="shared" si="108"/>
        <v>2016gestdep28-31Total</v>
      </c>
      <c r="AK801" s="604">
        <v>2016</v>
      </c>
      <c r="AL801" s="604" t="s">
        <v>450</v>
      </c>
      <c r="AM801" s="604" t="s">
        <v>454</v>
      </c>
      <c r="AN801" s="604" t="s">
        <v>395</v>
      </c>
      <c r="AO801" s="604" t="s">
        <v>44</v>
      </c>
      <c r="AP801" s="604">
        <v>417</v>
      </c>
      <c r="AR801" s="538" t="str">
        <f t="shared" si="109"/>
        <v>Pacific peoplesethinfantHawke's Bay</v>
      </c>
      <c r="AS801" s="604">
        <v>2016</v>
      </c>
      <c r="AT801" s="604" t="s">
        <v>320</v>
      </c>
      <c r="AU801" s="604" t="s">
        <v>449</v>
      </c>
      <c r="AV801" s="604" t="s">
        <v>92</v>
      </c>
      <c r="AW801" s="604">
        <v>1</v>
      </c>
      <c r="AX801" s="604">
        <v>148</v>
      </c>
      <c r="AY801" s="606">
        <v>6.8</v>
      </c>
      <c r="AZ801" s="604" t="s">
        <v>437</v>
      </c>
      <c r="BY801" s="553" t="str">
        <f t="shared" si="110"/>
        <v>200537-41gestSIDS</v>
      </c>
      <c r="BZ801" s="604">
        <v>2005</v>
      </c>
      <c r="CA801" s="604" t="s">
        <v>137</v>
      </c>
      <c r="CB801" s="604" t="s">
        <v>450</v>
      </c>
      <c r="CC801" s="604">
        <v>25</v>
      </c>
      <c r="CD801" s="604" t="s">
        <v>32</v>
      </c>
    </row>
    <row r="802" spans="9:82">
      <c r="I802" s="578" t="str">
        <f t="shared" si="105"/>
        <v>2000dhbWaitemataFetal</v>
      </c>
      <c r="J802" s="604">
        <v>2000</v>
      </c>
      <c r="K802" s="604" t="s">
        <v>448</v>
      </c>
      <c r="L802" s="604" t="s">
        <v>86</v>
      </c>
      <c r="M802" s="604">
        <v>42</v>
      </c>
      <c r="N802" s="604">
        <v>6604</v>
      </c>
      <c r="O802" s="604">
        <v>6.4</v>
      </c>
      <c r="P802" s="604" t="s">
        <v>47</v>
      </c>
      <c r="Q802" s="499"/>
      <c r="R802" s="502" t="str">
        <f t="shared" si="106"/>
        <v>1996birthsgest28-31</v>
      </c>
      <c r="S802" s="604">
        <v>1996</v>
      </c>
      <c r="T802" s="604" t="s">
        <v>445</v>
      </c>
      <c r="U802" s="604" t="s">
        <v>450</v>
      </c>
      <c r="V802" s="604" t="s">
        <v>395</v>
      </c>
      <c r="W802" s="604">
        <v>461</v>
      </c>
      <c r="Y802" s="535" t="str">
        <f t="shared" si="107"/>
        <v>2016gestdep32-36Totalfetal</v>
      </c>
      <c r="Z802" s="604">
        <v>2016</v>
      </c>
      <c r="AA802" s="604" t="s">
        <v>450</v>
      </c>
      <c r="AB802" s="604" t="s">
        <v>454</v>
      </c>
      <c r="AC802" s="604" t="s">
        <v>136</v>
      </c>
      <c r="AD802" s="604" t="s">
        <v>44</v>
      </c>
      <c r="AE802" s="604">
        <v>56</v>
      </c>
      <c r="AF802" s="604">
        <v>3814</v>
      </c>
      <c r="AG802" s="604">
        <v>14.5</v>
      </c>
      <c r="AH802" s="604" t="s">
        <v>420</v>
      </c>
      <c r="AJ802" s="535" t="str">
        <f t="shared" si="108"/>
        <v>2016gestdep32-36Total</v>
      </c>
      <c r="AK802" s="604">
        <v>2016</v>
      </c>
      <c r="AL802" s="604" t="s">
        <v>450</v>
      </c>
      <c r="AM802" s="604" t="s">
        <v>454</v>
      </c>
      <c r="AN802" s="604" t="s">
        <v>136</v>
      </c>
      <c r="AO802" s="604" t="s">
        <v>44</v>
      </c>
      <c r="AP802" s="604">
        <v>3814</v>
      </c>
      <c r="AR802" s="538" t="str">
        <f t="shared" si="109"/>
        <v>European or OtherethinfantTaranaki</v>
      </c>
      <c r="AS802" s="604">
        <v>2016</v>
      </c>
      <c r="AT802" s="604" t="s">
        <v>356</v>
      </c>
      <c r="AU802" s="604" t="s">
        <v>449</v>
      </c>
      <c r="AV802" s="604" t="s">
        <v>93</v>
      </c>
      <c r="AW802" s="604">
        <v>3</v>
      </c>
      <c r="AX802" s="604">
        <v>841</v>
      </c>
      <c r="AY802" s="606">
        <v>3.6</v>
      </c>
      <c r="AZ802" s="604" t="s">
        <v>437</v>
      </c>
      <c r="BY802" s="553" t="str">
        <f t="shared" si="110"/>
        <v>200542+gestSIDS</v>
      </c>
      <c r="BZ802" s="604">
        <v>2005</v>
      </c>
      <c r="CA802" s="604" t="s">
        <v>138</v>
      </c>
      <c r="CB802" s="604" t="s">
        <v>450</v>
      </c>
      <c r="CC802" s="604">
        <v>1</v>
      </c>
      <c r="CD802" s="604" t="s">
        <v>32</v>
      </c>
    </row>
    <row r="803" spans="9:82">
      <c r="I803" s="578" t="str">
        <f t="shared" si="105"/>
        <v>2000dhbAucklandFetal</v>
      </c>
      <c r="J803" s="604">
        <v>2000</v>
      </c>
      <c r="K803" s="604" t="s">
        <v>448</v>
      </c>
      <c r="L803" s="604" t="s">
        <v>87</v>
      </c>
      <c r="M803" s="604">
        <v>38</v>
      </c>
      <c r="N803" s="604">
        <v>6061</v>
      </c>
      <c r="O803" s="604">
        <v>6.3</v>
      </c>
      <c r="P803" s="604" t="s">
        <v>47</v>
      </c>
      <c r="Q803" s="499"/>
      <c r="R803" s="502" t="str">
        <f t="shared" si="106"/>
        <v>1996birthsgest32-36</v>
      </c>
      <c r="S803" s="604">
        <v>1996</v>
      </c>
      <c r="T803" s="604" t="s">
        <v>445</v>
      </c>
      <c r="U803" s="604" t="s">
        <v>450</v>
      </c>
      <c r="V803" s="604" t="s">
        <v>136</v>
      </c>
      <c r="W803" s="604">
        <v>3265</v>
      </c>
      <c r="Y803" s="535" t="str">
        <f t="shared" si="107"/>
        <v>2016gestdep37-41Totalfetal</v>
      </c>
      <c r="Z803" s="604">
        <v>2016</v>
      </c>
      <c r="AA803" s="604" t="s">
        <v>450</v>
      </c>
      <c r="AB803" s="604" t="s">
        <v>454</v>
      </c>
      <c r="AC803" s="604" t="s">
        <v>137</v>
      </c>
      <c r="AD803" s="604" t="s">
        <v>44</v>
      </c>
      <c r="AE803" s="604">
        <v>86</v>
      </c>
      <c r="AF803" s="604">
        <v>54899</v>
      </c>
      <c r="AG803" s="604">
        <v>1.6</v>
      </c>
      <c r="AH803" s="604" t="s">
        <v>420</v>
      </c>
      <c r="AJ803" s="535" t="str">
        <f t="shared" si="108"/>
        <v>2016gestdep37-41Total</v>
      </c>
      <c r="AK803" s="604">
        <v>2016</v>
      </c>
      <c r="AL803" s="604" t="s">
        <v>450</v>
      </c>
      <c r="AM803" s="604" t="s">
        <v>454</v>
      </c>
      <c r="AN803" s="604" t="s">
        <v>137</v>
      </c>
      <c r="AO803" s="604" t="s">
        <v>44</v>
      </c>
      <c r="AP803" s="604">
        <v>54899</v>
      </c>
      <c r="AR803" s="538" t="str">
        <f t="shared" si="109"/>
        <v>MaoriethinfantTaranaki</v>
      </c>
      <c r="AS803" s="604">
        <v>2016</v>
      </c>
      <c r="AT803" s="604" t="s">
        <v>129</v>
      </c>
      <c r="AU803" s="604" t="s">
        <v>449</v>
      </c>
      <c r="AV803" s="604" t="s">
        <v>93</v>
      </c>
      <c r="AW803" s="604">
        <v>3</v>
      </c>
      <c r="AX803" s="604">
        <v>509</v>
      </c>
      <c r="AY803" s="606">
        <v>5.9</v>
      </c>
      <c r="AZ803" s="604" t="s">
        <v>437</v>
      </c>
      <c r="BY803" s="553" t="str">
        <f t="shared" si="110"/>
        <v>2005UnknowngestSIDS</v>
      </c>
      <c r="BZ803" s="604">
        <v>2005</v>
      </c>
      <c r="CA803" s="604" t="s">
        <v>63</v>
      </c>
      <c r="CB803" s="604" t="s">
        <v>450</v>
      </c>
      <c r="CC803" s="604">
        <v>5</v>
      </c>
      <c r="CD803" s="604" t="s">
        <v>32</v>
      </c>
    </row>
    <row r="804" spans="9:82">
      <c r="I804" s="578" t="str">
        <f t="shared" si="105"/>
        <v>2000dhbCounties ManukauFetal</v>
      </c>
      <c r="J804" s="604">
        <v>2000</v>
      </c>
      <c r="K804" s="604" t="s">
        <v>448</v>
      </c>
      <c r="L804" s="604" t="s">
        <v>88</v>
      </c>
      <c r="M804" s="604">
        <v>50</v>
      </c>
      <c r="N804" s="604">
        <v>7359</v>
      </c>
      <c r="O804" s="604">
        <v>6.8</v>
      </c>
      <c r="P804" s="604" t="s">
        <v>47</v>
      </c>
      <c r="Q804" s="499"/>
      <c r="R804" s="502" t="str">
        <f t="shared" si="106"/>
        <v>1996birthsgest37-41</v>
      </c>
      <c r="S804" s="604">
        <v>1996</v>
      </c>
      <c r="T804" s="604" t="s">
        <v>445</v>
      </c>
      <c r="U804" s="604" t="s">
        <v>450</v>
      </c>
      <c r="V804" s="604" t="s">
        <v>137</v>
      </c>
      <c r="W804" s="604">
        <v>50676</v>
      </c>
      <c r="Y804" s="535" t="str">
        <f t="shared" si="107"/>
        <v>2016gestdep42+Totalfetal</v>
      </c>
      <c r="Z804" s="604">
        <v>2016</v>
      </c>
      <c r="AA804" s="604" t="s">
        <v>450</v>
      </c>
      <c r="AB804" s="604" t="s">
        <v>454</v>
      </c>
      <c r="AC804" s="604" t="s">
        <v>138</v>
      </c>
      <c r="AD804" s="604" t="s">
        <v>44</v>
      </c>
      <c r="AE804" s="604">
        <v>0</v>
      </c>
      <c r="AF804" s="604">
        <v>1017</v>
      </c>
      <c r="AG804" s="604">
        <v>0</v>
      </c>
      <c r="AH804" s="604" t="s">
        <v>420</v>
      </c>
      <c r="AJ804" s="535" t="str">
        <f t="shared" si="108"/>
        <v>2016gestdep42+Total</v>
      </c>
      <c r="AK804" s="604">
        <v>2016</v>
      </c>
      <c r="AL804" s="604" t="s">
        <v>450</v>
      </c>
      <c r="AM804" s="604" t="s">
        <v>454</v>
      </c>
      <c r="AN804" s="604" t="s">
        <v>138</v>
      </c>
      <c r="AO804" s="604" t="s">
        <v>44</v>
      </c>
      <c r="AP804" s="604">
        <v>1017</v>
      </c>
      <c r="AR804" s="538" t="str">
        <f t="shared" si="109"/>
        <v>European or OtherethinfantMidCentral</v>
      </c>
      <c r="AS804" s="604">
        <v>2016</v>
      </c>
      <c r="AT804" s="604" t="s">
        <v>356</v>
      </c>
      <c r="AU804" s="604" t="s">
        <v>449</v>
      </c>
      <c r="AV804" s="604" t="s">
        <v>94</v>
      </c>
      <c r="AW804" s="604">
        <v>3</v>
      </c>
      <c r="AX804" s="604">
        <v>986</v>
      </c>
      <c r="AY804" s="606">
        <v>3</v>
      </c>
      <c r="AZ804" s="604" t="s">
        <v>437</v>
      </c>
      <c r="BY804" s="553" t="str">
        <f t="shared" si="110"/>
        <v>2006&lt;28gestSIDS</v>
      </c>
      <c r="BZ804" s="604">
        <v>2006</v>
      </c>
      <c r="CA804" s="604" t="s">
        <v>375</v>
      </c>
      <c r="CB804" s="604" t="s">
        <v>450</v>
      </c>
      <c r="CC804" s="604">
        <v>1</v>
      </c>
      <c r="CD804" s="604" t="s">
        <v>32</v>
      </c>
    </row>
    <row r="805" spans="9:82">
      <c r="I805" s="578" t="str">
        <f t="shared" si="105"/>
        <v>2000dhbWaikatoFetal</v>
      </c>
      <c r="J805" s="604">
        <v>2000</v>
      </c>
      <c r="K805" s="604" t="s">
        <v>448</v>
      </c>
      <c r="L805" s="604" t="s">
        <v>89</v>
      </c>
      <c r="M805" s="604">
        <v>26</v>
      </c>
      <c r="N805" s="604">
        <v>4818</v>
      </c>
      <c r="O805" s="604">
        <v>5.4</v>
      </c>
      <c r="P805" s="604" t="s">
        <v>47</v>
      </c>
      <c r="Q805" s="499"/>
      <c r="R805" s="502" t="str">
        <f t="shared" si="106"/>
        <v>1996birthsgest42+</v>
      </c>
      <c r="S805" s="604">
        <v>1996</v>
      </c>
      <c r="T805" s="604" t="s">
        <v>445</v>
      </c>
      <c r="U805" s="604" t="s">
        <v>450</v>
      </c>
      <c r="V805" s="604" t="s">
        <v>138</v>
      </c>
      <c r="W805" s="604">
        <v>2684</v>
      </c>
      <c r="Y805" s="535" t="str">
        <f t="shared" si="107"/>
        <v>2016gestdepUnknownTotalfetal</v>
      </c>
      <c r="Z805" s="604">
        <v>2016</v>
      </c>
      <c r="AA805" s="604" t="s">
        <v>450</v>
      </c>
      <c r="AB805" s="604" t="s">
        <v>454</v>
      </c>
      <c r="AC805" s="604" t="s">
        <v>63</v>
      </c>
      <c r="AD805" s="604" t="s">
        <v>44</v>
      </c>
      <c r="AE805" s="604">
        <v>6</v>
      </c>
      <c r="AF805" s="604">
        <v>29</v>
      </c>
      <c r="AG805" s="604" t="s">
        <v>119</v>
      </c>
      <c r="AH805" s="604" t="s">
        <v>420</v>
      </c>
      <c r="AJ805" s="535" t="str">
        <f t="shared" si="108"/>
        <v>2016gestdepUnknownTotal</v>
      </c>
      <c r="AK805" s="604">
        <v>2016</v>
      </c>
      <c r="AL805" s="604" t="s">
        <v>450</v>
      </c>
      <c r="AM805" s="604" t="s">
        <v>454</v>
      </c>
      <c r="AN805" s="604" t="s">
        <v>63</v>
      </c>
      <c r="AO805" s="604" t="s">
        <v>44</v>
      </c>
      <c r="AP805" s="604">
        <v>29</v>
      </c>
      <c r="AR805" s="538" t="str">
        <f t="shared" si="109"/>
        <v>MaoriethinfantMidCentral</v>
      </c>
      <c r="AS805" s="604">
        <v>2016</v>
      </c>
      <c r="AT805" s="604" t="s">
        <v>129</v>
      </c>
      <c r="AU805" s="604" t="s">
        <v>449</v>
      </c>
      <c r="AV805" s="604" t="s">
        <v>94</v>
      </c>
      <c r="AW805" s="604">
        <v>6</v>
      </c>
      <c r="AX805" s="604">
        <v>813</v>
      </c>
      <c r="AY805" s="606">
        <v>7.4</v>
      </c>
      <c r="AZ805" s="604" t="s">
        <v>437</v>
      </c>
      <c r="BY805" s="553" t="str">
        <f t="shared" si="110"/>
        <v>200628-31gestSIDS</v>
      </c>
      <c r="BZ805" s="604">
        <v>2006</v>
      </c>
      <c r="CA805" s="604" t="s">
        <v>395</v>
      </c>
      <c r="CB805" s="604" t="s">
        <v>450</v>
      </c>
      <c r="CC805" s="604">
        <v>1</v>
      </c>
      <c r="CD805" s="604" t="s">
        <v>32</v>
      </c>
    </row>
    <row r="806" spans="9:82">
      <c r="I806" s="578" t="str">
        <f t="shared" si="105"/>
        <v>2000dhbLakesFetal</v>
      </c>
      <c r="J806" s="604">
        <v>2000</v>
      </c>
      <c r="K806" s="604" t="s">
        <v>448</v>
      </c>
      <c r="L806" s="604" t="s">
        <v>90</v>
      </c>
      <c r="M806" s="604">
        <v>12</v>
      </c>
      <c r="N806" s="604">
        <v>1588</v>
      </c>
      <c r="O806" s="604">
        <v>7.6</v>
      </c>
      <c r="P806" s="604" t="s">
        <v>47</v>
      </c>
      <c r="Q806" s="499"/>
      <c r="R806" s="502" t="str">
        <f t="shared" si="106"/>
        <v>1996birthsgestUnknown</v>
      </c>
      <c r="S806" s="604">
        <v>1996</v>
      </c>
      <c r="T806" s="604" t="s">
        <v>445</v>
      </c>
      <c r="U806" s="604" t="s">
        <v>450</v>
      </c>
      <c r="V806" s="604" t="s">
        <v>63</v>
      </c>
      <c r="W806" s="604">
        <v>94</v>
      </c>
      <c r="Y806" s="535" t="str">
        <f t="shared" si="107"/>
        <v>2016bwtdep&lt;500Totalfetal</v>
      </c>
      <c r="Z806" s="604">
        <v>2016</v>
      </c>
      <c r="AA806" s="604" t="s">
        <v>447</v>
      </c>
      <c r="AB806" s="604" t="s">
        <v>454</v>
      </c>
      <c r="AC806" s="604" t="s">
        <v>427</v>
      </c>
      <c r="AD806" s="604" t="s">
        <v>44</v>
      </c>
      <c r="AE806" s="604">
        <v>141</v>
      </c>
      <c r="AF806" s="604">
        <v>53</v>
      </c>
      <c r="AG806" s="604" t="s">
        <v>119</v>
      </c>
      <c r="AH806" s="604" t="s">
        <v>420</v>
      </c>
      <c r="AJ806" s="535" t="str">
        <f t="shared" si="108"/>
        <v>2016bwtdep&lt;500Total</v>
      </c>
      <c r="AK806" s="604">
        <v>2016</v>
      </c>
      <c r="AL806" s="604" t="s">
        <v>447</v>
      </c>
      <c r="AM806" s="604" t="s">
        <v>454</v>
      </c>
      <c r="AN806" s="604" t="s">
        <v>427</v>
      </c>
      <c r="AO806" s="604" t="s">
        <v>44</v>
      </c>
      <c r="AP806" s="604">
        <v>53</v>
      </c>
      <c r="AR806" s="538" t="str">
        <f t="shared" si="109"/>
        <v>Pacific peoplesethinfantMidCentral</v>
      </c>
      <c r="AS806" s="604">
        <v>2016</v>
      </c>
      <c r="AT806" s="604" t="s">
        <v>320</v>
      </c>
      <c r="AU806" s="604" t="s">
        <v>449</v>
      </c>
      <c r="AV806" s="604" t="s">
        <v>94</v>
      </c>
      <c r="AW806" s="604">
        <v>1</v>
      </c>
      <c r="AX806" s="604">
        <v>116</v>
      </c>
      <c r="AY806" s="606">
        <v>8.6</v>
      </c>
      <c r="AZ806" s="604" t="s">
        <v>437</v>
      </c>
      <c r="BY806" s="553" t="str">
        <f t="shared" si="110"/>
        <v>200632-36gestSIDS</v>
      </c>
      <c r="BZ806" s="604">
        <v>2006</v>
      </c>
      <c r="CA806" s="604" t="s">
        <v>136</v>
      </c>
      <c r="CB806" s="604" t="s">
        <v>450</v>
      </c>
      <c r="CC806" s="604">
        <v>4</v>
      </c>
      <c r="CD806" s="604" t="s">
        <v>32</v>
      </c>
    </row>
    <row r="807" spans="9:82">
      <c r="I807" s="578" t="str">
        <f t="shared" si="105"/>
        <v>2000dhbBay of PlentyFetal</v>
      </c>
      <c r="J807" s="604">
        <v>2000</v>
      </c>
      <c r="K807" s="604" t="s">
        <v>448</v>
      </c>
      <c r="L807" s="604" t="s">
        <v>91</v>
      </c>
      <c r="M807" s="604">
        <v>16</v>
      </c>
      <c r="N807" s="604">
        <v>2644</v>
      </c>
      <c r="O807" s="604">
        <v>6.1</v>
      </c>
      <c r="P807" s="604" t="s">
        <v>47</v>
      </c>
      <c r="Q807" s="499"/>
      <c r="R807" s="502" t="str">
        <f t="shared" si="106"/>
        <v>1997birthsgest&lt;28</v>
      </c>
      <c r="S807" s="604">
        <v>1997</v>
      </c>
      <c r="T807" s="604" t="s">
        <v>445</v>
      </c>
      <c r="U807" s="604" t="s">
        <v>450</v>
      </c>
      <c r="V807" s="604" t="s">
        <v>375</v>
      </c>
      <c r="W807" s="604">
        <v>246</v>
      </c>
      <c r="Y807" s="535" t="str">
        <f t="shared" si="107"/>
        <v>2016bwtdep500-999Totalfetal</v>
      </c>
      <c r="Z807" s="604">
        <v>2016</v>
      </c>
      <c r="AA807" s="604" t="s">
        <v>447</v>
      </c>
      <c r="AB807" s="604" t="s">
        <v>454</v>
      </c>
      <c r="AC807" s="604" t="s">
        <v>428</v>
      </c>
      <c r="AD807" s="604" t="s">
        <v>44</v>
      </c>
      <c r="AE807" s="604">
        <v>97</v>
      </c>
      <c r="AF807" s="604">
        <v>196</v>
      </c>
      <c r="AG807" s="604">
        <v>331.1</v>
      </c>
      <c r="AH807" s="604" t="s">
        <v>420</v>
      </c>
      <c r="AJ807" s="535" t="str">
        <f t="shared" si="108"/>
        <v>2016bwtdep500-999Total</v>
      </c>
      <c r="AK807" s="604">
        <v>2016</v>
      </c>
      <c r="AL807" s="604" t="s">
        <v>447</v>
      </c>
      <c r="AM807" s="604" t="s">
        <v>454</v>
      </c>
      <c r="AN807" s="604" t="s">
        <v>428</v>
      </c>
      <c r="AO807" s="604" t="s">
        <v>44</v>
      </c>
      <c r="AP807" s="604">
        <v>196</v>
      </c>
      <c r="AR807" s="538" t="str">
        <f t="shared" si="109"/>
        <v>European or OtherethinfantWhanganui</v>
      </c>
      <c r="AS807" s="604">
        <v>2016</v>
      </c>
      <c r="AT807" s="604" t="s">
        <v>356</v>
      </c>
      <c r="AU807" s="604" t="s">
        <v>449</v>
      </c>
      <c r="AV807" s="604" t="s">
        <v>95</v>
      </c>
      <c r="AW807" s="604">
        <v>4</v>
      </c>
      <c r="AX807" s="604">
        <v>345</v>
      </c>
      <c r="AY807" s="606">
        <v>11.6</v>
      </c>
      <c r="AZ807" s="604" t="s">
        <v>437</v>
      </c>
      <c r="BY807" s="553" t="str">
        <f t="shared" si="110"/>
        <v>200637-41gestSIDS</v>
      </c>
      <c r="BZ807" s="604">
        <v>2006</v>
      </c>
      <c r="CA807" s="604" t="s">
        <v>137</v>
      </c>
      <c r="CB807" s="604" t="s">
        <v>450</v>
      </c>
      <c r="CC807" s="604">
        <v>39</v>
      </c>
      <c r="CD807" s="604" t="s">
        <v>32</v>
      </c>
    </row>
    <row r="808" spans="9:82">
      <c r="I808" s="578" t="str">
        <f t="shared" si="105"/>
        <v>2000dhbTairawhitiFetal</v>
      </c>
      <c r="J808" s="604">
        <v>2000</v>
      </c>
      <c r="K808" s="604" t="s">
        <v>448</v>
      </c>
      <c r="L808" s="604" t="s">
        <v>433</v>
      </c>
      <c r="M808" s="604">
        <v>5</v>
      </c>
      <c r="N808" s="604">
        <v>778</v>
      </c>
      <c r="O808" s="604">
        <v>6.4</v>
      </c>
      <c r="P808" s="604" t="s">
        <v>47</v>
      </c>
      <c r="Q808" s="499"/>
      <c r="R808" s="502" t="str">
        <f t="shared" si="106"/>
        <v>1997birthsgest28-31</v>
      </c>
      <c r="S808" s="604">
        <v>1997</v>
      </c>
      <c r="T808" s="604" t="s">
        <v>445</v>
      </c>
      <c r="U808" s="604" t="s">
        <v>450</v>
      </c>
      <c r="V808" s="604" t="s">
        <v>395</v>
      </c>
      <c r="W808" s="604">
        <v>435</v>
      </c>
      <c r="Y808" s="535" t="str">
        <f t="shared" si="107"/>
        <v>2016bwtdep1000-1499Totalfetal</v>
      </c>
      <c r="Z808" s="604">
        <v>2016</v>
      </c>
      <c r="AA808" s="604" t="s">
        <v>447</v>
      </c>
      <c r="AB808" s="604" t="s">
        <v>454</v>
      </c>
      <c r="AC808" s="604" t="s">
        <v>429</v>
      </c>
      <c r="AD808" s="604" t="s">
        <v>44</v>
      </c>
      <c r="AE808" s="604">
        <v>27</v>
      </c>
      <c r="AF808" s="604">
        <v>331</v>
      </c>
      <c r="AG808" s="604">
        <v>75.400000000000006</v>
      </c>
      <c r="AH808" s="604" t="s">
        <v>420</v>
      </c>
      <c r="AJ808" s="535" t="str">
        <f t="shared" si="108"/>
        <v>2016bwtdep1000-1499Total</v>
      </c>
      <c r="AK808" s="604">
        <v>2016</v>
      </c>
      <c r="AL808" s="604" t="s">
        <v>447</v>
      </c>
      <c r="AM808" s="604" t="s">
        <v>454</v>
      </c>
      <c r="AN808" s="604" t="s">
        <v>429</v>
      </c>
      <c r="AO808" s="604" t="s">
        <v>44</v>
      </c>
      <c r="AP808" s="604">
        <v>331</v>
      </c>
      <c r="AR808" s="538" t="str">
        <f t="shared" si="109"/>
        <v>Pacific peoplesethinfantWhanganui</v>
      </c>
      <c r="AS808" s="604">
        <v>2016</v>
      </c>
      <c r="AT808" s="604" t="s">
        <v>320</v>
      </c>
      <c r="AU808" s="604" t="s">
        <v>449</v>
      </c>
      <c r="AV808" s="604" t="s">
        <v>95</v>
      </c>
      <c r="AW808" s="604">
        <v>2</v>
      </c>
      <c r="AX808" s="604">
        <v>57</v>
      </c>
      <c r="AY808" s="606">
        <v>35.1</v>
      </c>
      <c r="AZ808" s="604" t="s">
        <v>437</v>
      </c>
      <c r="BY808" s="553" t="str">
        <f t="shared" si="110"/>
        <v>200642+gestSIDS</v>
      </c>
      <c r="BZ808" s="604">
        <v>2006</v>
      </c>
      <c r="CA808" s="604" t="s">
        <v>138</v>
      </c>
      <c r="CB808" s="604" t="s">
        <v>450</v>
      </c>
      <c r="CC808" s="604">
        <v>0</v>
      </c>
      <c r="CD808" s="604" t="s">
        <v>32</v>
      </c>
    </row>
    <row r="809" spans="9:82">
      <c r="I809" s="578" t="str">
        <f t="shared" si="105"/>
        <v>2000dhbHawke's BayFetal</v>
      </c>
      <c r="J809" s="604">
        <v>2000</v>
      </c>
      <c r="K809" s="604" t="s">
        <v>448</v>
      </c>
      <c r="L809" s="604" t="s">
        <v>92</v>
      </c>
      <c r="M809" s="604">
        <v>15</v>
      </c>
      <c r="N809" s="604">
        <v>2190</v>
      </c>
      <c r="O809" s="604">
        <v>6.8</v>
      </c>
      <c r="P809" s="604" t="s">
        <v>47</v>
      </c>
      <c r="Q809" s="499"/>
      <c r="R809" s="502" t="str">
        <f t="shared" si="106"/>
        <v>1997birthsgest32-36</v>
      </c>
      <c r="S809" s="604">
        <v>1997</v>
      </c>
      <c r="T809" s="604" t="s">
        <v>445</v>
      </c>
      <c r="U809" s="604" t="s">
        <v>450</v>
      </c>
      <c r="V809" s="604" t="s">
        <v>136</v>
      </c>
      <c r="W809" s="604">
        <v>3324</v>
      </c>
      <c r="Y809" s="535" t="str">
        <f t="shared" si="107"/>
        <v>2016bwtdep1500-2499Totalfetal</v>
      </c>
      <c r="Z809" s="604">
        <v>2016</v>
      </c>
      <c r="AA809" s="604" t="s">
        <v>447</v>
      </c>
      <c r="AB809" s="604" t="s">
        <v>454</v>
      </c>
      <c r="AC809" s="604" t="s">
        <v>430</v>
      </c>
      <c r="AD809" s="604" t="s">
        <v>44</v>
      </c>
      <c r="AE809" s="604">
        <v>45</v>
      </c>
      <c r="AF809" s="604">
        <v>2991</v>
      </c>
      <c r="AG809" s="604">
        <v>14.8</v>
      </c>
      <c r="AH809" s="604" t="s">
        <v>420</v>
      </c>
      <c r="AJ809" s="535" t="str">
        <f t="shared" si="108"/>
        <v>2016bwtdep1500-2499Total</v>
      </c>
      <c r="AK809" s="604">
        <v>2016</v>
      </c>
      <c r="AL809" s="604" t="s">
        <v>447</v>
      </c>
      <c r="AM809" s="604" t="s">
        <v>454</v>
      </c>
      <c r="AN809" s="604" t="s">
        <v>430</v>
      </c>
      <c r="AO809" s="604" t="s">
        <v>44</v>
      </c>
      <c r="AP809" s="604">
        <v>2991</v>
      </c>
      <c r="AR809" s="538" t="str">
        <f t="shared" si="109"/>
        <v>AsianethinfantCapital &amp; Coast</v>
      </c>
      <c r="AS809" s="604">
        <v>2016</v>
      </c>
      <c r="AT809" s="604" t="s">
        <v>355</v>
      </c>
      <c r="AU809" s="604" t="s">
        <v>449</v>
      </c>
      <c r="AV809" s="604" t="s">
        <v>96</v>
      </c>
      <c r="AW809" s="604">
        <v>2</v>
      </c>
      <c r="AX809" s="604">
        <v>678</v>
      </c>
      <c r="AY809" s="606">
        <v>2.9</v>
      </c>
      <c r="AZ809" s="604" t="s">
        <v>437</v>
      </c>
      <c r="BY809" s="553" t="str">
        <f t="shared" si="110"/>
        <v>2006UnknowngestSIDS</v>
      </c>
      <c r="BZ809" s="604">
        <v>2006</v>
      </c>
      <c r="CA809" s="604" t="s">
        <v>63</v>
      </c>
      <c r="CB809" s="604" t="s">
        <v>450</v>
      </c>
      <c r="CC809" s="604">
        <v>4</v>
      </c>
      <c r="CD809" s="604" t="s">
        <v>32</v>
      </c>
    </row>
    <row r="810" spans="9:82">
      <c r="I810" s="578" t="str">
        <f t="shared" si="105"/>
        <v>2000dhbTaranakiFetal</v>
      </c>
      <c r="J810" s="604">
        <v>2000</v>
      </c>
      <c r="K810" s="604" t="s">
        <v>448</v>
      </c>
      <c r="L810" s="604" t="s">
        <v>93</v>
      </c>
      <c r="M810" s="604">
        <v>3</v>
      </c>
      <c r="N810" s="604">
        <v>1430</v>
      </c>
      <c r="O810" s="604">
        <v>2.1</v>
      </c>
      <c r="P810" s="604" t="s">
        <v>47</v>
      </c>
      <c r="Q810" s="499"/>
      <c r="R810" s="502" t="str">
        <f t="shared" si="106"/>
        <v>1997birthsgest37-41</v>
      </c>
      <c r="S810" s="604">
        <v>1997</v>
      </c>
      <c r="T810" s="604" t="s">
        <v>445</v>
      </c>
      <c r="U810" s="604" t="s">
        <v>450</v>
      </c>
      <c r="V810" s="604" t="s">
        <v>137</v>
      </c>
      <c r="W810" s="604">
        <v>51106</v>
      </c>
      <c r="Y810" s="535" t="str">
        <f t="shared" si="107"/>
        <v>2016bwtdep2500-4499Totalfetal</v>
      </c>
      <c r="Z810" s="604">
        <v>2016</v>
      </c>
      <c r="AA810" s="604" t="s">
        <v>447</v>
      </c>
      <c r="AB810" s="604" t="s">
        <v>454</v>
      </c>
      <c r="AC810" s="604" t="s">
        <v>431</v>
      </c>
      <c r="AD810" s="604" t="s">
        <v>44</v>
      </c>
      <c r="AE810" s="604">
        <v>81</v>
      </c>
      <c r="AF810" s="604">
        <v>55407</v>
      </c>
      <c r="AG810" s="604">
        <v>1.5</v>
      </c>
      <c r="AH810" s="604" t="s">
        <v>420</v>
      </c>
      <c r="AJ810" s="535" t="str">
        <f t="shared" si="108"/>
        <v>2016bwtdep2500-4499Total</v>
      </c>
      <c r="AK810" s="604">
        <v>2016</v>
      </c>
      <c r="AL810" s="604" t="s">
        <v>447</v>
      </c>
      <c r="AM810" s="604" t="s">
        <v>454</v>
      </c>
      <c r="AN810" s="604" t="s">
        <v>431</v>
      </c>
      <c r="AO810" s="604" t="s">
        <v>44</v>
      </c>
      <c r="AP810" s="604">
        <v>55407</v>
      </c>
      <c r="AR810" s="538" t="str">
        <f t="shared" si="109"/>
        <v>European or OtherethinfantCapital &amp; Coast</v>
      </c>
      <c r="AS810" s="604">
        <v>2016</v>
      </c>
      <c r="AT810" s="604" t="s">
        <v>356</v>
      </c>
      <c r="AU810" s="604" t="s">
        <v>449</v>
      </c>
      <c r="AV810" s="604" t="s">
        <v>96</v>
      </c>
      <c r="AW810" s="604">
        <v>5</v>
      </c>
      <c r="AX810" s="604">
        <v>1813</v>
      </c>
      <c r="AY810" s="606">
        <v>2.8</v>
      </c>
      <c r="AZ810" s="604" t="s">
        <v>437</v>
      </c>
      <c r="BY810" s="553" t="str">
        <f t="shared" si="110"/>
        <v>2007&lt;28gestSIDS</v>
      </c>
      <c r="BZ810" s="604">
        <v>2007</v>
      </c>
      <c r="CA810" s="604" t="s">
        <v>375</v>
      </c>
      <c r="CB810" s="604" t="s">
        <v>450</v>
      </c>
      <c r="CC810" s="604">
        <v>0</v>
      </c>
      <c r="CD810" s="604" t="s">
        <v>32</v>
      </c>
    </row>
    <row r="811" spans="9:82">
      <c r="I811" s="578" t="str">
        <f t="shared" si="105"/>
        <v>2000dhbMidCentralFetal</v>
      </c>
      <c r="J811" s="604">
        <v>2000</v>
      </c>
      <c r="K811" s="604" t="s">
        <v>448</v>
      </c>
      <c r="L811" s="604" t="s">
        <v>94</v>
      </c>
      <c r="M811" s="604">
        <v>13</v>
      </c>
      <c r="N811" s="604">
        <v>2303</v>
      </c>
      <c r="O811" s="604">
        <v>5.6</v>
      </c>
      <c r="P811" s="604" t="s">
        <v>47</v>
      </c>
      <c r="Q811" s="499"/>
      <c r="R811" s="502" t="str">
        <f t="shared" si="106"/>
        <v>1997birthsgest42+</v>
      </c>
      <c r="S811" s="604">
        <v>1997</v>
      </c>
      <c r="T811" s="604" t="s">
        <v>445</v>
      </c>
      <c r="U811" s="604" t="s">
        <v>450</v>
      </c>
      <c r="V811" s="604" t="s">
        <v>138</v>
      </c>
      <c r="W811" s="604">
        <v>2569</v>
      </c>
      <c r="Y811" s="535" t="str">
        <f t="shared" si="107"/>
        <v>2016bwtdep4500+Totalfetal</v>
      </c>
      <c r="Z811" s="604">
        <v>2016</v>
      </c>
      <c r="AA811" s="604" t="s">
        <v>447</v>
      </c>
      <c r="AB811" s="604" t="s">
        <v>454</v>
      </c>
      <c r="AC811" s="604" t="s">
        <v>432</v>
      </c>
      <c r="AD811" s="604" t="s">
        <v>44</v>
      </c>
      <c r="AE811" s="604">
        <v>4</v>
      </c>
      <c r="AF811" s="604">
        <v>1423</v>
      </c>
      <c r="AG811" s="604">
        <v>2.8</v>
      </c>
      <c r="AH811" s="604" t="s">
        <v>420</v>
      </c>
      <c r="AJ811" s="535" t="str">
        <f t="shared" si="108"/>
        <v>2016bwtdep4500+Total</v>
      </c>
      <c r="AK811" s="604">
        <v>2016</v>
      </c>
      <c r="AL811" s="604" t="s">
        <v>447</v>
      </c>
      <c r="AM811" s="604" t="s">
        <v>454</v>
      </c>
      <c r="AN811" s="604" t="s">
        <v>432</v>
      </c>
      <c r="AO811" s="604" t="s">
        <v>44</v>
      </c>
      <c r="AP811" s="604">
        <v>1423</v>
      </c>
      <c r="AR811" s="538" t="str">
        <f t="shared" si="109"/>
        <v>MaoriethinfantCapital &amp; Coast</v>
      </c>
      <c r="AS811" s="604">
        <v>2016</v>
      </c>
      <c r="AT811" s="604" t="s">
        <v>129</v>
      </c>
      <c r="AU811" s="604" t="s">
        <v>449</v>
      </c>
      <c r="AV811" s="604" t="s">
        <v>96</v>
      </c>
      <c r="AW811" s="604">
        <v>4</v>
      </c>
      <c r="AX811" s="604">
        <v>678</v>
      </c>
      <c r="AY811" s="606">
        <v>5.9</v>
      </c>
      <c r="AZ811" s="604" t="s">
        <v>437</v>
      </c>
      <c r="BY811" s="553" t="str">
        <f t="shared" si="110"/>
        <v>200728-31gestSIDS</v>
      </c>
      <c r="BZ811" s="604">
        <v>2007</v>
      </c>
      <c r="CA811" s="604" t="s">
        <v>395</v>
      </c>
      <c r="CB811" s="604" t="s">
        <v>450</v>
      </c>
      <c r="CC811" s="604">
        <v>4</v>
      </c>
      <c r="CD811" s="604" t="s">
        <v>32</v>
      </c>
    </row>
    <row r="812" spans="9:82">
      <c r="I812" s="578" t="str">
        <f t="shared" si="105"/>
        <v>2000dhbWhanganuiFetal</v>
      </c>
      <c r="J812" s="604">
        <v>2000</v>
      </c>
      <c r="K812" s="604" t="s">
        <v>448</v>
      </c>
      <c r="L812" s="604" t="s">
        <v>95</v>
      </c>
      <c r="M812" s="604">
        <v>7</v>
      </c>
      <c r="N812" s="604">
        <v>1000</v>
      </c>
      <c r="O812" s="604">
        <v>7</v>
      </c>
      <c r="P812" s="604" t="s">
        <v>47</v>
      </c>
      <c r="Q812" s="499"/>
      <c r="R812" s="502" t="str">
        <f t="shared" si="106"/>
        <v>1997birthsgestUnknown</v>
      </c>
      <c r="S812" s="604">
        <v>1997</v>
      </c>
      <c r="T812" s="604" t="s">
        <v>445</v>
      </c>
      <c r="U812" s="604" t="s">
        <v>450</v>
      </c>
      <c r="V812" s="604" t="s">
        <v>63</v>
      </c>
      <c r="W812" s="604">
        <v>54</v>
      </c>
      <c r="Y812" s="535" t="str">
        <f t="shared" si="107"/>
        <v>2016bwtdepUnknownTotalfetal</v>
      </c>
      <c r="Z812" s="604">
        <v>2016</v>
      </c>
      <c r="AA812" s="604" t="s">
        <v>447</v>
      </c>
      <c r="AB812" s="604" t="s">
        <v>454</v>
      </c>
      <c r="AC812" s="604" t="s">
        <v>63</v>
      </c>
      <c r="AD812" s="604" t="s">
        <v>44</v>
      </c>
      <c r="AE812" s="604">
        <v>18</v>
      </c>
      <c r="AF812" s="604">
        <v>35</v>
      </c>
      <c r="AG812" s="604" t="s">
        <v>119</v>
      </c>
      <c r="AH812" s="604" t="s">
        <v>420</v>
      </c>
      <c r="AJ812" s="535" t="str">
        <f t="shared" si="108"/>
        <v>2016bwtdepUnknownTotal</v>
      </c>
      <c r="AK812" s="604">
        <v>2016</v>
      </c>
      <c r="AL812" s="604" t="s">
        <v>447</v>
      </c>
      <c r="AM812" s="604" t="s">
        <v>454</v>
      </c>
      <c r="AN812" s="604" t="s">
        <v>63</v>
      </c>
      <c r="AO812" s="604" t="s">
        <v>44</v>
      </c>
      <c r="AP812" s="604">
        <v>35</v>
      </c>
      <c r="AR812" s="538" t="str">
        <f t="shared" si="109"/>
        <v>AsianethinfantHutt Valley</v>
      </c>
      <c r="AS812" s="604">
        <v>2016</v>
      </c>
      <c r="AT812" s="604" t="s">
        <v>355</v>
      </c>
      <c r="AU812" s="604" t="s">
        <v>449</v>
      </c>
      <c r="AV812" s="604" t="s">
        <v>97</v>
      </c>
      <c r="AW812" s="604">
        <v>2</v>
      </c>
      <c r="AX812" s="604">
        <v>313</v>
      </c>
      <c r="AY812" s="606">
        <v>6.4</v>
      </c>
      <c r="AZ812" s="604" t="s">
        <v>437</v>
      </c>
      <c r="BY812" s="553" t="str">
        <f t="shared" si="110"/>
        <v>200732-36gestSIDS</v>
      </c>
      <c r="BZ812" s="604">
        <v>2007</v>
      </c>
      <c r="CA812" s="604" t="s">
        <v>136</v>
      </c>
      <c r="CB812" s="604" t="s">
        <v>450</v>
      </c>
      <c r="CC812" s="604">
        <v>5</v>
      </c>
      <c r="CD812" s="604" t="s">
        <v>32</v>
      </c>
    </row>
    <row r="813" spans="9:82">
      <c r="I813" s="578" t="str">
        <f t="shared" si="105"/>
        <v>2000dhbCapital &amp; CoastFetal</v>
      </c>
      <c r="J813" s="604">
        <v>2000</v>
      </c>
      <c r="K813" s="604" t="s">
        <v>448</v>
      </c>
      <c r="L813" s="604" t="s">
        <v>96</v>
      </c>
      <c r="M813" s="604">
        <v>25</v>
      </c>
      <c r="N813" s="604">
        <v>3778</v>
      </c>
      <c r="O813" s="604">
        <v>6.6</v>
      </c>
      <c r="P813" s="604" t="s">
        <v>47</v>
      </c>
      <c r="Q813" s="499"/>
      <c r="R813" s="502" t="str">
        <f t="shared" si="106"/>
        <v>1998birthsgest&lt;28</v>
      </c>
      <c r="S813" s="604">
        <v>1998</v>
      </c>
      <c r="T813" s="604" t="s">
        <v>445</v>
      </c>
      <c r="U813" s="604" t="s">
        <v>450</v>
      </c>
      <c r="V813" s="604" t="s">
        <v>375</v>
      </c>
      <c r="W813" s="604">
        <v>117</v>
      </c>
      <c r="Y813" s="535" t="str">
        <f t="shared" si="107"/>
        <v>2016sexgestMaleTotalfetal</v>
      </c>
      <c r="Z813" s="604">
        <v>2016</v>
      </c>
      <c r="AA813" s="604" t="s">
        <v>451</v>
      </c>
      <c r="AB813" s="604" t="s">
        <v>450</v>
      </c>
      <c r="AC813" s="604" t="s">
        <v>70</v>
      </c>
      <c r="AD813" s="604" t="s">
        <v>44</v>
      </c>
      <c r="AE813" s="604">
        <v>216</v>
      </c>
      <c r="AF813" s="604">
        <v>31009</v>
      </c>
      <c r="AG813" s="604">
        <v>6.9</v>
      </c>
      <c r="AH813" s="604" t="s">
        <v>420</v>
      </c>
      <c r="AJ813" s="535" t="str">
        <f t="shared" si="108"/>
        <v>2016sexgestMaleTotal</v>
      </c>
      <c r="AK813" s="604">
        <v>2016</v>
      </c>
      <c r="AL813" s="604" t="s">
        <v>451</v>
      </c>
      <c r="AM813" s="604" t="s">
        <v>450</v>
      </c>
      <c r="AN813" s="604" t="s">
        <v>70</v>
      </c>
      <c r="AO813" s="604" t="s">
        <v>44</v>
      </c>
      <c r="AP813" s="604">
        <v>31009</v>
      </c>
      <c r="AR813" s="538" t="str">
        <f t="shared" si="109"/>
        <v>European or OtherethinfantHutt Valley</v>
      </c>
      <c r="AS813" s="604">
        <v>2016</v>
      </c>
      <c r="AT813" s="604" t="s">
        <v>356</v>
      </c>
      <c r="AU813" s="604" t="s">
        <v>449</v>
      </c>
      <c r="AV813" s="604" t="s">
        <v>97</v>
      </c>
      <c r="AW813" s="604">
        <v>3</v>
      </c>
      <c r="AX813" s="604">
        <v>884</v>
      </c>
      <c r="AY813" s="606">
        <v>3.4</v>
      </c>
      <c r="AZ813" s="604" t="s">
        <v>437</v>
      </c>
      <c r="BY813" s="553" t="str">
        <f t="shared" si="110"/>
        <v>200737-41gestSIDS</v>
      </c>
      <c r="BZ813" s="604">
        <v>2007</v>
      </c>
      <c r="CA813" s="604" t="s">
        <v>137</v>
      </c>
      <c r="CB813" s="604" t="s">
        <v>450</v>
      </c>
      <c r="CC813" s="604">
        <v>41</v>
      </c>
      <c r="CD813" s="604" t="s">
        <v>32</v>
      </c>
    </row>
    <row r="814" spans="9:82">
      <c r="I814" s="578" t="str">
        <f t="shared" si="105"/>
        <v>2000dhbHutt ValleyFetal</v>
      </c>
      <c r="J814" s="604">
        <v>2000</v>
      </c>
      <c r="K814" s="604" t="s">
        <v>448</v>
      </c>
      <c r="L814" s="604" t="s">
        <v>97</v>
      </c>
      <c r="M814" s="604">
        <v>20</v>
      </c>
      <c r="N814" s="604">
        <v>2105</v>
      </c>
      <c r="O814" s="604">
        <v>9.5</v>
      </c>
      <c r="P814" s="604" t="s">
        <v>47</v>
      </c>
      <c r="Q814" s="499"/>
      <c r="R814" s="502" t="str">
        <f t="shared" si="106"/>
        <v>1998birthsgest28-31</v>
      </c>
      <c r="S814" s="604">
        <v>1998</v>
      </c>
      <c r="T814" s="604" t="s">
        <v>445</v>
      </c>
      <c r="U814" s="604" t="s">
        <v>450</v>
      </c>
      <c r="V814" s="604" t="s">
        <v>395</v>
      </c>
      <c r="W814" s="604">
        <v>227</v>
      </c>
      <c r="Y814" s="535" t="str">
        <f t="shared" si="107"/>
        <v>2016sexgestFemaleTotalfetal</v>
      </c>
      <c r="Z814" s="604">
        <v>2016</v>
      </c>
      <c r="AA814" s="604" t="s">
        <v>451</v>
      </c>
      <c r="AB814" s="604" t="s">
        <v>450</v>
      </c>
      <c r="AC814" s="604" t="s">
        <v>71</v>
      </c>
      <c r="AD814" s="604" t="s">
        <v>44</v>
      </c>
      <c r="AE814" s="604">
        <v>189</v>
      </c>
      <c r="AF814" s="604">
        <v>29427</v>
      </c>
      <c r="AG814" s="604">
        <v>6.4</v>
      </c>
      <c r="AH814" s="604" t="s">
        <v>420</v>
      </c>
      <c r="AJ814" s="535" t="str">
        <f t="shared" si="108"/>
        <v>2016sexgestFemaleTotal</v>
      </c>
      <c r="AK814" s="604">
        <v>2016</v>
      </c>
      <c r="AL814" s="604" t="s">
        <v>451</v>
      </c>
      <c r="AM814" s="604" t="s">
        <v>450</v>
      </c>
      <c r="AN814" s="604" t="s">
        <v>71</v>
      </c>
      <c r="AO814" s="604" t="s">
        <v>44</v>
      </c>
      <c r="AP814" s="604">
        <v>29427</v>
      </c>
      <c r="AR814" s="538" t="str">
        <f t="shared" si="109"/>
        <v>MaoriethinfantHutt Valley</v>
      </c>
      <c r="AS814" s="604">
        <v>2016</v>
      </c>
      <c r="AT814" s="604" t="s">
        <v>129</v>
      </c>
      <c r="AU814" s="604" t="s">
        <v>449</v>
      </c>
      <c r="AV814" s="604" t="s">
        <v>97</v>
      </c>
      <c r="AW814" s="604">
        <v>3</v>
      </c>
      <c r="AX814" s="604">
        <v>617</v>
      </c>
      <c r="AY814" s="606">
        <v>4.9000000000000004</v>
      </c>
      <c r="AZ814" s="604" t="s">
        <v>437</v>
      </c>
      <c r="BY814" s="553" t="str">
        <f t="shared" si="110"/>
        <v>200742+gestSIDS</v>
      </c>
      <c r="BZ814" s="604">
        <v>2007</v>
      </c>
      <c r="CA814" s="604" t="s">
        <v>138</v>
      </c>
      <c r="CB814" s="604" t="s">
        <v>450</v>
      </c>
      <c r="CC814" s="604">
        <v>0</v>
      </c>
      <c r="CD814" s="604" t="s">
        <v>32</v>
      </c>
    </row>
    <row r="815" spans="9:82">
      <c r="I815" s="578" t="str">
        <f t="shared" si="105"/>
        <v>2000dhbWairarapaFetal</v>
      </c>
      <c r="J815" s="604">
        <v>2000</v>
      </c>
      <c r="K815" s="604" t="s">
        <v>448</v>
      </c>
      <c r="L815" s="604" t="s">
        <v>98</v>
      </c>
      <c r="M815" s="604">
        <v>2</v>
      </c>
      <c r="N815" s="604">
        <v>498</v>
      </c>
      <c r="O815" s="604">
        <v>4</v>
      </c>
      <c r="P815" s="604" t="s">
        <v>47</v>
      </c>
      <c r="Q815" s="499"/>
      <c r="R815" s="502" t="str">
        <f t="shared" si="106"/>
        <v>1998birthsgest32-36</v>
      </c>
      <c r="S815" s="604">
        <v>1998</v>
      </c>
      <c r="T815" s="604" t="s">
        <v>445</v>
      </c>
      <c r="U815" s="604" t="s">
        <v>450</v>
      </c>
      <c r="V815" s="604" t="s">
        <v>136</v>
      </c>
      <c r="W815" s="604">
        <v>1768</v>
      </c>
      <c r="Y815" s="535" t="str">
        <f t="shared" si="107"/>
        <v>2016ethgestMaoriTotalfetal</v>
      </c>
      <c r="Z815" s="604">
        <v>2016</v>
      </c>
      <c r="AA815" s="604" t="s">
        <v>449</v>
      </c>
      <c r="AB815" s="604" t="s">
        <v>450</v>
      </c>
      <c r="AC815" s="604" t="s">
        <v>129</v>
      </c>
      <c r="AD815" s="604" t="s">
        <v>44</v>
      </c>
      <c r="AE815" s="604">
        <v>122</v>
      </c>
      <c r="AF815" s="604">
        <v>17329</v>
      </c>
      <c r="AG815" s="604">
        <v>7</v>
      </c>
      <c r="AH815" s="604" t="s">
        <v>420</v>
      </c>
      <c r="AJ815" s="535" t="str">
        <f t="shared" si="108"/>
        <v>2016ethgestMaoriTotal</v>
      </c>
      <c r="AK815" s="604">
        <v>2016</v>
      </c>
      <c r="AL815" s="604" t="s">
        <v>449</v>
      </c>
      <c r="AM815" s="604" t="s">
        <v>450</v>
      </c>
      <c r="AN815" s="604" t="s">
        <v>129</v>
      </c>
      <c r="AO815" s="604" t="s">
        <v>44</v>
      </c>
      <c r="AP815" s="604">
        <v>17329</v>
      </c>
      <c r="AR815" s="538" t="str">
        <f t="shared" si="109"/>
        <v>Pacific peoplesethinfantHutt Valley</v>
      </c>
      <c r="AS815" s="604">
        <v>2016</v>
      </c>
      <c r="AT815" s="604" t="s">
        <v>320</v>
      </c>
      <c r="AU815" s="604" t="s">
        <v>449</v>
      </c>
      <c r="AV815" s="604" t="s">
        <v>97</v>
      </c>
      <c r="AW815" s="604">
        <v>1</v>
      </c>
      <c r="AX815" s="604">
        <v>190</v>
      </c>
      <c r="AY815" s="606">
        <v>5.3</v>
      </c>
      <c r="AZ815" s="604" t="s">
        <v>437</v>
      </c>
      <c r="BY815" s="553" t="str">
        <f t="shared" si="110"/>
        <v>2007UnknowngestSIDS</v>
      </c>
      <c r="BZ815" s="604">
        <v>2007</v>
      </c>
      <c r="CA815" s="604" t="s">
        <v>63</v>
      </c>
      <c r="CB815" s="604" t="s">
        <v>450</v>
      </c>
      <c r="CC815" s="604">
        <v>4</v>
      </c>
      <c r="CD815" s="604" t="s">
        <v>32</v>
      </c>
    </row>
    <row r="816" spans="9:82">
      <c r="I816" s="578" t="str">
        <f t="shared" si="105"/>
        <v>2000dhbNelson MarlboroughFetal</v>
      </c>
      <c r="J816" s="604">
        <v>2000</v>
      </c>
      <c r="K816" s="604" t="s">
        <v>448</v>
      </c>
      <c r="L816" s="604" t="s">
        <v>99</v>
      </c>
      <c r="M816" s="604">
        <v>8</v>
      </c>
      <c r="N816" s="604">
        <v>1552</v>
      </c>
      <c r="O816" s="604">
        <v>5.2</v>
      </c>
      <c r="P816" s="604" t="s">
        <v>47</v>
      </c>
      <c r="Q816" s="499"/>
      <c r="R816" s="502" t="str">
        <f t="shared" si="106"/>
        <v>1998birthsgest37-41</v>
      </c>
      <c r="S816" s="604">
        <v>1998</v>
      </c>
      <c r="T816" s="604" t="s">
        <v>445</v>
      </c>
      <c r="U816" s="604" t="s">
        <v>450</v>
      </c>
      <c r="V816" s="604" t="s">
        <v>137</v>
      </c>
      <c r="W816" s="604">
        <v>24782</v>
      </c>
      <c r="Y816" s="535" t="str">
        <f t="shared" si="107"/>
        <v>2016ethgestPacific peoplesTotalfetal</v>
      </c>
      <c r="Z816" s="604">
        <v>2016</v>
      </c>
      <c r="AA816" s="604" t="s">
        <v>449</v>
      </c>
      <c r="AB816" s="604" t="s">
        <v>450</v>
      </c>
      <c r="AC816" s="604" t="s">
        <v>320</v>
      </c>
      <c r="AD816" s="604" t="s">
        <v>44</v>
      </c>
      <c r="AE816" s="604">
        <v>45</v>
      </c>
      <c r="AF816" s="604">
        <v>5976</v>
      </c>
      <c r="AG816" s="604">
        <v>7.5</v>
      </c>
      <c r="AH816" s="604" t="s">
        <v>420</v>
      </c>
      <c r="AJ816" s="535" t="str">
        <f t="shared" si="108"/>
        <v>2016ethgestPacific peoplesTotal</v>
      </c>
      <c r="AK816" s="604">
        <v>2016</v>
      </c>
      <c r="AL816" s="604" t="s">
        <v>449</v>
      </c>
      <c r="AM816" s="604" t="s">
        <v>450</v>
      </c>
      <c r="AN816" s="604" t="s">
        <v>320</v>
      </c>
      <c r="AO816" s="604" t="s">
        <v>44</v>
      </c>
      <c r="AP816" s="604">
        <v>5976</v>
      </c>
      <c r="AR816" s="538" t="str">
        <f t="shared" si="109"/>
        <v>MaoriethinfantWairarapa</v>
      </c>
      <c r="AS816" s="604">
        <v>2016</v>
      </c>
      <c r="AT816" s="604" t="s">
        <v>129</v>
      </c>
      <c r="AU816" s="604" t="s">
        <v>449</v>
      </c>
      <c r="AV816" s="604" t="s">
        <v>98</v>
      </c>
      <c r="AW816" s="604">
        <v>1</v>
      </c>
      <c r="AX816" s="604">
        <v>173</v>
      </c>
      <c r="AY816" s="606">
        <v>5.8</v>
      </c>
      <c r="AZ816" s="604" t="s">
        <v>437</v>
      </c>
      <c r="BY816" s="553" t="str">
        <f t="shared" si="110"/>
        <v>2008&lt;28gestSIDS</v>
      </c>
      <c r="BZ816" s="604">
        <v>2008</v>
      </c>
      <c r="CA816" s="604" t="s">
        <v>375</v>
      </c>
      <c r="CB816" s="604" t="s">
        <v>450</v>
      </c>
      <c r="CC816" s="604">
        <v>1</v>
      </c>
      <c r="CD816" s="604" t="s">
        <v>32</v>
      </c>
    </row>
    <row r="817" spans="9:82">
      <c r="I817" s="578" t="str">
        <f t="shared" si="105"/>
        <v>2000dhbWest CoastFetal</v>
      </c>
      <c r="J817" s="604">
        <v>2000</v>
      </c>
      <c r="K817" s="604" t="s">
        <v>448</v>
      </c>
      <c r="L817" s="604" t="s">
        <v>100</v>
      </c>
      <c r="M817" s="604">
        <v>4</v>
      </c>
      <c r="N817" s="604">
        <v>365</v>
      </c>
      <c r="O817" s="604">
        <v>11</v>
      </c>
      <c r="P817" s="604" t="s">
        <v>47</v>
      </c>
      <c r="Q817" s="499"/>
      <c r="R817" s="502" t="str">
        <f t="shared" si="106"/>
        <v>1998birthsgest42+</v>
      </c>
      <c r="S817" s="604">
        <v>1998</v>
      </c>
      <c r="T817" s="604" t="s">
        <v>445</v>
      </c>
      <c r="U817" s="604" t="s">
        <v>450</v>
      </c>
      <c r="V817" s="604" t="s">
        <v>138</v>
      </c>
      <c r="W817" s="604">
        <v>990</v>
      </c>
      <c r="Y817" s="535" t="str">
        <f t="shared" si="107"/>
        <v>2016ethgestAsianTotalfetal</v>
      </c>
      <c r="Z817" s="604">
        <v>2016</v>
      </c>
      <c r="AA817" s="604" t="s">
        <v>449</v>
      </c>
      <c r="AB817" s="604" t="s">
        <v>450</v>
      </c>
      <c r="AC817" s="604" t="s">
        <v>355</v>
      </c>
      <c r="AD817" s="604" t="s">
        <v>44</v>
      </c>
      <c r="AE817" s="604">
        <v>73</v>
      </c>
      <c r="AF817" s="604">
        <v>10902</v>
      </c>
      <c r="AG817" s="604">
        <v>6.7</v>
      </c>
      <c r="AH817" s="604" t="s">
        <v>420</v>
      </c>
      <c r="AJ817" s="535" t="str">
        <f t="shared" si="108"/>
        <v>2016ethgestAsianTotal</v>
      </c>
      <c r="AK817" s="604">
        <v>2016</v>
      </c>
      <c r="AL817" s="604" t="s">
        <v>449</v>
      </c>
      <c r="AM817" s="604" t="s">
        <v>450</v>
      </c>
      <c r="AN817" s="604" t="s">
        <v>355</v>
      </c>
      <c r="AO817" s="604" t="s">
        <v>44</v>
      </c>
      <c r="AP817" s="604">
        <v>10902</v>
      </c>
      <c r="AR817" s="538" t="str">
        <f t="shared" si="109"/>
        <v>European or OtherethinfantNelson Marlborough</v>
      </c>
      <c r="AS817" s="604">
        <v>2016</v>
      </c>
      <c r="AT817" s="604" t="s">
        <v>356</v>
      </c>
      <c r="AU817" s="604" t="s">
        <v>449</v>
      </c>
      <c r="AV817" s="604" t="s">
        <v>99</v>
      </c>
      <c r="AW817" s="604">
        <v>2</v>
      </c>
      <c r="AX817" s="604">
        <v>979</v>
      </c>
      <c r="AY817" s="606">
        <v>2</v>
      </c>
      <c r="AZ817" s="604" t="s">
        <v>437</v>
      </c>
      <c r="BY817" s="553" t="str">
        <f t="shared" si="110"/>
        <v>200828-31gestSIDS</v>
      </c>
      <c r="BZ817" s="604">
        <v>2008</v>
      </c>
      <c r="CA817" s="604" t="s">
        <v>395</v>
      </c>
      <c r="CB817" s="604" t="s">
        <v>450</v>
      </c>
      <c r="CC817" s="604">
        <v>0</v>
      </c>
      <c r="CD817" s="604" t="s">
        <v>32</v>
      </c>
    </row>
    <row r="818" spans="9:82">
      <c r="I818" s="578" t="str">
        <f t="shared" si="105"/>
        <v>2000dhbCanterburyFetal</v>
      </c>
      <c r="J818" s="604">
        <v>2000</v>
      </c>
      <c r="K818" s="604" t="s">
        <v>448</v>
      </c>
      <c r="L818" s="604" t="s">
        <v>101</v>
      </c>
      <c r="M818" s="604">
        <v>40</v>
      </c>
      <c r="N818" s="604">
        <v>5582</v>
      </c>
      <c r="O818" s="604">
        <v>7.2</v>
      </c>
      <c r="P818" s="604" t="s">
        <v>47</v>
      </c>
      <c r="Q818" s="499"/>
      <c r="R818" s="502" t="str">
        <f t="shared" si="106"/>
        <v>1998birthsgestUnknown</v>
      </c>
      <c r="S818" s="604">
        <v>1998</v>
      </c>
      <c r="T818" s="604" t="s">
        <v>445</v>
      </c>
      <c r="U818" s="604" t="s">
        <v>450</v>
      </c>
      <c r="V818" s="604" t="s">
        <v>63</v>
      </c>
      <c r="W818" s="604">
        <v>27637</v>
      </c>
      <c r="Y818" s="535" t="str">
        <f t="shared" si="107"/>
        <v>2016ethgestEuropean or OtherTotalfetal</v>
      </c>
      <c r="Z818" s="604">
        <v>2016</v>
      </c>
      <c r="AA818" s="604" t="s">
        <v>449</v>
      </c>
      <c r="AB818" s="604" t="s">
        <v>450</v>
      </c>
      <c r="AC818" s="604" t="s">
        <v>356</v>
      </c>
      <c r="AD818" s="604" t="s">
        <v>44</v>
      </c>
      <c r="AE818" s="604">
        <v>173</v>
      </c>
      <c r="AF818" s="604">
        <v>26229</v>
      </c>
      <c r="AG818" s="604">
        <v>6.6</v>
      </c>
      <c r="AH818" s="604" t="s">
        <v>420</v>
      </c>
      <c r="AJ818" s="535" t="str">
        <f>AK818&amp;AL818&amp;AM818&amp;AN818&amp;AO818</f>
        <v>2016ethgestEuropean or OtherTotal</v>
      </c>
      <c r="AK818" s="604">
        <v>2016</v>
      </c>
      <c r="AL818" s="604" t="s">
        <v>449</v>
      </c>
      <c r="AM818" s="604" t="s">
        <v>450</v>
      </c>
      <c r="AN818" s="604" t="s">
        <v>356</v>
      </c>
      <c r="AO818" s="604" t="s">
        <v>44</v>
      </c>
      <c r="AP818" s="604">
        <v>26229</v>
      </c>
      <c r="AR818" s="538" t="str">
        <f t="shared" si="109"/>
        <v>MaoriethinfantWest Coast</v>
      </c>
      <c r="AS818" s="604">
        <v>2016</v>
      </c>
      <c r="AT818" s="604" t="s">
        <v>129</v>
      </c>
      <c r="AU818" s="604" t="s">
        <v>449</v>
      </c>
      <c r="AV818" s="604" t="s">
        <v>100</v>
      </c>
      <c r="AW818" s="604">
        <v>2</v>
      </c>
      <c r="AX818" s="604">
        <v>83</v>
      </c>
      <c r="AY818" s="606">
        <v>24.1</v>
      </c>
      <c r="AZ818" s="604" t="s">
        <v>437</v>
      </c>
      <c r="BY818" s="553" t="str">
        <f t="shared" si="110"/>
        <v>200832-36gestSIDS</v>
      </c>
      <c r="BZ818" s="604">
        <v>2008</v>
      </c>
      <c r="CA818" s="604" t="s">
        <v>136</v>
      </c>
      <c r="CB818" s="604" t="s">
        <v>450</v>
      </c>
      <c r="CC818" s="604">
        <v>10</v>
      </c>
      <c r="CD818" s="604" t="s">
        <v>32</v>
      </c>
    </row>
    <row r="819" spans="9:82">
      <c r="I819" s="578" t="str">
        <f t="shared" si="105"/>
        <v>2000dhbSouth CanterburyFetal</v>
      </c>
      <c r="J819" s="604">
        <v>2000</v>
      </c>
      <c r="K819" s="604" t="s">
        <v>448</v>
      </c>
      <c r="L819" s="604" t="s">
        <v>102</v>
      </c>
      <c r="M819" s="604">
        <v>5</v>
      </c>
      <c r="N819" s="604">
        <v>630</v>
      </c>
      <c r="O819" s="604">
        <v>7.9</v>
      </c>
      <c r="P819" s="604" t="s">
        <v>47</v>
      </c>
      <c r="Q819" s="499"/>
      <c r="R819" s="502" t="str">
        <f t="shared" si="106"/>
        <v>1999birthsgest&lt;28</v>
      </c>
      <c r="S819" s="604">
        <v>1999</v>
      </c>
      <c r="T819" s="604" t="s">
        <v>445</v>
      </c>
      <c r="U819" s="604" t="s">
        <v>450</v>
      </c>
      <c r="V819" s="604" t="s">
        <v>375</v>
      </c>
      <c r="W819" s="604">
        <v>283</v>
      </c>
      <c r="Y819" s="535" t="str">
        <f t="shared" si="107"/>
        <v>2016agegest&lt;20Totalfetal</v>
      </c>
      <c r="Z819" s="604">
        <v>2016</v>
      </c>
      <c r="AA819" s="604" t="s">
        <v>453</v>
      </c>
      <c r="AB819" s="604" t="s">
        <v>450</v>
      </c>
      <c r="AC819" s="604" t="s">
        <v>339</v>
      </c>
      <c r="AD819" s="604" t="s">
        <v>44</v>
      </c>
      <c r="AE819" s="604">
        <v>36</v>
      </c>
      <c r="AF819" s="604">
        <v>2559</v>
      </c>
      <c r="AG819" s="604">
        <v>13.9</v>
      </c>
      <c r="AH819" s="604" t="s">
        <v>420</v>
      </c>
      <c r="AJ819" s="535" t="str">
        <f t="shared" ref="AJ819:AJ863" si="111">AK819&amp;AL819&amp;AM819&amp;AN819&amp;AO819</f>
        <v>2016agegest&lt;20Total</v>
      </c>
      <c r="AK819" s="604">
        <v>2016</v>
      </c>
      <c r="AL819" s="604" t="s">
        <v>453</v>
      </c>
      <c r="AM819" s="604" t="s">
        <v>450</v>
      </c>
      <c r="AN819" s="604" t="s">
        <v>339</v>
      </c>
      <c r="AO819" s="604" t="s">
        <v>44</v>
      </c>
      <c r="AP819" s="604">
        <v>2559</v>
      </c>
      <c r="AR819" s="538" t="str">
        <f t="shared" si="109"/>
        <v>AsianethinfantCanterbury</v>
      </c>
      <c r="AS819" s="604">
        <v>2016</v>
      </c>
      <c r="AT819" s="604" t="s">
        <v>355</v>
      </c>
      <c r="AU819" s="604" t="s">
        <v>449</v>
      </c>
      <c r="AV819" s="604" t="s">
        <v>101</v>
      </c>
      <c r="AW819" s="604">
        <v>3</v>
      </c>
      <c r="AX819" s="604">
        <v>1083</v>
      </c>
      <c r="AY819" s="606">
        <v>2.8</v>
      </c>
      <c r="AZ819" s="604" t="s">
        <v>437</v>
      </c>
      <c r="BY819" s="553" t="str">
        <f t="shared" si="110"/>
        <v>200837-41gestSIDS</v>
      </c>
      <c r="BZ819" s="604">
        <v>2008</v>
      </c>
      <c r="CA819" s="604" t="s">
        <v>137</v>
      </c>
      <c r="CB819" s="604" t="s">
        <v>450</v>
      </c>
      <c r="CC819" s="604">
        <v>35</v>
      </c>
      <c r="CD819" s="604" t="s">
        <v>32</v>
      </c>
    </row>
    <row r="820" spans="9:82">
      <c r="I820" s="578" t="str">
        <f t="shared" si="105"/>
        <v>2000dhbSouthernFetal</v>
      </c>
      <c r="J820" s="604">
        <v>2000</v>
      </c>
      <c r="K820" s="604" t="s">
        <v>448</v>
      </c>
      <c r="L820" s="604" t="s">
        <v>103</v>
      </c>
      <c r="M820" s="604">
        <v>24</v>
      </c>
      <c r="N820" s="604">
        <v>3459</v>
      </c>
      <c r="O820" s="604">
        <v>6.9</v>
      </c>
      <c r="P820" s="604" t="s">
        <v>47</v>
      </c>
      <c r="Q820" s="499"/>
      <c r="R820" s="502" t="str">
        <f t="shared" si="106"/>
        <v>1999birthsgest28-31</v>
      </c>
      <c r="S820" s="604">
        <v>1999</v>
      </c>
      <c r="T820" s="604" t="s">
        <v>445</v>
      </c>
      <c r="U820" s="604" t="s">
        <v>450</v>
      </c>
      <c r="V820" s="604" t="s">
        <v>395</v>
      </c>
      <c r="W820" s="604">
        <v>458</v>
      </c>
      <c r="Y820" s="535" t="str">
        <f t="shared" si="107"/>
        <v>2016agegest20-24Totalfetal</v>
      </c>
      <c r="Z820" s="604">
        <v>2016</v>
      </c>
      <c r="AA820" s="604" t="s">
        <v>453</v>
      </c>
      <c r="AB820" s="604" t="s">
        <v>450</v>
      </c>
      <c r="AC820" s="604" t="s">
        <v>130</v>
      </c>
      <c r="AD820" s="604" t="s">
        <v>44</v>
      </c>
      <c r="AE820" s="604">
        <v>73</v>
      </c>
      <c r="AF820" s="604">
        <v>9934</v>
      </c>
      <c r="AG820" s="604">
        <v>7.3</v>
      </c>
      <c r="AH820" s="604" t="s">
        <v>420</v>
      </c>
      <c r="AJ820" s="535" t="str">
        <f t="shared" si="111"/>
        <v>2016agegest20-24Total</v>
      </c>
      <c r="AK820" s="604">
        <v>2016</v>
      </c>
      <c r="AL820" s="604" t="s">
        <v>453</v>
      </c>
      <c r="AM820" s="604" t="s">
        <v>450</v>
      </c>
      <c r="AN820" s="604" t="s">
        <v>130</v>
      </c>
      <c r="AO820" s="604" t="s">
        <v>44</v>
      </c>
      <c r="AP820" s="604">
        <v>9934</v>
      </c>
      <c r="AR820" s="538" t="str">
        <f t="shared" si="109"/>
        <v>European or OtherethinfantCanterbury</v>
      </c>
      <c r="AS820" s="604">
        <v>2016</v>
      </c>
      <c r="AT820" s="604" t="s">
        <v>356</v>
      </c>
      <c r="AU820" s="604" t="s">
        <v>449</v>
      </c>
      <c r="AV820" s="604" t="s">
        <v>101</v>
      </c>
      <c r="AW820" s="604">
        <v>11</v>
      </c>
      <c r="AX820" s="604">
        <v>3814</v>
      </c>
      <c r="AY820" s="606">
        <v>2.9</v>
      </c>
      <c r="AZ820" s="604" t="s">
        <v>437</v>
      </c>
      <c r="BY820" s="553" t="str">
        <f t="shared" si="110"/>
        <v>200842+gestSIDS</v>
      </c>
      <c r="BZ820" s="604">
        <v>2008</v>
      </c>
      <c r="CA820" s="604" t="s">
        <v>138</v>
      </c>
      <c r="CB820" s="604" t="s">
        <v>450</v>
      </c>
      <c r="CC820" s="604">
        <v>0</v>
      </c>
      <c r="CD820" s="604" t="s">
        <v>32</v>
      </c>
    </row>
    <row r="821" spans="9:82">
      <c r="I821" s="578" t="str">
        <f t="shared" si="105"/>
        <v>2000dhbUnknownFetal</v>
      </c>
      <c r="J821" s="604">
        <v>2000</v>
      </c>
      <c r="K821" s="604" t="s">
        <v>448</v>
      </c>
      <c r="L821" s="604" t="s">
        <v>63</v>
      </c>
      <c r="M821" s="604">
        <v>0</v>
      </c>
      <c r="N821" s="604">
        <v>483</v>
      </c>
      <c r="O821" s="604" t="s">
        <v>119</v>
      </c>
      <c r="P821" s="604" t="s">
        <v>47</v>
      </c>
      <c r="Q821" s="499"/>
      <c r="R821" s="502" t="str">
        <f t="shared" si="106"/>
        <v>1999birthsgest32-36</v>
      </c>
      <c r="S821" s="604">
        <v>1999</v>
      </c>
      <c r="T821" s="604" t="s">
        <v>445</v>
      </c>
      <c r="U821" s="604" t="s">
        <v>450</v>
      </c>
      <c r="V821" s="604" t="s">
        <v>136</v>
      </c>
      <c r="W821" s="604">
        <v>3552</v>
      </c>
      <c r="Y821" s="535" t="str">
        <f t="shared" si="107"/>
        <v>2016agegest25-29Totalfetal</v>
      </c>
      <c r="Z821" s="604">
        <v>2016</v>
      </c>
      <c r="AA821" s="604" t="s">
        <v>453</v>
      </c>
      <c r="AB821" s="604" t="s">
        <v>450</v>
      </c>
      <c r="AC821" s="604" t="s">
        <v>131</v>
      </c>
      <c r="AD821" s="604" t="s">
        <v>44</v>
      </c>
      <c r="AE821" s="604">
        <v>103</v>
      </c>
      <c r="AF821" s="604">
        <v>16664</v>
      </c>
      <c r="AG821" s="604">
        <v>6.1</v>
      </c>
      <c r="AH821" s="604" t="s">
        <v>420</v>
      </c>
      <c r="AJ821" s="535" t="str">
        <f t="shared" si="111"/>
        <v>2016agegest25-29Total</v>
      </c>
      <c r="AK821" s="604">
        <v>2016</v>
      </c>
      <c r="AL821" s="604" t="s">
        <v>453</v>
      </c>
      <c r="AM821" s="604" t="s">
        <v>450</v>
      </c>
      <c r="AN821" s="604" t="s">
        <v>131</v>
      </c>
      <c r="AO821" s="604" t="s">
        <v>44</v>
      </c>
      <c r="AP821" s="604">
        <v>16664</v>
      </c>
      <c r="AR821" s="538" t="str">
        <f t="shared" si="109"/>
        <v>MaoriethinfantCanterbury</v>
      </c>
      <c r="AS821" s="604">
        <v>2016</v>
      </c>
      <c r="AT821" s="604" t="s">
        <v>129</v>
      </c>
      <c r="AU821" s="604" t="s">
        <v>449</v>
      </c>
      <c r="AV821" s="604" t="s">
        <v>101</v>
      </c>
      <c r="AW821" s="604">
        <v>7</v>
      </c>
      <c r="AX821" s="604">
        <v>1161</v>
      </c>
      <c r="AY821" s="606">
        <v>6</v>
      </c>
      <c r="AZ821" s="604" t="s">
        <v>437</v>
      </c>
      <c r="BY821" s="553" t="str">
        <f t="shared" si="110"/>
        <v>2008UnknowngestSIDS</v>
      </c>
      <c r="BZ821" s="604">
        <v>2008</v>
      </c>
      <c r="CA821" s="604" t="s">
        <v>63</v>
      </c>
      <c r="CB821" s="604" t="s">
        <v>450</v>
      </c>
      <c r="CC821" s="604">
        <v>5</v>
      </c>
      <c r="CD821" s="604" t="s">
        <v>32</v>
      </c>
    </row>
    <row r="822" spans="9:82">
      <c r="I822" s="578" t="str">
        <f t="shared" si="105"/>
        <v>2001dhbNorthlandFetal</v>
      </c>
      <c r="J822" s="604">
        <v>2001</v>
      </c>
      <c r="K822" s="604" t="s">
        <v>448</v>
      </c>
      <c r="L822" s="604" t="s">
        <v>85</v>
      </c>
      <c r="M822" s="604">
        <v>24</v>
      </c>
      <c r="N822" s="604">
        <v>2018</v>
      </c>
      <c r="O822" s="604">
        <v>11.9</v>
      </c>
      <c r="P822" s="604" t="s">
        <v>47</v>
      </c>
      <c r="Q822" s="499"/>
      <c r="R822" s="502" t="str">
        <f t="shared" si="106"/>
        <v>1999birthsgest37-41</v>
      </c>
      <c r="S822" s="604">
        <v>1999</v>
      </c>
      <c r="T822" s="604" t="s">
        <v>445</v>
      </c>
      <c r="U822" s="604" t="s">
        <v>450</v>
      </c>
      <c r="V822" s="604" t="s">
        <v>137</v>
      </c>
      <c r="W822" s="604">
        <v>50938</v>
      </c>
      <c r="Y822" s="535" t="str">
        <f t="shared" si="107"/>
        <v>2016agegest30-34Totalfetal</v>
      </c>
      <c r="Z822" s="604">
        <v>2016</v>
      </c>
      <c r="AA822" s="604" t="s">
        <v>453</v>
      </c>
      <c r="AB822" s="604" t="s">
        <v>450</v>
      </c>
      <c r="AC822" s="604" t="s">
        <v>132</v>
      </c>
      <c r="AD822" s="604" t="s">
        <v>44</v>
      </c>
      <c r="AE822" s="604">
        <v>115</v>
      </c>
      <c r="AF822" s="604">
        <v>18720</v>
      </c>
      <c r="AG822" s="604">
        <v>6.1</v>
      </c>
      <c r="AH822" s="604" t="s">
        <v>420</v>
      </c>
      <c r="AJ822" s="535" t="str">
        <f t="shared" si="111"/>
        <v>2016agegest30-34Total</v>
      </c>
      <c r="AK822" s="604">
        <v>2016</v>
      </c>
      <c r="AL822" s="604" t="s">
        <v>453</v>
      </c>
      <c r="AM822" s="604" t="s">
        <v>450</v>
      </c>
      <c r="AN822" s="604" t="s">
        <v>132</v>
      </c>
      <c r="AO822" s="604" t="s">
        <v>44</v>
      </c>
      <c r="AP822" s="604">
        <v>18720</v>
      </c>
      <c r="AR822" s="538" t="str">
        <f t="shared" si="109"/>
        <v>European or OtherethinfantSouth Canterbury</v>
      </c>
      <c r="AS822" s="604">
        <v>2016</v>
      </c>
      <c r="AT822" s="604" t="s">
        <v>356</v>
      </c>
      <c r="AU822" s="604" t="s">
        <v>449</v>
      </c>
      <c r="AV822" s="604" t="s">
        <v>102</v>
      </c>
      <c r="AW822" s="604">
        <v>1</v>
      </c>
      <c r="AX822" s="604">
        <v>464</v>
      </c>
      <c r="AY822" s="606">
        <v>2.2000000000000002</v>
      </c>
      <c r="AZ822" s="604" t="s">
        <v>437</v>
      </c>
      <c r="BY822" s="553" t="str">
        <f t="shared" si="110"/>
        <v>2009&lt;28gestSIDS</v>
      </c>
      <c r="BZ822" s="604">
        <v>2009</v>
      </c>
      <c r="CA822" s="604" t="s">
        <v>375</v>
      </c>
      <c r="CB822" s="604" t="s">
        <v>450</v>
      </c>
      <c r="CC822" s="604">
        <v>0</v>
      </c>
      <c r="CD822" s="604" t="s">
        <v>32</v>
      </c>
    </row>
    <row r="823" spans="9:82">
      <c r="I823" s="578" t="str">
        <f t="shared" si="105"/>
        <v>2001dhbWaitemataFetal</v>
      </c>
      <c r="J823" s="604">
        <v>2001</v>
      </c>
      <c r="K823" s="604" t="s">
        <v>448</v>
      </c>
      <c r="L823" s="604" t="s">
        <v>86</v>
      </c>
      <c r="M823" s="604">
        <v>49</v>
      </c>
      <c r="N823" s="604">
        <v>6489</v>
      </c>
      <c r="O823" s="604">
        <v>7.6</v>
      </c>
      <c r="P823" s="604" t="s">
        <v>47</v>
      </c>
      <c r="Q823" s="499"/>
      <c r="R823" s="502" t="str">
        <f t="shared" si="106"/>
        <v>1999birthsgest42+</v>
      </c>
      <c r="S823" s="604">
        <v>1999</v>
      </c>
      <c r="T823" s="604" t="s">
        <v>445</v>
      </c>
      <c r="U823" s="604" t="s">
        <v>450</v>
      </c>
      <c r="V823" s="604" t="s">
        <v>138</v>
      </c>
      <c r="W823" s="604">
        <v>2156</v>
      </c>
      <c r="Y823" s="535" t="str">
        <f t="shared" si="107"/>
        <v>2016agegest35-39Totalfetal</v>
      </c>
      <c r="Z823" s="604">
        <v>2016</v>
      </c>
      <c r="AA823" s="604" t="s">
        <v>453</v>
      </c>
      <c r="AB823" s="604" t="s">
        <v>450</v>
      </c>
      <c r="AC823" s="604" t="s">
        <v>133</v>
      </c>
      <c r="AD823" s="604" t="s">
        <v>44</v>
      </c>
      <c r="AE823" s="604">
        <v>70</v>
      </c>
      <c r="AF823" s="604">
        <v>10105</v>
      </c>
      <c r="AG823" s="604">
        <v>6.9</v>
      </c>
      <c r="AH823" s="604" t="s">
        <v>420</v>
      </c>
      <c r="AJ823" s="535" t="str">
        <f t="shared" si="111"/>
        <v>2016agegest35-39Total</v>
      </c>
      <c r="AK823" s="604">
        <v>2016</v>
      </c>
      <c r="AL823" s="604" t="s">
        <v>453</v>
      </c>
      <c r="AM823" s="604" t="s">
        <v>450</v>
      </c>
      <c r="AN823" s="604" t="s">
        <v>133</v>
      </c>
      <c r="AO823" s="604" t="s">
        <v>44</v>
      </c>
      <c r="AP823" s="604">
        <v>10105</v>
      </c>
      <c r="AR823" s="538" t="str">
        <f t="shared" si="109"/>
        <v>MaoriethinfantSouth Canterbury</v>
      </c>
      <c r="AS823" s="604">
        <v>2016</v>
      </c>
      <c r="AT823" s="604" t="s">
        <v>129</v>
      </c>
      <c r="AU823" s="604" t="s">
        <v>449</v>
      </c>
      <c r="AV823" s="604" t="s">
        <v>102</v>
      </c>
      <c r="AW823" s="604">
        <v>2</v>
      </c>
      <c r="AX823" s="604">
        <v>105</v>
      </c>
      <c r="AY823" s="606">
        <v>19</v>
      </c>
      <c r="AZ823" s="604" t="s">
        <v>437</v>
      </c>
      <c r="BY823" s="553" t="str">
        <f t="shared" si="110"/>
        <v>200928-31gestSIDS</v>
      </c>
      <c r="BZ823" s="604">
        <v>2009</v>
      </c>
      <c r="CA823" s="604" t="s">
        <v>395</v>
      </c>
      <c r="CB823" s="604" t="s">
        <v>450</v>
      </c>
      <c r="CC823" s="604">
        <v>0</v>
      </c>
      <c r="CD823" s="604" t="s">
        <v>32</v>
      </c>
    </row>
    <row r="824" spans="9:82">
      <c r="I824" s="578" t="str">
        <f t="shared" si="105"/>
        <v>2001dhbAucklandFetal</v>
      </c>
      <c r="J824" s="604">
        <v>2001</v>
      </c>
      <c r="K824" s="604" t="s">
        <v>448</v>
      </c>
      <c r="L824" s="604" t="s">
        <v>87</v>
      </c>
      <c r="M824" s="604">
        <v>34</v>
      </c>
      <c r="N824" s="604">
        <v>6013</v>
      </c>
      <c r="O824" s="604">
        <v>5.7</v>
      </c>
      <c r="P824" s="604" t="s">
        <v>47</v>
      </c>
      <c r="Q824" s="499"/>
      <c r="R824" s="502" t="str">
        <f t="shared" si="106"/>
        <v>1999birthsgestUnknown</v>
      </c>
      <c r="S824" s="604">
        <v>1999</v>
      </c>
      <c r="T824" s="604" t="s">
        <v>445</v>
      </c>
      <c r="U824" s="604" t="s">
        <v>450</v>
      </c>
      <c r="V824" s="604" t="s">
        <v>63</v>
      </c>
      <c r="W824" s="604">
        <v>34</v>
      </c>
      <c r="Y824" s="535" t="str">
        <f t="shared" si="107"/>
        <v>2016agegest40+Totalfetal</v>
      </c>
      <c r="Z824" s="604">
        <v>2016</v>
      </c>
      <c r="AA824" s="604" t="s">
        <v>453</v>
      </c>
      <c r="AB824" s="604" t="s">
        <v>450</v>
      </c>
      <c r="AC824" s="604" t="s">
        <v>134</v>
      </c>
      <c r="AD824" s="604" t="s">
        <v>44</v>
      </c>
      <c r="AE824" s="604">
        <v>16</v>
      </c>
      <c r="AF824" s="604">
        <v>2454</v>
      </c>
      <c r="AG824" s="604">
        <v>6.5</v>
      </c>
      <c r="AH824" s="604" t="s">
        <v>420</v>
      </c>
      <c r="AJ824" s="535" t="str">
        <f t="shared" si="111"/>
        <v>2016agegest40+Total</v>
      </c>
      <c r="AK824" s="604">
        <v>2016</v>
      </c>
      <c r="AL824" s="604" t="s">
        <v>453</v>
      </c>
      <c r="AM824" s="604" t="s">
        <v>450</v>
      </c>
      <c r="AN824" s="604" t="s">
        <v>134</v>
      </c>
      <c r="AO824" s="604" t="s">
        <v>44</v>
      </c>
      <c r="AP824" s="604">
        <v>2454</v>
      </c>
      <c r="AR824" s="538" t="str">
        <f t="shared" si="109"/>
        <v>AsianethinfantSouthern</v>
      </c>
      <c r="AS824" s="604">
        <v>2016</v>
      </c>
      <c r="AT824" s="604" t="s">
        <v>355</v>
      </c>
      <c r="AU824" s="604" t="s">
        <v>449</v>
      </c>
      <c r="AV824" s="604" t="s">
        <v>103</v>
      </c>
      <c r="AW824" s="604">
        <v>2</v>
      </c>
      <c r="AX824" s="604">
        <v>264</v>
      </c>
      <c r="AY824" s="606">
        <v>7.6</v>
      </c>
      <c r="AZ824" s="604" t="s">
        <v>437</v>
      </c>
      <c r="BY824" s="553" t="str">
        <f t="shared" si="110"/>
        <v>200932-36gestSIDS</v>
      </c>
      <c r="BZ824" s="604">
        <v>2009</v>
      </c>
      <c r="CA824" s="604" t="s">
        <v>136</v>
      </c>
      <c r="CB824" s="604" t="s">
        <v>450</v>
      </c>
      <c r="CC824" s="604">
        <v>4</v>
      </c>
      <c r="CD824" s="604" t="s">
        <v>32</v>
      </c>
    </row>
    <row r="825" spans="9:82">
      <c r="I825" s="578" t="str">
        <f t="shared" si="105"/>
        <v>2001dhbCounties ManukauFetal</v>
      </c>
      <c r="J825" s="604">
        <v>2001</v>
      </c>
      <c r="K825" s="604" t="s">
        <v>448</v>
      </c>
      <c r="L825" s="604" t="s">
        <v>88</v>
      </c>
      <c r="M825" s="604">
        <v>55</v>
      </c>
      <c r="N825" s="604">
        <v>7271</v>
      </c>
      <c r="O825" s="604">
        <v>7.6</v>
      </c>
      <c r="P825" s="604" t="s">
        <v>47</v>
      </c>
      <c r="Q825" s="499"/>
      <c r="R825" s="502" t="str">
        <f t="shared" si="106"/>
        <v>2000birthsgest&lt;28</v>
      </c>
      <c r="S825" s="604">
        <v>2000</v>
      </c>
      <c r="T825" s="604" t="s">
        <v>445</v>
      </c>
      <c r="U825" s="604" t="s">
        <v>450</v>
      </c>
      <c r="V825" s="604" t="s">
        <v>375</v>
      </c>
      <c r="W825" s="604">
        <v>318</v>
      </c>
      <c r="Y825" s="535" t="str">
        <f t="shared" si="107"/>
        <v>2016depgestQuin 1Totalfetal</v>
      </c>
      <c r="Z825" s="604">
        <v>2016</v>
      </c>
      <c r="AA825" s="604" t="s">
        <v>454</v>
      </c>
      <c r="AB825" s="604" t="s">
        <v>450</v>
      </c>
      <c r="AC825" s="604" t="s">
        <v>421</v>
      </c>
      <c r="AD825" s="604" t="s">
        <v>44</v>
      </c>
      <c r="AE825" s="604">
        <v>43</v>
      </c>
      <c r="AF825" s="604">
        <v>9194</v>
      </c>
      <c r="AG825" s="604">
        <v>4.7</v>
      </c>
      <c r="AH825" s="604" t="s">
        <v>420</v>
      </c>
      <c r="AJ825" s="535" t="str">
        <f t="shared" si="111"/>
        <v>2016depgestQuin 1Total</v>
      </c>
      <c r="AK825" s="604">
        <v>2016</v>
      </c>
      <c r="AL825" s="604" t="s">
        <v>454</v>
      </c>
      <c r="AM825" s="604" t="s">
        <v>450</v>
      </c>
      <c r="AN825" s="604" t="s">
        <v>421</v>
      </c>
      <c r="AO825" s="604" t="s">
        <v>44</v>
      </c>
      <c r="AP825" s="604">
        <v>9194</v>
      </c>
      <c r="AR825" s="538" t="str">
        <f t="shared" si="109"/>
        <v>European or OtherethinfantSouthern</v>
      </c>
      <c r="AS825" s="604">
        <v>2016</v>
      </c>
      <c r="AT825" s="604" t="s">
        <v>356</v>
      </c>
      <c r="AU825" s="604" t="s">
        <v>449</v>
      </c>
      <c r="AV825" s="604" t="s">
        <v>103</v>
      </c>
      <c r="AW825" s="604">
        <v>3</v>
      </c>
      <c r="AX825" s="604">
        <v>2325</v>
      </c>
      <c r="AY825" s="606">
        <v>1.3</v>
      </c>
      <c r="AZ825" s="604" t="s">
        <v>437</v>
      </c>
      <c r="BY825" s="553" t="str">
        <f t="shared" si="110"/>
        <v>200937-41gestSIDS</v>
      </c>
      <c r="BZ825" s="604">
        <v>2009</v>
      </c>
      <c r="CA825" s="604" t="s">
        <v>137</v>
      </c>
      <c r="CB825" s="604" t="s">
        <v>450</v>
      </c>
      <c r="CC825" s="604">
        <v>36</v>
      </c>
      <c r="CD825" s="604" t="s">
        <v>32</v>
      </c>
    </row>
    <row r="826" spans="9:82">
      <c r="I826" s="578" t="str">
        <f t="shared" si="105"/>
        <v>2001dhbWaikatoFetal</v>
      </c>
      <c r="J826" s="604">
        <v>2001</v>
      </c>
      <c r="K826" s="604" t="s">
        <v>448</v>
      </c>
      <c r="L826" s="604" t="s">
        <v>89</v>
      </c>
      <c r="M826" s="604">
        <v>26</v>
      </c>
      <c r="N826" s="604">
        <v>4923</v>
      </c>
      <c r="O826" s="604">
        <v>5.3</v>
      </c>
      <c r="P826" s="604" t="s">
        <v>47</v>
      </c>
      <c r="Q826" s="499"/>
      <c r="R826" s="502" t="str">
        <f t="shared" si="106"/>
        <v>2000birthsgest28-31</v>
      </c>
      <c r="S826" s="604">
        <v>2000</v>
      </c>
      <c r="T826" s="604" t="s">
        <v>445</v>
      </c>
      <c r="U826" s="604" t="s">
        <v>450</v>
      </c>
      <c r="V826" s="604" t="s">
        <v>395</v>
      </c>
      <c r="W826" s="604">
        <v>454</v>
      </c>
      <c r="Y826" s="535" t="str">
        <f t="shared" si="107"/>
        <v>2016depgestQuin 2Totalfetal</v>
      </c>
      <c r="Z826" s="604">
        <v>2016</v>
      </c>
      <c r="AA826" s="604" t="s">
        <v>454</v>
      </c>
      <c r="AB826" s="604" t="s">
        <v>450</v>
      </c>
      <c r="AC826" s="604" t="s">
        <v>422</v>
      </c>
      <c r="AD826" s="604" t="s">
        <v>44</v>
      </c>
      <c r="AE826" s="604">
        <v>64</v>
      </c>
      <c r="AF826" s="604">
        <v>10123</v>
      </c>
      <c r="AG826" s="604">
        <v>6.3</v>
      </c>
      <c r="AH826" s="604" t="s">
        <v>420</v>
      </c>
      <c r="AJ826" s="535" t="str">
        <f t="shared" si="111"/>
        <v>2016depgestQuin 2Total</v>
      </c>
      <c r="AK826" s="604">
        <v>2016</v>
      </c>
      <c r="AL826" s="604" t="s">
        <v>454</v>
      </c>
      <c r="AM826" s="604" t="s">
        <v>450</v>
      </c>
      <c r="AN826" s="604" t="s">
        <v>422</v>
      </c>
      <c r="AO826" s="604" t="s">
        <v>44</v>
      </c>
      <c r="AP826" s="604">
        <v>10123</v>
      </c>
      <c r="AR826" s="538" t="str">
        <f t="shared" si="109"/>
        <v>MaoriethinfantSouthern</v>
      </c>
      <c r="AS826" s="604">
        <v>2016</v>
      </c>
      <c r="AT826" s="604" t="s">
        <v>129</v>
      </c>
      <c r="AU826" s="604" t="s">
        <v>449</v>
      </c>
      <c r="AV826" s="604" t="s">
        <v>103</v>
      </c>
      <c r="AW826" s="604">
        <v>4</v>
      </c>
      <c r="AX826" s="604">
        <v>678</v>
      </c>
      <c r="AY826" s="606">
        <v>5.9</v>
      </c>
      <c r="AZ826" s="604" t="s">
        <v>437</v>
      </c>
      <c r="BY826" s="553" t="str">
        <f t="shared" si="110"/>
        <v>200942+gestSIDS</v>
      </c>
      <c r="BZ826" s="604">
        <v>2009</v>
      </c>
      <c r="CA826" s="604" t="s">
        <v>138</v>
      </c>
      <c r="CB826" s="604" t="s">
        <v>450</v>
      </c>
      <c r="CC826" s="604">
        <v>1</v>
      </c>
      <c r="CD826" s="604" t="s">
        <v>32</v>
      </c>
    </row>
    <row r="827" spans="9:82">
      <c r="I827" s="578" t="str">
        <f t="shared" si="105"/>
        <v>2001dhbLakesFetal</v>
      </c>
      <c r="J827" s="604">
        <v>2001</v>
      </c>
      <c r="K827" s="604" t="s">
        <v>448</v>
      </c>
      <c r="L827" s="604" t="s">
        <v>90</v>
      </c>
      <c r="M827" s="604">
        <v>9</v>
      </c>
      <c r="N827" s="604">
        <v>1532</v>
      </c>
      <c r="O827" s="604">
        <v>5.9</v>
      </c>
      <c r="P827" s="604" t="s">
        <v>47</v>
      </c>
      <c r="Q827" s="499"/>
      <c r="R827" s="502" t="str">
        <f t="shared" si="106"/>
        <v>2000birthsgest32-36</v>
      </c>
      <c r="S827" s="604">
        <v>2000</v>
      </c>
      <c r="T827" s="604" t="s">
        <v>445</v>
      </c>
      <c r="U827" s="604" t="s">
        <v>450</v>
      </c>
      <c r="V827" s="604" t="s">
        <v>136</v>
      </c>
      <c r="W827" s="604">
        <v>3461</v>
      </c>
      <c r="Y827" s="535" t="str">
        <f t="shared" si="107"/>
        <v>2016depgestQuin 3Totalfetal</v>
      </c>
      <c r="Z827" s="604">
        <v>2016</v>
      </c>
      <c r="AA827" s="604" t="s">
        <v>454</v>
      </c>
      <c r="AB827" s="604" t="s">
        <v>450</v>
      </c>
      <c r="AC827" s="604" t="s">
        <v>423</v>
      </c>
      <c r="AD827" s="604" t="s">
        <v>44</v>
      </c>
      <c r="AE827" s="604">
        <v>68</v>
      </c>
      <c r="AF827" s="604">
        <v>10971</v>
      </c>
      <c r="AG827" s="604">
        <v>6.2</v>
      </c>
      <c r="AH827" s="604" t="s">
        <v>420</v>
      </c>
      <c r="AJ827" s="535" t="str">
        <f t="shared" si="111"/>
        <v>2016depgestQuin 3Total</v>
      </c>
      <c r="AK827" s="604">
        <v>2016</v>
      </c>
      <c r="AL827" s="604" t="s">
        <v>454</v>
      </c>
      <c r="AM827" s="604" t="s">
        <v>450</v>
      </c>
      <c r="AN827" s="604" t="s">
        <v>423</v>
      </c>
      <c r="AO827" s="604" t="s">
        <v>44</v>
      </c>
      <c r="AP827" s="604">
        <v>10971</v>
      </c>
      <c r="AR827" s="538" t="str">
        <f t="shared" si="109"/>
        <v>Pacific peoplesethinfantUnknown</v>
      </c>
      <c r="AS827" s="604">
        <v>2016</v>
      </c>
      <c r="AT827" s="604" t="s">
        <v>320</v>
      </c>
      <c r="AU827" s="604" t="s">
        <v>449</v>
      </c>
      <c r="AV827" s="604" t="s">
        <v>63</v>
      </c>
      <c r="AW827" s="604">
        <v>1</v>
      </c>
      <c r="AX827" s="604">
        <v>29</v>
      </c>
      <c r="AY827" s="606" t="s">
        <v>119</v>
      </c>
      <c r="AZ827" s="604" t="s">
        <v>437</v>
      </c>
      <c r="BY827" s="553" t="str">
        <f t="shared" si="110"/>
        <v>2009UnknowngestSIDS</v>
      </c>
      <c r="BZ827" s="604">
        <v>2009</v>
      </c>
      <c r="CA827" s="604" t="s">
        <v>63</v>
      </c>
      <c r="CB827" s="604" t="s">
        <v>450</v>
      </c>
      <c r="CC827" s="604">
        <v>4</v>
      </c>
      <c r="CD827" s="604" t="s">
        <v>32</v>
      </c>
    </row>
    <row r="828" spans="9:82">
      <c r="I828" s="578" t="str">
        <f t="shared" si="105"/>
        <v>2001dhbBay of PlentyFetal</v>
      </c>
      <c r="J828" s="604">
        <v>2001</v>
      </c>
      <c r="K828" s="604" t="s">
        <v>448</v>
      </c>
      <c r="L828" s="604" t="s">
        <v>91</v>
      </c>
      <c r="M828" s="604">
        <v>15</v>
      </c>
      <c r="N828" s="604">
        <v>2619</v>
      </c>
      <c r="O828" s="604">
        <v>5.7</v>
      </c>
      <c r="P828" s="604" t="s">
        <v>47</v>
      </c>
      <c r="Q828" s="499"/>
      <c r="R828" s="502" t="str">
        <f t="shared" si="106"/>
        <v>2000birthsgest37-41</v>
      </c>
      <c r="S828" s="604">
        <v>2000</v>
      </c>
      <c r="T828" s="604" t="s">
        <v>445</v>
      </c>
      <c r="U828" s="604" t="s">
        <v>450</v>
      </c>
      <c r="V828" s="604" t="s">
        <v>137</v>
      </c>
      <c r="W828" s="604">
        <v>50864</v>
      </c>
      <c r="Y828" s="535" t="str">
        <f t="shared" si="107"/>
        <v>2016depgestQuin 4Totalfetal</v>
      </c>
      <c r="Z828" s="604">
        <v>2016</v>
      </c>
      <c r="AA828" s="604" t="s">
        <v>454</v>
      </c>
      <c r="AB828" s="604" t="s">
        <v>450</v>
      </c>
      <c r="AC828" s="604" t="s">
        <v>424</v>
      </c>
      <c r="AD828" s="604" t="s">
        <v>44</v>
      </c>
      <c r="AE828" s="604">
        <v>90</v>
      </c>
      <c r="AF828" s="604">
        <v>13131</v>
      </c>
      <c r="AG828" s="604">
        <v>6.8</v>
      </c>
      <c r="AH828" s="604" t="s">
        <v>420</v>
      </c>
      <c r="AJ828" s="535" t="str">
        <f t="shared" si="111"/>
        <v>2016depgestQuin 4Total</v>
      </c>
      <c r="AK828" s="604">
        <v>2016</v>
      </c>
      <c r="AL828" s="604" t="s">
        <v>454</v>
      </c>
      <c r="AM828" s="604" t="s">
        <v>450</v>
      </c>
      <c r="AN828" s="604" t="s">
        <v>424</v>
      </c>
      <c r="AO828" s="604" t="s">
        <v>44</v>
      </c>
      <c r="AP828" s="604">
        <v>13131</v>
      </c>
      <c r="AR828" s="538" t="str">
        <f t="shared" si="109"/>
        <v>MalesexinfantNorthland</v>
      </c>
      <c r="AS828" s="604">
        <v>2016</v>
      </c>
      <c r="AT828" s="604" t="s">
        <v>70</v>
      </c>
      <c r="AU828" s="604" t="s">
        <v>451</v>
      </c>
      <c r="AV828" s="604" t="s">
        <v>85</v>
      </c>
      <c r="AW828" s="604">
        <v>7</v>
      </c>
      <c r="AX828" s="604">
        <v>1184</v>
      </c>
      <c r="AY828" s="606">
        <v>5.9</v>
      </c>
      <c r="AZ828" s="604" t="s">
        <v>437</v>
      </c>
      <c r="BY828" s="553" t="str">
        <f t="shared" si="110"/>
        <v>2010&lt;28gestSIDS</v>
      </c>
      <c r="BZ828" s="604">
        <v>2010</v>
      </c>
      <c r="CA828" s="604" t="s">
        <v>375</v>
      </c>
      <c r="CB828" s="604" t="s">
        <v>450</v>
      </c>
      <c r="CC828" s="604">
        <v>1</v>
      </c>
      <c r="CD828" s="604" t="s">
        <v>32</v>
      </c>
    </row>
    <row r="829" spans="9:82">
      <c r="I829" s="578" t="str">
        <f t="shared" si="105"/>
        <v>2001dhbTairawhitiFetal</v>
      </c>
      <c r="J829" s="604">
        <v>2001</v>
      </c>
      <c r="K829" s="604" t="s">
        <v>448</v>
      </c>
      <c r="L829" s="604" t="s">
        <v>433</v>
      </c>
      <c r="M829" s="604">
        <v>7</v>
      </c>
      <c r="N829" s="604">
        <v>773</v>
      </c>
      <c r="O829" s="604">
        <v>9.1</v>
      </c>
      <c r="P829" s="604" t="s">
        <v>47</v>
      </c>
      <c r="Q829" s="499"/>
      <c r="R829" s="502" t="str">
        <f t="shared" si="106"/>
        <v>2000birthsgest42+</v>
      </c>
      <c r="S829" s="604">
        <v>2000</v>
      </c>
      <c r="T829" s="604" t="s">
        <v>445</v>
      </c>
      <c r="U829" s="604" t="s">
        <v>450</v>
      </c>
      <c r="V829" s="604" t="s">
        <v>138</v>
      </c>
      <c r="W829" s="604">
        <v>1868</v>
      </c>
      <c r="Y829" s="535" t="str">
        <f t="shared" si="107"/>
        <v>2016depgestQuin 5Totalfetal</v>
      </c>
      <c r="Z829" s="604">
        <v>2016</v>
      </c>
      <c r="AA829" s="604" t="s">
        <v>454</v>
      </c>
      <c r="AB829" s="604" t="s">
        <v>450</v>
      </c>
      <c r="AC829" s="604" t="s">
        <v>425</v>
      </c>
      <c r="AD829" s="604" t="s">
        <v>44</v>
      </c>
      <c r="AE829" s="604">
        <v>126</v>
      </c>
      <c r="AF829" s="604">
        <v>16886</v>
      </c>
      <c r="AG829" s="604">
        <v>7.4</v>
      </c>
      <c r="AH829" s="604" t="s">
        <v>420</v>
      </c>
      <c r="AJ829" s="535" t="str">
        <f t="shared" si="111"/>
        <v>2016depgestQuin 5Total</v>
      </c>
      <c r="AK829" s="604">
        <v>2016</v>
      </c>
      <c r="AL829" s="604" t="s">
        <v>454</v>
      </c>
      <c r="AM829" s="604" t="s">
        <v>450</v>
      </c>
      <c r="AN829" s="604" t="s">
        <v>425</v>
      </c>
      <c r="AO829" s="604" t="s">
        <v>44</v>
      </c>
      <c r="AP829" s="604">
        <v>16886</v>
      </c>
      <c r="AR829" s="538" t="str">
        <f t="shared" si="109"/>
        <v>FemalesexinfantNorthland</v>
      </c>
      <c r="AS829" s="604">
        <v>2016</v>
      </c>
      <c r="AT829" s="604" t="s">
        <v>71</v>
      </c>
      <c r="AU829" s="604" t="s">
        <v>451</v>
      </c>
      <c r="AV829" s="604" t="s">
        <v>85</v>
      </c>
      <c r="AW829" s="604">
        <v>5</v>
      </c>
      <c r="AX829" s="604">
        <v>1136</v>
      </c>
      <c r="AY829" s="606">
        <v>4.4000000000000004</v>
      </c>
      <c r="AZ829" s="604" t="s">
        <v>437</v>
      </c>
      <c r="BY829" s="553" t="str">
        <f t="shared" si="110"/>
        <v>201028-31gestSIDS</v>
      </c>
      <c r="BZ829" s="604">
        <v>2010</v>
      </c>
      <c r="CA829" s="604" t="s">
        <v>395</v>
      </c>
      <c r="CB829" s="604" t="s">
        <v>450</v>
      </c>
      <c r="CC829" s="604">
        <v>0</v>
      </c>
      <c r="CD829" s="604" t="s">
        <v>32</v>
      </c>
    </row>
    <row r="830" spans="9:82">
      <c r="I830" s="578" t="str">
        <f t="shared" si="105"/>
        <v>2001dhbHawke's BayFetal</v>
      </c>
      <c r="J830" s="604">
        <v>2001</v>
      </c>
      <c r="K830" s="604" t="s">
        <v>448</v>
      </c>
      <c r="L830" s="604" t="s">
        <v>92</v>
      </c>
      <c r="M830" s="604">
        <v>17</v>
      </c>
      <c r="N830" s="604">
        <v>2158</v>
      </c>
      <c r="O830" s="604">
        <v>7.9</v>
      </c>
      <c r="P830" s="604" t="s">
        <v>47</v>
      </c>
      <c r="Q830" s="499"/>
      <c r="R830" s="502" t="str">
        <f t="shared" si="106"/>
        <v>2000birthsgestUnknown</v>
      </c>
      <c r="S830" s="604">
        <v>2000</v>
      </c>
      <c r="T830" s="604" t="s">
        <v>445</v>
      </c>
      <c r="U830" s="604" t="s">
        <v>450</v>
      </c>
      <c r="V830" s="604" t="s">
        <v>63</v>
      </c>
      <c r="W830" s="604">
        <v>29</v>
      </c>
      <c r="Y830" s="535" t="str">
        <f t="shared" si="107"/>
        <v>2016depgestQuin 9Totalfetal</v>
      </c>
      <c r="Z830" s="604">
        <v>2016</v>
      </c>
      <c r="AA830" s="604" t="s">
        <v>454</v>
      </c>
      <c r="AB830" s="604" t="s">
        <v>450</v>
      </c>
      <c r="AC830" s="604" t="s">
        <v>426</v>
      </c>
      <c r="AD830" s="604" t="s">
        <v>44</v>
      </c>
      <c r="AE830" s="604">
        <v>22</v>
      </c>
      <c r="AF830" s="604">
        <v>131</v>
      </c>
      <c r="AG830" s="604" t="s">
        <v>119</v>
      </c>
      <c r="AH830" s="604" t="s">
        <v>420</v>
      </c>
      <c r="AJ830" s="535" t="str">
        <f t="shared" si="111"/>
        <v>2016depgestQuin 9Total</v>
      </c>
      <c r="AK830" s="604">
        <v>2016</v>
      </c>
      <c r="AL830" s="604" t="s">
        <v>454</v>
      </c>
      <c r="AM830" s="604" t="s">
        <v>450</v>
      </c>
      <c r="AN830" s="604" t="s">
        <v>426</v>
      </c>
      <c r="AO830" s="604" t="s">
        <v>44</v>
      </c>
      <c r="AP830" s="604">
        <v>131</v>
      </c>
      <c r="AR830" s="538" t="str">
        <f t="shared" si="109"/>
        <v>MalesexinfantWaitemata</v>
      </c>
      <c r="AS830" s="604">
        <v>2016</v>
      </c>
      <c r="AT830" s="604" t="s">
        <v>70</v>
      </c>
      <c r="AU830" s="604" t="s">
        <v>451</v>
      </c>
      <c r="AV830" s="604" t="s">
        <v>86</v>
      </c>
      <c r="AW830" s="604">
        <v>7</v>
      </c>
      <c r="AX830" s="604">
        <v>4155</v>
      </c>
      <c r="AY830" s="606">
        <v>1.7</v>
      </c>
      <c r="AZ830" s="604" t="s">
        <v>437</v>
      </c>
      <c r="BY830" s="553" t="str">
        <f t="shared" si="110"/>
        <v>201032-36gestSIDS</v>
      </c>
      <c r="BZ830" s="604">
        <v>2010</v>
      </c>
      <c r="CA830" s="604" t="s">
        <v>136</v>
      </c>
      <c r="CB830" s="604" t="s">
        <v>450</v>
      </c>
      <c r="CC830" s="604">
        <v>3</v>
      </c>
      <c r="CD830" s="604" t="s">
        <v>32</v>
      </c>
    </row>
    <row r="831" spans="9:82">
      <c r="I831" s="578" t="str">
        <f t="shared" si="105"/>
        <v>2001dhbTaranakiFetal</v>
      </c>
      <c r="J831" s="604">
        <v>2001</v>
      </c>
      <c r="K831" s="604" t="s">
        <v>448</v>
      </c>
      <c r="L831" s="604" t="s">
        <v>93</v>
      </c>
      <c r="M831" s="604">
        <v>11</v>
      </c>
      <c r="N831" s="604">
        <v>1379</v>
      </c>
      <c r="O831" s="604">
        <v>8</v>
      </c>
      <c r="P831" s="604" t="s">
        <v>47</v>
      </c>
      <c r="Q831" s="499"/>
      <c r="R831" s="502" t="str">
        <f t="shared" si="106"/>
        <v>2001birthsgest&lt;28</v>
      </c>
      <c r="S831" s="604">
        <v>2001</v>
      </c>
      <c r="T831" s="604" t="s">
        <v>445</v>
      </c>
      <c r="U831" s="604" t="s">
        <v>450</v>
      </c>
      <c r="V831" s="604" t="s">
        <v>375</v>
      </c>
      <c r="W831" s="604">
        <v>247</v>
      </c>
      <c r="Y831" s="535" t="str">
        <f t="shared" si="107"/>
        <v>2016bwtgest&lt;500Totalfetal</v>
      </c>
      <c r="Z831" s="604">
        <v>2016</v>
      </c>
      <c r="AA831" s="604" t="s">
        <v>447</v>
      </c>
      <c r="AB831" s="604" t="s">
        <v>450</v>
      </c>
      <c r="AC831" s="604" t="s">
        <v>427</v>
      </c>
      <c r="AD831" s="604" t="s">
        <v>44</v>
      </c>
      <c r="AE831" s="604">
        <v>141</v>
      </c>
      <c r="AF831" s="604">
        <v>53</v>
      </c>
      <c r="AG831" s="604" t="s">
        <v>119</v>
      </c>
      <c r="AH831" s="604" t="s">
        <v>420</v>
      </c>
      <c r="AJ831" s="535" t="str">
        <f t="shared" si="111"/>
        <v>2016bwtgest&lt;500Total</v>
      </c>
      <c r="AK831" s="604">
        <v>2016</v>
      </c>
      <c r="AL831" s="604" t="s">
        <v>447</v>
      </c>
      <c r="AM831" s="604" t="s">
        <v>450</v>
      </c>
      <c r="AN831" s="604" t="s">
        <v>427</v>
      </c>
      <c r="AO831" s="604" t="s">
        <v>44</v>
      </c>
      <c r="AP831" s="604">
        <v>53</v>
      </c>
      <c r="AR831" s="538" t="str">
        <f t="shared" si="109"/>
        <v>FemalesexinfantWaitemata</v>
      </c>
      <c r="AS831" s="604">
        <v>2016</v>
      </c>
      <c r="AT831" s="604" t="s">
        <v>71</v>
      </c>
      <c r="AU831" s="604" t="s">
        <v>451</v>
      </c>
      <c r="AV831" s="604" t="s">
        <v>86</v>
      </c>
      <c r="AW831" s="604">
        <v>11</v>
      </c>
      <c r="AX831" s="604">
        <v>3896</v>
      </c>
      <c r="AY831" s="606">
        <v>2.8</v>
      </c>
      <c r="AZ831" s="604" t="s">
        <v>437</v>
      </c>
      <c r="BY831" s="553" t="str">
        <f t="shared" si="110"/>
        <v>201037-41gestSIDS</v>
      </c>
      <c r="BZ831" s="604">
        <v>2010</v>
      </c>
      <c r="CA831" s="604" t="s">
        <v>137</v>
      </c>
      <c r="CB831" s="604" t="s">
        <v>450</v>
      </c>
      <c r="CC831" s="604">
        <v>21</v>
      </c>
      <c r="CD831" s="604" t="s">
        <v>32</v>
      </c>
    </row>
    <row r="832" spans="9:82">
      <c r="I832" s="578" t="str">
        <f t="shared" si="105"/>
        <v>2001dhbMidCentralFetal</v>
      </c>
      <c r="J832" s="604">
        <v>2001</v>
      </c>
      <c r="K832" s="604" t="s">
        <v>448</v>
      </c>
      <c r="L832" s="604" t="s">
        <v>94</v>
      </c>
      <c r="M832" s="604">
        <v>19</v>
      </c>
      <c r="N832" s="604">
        <v>2167</v>
      </c>
      <c r="O832" s="604">
        <v>8.8000000000000007</v>
      </c>
      <c r="P832" s="604" t="s">
        <v>47</v>
      </c>
      <c r="Q832" s="499"/>
      <c r="R832" s="502" t="str">
        <f t="shared" si="106"/>
        <v>2001birthsgest28-31</v>
      </c>
      <c r="S832" s="604">
        <v>2001</v>
      </c>
      <c r="T832" s="604" t="s">
        <v>445</v>
      </c>
      <c r="U832" s="604" t="s">
        <v>450</v>
      </c>
      <c r="V832" s="604" t="s">
        <v>395</v>
      </c>
      <c r="W832" s="604">
        <v>490</v>
      </c>
      <c r="Y832" s="535" t="str">
        <f t="shared" si="107"/>
        <v>2016bwtgest500-999Totalfetal</v>
      </c>
      <c r="Z832" s="604">
        <v>2016</v>
      </c>
      <c r="AA832" s="604" t="s">
        <v>447</v>
      </c>
      <c r="AB832" s="604" t="s">
        <v>450</v>
      </c>
      <c r="AC832" s="604" t="s">
        <v>428</v>
      </c>
      <c r="AD832" s="604" t="s">
        <v>44</v>
      </c>
      <c r="AE832" s="604">
        <v>97</v>
      </c>
      <c r="AF832" s="604">
        <v>196</v>
      </c>
      <c r="AG832" s="604">
        <v>331.1</v>
      </c>
      <c r="AH832" s="604" t="s">
        <v>420</v>
      </c>
      <c r="AJ832" s="535" t="str">
        <f t="shared" si="111"/>
        <v>2016bwtgest500-999Total</v>
      </c>
      <c r="AK832" s="604">
        <v>2016</v>
      </c>
      <c r="AL832" s="604" t="s">
        <v>447</v>
      </c>
      <c r="AM832" s="604" t="s">
        <v>450</v>
      </c>
      <c r="AN832" s="604" t="s">
        <v>428</v>
      </c>
      <c r="AO832" s="604" t="s">
        <v>44</v>
      </c>
      <c r="AP832" s="604">
        <v>196</v>
      </c>
      <c r="AR832" s="538" t="str">
        <f t="shared" si="109"/>
        <v>MalesexinfantAuckland</v>
      </c>
      <c r="AS832" s="604">
        <v>2016</v>
      </c>
      <c r="AT832" s="604" t="s">
        <v>70</v>
      </c>
      <c r="AU832" s="604" t="s">
        <v>451</v>
      </c>
      <c r="AV832" s="604" t="s">
        <v>87</v>
      </c>
      <c r="AW832" s="604">
        <v>11</v>
      </c>
      <c r="AX832" s="604">
        <v>3001</v>
      </c>
      <c r="AY832" s="606">
        <v>3.7</v>
      </c>
      <c r="AZ832" s="604" t="s">
        <v>437</v>
      </c>
      <c r="BY832" s="553" t="str">
        <f t="shared" si="110"/>
        <v>201042+gestSIDS</v>
      </c>
      <c r="BZ832" s="604">
        <v>2010</v>
      </c>
      <c r="CA832" s="604" t="s">
        <v>138</v>
      </c>
      <c r="CB832" s="604" t="s">
        <v>450</v>
      </c>
      <c r="CC832" s="604">
        <v>0</v>
      </c>
      <c r="CD832" s="604" t="s">
        <v>32</v>
      </c>
    </row>
    <row r="833" spans="9:82">
      <c r="I833" s="578" t="str">
        <f t="shared" si="105"/>
        <v>2001dhbWhanganuiFetal</v>
      </c>
      <c r="J833" s="604">
        <v>2001</v>
      </c>
      <c r="K833" s="604" t="s">
        <v>448</v>
      </c>
      <c r="L833" s="604" t="s">
        <v>95</v>
      </c>
      <c r="M833" s="604">
        <v>3</v>
      </c>
      <c r="N833" s="604">
        <v>907</v>
      </c>
      <c r="O833" s="604">
        <v>3.3</v>
      </c>
      <c r="P833" s="604" t="s">
        <v>47</v>
      </c>
      <c r="Q833" s="499"/>
      <c r="R833" s="502" t="str">
        <f t="shared" si="106"/>
        <v>2001birthsgest32-36</v>
      </c>
      <c r="S833" s="604">
        <v>2001</v>
      </c>
      <c r="T833" s="604" t="s">
        <v>445</v>
      </c>
      <c r="U833" s="604" t="s">
        <v>450</v>
      </c>
      <c r="V833" s="604" t="s">
        <v>136</v>
      </c>
      <c r="W833" s="604">
        <v>3463</v>
      </c>
      <c r="Y833" s="535" t="str">
        <f t="shared" si="107"/>
        <v>2016bwtgest1000-1499Totalfetal</v>
      </c>
      <c r="Z833" s="604">
        <v>2016</v>
      </c>
      <c r="AA833" s="604" t="s">
        <v>447</v>
      </c>
      <c r="AB833" s="604" t="s">
        <v>450</v>
      </c>
      <c r="AC833" s="604" t="s">
        <v>429</v>
      </c>
      <c r="AD833" s="604" t="s">
        <v>44</v>
      </c>
      <c r="AE833" s="604">
        <v>27</v>
      </c>
      <c r="AF833" s="604">
        <v>331</v>
      </c>
      <c r="AG833" s="604">
        <v>75.400000000000006</v>
      </c>
      <c r="AH833" s="604" t="s">
        <v>420</v>
      </c>
      <c r="AJ833" s="535" t="str">
        <f t="shared" si="111"/>
        <v>2016bwtgest1000-1499Total</v>
      </c>
      <c r="AK833" s="604">
        <v>2016</v>
      </c>
      <c r="AL833" s="604" t="s">
        <v>447</v>
      </c>
      <c r="AM833" s="604" t="s">
        <v>450</v>
      </c>
      <c r="AN833" s="604" t="s">
        <v>429</v>
      </c>
      <c r="AO833" s="604" t="s">
        <v>44</v>
      </c>
      <c r="AP833" s="604">
        <v>331</v>
      </c>
      <c r="AR833" s="538" t="str">
        <f t="shared" si="109"/>
        <v>FemalesexinfantAuckland</v>
      </c>
      <c r="AS833" s="604">
        <v>2016</v>
      </c>
      <c r="AT833" s="604" t="s">
        <v>71</v>
      </c>
      <c r="AU833" s="604" t="s">
        <v>451</v>
      </c>
      <c r="AV833" s="604" t="s">
        <v>87</v>
      </c>
      <c r="AW833" s="604">
        <v>7</v>
      </c>
      <c r="AX833" s="604">
        <v>2904</v>
      </c>
      <c r="AY833" s="606">
        <v>2.4</v>
      </c>
      <c r="AZ833" s="604" t="s">
        <v>437</v>
      </c>
      <c r="BY833" s="553" t="str">
        <f t="shared" si="110"/>
        <v>2010UnknowngestSIDS</v>
      </c>
      <c r="BZ833" s="604">
        <v>2010</v>
      </c>
      <c r="CA833" s="604" t="s">
        <v>63</v>
      </c>
      <c r="CB833" s="604" t="s">
        <v>450</v>
      </c>
      <c r="CC833" s="604">
        <v>2</v>
      </c>
      <c r="CD833" s="604" t="s">
        <v>32</v>
      </c>
    </row>
    <row r="834" spans="9:82">
      <c r="I834" s="578" t="str">
        <f t="shared" si="105"/>
        <v>2001dhbCapital &amp; CoastFetal</v>
      </c>
      <c r="J834" s="604">
        <v>2001</v>
      </c>
      <c r="K834" s="604" t="s">
        <v>448</v>
      </c>
      <c r="L834" s="604" t="s">
        <v>96</v>
      </c>
      <c r="M834" s="604">
        <v>27</v>
      </c>
      <c r="N834" s="604">
        <v>3729</v>
      </c>
      <c r="O834" s="604">
        <v>7.2</v>
      </c>
      <c r="P834" s="604" t="s">
        <v>47</v>
      </c>
      <c r="Q834" s="499"/>
      <c r="R834" s="502" t="str">
        <f t="shared" si="106"/>
        <v>2001birthsgest37-41</v>
      </c>
      <c r="S834" s="604">
        <v>2001</v>
      </c>
      <c r="T834" s="604" t="s">
        <v>445</v>
      </c>
      <c r="U834" s="604" t="s">
        <v>450</v>
      </c>
      <c r="V834" s="604" t="s">
        <v>137</v>
      </c>
      <c r="W834" s="604">
        <v>50230</v>
      </c>
      <c r="Y834" s="535" t="str">
        <f t="shared" si="107"/>
        <v>2016bwtgest1500-2499Totalfetal</v>
      </c>
      <c r="Z834" s="604">
        <v>2016</v>
      </c>
      <c r="AA834" s="604" t="s">
        <v>447</v>
      </c>
      <c r="AB834" s="604" t="s">
        <v>450</v>
      </c>
      <c r="AC834" s="604" t="s">
        <v>430</v>
      </c>
      <c r="AD834" s="604" t="s">
        <v>44</v>
      </c>
      <c r="AE834" s="604">
        <v>45</v>
      </c>
      <c r="AF834" s="604">
        <v>2991</v>
      </c>
      <c r="AG834" s="604">
        <v>14.8</v>
      </c>
      <c r="AH834" s="604" t="s">
        <v>420</v>
      </c>
      <c r="AJ834" s="535" t="str">
        <f t="shared" si="111"/>
        <v>2016bwtgest1500-2499Total</v>
      </c>
      <c r="AK834" s="604">
        <v>2016</v>
      </c>
      <c r="AL834" s="604" t="s">
        <v>447</v>
      </c>
      <c r="AM834" s="604" t="s">
        <v>450</v>
      </c>
      <c r="AN834" s="604" t="s">
        <v>430</v>
      </c>
      <c r="AO834" s="604" t="s">
        <v>44</v>
      </c>
      <c r="AP834" s="604">
        <v>2991</v>
      </c>
      <c r="AR834" s="538" t="str">
        <f t="shared" si="109"/>
        <v>MalesexinfantCounties Manukau</v>
      </c>
      <c r="AS834" s="604">
        <v>2016</v>
      </c>
      <c r="AT834" s="604" t="s">
        <v>70</v>
      </c>
      <c r="AU834" s="604" t="s">
        <v>451</v>
      </c>
      <c r="AV834" s="604" t="s">
        <v>88</v>
      </c>
      <c r="AW834" s="604">
        <v>37</v>
      </c>
      <c r="AX834" s="604">
        <v>4349</v>
      </c>
      <c r="AY834" s="606">
        <v>8.5</v>
      </c>
      <c r="AZ834" s="604" t="s">
        <v>437</v>
      </c>
      <c r="BY834" s="553" t="str">
        <f t="shared" si="110"/>
        <v>2011&lt;28gestSIDS</v>
      </c>
      <c r="BZ834" s="604">
        <v>2011</v>
      </c>
      <c r="CA834" s="604" t="s">
        <v>375</v>
      </c>
      <c r="CB834" s="604" t="s">
        <v>450</v>
      </c>
      <c r="CC834" s="604">
        <v>0</v>
      </c>
      <c r="CD834" s="604" t="s">
        <v>32</v>
      </c>
    </row>
    <row r="835" spans="9:82">
      <c r="I835" s="578" t="str">
        <f t="shared" si="105"/>
        <v>2001dhbHutt ValleyFetal</v>
      </c>
      <c r="J835" s="604">
        <v>2001</v>
      </c>
      <c r="K835" s="604" t="s">
        <v>448</v>
      </c>
      <c r="L835" s="604" t="s">
        <v>97</v>
      </c>
      <c r="M835" s="604">
        <v>14</v>
      </c>
      <c r="N835" s="604">
        <v>2179</v>
      </c>
      <c r="O835" s="604">
        <v>6.4</v>
      </c>
      <c r="P835" s="604" t="s">
        <v>47</v>
      </c>
      <c r="Q835" s="499"/>
      <c r="R835" s="502" t="str">
        <f t="shared" si="106"/>
        <v>2001birthsgest42+</v>
      </c>
      <c r="S835" s="604">
        <v>2001</v>
      </c>
      <c r="T835" s="604" t="s">
        <v>445</v>
      </c>
      <c r="U835" s="604" t="s">
        <v>450</v>
      </c>
      <c r="V835" s="604" t="s">
        <v>138</v>
      </c>
      <c r="W835" s="604">
        <v>1738</v>
      </c>
      <c r="Y835" s="535" t="str">
        <f t="shared" si="107"/>
        <v>2016bwtgest2500-4499Totalfetal</v>
      </c>
      <c r="Z835" s="604">
        <v>2016</v>
      </c>
      <c r="AA835" s="604" t="s">
        <v>447</v>
      </c>
      <c r="AB835" s="604" t="s">
        <v>450</v>
      </c>
      <c r="AC835" s="604" t="s">
        <v>431</v>
      </c>
      <c r="AD835" s="604" t="s">
        <v>44</v>
      </c>
      <c r="AE835" s="604">
        <v>81</v>
      </c>
      <c r="AF835" s="604">
        <v>55407</v>
      </c>
      <c r="AG835" s="604">
        <v>1.5</v>
      </c>
      <c r="AH835" s="604" t="s">
        <v>420</v>
      </c>
      <c r="AJ835" s="535" t="str">
        <f t="shared" si="111"/>
        <v>2016bwtgest2500-4499Total</v>
      </c>
      <c r="AK835" s="604">
        <v>2016</v>
      </c>
      <c r="AL835" s="604" t="s">
        <v>447</v>
      </c>
      <c r="AM835" s="604" t="s">
        <v>450</v>
      </c>
      <c r="AN835" s="604" t="s">
        <v>431</v>
      </c>
      <c r="AO835" s="604" t="s">
        <v>44</v>
      </c>
      <c r="AP835" s="604">
        <v>55407</v>
      </c>
      <c r="AR835" s="538" t="str">
        <f t="shared" si="109"/>
        <v>FemalesexinfantCounties Manukau</v>
      </c>
      <c r="AS835" s="604">
        <v>2016</v>
      </c>
      <c r="AT835" s="604" t="s">
        <v>71</v>
      </c>
      <c r="AU835" s="604" t="s">
        <v>451</v>
      </c>
      <c r="AV835" s="604" t="s">
        <v>88</v>
      </c>
      <c r="AW835" s="604">
        <v>20</v>
      </c>
      <c r="AX835" s="604">
        <v>4026</v>
      </c>
      <c r="AY835" s="606">
        <v>5</v>
      </c>
      <c r="AZ835" s="604" t="s">
        <v>437</v>
      </c>
      <c r="BY835" s="553" t="str">
        <f t="shared" si="110"/>
        <v>201128-31gestSIDS</v>
      </c>
      <c r="BZ835" s="604">
        <v>2011</v>
      </c>
      <c r="CA835" s="604" t="s">
        <v>395</v>
      </c>
      <c r="CB835" s="604" t="s">
        <v>450</v>
      </c>
      <c r="CC835" s="604">
        <v>1</v>
      </c>
      <c r="CD835" s="604" t="s">
        <v>32</v>
      </c>
    </row>
    <row r="836" spans="9:82">
      <c r="I836" s="578" t="str">
        <f t="shared" ref="I836:I899" si="112">J836&amp;K836&amp;L836&amp;P836</f>
        <v>2001dhbWairarapaFetal</v>
      </c>
      <c r="J836" s="604">
        <v>2001</v>
      </c>
      <c r="K836" s="604" t="s">
        <v>448</v>
      </c>
      <c r="L836" s="604" t="s">
        <v>98</v>
      </c>
      <c r="M836" s="604">
        <v>4</v>
      </c>
      <c r="N836" s="604">
        <v>502</v>
      </c>
      <c r="O836" s="604">
        <v>8</v>
      </c>
      <c r="P836" s="604" t="s">
        <v>47</v>
      </c>
      <c r="Q836" s="499"/>
      <c r="R836" s="502" t="str">
        <f t="shared" ref="R836:R899" si="113">S836&amp;T836&amp;U836&amp;V836</f>
        <v>2001birthsgestUnknown</v>
      </c>
      <c r="S836" s="604">
        <v>2001</v>
      </c>
      <c r="T836" s="604" t="s">
        <v>445</v>
      </c>
      <c r="U836" s="604" t="s">
        <v>450</v>
      </c>
      <c r="V836" s="604" t="s">
        <v>63</v>
      </c>
      <c r="W836" s="604">
        <v>56</v>
      </c>
      <c r="Y836" s="535" t="str">
        <f t="shared" ref="Y836:Y899" si="114">Z836&amp;AA836&amp;AB836&amp;AC836&amp;AD836&amp;AH836</f>
        <v>2016bwtgest4500+Totalfetal</v>
      </c>
      <c r="Z836" s="604">
        <v>2016</v>
      </c>
      <c r="AA836" s="604" t="s">
        <v>447</v>
      </c>
      <c r="AB836" s="604" t="s">
        <v>450</v>
      </c>
      <c r="AC836" s="604" t="s">
        <v>432</v>
      </c>
      <c r="AD836" s="604" t="s">
        <v>44</v>
      </c>
      <c r="AE836" s="604">
        <v>4</v>
      </c>
      <c r="AF836" s="604">
        <v>1423</v>
      </c>
      <c r="AG836" s="604">
        <v>2.8</v>
      </c>
      <c r="AH836" s="604" t="s">
        <v>420</v>
      </c>
      <c r="AJ836" s="535" t="str">
        <f t="shared" si="111"/>
        <v>2016bwtgest4500+Total</v>
      </c>
      <c r="AK836" s="604">
        <v>2016</v>
      </c>
      <c r="AL836" s="604" t="s">
        <v>447</v>
      </c>
      <c r="AM836" s="604" t="s">
        <v>450</v>
      </c>
      <c r="AN836" s="604" t="s">
        <v>432</v>
      </c>
      <c r="AO836" s="604" t="s">
        <v>44</v>
      </c>
      <c r="AP836" s="604">
        <v>1423</v>
      </c>
      <c r="AR836" s="538" t="str">
        <f t="shared" ref="AR836:AR899" si="115">AT836&amp;AU836&amp;AZ836&amp;AV836</f>
        <v>MalesexinfantWaikato</v>
      </c>
      <c r="AS836" s="604">
        <v>2016</v>
      </c>
      <c r="AT836" s="604" t="s">
        <v>70</v>
      </c>
      <c r="AU836" s="604" t="s">
        <v>451</v>
      </c>
      <c r="AV836" s="604" t="s">
        <v>89</v>
      </c>
      <c r="AW836" s="604">
        <v>16</v>
      </c>
      <c r="AX836" s="604">
        <v>2828</v>
      </c>
      <c r="AY836" s="606">
        <v>5.7</v>
      </c>
      <c r="AZ836" s="604" t="s">
        <v>437</v>
      </c>
      <c r="BY836" s="553" t="str">
        <f t="shared" ref="BY836:BY899" si="116">BZ836&amp;CA836&amp;CB836&amp;CD836</f>
        <v>201132-36gestSIDS</v>
      </c>
      <c r="BZ836" s="604">
        <v>2011</v>
      </c>
      <c r="CA836" s="604" t="s">
        <v>136</v>
      </c>
      <c r="CB836" s="604" t="s">
        <v>450</v>
      </c>
      <c r="CC836" s="604">
        <v>5</v>
      </c>
      <c r="CD836" s="604" t="s">
        <v>32</v>
      </c>
    </row>
    <row r="837" spans="9:82">
      <c r="I837" s="578" t="str">
        <f t="shared" si="112"/>
        <v>2001dhbNelson MarlboroughFetal</v>
      </c>
      <c r="J837" s="604">
        <v>2001</v>
      </c>
      <c r="K837" s="604" t="s">
        <v>448</v>
      </c>
      <c r="L837" s="604" t="s">
        <v>99</v>
      </c>
      <c r="M837" s="604">
        <v>11</v>
      </c>
      <c r="N837" s="604">
        <v>1499</v>
      </c>
      <c r="O837" s="604">
        <v>7.3</v>
      </c>
      <c r="P837" s="604" t="s">
        <v>47</v>
      </c>
      <c r="Q837" s="499"/>
      <c r="R837" s="502" t="str">
        <f t="shared" si="113"/>
        <v>2002birthsgest&lt;28</v>
      </c>
      <c r="S837" s="604">
        <v>2002</v>
      </c>
      <c r="T837" s="604" t="s">
        <v>445</v>
      </c>
      <c r="U837" s="604" t="s">
        <v>450</v>
      </c>
      <c r="V837" s="604" t="s">
        <v>375</v>
      </c>
      <c r="W837" s="604">
        <v>326</v>
      </c>
      <c r="Y837" s="535" t="str">
        <f t="shared" si="114"/>
        <v>2016bwtgestUnknownTotalfetal</v>
      </c>
      <c r="Z837" s="604">
        <v>2016</v>
      </c>
      <c r="AA837" s="604" t="s">
        <v>447</v>
      </c>
      <c r="AB837" s="604" t="s">
        <v>450</v>
      </c>
      <c r="AC837" s="604" t="s">
        <v>63</v>
      </c>
      <c r="AD837" s="604" t="s">
        <v>44</v>
      </c>
      <c r="AE837" s="604">
        <v>18</v>
      </c>
      <c r="AF837" s="604">
        <v>35</v>
      </c>
      <c r="AG837" s="604" t="s">
        <v>119</v>
      </c>
      <c r="AH837" s="604" t="s">
        <v>420</v>
      </c>
      <c r="AJ837" s="535" t="str">
        <f t="shared" si="111"/>
        <v>2016bwtgestUnknownTotal</v>
      </c>
      <c r="AK837" s="604">
        <v>2016</v>
      </c>
      <c r="AL837" s="604" t="s">
        <v>447</v>
      </c>
      <c r="AM837" s="604" t="s">
        <v>450</v>
      </c>
      <c r="AN837" s="604" t="s">
        <v>63</v>
      </c>
      <c r="AO837" s="604" t="s">
        <v>44</v>
      </c>
      <c r="AP837" s="604">
        <v>35</v>
      </c>
      <c r="AR837" s="538" t="str">
        <f t="shared" si="115"/>
        <v>FemalesexinfantWaikato</v>
      </c>
      <c r="AS837" s="604">
        <v>2016</v>
      </c>
      <c r="AT837" s="604" t="s">
        <v>71</v>
      </c>
      <c r="AU837" s="604" t="s">
        <v>451</v>
      </c>
      <c r="AV837" s="604" t="s">
        <v>89</v>
      </c>
      <c r="AW837" s="604">
        <v>12</v>
      </c>
      <c r="AX837" s="604">
        <v>2679</v>
      </c>
      <c r="AY837" s="606">
        <v>4.5</v>
      </c>
      <c r="AZ837" s="604" t="s">
        <v>437</v>
      </c>
      <c r="BY837" s="553" t="str">
        <f t="shared" si="116"/>
        <v>201137-41gestSIDS</v>
      </c>
      <c r="BZ837" s="604">
        <v>2011</v>
      </c>
      <c r="CA837" s="604" t="s">
        <v>137</v>
      </c>
      <c r="CB837" s="604" t="s">
        <v>450</v>
      </c>
      <c r="CC837" s="604">
        <v>18</v>
      </c>
      <c r="CD837" s="604" t="s">
        <v>32</v>
      </c>
    </row>
    <row r="838" spans="9:82">
      <c r="I838" s="578" t="str">
        <f t="shared" si="112"/>
        <v>2001dhbWest CoastFetal</v>
      </c>
      <c r="J838" s="604">
        <v>2001</v>
      </c>
      <c r="K838" s="604" t="s">
        <v>448</v>
      </c>
      <c r="L838" s="604" t="s">
        <v>100</v>
      </c>
      <c r="M838" s="604">
        <v>3</v>
      </c>
      <c r="N838" s="604">
        <v>399</v>
      </c>
      <c r="O838" s="604">
        <v>7.5</v>
      </c>
      <c r="P838" s="604" t="s">
        <v>47</v>
      </c>
      <c r="Q838" s="499"/>
      <c r="R838" s="502" t="str">
        <f t="shared" si="113"/>
        <v>2002birthsgest28-31</v>
      </c>
      <c r="S838" s="604">
        <v>2002</v>
      </c>
      <c r="T838" s="604" t="s">
        <v>445</v>
      </c>
      <c r="U838" s="604" t="s">
        <v>450</v>
      </c>
      <c r="V838" s="604" t="s">
        <v>395</v>
      </c>
      <c r="W838" s="604">
        <v>433</v>
      </c>
      <c r="Y838" s="535" t="str">
        <f t="shared" si="114"/>
        <v>2016sexbwtMaleTotalfetal</v>
      </c>
      <c r="Z838" s="604">
        <v>2016</v>
      </c>
      <c r="AA838" s="604" t="s">
        <v>451</v>
      </c>
      <c r="AB838" s="604" t="s">
        <v>447</v>
      </c>
      <c r="AC838" s="604" t="s">
        <v>70</v>
      </c>
      <c r="AD838" s="604" t="s">
        <v>44</v>
      </c>
      <c r="AE838" s="604">
        <v>216</v>
      </c>
      <c r="AF838" s="604">
        <v>31009</v>
      </c>
      <c r="AG838" s="604">
        <v>6.9</v>
      </c>
      <c r="AH838" s="604" t="s">
        <v>420</v>
      </c>
      <c r="AJ838" s="535" t="str">
        <f t="shared" si="111"/>
        <v>2016sexbwtMaleTotal</v>
      </c>
      <c r="AK838" s="604">
        <v>2016</v>
      </c>
      <c r="AL838" s="604" t="s">
        <v>451</v>
      </c>
      <c r="AM838" s="604" t="s">
        <v>447</v>
      </c>
      <c r="AN838" s="604" t="s">
        <v>70</v>
      </c>
      <c r="AO838" s="604" t="s">
        <v>44</v>
      </c>
      <c r="AP838" s="604">
        <v>31009</v>
      </c>
      <c r="AR838" s="538" t="str">
        <f t="shared" si="115"/>
        <v>MalesexinfantBay of Plenty</v>
      </c>
      <c r="AS838" s="604">
        <v>2016</v>
      </c>
      <c r="AT838" s="604" t="s">
        <v>70</v>
      </c>
      <c r="AU838" s="604" t="s">
        <v>451</v>
      </c>
      <c r="AV838" s="604" t="s">
        <v>91</v>
      </c>
      <c r="AW838" s="604">
        <v>10</v>
      </c>
      <c r="AX838" s="604">
        <v>1557</v>
      </c>
      <c r="AY838" s="606">
        <v>6.4</v>
      </c>
      <c r="AZ838" s="604" t="s">
        <v>437</v>
      </c>
      <c r="BY838" s="553" t="str">
        <f t="shared" si="116"/>
        <v>201142+gestSIDS</v>
      </c>
      <c r="BZ838" s="604">
        <v>2011</v>
      </c>
      <c r="CA838" s="604" t="s">
        <v>138</v>
      </c>
      <c r="CB838" s="604" t="s">
        <v>450</v>
      </c>
      <c r="CC838" s="604">
        <v>1</v>
      </c>
      <c r="CD838" s="604" t="s">
        <v>32</v>
      </c>
    </row>
    <row r="839" spans="9:82">
      <c r="I839" s="578" t="str">
        <f t="shared" si="112"/>
        <v>2001dhbCanterburyFetal</v>
      </c>
      <c r="J839" s="604">
        <v>2001</v>
      </c>
      <c r="K839" s="604" t="s">
        <v>448</v>
      </c>
      <c r="L839" s="604" t="s">
        <v>101</v>
      </c>
      <c r="M839" s="604">
        <v>35</v>
      </c>
      <c r="N839" s="604">
        <v>5686</v>
      </c>
      <c r="O839" s="604">
        <v>6.2</v>
      </c>
      <c r="P839" s="604" t="s">
        <v>47</v>
      </c>
      <c r="Q839" s="499"/>
      <c r="R839" s="502" t="str">
        <f t="shared" si="113"/>
        <v>2002birthsgest32-36</v>
      </c>
      <c r="S839" s="604">
        <v>2002</v>
      </c>
      <c r="T839" s="604" t="s">
        <v>445</v>
      </c>
      <c r="U839" s="604" t="s">
        <v>450</v>
      </c>
      <c r="V839" s="604" t="s">
        <v>136</v>
      </c>
      <c r="W839" s="604">
        <v>3310</v>
      </c>
      <c r="Y839" s="535" t="str">
        <f t="shared" si="114"/>
        <v>2016sexbwtFemaleTotalfetal</v>
      </c>
      <c r="Z839" s="604">
        <v>2016</v>
      </c>
      <c r="AA839" s="604" t="s">
        <v>451</v>
      </c>
      <c r="AB839" s="604" t="s">
        <v>447</v>
      </c>
      <c r="AC839" s="604" t="s">
        <v>71</v>
      </c>
      <c r="AD839" s="604" t="s">
        <v>44</v>
      </c>
      <c r="AE839" s="604">
        <v>189</v>
      </c>
      <c r="AF839" s="604">
        <v>29427</v>
      </c>
      <c r="AG839" s="604">
        <v>6.4</v>
      </c>
      <c r="AH839" s="604" t="s">
        <v>420</v>
      </c>
      <c r="AJ839" s="535" t="str">
        <f t="shared" si="111"/>
        <v>2016sexbwtFemaleTotal</v>
      </c>
      <c r="AK839" s="604">
        <v>2016</v>
      </c>
      <c r="AL839" s="604" t="s">
        <v>451</v>
      </c>
      <c r="AM839" s="604" t="s">
        <v>447</v>
      </c>
      <c r="AN839" s="604" t="s">
        <v>71</v>
      </c>
      <c r="AO839" s="604" t="s">
        <v>44</v>
      </c>
      <c r="AP839" s="604">
        <v>29427</v>
      </c>
      <c r="AR839" s="538" t="str">
        <f t="shared" si="115"/>
        <v>FemalesexinfantBay of Plenty</v>
      </c>
      <c r="AS839" s="604">
        <v>2016</v>
      </c>
      <c r="AT839" s="604" t="s">
        <v>71</v>
      </c>
      <c r="AU839" s="604" t="s">
        <v>451</v>
      </c>
      <c r="AV839" s="604" t="s">
        <v>91</v>
      </c>
      <c r="AW839" s="604">
        <v>8</v>
      </c>
      <c r="AX839" s="604">
        <v>1383</v>
      </c>
      <c r="AY839" s="606">
        <v>5.8</v>
      </c>
      <c r="AZ839" s="604" t="s">
        <v>437</v>
      </c>
      <c r="BY839" s="553" t="str">
        <f t="shared" si="116"/>
        <v>2011UnknowngestSIDS</v>
      </c>
      <c r="BZ839" s="604">
        <v>2011</v>
      </c>
      <c r="CA839" s="604" t="s">
        <v>63</v>
      </c>
      <c r="CB839" s="604" t="s">
        <v>450</v>
      </c>
      <c r="CC839" s="604">
        <v>1</v>
      </c>
      <c r="CD839" s="604" t="s">
        <v>32</v>
      </c>
    </row>
    <row r="840" spans="9:82">
      <c r="I840" s="578" t="str">
        <f t="shared" si="112"/>
        <v>2001dhbSouth CanterburyFetal</v>
      </c>
      <c r="J840" s="604">
        <v>2001</v>
      </c>
      <c r="K840" s="604" t="s">
        <v>448</v>
      </c>
      <c r="L840" s="604" t="s">
        <v>102</v>
      </c>
      <c r="M840" s="604">
        <v>3</v>
      </c>
      <c r="N840" s="604">
        <v>594</v>
      </c>
      <c r="O840" s="604">
        <v>5.0999999999999996</v>
      </c>
      <c r="P840" s="604" t="s">
        <v>47</v>
      </c>
      <c r="Q840" s="499"/>
      <c r="R840" s="502" t="str">
        <f t="shared" si="113"/>
        <v>2002birthsgest37-41</v>
      </c>
      <c r="S840" s="604">
        <v>2002</v>
      </c>
      <c r="T840" s="604" t="s">
        <v>445</v>
      </c>
      <c r="U840" s="604" t="s">
        <v>450</v>
      </c>
      <c r="V840" s="604" t="s">
        <v>137</v>
      </c>
      <c r="W840" s="604">
        <v>48776</v>
      </c>
      <c r="Y840" s="535" t="str">
        <f t="shared" si="114"/>
        <v>2016ethbwtMaoriTotalfetal</v>
      </c>
      <c r="Z840" s="604">
        <v>2016</v>
      </c>
      <c r="AA840" s="604" t="s">
        <v>449</v>
      </c>
      <c r="AB840" s="604" t="s">
        <v>447</v>
      </c>
      <c r="AC840" s="604" t="s">
        <v>129</v>
      </c>
      <c r="AD840" s="604" t="s">
        <v>44</v>
      </c>
      <c r="AE840" s="604">
        <v>122</v>
      </c>
      <c r="AF840" s="604">
        <v>17329</v>
      </c>
      <c r="AG840" s="604">
        <v>7</v>
      </c>
      <c r="AH840" s="604" t="s">
        <v>420</v>
      </c>
      <c r="AJ840" s="535" t="str">
        <f t="shared" si="111"/>
        <v>2016ethbwtMaoriTotal</v>
      </c>
      <c r="AK840" s="604">
        <v>2016</v>
      </c>
      <c r="AL840" s="604" t="s">
        <v>449</v>
      </c>
      <c r="AM840" s="604" t="s">
        <v>447</v>
      </c>
      <c r="AN840" s="604" t="s">
        <v>129</v>
      </c>
      <c r="AO840" s="604" t="s">
        <v>44</v>
      </c>
      <c r="AP840" s="604">
        <v>17329</v>
      </c>
      <c r="AR840" s="538" t="str">
        <f t="shared" si="115"/>
        <v>MalesexinfantTairawhiti</v>
      </c>
      <c r="AS840" s="604">
        <v>2016</v>
      </c>
      <c r="AT840" s="604" t="s">
        <v>70</v>
      </c>
      <c r="AU840" s="604" t="s">
        <v>451</v>
      </c>
      <c r="AV840" s="604" t="s">
        <v>433</v>
      </c>
      <c r="AW840" s="604">
        <v>1</v>
      </c>
      <c r="AX840" s="604">
        <v>374</v>
      </c>
      <c r="AY840" s="606">
        <v>2.7</v>
      </c>
      <c r="AZ840" s="604" t="s">
        <v>437</v>
      </c>
      <c r="BY840" s="553" t="str">
        <f t="shared" si="116"/>
        <v>2012&lt;28gestSIDS</v>
      </c>
      <c r="BZ840" s="604">
        <v>2012</v>
      </c>
      <c r="CA840" s="604" t="s">
        <v>375</v>
      </c>
      <c r="CB840" s="604" t="s">
        <v>450</v>
      </c>
      <c r="CC840" s="604">
        <v>0</v>
      </c>
      <c r="CD840" s="604" t="s">
        <v>32</v>
      </c>
    </row>
    <row r="841" spans="9:82">
      <c r="I841" s="578" t="str">
        <f t="shared" si="112"/>
        <v>2001dhbSouthernFetal</v>
      </c>
      <c r="J841" s="604">
        <v>2001</v>
      </c>
      <c r="K841" s="604" t="s">
        <v>448</v>
      </c>
      <c r="L841" s="604" t="s">
        <v>103</v>
      </c>
      <c r="M841" s="604">
        <v>19</v>
      </c>
      <c r="N841" s="604">
        <v>3282</v>
      </c>
      <c r="O841" s="604">
        <v>5.8</v>
      </c>
      <c r="P841" s="604" t="s">
        <v>47</v>
      </c>
      <c r="Q841" s="499"/>
      <c r="R841" s="502" t="str">
        <f t="shared" si="113"/>
        <v>2002birthsgest42+</v>
      </c>
      <c r="S841" s="604">
        <v>2002</v>
      </c>
      <c r="T841" s="604" t="s">
        <v>445</v>
      </c>
      <c r="U841" s="604" t="s">
        <v>450</v>
      </c>
      <c r="V841" s="604" t="s">
        <v>138</v>
      </c>
      <c r="W841" s="604">
        <v>1606</v>
      </c>
      <c r="Y841" s="535" t="str">
        <f t="shared" si="114"/>
        <v>2016ethbwtPacific peoplesTotalfetal</v>
      </c>
      <c r="Z841" s="604">
        <v>2016</v>
      </c>
      <c r="AA841" s="604" t="s">
        <v>449</v>
      </c>
      <c r="AB841" s="604" t="s">
        <v>447</v>
      </c>
      <c r="AC841" s="604" t="s">
        <v>320</v>
      </c>
      <c r="AD841" s="604" t="s">
        <v>44</v>
      </c>
      <c r="AE841" s="604">
        <v>45</v>
      </c>
      <c r="AF841" s="604">
        <v>5976</v>
      </c>
      <c r="AG841" s="604">
        <v>7.5</v>
      </c>
      <c r="AH841" s="604" t="s">
        <v>420</v>
      </c>
      <c r="AJ841" s="535" t="str">
        <f t="shared" si="111"/>
        <v>2016ethbwtPacific peoplesTotal</v>
      </c>
      <c r="AK841" s="604">
        <v>2016</v>
      </c>
      <c r="AL841" s="604" t="s">
        <v>449</v>
      </c>
      <c r="AM841" s="604" t="s">
        <v>447</v>
      </c>
      <c r="AN841" s="604" t="s">
        <v>320</v>
      </c>
      <c r="AO841" s="604" t="s">
        <v>44</v>
      </c>
      <c r="AP841" s="604">
        <v>5976</v>
      </c>
      <c r="AR841" s="538" t="str">
        <f t="shared" si="115"/>
        <v>FemalesexinfantTairawhiti</v>
      </c>
      <c r="AS841" s="604">
        <v>2016</v>
      </c>
      <c r="AT841" s="604" t="s">
        <v>71</v>
      </c>
      <c r="AU841" s="604" t="s">
        <v>451</v>
      </c>
      <c r="AV841" s="604" t="s">
        <v>433</v>
      </c>
      <c r="AW841" s="604">
        <v>2</v>
      </c>
      <c r="AX841" s="604">
        <v>395</v>
      </c>
      <c r="AY841" s="606">
        <v>5.0999999999999996</v>
      </c>
      <c r="AZ841" s="604" t="s">
        <v>437</v>
      </c>
      <c r="BY841" s="553" t="str">
        <f t="shared" si="116"/>
        <v>201228-31gestSIDS</v>
      </c>
      <c r="BZ841" s="604">
        <v>2012</v>
      </c>
      <c r="CA841" s="604" t="s">
        <v>395</v>
      </c>
      <c r="CB841" s="604" t="s">
        <v>450</v>
      </c>
      <c r="CC841" s="604">
        <v>0</v>
      </c>
      <c r="CD841" s="604" t="s">
        <v>32</v>
      </c>
    </row>
    <row r="842" spans="9:82">
      <c r="I842" s="578" t="str">
        <f t="shared" si="112"/>
        <v>2001dhbUnknownFetal</v>
      </c>
      <c r="J842" s="604">
        <v>2001</v>
      </c>
      <c r="K842" s="604" t="s">
        <v>448</v>
      </c>
      <c r="L842" s="604" t="s">
        <v>63</v>
      </c>
      <c r="M842" s="604">
        <v>1</v>
      </c>
      <c r="N842" s="604">
        <v>491</v>
      </c>
      <c r="O842" s="604" t="s">
        <v>119</v>
      </c>
      <c r="P842" s="604" t="s">
        <v>47</v>
      </c>
      <c r="Q842" s="499"/>
      <c r="R842" s="502" t="str">
        <f t="shared" si="113"/>
        <v>2002birthsgestUnknown</v>
      </c>
      <c r="S842" s="604">
        <v>2002</v>
      </c>
      <c r="T842" s="604" t="s">
        <v>445</v>
      </c>
      <c r="U842" s="604" t="s">
        <v>450</v>
      </c>
      <c r="V842" s="604" t="s">
        <v>63</v>
      </c>
      <c r="W842" s="604">
        <v>64</v>
      </c>
      <c r="Y842" s="535" t="str">
        <f t="shared" si="114"/>
        <v>2016ethbwtAsianTotalfetal</v>
      </c>
      <c r="Z842" s="604">
        <v>2016</v>
      </c>
      <c r="AA842" s="604" t="s">
        <v>449</v>
      </c>
      <c r="AB842" s="604" t="s">
        <v>447</v>
      </c>
      <c r="AC842" s="604" t="s">
        <v>355</v>
      </c>
      <c r="AD842" s="604" t="s">
        <v>44</v>
      </c>
      <c r="AE842" s="604">
        <v>73</v>
      </c>
      <c r="AF842" s="604">
        <v>10902</v>
      </c>
      <c r="AG842" s="604">
        <v>6.7</v>
      </c>
      <c r="AH842" s="604" t="s">
        <v>420</v>
      </c>
      <c r="AJ842" s="535" t="str">
        <f t="shared" si="111"/>
        <v>2016ethbwtAsianTotal</v>
      </c>
      <c r="AK842" s="604">
        <v>2016</v>
      </c>
      <c r="AL842" s="604" t="s">
        <v>449</v>
      </c>
      <c r="AM842" s="604" t="s">
        <v>447</v>
      </c>
      <c r="AN842" s="604" t="s">
        <v>355</v>
      </c>
      <c r="AO842" s="604" t="s">
        <v>44</v>
      </c>
      <c r="AP842" s="604">
        <v>10902</v>
      </c>
      <c r="AR842" s="538" t="str">
        <f t="shared" si="115"/>
        <v>MalesexinfantHawke's Bay</v>
      </c>
      <c r="AS842" s="604">
        <v>2016</v>
      </c>
      <c r="AT842" s="604" t="s">
        <v>70</v>
      </c>
      <c r="AU842" s="604" t="s">
        <v>451</v>
      </c>
      <c r="AV842" s="604" t="s">
        <v>92</v>
      </c>
      <c r="AW842" s="604">
        <v>3</v>
      </c>
      <c r="AX842" s="604">
        <v>1063</v>
      </c>
      <c r="AY842" s="606">
        <v>2.8</v>
      </c>
      <c r="AZ842" s="604" t="s">
        <v>437</v>
      </c>
      <c r="BY842" s="553" t="str">
        <f t="shared" si="116"/>
        <v>201232-36gestSIDS</v>
      </c>
      <c r="BZ842" s="604">
        <v>2012</v>
      </c>
      <c r="CA842" s="604" t="s">
        <v>136</v>
      </c>
      <c r="CB842" s="604" t="s">
        <v>450</v>
      </c>
      <c r="CC842" s="604">
        <v>3</v>
      </c>
      <c r="CD842" s="604" t="s">
        <v>32</v>
      </c>
    </row>
    <row r="843" spans="9:82">
      <c r="I843" s="578" t="str">
        <f t="shared" si="112"/>
        <v>2002dhbNorthlandFetal</v>
      </c>
      <c r="J843" s="604">
        <v>2002</v>
      </c>
      <c r="K843" s="604" t="s">
        <v>448</v>
      </c>
      <c r="L843" s="604" t="s">
        <v>85</v>
      </c>
      <c r="M843" s="604">
        <v>10</v>
      </c>
      <c r="N843" s="604">
        <v>1928</v>
      </c>
      <c r="O843" s="604">
        <v>5.2</v>
      </c>
      <c r="P843" s="604" t="s">
        <v>47</v>
      </c>
      <c r="Q843" s="499"/>
      <c r="R843" s="502" t="str">
        <f t="shared" si="113"/>
        <v>2003birthsgest&lt;28</v>
      </c>
      <c r="S843" s="604">
        <v>2003</v>
      </c>
      <c r="T843" s="604" t="s">
        <v>445</v>
      </c>
      <c r="U843" s="604" t="s">
        <v>450</v>
      </c>
      <c r="V843" s="604" t="s">
        <v>375</v>
      </c>
      <c r="W843" s="604">
        <v>290</v>
      </c>
      <c r="Y843" s="535" t="str">
        <f t="shared" si="114"/>
        <v>2016ethbwtEuropean or OtherTotalfetal</v>
      </c>
      <c r="Z843" s="604">
        <v>2016</v>
      </c>
      <c r="AA843" s="604" t="s">
        <v>449</v>
      </c>
      <c r="AB843" s="604" t="s">
        <v>447</v>
      </c>
      <c r="AC843" s="604" t="s">
        <v>356</v>
      </c>
      <c r="AD843" s="604" t="s">
        <v>44</v>
      </c>
      <c r="AE843" s="604">
        <v>173</v>
      </c>
      <c r="AF843" s="604">
        <v>26229</v>
      </c>
      <c r="AG843" s="604">
        <v>6.6</v>
      </c>
      <c r="AH843" s="604" t="s">
        <v>420</v>
      </c>
      <c r="AJ843" s="535" t="str">
        <f t="shared" si="111"/>
        <v>2016ethbwtEuropean or OtherTotal</v>
      </c>
      <c r="AK843" s="604">
        <v>2016</v>
      </c>
      <c r="AL843" s="604" t="s">
        <v>449</v>
      </c>
      <c r="AM843" s="604" t="s">
        <v>447</v>
      </c>
      <c r="AN843" s="604" t="s">
        <v>356</v>
      </c>
      <c r="AO843" s="604" t="s">
        <v>44</v>
      </c>
      <c r="AP843" s="604">
        <v>26229</v>
      </c>
      <c r="AR843" s="538" t="str">
        <f t="shared" si="115"/>
        <v>FemalesexinfantHawke's Bay</v>
      </c>
      <c r="AS843" s="604">
        <v>2016</v>
      </c>
      <c r="AT843" s="604" t="s">
        <v>71</v>
      </c>
      <c r="AU843" s="604" t="s">
        <v>451</v>
      </c>
      <c r="AV843" s="604" t="s">
        <v>92</v>
      </c>
      <c r="AW843" s="604">
        <v>3</v>
      </c>
      <c r="AX843" s="604">
        <v>1035</v>
      </c>
      <c r="AY843" s="606">
        <v>2.9</v>
      </c>
      <c r="AZ843" s="604" t="s">
        <v>437</v>
      </c>
      <c r="BY843" s="553" t="str">
        <f t="shared" si="116"/>
        <v>201237-41gestSIDS</v>
      </c>
      <c r="BZ843" s="604">
        <v>2012</v>
      </c>
      <c r="CA843" s="604" t="s">
        <v>137</v>
      </c>
      <c r="CB843" s="604" t="s">
        <v>450</v>
      </c>
      <c r="CC843" s="604">
        <v>15</v>
      </c>
      <c r="CD843" s="604" t="s">
        <v>32</v>
      </c>
    </row>
    <row r="844" spans="9:82">
      <c r="I844" s="578" t="str">
        <f t="shared" si="112"/>
        <v>2002dhbWaitemataFetal</v>
      </c>
      <c r="J844" s="604">
        <v>2002</v>
      </c>
      <c r="K844" s="604" t="s">
        <v>448</v>
      </c>
      <c r="L844" s="604" t="s">
        <v>86</v>
      </c>
      <c r="M844" s="604">
        <v>45</v>
      </c>
      <c r="N844" s="604">
        <v>6504</v>
      </c>
      <c r="O844" s="604">
        <v>6.9</v>
      </c>
      <c r="P844" s="604" t="s">
        <v>47</v>
      </c>
      <c r="Q844" s="499"/>
      <c r="R844" s="502" t="str">
        <f t="shared" si="113"/>
        <v>2003birthsgest28-31</v>
      </c>
      <c r="S844" s="604">
        <v>2003</v>
      </c>
      <c r="T844" s="604" t="s">
        <v>445</v>
      </c>
      <c r="U844" s="604" t="s">
        <v>450</v>
      </c>
      <c r="V844" s="604" t="s">
        <v>395</v>
      </c>
      <c r="W844" s="604">
        <v>496</v>
      </c>
      <c r="Y844" s="535" t="str">
        <f t="shared" si="114"/>
        <v>2016agebwt&lt;20Totalfetal</v>
      </c>
      <c r="Z844" s="604">
        <v>2016</v>
      </c>
      <c r="AA844" s="604" t="s">
        <v>453</v>
      </c>
      <c r="AB844" s="604" t="s">
        <v>447</v>
      </c>
      <c r="AC844" s="604" t="s">
        <v>339</v>
      </c>
      <c r="AD844" s="604" t="s">
        <v>44</v>
      </c>
      <c r="AE844" s="604">
        <v>36</v>
      </c>
      <c r="AF844" s="604">
        <v>2559</v>
      </c>
      <c r="AG844" s="604">
        <v>13.9</v>
      </c>
      <c r="AH844" s="604" t="s">
        <v>420</v>
      </c>
      <c r="AJ844" s="535" t="str">
        <f t="shared" si="111"/>
        <v>2016agebwt&lt;20Total</v>
      </c>
      <c r="AK844" s="604">
        <v>2016</v>
      </c>
      <c r="AL844" s="604" t="s">
        <v>453</v>
      </c>
      <c r="AM844" s="604" t="s">
        <v>447</v>
      </c>
      <c r="AN844" s="604" t="s">
        <v>339</v>
      </c>
      <c r="AO844" s="604" t="s">
        <v>44</v>
      </c>
      <c r="AP844" s="604">
        <v>2559</v>
      </c>
      <c r="AR844" s="538" t="str">
        <f t="shared" si="115"/>
        <v>MalesexinfantTaranaki</v>
      </c>
      <c r="AS844" s="604">
        <v>2016</v>
      </c>
      <c r="AT844" s="604" t="s">
        <v>70</v>
      </c>
      <c r="AU844" s="604" t="s">
        <v>451</v>
      </c>
      <c r="AV844" s="604" t="s">
        <v>93</v>
      </c>
      <c r="AW844" s="604">
        <v>5</v>
      </c>
      <c r="AX844" s="604">
        <v>770</v>
      </c>
      <c r="AY844" s="606">
        <v>6.5</v>
      </c>
      <c r="AZ844" s="604" t="s">
        <v>437</v>
      </c>
      <c r="BY844" s="553" t="str">
        <f t="shared" si="116"/>
        <v>201242+gestSIDS</v>
      </c>
      <c r="BZ844" s="604">
        <v>2012</v>
      </c>
      <c r="CA844" s="604" t="s">
        <v>138</v>
      </c>
      <c r="CB844" s="604" t="s">
        <v>450</v>
      </c>
      <c r="CC844" s="604">
        <v>0</v>
      </c>
      <c r="CD844" s="604" t="s">
        <v>32</v>
      </c>
    </row>
    <row r="845" spans="9:82">
      <c r="I845" s="578" t="str">
        <f t="shared" si="112"/>
        <v>2002dhbAucklandFetal</v>
      </c>
      <c r="J845" s="604">
        <v>2002</v>
      </c>
      <c r="K845" s="604" t="s">
        <v>448</v>
      </c>
      <c r="L845" s="604" t="s">
        <v>87</v>
      </c>
      <c r="M845" s="604">
        <v>43</v>
      </c>
      <c r="N845" s="604">
        <v>5946</v>
      </c>
      <c r="O845" s="604">
        <v>7.2</v>
      </c>
      <c r="P845" s="604" t="s">
        <v>47</v>
      </c>
      <c r="Q845" s="499"/>
      <c r="R845" s="502" t="str">
        <f t="shared" si="113"/>
        <v>2003birthsgest32-36</v>
      </c>
      <c r="S845" s="604">
        <v>2003</v>
      </c>
      <c r="T845" s="604" t="s">
        <v>445</v>
      </c>
      <c r="U845" s="604" t="s">
        <v>450</v>
      </c>
      <c r="V845" s="604" t="s">
        <v>136</v>
      </c>
      <c r="W845" s="604">
        <v>3358</v>
      </c>
      <c r="Y845" s="535" t="str">
        <f t="shared" si="114"/>
        <v>2016agebwt20-24Totalfetal</v>
      </c>
      <c r="Z845" s="604">
        <v>2016</v>
      </c>
      <c r="AA845" s="604" t="s">
        <v>453</v>
      </c>
      <c r="AB845" s="604" t="s">
        <v>447</v>
      </c>
      <c r="AC845" s="604" t="s">
        <v>130</v>
      </c>
      <c r="AD845" s="604" t="s">
        <v>44</v>
      </c>
      <c r="AE845" s="604">
        <v>73</v>
      </c>
      <c r="AF845" s="604">
        <v>9934</v>
      </c>
      <c r="AG845" s="604">
        <v>7.3</v>
      </c>
      <c r="AH845" s="604" t="s">
        <v>420</v>
      </c>
      <c r="AJ845" s="535" t="str">
        <f t="shared" si="111"/>
        <v>2016agebwt20-24Total</v>
      </c>
      <c r="AK845" s="604">
        <v>2016</v>
      </c>
      <c r="AL845" s="604" t="s">
        <v>453</v>
      </c>
      <c r="AM845" s="604" t="s">
        <v>447</v>
      </c>
      <c r="AN845" s="604" t="s">
        <v>130</v>
      </c>
      <c r="AO845" s="604" t="s">
        <v>44</v>
      </c>
      <c r="AP845" s="604">
        <v>9934</v>
      </c>
      <c r="AR845" s="538" t="str">
        <f t="shared" si="115"/>
        <v>FemalesexinfantTaranaki</v>
      </c>
      <c r="AS845" s="604">
        <v>2016</v>
      </c>
      <c r="AT845" s="604" t="s">
        <v>71</v>
      </c>
      <c r="AU845" s="604" t="s">
        <v>451</v>
      </c>
      <c r="AV845" s="604" t="s">
        <v>93</v>
      </c>
      <c r="AW845" s="604">
        <v>1</v>
      </c>
      <c r="AX845" s="604">
        <v>721</v>
      </c>
      <c r="AY845" s="606">
        <v>1.4</v>
      </c>
      <c r="AZ845" s="604" t="s">
        <v>437</v>
      </c>
      <c r="BY845" s="553" t="str">
        <f t="shared" si="116"/>
        <v>2012UnknowngestSIDS</v>
      </c>
      <c r="BZ845" s="604">
        <v>2012</v>
      </c>
      <c r="CA845" s="604" t="s">
        <v>63</v>
      </c>
      <c r="CB845" s="604" t="s">
        <v>450</v>
      </c>
      <c r="CC845" s="604">
        <v>0</v>
      </c>
      <c r="CD845" s="604" t="s">
        <v>32</v>
      </c>
    </row>
    <row r="846" spans="9:82">
      <c r="I846" s="578" t="str">
        <f t="shared" si="112"/>
        <v>2002dhbCounties ManukauFetal</v>
      </c>
      <c r="J846" s="604">
        <v>2002</v>
      </c>
      <c r="K846" s="604" t="s">
        <v>448</v>
      </c>
      <c r="L846" s="604" t="s">
        <v>88</v>
      </c>
      <c r="M846" s="604">
        <v>49</v>
      </c>
      <c r="N846" s="604">
        <v>7252</v>
      </c>
      <c r="O846" s="604">
        <v>6.8</v>
      </c>
      <c r="P846" s="604" t="s">
        <v>47</v>
      </c>
      <c r="Q846" s="499"/>
      <c r="R846" s="502" t="str">
        <f t="shared" si="113"/>
        <v>2003birthsgest37-41</v>
      </c>
      <c r="S846" s="604">
        <v>2003</v>
      </c>
      <c r="T846" s="604" t="s">
        <v>445</v>
      </c>
      <c r="U846" s="604" t="s">
        <v>450</v>
      </c>
      <c r="V846" s="604" t="s">
        <v>137</v>
      </c>
      <c r="W846" s="604">
        <v>50827</v>
      </c>
      <c r="Y846" s="535" t="str">
        <f t="shared" si="114"/>
        <v>2016agebwt25-29Totalfetal</v>
      </c>
      <c r="Z846" s="604">
        <v>2016</v>
      </c>
      <c r="AA846" s="604" t="s">
        <v>453</v>
      </c>
      <c r="AB846" s="604" t="s">
        <v>447</v>
      </c>
      <c r="AC846" s="604" t="s">
        <v>131</v>
      </c>
      <c r="AD846" s="604" t="s">
        <v>44</v>
      </c>
      <c r="AE846" s="604">
        <v>103</v>
      </c>
      <c r="AF846" s="604">
        <v>16664</v>
      </c>
      <c r="AG846" s="604">
        <v>6.1</v>
      </c>
      <c r="AH846" s="604" t="s">
        <v>420</v>
      </c>
      <c r="AJ846" s="535" t="str">
        <f t="shared" si="111"/>
        <v>2016agebwt25-29Total</v>
      </c>
      <c r="AK846" s="604">
        <v>2016</v>
      </c>
      <c r="AL846" s="604" t="s">
        <v>453</v>
      </c>
      <c r="AM846" s="604" t="s">
        <v>447</v>
      </c>
      <c r="AN846" s="604" t="s">
        <v>131</v>
      </c>
      <c r="AO846" s="604" t="s">
        <v>44</v>
      </c>
      <c r="AP846" s="604">
        <v>16664</v>
      </c>
      <c r="AR846" s="538" t="str">
        <f t="shared" si="115"/>
        <v>MalesexinfantMidCentral</v>
      </c>
      <c r="AS846" s="604">
        <v>2016</v>
      </c>
      <c r="AT846" s="604" t="s">
        <v>70</v>
      </c>
      <c r="AU846" s="604" t="s">
        <v>451</v>
      </c>
      <c r="AV846" s="604" t="s">
        <v>94</v>
      </c>
      <c r="AW846" s="604">
        <v>3</v>
      </c>
      <c r="AX846" s="604">
        <v>1080</v>
      </c>
      <c r="AY846" s="606">
        <v>2.8</v>
      </c>
      <c r="AZ846" s="604" t="s">
        <v>437</v>
      </c>
      <c r="BY846" s="553" t="str">
        <f t="shared" si="116"/>
        <v>2013&lt;28gestSIDS</v>
      </c>
      <c r="BZ846" s="604">
        <v>2013</v>
      </c>
      <c r="CA846" s="604" t="s">
        <v>375</v>
      </c>
      <c r="CB846" s="604" t="s">
        <v>450</v>
      </c>
      <c r="CC846" s="604">
        <v>0</v>
      </c>
      <c r="CD846" s="604" t="s">
        <v>32</v>
      </c>
    </row>
    <row r="847" spans="9:82">
      <c r="I847" s="578" t="str">
        <f t="shared" si="112"/>
        <v>2002dhbWaikatoFetal</v>
      </c>
      <c r="J847" s="604">
        <v>2002</v>
      </c>
      <c r="K847" s="604" t="s">
        <v>448</v>
      </c>
      <c r="L847" s="604" t="s">
        <v>89</v>
      </c>
      <c r="M847" s="604">
        <v>37</v>
      </c>
      <c r="N847" s="604">
        <v>4645</v>
      </c>
      <c r="O847" s="604">
        <v>8</v>
      </c>
      <c r="P847" s="604" t="s">
        <v>47</v>
      </c>
      <c r="Q847" s="499"/>
      <c r="R847" s="502" t="str">
        <f t="shared" si="113"/>
        <v>2003birthsgest42+</v>
      </c>
      <c r="S847" s="604">
        <v>2003</v>
      </c>
      <c r="T847" s="604" t="s">
        <v>445</v>
      </c>
      <c r="U847" s="604" t="s">
        <v>450</v>
      </c>
      <c r="V847" s="604" t="s">
        <v>138</v>
      </c>
      <c r="W847" s="604">
        <v>1577</v>
      </c>
      <c r="Y847" s="535" t="str">
        <f t="shared" si="114"/>
        <v>2016agebwt30-34Totalfetal</v>
      </c>
      <c r="Z847" s="604">
        <v>2016</v>
      </c>
      <c r="AA847" s="604" t="s">
        <v>453</v>
      </c>
      <c r="AB847" s="604" t="s">
        <v>447</v>
      </c>
      <c r="AC847" s="604" t="s">
        <v>132</v>
      </c>
      <c r="AD847" s="604" t="s">
        <v>44</v>
      </c>
      <c r="AE847" s="604">
        <v>115</v>
      </c>
      <c r="AF847" s="604">
        <v>18720</v>
      </c>
      <c r="AG847" s="604">
        <v>6.1</v>
      </c>
      <c r="AH847" s="604" t="s">
        <v>420</v>
      </c>
      <c r="AJ847" s="535" t="str">
        <f t="shared" si="111"/>
        <v>2016agebwt30-34Total</v>
      </c>
      <c r="AK847" s="604">
        <v>2016</v>
      </c>
      <c r="AL847" s="604" t="s">
        <v>453</v>
      </c>
      <c r="AM847" s="604" t="s">
        <v>447</v>
      </c>
      <c r="AN847" s="604" t="s">
        <v>132</v>
      </c>
      <c r="AO847" s="604" t="s">
        <v>44</v>
      </c>
      <c r="AP847" s="604">
        <v>18720</v>
      </c>
      <c r="AR847" s="538" t="str">
        <f t="shared" si="115"/>
        <v>FemalesexinfantMidCentral</v>
      </c>
      <c r="AS847" s="604">
        <v>2016</v>
      </c>
      <c r="AT847" s="604" t="s">
        <v>71</v>
      </c>
      <c r="AU847" s="604" t="s">
        <v>451</v>
      </c>
      <c r="AV847" s="604" t="s">
        <v>94</v>
      </c>
      <c r="AW847" s="604">
        <v>7</v>
      </c>
      <c r="AX847" s="604">
        <v>1026</v>
      </c>
      <c r="AY847" s="606">
        <v>6.8</v>
      </c>
      <c r="AZ847" s="604" t="s">
        <v>437</v>
      </c>
      <c r="BY847" s="553" t="str">
        <f t="shared" si="116"/>
        <v>201328-31gestSIDS</v>
      </c>
      <c r="BZ847" s="604">
        <v>2013</v>
      </c>
      <c r="CA847" s="604" t="s">
        <v>395</v>
      </c>
      <c r="CB847" s="604" t="s">
        <v>450</v>
      </c>
      <c r="CC847" s="604">
        <v>1</v>
      </c>
      <c r="CD847" s="604" t="s">
        <v>32</v>
      </c>
    </row>
    <row r="848" spans="9:82">
      <c r="I848" s="578" t="str">
        <f t="shared" si="112"/>
        <v>2002dhbLakesFetal</v>
      </c>
      <c r="J848" s="604">
        <v>2002</v>
      </c>
      <c r="K848" s="604" t="s">
        <v>448</v>
      </c>
      <c r="L848" s="604" t="s">
        <v>90</v>
      </c>
      <c r="M848" s="604">
        <v>12</v>
      </c>
      <c r="N848" s="604">
        <v>1512</v>
      </c>
      <c r="O848" s="604">
        <v>7.9</v>
      </c>
      <c r="P848" s="604" t="s">
        <v>47</v>
      </c>
      <c r="Q848" s="499"/>
      <c r="R848" s="502" t="str">
        <f t="shared" si="113"/>
        <v>2003birthsgestUnknown</v>
      </c>
      <c r="S848" s="604">
        <v>2003</v>
      </c>
      <c r="T848" s="604" t="s">
        <v>445</v>
      </c>
      <c r="U848" s="604" t="s">
        <v>450</v>
      </c>
      <c r="V848" s="604" t="s">
        <v>63</v>
      </c>
      <c r="W848" s="604">
        <v>28</v>
      </c>
      <c r="Y848" s="535" t="str">
        <f t="shared" si="114"/>
        <v>2016agebwt35-39Totalfetal</v>
      </c>
      <c r="Z848" s="604">
        <v>2016</v>
      </c>
      <c r="AA848" s="604" t="s">
        <v>453</v>
      </c>
      <c r="AB848" s="604" t="s">
        <v>447</v>
      </c>
      <c r="AC848" s="604" t="s">
        <v>133</v>
      </c>
      <c r="AD848" s="604" t="s">
        <v>44</v>
      </c>
      <c r="AE848" s="604">
        <v>70</v>
      </c>
      <c r="AF848" s="604">
        <v>10105</v>
      </c>
      <c r="AG848" s="604">
        <v>6.9</v>
      </c>
      <c r="AH848" s="604" t="s">
        <v>420</v>
      </c>
      <c r="AJ848" s="535" t="str">
        <f t="shared" si="111"/>
        <v>2016agebwt35-39Total</v>
      </c>
      <c r="AK848" s="604">
        <v>2016</v>
      </c>
      <c r="AL848" s="604" t="s">
        <v>453</v>
      </c>
      <c r="AM848" s="604" t="s">
        <v>447</v>
      </c>
      <c r="AN848" s="604" t="s">
        <v>133</v>
      </c>
      <c r="AO848" s="604" t="s">
        <v>44</v>
      </c>
      <c r="AP848" s="604">
        <v>10105</v>
      </c>
      <c r="AR848" s="538" t="str">
        <f t="shared" si="115"/>
        <v>MalesexinfantWhanganui</v>
      </c>
      <c r="AS848" s="604">
        <v>2016</v>
      </c>
      <c r="AT848" s="604" t="s">
        <v>70</v>
      </c>
      <c r="AU848" s="604" t="s">
        <v>451</v>
      </c>
      <c r="AV848" s="604" t="s">
        <v>95</v>
      </c>
      <c r="AW848" s="604">
        <v>3</v>
      </c>
      <c r="AX848" s="604">
        <v>428</v>
      </c>
      <c r="AY848" s="606">
        <v>7</v>
      </c>
      <c r="AZ848" s="604" t="s">
        <v>437</v>
      </c>
      <c r="BY848" s="553" t="str">
        <f t="shared" si="116"/>
        <v>201332-36gestSIDS</v>
      </c>
      <c r="BZ848" s="604">
        <v>2013</v>
      </c>
      <c r="CA848" s="604" t="s">
        <v>136</v>
      </c>
      <c r="CB848" s="604" t="s">
        <v>450</v>
      </c>
      <c r="CC848" s="604">
        <v>5</v>
      </c>
      <c r="CD848" s="604" t="s">
        <v>32</v>
      </c>
    </row>
    <row r="849" spans="9:82">
      <c r="I849" s="578" t="str">
        <f t="shared" si="112"/>
        <v>2002dhbBay of PlentyFetal</v>
      </c>
      <c r="J849" s="604">
        <v>2002</v>
      </c>
      <c r="K849" s="604" t="s">
        <v>448</v>
      </c>
      <c r="L849" s="604" t="s">
        <v>91</v>
      </c>
      <c r="M849" s="604">
        <v>22</v>
      </c>
      <c r="N849" s="604">
        <v>2582</v>
      </c>
      <c r="O849" s="604">
        <v>8.5</v>
      </c>
      <c r="P849" s="604" t="s">
        <v>47</v>
      </c>
      <c r="Q849" s="499"/>
      <c r="R849" s="502" t="str">
        <f t="shared" si="113"/>
        <v>2004birthsgest&lt;28</v>
      </c>
      <c r="S849" s="604">
        <v>2004</v>
      </c>
      <c r="T849" s="604" t="s">
        <v>445</v>
      </c>
      <c r="U849" s="604" t="s">
        <v>450</v>
      </c>
      <c r="V849" s="604" t="s">
        <v>375</v>
      </c>
      <c r="W849" s="604">
        <v>290</v>
      </c>
      <c r="Y849" s="535" t="str">
        <f t="shared" si="114"/>
        <v>2016agebwt40+Totalfetal</v>
      </c>
      <c r="Z849" s="604">
        <v>2016</v>
      </c>
      <c r="AA849" s="604" t="s">
        <v>453</v>
      </c>
      <c r="AB849" s="604" t="s">
        <v>447</v>
      </c>
      <c r="AC849" s="604" t="s">
        <v>134</v>
      </c>
      <c r="AD849" s="604" t="s">
        <v>44</v>
      </c>
      <c r="AE849" s="604">
        <v>16</v>
      </c>
      <c r="AF849" s="604">
        <v>2454</v>
      </c>
      <c r="AG849" s="604">
        <v>6.5</v>
      </c>
      <c r="AH849" s="604" t="s">
        <v>420</v>
      </c>
      <c r="AJ849" s="535" t="str">
        <f t="shared" si="111"/>
        <v>2016agebwt40+Total</v>
      </c>
      <c r="AK849" s="604">
        <v>2016</v>
      </c>
      <c r="AL849" s="604" t="s">
        <v>453</v>
      </c>
      <c r="AM849" s="604" t="s">
        <v>447</v>
      </c>
      <c r="AN849" s="604" t="s">
        <v>134</v>
      </c>
      <c r="AO849" s="604" t="s">
        <v>44</v>
      </c>
      <c r="AP849" s="604">
        <v>2454</v>
      </c>
      <c r="AR849" s="538" t="str">
        <f t="shared" si="115"/>
        <v>FemalesexinfantWhanganui</v>
      </c>
      <c r="AS849" s="604">
        <v>2016</v>
      </c>
      <c r="AT849" s="604" t="s">
        <v>71</v>
      </c>
      <c r="AU849" s="604" t="s">
        <v>451</v>
      </c>
      <c r="AV849" s="604" t="s">
        <v>95</v>
      </c>
      <c r="AW849" s="604">
        <v>3</v>
      </c>
      <c r="AX849" s="604">
        <v>415</v>
      </c>
      <c r="AY849" s="606">
        <v>7.2</v>
      </c>
      <c r="AZ849" s="604" t="s">
        <v>437</v>
      </c>
      <c r="BY849" s="553" t="str">
        <f t="shared" si="116"/>
        <v>201337-41gestSIDS</v>
      </c>
      <c r="BZ849" s="604">
        <v>2013</v>
      </c>
      <c r="CA849" s="604" t="s">
        <v>137</v>
      </c>
      <c r="CB849" s="604" t="s">
        <v>450</v>
      </c>
      <c r="CC849" s="604">
        <v>15</v>
      </c>
      <c r="CD849" s="604" t="s">
        <v>32</v>
      </c>
    </row>
    <row r="850" spans="9:82">
      <c r="I850" s="578" t="str">
        <f t="shared" si="112"/>
        <v>2002dhbTairawhitiFetal</v>
      </c>
      <c r="J850" s="604">
        <v>2002</v>
      </c>
      <c r="K850" s="604" t="s">
        <v>448</v>
      </c>
      <c r="L850" s="604" t="s">
        <v>433</v>
      </c>
      <c r="M850" s="604">
        <v>6</v>
      </c>
      <c r="N850" s="604">
        <v>765</v>
      </c>
      <c r="O850" s="604">
        <v>7.8</v>
      </c>
      <c r="P850" s="604" t="s">
        <v>47</v>
      </c>
      <c r="Q850" s="499"/>
      <c r="R850" s="502" t="str">
        <f t="shared" si="113"/>
        <v>2004birthsgest28-31</v>
      </c>
      <c r="S850" s="604">
        <v>2004</v>
      </c>
      <c r="T850" s="604" t="s">
        <v>445</v>
      </c>
      <c r="U850" s="604" t="s">
        <v>450</v>
      </c>
      <c r="V850" s="604" t="s">
        <v>395</v>
      </c>
      <c r="W850" s="604">
        <v>469</v>
      </c>
      <c r="Y850" s="535" t="str">
        <f t="shared" si="114"/>
        <v>2016depbwtQuin 1Totalfetal</v>
      </c>
      <c r="Z850" s="604">
        <v>2016</v>
      </c>
      <c r="AA850" s="604" t="s">
        <v>454</v>
      </c>
      <c r="AB850" s="604" t="s">
        <v>447</v>
      </c>
      <c r="AC850" s="604" t="s">
        <v>421</v>
      </c>
      <c r="AD850" s="604" t="s">
        <v>44</v>
      </c>
      <c r="AE850" s="604">
        <v>43</v>
      </c>
      <c r="AF850" s="604">
        <v>9194</v>
      </c>
      <c r="AG850" s="604">
        <v>4.7</v>
      </c>
      <c r="AH850" s="604" t="s">
        <v>420</v>
      </c>
      <c r="AJ850" s="535" t="str">
        <f t="shared" si="111"/>
        <v>2016depbwtQuin 1Total</v>
      </c>
      <c r="AK850" s="604">
        <v>2016</v>
      </c>
      <c r="AL850" s="604" t="s">
        <v>454</v>
      </c>
      <c r="AM850" s="604" t="s">
        <v>447</v>
      </c>
      <c r="AN850" s="604" t="s">
        <v>421</v>
      </c>
      <c r="AO850" s="604" t="s">
        <v>44</v>
      </c>
      <c r="AP850" s="604">
        <v>9194</v>
      </c>
      <c r="AR850" s="538" t="str">
        <f t="shared" si="115"/>
        <v>MalesexinfantCapital &amp; Coast</v>
      </c>
      <c r="AS850" s="604">
        <v>2016</v>
      </c>
      <c r="AT850" s="604" t="s">
        <v>70</v>
      </c>
      <c r="AU850" s="604" t="s">
        <v>451</v>
      </c>
      <c r="AV850" s="604" t="s">
        <v>96</v>
      </c>
      <c r="AW850" s="604">
        <v>5</v>
      </c>
      <c r="AX850" s="604">
        <v>1765</v>
      </c>
      <c r="AY850" s="606">
        <v>2.8</v>
      </c>
      <c r="AZ850" s="604" t="s">
        <v>437</v>
      </c>
      <c r="BY850" s="553" t="str">
        <f t="shared" si="116"/>
        <v>201342+gestSIDS</v>
      </c>
      <c r="BZ850" s="604">
        <v>2013</v>
      </c>
      <c r="CA850" s="604" t="s">
        <v>138</v>
      </c>
      <c r="CB850" s="604" t="s">
        <v>450</v>
      </c>
      <c r="CC850" s="604">
        <v>0</v>
      </c>
      <c r="CD850" s="604" t="s">
        <v>32</v>
      </c>
    </row>
    <row r="851" spans="9:82">
      <c r="I851" s="578" t="str">
        <f t="shared" si="112"/>
        <v>2002dhbHawke's BayFetal</v>
      </c>
      <c r="J851" s="604">
        <v>2002</v>
      </c>
      <c r="K851" s="604" t="s">
        <v>448</v>
      </c>
      <c r="L851" s="604" t="s">
        <v>92</v>
      </c>
      <c r="M851" s="604">
        <v>12</v>
      </c>
      <c r="N851" s="604">
        <v>2065</v>
      </c>
      <c r="O851" s="604">
        <v>5.8</v>
      </c>
      <c r="P851" s="604" t="s">
        <v>47</v>
      </c>
      <c r="Q851" s="499"/>
      <c r="R851" s="502" t="str">
        <f t="shared" si="113"/>
        <v>2004birthsgest32-36</v>
      </c>
      <c r="S851" s="604">
        <v>2004</v>
      </c>
      <c r="T851" s="604" t="s">
        <v>445</v>
      </c>
      <c r="U851" s="604" t="s">
        <v>450</v>
      </c>
      <c r="V851" s="604" t="s">
        <v>136</v>
      </c>
      <c r="W851" s="604">
        <v>3513</v>
      </c>
      <c r="Y851" s="535" t="str">
        <f t="shared" si="114"/>
        <v>2016depbwtQuin 2Totalfetal</v>
      </c>
      <c r="Z851" s="604">
        <v>2016</v>
      </c>
      <c r="AA851" s="604" t="s">
        <v>454</v>
      </c>
      <c r="AB851" s="604" t="s">
        <v>447</v>
      </c>
      <c r="AC851" s="604" t="s">
        <v>422</v>
      </c>
      <c r="AD851" s="604" t="s">
        <v>44</v>
      </c>
      <c r="AE851" s="604">
        <v>64</v>
      </c>
      <c r="AF851" s="604">
        <v>10123</v>
      </c>
      <c r="AG851" s="604">
        <v>6.3</v>
      </c>
      <c r="AH851" s="604" t="s">
        <v>420</v>
      </c>
      <c r="AJ851" s="535" t="str">
        <f t="shared" si="111"/>
        <v>2016depbwtQuin 2Total</v>
      </c>
      <c r="AK851" s="604">
        <v>2016</v>
      </c>
      <c r="AL851" s="604" t="s">
        <v>454</v>
      </c>
      <c r="AM851" s="604" t="s">
        <v>447</v>
      </c>
      <c r="AN851" s="604" t="s">
        <v>422</v>
      </c>
      <c r="AO851" s="604" t="s">
        <v>44</v>
      </c>
      <c r="AP851" s="604">
        <v>10123</v>
      </c>
      <c r="AR851" s="538" t="str">
        <f t="shared" si="115"/>
        <v>FemalesexinfantCapital &amp; Coast</v>
      </c>
      <c r="AS851" s="604">
        <v>2016</v>
      </c>
      <c r="AT851" s="604" t="s">
        <v>71</v>
      </c>
      <c r="AU851" s="604" t="s">
        <v>451</v>
      </c>
      <c r="AV851" s="604" t="s">
        <v>96</v>
      </c>
      <c r="AW851" s="604">
        <v>6</v>
      </c>
      <c r="AX851" s="604">
        <v>1762</v>
      </c>
      <c r="AY851" s="606">
        <v>3.4</v>
      </c>
      <c r="AZ851" s="604" t="s">
        <v>437</v>
      </c>
      <c r="BY851" s="553" t="str">
        <f t="shared" si="116"/>
        <v>2013UnknowngestSIDS</v>
      </c>
      <c r="BZ851" s="604">
        <v>2013</v>
      </c>
      <c r="CA851" s="604" t="s">
        <v>63</v>
      </c>
      <c r="CB851" s="604" t="s">
        <v>450</v>
      </c>
      <c r="CC851" s="604">
        <v>0</v>
      </c>
      <c r="CD851" s="604" t="s">
        <v>32</v>
      </c>
    </row>
    <row r="852" spans="9:82">
      <c r="I852" s="578" t="str">
        <f t="shared" si="112"/>
        <v>2002dhbTaranakiFetal</v>
      </c>
      <c r="J852" s="604">
        <v>2002</v>
      </c>
      <c r="K852" s="604" t="s">
        <v>448</v>
      </c>
      <c r="L852" s="604" t="s">
        <v>93</v>
      </c>
      <c r="M852" s="604">
        <v>12</v>
      </c>
      <c r="N852" s="604">
        <v>1322</v>
      </c>
      <c r="O852" s="604">
        <v>9.1</v>
      </c>
      <c r="P852" s="604" t="s">
        <v>47</v>
      </c>
      <c r="Q852" s="499"/>
      <c r="R852" s="502" t="str">
        <f t="shared" si="113"/>
        <v>2004birthsgest37-41</v>
      </c>
      <c r="S852" s="604">
        <v>2004</v>
      </c>
      <c r="T852" s="604" t="s">
        <v>445</v>
      </c>
      <c r="U852" s="604" t="s">
        <v>450</v>
      </c>
      <c r="V852" s="604" t="s">
        <v>137</v>
      </c>
      <c r="W852" s="604">
        <v>52717</v>
      </c>
      <c r="Y852" s="535" t="str">
        <f t="shared" si="114"/>
        <v>2016depbwtQuin 3Totalfetal</v>
      </c>
      <c r="Z852" s="604">
        <v>2016</v>
      </c>
      <c r="AA852" s="604" t="s">
        <v>454</v>
      </c>
      <c r="AB852" s="604" t="s">
        <v>447</v>
      </c>
      <c r="AC852" s="604" t="s">
        <v>423</v>
      </c>
      <c r="AD852" s="604" t="s">
        <v>44</v>
      </c>
      <c r="AE852" s="604">
        <v>68</v>
      </c>
      <c r="AF852" s="604">
        <v>10971</v>
      </c>
      <c r="AG852" s="604">
        <v>6.2</v>
      </c>
      <c r="AH852" s="604" t="s">
        <v>420</v>
      </c>
      <c r="AJ852" s="535" t="str">
        <f t="shared" si="111"/>
        <v>2016depbwtQuin 3Total</v>
      </c>
      <c r="AK852" s="604">
        <v>2016</v>
      </c>
      <c r="AL852" s="604" t="s">
        <v>454</v>
      </c>
      <c r="AM852" s="604" t="s">
        <v>447</v>
      </c>
      <c r="AN852" s="604" t="s">
        <v>423</v>
      </c>
      <c r="AO852" s="604" t="s">
        <v>44</v>
      </c>
      <c r="AP852" s="604">
        <v>10971</v>
      </c>
      <c r="AR852" s="538" t="str">
        <f t="shared" si="115"/>
        <v>MalesexinfantHutt Valley</v>
      </c>
      <c r="AS852" s="604">
        <v>2016</v>
      </c>
      <c r="AT852" s="604" t="s">
        <v>70</v>
      </c>
      <c r="AU852" s="604" t="s">
        <v>451</v>
      </c>
      <c r="AV852" s="604" t="s">
        <v>97</v>
      </c>
      <c r="AW852" s="604">
        <v>4</v>
      </c>
      <c r="AX852" s="604">
        <v>1037</v>
      </c>
      <c r="AY852" s="606">
        <v>3.9</v>
      </c>
      <c r="AZ852" s="604" t="s">
        <v>437</v>
      </c>
      <c r="BY852" s="553" t="str">
        <f t="shared" si="116"/>
        <v>2014&lt;28gestSIDS</v>
      </c>
      <c r="BZ852" s="604">
        <v>2014</v>
      </c>
      <c r="CA852" s="604" t="s">
        <v>375</v>
      </c>
      <c r="CB852" s="604" t="s">
        <v>450</v>
      </c>
      <c r="CC852" s="604">
        <v>0</v>
      </c>
      <c r="CD852" s="604" t="s">
        <v>32</v>
      </c>
    </row>
    <row r="853" spans="9:82">
      <c r="I853" s="578" t="str">
        <f t="shared" si="112"/>
        <v>2002dhbMidCentralFetal</v>
      </c>
      <c r="J853" s="604">
        <v>2002</v>
      </c>
      <c r="K853" s="604" t="s">
        <v>448</v>
      </c>
      <c r="L853" s="604" t="s">
        <v>94</v>
      </c>
      <c r="M853" s="604">
        <v>14</v>
      </c>
      <c r="N853" s="604">
        <v>1988</v>
      </c>
      <c r="O853" s="604">
        <v>7</v>
      </c>
      <c r="P853" s="604" t="s">
        <v>47</v>
      </c>
      <c r="Q853" s="499"/>
      <c r="R853" s="502" t="str">
        <f t="shared" si="113"/>
        <v>2004birthsgest42+</v>
      </c>
      <c r="S853" s="604">
        <v>2004</v>
      </c>
      <c r="T853" s="604" t="s">
        <v>445</v>
      </c>
      <c r="U853" s="604" t="s">
        <v>450</v>
      </c>
      <c r="V853" s="604" t="s">
        <v>138</v>
      </c>
      <c r="W853" s="604">
        <v>1690</v>
      </c>
      <c r="Y853" s="535" t="str">
        <f t="shared" si="114"/>
        <v>2016depbwtQuin 4Totalfetal</v>
      </c>
      <c r="Z853" s="604">
        <v>2016</v>
      </c>
      <c r="AA853" s="604" t="s">
        <v>454</v>
      </c>
      <c r="AB853" s="604" t="s">
        <v>447</v>
      </c>
      <c r="AC853" s="604" t="s">
        <v>424</v>
      </c>
      <c r="AD853" s="604" t="s">
        <v>44</v>
      </c>
      <c r="AE853" s="604">
        <v>90</v>
      </c>
      <c r="AF853" s="604">
        <v>13131</v>
      </c>
      <c r="AG853" s="604">
        <v>6.8</v>
      </c>
      <c r="AH853" s="604" t="s">
        <v>420</v>
      </c>
      <c r="AJ853" s="535" t="str">
        <f t="shared" si="111"/>
        <v>2016depbwtQuin 4Total</v>
      </c>
      <c r="AK853" s="604">
        <v>2016</v>
      </c>
      <c r="AL853" s="604" t="s">
        <v>454</v>
      </c>
      <c r="AM853" s="604" t="s">
        <v>447</v>
      </c>
      <c r="AN853" s="604" t="s">
        <v>424</v>
      </c>
      <c r="AO853" s="604" t="s">
        <v>44</v>
      </c>
      <c r="AP853" s="604">
        <v>13131</v>
      </c>
      <c r="AR853" s="538" t="str">
        <f t="shared" si="115"/>
        <v>FemalesexinfantHutt Valley</v>
      </c>
      <c r="AS853" s="604">
        <v>2016</v>
      </c>
      <c r="AT853" s="604" t="s">
        <v>71</v>
      </c>
      <c r="AU853" s="604" t="s">
        <v>451</v>
      </c>
      <c r="AV853" s="604" t="s">
        <v>97</v>
      </c>
      <c r="AW853" s="604">
        <v>5</v>
      </c>
      <c r="AX853" s="604">
        <v>967</v>
      </c>
      <c r="AY853" s="606">
        <v>5.2</v>
      </c>
      <c r="AZ853" s="604" t="s">
        <v>437</v>
      </c>
      <c r="BY853" s="553" t="str">
        <f t="shared" si="116"/>
        <v>201428-31gestSIDS</v>
      </c>
      <c r="BZ853" s="604">
        <v>2014</v>
      </c>
      <c r="CA853" s="604" t="s">
        <v>395</v>
      </c>
      <c r="CB853" s="604" t="s">
        <v>450</v>
      </c>
      <c r="CC853" s="604">
        <v>0</v>
      </c>
      <c r="CD853" s="604" t="s">
        <v>32</v>
      </c>
    </row>
    <row r="854" spans="9:82">
      <c r="I854" s="578" t="str">
        <f t="shared" si="112"/>
        <v>2002dhbWhanganuiFetal</v>
      </c>
      <c r="J854" s="604">
        <v>2002</v>
      </c>
      <c r="K854" s="604" t="s">
        <v>448</v>
      </c>
      <c r="L854" s="604" t="s">
        <v>95</v>
      </c>
      <c r="M854" s="604">
        <v>5</v>
      </c>
      <c r="N854" s="604">
        <v>866</v>
      </c>
      <c r="O854" s="604">
        <v>5.8</v>
      </c>
      <c r="P854" s="604" t="s">
        <v>47</v>
      </c>
      <c r="Q854" s="499"/>
      <c r="R854" s="502" t="str">
        <f t="shared" si="113"/>
        <v>2004birthsgestUnknown</v>
      </c>
      <c r="S854" s="604">
        <v>2004</v>
      </c>
      <c r="T854" s="604" t="s">
        <v>445</v>
      </c>
      <c r="U854" s="604" t="s">
        <v>450</v>
      </c>
      <c r="V854" s="604" t="s">
        <v>63</v>
      </c>
      <c r="W854" s="604">
        <v>44</v>
      </c>
      <c r="Y854" s="535" t="str">
        <f t="shared" si="114"/>
        <v>2016depbwtQuin 5Totalfetal</v>
      </c>
      <c r="Z854" s="604">
        <v>2016</v>
      </c>
      <c r="AA854" s="604" t="s">
        <v>454</v>
      </c>
      <c r="AB854" s="604" t="s">
        <v>447</v>
      </c>
      <c r="AC854" s="604" t="s">
        <v>425</v>
      </c>
      <c r="AD854" s="604" t="s">
        <v>44</v>
      </c>
      <c r="AE854" s="604">
        <v>126</v>
      </c>
      <c r="AF854" s="604">
        <v>16886</v>
      </c>
      <c r="AG854" s="604">
        <v>7.4</v>
      </c>
      <c r="AH854" s="604" t="s">
        <v>420</v>
      </c>
      <c r="AJ854" s="535" t="str">
        <f t="shared" si="111"/>
        <v>2016depbwtQuin 5Total</v>
      </c>
      <c r="AK854" s="604">
        <v>2016</v>
      </c>
      <c r="AL854" s="604" t="s">
        <v>454</v>
      </c>
      <c r="AM854" s="604" t="s">
        <v>447</v>
      </c>
      <c r="AN854" s="604" t="s">
        <v>425</v>
      </c>
      <c r="AO854" s="604" t="s">
        <v>44</v>
      </c>
      <c r="AP854" s="604">
        <v>16886</v>
      </c>
      <c r="AR854" s="538" t="str">
        <f t="shared" si="115"/>
        <v>FemalesexinfantWairarapa</v>
      </c>
      <c r="AS854" s="604">
        <v>2016</v>
      </c>
      <c r="AT854" s="604" t="s">
        <v>71</v>
      </c>
      <c r="AU854" s="604" t="s">
        <v>451</v>
      </c>
      <c r="AV854" s="604" t="s">
        <v>98</v>
      </c>
      <c r="AW854" s="604">
        <v>1</v>
      </c>
      <c r="AX854" s="604">
        <v>254</v>
      </c>
      <c r="AY854" s="606">
        <v>3.9</v>
      </c>
      <c r="AZ854" s="604" t="s">
        <v>437</v>
      </c>
      <c r="BY854" s="553" t="str">
        <f t="shared" si="116"/>
        <v>201432-36gestSIDS</v>
      </c>
      <c r="BZ854" s="604">
        <v>2014</v>
      </c>
      <c r="CA854" s="604" t="s">
        <v>136</v>
      </c>
      <c r="CB854" s="604" t="s">
        <v>450</v>
      </c>
      <c r="CC854" s="604">
        <v>3</v>
      </c>
      <c r="CD854" s="604" t="s">
        <v>32</v>
      </c>
    </row>
    <row r="855" spans="9:82">
      <c r="I855" s="578" t="str">
        <f t="shared" si="112"/>
        <v>2002dhbCapital &amp; CoastFetal</v>
      </c>
      <c r="J855" s="604">
        <v>2002</v>
      </c>
      <c r="K855" s="604" t="s">
        <v>448</v>
      </c>
      <c r="L855" s="604" t="s">
        <v>96</v>
      </c>
      <c r="M855" s="604">
        <v>26</v>
      </c>
      <c r="N855" s="604">
        <v>3588</v>
      </c>
      <c r="O855" s="604">
        <v>7.2</v>
      </c>
      <c r="P855" s="604" t="s">
        <v>47</v>
      </c>
      <c r="Q855" s="499"/>
      <c r="R855" s="502" t="str">
        <f t="shared" si="113"/>
        <v>2005birthsgest&lt;28</v>
      </c>
      <c r="S855" s="604">
        <v>2005</v>
      </c>
      <c r="T855" s="604" t="s">
        <v>445</v>
      </c>
      <c r="U855" s="604" t="s">
        <v>450</v>
      </c>
      <c r="V855" s="604" t="s">
        <v>375</v>
      </c>
      <c r="W855" s="604">
        <v>273</v>
      </c>
      <c r="Y855" s="535" t="str">
        <f t="shared" si="114"/>
        <v>2016depbwtQuin 9Totalfetal</v>
      </c>
      <c r="Z855" s="604">
        <v>2016</v>
      </c>
      <c r="AA855" s="604" t="s">
        <v>454</v>
      </c>
      <c r="AB855" s="604" t="s">
        <v>447</v>
      </c>
      <c r="AC855" s="604" t="s">
        <v>426</v>
      </c>
      <c r="AD855" s="604" t="s">
        <v>44</v>
      </c>
      <c r="AE855" s="604">
        <v>22</v>
      </c>
      <c r="AF855" s="604">
        <v>131</v>
      </c>
      <c r="AG855" s="604" t="s">
        <v>119</v>
      </c>
      <c r="AH855" s="604" t="s">
        <v>420</v>
      </c>
      <c r="AJ855" s="535" t="str">
        <f t="shared" si="111"/>
        <v>2016depbwtQuin 9Total</v>
      </c>
      <c r="AK855" s="604">
        <v>2016</v>
      </c>
      <c r="AL855" s="604" t="s">
        <v>454</v>
      </c>
      <c r="AM855" s="604" t="s">
        <v>447</v>
      </c>
      <c r="AN855" s="604" t="s">
        <v>426</v>
      </c>
      <c r="AO855" s="604" t="s">
        <v>44</v>
      </c>
      <c r="AP855" s="604">
        <v>131</v>
      </c>
      <c r="AR855" s="538" t="str">
        <f t="shared" si="115"/>
        <v>MalesexinfantNelson Marlborough</v>
      </c>
      <c r="AS855" s="604">
        <v>2016</v>
      </c>
      <c r="AT855" s="604" t="s">
        <v>70</v>
      </c>
      <c r="AU855" s="604" t="s">
        <v>451</v>
      </c>
      <c r="AV855" s="604" t="s">
        <v>99</v>
      </c>
      <c r="AW855" s="604">
        <v>1</v>
      </c>
      <c r="AX855" s="604">
        <v>781</v>
      </c>
      <c r="AY855" s="606">
        <v>1.3</v>
      </c>
      <c r="AZ855" s="604" t="s">
        <v>437</v>
      </c>
      <c r="BY855" s="553" t="str">
        <f t="shared" si="116"/>
        <v>201437-41gestSIDS</v>
      </c>
      <c r="BZ855" s="604">
        <v>2014</v>
      </c>
      <c r="CA855" s="604" t="s">
        <v>137</v>
      </c>
      <c r="CB855" s="604" t="s">
        <v>450</v>
      </c>
      <c r="CC855" s="604">
        <v>11</v>
      </c>
      <c r="CD855" s="604" t="s">
        <v>32</v>
      </c>
    </row>
    <row r="856" spans="9:82">
      <c r="I856" s="578" t="str">
        <f t="shared" si="112"/>
        <v>2002dhbHutt ValleyFetal</v>
      </c>
      <c r="J856" s="604">
        <v>2002</v>
      </c>
      <c r="K856" s="604" t="s">
        <v>448</v>
      </c>
      <c r="L856" s="604" t="s">
        <v>97</v>
      </c>
      <c r="M856" s="604">
        <v>11</v>
      </c>
      <c r="N856" s="604">
        <v>1905</v>
      </c>
      <c r="O856" s="604">
        <v>5.8</v>
      </c>
      <c r="P856" s="604" t="s">
        <v>47</v>
      </c>
      <c r="Q856" s="499"/>
      <c r="R856" s="502" t="str">
        <f t="shared" si="113"/>
        <v>2005birthsgest28-31</v>
      </c>
      <c r="S856" s="604">
        <v>2005</v>
      </c>
      <c r="T856" s="604" t="s">
        <v>445</v>
      </c>
      <c r="U856" s="604" t="s">
        <v>450</v>
      </c>
      <c r="V856" s="604" t="s">
        <v>395</v>
      </c>
      <c r="W856" s="604">
        <v>478</v>
      </c>
      <c r="Y856" s="535" t="str">
        <f t="shared" si="114"/>
        <v>2016gestbwt&lt;28Totalfetal</v>
      </c>
      <c r="Z856" s="604">
        <v>2016</v>
      </c>
      <c r="AA856" s="604" t="s">
        <v>450</v>
      </c>
      <c r="AB856" s="604" t="s">
        <v>447</v>
      </c>
      <c r="AC856" s="604" t="s">
        <v>375</v>
      </c>
      <c r="AD856" s="604" t="s">
        <v>44</v>
      </c>
      <c r="AE856" s="604">
        <v>227</v>
      </c>
      <c r="AF856" s="604">
        <v>260</v>
      </c>
      <c r="AG856" s="604">
        <v>466.1</v>
      </c>
      <c r="AH856" s="604" t="s">
        <v>420</v>
      </c>
      <c r="AJ856" s="535" t="str">
        <f t="shared" si="111"/>
        <v>2016gestbwt&lt;28Total</v>
      </c>
      <c r="AK856" s="604">
        <v>2016</v>
      </c>
      <c r="AL856" s="604" t="s">
        <v>450</v>
      </c>
      <c r="AM856" s="604" t="s">
        <v>447</v>
      </c>
      <c r="AN856" s="604" t="s">
        <v>375</v>
      </c>
      <c r="AO856" s="604" t="s">
        <v>44</v>
      </c>
      <c r="AP856" s="604">
        <v>260</v>
      </c>
      <c r="AR856" s="538" t="str">
        <f t="shared" si="115"/>
        <v>FemalesexinfantNelson Marlborough</v>
      </c>
      <c r="AS856" s="604">
        <v>2016</v>
      </c>
      <c r="AT856" s="604" t="s">
        <v>71</v>
      </c>
      <c r="AU856" s="604" t="s">
        <v>451</v>
      </c>
      <c r="AV856" s="604" t="s">
        <v>99</v>
      </c>
      <c r="AW856" s="604">
        <v>1</v>
      </c>
      <c r="AX856" s="604">
        <v>758</v>
      </c>
      <c r="AY856" s="606">
        <v>1.3</v>
      </c>
      <c r="AZ856" s="604" t="s">
        <v>437</v>
      </c>
      <c r="BY856" s="553" t="str">
        <f t="shared" si="116"/>
        <v>201442+gestSIDS</v>
      </c>
      <c r="BZ856" s="604">
        <v>2014</v>
      </c>
      <c r="CA856" s="604" t="s">
        <v>138</v>
      </c>
      <c r="CB856" s="604" t="s">
        <v>450</v>
      </c>
      <c r="CC856" s="604">
        <v>0</v>
      </c>
      <c r="CD856" s="604" t="s">
        <v>32</v>
      </c>
    </row>
    <row r="857" spans="9:82">
      <c r="I857" s="578" t="str">
        <f t="shared" si="112"/>
        <v>2002dhbWairarapaFetal</v>
      </c>
      <c r="J857" s="604">
        <v>2002</v>
      </c>
      <c r="K857" s="604" t="s">
        <v>448</v>
      </c>
      <c r="L857" s="604" t="s">
        <v>98</v>
      </c>
      <c r="M857" s="604">
        <v>1</v>
      </c>
      <c r="N857" s="604">
        <v>463</v>
      </c>
      <c r="O857" s="604">
        <v>2.2000000000000002</v>
      </c>
      <c r="P857" s="604" t="s">
        <v>47</v>
      </c>
      <c r="Q857" s="499"/>
      <c r="R857" s="502" t="str">
        <f t="shared" si="113"/>
        <v>2005birthsgest32-36</v>
      </c>
      <c r="S857" s="604">
        <v>2005</v>
      </c>
      <c r="T857" s="604" t="s">
        <v>445</v>
      </c>
      <c r="U857" s="604" t="s">
        <v>450</v>
      </c>
      <c r="V857" s="604" t="s">
        <v>136</v>
      </c>
      <c r="W857" s="604">
        <v>3464</v>
      </c>
      <c r="Y857" s="535" t="str">
        <f t="shared" si="114"/>
        <v>2016gestbwt28-31Totalfetal</v>
      </c>
      <c r="Z857" s="604">
        <v>2016</v>
      </c>
      <c r="AA857" s="604" t="s">
        <v>450</v>
      </c>
      <c r="AB857" s="604" t="s">
        <v>447</v>
      </c>
      <c r="AC857" s="604" t="s">
        <v>395</v>
      </c>
      <c r="AD857" s="604" t="s">
        <v>44</v>
      </c>
      <c r="AE857" s="604">
        <v>38</v>
      </c>
      <c r="AF857" s="604">
        <v>417</v>
      </c>
      <c r="AG857" s="604">
        <v>83.5</v>
      </c>
      <c r="AH857" s="604" t="s">
        <v>420</v>
      </c>
      <c r="AJ857" s="535" t="str">
        <f t="shared" si="111"/>
        <v>2016gestbwt28-31Total</v>
      </c>
      <c r="AK857" s="604">
        <v>2016</v>
      </c>
      <c r="AL857" s="604" t="s">
        <v>450</v>
      </c>
      <c r="AM857" s="604" t="s">
        <v>447</v>
      </c>
      <c r="AN857" s="604" t="s">
        <v>395</v>
      </c>
      <c r="AO857" s="604" t="s">
        <v>44</v>
      </c>
      <c r="AP857" s="604">
        <v>417</v>
      </c>
      <c r="AR857" s="538" t="str">
        <f t="shared" si="115"/>
        <v>FemalesexinfantWest Coast</v>
      </c>
      <c r="AS857" s="604">
        <v>2016</v>
      </c>
      <c r="AT857" s="604" t="s">
        <v>71</v>
      </c>
      <c r="AU857" s="604" t="s">
        <v>451</v>
      </c>
      <c r="AV857" s="604" t="s">
        <v>100</v>
      </c>
      <c r="AW857" s="604">
        <v>2</v>
      </c>
      <c r="AX857" s="604">
        <v>159</v>
      </c>
      <c r="AY857" s="606">
        <v>12.6</v>
      </c>
      <c r="AZ857" s="604" t="s">
        <v>437</v>
      </c>
      <c r="BY857" s="553" t="str">
        <f t="shared" si="116"/>
        <v>2014UnknowngestSIDS</v>
      </c>
      <c r="BZ857" s="604">
        <v>2014</v>
      </c>
      <c r="CA857" s="604" t="s">
        <v>63</v>
      </c>
      <c r="CB857" s="604" t="s">
        <v>450</v>
      </c>
      <c r="CC857" s="604">
        <v>0</v>
      </c>
      <c r="CD857" s="604" t="s">
        <v>32</v>
      </c>
    </row>
    <row r="858" spans="9:82">
      <c r="I858" s="578" t="str">
        <f t="shared" si="112"/>
        <v>2002dhbNelson MarlboroughFetal</v>
      </c>
      <c r="J858" s="604">
        <v>2002</v>
      </c>
      <c r="K858" s="604" t="s">
        <v>448</v>
      </c>
      <c r="L858" s="604" t="s">
        <v>99</v>
      </c>
      <c r="M858" s="604">
        <v>11</v>
      </c>
      <c r="N858" s="604">
        <v>1453</v>
      </c>
      <c r="O858" s="604">
        <v>7.6</v>
      </c>
      <c r="P858" s="604" t="s">
        <v>47</v>
      </c>
      <c r="Q858" s="499"/>
      <c r="R858" s="502" t="str">
        <f t="shared" si="113"/>
        <v>2005birthsgest37-41</v>
      </c>
      <c r="S858" s="604">
        <v>2005</v>
      </c>
      <c r="T858" s="604" t="s">
        <v>445</v>
      </c>
      <c r="U858" s="604" t="s">
        <v>450</v>
      </c>
      <c r="V858" s="604" t="s">
        <v>137</v>
      </c>
      <c r="W858" s="604">
        <v>52647</v>
      </c>
      <c r="Y858" s="535" t="str">
        <f t="shared" si="114"/>
        <v>2016gestbwt32-36Totalfetal</v>
      </c>
      <c r="Z858" s="604">
        <v>2016</v>
      </c>
      <c r="AA858" s="604" t="s">
        <v>450</v>
      </c>
      <c r="AB858" s="604" t="s">
        <v>447</v>
      </c>
      <c r="AC858" s="604" t="s">
        <v>136</v>
      </c>
      <c r="AD858" s="604" t="s">
        <v>44</v>
      </c>
      <c r="AE858" s="604">
        <v>56</v>
      </c>
      <c r="AF858" s="604">
        <v>3814</v>
      </c>
      <c r="AG858" s="604">
        <v>14.5</v>
      </c>
      <c r="AH858" s="604" t="s">
        <v>420</v>
      </c>
      <c r="AJ858" s="535" t="str">
        <f t="shared" si="111"/>
        <v>2016gestbwt32-36Total</v>
      </c>
      <c r="AK858" s="604">
        <v>2016</v>
      </c>
      <c r="AL858" s="604" t="s">
        <v>450</v>
      </c>
      <c r="AM858" s="604" t="s">
        <v>447</v>
      </c>
      <c r="AN858" s="604" t="s">
        <v>136</v>
      </c>
      <c r="AO858" s="604" t="s">
        <v>44</v>
      </c>
      <c r="AP858" s="604">
        <v>3814</v>
      </c>
      <c r="AR858" s="538" t="str">
        <f t="shared" si="115"/>
        <v>MalesexinfantCanterbury</v>
      </c>
      <c r="AS858" s="604">
        <v>2016</v>
      </c>
      <c r="AT858" s="604" t="s">
        <v>70</v>
      </c>
      <c r="AU858" s="604" t="s">
        <v>451</v>
      </c>
      <c r="AV858" s="604" t="s">
        <v>101</v>
      </c>
      <c r="AW858" s="604">
        <v>8</v>
      </c>
      <c r="AX858" s="604">
        <v>3242</v>
      </c>
      <c r="AY858" s="606">
        <v>2.5</v>
      </c>
      <c r="AZ858" s="604" t="s">
        <v>437</v>
      </c>
      <c r="BY858" s="553" t="str">
        <f t="shared" si="116"/>
        <v>2015&lt;28gestSIDS</v>
      </c>
      <c r="BZ858" s="604">
        <v>2015</v>
      </c>
      <c r="CA858" s="604" t="s">
        <v>375</v>
      </c>
      <c r="CB858" s="604" t="s">
        <v>450</v>
      </c>
      <c r="CC858" s="604">
        <v>0</v>
      </c>
      <c r="CD858" s="604" t="s">
        <v>32</v>
      </c>
    </row>
    <row r="859" spans="9:82">
      <c r="I859" s="578" t="str">
        <f t="shared" si="112"/>
        <v>2002dhbWest CoastFetal</v>
      </c>
      <c r="J859" s="604">
        <v>2002</v>
      </c>
      <c r="K859" s="604" t="s">
        <v>448</v>
      </c>
      <c r="L859" s="604" t="s">
        <v>100</v>
      </c>
      <c r="M859" s="604">
        <v>4</v>
      </c>
      <c r="N859" s="604">
        <v>334</v>
      </c>
      <c r="O859" s="604">
        <v>12</v>
      </c>
      <c r="P859" s="604" t="s">
        <v>47</v>
      </c>
      <c r="Q859" s="499"/>
      <c r="R859" s="502" t="str">
        <f t="shared" si="113"/>
        <v>2005birthsgest42+</v>
      </c>
      <c r="S859" s="604">
        <v>2005</v>
      </c>
      <c r="T859" s="604" t="s">
        <v>445</v>
      </c>
      <c r="U859" s="604" t="s">
        <v>450</v>
      </c>
      <c r="V859" s="604" t="s">
        <v>138</v>
      </c>
      <c r="W859" s="604">
        <v>1825</v>
      </c>
      <c r="Y859" s="535" t="str">
        <f t="shared" si="114"/>
        <v>2016gestbwt37-41Totalfetal</v>
      </c>
      <c r="Z859" s="604">
        <v>2016</v>
      </c>
      <c r="AA859" s="604" t="s">
        <v>450</v>
      </c>
      <c r="AB859" s="604" t="s">
        <v>447</v>
      </c>
      <c r="AC859" s="604" t="s">
        <v>137</v>
      </c>
      <c r="AD859" s="604" t="s">
        <v>44</v>
      </c>
      <c r="AE859" s="604">
        <v>86</v>
      </c>
      <c r="AF859" s="604">
        <v>54899</v>
      </c>
      <c r="AG859" s="604">
        <v>1.6</v>
      </c>
      <c r="AH859" s="604" t="s">
        <v>420</v>
      </c>
      <c r="AJ859" s="535" t="str">
        <f t="shared" si="111"/>
        <v>2016gestbwt37-41Total</v>
      </c>
      <c r="AK859" s="604">
        <v>2016</v>
      </c>
      <c r="AL859" s="604" t="s">
        <v>450</v>
      </c>
      <c r="AM859" s="604" t="s">
        <v>447</v>
      </c>
      <c r="AN859" s="604" t="s">
        <v>137</v>
      </c>
      <c r="AO859" s="604" t="s">
        <v>44</v>
      </c>
      <c r="AP859" s="604">
        <v>54899</v>
      </c>
      <c r="AR859" s="538" t="str">
        <f t="shared" si="115"/>
        <v>FemalesexinfantCanterbury</v>
      </c>
      <c r="AS859" s="604">
        <v>2016</v>
      </c>
      <c r="AT859" s="604" t="s">
        <v>71</v>
      </c>
      <c r="AU859" s="604" t="s">
        <v>451</v>
      </c>
      <c r="AV859" s="604" t="s">
        <v>101</v>
      </c>
      <c r="AW859" s="604">
        <v>13</v>
      </c>
      <c r="AX859" s="604">
        <v>3157</v>
      </c>
      <c r="AY859" s="606">
        <v>4.0999999999999996</v>
      </c>
      <c r="AZ859" s="604" t="s">
        <v>437</v>
      </c>
      <c r="BY859" s="553" t="str">
        <f t="shared" si="116"/>
        <v>201528-31gestSIDS</v>
      </c>
      <c r="BZ859" s="604">
        <v>2015</v>
      </c>
      <c r="CA859" s="604" t="s">
        <v>395</v>
      </c>
      <c r="CB859" s="604" t="s">
        <v>450</v>
      </c>
      <c r="CC859" s="604">
        <v>0</v>
      </c>
      <c r="CD859" s="604" t="s">
        <v>32</v>
      </c>
    </row>
    <row r="860" spans="9:82">
      <c r="I860" s="578" t="str">
        <f t="shared" si="112"/>
        <v>2002dhbCanterburyFetal</v>
      </c>
      <c r="J860" s="604">
        <v>2002</v>
      </c>
      <c r="K860" s="604" t="s">
        <v>448</v>
      </c>
      <c r="L860" s="604" t="s">
        <v>101</v>
      </c>
      <c r="M860" s="604">
        <v>36</v>
      </c>
      <c r="N860" s="604">
        <v>5378</v>
      </c>
      <c r="O860" s="604">
        <v>6.7</v>
      </c>
      <c r="P860" s="604" t="s">
        <v>47</v>
      </c>
      <c r="Q860" s="499"/>
      <c r="R860" s="502" t="str">
        <f t="shared" si="113"/>
        <v>2005birthsgestUnknown</v>
      </c>
      <c r="S860" s="604">
        <v>2005</v>
      </c>
      <c r="T860" s="604" t="s">
        <v>445</v>
      </c>
      <c r="U860" s="604" t="s">
        <v>450</v>
      </c>
      <c r="V860" s="604" t="s">
        <v>63</v>
      </c>
      <c r="W860" s="604">
        <v>40</v>
      </c>
      <c r="Y860" s="535" t="str">
        <f t="shared" si="114"/>
        <v>2016gestbwt42+Totalfetal</v>
      </c>
      <c r="Z860" s="604">
        <v>2016</v>
      </c>
      <c r="AA860" s="604" t="s">
        <v>450</v>
      </c>
      <c r="AB860" s="604" t="s">
        <v>447</v>
      </c>
      <c r="AC860" s="604" t="s">
        <v>138</v>
      </c>
      <c r="AD860" s="604" t="s">
        <v>44</v>
      </c>
      <c r="AE860" s="604">
        <v>0</v>
      </c>
      <c r="AF860" s="604">
        <v>1017</v>
      </c>
      <c r="AG860" s="604">
        <v>0</v>
      </c>
      <c r="AH860" s="604" t="s">
        <v>420</v>
      </c>
      <c r="AJ860" s="575" t="str">
        <f t="shared" si="111"/>
        <v>2016gestbwt42+Total</v>
      </c>
      <c r="AK860" s="604">
        <v>2016</v>
      </c>
      <c r="AL860" s="604" t="s">
        <v>450</v>
      </c>
      <c r="AM860" s="604" t="s">
        <v>447</v>
      </c>
      <c r="AN860" s="604" t="s">
        <v>138</v>
      </c>
      <c r="AO860" s="604" t="s">
        <v>44</v>
      </c>
      <c r="AP860" s="604">
        <v>1017</v>
      </c>
      <c r="AR860" s="538" t="str">
        <f t="shared" si="115"/>
        <v>MalesexinfantSouth Canterbury</v>
      </c>
      <c r="AS860" s="604">
        <v>2016</v>
      </c>
      <c r="AT860" s="604" t="s">
        <v>70</v>
      </c>
      <c r="AU860" s="604" t="s">
        <v>451</v>
      </c>
      <c r="AV860" s="604" t="s">
        <v>102</v>
      </c>
      <c r="AW860" s="604">
        <v>2</v>
      </c>
      <c r="AX860" s="604">
        <v>355</v>
      </c>
      <c r="AY860" s="606">
        <v>5.6</v>
      </c>
      <c r="AZ860" s="604" t="s">
        <v>437</v>
      </c>
      <c r="BY860" s="553" t="str">
        <f t="shared" si="116"/>
        <v>201532-36gestSIDS</v>
      </c>
      <c r="BZ860" s="604">
        <v>2015</v>
      </c>
      <c r="CA860" s="604" t="s">
        <v>136</v>
      </c>
      <c r="CB860" s="604" t="s">
        <v>450</v>
      </c>
      <c r="CC860" s="604">
        <v>2</v>
      </c>
      <c r="CD860" s="604" t="s">
        <v>32</v>
      </c>
    </row>
    <row r="861" spans="9:82">
      <c r="I861" s="578" t="str">
        <f t="shared" si="112"/>
        <v>2002dhbSouth CanterburyFetal</v>
      </c>
      <c r="J861" s="604">
        <v>2002</v>
      </c>
      <c r="K861" s="604" t="s">
        <v>448</v>
      </c>
      <c r="L861" s="604" t="s">
        <v>102</v>
      </c>
      <c r="M861" s="604">
        <v>5</v>
      </c>
      <c r="N861" s="604">
        <v>552</v>
      </c>
      <c r="O861" s="604">
        <v>9.1</v>
      </c>
      <c r="P861" s="604" t="s">
        <v>47</v>
      </c>
      <c r="Q861" s="499"/>
      <c r="R861" s="502" t="str">
        <f t="shared" si="113"/>
        <v>2006birthsgest&lt;28</v>
      </c>
      <c r="S861" s="604">
        <v>2006</v>
      </c>
      <c r="T861" s="604" t="s">
        <v>445</v>
      </c>
      <c r="U861" s="604" t="s">
        <v>450</v>
      </c>
      <c r="V861" s="604" t="s">
        <v>375</v>
      </c>
      <c r="W861" s="604">
        <v>269</v>
      </c>
      <c r="Y861" s="535" t="str">
        <f t="shared" si="114"/>
        <v>2016gestbwtUnknownTotalfetal</v>
      </c>
      <c r="Z861" s="604">
        <v>2016</v>
      </c>
      <c r="AA861" s="604" t="s">
        <v>450</v>
      </c>
      <c r="AB861" s="604" t="s">
        <v>447</v>
      </c>
      <c r="AC861" s="604" t="s">
        <v>63</v>
      </c>
      <c r="AD861" s="604" t="s">
        <v>44</v>
      </c>
      <c r="AE861" s="604">
        <v>6</v>
      </c>
      <c r="AF861" s="604">
        <v>29</v>
      </c>
      <c r="AG861" s="604" t="s">
        <v>119</v>
      </c>
      <c r="AH861" s="604" t="s">
        <v>420</v>
      </c>
      <c r="AJ861" s="575" t="str">
        <f t="shared" si="111"/>
        <v>2016gestbwtUnknownTotal</v>
      </c>
      <c r="AK861" s="604">
        <v>2016</v>
      </c>
      <c r="AL861" s="604" t="s">
        <v>450</v>
      </c>
      <c r="AM861" s="604" t="s">
        <v>447</v>
      </c>
      <c r="AN861" s="604" t="s">
        <v>63</v>
      </c>
      <c r="AO861" s="604" t="s">
        <v>44</v>
      </c>
      <c r="AP861" s="604">
        <v>29</v>
      </c>
      <c r="AR861" s="538" t="str">
        <f t="shared" si="115"/>
        <v>FemalesexinfantSouth Canterbury</v>
      </c>
      <c r="AS861" s="604">
        <v>2016</v>
      </c>
      <c r="AT861" s="604" t="s">
        <v>71</v>
      </c>
      <c r="AU861" s="604" t="s">
        <v>451</v>
      </c>
      <c r="AV861" s="604" t="s">
        <v>102</v>
      </c>
      <c r="AW861" s="604">
        <v>1</v>
      </c>
      <c r="AX861" s="604">
        <v>286</v>
      </c>
      <c r="AY861" s="606">
        <v>3.5</v>
      </c>
      <c r="AZ861" s="604" t="s">
        <v>437</v>
      </c>
      <c r="BY861" s="553" t="str">
        <f t="shared" si="116"/>
        <v>201537-41gestSIDS</v>
      </c>
      <c r="BZ861" s="604">
        <v>2015</v>
      </c>
      <c r="CA861" s="604" t="s">
        <v>137</v>
      </c>
      <c r="CB861" s="604" t="s">
        <v>450</v>
      </c>
      <c r="CC861" s="604">
        <v>19</v>
      </c>
      <c r="CD861" s="604" t="s">
        <v>32</v>
      </c>
    </row>
    <row r="862" spans="9:82">
      <c r="I862" s="578" t="str">
        <f t="shared" si="112"/>
        <v>2002dhbSouthernFetal</v>
      </c>
      <c r="J862" s="604">
        <v>2002</v>
      </c>
      <c r="K862" s="604" t="s">
        <v>448</v>
      </c>
      <c r="L862" s="604" t="s">
        <v>103</v>
      </c>
      <c r="M862" s="604">
        <v>29</v>
      </c>
      <c r="N862" s="604">
        <v>3314</v>
      </c>
      <c r="O862" s="604">
        <v>8.8000000000000007</v>
      </c>
      <c r="P862" s="604" t="s">
        <v>47</v>
      </c>
      <c r="Q862" s="499"/>
      <c r="R862" s="502" t="str">
        <f t="shared" si="113"/>
        <v>2006birthsgest28-31</v>
      </c>
      <c r="S862" s="604">
        <v>2006</v>
      </c>
      <c r="T862" s="604" t="s">
        <v>445</v>
      </c>
      <c r="U862" s="604" t="s">
        <v>450</v>
      </c>
      <c r="V862" s="604" t="s">
        <v>395</v>
      </c>
      <c r="W862" s="604">
        <v>481</v>
      </c>
      <c r="Y862" s="535" t="str">
        <f t="shared" si="114"/>
        <v>2016sexageInd/Unk&lt;20fetal</v>
      </c>
      <c r="Z862" s="604">
        <v>2016</v>
      </c>
      <c r="AA862" s="604" t="s">
        <v>451</v>
      </c>
      <c r="AB862" s="604" t="s">
        <v>453</v>
      </c>
      <c r="AC862" s="604" t="s">
        <v>458</v>
      </c>
      <c r="AD862" s="604" t="s">
        <v>339</v>
      </c>
      <c r="AE862" s="604">
        <v>1</v>
      </c>
      <c r="AF862" s="604">
        <v>0</v>
      </c>
      <c r="AG862" s="604" t="s">
        <v>119</v>
      </c>
      <c r="AH862" s="604" t="s">
        <v>420</v>
      </c>
      <c r="AJ862" s="696" t="str">
        <f t="shared" si="111"/>
        <v/>
      </c>
      <c r="AR862" s="538" t="str">
        <f t="shared" si="115"/>
        <v>MalesexinfantSouthern</v>
      </c>
      <c r="AS862" s="604">
        <v>2016</v>
      </c>
      <c r="AT862" s="604" t="s">
        <v>70</v>
      </c>
      <c r="AU862" s="604" t="s">
        <v>451</v>
      </c>
      <c r="AV862" s="604" t="s">
        <v>103</v>
      </c>
      <c r="AW862" s="604">
        <v>4</v>
      </c>
      <c r="AX862" s="604">
        <v>1764</v>
      </c>
      <c r="AY862" s="606">
        <v>2.2999999999999998</v>
      </c>
      <c r="AZ862" s="604" t="s">
        <v>437</v>
      </c>
      <c r="BY862" s="553" t="str">
        <f t="shared" si="116"/>
        <v>201542+gestSIDS</v>
      </c>
      <c r="BZ862" s="604">
        <v>2015</v>
      </c>
      <c r="CA862" s="604" t="s">
        <v>138</v>
      </c>
      <c r="CB862" s="604" t="s">
        <v>450</v>
      </c>
      <c r="CC862" s="604">
        <v>0</v>
      </c>
      <c r="CD862" s="604" t="s">
        <v>32</v>
      </c>
    </row>
    <row r="863" spans="9:82">
      <c r="I863" s="578" t="str">
        <f t="shared" si="112"/>
        <v>2002dhbUnknownFetal</v>
      </c>
      <c r="J863" s="604">
        <v>2002</v>
      </c>
      <c r="K863" s="604" t="s">
        <v>448</v>
      </c>
      <c r="L863" s="604" t="s">
        <v>63</v>
      </c>
      <c r="M863" s="604">
        <v>0</v>
      </c>
      <c r="N863" s="604">
        <v>543</v>
      </c>
      <c r="O863" s="604" t="s">
        <v>119</v>
      </c>
      <c r="P863" s="604" t="s">
        <v>47</v>
      </c>
      <c r="Q863" s="499"/>
      <c r="R863" s="502" t="str">
        <f t="shared" si="113"/>
        <v>2006birthsgest32-36</v>
      </c>
      <c r="S863" s="604">
        <v>2006</v>
      </c>
      <c r="T863" s="604" t="s">
        <v>445</v>
      </c>
      <c r="U863" s="604" t="s">
        <v>450</v>
      </c>
      <c r="V863" s="604" t="s">
        <v>136</v>
      </c>
      <c r="W863" s="604">
        <v>3581</v>
      </c>
      <c r="Y863" s="535" t="str">
        <f t="shared" si="114"/>
        <v>2016sexageInd/Unk20-24fetal</v>
      </c>
      <c r="Z863" s="604">
        <v>2016</v>
      </c>
      <c r="AA863" s="604" t="s">
        <v>451</v>
      </c>
      <c r="AB863" s="604" t="s">
        <v>453</v>
      </c>
      <c r="AC863" s="604" t="s">
        <v>458</v>
      </c>
      <c r="AD863" s="604" t="s">
        <v>130</v>
      </c>
      <c r="AE863" s="604">
        <v>3</v>
      </c>
      <c r="AF863" s="604">
        <v>0</v>
      </c>
      <c r="AG863" s="604" t="s">
        <v>119</v>
      </c>
      <c r="AH863" s="604" t="s">
        <v>420</v>
      </c>
      <c r="AJ863" s="696" t="str">
        <f t="shared" si="111"/>
        <v/>
      </c>
      <c r="AR863" s="538" t="str">
        <f t="shared" si="115"/>
        <v>FemalesexinfantSouthern</v>
      </c>
      <c r="AS863" s="604">
        <v>2016</v>
      </c>
      <c r="AT863" s="604" t="s">
        <v>71</v>
      </c>
      <c r="AU863" s="604" t="s">
        <v>451</v>
      </c>
      <c r="AV863" s="604" t="s">
        <v>103</v>
      </c>
      <c r="AW863" s="604">
        <v>5</v>
      </c>
      <c r="AX863" s="604">
        <v>1650</v>
      </c>
      <c r="AY863" s="606">
        <v>3</v>
      </c>
      <c r="AZ863" s="604" t="s">
        <v>437</v>
      </c>
      <c r="BY863" s="553" t="str">
        <f t="shared" si="116"/>
        <v>2015UnknowngestSIDS</v>
      </c>
      <c r="BZ863" s="604">
        <v>2015</v>
      </c>
      <c r="CA863" s="604" t="s">
        <v>63</v>
      </c>
      <c r="CB863" s="604" t="s">
        <v>450</v>
      </c>
      <c r="CC863" s="604">
        <v>4</v>
      </c>
      <c r="CD863" s="604" t="s">
        <v>32</v>
      </c>
    </row>
    <row r="864" spans="9:82">
      <c r="I864" s="578" t="str">
        <f t="shared" si="112"/>
        <v>2003dhbNorthlandFetal</v>
      </c>
      <c r="J864" s="604">
        <v>2003</v>
      </c>
      <c r="K864" s="604" t="s">
        <v>448</v>
      </c>
      <c r="L864" s="604" t="s">
        <v>85</v>
      </c>
      <c r="M864" s="604">
        <v>17</v>
      </c>
      <c r="N864" s="604">
        <v>2041</v>
      </c>
      <c r="O864" s="604">
        <v>8.3000000000000007</v>
      </c>
      <c r="P864" s="604" t="s">
        <v>47</v>
      </c>
      <c r="Q864" s="499"/>
      <c r="R864" s="502" t="str">
        <f t="shared" si="113"/>
        <v>2006birthsgest37-41</v>
      </c>
      <c r="S864" s="604">
        <v>2006</v>
      </c>
      <c r="T864" s="604" t="s">
        <v>445</v>
      </c>
      <c r="U864" s="604" t="s">
        <v>450</v>
      </c>
      <c r="V864" s="604" t="s">
        <v>137</v>
      </c>
      <c r="W864" s="604">
        <v>54076</v>
      </c>
      <c r="Y864" s="535" t="str">
        <f t="shared" si="114"/>
        <v>2016sexageInd/Unk25-29fetal</v>
      </c>
      <c r="Z864" s="604">
        <v>2016</v>
      </c>
      <c r="AA864" s="604" t="s">
        <v>451</v>
      </c>
      <c r="AB864" s="604" t="s">
        <v>453</v>
      </c>
      <c r="AC864" s="604" t="s">
        <v>458</v>
      </c>
      <c r="AD864" s="604" t="s">
        <v>131</v>
      </c>
      <c r="AE864" s="604">
        <v>1</v>
      </c>
      <c r="AF864" s="604">
        <v>0</v>
      </c>
      <c r="AG864" s="604" t="s">
        <v>119</v>
      </c>
      <c r="AH864" s="604" t="s">
        <v>420</v>
      </c>
      <c r="AR864" s="538" t="str">
        <f t="shared" si="115"/>
        <v>FemalesexinfantUnknown</v>
      </c>
      <c r="AS864" s="604">
        <v>2016</v>
      </c>
      <c r="AT864" s="604" t="s">
        <v>71</v>
      </c>
      <c r="AU864" s="604" t="s">
        <v>451</v>
      </c>
      <c r="AV864" s="604" t="s">
        <v>63</v>
      </c>
      <c r="AW864" s="604">
        <v>1</v>
      </c>
      <c r="AX864" s="604">
        <v>67</v>
      </c>
      <c r="AY864" s="606" t="s">
        <v>119</v>
      </c>
      <c r="AZ864" s="604" t="s">
        <v>437</v>
      </c>
      <c r="BY864" s="553" t="str">
        <f t="shared" si="116"/>
        <v>2016&lt;28gestSIDS</v>
      </c>
      <c r="BZ864" s="604">
        <v>2016</v>
      </c>
      <c r="CA864" s="604" t="s">
        <v>375</v>
      </c>
      <c r="CB864" s="604" t="s">
        <v>450</v>
      </c>
      <c r="CC864" s="604">
        <v>0</v>
      </c>
      <c r="CD864" s="604" t="s">
        <v>32</v>
      </c>
    </row>
    <row r="865" spans="9:82">
      <c r="I865" s="578" t="str">
        <f t="shared" si="112"/>
        <v>2003dhbWaitemataFetal</v>
      </c>
      <c r="J865" s="604">
        <v>2003</v>
      </c>
      <c r="K865" s="604" t="s">
        <v>448</v>
      </c>
      <c r="L865" s="604" t="s">
        <v>86</v>
      </c>
      <c r="M865" s="604">
        <v>44</v>
      </c>
      <c r="N865" s="604">
        <v>6866</v>
      </c>
      <c r="O865" s="604">
        <v>6.4</v>
      </c>
      <c r="P865" s="604" t="s">
        <v>47</v>
      </c>
      <c r="Q865" s="499"/>
      <c r="R865" s="502" t="str">
        <f t="shared" si="113"/>
        <v>2006birthsgest42+</v>
      </c>
      <c r="S865" s="604">
        <v>2006</v>
      </c>
      <c r="T865" s="604" t="s">
        <v>445</v>
      </c>
      <c r="U865" s="604" t="s">
        <v>450</v>
      </c>
      <c r="V865" s="604" t="s">
        <v>138</v>
      </c>
      <c r="W865" s="604">
        <v>1795</v>
      </c>
      <c r="Y865" s="535" t="str">
        <f t="shared" si="114"/>
        <v>2016sexageInd/Unk30-34fetal</v>
      </c>
      <c r="Z865" s="604">
        <v>2016</v>
      </c>
      <c r="AA865" s="604" t="s">
        <v>451</v>
      </c>
      <c r="AB865" s="604" t="s">
        <v>453</v>
      </c>
      <c r="AC865" s="604" t="s">
        <v>458</v>
      </c>
      <c r="AD865" s="604" t="s">
        <v>132</v>
      </c>
      <c r="AE865" s="604">
        <v>2</v>
      </c>
      <c r="AF865" s="604">
        <v>0</v>
      </c>
      <c r="AG865" s="604" t="s">
        <v>119</v>
      </c>
      <c r="AH865" s="604" t="s">
        <v>420</v>
      </c>
      <c r="AR865" s="538" t="str">
        <f t="shared" si="115"/>
        <v>Quin 3depinfantNorthland</v>
      </c>
      <c r="AS865" s="604">
        <v>2016</v>
      </c>
      <c r="AT865" s="604" t="s">
        <v>423</v>
      </c>
      <c r="AU865" s="604" t="s">
        <v>454</v>
      </c>
      <c r="AV865" s="604" t="s">
        <v>85</v>
      </c>
      <c r="AW865" s="604">
        <v>2</v>
      </c>
      <c r="AX865" s="604">
        <v>307</v>
      </c>
      <c r="AY865" s="606">
        <v>6.5</v>
      </c>
      <c r="AZ865" s="604" t="s">
        <v>437</v>
      </c>
      <c r="BY865" s="553" t="str">
        <f t="shared" si="116"/>
        <v>201628-31gestSIDS</v>
      </c>
      <c r="BZ865" s="604">
        <v>2016</v>
      </c>
      <c r="CA865" s="604" t="s">
        <v>395</v>
      </c>
      <c r="CB865" s="604" t="s">
        <v>450</v>
      </c>
      <c r="CC865" s="604">
        <v>1</v>
      </c>
      <c r="CD865" s="604" t="s">
        <v>32</v>
      </c>
    </row>
    <row r="866" spans="9:82">
      <c r="I866" s="578" t="str">
        <f t="shared" si="112"/>
        <v>2003dhbAucklandFetal</v>
      </c>
      <c r="J866" s="604">
        <v>2003</v>
      </c>
      <c r="K866" s="604" t="s">
        <v>448</v>
      </c>
      <c r="L866" s="604" t="s">
        <v>87</v>
      </c>
      <c r="M866" s="604">
        <v>40</v>
      </c>
      <c r="N866" s="604">
        <v>6015</v>
      </c>
      <c r="O866" s="604">
        <v>6.7</v>
      </c>
      <c r="P866" s="604" t="s">
        <v>47</v>
      </c>
      <c r="Q866" s="499"/>
      <c r="R866" s="502" t="str">
        <f t="shared" si="113"/>
        <v>2006birthsgestUnknown</v>
      </c>
      <c r="S866" s="604">
        <v>2006</v>
      </c>
      <c r="T866" s="604" t="s">
        <v>445</v>
      </c>
      <c r="U866" s="604" t="s">
        <v>450</v>
      </c>
      <c r="V866" s="604" t="s">
        <v>63</v>
      </c>
      <c r="W866" s="604">
        <v>72</v>
      </c>
      <c r="Y866" s="535" t="str">
        <f t="shared" si="114"/>
        <v>2016sexageInd/Unk35-39fetal</v>
      </c>
      <c r="Z866" s="604">
        <v>2016</v>
      </c>
      <c r="AA866" s="604" t="s">
        <v>451</v>
      </c>
      <c r="AB866" s="604" t="s">
        <v>453</v>
      </c>
      <c r="AC866" s="604" t="s">
        <v>458</v>
      </c>
      <c r="AD866" s="604" t="s">
        <v>133</v>
      </c>
      <c r="AE866" s="604">
        <v>1</v>
      </c>
      <c r="AF866" s="604">
        <v>0</v>
      </c>
      <c r="AG866" s="604" t="s">
        <v>119</v>
      </c>
      <c r="AH866" s="604" t="s">
        <v>420</v>
      </c>
      <c r="AR866" s="538" t="str">
        <f t="shared" si="115"/>
        <v>Quin 4depinfantNorthland</v>
      </c>
      <c r="AS866" s="604">
        <v>2016</v>
      </c>
      <c r="AT866" s="604" t="s">
        <v>424</v>
      </c>
      <c r="AU866" s="604" t="s">
        <v>454</v>
      </c>
      <c r="AV866" s="604" t="s">
        <v>85</v>
      </c>
      <c r="AW866" s="604">
        <v>4</v>
      </c>
      <c r="AX866" s="604">
        <v>602</v>
      </c>
      <c r="AY866" s="606">
        <v>6.6</v>
      </c>
      <c r="AZ866" s="604" t="s">
        <v>437</v>
      </c>
      <c r="BY866" s="553" t="str">
        <f t="shared" si="116"/>
        <v>201632-36gestSIDS</v>
      </c>
      <c r="BZ866" s="604">
        <v>2016</v>
      </c>
      <c r="CA866" s="604" t="s">
        <v>136</v>
      </c>
      <c r="CB866" s="604" t="s">
        <v>450</v>
      </c>
      <c r="CC866" s="604">
        <v>3</v>
      </c>
      <c r="CD866" s="604" t="s">
        <v>32</v>
      </c>
    </row>
    <row r="867" spans="9:82">
      <c r="I867" s="578" t="str">
        <f t="shared" si="112"/>
        <v>2003dhbCounties ManukauFetal</v>
      </c>
      <c r="J867" s="604">
        <v>2003</v>
      </c>
      <c r="K867" s="604" t="s">
        <v>448</v>
      </c>
      <c r="L867" s="604" t="s">
        <v>88</v>
      </c>
      <c r="M867" s="604">
        <v>57</v>
      </c>
      <c r="N867" s="604">
        <v>7604</v>
      </c>
      <c r="O867" s="604">
        <v>7.5</v>
      </c>
      <c r="P867" s="604" t="s">
        <v>47</v>
      </c>
      <c r="Q867" s="499"/>
      <c r="R867" s="502" t="str">
        <f t="shared" si="113"/>
        <v>2007birthsgest&lt;28</v>
      </c>
      <c r="S867" s="604">
        <v>2007</v>
      </c>
      <c r="T867" s="604" t="s">
        <v>445</v>
      </c>
      <c r="U867" s="604" t="s">
        <v>450</v>
      </c>
      <c r="V867" s="604" t="s">
        <v>375</v>
      </c>
      <c r="W867" s="604">
        <v>311</v>
      </c>
      <c r="Y867" s="535" t="str">
        <f t="shared" si="114"/>
        <v>2016sexbwtInd/Unk&lt;500fetal</v>
      </c>
      <c r="Z867" s="604">
        <v>2016</v>
      </c>
      <c r="AA867" s="604" t="s">
        <v>451</v>
      </c>
      <c r="AB867" s="604" t="s">
        <v>447</v>
      </c>
      <c r="AC867" s="604" t="s">
        <v>458</v>
      </c>
      <c r="AD867" s="604" t="s">
        <v>427</v>
      </c>
      <c r="AE867" s="604">
        <v>7</v>
      </c>
      <c r="AF867" s="604">
        <v>0</v>
      </c>
      <c r="AG867" s="604" t="s">
        <v>119</v>
      </c>
      <c r="AH867" s="604" t="s">
        <v>420</v>
      </c>
      <c r="AR867" s="538" t="str">
        <f t="shared" si="115"/>
        <v>Quin 5depinfantNorthland</v>
      </c>
      <c r="AS867" s="604">
        <v>2016</v>
      </c>
      <c r="AT867" s="604" t="s">
        <v>425</v>
      </c>
      <c r="AU867" s="604" t="s">
        <v>454</v>
      </c>
      <c r="AV867" s="604" t="s">
        <v>85</v>
      </c>
      <c r="AW867" s="604">
        <v>6</v>
      </c>
      <c r="AX867" s="604">
        <v>1200</v>
      </c>
      <c r="AY867" s="606">
        <v>5</v>
      </c>
      <c r="AZ867" s="604" t="s">
        <v>437</v>
      </c>
      <c r="BY867" s="553" t="str">
        <f t="shared" si="116"/>
        <v>201637-41gestSIDS</v>
      </c>
      <c r="BZ867" s="604">
        <v>2016</v>
      </c>
      <c r="CA867" s="604" t="s">
        <v>137</v>
      </c>
      <c r="CB867" s="604" t="s">
        <v>450</v>
      </c>
      <c r="CC867" s="604">
        <v>18</v>
      </c>
      <c r="CD867" s="604" t="s">
        <v>32</v>
      </c>
    </row>
    <row r="868" spans="9:82">
      <c r="I868" s="578" t="str">
        <f t="shared" si="112"/>
        <v>2003dhbWaikatoFetal</v>
      </c>
      <c r="J868" s="604">
        <v>2003</v>
      </c>
      <c r="K868" s="604" t="s">
        <v>448</v>
      </c>
      <c r="L868" s="604" t="s">
        <v>89</v>
      </c>
      <c r="M868" s="604">
        <v>42</v>
      </c>
      <c r="N868" s="604">
        <v>4842</v>
      </c>
      <c r="O868" s="604">
        <v>8.6999999999999993</v>
      </c>
      <c r="P868" s="604" t="s">
        <v>47</v>
      </c>
      <c r="Q868" s="499"/>
      <c r="R868" s="502" t="str">
        <f t="shared" si="113"/>
        <v>2007birthsgest28-31</v>
      </c>
      <c r="S868" s="604">
        <v>2007</v>
      </c>
      <c r="T868" s="604" t="s">
        <v>445</v>
      </c>
      <c r="U868" s="604" t="s">
        <v>450</v>
      </c>
      <c r="V868" s="604" t="s">
        <v>395</v>
      </c>
      <c r="W868" s="604">
        <v>493</v>
      </c>
      <c r="Y868" s="535" t="str">
        <f t="shared" si="114"/>
        <v>2016sexbwtInd/UnkUnknownfetal</v>
      </c>
      <c r="Z868" s="604">
        <v>2016</v>
      </c>
      <c r="AA868" s="604" t="s">
        <v>451</v>
      </c>
      <c r="AB868" s="604" t="s">
        <v>447</v>
      </c>
      <c r="AC868" s="604" t="s">
        <v>458</v>
      </c>
      <c r="AD868" s="604" t="s">
        <v>63</v>
      </c>
      <c r="AE868" s="604">
        <v>1</v>
      </c>
      <c r="AF868" s="604">
        <v>0</v>
      </c>
      <c r="AG868" s="604" t="s">
        <v>119</v>
      </c>
      <c r="AH868" s="604" t="s">
        <v>420</v>
      </c>
      <c r="AR868" s="538" t="str">
        <f t="shared" si="115"/>
        <v>Quin 1depinfantWaitemata</v>
      </c>
      <c r="AS868" s="604">
        <v>2016</v>
      </c>
      <c r="AT868" s="604" t="s">
        <v>421</v>
      </c>
      <c r="AU868" s="604" t="s">
        <v>454</v>
      </c>
      <c r="AV868" s="604" t="s">
        <v>86</v>
      </c>
      <c r="AW868" s="604">
        <v>2</v>
      </c>
      <c r="AX868" s="604">
        <v>1735</v>
      </c>
      <c r="AY868" s="606">
        <v>1.2</v>
      </c>
      <c r="AZ868" s="604" t="s">
        <v>437</v>
      </c>
      <c r="BY868" s="553" t="str">
        <f t="shared" si="116"/>
        <v>201642+gestSIDS</v>
      </c>
      <c r="BZ868" s="604">
        <v>2016</v>
      </c>
      <c r="CA868" s="604" t="s">
        <v>138</v>
      </c>
      <c r="CB868" s="604" t="s">
        <v>450</v>
      </c>
      <c r="CC868" s="604">
        <v>0</v>
      </c>
      <c r="CD868" s="604" t="s">
        <v>32</v>
      </c>
    </row>
    <row r="869" spans="9:82">
      <c r="I869" s="578" t="str">
        <f t="shared" si="112"/>
        <v>2003dhbLakesFetal</v>
      </c>
      <c r="J869" s="604">
        <v>2003</v>
      </c>
      <c r="K869" s="604" t="s">
        <v>448</v>
      </c>
      <c r="L869" s="604" t="s">
        <v>90</v>
      </c>
      <c r="M869" s="604">
        <v>14</v>
      </c>
      <c r="N869" s="604">
        <v>1567</v>
      </c>
      <c r="O869" s="604">
        <v>8.9</v>
      </c>
      <c r="P869" s="604" t="s">
        <v>47</v>
      </c>
      <c r="Q869" s="499"/>
      <c r="R869" s="502" t="str">
        <f t="shared" si="113"/>
        <v>2007birthsgest32-36</v>
      </c>
      <c r="S869" s="604">
        <v>2007</v>
      </c>
      <c r="T869" s="604" t="s">
        <v>445</v>
      </c>
      <c r="U869" s="604" t="s">
        <v>450</v>
      </c>
      <c r="V869" s="604" t="s">
        <v>136</v>
      </c>
      <c r="W869" s="604">
        <v>3851</v>
      </c>
      <c r="Y869" s="535" t="str">
        <f t="shared" si="114"/>
        <v>2016depbwtQuin 9&lt;500fetal</v>
      </c>
      <c r="Z869" s="604">
        <v>2016</v>
      </c>
      <c r="AA869" s="604" t="s">
        <v>454</v>
      </c>
      <c r="AB869" s="604" t="s">
        <v>447</v>
      </c>
      <c r="AC869" s="604" t="s">
        <v>426</v>
      </c>
      <c r="AD869" s="604" t="s">
        <v>427</v>
      </c>
      <c r="AE869" s="604">
        <v>8</v>
      </c>
      <c r="AF869" s="604">
        <v>0</v>
      </c>
      <c r="AG869" s="604" t="s">
        <v>119</v>
      </c>
      <c r="AH869" s="604" t="s">
        <v>420</v>
      </c>
      <c r="AR869" s="538" t="str">
        <f t="shared" si="115"/>
        <v>Quin 2depinfantWaitemata</v>
      </c>
      <c r="AS869" s="604">
        <v>2016</v>
      </c>
      <c r="AT869" s="604" t="s">
        <v>422</v>
      </c>
      <c r="AU869" s="604" t="s">
        <v>454</v>
      </c>
      <c r="AV869" s="604" t="s">
        <v>86</v>
      </c>
      <c r="AW869" s="604">
        <v>4</v>
      </c>
      <c r="AX869" s="604">
        <v>1901</v>
      </c>
      <c r="AY869" s="606">
        <v>2.1</v>
      </c>
      <c r="AZ869" s="604" t="s">
        <v>437</v>
      </c>
      <c r="BY869" s="553" t="str">
        <f t="shared" si="116"/>
        <v>2016UnknowngestSIDS</v>
      </c>
      <c r="BZ869" s="604">
        <v>2016</v>
      </c>
      <c r="CA869" s="604" t="s">
        <v>63</v>
      </c>
      <c r="CB869" s="604" t="s">
        <v>450</v>
      </c>
      <c r="CC869" s="604">
        <v>1</v>
      </c>
      <c r="CD869" s="604" t="s">
        <v>32</v>
      </c>
    </row>
    <row r="870" spans="9:82">
      <c r="I870" s="578" t="str">
        <f t="shared" si="112"/>
        <v>2003dhbBay of PlentyFetal</v>
      </c>
      <c r="J870" s="604">
        <v>2003</v>
      </c>
      <c r="K870" s="604" t="s">
        <v>448</v>
      </c>
      <c r="L870" s="604" t="s">
        <v>91</v>
      </c>
      <c r="M870" s="604">
        <v>15</v>
      </c>
      <c r="N870" s="604">
        <v>2617</v>
      </c>
      <c r="O870" s="604">
        <v>5.7</v>
      </c>
      <c r="P870" s="604" t="s">
        <v>47</v>
      </c>
      <c r="Q870" s="499"/>
      <c r="R870" s="502" t="str">
        <f t="shared" si="113"/>
        <v>2007birthsgest37-41</v>
      </c>
      <c r="S870" s="604">
        <v>2007</v>
      </c>
      <c r="T870" s="604" t="s">
        <v>445</v>
      </c>
      <c r="U870" s="604" t="s">
        <v>450</v>
      </c>
      <c r="V870" s="604" t="s">
        <v>137</v>
      </c>
      <c r="W870" s="604">
        <v>58537</v>
      </c>
      <c r="Y870" s="535" t="str">
        <f t="shared" si="114"/>
        <v>2016depbwtQuin 91000-1499fetal</v>
      </c>
      <c r="Z870" s="604">
        <v>2016</v>
      </c>
      <c r="AA870" s="604" t="s">
        <v>454</v>
      </c>
      <c r="AB870" s="604" t="s">
        <v>447</v>
      </c>
      <c r="AC870" s="604" t="s">
        <v>426</v>
      </c>
      <c r="AD870" s="604" t="s">
        <v>429</v>
      </c>
      <c r="AE870" s="604">
        <v>1</v>
      </c>
      <c r="AF870" s="604">
        <v>0</v>
      </c>
      <c r="AG870" s="604" t="s">
        <v>119</v>
      </c>
      <c r="AH870" s="604" t="s">
        <v>420</v>
      </c>
      <c r="AR870" s="538" t="str">
        <f t="shared" si="115"/>
        <v>Quin 3depinfantWaitemata</v>
      </c>
      <c r="AS870" s="604">
        <v>2016</v>
      </c>
      <c r="AT870" s="604" t="s">
        <v>423</v>
      </c>
      <c r="AU870" s="604" t="s">
        <v>454</v>
      </c>
      <c r="AV870" s="604" t="s">
        <v>86</v>
      </c>
      <c r="AW870" s="604">
        <v>3</v>
      </c>
      <c r="AX870" s="604">
        <v>1819</v>
      </c>
      <c r="AY870" s="606">
        <v>1.6</v>
      </c>
      <c r="AZ870" s="604" t="s">
        <v>437</v>
      </c>
      <c r="BY870" s="553" t="str">
        <f t="shared" si="116"/>
        <v>2000MalesexSIDS</v>
      </c>
      <c r="BZ870" s="604">
        <v>2000</v>
      </c>
      <c r="CA870" s="604" t="s">
        <v>70</v>
      </c>
      <c r="CB870" s="604" t="s">
        <v>451</v>
      </c>
      <c r="CC870" s="604">
        <v>39</v>
      </c>
      <c r="CD870" s="604" t="s">
        <v>32</v>
      </c>
    </row>
    <row r="871" spans="9:82">
      <c r="I871" s="578" t="str">
        <f t="shared" si="112"/>
        <v>2003dhbTairawhitiFetal</v>
      </c>
      <c r="J871" s="604">
        <v>2003</v>
      </c>
      <c r="K871" s="604" t="s">
        <v>448</v>
      </c>
      <c r="L871" s="604" t="s">
        <v>433</v>
      </c>
      <c r="M871" s="604">
        <v>3</v>
      </c>
      <c r="N871" s="604">
        <v>706</v>
      </c>
      <c r="O871" s="604">
        <v>4.2</v>
      </c>
      <c r="P871" s="604" t="s">
        <v>47</v>
      </c>
      <c r="Q871" s="499"/>
      <c r="R871" s="502" t="str">
        <f t="shared" si="113"/>
        <v>2007birthsgest42+</v>
      </c>
      <c r="S871" s="604">
        <v>2007</v>
      </c>
      <c r="T871" s="604" t="s">
        <v>445</v>
      </c>
      <c r="U871" s="604" t="s">
        <v>450</v>
      </c>
      <c r="V871" s="604" t="s">
        <v>138</v>
      </c>
      <c r="W871" s="604">
        <v>1881</v>
      </c>
      <c r="Y871" s="535" t="str">
        <f t="shared" si="114"/>
        <v>2016gestbwt28-31&lt;500fetal</v>
      </c>
      <c r="Z871" s="604">
        <v>2016</v>
      </c>
      <c r="AA871" s="604" t="s">
        <v>450</v>
      </c>
      <c r="AB871" s="604" t="s">
        <v>447</v>
      </c>
      <c r="AC871" s="604" t="s">
        <v>395</v>
      </c>
      <c r="AD871" s="604" t="s">
        <v>427</v>
      </c>
      <c r="AE871" s="604">
        <v>7</v>
      </c>
      <c r="AF871" s="604">
        <v>0</v>
      </c>
      <c r="AG871" s="604" t="s">
        <v>119</v>
      </c>
      <c r="AH871" s="604" t="s">
        <v>420</v>
      </c>
      <c r="AR871" s="538" t="str">
        <f t="shared" si="115"/>
        <v>Quin 4depinfantWaitemata</v>
      </c>
      <c r="AS871" s="604">
        <v>2016</v>
      </c>
      <c r="AT871" s="604" t="s">
        <v>424</v>
      </c>
      <c r="AU871" s="604" t="s">
        <v>454</v>
      </c>
      <c r="AV871" s="604" t="s">
        <v>86</v>
      </c>
      <c r="AW871" s="604">
        <v>6</v>
      </c>
      <c r="AX871" s="604">
        <v>1652</v>
      </c>
      <c r="AY871" s="606">
        <v>3.6</v>
      </c>
      <c r="AZ871" s="604" t="s">
        <v>437</v>
      </c>
      <c r="BY871" s="553" t="str">
        <f t="shared" si="116"/>
        <v>2000FemalesexSIDS</v>
      </c>
      <c r="BZ871" s="604">
        <v>2000</v>
      </c>
      <c r="CA871" s="604" t="s">
        <v>71</v>
      </c>
      <c r="CB871" s="604" t="s">
        <v>451</v>
      </c>
      <c r="CC871" s="604">
        <v>24</v>
      </c>
      <c r="CD871" s="604" t="s">
        <v>32</v>
      </c>
    </row>
    <row r="872" spans="9:82">
      <c r="I872" s="578" t="str">
        <f t="shared" si="112"/>
        <v>2003dhbHawke's BayFetal</v>
      </c>
      <c r="J872" s="604">
        <v>2003</v>
      </c>
      <c r="K872" s="604" t="s">
        <v>448</v>
      </c>
      <c r="L872" s="604" t="s">
        <v>92</v>
      </c>
      <c r="M872" s="604">
        <v>8</v>
      </c>
      <c r="N872" s="604">
        <v>2086</v>
      </c>
      <c r="O872" s="604">
        <v>3.8</v>
      </c>
      <c r="P872" s="604" t="s">
        <v>47</v>
      </c>
      <c r="Q872" s="499"/>
      <c r="R872" s="502" t="str">
        <f t="shared" si="113"/>
        <v>2007birthsgestUnknown</v>
      </c>
      <c r="S872" s="604">
        <v>2007</v>
      </c>
      <c r="T872" s="604" t="s">
        <v>445</v>
      </c>
      <c r="U872" s="604" t="s">
        <v>450</v>
      </c>
      <c r="V872" s="604" t="s">
        <v>63</v>
      </c>
      <c r="W872" s="604">
        <v>48</v>
      </c>
      <c r="Y872" s="535" t="str">
        <f t="shared" si="114"/>
        <v>2016gestbwt32-36500-999fetal</v>
      </c>
      <c r="Z872" s="604">
        <v>2016</v>
      </c>
      <c r="AA872" s="604" t="s">
        <v>450</v>
      </c>
      <c r="AB872" s="604" t="s">
        <v>447</v>
      </c>
      <c r="AC872" s="604" t="s">
        <v>136</v>
      </c>
      <c r="AD872" s="604" t="s">
        <v>428</v>
      </c>
      <c r="AE872" s="604">
        <v>1</v>
      </c>
      <c r="AF872" s="604">
        <v>0</v>
      </c>
      <c r="AG872" s="604" t="s">
        <v>119</v>
      </c>
      <c r="AH872" s="604" t="s">
        <v>420</v>
      </c>
      <c r="AR872" s="538" t="str">
        <f t="shared" si="115"/>
        <v>Quin 5depinfantWaitemata</v>
      </c>
      <c r="AS872" s="604">
        <v>2016</v>
      </c>
      <c r="AT872" s="604" t="s">
        <v>425</v>
      </c>
      <c r="AU872" s="604" t="s">
        <v>454</v>
      </c>
      <c r="AV872" s="604" t="s">
        <v>86</v>
      </c>
      <c r="AW872" s="604">
        <v>3</v>
      </c>
      <c r="AX872" s="604">
        <v>944</v>
      </c>
      <c r="AY872" s="606">
        <v>3.2</v>
      </c>
      <c r="AZ872" s="604" t="s">
        <v>437</v>
      </c>
      <c r="BY872" s="553" t="str">
        <f t="shared" si="116"/>
        <v>2001MalesexSIDS</v>
      </c>
      <c r="BZ872" s="604">
        <v>2001</v>
      </c>
      <c r="CA872" s="604" t="s">
        <v>70</v>
      </c>
      <c r="CB872" s="604" t="s">
        <v>451</v>
      </c>
      <c r="CC872" s="604">
        <v>33</v>
      </c>
      <c r="CD872" s="604" t="s">
        <v>32</v>
      </c>
    </row>
    <row r="873" spans="9:82">
      <c r="I873" s="578" t="str">
        <f t="shared" si="112"/>
        <v>2003dhbTaranakiFetal</v>
      </c>
      <c r="J873" s="604">
        <v>2003</v>
      </c>
      <c r="K873" s="604" t="s">
        <v>448</v>
      </c>
      <c r="L873" s="604" t="s">
        <v>93</v>
      </c>
      <c r="M873" s="604">
        <v>7</v>
      </c>
      <c r="N873" s="604">
        <v>1385</v>
      </c>
      <c r="O873" s="604">
        <v>5.0999999999999996</v>
      </c>
      <c r="P873" s="604" t="s">
        <v>47</v>
      </c>
      <c r="Q873" s="499"/>
      <c r="R873" s="502" t="str">
        <f t="shared" si="113"/>
        <v>2008birthsgest&lt;28</v>
      </c>
      <c r="S873" s="604">
        <v>2008</v>
      </c>
      <c r="T873" s="604" t="s">
        <v>445</v>
      </c>
      <c r="U873" s="604" t="s">
        <v>450</v>
      </c>
      <c r="V873" s="604" t="s">
        <v>375</v>
      </c>
      <c r="W873" s="604">
        <v>308</v>
      </c>
      <c r="Y873" s="535" t="str">
        <f t="shared" si="114"/>
        <v>2016gestbwtUnknown1000-1499fetal</v>
      </c>
      <c r="Z873" s="604">
        <v>2016</v>
      </c>
      <c r="AA873" s="604" t="s">
        <v>450</v>
      </c>
      <c r="AB873" s="604" t="s">
        <v>447</v>
      </c>
      <c r="AC873" s="604" t="s">
        <v>63</v>
      </c>
      <c r="AD873" s="604" t="s">
        <v>429</v>
      </c>
      <c r="AE873" s="604">
        <v>1</v>
      </c>
      <c r="AF873" s="604">
        <v>0</v>
      </c>
      <c r="AG873" s="604" t="s">
        <v>119</v>
      </c>
      <c r="AH873" s="604" t="s">
        <v>420</v>
      </c>
      <c r="AR873" s="538" t="str">
        <f t="shared" si="115"/>
        <v>Quin 1depinfantAuckland</v>
      </c>
      <c r="AS873" s="604">
        <v>2016</v>
      </c>
      <c r="AT873" s="604" t="s">
        <v>421</v>
      </c>
      <c r="AU873" s="604" t="s">
        <v>454</v>
      </c>
      <c r="AV873" s="604" t="s">
        <v>87</v>
      </c>
      <c r="AW873" s="604">
        <v>1</v>
      </c>
      <c r="AX873" s="604">
        <v>903</v>
      </c>
      <c r="AY873" s="606">
        <v>1.1000000000000001</v>
      </c>
      <c r="AZ873" s="604" t="s">
        <v>437</v>
      </c>
      <c r="BY873" s="553" t="str">
        <f t="shared" si="116"/>
        <v>2001FemalesexSIDS</v>
      </c>
      <c r="BZ873" s="604">
        <v>2001</v>
      </c>
      <c r="CA873" s="604" t="s">
        <v>71</v>
      </c>
      <c r="CB873" s="604" t="s">
        <v>451</v>
      </c>
      <c r="CC873" s="604">
        <v>16</v>
      </c>
      <c r="CD873" s="604" t="s">
        <v>32</v>
      </c>
    </row>
    <row r="874" spans="9:82">
      <c r="I874" s="578" t="str">
        <f t="shared" si="112"/>
        <v>2003dhbMidCentralFetal</v>
      </c>
      <c r="J874" s="604">
        <v>2003</v>
      </c>
      <c r="K874" s="604" t="s">
        <v>448</v>
      </c>
      <c r="L874" s="604" t="s">
        <v>94</v>
      </c>
      <c r="M874" s="604">
        <v>14</v>
      </c>
      <c r="N874" s="604">
        <v>2046</v>
      </c>
      <c r="O874" s="604">
        <v>6.8</v>
      </c>
      <c r="P874" s="604" t="s">
        <v>47</v>
      </c>
      <c r="Q874" s="499"/>
      <c r="R874" s="502" t="str">
        <f t="shared" si="113"/>
        <v>2008birthsgest28-31</v>
      </c>
      <c r="S874" s="604">
        <v>2008</v>
      </c>
      <c r="T874" s="604" t="s">
        <v>445</v>
      </c>
      <c r="U874" s="604" t="s">
        <v>450</v>
      </c>
      <c r="V874" s="604" t="s">
        <v>395</v>
      </c>
      <c r="W874" s="604">
        <v>531</v>
      </c>
      <c r="Y874" s="535" t="str">
        <f t="shared" si="114"/>
        <v>2016sexdepInd/UnkQuin 2fetal</v>
      </c>
      <c r="Z874" s="604">
        <v>2016</v>
      </c>
      <c r="AA874" s="604" t="s">
        <v>451</v>
      </c>
      <c r="AB874" s="604" t="s">
        <v>454</v>
      </c>
      <c r="AC874" s="604" t="s">
        <v>458</v>
      </c>
      <c r="AD874" s="604" t="s">
        <v>422</v>
      </c>
      <c r="AE874" s="604">
        <v>1</v>
      </c>
      <c r="AF874" s="604">
        <v>0</v>
      </c>
      <c r="AG874" s="604" t="s">
        <v>119</v>
      </c>
      <c r="AH874" s="604" t="s">
        <v>420</v>
      </c>
      <c r="AR874" s="538" t="str">
        <f t="shared" si="115"/>
        <v>Quin 2depinfantAuckland</v>
      </c>
      <c r="AS874" s="604">
        <v>2016</v>
      </c>
      <c r="AT874" s="604" t="s">
        <v>422</v>
      </c>
      <c r="AU874" s="604" t="s">
        <v>454</v>
      </c>
      <c r="AV874" s="604" t="s">
        <v>87</v>
      </c>
      <c r="AW874" s="604">
        <v>2</v>
      </c>
      <c r="AX874" s="604">
        <v>1114</v>
      </c>
      <c r="AY874" s="606">
        <v>1.8</v>
      </c>
      <c r="AZ874" s="604" t="s">
        <v>437</v>
      </c>
      <c r="BY874" s="553" t="str">
        <f t="shared" si="116"/>
        <v>2001Ind/UnksexSIDS</v>
      </c>
      <c r="BZ874" s="604">
        <v>2001</v>
      </c>
      <c r="CA874" s="604" t="s">
        <v>458</v>
      </c>
      <c r="CB874" s="604" t="s">
        <v>451</v>
      </c>
      <c r="CC874" s="604">
        <v>0</v>
      </c>
      <c r="CD874" s="604" t="s">
        <v>32</v>
      </c>
    </row>
    <row r="875" spans="9:82">
      <c r="I875" s="578" t="str">
        <f t="shared" si="112"/>
        <v>2003dhbWhanganuiFetal</v>
      </c>
      <c r="J875" s="604">
        <v>2003</v>
      </c>
      <c r="K875" s="604" t="s">
        <v>448</v>
      </c>
      <c r="L875" s="604" t="s">
        <v>95</v>
      </c>
      <c r="M875" s="604">
        <v>7</v>
      </c>
      <c r="N875" s="604">
        <v>850</v>
      </c>
      <c r="O875" s="604">
        <v>8.1999999999999993</v>
      </c>
      <c r="P875" s="604" t="s">
        <v>47</v>
      </c>
      <c r="Q875" s="499"/>
      <c r="R875" s="502" t="str">
        <f t="shared" si="113"/>
        <v>2008birthsgest32-36</v>
      </c>
      <c r="S875" s="604">
        <v>2008</v>
      </c>
      <c r="T875" s="604" t="s">
        <v>445</v>
      </c>
      <c r="U875" s="604" t="s">
        <v>450</v>
      </c>
      <c r="V875" s="604" t="s">
        <v>136</v>
      </c>
      <c r="W875" s="604">
        <v>4009</v>
      </c>
      <c r="Y875" s="535" t="str">
        <f t="shared" si="114"/>
        <v>2016sexdepInd/UnkQuin 4fetal</v>
      </c>
      <c r="Z875" s="604">
        <v>2016</v>
      </c>
      <c r="AA875" s="604" t="s">
        <v>451</v>
      </c>
      <c r="AB875" s="604" t="s">
        <v>454</v>
      </c>
      <c r="AC875" s="604" t="s">
        <v>458</v>
      </c>
      <c r="AD875" s="604" t="s">
        <v>424</v>
      </c>
      <c r="AE875" s="604">
        <v>1</v>
      </c>
      <c r="AF875" s="604">
        <v>0</v>
      </c>
      <c r="AG875" s="604" t="s">
        <v>119</v>
      </c>
      <c r="AH875" s="604" t="s">
        <v>420</v>
      </c>
      <c r="AR875" s="538" t="str">
        <f t="shared" si="115"/>
        <v>Quin 3depinfantAuckland</v>
      </c>
      <c r="AS875" s="604">
        <v>2016</v>
      </c>
      <c r="AT875" s="604" t="s">
        <v>423</v>
      </c>
      <c r="AU875" s="604" t="s">
        <v>454</v>
      </c>
      <c r="AV875" s="604" t="s">
        <v>87</v>
      </c>
      <c r="AW875" s="604">
        <v>3</v>
      </c>
      <c r="AX875" s="604">
        <v>1256</v>
      </c>
      <c r="AY875" s="606">
        <v>2.4</v>
      </c>
      <c r="AZ875" s="604" t="s">
        <v>437</v>
      </c>
      <c r="BY875" s="553" t="str">
        <f t="shared" si="116"/>
        <v>2002MalesexSIDS</v>
      </c>
      <c r="BZ875" s="604">
        <v>2002</v>
      </c>
      <c r="CA875" s="604" t="s">
        <v>70</v>
      </c>
      <c r="CB875" s="604" t="s">
        <v>451</v>
      </c>
      <c r="CC875" s="604">
        <v>24</v>
      </c>
      <c r="CD875" s="604" t="s">
        <v>32</v>
      </c>
    </row>
    <row r="876" spans="9:82">
      <c r="I876" s="578" t="str">
        <f t="shared" si="112"/>
        <v>2003dhbCapital &amp; CoastFetal</v>
      </c>
      <c r="J876" s="604">
        <v>2003</v>
      </c>
      <c r="K876" s="604" t="s">
        <v>448</v>
      </c>
      <c r="L876" s="604" t="s">
        <v>96</v>
      </c>
      <c r="M876" s="604">
        <v>26</v>
      </c>
      <c r="N876" s="604">
        <v>3831</v>
      </c>
      <c r="O876" s="604">
        <v>6.8</v>
      </c>
      <c r="P876" s="604" t="s">
        <v>47</v>
      </c>
      <c r="Q876" s="499"/>
      <c r="R876" s="502" t="str">
        <f t="shared" si="113"/>
        <v>2008birthsgest37-41</v>
      </c>
      <c r="S876" s="604">
        <v>2008</v>
      </c>
      <c r="T876" s="604" t="s">
        <v>445</v>
      </c>
      <c r="U876" s="604" t="s">
        <v>450</v>
      </c>
      <c r="V876" s="604" t="s">
        <v>137</v>
      </c>
      <c r="W876" s="604">
        <v>58459</v>
      </c>
      <c r="Y876" s="535" t="str">
        <f t="shared" si="114"/>
        <v>2016sexdepInd/UnkQuin 5fetal</v>
      </c>
      <c r="Z876" s="604">
        <v>2016</v>
      </c>
      <c r="AA876" s="604" t="s">
        <v>451</v>
      </c>
      <c r="AB876" s="604" t="s">
        <v>454</v>
      </c>
      <c r="AC876" s="604" t="s">
        <v>458</v>
      </c>
      <c r="AD876" s="604" t="s">
        <v>425</v>
      </c>
      <c r="AE876" s="604">
        <v>5</v>
      </c>
      <c r="AF876" s="604">
        <v>0</v>
      </c>
      <c r="AG876" s="604" t="s">
        <v>119</v>
      </c>
      <c r="AH876" s="604" t="s">
        <v>420</v>
      </c>
      <c r="AR876" s="538" t="str">
        <f t="shared" si="115"/>
        <v>Quin 4depinfantAuckland</v>
      </c>
      <c r="AS876" s="604">
        <v>2016</v>
      </c>
      <c r="AT876" s="604" t="s">
        <v>424</v>
      </c>
      <c r="AU876" s="604" t="s">
        <v>454</v>
      </c>
      <c r="AV876" s="604" t="s">
        <v>87</v>
      </c>
      <c r="AW876" s="604">
        <v>3</v>
      </c>
      <c r="AX876" s="604">
        <v>1001</v>
      </c>
      <c r="AY876" s="606">
        <v>3</v>
      </c>
      <c r="AZ876" s="604" t="s">
        <v>437</v>
      </c>
      <c r="BY876" s="553" t="str">
        <f t="shared" si="116"/>
        <v>2002FemalesexSIDS</v>
      </c>
      <c r="BZ876" s="604">
        <v>2002</v>
      </c>
      <c r="CA876" s="604" t="s">
        <v>71</v>
      </c>
      <c r="CB876" s="604" t="s">
        <v>451</v>
      </c>
      <c r="CC876" s="604">
        <v>20</v>
      </c>
      <c r="CD876" s="604" t="s">
        <v>32</v>
      </c>
    </row>
    <row r="877" spans="9:82">
      <c r="I877" s="578" t="str">
        <f t="shared" si="112"/>
        <v>2003dhbHutt ValleyFetal</v>
      </c>
      <c r="J877" s="604">
        <v>2003</v>
      </c>
      <c r="K877" s="604" t="s">
        <v>448</v>
      </c>
      <c r="L877" s="604" t="s">
        <v>97</v>
      </c>
      <c r="M877" s="604">
        <v>13</v>
      </c>
      <c r="N877" s="604">
        <v>2065</v>
      </c>
      <c r="O877" s="604">
        <v>6.3</v>
      </c>
      <c r="P877" s="604" t="s">
        <v>47</v>
      </c>
      <c r="Q877" s="499"/>
      <c r="R877" s="502" t="str">
        <f t="shared" si="113"/>
        <v>2008birthsgest42+</v>
      </c>
      <c r="S877" s="604">
        <v>2008</v>
      </c>
      <c r="T877" s="604" t="s">
        <v>445</v>
      </c>
      <c r="U877" s="604" t="s">
        <v>450</v>
      </c>
      <c r="V877" s="604" t="s">
        <v>138</v>
      </c>
      <c r="W877" s="604">
        <v>1981</v>
      </c>
      <c r="Y877" s="535" t="str">
        <f t="shared" si="114"/>
        <v>2016sexdepInd/UnkQuin 9fetal</v>
      </c>
      <c r="Z877" s="604">
        <v>2016</v>
      </c>
      <c r="AA877" s="604" t="s">
        <v>451</v>
      </c>
      <c r="AB877" s="604" t="s">
        <v>454</v>
      </c>
      <c r="AC877" s="604" t="s">
        <v>458</v>
      </c>
      <c r="AD877" s="604" t="s">
        <v>426</v>
      </c>
      <c r="AE877" s="604">
        <v>1</v>
      </c>
      <c r="AF877" s="604">
        <v>0</v>
      </c>
      <c r="AG877" s="604" t="s">
        <v>119</v>
      </c>
      <c r="AH877" s="604" t="s">
        <v>420</v>
      </c>
      <c r="AR877" s="538" t="str">
        <f t="shared" si="115"/>
        <v>Quin 5depinfantAuckland</v>
      </c>
      <c r="AS877" s="604">
        <v>2016</v>
      </c>
      <c r="AT877" s="604" t="s">
        <v>425</v>
      </c>
      <c r="AU877" s="604" t="s">
        <v>454</v>
      </c>
      <c r="AV877" s="604" t="s">
        <v>87</v>
      </c>
      <c r="AW877" s="604">
        <v>9</v>
      </c>
      <c r="AX877" s="604">
        <v>1630</v>
      </c>
      <c r="AY877" s="606">
        <v>5.5</v>
      </c>
      <c r="AZ877" s="604" t="s">
        <v>437</v>
      </c>
      <c r="BY877" s="553" t="str">
        <f t="shared" si="116"/>
        <v>2002Ind/UnksexSIDS</v>
      </c>
      <c r="BZ877" s="604">
        <v>2002</v>
      </c>
      <c r="CA877" s="604" t="s">
        <v>458</v>
      </c>
      <c r="CB877" s="604" t="s">
        <v>451</v>
      </c>
      <c r="CC877" s="604">
        <v>0</v>
      </c>
      <c r="CD877" s="604" t="s">
        <v>32</v>
      </c>
    </row>
    <row r="878" spans="9:82">
      <c r="I878" s="578" t="str">
        <f t="shared" si="112"/>
        <v>2003dhbWairarapaFetal</v>
      </c>
      <c r="J878" s="604">
        <v>2003</v>
      </c>
      <c r="K878" s="604" t="s">
        <v>448</v>
      </c>
      <c r="L878" s="604" t="s">
        <v>98</v>
      </c>
      <c r="M878" s="604">
        <v>3</v>
      </c>
      <c r="N878" s="604">
        <v>438</v>
      </c>
      <c r="O878" s="604">
        <v>6.8</v>
      </c>
      <c r="P878" s="604" t="s">
        <v>47</v>
      </c>
      <c r="Q878" s="499"/>
      <c r="R878" s="502" t="str">
        <f t="shared" si="113"/>
        <v>2008birthsgestUnknown</v>
      </c>
      <c r="S878" s="604">
        <v>2008</v>
      </c>
      <c r="T878" s="604" t="s">
        <v>445</v>
      </c>
      <c r="U878" s="604" t="s">
        <v>450</v>
      </c>
      <c r="V878" s="604" t="s">
        <v>63</v>
      </c>
      <c r="W878" s="604">
        <v>45</v>
      </c>
      <c r="Y878" s="535" t="str">
        <f t="shared" si="114"/>
        <v>2016gestdep28-31Quin 9fetal</v>
      </c>
      <c r="Z878" s="604">
        <v>2016</v>
      </c>
      <c r="AA878" s="604" t="s">
        <v>450</v>
      </c>
      <c r="AB878" s="604" t="s">
        <v>454</v>
      </c>
      <c r="AC878" s="604" t="s">
        <v>395</v>
      </c>
      <c r="AD878" s="604" t="s">
        <v>426</v>
      </c>
      <c r="AE878" s="604">
        <v>3</v>
      </c>
      <c r="AF878" s="604">
        <v>0</v>
      </c>
      <c r="AG878" s="604" t="s">
        <v>119</v>
      </c>
      <c r="AH878" s="604" t="s">
        <v>420</v>
      </c>
      <c r="AR878" s="538" t="str">
        <f t="shared" si="115"/>
        <v>Quin 1depinfantCounties Manukau</v>
      </c>
      <c r="AS878" s="604">
        <v>2016</v>
      </c>
      <c r="AT878" s="604" t="s">
        <v>421</v>
      </c>
      <c r="AU878" s="604" t="s">
        <v>454</v>
      </c>
      <c r="AV878" s="604" t="s">
        <v>88</v>
      </c>
      <c r="AW878" s="604">
        <v>1</v>
      </c>
      <c r="AX878" s="604">
        <v>756</v>
      </c>
      <c r="AY878" s="606">
        <v>1.3</v>
      </c>
      <c r="AZ878" s="604" t="s">
        <v>437</v>
      </c>
      <c r="BY878" s="553" t="str">
        <f t="shared" si="116"/>
        <v>2003MalesexSIDS</v>
      </c>
      <c r="BZ878" s="604">
        <v>2003</v>
      </c>
      <c r="CA878" s="604" t="s">
        <v>70</v>
      </c>
      <c r="CB878" s="604" t="s">
        <v>451</v>
      </c>
      <c r="CC878" s="604">
        <v>34</v>
      </c>
      <c r="CD878" s="604" t="s">
        <v>32</v>
      </c>
    </row>
    <row r="879" spans="9:82">
      <c r="I879" s="578" t="str">
        <f t="shared" si="112"/>
        <v>2003dhbNelson MarlboroughFetal</v>
      </c>
      <c r="J879" s="604">
        <v>2003</v>
      </c>
      <c r="K879" s="604" t="s">
        <v>448</v>
      </c>
      <c r="L879" s="604" t="s">
        <v>99</v>
      </c>
      <c r="M879" s="604">
        <v>7</v>
      </c>
      <c r="N879" s="604">
        <v>1530</v>
      </c>
      <c r="O879" s="604">
        <v>4.5999999999999996</v>
      </c>
      <c r="P879" s="604" t="s">
        <v>47</v>
      </c>
      <c r="Q879" s="499"/>
      <c r="R879" s="502" t="str">
        <f t="shared" si="113"/>
        <v>2009birthsgest&lt;28</v>
      </c>
      <c r="S879" s="604">
        <v>2009</v>
      </c>
      <c r="T879" s="604" t="s">
        <v>445</v>
      </c>
      <c r="U879" s="604" t="s">
        <v>450</v>
      </c>
      <c r="V879" s="604" t="s">
        <v>375</v>
      </c>
      <c r="W879" s="604">
        <v>279</v>
      </c>
      <c r="Y879" s="535" t="str">
        <f t="shared" si="114"/>
        <v>2016bwtdep&lt;500Quin 9fetal</v>
      </c>
      <c r="Z879" s="604">
        <v>2016</v>
      </c>
      <c r="AA879" s="604" t="s">
        <v>447</v>
      </c>
      <c r="AB879" s="604" t="s">
        <v>454</v>
      </c>
      <c r="AC879" s="604" t="s">
        <v>427</v>
      </c>
      <c r="AD879" s="604" t="s">
        <v>426</v>
      </c>
      <c r="AE879" s="604">
        <v>8</v>
      </c>
      <c r="AF879" s="604">
        <v>0</v>
      </c>
      <c r="AG879" s="604" t="s">
        <v>119</v>
      </c>
      <c r="AH879" s="604" t="s">
        <v>420</v>
      </c>
      <c r="AR879" s="538" t="str">
        <f t="shared" si="115"/>
        <v>Quin 2depinfantCounties Manukau</v>
      </c>
      <c r="AS879" s="604">
        <v>2016</v>
      </c>
      <c r="AT879" s="604" t="s">
        <v>422</v>
      </c>
      <c r="AU879" s="604" t="s">
        <v>454</v>
      </c>
      <c r="AV879" s="604" t="s">
        <v>88</v>
      </c>
      <c r="AW879" s="604">
        <v>2</v>
      </c>
      <c r="AX879" s="604">
        <v>1165</v>
      </c>
      <c r="AY879" s="606">
        <v>1.7</v>
      </c>
      <c r="AZ879" s="604" t="s">
        <v>437</v>
      </c>
      <c r="BY879" s="553" t="str">
        <f t="shared" si="116"/>
        <v>2003FemalesexSIDS</v>
      </c>
      <c r="BZ879" s="604">
        <v>2003</v>
      </c>
      <c r="CA879" s="604" t="s">
        <v>71</v>
      </c>
      <c r="CB879" s="604" t="s">
        <v>451</v>
      </c>
      <c r="CC879" s="604">
        <v>15</v>
      </c>
      <c r="CD879" s="604" t="s">
        <v>32</v>
      </c>
    </row>
    <row r="880" spans="9:82">
      <c r="I880" s="578" t="str">
        <f t="shared" si="112"/>
        <v>2003dhbWest CoastFetal</v>
      </c>
      <c r="J880" s="604">
        <v>2003</v>
      </c>
      <c r="K880" s="604" t="s">
        <v>448</v>
      </c>
      <c r="L880" s="604" t="s">
        <v>100</v>
      </c>
      <c r="M880" s="604">
        <v>4</v>
      </c>
      <c r="N880" s="604">
        <v>338</v>
      </c>
      <c r="O880" s="604">
        <v>11.8</v>
      </c>
      <c r="P880" s="604" t="s">
        <v>47</v>
      </c>
      <c r="Q880" s="499"/>
      <c r="R880" s="502" t="str">
        <f t="shared" si="113"/>
        <v>2009birthsgest28-31</v>
      </c>
      <c r="S880" s="604">
        <v>2009</v>
      </c>
      <c r="T880" s="604" t="s">
        <v>445</v>
      </c>
      <c r="U880" s="604" t="s">
        <v>450</v>
      </c>
      <c r="V880" s="604" t="s">
        <v>395</v>
      </c>
      <c r="W880" s="604">
        <v>495</v>
      </c>
      <c r="Y880" s="535" t="str">
        <f t="shared" si="114"/>
        <v>2016bwtdep1000-1499Quin 9fetal</v>
      </c>
      <c r="Z880" s="604">
        <v>2016</v>
      </c>
      <c r="AA880" s="604" t="s">
        <v>447</v>
      </c>
      <c r="AB880" s="604" t="s">
        <v>454</v>
      </c>
      <c r="AC880" s="604" t="s">
        <v>429</v>
      </c>
      <c r="AD880" s="604" t="s">
        <v>426</v>
      </c>
      <c r="AE880" s="604">
        <v>1</v>
      </c>
      <c r="AF880" s="604">
        <v>0</v>
      </c>
      <c r="AG880" s="604" t="s">
        <v>119</v>
      </c>
      <c r="AH880" s="604" t="s">
        <v>420</v>
      </c>
      <c r="AR880" s="538" t="str">
        <f t="shared" si="115"/>
        <v>Quin 3depinfantCounties Manukau</v>
      </c>
      <c r="AS880" s="604">
        <v>2016</v>
      </c>
      <c r="AT880" s="604" t="s">
        <v>423</v>
      </c>
      <c r="AU880" s="604" t="s">
        <v>454</v>
      </c>
      <c r="AV880" s="604" t="s">
        <v>88</v>
      </c>
      <c r="AW880" s="604">
        <v>2</v>
      </c>
      <c r="AX880" s="604">
        <v>792</v>
      </c>
      <c r="AY880" s="606">
        <v>2.5</v>
      </c>
      <c r="AZ880" s="604" t="s">
        <v>437</v>
      </c>
      <c r="BY880" s="553" t="str">
        <f t="shared" si="116"/>
        <v>2003Ind/UnksexSIDS</v>
      </c>
      <c r="BZ880" s="604">
        <v>2003</v>
      </c>
      <c r="CA880" s="604" t="s">
        <v>458</v>
      </c>
      <c r="CB880" s="604" t="s">
        <v>451</v>
      </c>
      <c r="CC880" s="604">
        <v>0</v>
      </c>
      <c r="CD880" s="604" t="s">
        <v>32</v>
      </c>
    </row>
    <row r="881" spans="9:82">
      <c r="I881" s="578" t="str">
        <f t="shared" si="112"/>
        <v>2003dhbCanterburyFetal</v>
      </c>
      <c r="J881" s="604">
        <v>2003</v>
      </c>
      <c r="K881" s="604" t="s">
        <v>448</v>
      </c>
      <c r="L881" s="604" t="s">
        <v>101</v>
      </c>
      <c r="M881" s="604">
        <v>46</v>
      </c>
      <c r="N881" s="604">
        <v>5711</v>
      </c>
      <c r="O881" s="604">
        <v>8.1</v>
      </c>
      <c r="P881" s="604" t="s">
        <v>47</v>
      </c>
      <c r="Q881" s="499"/>
      <c r="R881" s="502" t="str">
        <f t="shared" si="113"/>
        <v>2009birthsgest32-36</v>
      </c>
      <c r="S881" s="604">
        <v>2009</v>
      </c>
      <c r="T881" s="604" t="s">
        <v>445</v>
      </c>
      <c r="U881" s="604" t="s">
        <v>450</v>
      </c>
      <c r="V881" s="604" t="s">
        <v>136</v>
      </c>
      <c r="W881" s="604">
        <v>3878</v>
      </c>
      <c r="Y881" s="535" t="str">
        <f t="shared" si="114"/>
        <v>2016sexethInd/UnkEuropean or Otherfetal</v>
      </c>
      <c r="Z881" s="604">
        <v>2016</v>
      </c>
      <c r="AA881" s="604" t="s">
        <v>451</v>
      </c>
      <c r="AB881" s="604" t="s">
        <v>449</v>
      </c>
      <c r="AC881" s="604" t="s">
        <v>458</v>
      </c>
      <c r="AD881" s="604" t="s">
        <v>356</v>
      </c>
      <c r="AE881" s="604">
        <v>1</v>
      </c>
      <c r="AF881" s="604">
        <v>0</v>
      </c>
      <c r="AG881" s="604" t="s">
        <v>119</v>
      </c>
      <c r="AH881" s="604" t="s">
        <v>420</v>
      </c>
      <c r="AR881" s="538" t="str">
        <f t="shared" si="115"/>
        <v>Quin 4depinfantCounties Manukau</v>
      </c>
      <c r="AS881" s="604">
        <v>2016</v>
      </c>
      <c r="AT881" s="604" t="s">
        <v>424</v>
      </c>
      <c r="AU881" s="604" t="s">
        <v>454</v>
      </c>
      <c r="AV881" s="604" t="s">
        <v>88</v>
      </c>
      <c r="AW881" s="604">
        <v>6</v>
      </c>
      <c r="AX881" s="604">
        <v>1046</v>
      </c>
      <c r="AY881" s="606">
        <v>5.7</v>
      </c>
      <c r="AZ881" s="604" t="s">
        <v>437</v>
      </c>
      <c r="BY881" s="553" t="str">
        <f t="shared" si="116"/>
        <v>2004MalesexSIDS</v>
      </c>
      <c r="BZ881" s="604">
        <v>2004</v>
      </c>
      <c r="CA881" s="604" t="s">
        <v>70</v>
      </c>
      <c r="CB881" s="604" t="s">
        <v>451</v>
      </c>
      <c r="CC881" s="604">
        <v>24</v>
      </c>
      <c r="CD881" s="604" t="s">
        <v>32</v>
      </c>
    </row>
    <row r="882" spans="9:82">
      <c r="I882" s="578" t="str">
        <f t="shared" si="112"/>
        <v>2003dhbSouth CanterburyFetal</v>
      </c>
      <c r="J882" s="604">
        <v>2003</v>
      </c>
      <c r="K882" s="604" t="s">
        <v>448</v>
      </c>
      <c r="L882" s="604" t="s">
        <v>102</v>
      </c>
      <c r="M882" s="604">
        <v>2</v>
      </c>
      <c r="N882" s="604">
        <v>594</v>
      </c>
      <c r="O882" s="604">
        <v>3.4</v>
      </c>
      <c r="P882" s="604" t="s">
        <v>47</v>
      </c>
      <c r="Q882" s="499"/>
      <c r="R882" s="502" t="str">
        <f t="shared" si="113"/>
        <v>2009birthsgest37-41</v>
      </c>
      <c r="S882" s="604">
        <v>2009</v>
      </c>
      <c r="T882" s="604" t="s">
        <v>445</v>
      </c>
      <c r="U882" s="604" t="s">
        <v>450</v>
      </c>
      <c r="V882" s="604" t="s">
        <v>137</v>
      </c>
      <c r="W882" s="604">
        <v>56864</v>
      </c>
      <c r="Y882" s="535" t="str">
        <f t="shared" si="114"/>
        <v>2016sexethInd/UnkMaorifetal</v>
      </c>
      <c r="Z882" s="604">
        <v>2016</v>
      </c>
      <c r="AA882" s="604" t="s">
        <v>451</v>
      </c>
      <c r="AB882" s="604" t="s">
        <v>449</v>
      </c>
      <c r="AC882" s="604" t="s">
        <v>458</v>
      </c>
      <c r="AD882" s="604" t="s">
        <v>129</v>
      </c>
      <c r="AE882" s="604">
        <v>5</v>
      </c>
      <c r="AF882" s="604">
        <v>0</v>
      </c>
      <c r="AG882" s="604" t="s">
        <v>119</v>
      </c>
      <c r="AH882" s="604" t="s">
        <v>420</v>
      </c>
      <c r="AR882" s="538" t="str">
        <f t="shared" si="115"/>
        <v>Quin 5depinfantCounties Manukau</v>
      </c>
      <c r="AS882" s="604">
        <v>2016</v>
      </c>
      <c r="AT882" s="604" t="s">
        <v>425</v>
      </c>
      <c r="AU882" s="604" t="s">
        <v>454</v>
      </c>
      <c r="AV882" s="604" t="s">
        <v>88</v>
      </c>
      <c r="AW882" s="604">
        <v>46</v>
      </c>
      <c r="AX882" s="604">
        <v>4616</v>
      </c>
      <c r="AY882" s="606">
        <v>10</v>
      </c>
      <c r="AZ882" s="604" t="s">
        <v>437</v>
      </c>
      <c r="BY882" s="553" t="str">
        <f t="shared" si="116"/>
        <v>2004FemalesexSIDS</v>
      </c>
      <c r="BZ882" s="604">
        <v>2004</v>
      </c>
      <c r="CA882" s="604" t="s">
        <v>71</v>
      </c>
      <c r="CB882" s="604" t="s">
        <v>451</v>
      </c>
      <c r="CC882" s="604">
        <v>21</v>
      </c>
      <c r="CD882" s="604" t="s">
        <v>32</v>
      </c>
    </row>
    <row r="883" spans="9:82">
      <c r="I883" s="578" t="str">
        <f t="shared" si="112"/>
        <v>2003dhbSouthernFetal</v>
      </c>
      <c r="J883" s="604">
        <v>2003</v>
      </c>
      <c r="K883" s="604" t="s">
        <v>448</v>
      </c>
      <c r="L883" s="604" t="s">
        <v>103</v>
      </c>
      <c r="M883" s="604">
        <v>24</v>
      </c>
      <c r="N883" s="604">
        <v>3314</v>
      </c>
      <c r="O883" s="604">
        <v>7.2</v>
      </c>
      <c r="P883" s="604" t="s">
        <v>47</v>
      </c>
      <c r="Q883" s="499"/>
      <c r="R883" s="502" t="str">
        <f t="shared" si="113"/>
        <v>2009birthsgest42+</v>
      </c>
      <c r="S883" s="604">
        <v>2009</v>
      </c>
      <c r="T883" s="604" t="s">
        <v>445</v>
      </c>
      <c r="U883" s="604" t="s">
        <v>450</v>
      </c>
      <c r="V883" s="604" t="s">
        <v>138</v>
      </c>
      <c r="W883" s="604">
        <v>1715</v>
      </c>
      <c r="Y883" s="535" t="str">
        <f t="shared" si="114"/>
        <v>2016sexethInd/UnkPacific peoplesfetal</v>
      </c>
      <c r="Z883" s="604">
        <v>2016</v>
      </c>
      <c r="AA883" s="604" t="s">
        <v>451</v>
      </c>
      <c r="AB883" s="604" t="s">
        <v>449</v>
      </c>
      <c r="AC883" s="604" t="s">
        <v>458</v>
      </c>
      <c r="AD883" s="604" t="s">
        <v>320</v>
      </c>
      <c r="AE883" s="604">
        <v>2</v>
      </c>
      <c r="AF883" s="604">
        <v>0</v>
      </c>
      <c r="AG883" s="604" t="s">
        <v>119</v>
      </c>
      <c r="AH883" s="604" t="s">
        <v>420</v>
      </c>
      <c r="AR883" s="538" t="str">
        <f t="shared" si="115"/>
        <v>Quin 1depinfantWaikato</v>
      </c>
      <c r="AS883" s="604">
        <v>2016</v>
      </c>
      <c r="AT883" s="604" t="s">
        <v>421</v>
      </c>
      <c r="AU883" s="604" t="s">
        <v>454</v>
      </c>
      <c r="AV883" s="604" t="s">
        <v>89</v>
      </c>
      <c r="AW883" s="604">
        <v>3</v>
      </c>
      <c r="AX883" s="604">
        <v>596</v>
      </c>
      <c r="AY883" s="606">
        <v>5</v>
      </c>
      <c r="AZ883" s="604" t="s">
        <v>437</v>
      </c>
      <c r="BY883" s="553" t="str">
        <f t="shared" si="116"/>
        <v>2004Ind/UnksexSIDS</v>
      </c>
      <c r="BZ883" s="604">
        <v>2004</v>
      </c>
      <c r="CA883" s="604" t="s">
        <v>458</v>
      </c>
      <c r="CB883" s="604" t="s">
        <v>451</v>
      </c>
      <c r="CC883" s="604">
        <v>0</v>
      </c>
      <c r="CD883" s="604" t="s">
        <v>32</v>
      </c>
    </row>
    <row r="884" spans="9:82">
      <c r="I884" s="578" t="str">
        <f t="shared" si="112"/>
        <v>2003dhbUnknownFetal</v>
      </c>
      <c r="J884" s="604">
        <v>2003</v>
      </c>
      <c r="K884" s="604" t="s">
        <v>448</v>
      </c>
      <c r="L884" s="604" t="s">
        <v>63</v>
      </c>
      <c r="M884" s="604">
        <v>0</v>
      </c>
      <c r="N884" s="604">
        <v>523</v>
      </c>
      <c r="O884" s="604" t="s">
        <v>119</v>
      </c>
      <c r="P884" s="604" t="s">
        <v>47</v>
      </c>
      <c r="Q884" s="499"/>
      <c r="R884" s="502" t="str">
        <f t="shared" si="113"/>
        <v>2009birthsgestUnknown</v>
      </c>
      <c r="S884" s="604">
        <v>2009</v>
      </c>
      <c r="T884" s="604" t="s">
        <v>445</v>
      </c>
      <c r="U884" s="604" t="s">
        <v>450</v>
      </c>
      <c r="V884" s="604" t="s">
        <v>63</v>
      </c>
      <c r="W884" s="604">
        <v>54</v>
      </c>
      <c r="Y884" s="535" t="str">
        <f t="shared" si="114"/>
        <v>2016sexgestInd/Unk&lt;28fetal</v>
      </c>
      <c r="Z884" s="604">
        <v>2016</v>
      </c>
      <c r="AA884" s="604" t="s">
        <v>451</v>
      </c>
      <c r="AB884" s="604" t="s">
        <v>450</v>
      </c>
      <c r="AC884" s="604" t="s">
        <v>458</v>
      </c>
      <c r="AD884" s="604" t="s">
        <v>375</v>
      </c>
      <c r="AE884" s="604">
        <v>8</v>
      </c>
      <c r="AF884" s="604">
        <v>0</v>
      </c>
      <c r="AG884" s="604" t="s">
        <v>119</v>
      </c>
      <c r="AH884" s="604" t="s">
        <v>420</v>
      </c>
      <c r="AR884" s="538" t="str">
        <f t="shared" si="115"/>
        <v>Quin 2depinfantWaikato</v>
      </c>
      <c r="AS884" s="604">
        <v>2016</v>
      </c>
      <c r="AT884" s="604" t="s">
        <v>422</v>
      </c>
      <c r="AU884" s="604" t="s">
        <v>454</v>
      </c>
      <c r="AV884" s="604" t="s">
        <v>89</v>
      </c>
      <c r="AW884" s="604">
        <v>2</v>
      </c>
      <c r="AX884" s="604">
        <v>448</v>
      </c>
      <c r="AY884" s="606">
        <v>4.5</v>
      </c>
      <c r="AZ884" s="604" t="s">
        <v>437</v>
      </c>
      <c r="BY884" s="553" t="str">
        <f t="shared" si="116"/>
        <v>2005MalesexSIDS</v>
      </c>
      <c r="BZ884" s="604">
        <v>2005</v>
      </c>
      <c r="CA884" s="604" t="s">
        <v>70</v>
      </c>
      <c r="CB884" s="604" t="s">
        <v>451</v>
      </c>
      <c r="CC884" s="604">
        <v>17</v>
      </c>
      <c r="CD884" s="604" t="s">
        <v>32</v>
      </c>
    </row>
    <row r="885" spans="9:82">
      <c r="I885" s="578" t="str">
        <f t="shared" si="112"/>
        <v>2004dhbNorthlandFetal</v>
      </c>
      <c r="J885" s="604">
        <v>2004</v>
      </c>
      <c r="K885" s="604" t="s">
        <v>448</v>
      </c>
      <c r="L885" s="604" t="s">
        <v>85</v>
      </c>
      <c r="M885" s="604">
        <v>19</v>
      </c>
      <c r="N885" s="604">
        <v>2106</v>
      </c>
      <c r="O885" s="604">
        <v>9</v>
      </c>
      <c r="P885" s="604" t="s">
        <v>47</v>
      </c>
      <c r="Q885" s="499"/>
      <c r="R885" s="502" t="str">
        <f t="shared" si="113"/>
        <v>2010birthsgest&lt;28</v>
      </c>
      <c r="S885" s="604">
        <v>2010</v>
      </c>
      <c r="T885" s="604" t="s">
        <v>445</v>
      </c>
      <c r="U885" s="604" t="s">
        <v>450</v>
      </c>
      <c r="V885" s="604" t="s">
        <v>375</v>
      </c>
      <c r="W885" s="604">
        <v>314</v>
      </c>
      <c r="Y885" s="535" t="str">
        <f t="shared" si="114"/>
        <v>2016depgestQuin 928-31fetal</v>
      </c>
      <c r="Z885" s="604">
        <v>2016</v>
      </c>
      <c r="AA885" s="604" t="s">
        <v>454</v>
      </c>
      <c r="AB885" s="604" t="s">
        <v>450</v>
      </c>
      <c r="AC885" s="604" t="s">
        <v>426</v>
      </c>
      <c r="AD885" s="604" t="s">
        <v>395</v>
      </c>
      <c r="AE885" s="604">
        <v>3</v>
      </c>
      <c r="AF885" s="604">
        <v>0</v>
      </c>
      <c r="AG885" s="604" t="s">
        <v>119</v>
      </c>
      <c r="AH885" s="604" t="s">
        <v>420</v>
      </c>
      <c r="AR885" s="538" t="str">
        <f t="shared" si="115"/>
        <v>Quin 3depinfantWaikato</v>
      </c>
      <c r="AS885" s="604">
        <v>2016</v>
      </c>
      <c r="AT885" s="604" t="s">
        <v>423</v>
      </c>
      <c r="AU885" s="604" t="s">
        <v>454</v>
      </c>
      <c r="AV885" s="604" t="s">
        <v>89</v>
      </c>
      <c r="AW885" s="604">
        <v>6</v>
      </c>
      <c r="AX885" s="604">
        <v>1204</v>
      </c>
      <c r="AY885" s="606">
        <v>5</v>
      </c>
      <c r="AZ885" s="604" t="s">
        <v>437</v>
      </c>
      <c r="BY885" s="553" t="str">
        <f t="shared" si="116"/>
        <v>2005FemalesexSIDS</v>
      </c>
      <c r="BZ885" s="604">
        <v>2005</v>
      </c>
      <c r="CA885" s="604" t="s">
        <v>71</v>
      </c>
      <c r="CB885" s="604" t="s">
        <v>451</v>
      </c>
      <c r="CC885" s="604">
        <v>23</v>
      </c>
      <c r="CD885" s="604" t="s">
        <v>32</v>
      </c>
    </row>
    <row r="886" spans="9:82">
      <c r="I886" s="578" t="str">
        <f t="shared" si="112"/>
        <v>2004dhbWaitemataFetal</v>
      </c>
      <c r="J886" s="604">
        <v>2004</v>
      </c>
      <c r="K886" s="604" t="s">
        <v>448</v>
      </c>
      <c r="L886" s="604" t="s">
        <v>86</v>
      </c>
      <c r="M886" s="604">
        <v>51</v>
      </c>
      <c r="N886" s="604">
        <v>7188</v>
      </c>
      <c r="O886" s="604">
        <v>7.1</v>
      </c>
      <c r="P886" s="604" t="s">
        <v>47</v>
      </c>
      <c r="Q886" s="499"/>
      <c r="R886" s="502" t="str">
        <f t="shared" si="113"/>
        <v>2010birthsgest28-31</v>
      </c>
      <c r="S886" s="604">
        <v>2010</v>
      </c>
      <c r="T886" s="604" t="s">
        <v>445</v>
      </c>
      <c r="U886" s="604" t="s">
        <v>450</v>
      </c>
      <c r="V886" s="604" t="s">
        <v>395</v>
      </c>
      <c r="W886" s="604">
        <v>516</v>
      </c>
      <c r="Y886" s="535" t="str">
        <f t="shared" si="114"/>
        <v>2016bwtgest&lt;50028-31fetal</v>
      </c>
      <c r="Z886" s="604">
        <v>2016</v>
      </c>
      <c r="AA886" s="604" t="s">
        <v>447</v>
      </c>
      <c r="AB886" s="604" t="s">
        <v>450</v>
      </c>
      <c r="AC886" s="604" t="s">
        <v>427</v>
      </c>
      <c r="AD886" s="604" t="s">
        <v>395</v>
      </c>
      <c r="AE886" s="604">
        <v>7</v>
      </c>
      <c r="AF886" s="604">
        <v>0</v>
      </c>
      <c r="AG886" s="604" t="s">
        <v>119</v>
      </c>
      <c r="AH886" s="604" t="s">
        <v>420</v>
      </c>
      <c r="AR886" s="538" t="str">
        <f t="shared" si="115"/>
        <v>Quin 4depinfantWaikato</v>
      </c>
      <c r="AS886" s="604">
        <v>2016</v>
      </c>
      <c r="AT886" s="604" t="s">
        <v>424</v>
      </c>
      <c r="AU886" s="604" t="s">
        <v>454</v>
      </c>
      <c r="AV886" s="604" t="s">
        <v>89</v>
      </c>
      <c r="AW886" s="604">
        <v>9</v>
      </c>
      <c r="AX886" s="604">
        <v>1503</v>
      </c>
      <c r="AY886" s="606">
        <v>6</v>
      </c>
      <c r="AZ886" s="604" t="s">
        <v>437</v>
      </c>
      <c r="BY886" s="553" t="str">
        <f t="shared" si="116"/>
        <v>2006MalesexSIDS</v>
      </c>
      <c r="BZ886" s="604">
        <v>2006</v>
      </c>
      <c r="CA886" s="604" t="s">
        <v>70</v>
      </c>
      <c r="CB886" s="604" t="s">
        <v>451</v>
      </c>
      <c r="CC886" s="604">
        <v>30</v>
      </c>
      <c r="CD886" s="604" t="s">
        <v>32</v>
      </c>
    </row>
    <row r="887" spans="9:82">
      <c r="I887" s="578" t="str">
        <f t="shared" si="112"/>
        <v>2004dhbAucklandFetal</v>
      </c>
      <c r="J887" s="604">
        <v>2004</v>
      </c>
      <c r="K887" s="604" t="s">
        <v>448</v>
      </c>
      <c r="L887" s="604" t="s">
        <v>87</v>
      </c>
      <c r="M887" s="604">
        <v>60</v>
      </c>
      <c r="N887" s="604">
        <v>6358</v>
      </c>
      <c r="O887" s="604">
        <v>9.4</v>
      </c>
      <c r="P887" s="604" t="s">
        <v>47</v>
      </c>
      <c r="Q887" s="499"/>
      <c r="R887" s="502" t="str">
        <f t="shared" si="113"/>
        <v>2010birthsgest32-36</v>
      </c>
      <c r="S887" s="604">
        <v>2010</v>
      </c>
      <c r="T887" s="604" t="s">
        <v>445</v>
      </c>
      <c r="U887" s="604" t="s">
        <v>450</v>
      </c>
      <c r="V887" s="604" t="s">
        <v>136</v>
      </c>
      <c r="W887" s="604">
        <v>4054</v>
      </c>
      <c r="Y887" s="535" t="str">
        <f t="shared" si="114"/>
        <v>2016bwtgest500-99932-36fetal</v>
      </c>
      <c r="Z887" s="604">
        <v>2016</v>
      </c>
      <c r="AA887" s="604" t="s">
        <v>447</v>
      </c>
      <c r="AB887" s="604" t="s">
        <v>450</v>
      </c>
      <c r="AC887" s="604" t="s">
        <v>428</v>
      </c>
      <c r="AD887" s="604" t="s">
        <v>136</v>
      </c>
      <c r="AE887" s="604">
        <v>1</v>
      </c>
      <c r="AF887" s="604">
        <v>0</v>
      </c>
      <c r="AG887" s="604" t="s">
        <v>119</v>
      </c>
      <c r="AH887" s="604" t="s">
        <v>420</v>
      </c>
      <c r="AR887" s="538" t="str">
        <f t="shared" si="115"/>
        <v>Quin 5depinfantWaikato</v>
      </c>
      <c r="AS887" s="604">
        <v>2016</v>
      </c>
      <c r="AT887" s="604" t="s">
        <v>425</v>
      </c>
      <c r="AU887" s="604" t="s">
        <v>454</v>
      </c>
      <c r="AV887" s="604" t="s">
        <v>89</v>
      </c>
      <c r="AW887" s="604">
        <v>8</v>
      </c>
      <c r="AX887" s="604">
        <v>1756</v>
      </c>
      <c r="AY887" s="606">
        <v>4.5999999999999996</v>
      </c>
      <c r="AZ887" s="604" t="s">
        <v>437</v>
      </c>
      <c r="BY887" s="553" t="str">
        <f t="shared" si="116"/>
        <v>2006FemalesexSIDS</v>
      </c>
      <c r="BZ887" s="604">
        <v>2006</v>
      </c>
      <c r="CA887" s="604" t="s">
        <v>71</v>
      </c>
      <c r="CB887" s="604" t="s">
        <v>451</v>
      </c>
      <c r="CC887" s="604">
        <v>19</v>
      </c>
      <c r="CD887" s="604" t="s">
        <v>32</v>
      </c>
    </row>
    <row r="888" spans="9:82">
      <c r="I888" s="578" t="str">
        <f t="shared" si="112"/>
        <v>2004dhbCounties ManukauFetal</v>
      </c>
      <c r="J888" s="604">
        <v>2004</v>
      </c>
      <c r="K888" s="604" t="s">
        <v>448</v>
      </c>
      <c r="L888" s="604" t="s">
        <v>88</v>
      </c>
      <c r="M888" s="604">
        <v>85</v>
      </c>
      <c r="N888" s="604">
        <v>8008</v>
      </c>
      <c r="O888" s="604">
        <v>10.6</v>
      </c>
      <c r="P888" s="604" t="s">
        <v>47</v>
      </c>
      <c r="Q888" s="499"/>
      <c r="R888" s="502" t="str">
        <f t="shared" si="113"/>
        <v>2010birthsgest37-41</v>
      </c>
      <c r="S888" s="604">
        <v>2010</v>
      </c>
      <c r="T888" s="604" t="s">
        <v>445</v>
      </c>
      <c r="U888" s="604" t="s">
        <v>450</v>
      </c>
      <c r="V888" s="604" t="s">
        <v>137</v>
      </c>
      <c r="W888" s="604">
        <v>57958</v>
      </c>
      <c r="Y888" s="535" t="str">
        <f t="shared" si="114"/>
        <v>2016bwtgest1000-1499Unknownfetal</v>
      </c>
      <c r="Z888" s="604">
        <v>2016</v>
      </c>
      <c r="AA888" s="604" t="s">
        <v>447</v>
      </c>
      <c r="AB888" s="604" t="s">
        <v>450</v>
      </c>
      <c r="AC888" s="604" t="s">
        <v>429</v>
      </c>
      <c r="AD888" s="604" t="s">
        <v>63</v>
      </c>
      <c r="AE888" s="604">
        <v>1</v>
      </c>
      <c r="AF888" s="604">
        <v>0</v>
      </c>
      <c r="AG888" s="604" t="s">
        <v>119</v>
      </c>
      <c r="AH888" s="604" t="s">
        <v>420</v>
      </c>
      <c r="AR888" s="538" t="str">
        <f t="shared" si="115"/>
        <v>Quin 1depinfantBay of Plenty</v>
      </c>
      <c r="AS888" s="604">
        <v>2016</v>
      </c>
      <c r="AT888" s="604" t="s">
        <v>421</v>
      </c>
      <c r="AU888" s="604" t="s">
        <v>454</v>
      </c>
      <c r="AV888" s="604" t="s">
        <v>91</v>
      </c>
      <c r="AW888" s="604">
        <v>1</v>
      </c>
      <c r="AX888" s="604">
        <v>165</v>
      </c>
      <c r="AY888" s="606">
        <v>6.1</v>
      </c>
      <c r="AZ888" s="604" t="s">
        <v>437</v>
      </c>
      <c r="BY888" s="553" t="str">
        <f t="shared" si="116"/>
        <v>2007MalesexSIDS</v>
      </c>
      <c r="BZ888" s="604">
        <v>2007</v>
      </c>
      <c r="CA888" s="604" t="s">
        <v>70</v>
      </c>
      <c r="CB888" s="604" t="s">
        <v>451</v>
      </c>
      <c r="CC888" s="604">
        <v>33</v>
      </c>
      <c r="CD888" s="604" t="s">
        <v>32</v>
      </c>
    </row>
    <row r="889" spans="9:82">
      <c r="I889" s="578" t="str">
        <f t="shared" si="112"/>
        <v>2004dhbWaikatoFetal</v>
      </c>
      <c r="J889" s="604">
        <v>2004</v>
      </c>
      <c r="K889" s="604" t="s">
        <v>448</v>
      </c>
      <c r="L889" s="604" t="s">
        <v>89</v>
      </c>
      <c r="M889" s="604">
        <v>45</v>
      </c>
      <c r="N889" s="604">
        <v>5001</v>
      </c>
      <c r="O889" s="604">
        <v>9</v>
      </c>
      <c r="P889" s="604" t="s">
        <v>47</v>
      </c>
      <c r="Q889" s="499"/>
      <c r="R889" s="502" t="str">
        <f t="shared" si="113"/>
        <v>2010birthsgest42+</v>
      </c>
      <c r="S889" s="604">
        <v>2010</v>
      </c>
      <c r="T889" s="604" t="s">
        <v>445</v>
      </c>
      <c r="U889" s="604" t="s">
        <v>450</v>
      </c>
      <c r="V889" s="604" t="s">
        <v>138</v>
      </c>
      <c r="W889" s="604">
        <v>1833</v>
      </c>
      <c r="Y889" s="535" t="str">
        <f t="shared" si="114"/>
        <v>2016OverallsexTotalInd/Unkfetal</v>
      </c>
      <c r="Z889" s="604">
        <v>2016</v>
      </c>
      <c r="AA889" s="604" t="s">
        <v>104</v>
      </c>
      <c r="AB889" s="604" t="s">
        <v>451</v>
      </c>
      <c r="AC889" s="604" t="s">
        <v>44</v>
      </c>
      <c r="AD889" s="604" t="s">
        <v>458</v>
      </c>
      <c r="AE889" s="604">
        <v>8</v>
      </c>
      <c r="AF889" s="604">
        <v>0</v>
      </c>
      <c r="AG889" s="604" t="s">
        <v>119</v>
      </c>
      <c r="AH889" s="604" t="s">
        <v>420</v>
      </c>
      <c r="AR889" s="538" t="str">
        <f t="shared" si="115"/>
        <v>Quin 2depinfantBay of Plenty</v>
      </c>
      <c r="AS889" s="604">
        <v>2016</v>
      </c>
      <c r="AT889" s="604" t="s">
        <v>422</v>
      </c>
      <c r="AU889" s="604" t="s">
        <v>454</v>
      </c>
      <c r="AV889" s="604" t="s">
        <v>91</v>
      </c>
      <c r="AW889" s="604">
        <v>1</v>
      </c>
      <c r="AX889" s="604">
        <v>317</v>
      </c>
      <c r="AY889" s="606">
        <v>3.2</v>
      </c>
      <c r="AZ889" s="604" t="s">
        <v>437</v>
      </c>
      <c r="BY889" s="553" t="str">
        <f t="shared" si="116"/>
        <v>2007FemalesexSIDS</v>
      </c>
      <c r="BZ889" s="604">
        <v>2007</v>
      </c>
      <c r="CA889" s="604" t="s">
        <v>71</v>
      </c>
      <c r="CB889" s="604" t="s">
        <v>451</v>
      </c>
      <c r="CC889" s="604">
        <v>21</v>
      </c>
      <c r="CD889" s="604" t="s">
        <v>32</v>
      </c>
    </row>
    <row r="890" spans="9:82">
      <c r="I890" s="578" t="str">
        <f t="shared" si="112"/>
        <v>2004dhbLakesFetal</v>
      </c>
      <c r="J890" s="604">
        <v>2004</v>
      </c>
      <c r="K890" s="604" t="s">
        <v>448</v>
      </c>
      <c r="L890" s="604" t="s">
        <v>90</v>
      </c>
      <c r="M890" s="604">
        <v>15</v>
      </c>
      <c r="N890" s="604">
        <v>1674</v>
      </c>
      <c r="O890" s="604">
        <v>9</v>
      </c>
      <c r="P890" s="604" t="s">
        <v>47</v>
      </c>
      <c r="Q890" s="499"/>
      <c r="R890" s="502" t="str">
        <f t="shared" si="113"/>
        <v>2010birthsgestUnknown</v>
      </c>
      <c r="S890" s="604">
        <v>2010</v>
      </c>
      <c r="T890" s="604" t="s">
        <v>445</v>
      </c>
      <c r="U890" s="604" t="s">
        <v>450</v>
      </c>
      <c r="V890" s="604" t="s">
        <v>63</v>
      </c>
      <c r="W890" s="604">
        <v>24</v>
      </c>
      <c r="Y890" s="535" t="str">
        <f t="shared" si="114"/>
        <v>2016sexageInd/UnkTotalfetal</v>
      </c>
      <c r="Z890" s="604">
        <v>2016</v>
      </c>
      <c r="AA890" s="604" t="s">
        <v>451</v>
      </c>
      <c r="AB890" s="604" t="s">
        <v>453</v>
      </c>
      <c r="AC890" s="604" t="s">
        <v>458</v>
      </c>
      <c r="AD890" s="604" t="s">
        <v>44</v>
      </c>
      <c r="AE890" s="604">
        <v>8</v>
      </c>
      <c r="AF890" s="604">
        <v>0</v>
      </c>
      <c r="AG890" s="604" t="s">
        <v>119</v>
      </c>
      <c r="AH890" s="604" t="s">
        <v>420</v>
      </c>
      <c r="AR890" s="538" t="str">
        <f t="shared" si="115"/>
        <v>Quin 4depinfantBay of Plenty</v>
      </c>
      <c r="AS890" s="604">
        <v>2016</v>
      </c>
      <c r="AT890" s="604" t="s">
        <v>424</v>
      </c>
      <c r="AU890" s="604" t="s">
        <v>454</v>
      </c>
      <c r="AV890" s="604" t="s">
        <v>91</v>
      </c>
      <c r="AW890" s="604">
        <v>8</v>
      </c>
      <c r="AX890" s="604">
        <v>875</v>
      </c>
      <c r="AY890" s="606">
        <v>9.1</v>
      </c>
      <c r="AZ890" s="604" t="s">
        <v>437</v>
      </c>
      <c r="BY890" s="553" t="str">
        <f t="shared" si="116"/>
        <v>2007Ind/UnksexSIDS</v>
      </c>
      <c r="BZ890" s="604">
        <v>2007</v>
      </c>
      <c r="CA890" s="604" t="s">
        <v>458</v>
      </c>
      <c r="CB890" s="604" t="s">
        <v>451</v>
      </c>
      <c r="CC890" s="604">
        <v>0</v>
      </c>
      <c r="CD890" s="604" t="s">
        <v>32</v>
      </c>
    </row>
    <row r="891" spans="9:82">
      <c r="I891" s="578" t="str">
        <f t="shared" si="112"/>
        <v>2004dhbBay of PlentyFetal</v>
      </c>
      <c r="J891" s="604">
        <v>2004</v>
      </c>
      <c r="K891" s="604" t="s">
        <v>448</v>
      </c>
      <c r="L891" s="604" t="s">
        <v>91</v>
      </c>
      <c r="M891" s="604">
        <v>17</v>
      </c>
      <c r="N891" s="604">
        <v>2780</v>
      </c>
      <c r="O891" s="604">
        <v>6.1</v>
      </c>
      <c r="P891" s="604" t="s">
        <v>47</v>
      </c>
      <c r="Q891" s="499"/>
      <c r="R891" s="502" t="str">
        <f t="shared" si="113"/>
        <v>2011birthsgest&lt;28</v>
      </c>
      <c r="S891" s="604">
        <v>2011</v>
      </c>
      <c r="T891" s="604" t="s">
        <v>445</v>
      </c>
      <c r="U891" s="604" t="s">
        <v>450</v>
      </c>
      <c r="V891" s="604" t="s">
        <v>375</v>
      </c>
      <c r="W891" s="604">
        <v>274</v>
      </c>
      <c r="Y891" s="535" t="str">
        <f t="shared" si="114"/>
        <v>2016sexethInd/UnkTotalfetal</v>
      </c>
      <c r="Z891" s="604">
        <v>2016</v>
      </c>
      <c r="AA891" s="604" t="s">
        <v>451</v>
      </c>
      <c r="AB891" s="604" t="s">
        <v>449</v>
      </c>
      <c r="AC891" s="604" t="s">
        <v>458</v>
      </c>
      <c r="AD891" s="604" t="s">
        <v>44</v>
      </c>
      <c r="AE891" s="604">
        <v>8</v>
      </c>
      <c r="AF891" s="604">
        <v>0</v>
      </c>
      <c r="AG891" s="604" t="s">
        <v>119</v>
      </c>
      <c r="AH891" s="604" t="s">
        <v>420</v>
      </c>
      <c r="AR891" s="538" t="str">
        <f t="shared" si="115"/>
        <v>Quin 5depinfantBay of Plenty</v>
      </c>
      <c r="AS891" s="604">
        <v>2016</v>
      </c>
      <c r="AT891" s="604" t="s">
        <v>425</v>
      </c>
      <c r="AU891" s="604" t="s">
        <v>454</v>
      </c>
      <c r="AV891" s="604" t="s">
        <v>91</v>
      </c>
      <c r="AW891" s="604">
        <v>8</v>
      </c>
      <c r="AX891" s="604">
        <v>913</v>
      </c>
      <c r="AY891" s="606">
        <v>8.8000000000000007</v>
      </c>
      <c r="AZ891" s="604" t="s">
        <v>437</v>
      </c>
      <c r="BY891" s="553" t="str">
        <f t="shared" si="116"/>
        <v>2008MalesexSIDS</v>
      </c>
      <c r="BZ891" s="604">
        <v>2008</v>
      </c>
      <c r="CA891" s="604" t="s">
        <v>70</v>
      </c>
      <c r="CB891" s="604" t="s">
        <v>451</v>
      </c>
      <c r="CC891" s="604">
        <v>28</v>
      </c>
      <c r="CD891" s="604" t="s">
        <v>32</v>
      </c>
    </row>
    <row r="892" spans="9:82">
      <c r="I892" s="578" t="str">
        <f t="shared" si="112"/>
        <v>2004dhbTairawhitiFetal</v>
      </c>
      <c r="J892" s="604">
        <v>2004</v>
      </c>
      <c r="K892" s="604" t="s">
        <v>448</v>
      </c>
      <c r="L892" s="604" t="s">
        <v>433</v>
      </c>
      <c r="M892" s="604">
        <v>5</v>
      </c>
      <c r="N892" s="604">
        <v>765</v>
      </c>
      <c r="O892" s="604">
        <v>6.5</v>
      </c>
      <c r="P892" s="604" t="s">
        <v>47</v>
      </c>
      <c r="Q892" s="499"/>
      <c r="R892" s="502" t="str">
        <f t="shared" si="113"/>
        <v>2011birthsgest28-31</v>
      </c>
      <c r="S892" s="604">
        <v>2011</v>
      </c>
      <c r="T892" s="604" t="s">
        <v>445</v>
      </c>
      <c r="U892" s="604" t="s">
        <v>450</v>
      </c>
      <c r="V892" s="604" t="s">
        <v>395</v>
      </c>
      <c r="W892" s="604">
        <v>482</v>
      </c>
      <c r="Y892" s="535" t="str">
        <f t="shared" si="114"/>
        <v>2016sexdepInd/UnkTotalfetal</v>
      </c>
      <c r="Z892" s="604">
        <v>2016</v>
      </c>
      <c r="AA892" s="604" t="s">
        <v>451</v>
      </c>
      <c r="AB892" s="604" t="s">
        <v>454</v>
      </c>
      <c r="AC892" s="604" t="s">
        <v>458</v>
      </c>
      <c r="AD892" s="604" t="s">
        <v>44</v>
      </c>
      <c r="AE892" s="604">
        <v>8</v>
      </c>
      <c r="AF892" s="604">
        <v>0</v>
      </c>
      <c r="AG892" s="604" t="s">
        <v>119</v>
      </c>
      <c r="AH892" s="604" t="s">
        <v>420</v>
      </c>
      <c r="AR892" s="538" t="str">
        <f t="shared" si="115"/>
        <v>Quin 5depinfantTairawhiti</v>
      </c>
      <c r="AS892" s="604">
        <v>2016</v>
      </c>
      <c r="AT892" s="604" t="s">
        <v>425</v>
      </c>
      <c r="AU892" s="604" t="s">
        <v>454</v>
      </c>
      <c r="AV892" s="604" t="s">
        <v>433</v>
      </c>
      <c r="AW892" s="604">
        <v>3</v>
      </c>
      <c r="AX892" s="604">
        <v>544</v>
      </c>
      <c r="AY892" s="606">
        <v>5.5</v>
      </c>
      <c r="AZ892" s="604" t="s">
        <v>437</v>
      </c>
      <c r="BY892" s="553" t="str">
        <f t="shared" si="116"/>
        <v>2008FemalesexSIDS</v>
      </c>
      <c r="BZ892" s="604">
        <v>2008</v>
      </c>
      <c r="CA892" s="604" t="s">
        <v>71</v>
      </c>
      <c r="CB892" s="604" t="s">
        <v>451</v>
      </c>
      <c r="CC892" s="604">
        <v>23</v>
      </c>
      <c r="CD892" s="604" t="s">
        <v>32</v>
      </c>
    </row>
    <row r="893" spans="9:82">
      <c r="I893" s="578" t="str">
        <f t="shared" si="112"/>
        <v>2004dhbHawke's BayFetal</v>
      </c>
      <c r="J893" s="604">
        <v>2004</v>
      </c>
      <c r="K893" s="604" t="s">
        <v>448</v>
      </c>
      <c r="L893" s="604" t="s">
        <v>92</v>
      </c>
      <c r="M893" s="604">
        <v>14</v>
      </c>
      <c r="N893" s="604">
        <v>2202</v>
      </c>
      <c r="O893" s="604">
        <v>6.4</v>
      </c>
      <c r="P893" s="604" t="s">
        <v>47</v>
      </c>
      <c r="Q893" s="499"/>
      <c r="R893" s="502" t="str">
        <f t="shared" si="113"/>
        <v>2011birthsgest32-36</v>
      </c>
      <c r="S893" s="604">
        <v>2011</v>
      </c>
      <c r="T893" s="604" t="s">
        <v>445</v>
      </c>
      <c r="U893" s="604" t="s">
        <v>450</v>
      </c>
      <c r="V893" s="604" t="s">
        <v>136</v>
      </c>
      <c r="W893" s="604">
        <v>3882</v>
      </c>
      <c r="Y893" s="535" t="str">
        <f t="shared" si="114"/>
        <v>2016sexgestInd/UnkTotalfetal</v>
      </c>
      <c r="Z893" s="604">
        <v>2016</v>
      </c>
      <c r="AA893" s="604" t="s">
        <v>451</v>
      </c>
      <c r="AB893" s="604" t="s">
        <v>450</v>
      </c>
      <c r="AC893" s="604" t="s">
        <v>458</v>
      </c>
      <c r="AD893" s="604" t="s">
        <v>44</v>
      </c>
      <c r="AE893" s="604">
        <v>8</v>
      </c>
      <c r="AF893" s="604">
        <v>0</v>
      </c>
      <c r="AG893" s="604" t="s">
        <v>119</v>
      </c>
      <c r="AH893" s="604" t="s">
        <v>420</v>
      </c>
      <c r="AR893" s="538" t="str">
        <f t="shared" si="115"/>
        <v>Quin 4depinfantHawke's Bay</v>
      </c>
      <c r="AS893" s="604">
        <v>2016</v>
      </c>
      <c r="AT893" s="604" t="s">
        <v>424</v>
      </c>
      <c r="AU893" s="604" t="s">
        <v>454</v>
      </c>
      <c r="AV893" s="604" t="s">
        <v>92</v>
      </c>
      <c r="AW893" s="604">
        <v>1</v>
      </c>
      <c r="AX893" s="604">
        <v>416</v>
      </c>
      <c r="AY893" s="606">
        <v>2.4</v>
      </c>
      <c r="AZ893" s="604" t="s">
        <v>437</v>
      </c>
      <c r="BY893" s="553" t="str">
        <f t="shared" si="116"/>
        <v>2008Ind/UnksexSIDS</v>
      </c>
      <c r="BZ893" s="604">
        <v>2008</v>
      </c>
      <c r="CA893" s="604" t="s">
        <v>458</v>
      </c>
      <c r="CB893" s="604" t="s">
        <v>451</v>
      </c>
      <c r="CC893" s="604">
        <v>0</v>
      </c>
      <c r="CD893" s="604" t="s">
        <v>32</v>
      </c>
    </row>
    <row r="894" spans="9:82">
      <c r="I894" s="578" t="str">
        <f t="shared" si="112"/>
        <v>2004dhbTaranakiFetal</v>
      </c>
      <c r="J894" s="604">
        <v>2004</v>
      </c>
      <c r="K894" s="604" t="s">
        <v>448</v>
      </c>
      <c r="L894" s="604" t="s">
        <v>93</v>
      </c>
      <c r="M894" s="604">
        <v>13</v>
      </c>
      <c r="N894" s="604">
        <v>1349</v>
      </c>
      <c r="O894" s="604">
        <v>9.6</v>
      </c>
      <c r="P894" s="604" t="s">
        <v>47</v>
      </c>
      <c r="Q894" s="499"/>
      <c r="R894" s="502" t="str">
        <f t="shared" si="113"/>
        <v>2011birthsgest37-41</v>
      </c>
      <c r="S894" s="604">
        <v>2011</v>
      </c>
      <c r="T894" s="604" t="s">
        <v>445</v>
      </c>
      <c r="U894" s="604" t="s">
        <v>450</v>
      </c>
      <c r="V894" s="604" t="s">
        <v>137</v>
      </c>
      <c r="W894" s="604">
        <v>55919</v>
      </c>
      <c r="Y894" s="535" t="str">
        <f t="shared" si="114"/>
        <v>2016sexbwtInd/UnkTotalfetal</v>
      </c>
      <c r="Z894" s="604">
        <v>2016</v>
      </c>
      <c r="AA894" s="604" t="s">
        <v>451</v>
      </c>
      <c r="AB894" s="604" t="s">
        <v>447</v>
      </c>
      <c r="AC894" s="604" t="s">
        <v>458</v>
      </c>
      <c r="AD894" s="604" t="s">
        <v>44</v>
      </c>
      <c r="AE894" s="604">
        <v>8</v>
      </c>
      <c r="AF894" s="604">
        <v>0</v>
      </c>
      <c r="AG894" s="604" t="s">
        <v>119</v>
      </c>
      <c r="AH894" s="604" t="s">
        <v>420</v>
      </c>
      <c r="AR894" s="538" t="str">
        <f t="shared" si="115"/>
        <v>Quin 5depinfantHawke's Bay</v>
      </c>
      <c r="AS894" s="604">
        <v>2016</v>
      </c>
      <c r="AT894" s="604" t="s">
        <v>425</v>
      </c>
      <c r="AU894" s="604" t="s">
        <v>454</v>
      </c>
      <c r="AV894" s="604" t="s">
        <v>92</v>
      </c>
      <c r="AW894" s="604">
        <v>5</v>
      </c>
      <c r="AX894" s="604">
        <v>982</v>
      </c>
      <c r="AY894" s="606">
        <v>5.0999999999999996</v>
      </c>
      <c r="AZ894" s="604" t="s">
        <v>437</v>
      </c>
      <c r="BY894" s="553" t="str">
        <f t="shared" si="116"/>
        <v>2009MalesexSIDS</v>
      </c>
      <c r="BZ894" s="604">
        <v>2009</v>
      </c>
      <c r="CA894" s="604" t="s">
        <v>70</v>
      </c>
      <c r="CB894" s="604" t="s">
        <v>451</v>
      </c>
      <c r="CC894" s="604">
        <v>26</v>
      </c>
      <c r="CD894" s="604" t="s">
        <v>32</v>
      </c>
    </row>
    <row r="895" spans="9:82">
      <c r="I895" s="578" t="str">
        <f t="shared" si="112"/>
        <v>2004dhbMidCentralFetal</v>
      </c>
      <c r="J895" s="604">
        <v>2004</v>
      </c>
      <c r="K895" s="604" t="s">
        <v>448</v>
      </c>
      <c r="L895" s="604" t="s">
        <v>94</v>
      </c>
      <c r="M895" s="604">
        <v>16</v>
      </c>
      <c r="N895" s="604">
        <v>2095</v>
      </c>
      <c r="O895" s="604">
        <v>7.6</v>
      </c>
      <c r="P895" s="604" t="s">
        <v>47</v>
      </c>
      <c r="Q895" s="499"/>
      <c r="R895" s="502" t="str">
        <f t="shared" si="113"/>
        <v>2011birthsgest42+</v>
      </c>
      <c r="S895" s="604">
        <v>2011</v>
      </c>
      <c r="T895" s="604" t="s">
        <v>445</v>
      </c>
      <c r="U895" s="604" t="s">
        <v>450</v>
      </c>
      <c r="V895" s="604" t="s">
        <v>138</v>
      </c>
      <c r="W895" s="604">
        <v>1599</v>
      </c>
      <c r="Y895" s="535" t="str">
        <f t="shared" si="114"/>
        <v>2016ethageMaori&lt;20infant</v>
      </c>
      <c r="Z895" s="604">
        <v>2016</v>
      </c>
      <c r="AA895" s="604" t="s">
        <v>449</v>
      </c>
      <c r="AB895" s="604" t="s">
        <v>453</v>
      </c>
      <c r="AC895" s="604" t="s">
        <v>129</v>
      </c>
      <c r="AD895" s="604" t="s">
        <v>339</v>
      </c>
      <c r="AE895" s="604">
        <v>20</v>
      </c>
      <c r="AF895" s="604">
        <v>1613</v>
      </c>
      <c r="AG895" s="604">
        <v>12.4</v>
      </c>
      <c r="AH895" s="604" t="s">
        <v>437</v>
      </c>
      <c r="AR895" s="538" t="str">
        <f t="shared" si="115"/>
        <v>Quin 1depinfantTaranaki</v>
      </c>
      <c r="AS895" s="604">
        <v>2016</v>
      </c>
      <c r="AT895" s="604" t="s">
        <v>421</v>
      </c>
      <c r="AU895" s="604" t="s">
        <v>454</v>
      </c>
      <c r="AV895" s="604" t="s">
        <v>93</v>
      </c>
      <c r="AW895" s="604">
        <v>2</v>
      </c>
      <c r="AX895" s="604">
        <v>180</v>
      </c>
      <c r="AY895" s="606">
        <v>11.1</v>
      </c>
      <c r="AZ895" s="604" t="s">
        <v>437</v>
      </c>
      <c r="BY895" s="553" t="str">
        <f t="shared" si="116"/>
        <v>2009FemalesexSIDS</v>
      </c>
      <c r="BZ895" s="604">
        <v>2009</v>
      </c>
      <c r="CA895" s="604" t="s">
        <v>71</v>
      </c>
      <c r="CB895" s="604" t="s">
        <v>451</v>
      </c>
      <c r="CC895" s="604">
        <v>19</v>
      </c>
      <c r="CD895" s="604" t="s">
        <v>32</v>
      </c>
    </row>
    <row r="896" spans="9:82">
      <c r="I896" s="578" t="str">
        <f t="shared" si="112"/>
        <v>2004dhbWhanganuiFetal</v>
      </c>
      <c r="J896" s="604">
        <v>2004</v>
      </c>
      <c r="K896" s="604" t="s">
        <v>448</v>
      </c>
      <c r="L896" s="604" t="s">
        <v>95</v>
      </c>
      <c r="M896" s="604">
        <v>10</v>
      </c>
      <c r="N896" s="604">
        <v>825</v>
      </c>
      <c r="O896" s="604">
        <v>12.1</v>
      </c>
      <c r="P896" s="604" t="s">
        <v>47</v>
      </c>
      <c r="Q896" s="499"/>
      <c r="R896" s="502" t="str">
        <f t="shared" si="113"/>
        <v>2011birthsgestUnknown</v>
      </c>
      <c r="S896" s="604">
        <v>2011</v>
      </c>
      <c r="T896" s="604" t="s">
        <v>445</v>
      </c>
      <c r="U896" s="604" t="s">
        <v>450</v>
      </c>
      <c r="V896" s="604" t="s">
        <v>63</v>
      </c>
      <c r="W896" s="604">
        <v>18</v>
      </c>
      <c r="Y896" s="535" t="str">
        <f t="shared" si="114"/>
        <v>2016ethagePacific peoples&lt;20infant</v>
      </c>
      <c r="Z896" s="604">
        <v>2016</v>
      </c>
      <c r="AA896" s="604" t="s">
        <v>449</v>
      </c>
      <c r="AB896" s="604" t="s">
        <v>453</v>
      </c>
      <c r="AC896" s="604" t="s">
        <v>320</v>
      </c>
      <c r="AD896" s="604" t="s">
        <v>339</v>
      </c>
      <c r="AE896" s="604">
        <v>7</v>
      </c>
      <c r="AF896" s="604">
        <v>380</v>
      </c>
      <c r="AG896" s="604">
        <v>18.399999999999999</v>
      </c>
      <c r="AH896" s="604" t="s">
        <v>437</v>
      </c>
      <c r="AR896" s="538" t="str">
        <f t="shared" si="115"/>
        <v>Quin 2depinfantTaranaki</v>
      </c>
      <c r="AS896" s="604">
        <v>2016</v>
      </c>
      <c r="AT896" s="604" t="s">
        <v>422</v>
      </c>
      <c r="AU896" s="604" t="s">
        <v>454</v>
      </c>
      <c r="AV896" s="604" t="s">
        <v>93</v>
      </c>
      <c r="AW896" s="604">
        <v>1</v>
      </c>
      <c r="AX896" s="604">
        <v>147</v>
      </c>
      <c r="AY896" s="606">
        <v>6.8</v>
      </c>
      <c r="AZ896" s="604" t="s">
        <v>437</v>
      </c>
      <c r="BY896" s="553" t="str">
        <f t="shared" si="116"/>
        <v>2009Ind/UnksexSIDS</v>
      </c>
      <c r="BZ896" s="604">
        <v>2009</v>
      </c>
      <c r="CA896" s="604" t="s">
        <v>458</v>
      </c>
      <c r="CB896" s="604" t="s">
        <v>451</v>
      </c>
      <c r="CC896" s="604">
        <v>0</v>
      </c>
      <c r="CD896" s="604" t="s">
        <v>32</v>
      </c>
    </row>
    <row r="897" spans="9:82">
      <c r="I897" s="578" t="str">
        <f t="shared" si="112"/>
        <v>2004dhbCapital &amp; CoastFetal</v>
      </c>
      <c r="J897" s="604">
        <v>2004</v>
      </c>
      <c r="K897" s="604" t="s">
        <v>448</v>
      </c>
      <c r="L897" s="604" t="s">
        <v>96</v>
      </c>
      <c r="M897" s="604">
        <v>33</v>
      </c>
      <c r="N897" s="604">
        <v>3726</v>
      </c>
      <c r="O897" s="604">
        <v>8.9</v>
      </c>
      <c r="P897" s="604" t="s">
        <v>47</v>
      </c>
      <c r="Q897" s="499"/>
      <c r="R897" s="502" t="str">
        <f t="shared" si="113"/>
        <v>2012birthsgest&lt;28</v>
      </c>
      <c r="S897" s="604">
        <v>2012</v>
      </c>
      <c r="T897" s="604" t="s">
        <v>445</v>
      </c>
      <c r="U897" s="604" t="s">
        <v>450</v>
      </c>
      <c r="V897" s="604" t="s">
        <v>375</v>
      </c>
      <c r="W897" s="604">
        <v>284</v>
      </c>
      <c r="Y897" s="535" t="str">
        <f t="shared" si="114"/>
        <v>2016ethageAsian&lt;20infant</v>
      </c>
      <c r="Z897" s="604">
        <v>2016</v>
      </c>
      <c r="AA897" s="604" t="s">
        <v>449</v>
      </c>
      <c r="AB897" s="604" t="s">
        <v>453</v>
      </c>
      <c r="AC897" s="604" t="s">
        <v>355</v>
      </c>
      <c r="AD897" s="604" t="s">
        <v>339</v>
      </c>
      <c r="AE897" s="604">
        <v>0</v>
      </c>
      <c r="AF897" s="604">
        <v>45</v>
      </c>
      <c r="AG897" s="604">
        <v>0</v>
      </c>
      <c r="AH897" s="604" t="s">
        <v>437</v>
      </c>
      <c r="AR897" s="538" t="str">
        <f t="shared" si="115"/>
        <v>Quin 3depinfantTaranaki</v>
      </c>
      <c r="AS897" s="604">
        <v>2016</v>
      </c>
      <c r="AT897" s="604" t="s">
        <v>423</v>
      </c>
      <c r="AU897" s="604" t="s">
        <v>454</v>
      </c>
      <c r="AV897" s="604" t="s">
        <v>93</v>
      </c>
      <c r="AW897" s="604">
        <v>2</v>
      </c>
      <c r="AX897" s="604">
        <v>520</v>
      </c>
      <c r="AY897" s="606">
        <v>3.8</v>
      </c>
      <c r="AZ897" s="604" t="s">
        <v>437</v>
      </c>
      <c r="BY897" s="553" t="str">
        <f t="shared" si="116"/>
        <v>2010MalesexSIDS</v>
      </c>
      <c r="BZ897" s="604">
        <v>2010</v>
      </c>
      <c r="CA897" s="604" t="s">
        <v>70</v>
      </c>
      <c r="CB897" s="604" t="s">
        <v>451</v>
      </c>
      <c r="CC897" s="604">
        <v>14</v>
      </c>
      <c r="CD897" s="604" t="s">
        <v>32</v>
      </c>
    </row>
    <row r="898" spans="9:82">
      <c r="I898" s="578" t="str">
        <f t="shared" si="112"/>
        <v>2004dhbHutt ValleyFetal</v>
      </c>
      <c r="J898" s="604">
        <v>2004</v>
      </c>
      <c r="K898" s="604" t="s">
        <v>448</v>
      </c>
      <c r="L898" s="604" t="s">
        <v>97</v>
      </c>
      <c r="M898" s="604">
        <v>15</v>
      </c>
      <c r="N898" s="604">
        <v>2046</v>
      </c>
      <c r="O898" s="604">
        <v>7.3</v>
      </c>
      <c r="P898" s="604" t="s">
        <v>47</v>
      </c>
      <c r="Q898" s="499"/>
      <c r="R898" s="502" t="str">
        <f t="shared" si="113"/>
        <v>2012birthsgest28-31</v>
      </c>
      <c r="S898" s="604">
        <v>2012</v>
      </c>
      <c r="T898" s="604" t="s">
        <v>445</v>
      </c>
      <c r="U898" s="604" t="s">
        <v>450</v>
      </c>
      <c r="V898" s="604" t="s">
        <v>395</v>
      </c>
      <c r="W898" s="604">
        <v>491</v>
      </c>
      <c r="Y898" s="535" t="str">
        <f t="shared" si="114"/>
        <v>2016ethageEuropean or Other&lt;20infant</v>
      </c>
      <c r="Z898" s="604">
        <v>2016</v>
      </c>
      <c r="AA898" s="604" t="s">
        <v>449</v>
      </c>
      <c r="AB898" s="604" t="s">
        <v>453</v>
      </c>
      <c r="AC898" s="604" t="s">
        <v>356</v>
      </c>
      <c r="AD898" s="604" t="s">
        <v>339</v>
      </c>
      <c r="AE898" s="604">
        <v>0</v>
      </c>
      <c r="AF898" s="604">
        <v>521</v>
      </c>
      <c r="AG898" s="604">
        <v>0</v>
      </c>
      <c r="AH898" s="604" t="s">
        <v>437</v>
      </c>
      <c r="AR898" s="538" t="str">
        <f t="shared" si="115"/>
        <v>Quin 4depinfantTaranaki</v>
      </c>
      <c r="AS898" s="604">
        <v>2016</v>
      </c>
      <c r="AT898" s="604" t="s">
        <v>424</v>
      </c>
      <c r="AU898" s="604" t="s">
        <v>454</v>
      </c>
      <c r="AV898" s="604" t="s">
        <v>93</v>
      </c>
      <c r="AW898" s="604">
        <v>1</v>
      </c>
      <c r="AX898" s="604">
        <v>361</v>
      </c>
      <c r="AY898" s="606">
        <v>2.8</v>
      </c>
      <c r="AZ898" s="604" t="s">
        <v>437</v>
      </c>
      <c r="BY898" s="553" t="str">
        <f t="shared" si="116"/>
        <v>2010FemalesexSIDS</v>
      </c>
      <c r="BZ898" s="604">
        <v>2010</v>
      </c>
      <c r="CA898" s="604" t="s">
        <v>71</v>
      </c>
      <c r="CB898" s="604" t="s">
        <v>451</v>
      </c>
      <c r="CC898" s="604">
        <v>13</v>
      </c>
      <c r="CD898" s="604" t="s">
        <v>32</v>
      </c>
    </row>
    <row r="899" spans="9:82">
      <c r="I899" s="578" t="str">
        <f t="shared" si="112"/>
        <v>2004dhbWairarapaFetal</v>
      </c>
      <c r="J899" s="604">
        <v>2004</v>
      </c>
      <c r="K899" s="604" t="s">
        <v>448</v>
      </c>
      <c r="L899" s="604" t="s">
        <v>98</v>
      </c>
      <c r="M899" s="604">
        <v>9</v>
      </c>
      <c r="N899" s="604">
        <v>531</v>
      </c>
      <c r="O899" s="604">
        <v>16.899999999999999</v>
      </c>
      <c r="P899" s="604" t="s">
        <v>47</v>
      </c>
      <c r="Q899" s="499"/>
      <c r="R899" s="502" t="str">
        <f t="shared" si="113"/>
        <v>2012birthsgest32-36</v>
      </c>
      <c r="S899" s="604">
        <v>2012</v>
      </c>
      <c r="T899" s="604" t="s">
        <v>445</v>
      </c>
      <c r="U899" s="604" t="s">
        <v>450</v>
      </c>
      <c r="V899" s="604" t="s">
        <v>136</v>
      </c>
      <c r="W899" s="604">
        <v>3935</v>
      </c>
      <c r="Y899" s="535" t="str">
        <f t="shared" si="114"/>
        <v>2016ethageMaori20-24infant</v>
      </c>
      <c r="Z899" s="604">
        <v>2016</v>
      </c>
      <c r="AA899" s="604" t="s">
        <v>449</v>
      </c>
      <c r="AB899" s="604" t="s">
        <v>453</v>
      </c>
      <c r="AC899" s="604" t="s">
        <v>129</v>
      </c>
      <c r="AD899" s="604" t="s">
        <v>130</v>
      </c>
      <c r="AE899" s="604">
        <v>31</v>
      </c>
      <c r="AF899" s="604">
        <v>4901</v>
      </c>
      <c r="AG899" s="604">
        <v>6.3</v>
      </c>
      <c r="AH899" s="604" t="s">
        <v>437</v>
      </c>
      <c r="AR899" s="538" t="str">
        <f t="shared" si="115"/>
        <v>Quin 1depinfantMidCentral</v>
      </c>
      <c r="AS899" s="604">
        <v>2016</v>
      </c>
      <c r="AT899" s="604" t="s">
        <v>421</v>
      </c>
      <c r="AU899" s="604" t="s">
        <v>454</v>
      </c>
      <c r="AV899" s="604" t="s">
        <v>94</v>
      </c>
      <c r="AW899" s="604">
        <v>1</v>
      </c>
      <c r="AX899" s="604">
        <v>136</v>
      </c>
      <c r="AY899" s="606">
        <v>7.4</v>
      </c>
      <c r="AZ899" s="604" t="s">
        <v>437</v>
      </c>
      <c r="BY899" s="553" t="str">
        <f t="shared" si="116"/>
        <v>2010Ind/UnksexSIDS</v>
      </c>
      <c r="BZ899" s="604">
        <v>2010</v>
      </c>
      <c r="CA899" s="604" t="s">
        <v>458</v>
      </c>
      <c r="CB899" s="604" t="s">
        <v>451</v>
      </c>
      <c r="CC899" s="604">
        <v>0</v>
      </c>
      <c r="CD899" s="604" t="s">
        <v>32</v>
      </c>
    </row>
    <row r="900" spans="9:82">
      <c r="I900" s="578" t="str">
        <f t="shared" ref="I900:I963" si="117">J900&amp;K900&amp;L900&amp;P900</f>
        <v>2004dhbNelson MarlboroughFetal</v>
      </c>
      <c r="J900" s="604">
        <v>2004</v>
      </c>
      <c r="K900" s="604" t="s">
        <v>448</v>
      </c>
      <c r="L900" s="604" t="s">
        <v>99</v>
      </c>
      <c r="M900" s="604">
        <v>14</v>
      </c>
      <c r="N900" s="604">
        <v>1637</v>
      </c>
      <c r="O900" s="604">
        <v>8.6</v>
      </c>
      <c r="P900" s="604" t="s">
        <v>47</v>
      </c>
      <c r="Q900" s="499"/>
      <c r="R900" s="502" t="str">
        <f t="shared" ref="R900:R963" si="118">S900&amp;T900&amp;U900&amp;V900</f>
        <v>2012birthsgest37-41</v>
      </c>
      <c r="S900" s="604">
        <v>2012</v>
      </c>
      <c r="T900" s="604" t="s">
        <v>445</v>
      </c>
      <c r="U900" s="604" t="s">
        <v>450</v>
      </c>
      <c r="V900" s="604" t="s">
        <v>137</v>
      </c>
      <c r="W900" s="604">
        <v>55825</v>
      </c>
      <c r="Y900" s="535" t="str">
        <f t="shared" ref="Y900:Y963" si="119">Z900&amp;AA900&amp;AB900&amp;AC900&amp;AD900&amp;AH900</f>
        <v>2016ethagePacific peoples20-24infant</v>
      </c>
      <c r="Z900" s="604">
        <v>2016</v>
      </c>
      <c r="AA900" s="604" t="s">
        <v>449</v>
      </c>
      <c r="AB900" s="604" t="s">
        <v>453</v>
      </c>
      <c r="AC900" s="604" t="s">
        <v>320</v>
      </c>
      <c r="AD900" s="604" t="s">
        <v>130</v>
      </c>
      <c r="AE900" s="604">
        <v>12</v>
      </c>
      <c r="AF900" s="604">
        <v>1509</v>
      </c>
      <c r="AG900" s="604">
        <v>8</v>
      </c>
      <c r="AH900" s="604" t="s">
        <v>437</v>
      </c>
      <c r="AR900" s="538" t="str">
        <f t="shared" ref="AR900:AR922" si="120">AT900&amp;AU900&amp;AZ900&amp;AV900</f>
        <v>Quin 2depinfantMidCentral</v>
      </c>
      <c r="AS900" s="604">
        <v>2016</v>
      </c>
      <c r="AT900" s="604" t="s">
        <v>422</v>
      </c>
      <c r="AU900" s="604" t="s">
        <v>454</v>
      </c>
      <c r="AV900" s="604" t="s">
        <v>94</v>
      </c>
      <c r="AW900" s="604">
        <v>2</v>
      </c>
      <c r="AX900" s="604">
        <v>301</v>
      </c>
      <c r="AY900" s="606">
        <v>6.6</v>
      </c>
      <c r="AZ900" s="604" t="s">
        <v>437</v>
      </c>
      <c r="BY900" s="553" t="str">
        <f t="shared" ref="BY900:BY963" si="121">BZ900&amp;CA900&amp;CB900&amp;CD900</f>
        <v>2011MalesexSIDS</v>
      </c>
      <c r="BZ900" s="604">
        <v>2011</v>
      </c>
      <c r="CA900" s="604" t="s">
        <v>70</v>
      </c>
      <c r="CB900" s="604" t="s">
        <v>451</v>
      </c>
      <c r="CC900" s="604">
        <v>19</v>
      </c>
      <c r="CD900" s="604" t="s">
        <v>32</v>
      </c>
    </row>
    <row r="901" spans="9:82">
      <c r="I901" s="578" t="str">
        <f t="shared" si="117"/>
        <v>2004dhbWest CoastFetal</v>
      </c>
      <c r="J901" s="604">
        <v>2004</v>
      </c>
      <c r="K901" s="604" t="s">
        <v>448</v>
      </c>
      <c r="L901" s="604" t="s">
        <v>100</v>
      </c>
      <c r="M901" s="604">
        <v>4</v>
      </c>
      <c r="N901" s="604">
        <v>403</v>
      </c>
      <c r="O901" s="604">
        <v>9.9</v>
      </c>
      <c r="P901" s="604" t="s">
        <v>47</v>
      </c>
      <c r="Q901" s="499"/>
      <c r="R901" s="502" t="str">
        <f t="shared" si="118"/>
        <v>2012birthsgest42+</v>
      </c>
      <c r="S901" s="604">
        <v>2012</v>
      </c>
      <c r="T901" s="604" t="s">
        <v>445</v>
      </c>
      <c r="U901" s="604" t="s">
        <v>450</v>
      </c>
      <c r="V901" s="604" t="s">
        <v>138</v>
      </c>
      <c r="W901" s="604">
        <v>1481</v>
      </c>
      <c r="Y901" s="535" t="str">
        <f t="shared" si="119"/>
        <v>2016ethageAsian20-24infant</v>
      </c>
      <c r="Z901" s="604">
        <v>2016</v>
      </c>
      <c r="AA901" s="604" t="s">
        <v>449</v>
      </c>
      <c r="AB901" s="604" t="s">
        <v>453</v>
      </c>
      <c r="AC901" s="604" t="s">
        <v>355</v>
      </c>
      <c r="AD901" s="604" t="s">
        <v>130</v>
      </c>
      <c r="AE901" s="604">
        <v>6</v>
      </c>
      <c r="AF901" s="604">
        <v>790</v>
      </c>
      <c r="AG901" s="604">
        <v>7.6</v>
      </c>
      <c r="AH901" s="604" t="s">
        <v>437</v>
      </c>
      <c r="AR901" s="538" t="str">
        <f t="shared" si="120"/>
        <v>Quin 3depinfantMidCentral</v>
      </c>
      <c r="AS901" s="604">
        <v>2016</v>
      </c>
      <c r="AT901" s="604" t="s">
        <v>423</v>
      </c>
      <c r="AU901" s="604" t="s">
        <v>454</v>
      </c>
      <c r="AV901" s="604" t="s">
        <v>94</v>
      </c>
      <c r="AW901" s="604">
        <v>1</v>
      </c>
      <c r="AX901" s="604">
        <v>439</v>
      </c>
      <c r="AY901" s="606">
        <v>2.2999999999999998</v>
      </c>
      <c r="AZ901" s="604" t="s">
        <v>437</v>
      </c>
      <c r="BY901" s="553" t="str">
        <f t="shared" si="121"/>
        <v>2011FemalesexSIDS</v>
      </c>
      <c r="BZ901" s="604">
        <v>2011</v>
      </c>
      <c r="CA901" s="604" t="s">
        <v>71</v>
      </c>
      <c r="CB901" s="604" t="s">
        <v>451</v>
      </c>
      <c r="CC901" s="604">
        <v>7</v>
      </c>
      <c r="CD901" s="604" t="s">
        <v>32</v>
      </c>
    </row>
    <row r="902" spans="9:82">
      <c r="I902" s="578" t="str">
        <f t="shared" si="117"/>
        <v>2004dhbCanterburyFetal</v>
      </c>
      <c r="J902" s="604">
        <v>2004</v>
      </c>
      <c r="K902" s="604" t="s">
        <v>448</v>
      </c>
      <c r="L902" s="604" t="s">
        <v>101</v>
      </c>
      <c r="M902" s="604">
        <v>52</v>
      </c>
      <c r="N902" s="604">
        <v>6123</v>
      </c>
      <c r="O902" s="604">
        <v>8.5</v>
      </c>
      <c r="P902" s="604" t="s">
        <v>47</v>
      </c>
      <c r="Q902" s="499"/>
      <c r="R902" s="502" t="str">
        <f t="shared" si="118"/>
        <v>2012birthsgestUnknown</v>
      </c>
      <c r="S902" s="604">
        <v>2012</v>
      </c>
      <c r="T902" s="604" t="s">
        <v>445</v>
      </c>
      <c r="U902" s="604" t="s">
        <v>450</v>
      </c>
      <c r="V902" s="604" t="s">
        <v>63</v>
      </c>
      <c r="W902" s="604">
        <v>19</v>
      </c>
      <c r="Y902" s="535" t="str">
        <f t="shared" si="119"/>
        <v>2016ethageEuropean or Other20-24infant</v>
      </c>
      <c r="Z902" s="604">
        <v>2016</v>
      </c>
      <c r="AA902" s="604" t="s">
        <v>449</v>
      </c>
      <c r="AB902" s="604" t="s">
        <v>453</v>
      </c>
      <c r="AC902" s="604" t="s">
        <v>356</v>
      </c>
      <c r="AD902" s="604" t="s">
        <v>130</v>
      </c>
      <c r="AE902" s="604">
        <v>12</v>
      </c>
      <c r="AF902" s="604">
        <v>2734</v>
      </c>
      <c r="AG902" s="604">
        <v>4.4000000000000004</v>
      </c>
      <c r="AH902" s="604" t="s">
        <v>437</v>
      </c>
      <c r="AR902" s="538" t="str">
        <f t="shared" si="120"/>
        <v>Quin 4depinfantMidCentral</v>
      </c>
      <c r="AS902" s="604">
        <v>2016</v>
      </c>
      <c r="AT902" s="604" t="s">
        <v>424</v>
      </c>
      <c r="AU902" s="604" t="s">
        <v>454</v>
      </c>
      <c r="AV902" s="604" t="s">
        <v>94</v>
      </c>
      <c r="AW902" s="604">
        <v>2</v>
      </c>
      <c r="AX902" s="604">
        <v>431</v>
      </c>
      <c r="AY902" s="606">
        <v>4.5999999999999996</v>
      </c>
      <c r="AZ902" s="604" t="s">
        <v>437</v>
      </c>
      <c r="BY902" s="553" t="str">
        <f t="shared" si="121"/>
        <v>2011Ind/UnksexSIDS</v>
      </c>
      <c r="BZ902" s="604">
        <v>2011</v>
      </c>
      <c r="CA902" s="604" t="s">
        <v>458</v>
      </c>
      <c r="CB902" s="604" t="s">
        <v>451</v>
      </c>
      <c r="CC902" s="604">
        <v>0</v>
      </c>
      <c r="CD902" s="604" t="s">
        <v>32</v>
      </c>
    </row>
    <row r="903" spans="9:82">
      <c r="I903" s="578" t="str">
        <f t="shared" si="117"/>
        <v>2004dhbSouth CanterburyFetal</v>
      </c>
      <c r="J903" s="604">
        <v>2004</v>
      </c>
      <c r="K903" s="604" t="s">
        <v>448</v>
      </c>
      <c r="L903" s="604" t="s">
        <v>102</v>
      </c>
      <c r="M903" s="604">
        <v>4</v>
      </c>
      <c r="N903" s="604">
        <v>573</v>
      </c>
      <c r="O903" s="604">
        <v>7</v>
      </c>
      <c r="P903" s="604" t="s">
        <v>47</v>
      </c>
      <c r="Q903" s="499"/>
      <c r="R903" s="502" t="str">
        <f t="shared" si="118"/>
        <v>2013birthsgest&lt;28</v>
      </c>
      <c r="S903" s="604">
        <v>2013</v>
      </c>
      <c r="T903" s="604" t="s">
        <v>445</v>
      </c>
      <c r="U903" s="604" t="s">
        <v>450</v>
      </c>
      <c r="V903" s="604" t="s">
        <v>375</v>
      </c>
      <c r="W903" s="604">
        <v>299</v>
      </c>
      <c r="Y903" s="535" t="str">
        <f t="shared" si="119"/>
        <v>2016ethageMaori25-29infant</v>
      </c>
      <c r="Z903" s="604">
        <v>2016</v>
      </c>
      <c r="AA903" s="604" t="s">
        <v>449</v>
      </c>
      <c r="AB903" s="604" t="s">
        <v>453</v>
      </c>
      <c r="AC903" s="604" t="s">
        <v>129</v>
      </c>
      <c r="AD903" s="604" t="s">
        <v>131</v>
      </c>
      <c r="AE903" s="604">
        <v>27</v>
      </c>
      <c r="AF903" s="604">
        <v>4991</v>
      </c>
      <c r="AG903" s="604">
        <v>5.4</v>
      </c>
      <c r="AH903" s="604" t="s">
        <v>437</v>
      </c>
      <c r="AR903" s="538" t="str">
        <f t="shared" si="120"/>
        <v>Quin 5depinfantMidCentral</v>
      </c>
      <c r="AS903" s="604">
        <v>2016</v>
      </c>
      <c r="AT903" s="604" t="s">
        <v>425</v>
      </c>
      <c r="AU903" s="604" t="s">
        <v>454</v>
      </c>
      <c r="AV903" s="604" t="s">
        <v>94</v>
      </c>
      <c r="AW903" s="604">
        <v>4</v>
      </c>
      <c r="AX903" s="604">
        <v>799</v>
      </c>
      <c r="AY903" s="606">
        <v>5</v>
      </c>
      <c r="AZ903" s="604" t="s">
        <v>437</v>
      </c>
      <c r="BY903" s="553" t="str">
        <f t="shared" si="121"/>
        <v>2012MalesexSIDS</v>
      </c>
      <c r="BZ903" s="604">
        <v>2012</v>
      </c>
      <c r="CA903" s="604" t="s">
        <v>70</v>
      </c>
      <c r="CB903" s="604" t="s">
        <v>451</v>
      </c>
      <c r="CC903" s="604">
        <v>11</v>
      </c>
      <c r="CD903" s="604" t="s">
        <v>32</v>
      </c>
    </row>
    <row r="904" spans="9:82">
      <c r="I904" s="578" t="str">
        <f t="shared" si="117"/>
        <v>2004dhbSouthernFetal</v>
      </c>
      <c r="J904" s="604">
        <v>2004</v>
      </c>
      <c r="K904" s="604" t="s">
        <v>448</v>
      </c>
      <c r="L904" s="604" t="s">
        <v>103</v>
      </c>
      <c r="M904" s="604">
        <v>25</v>
      </c>
      <c r="N904" s="604">
        <v>3483</v>
      </c>
      <c r="O904" s="604">
        <v>7.2</v>
      </c>
      <c r="P904" s="604" t="s">
        <v>47</v>
      </c>
      <c r="Q904" s="499"/>
      <c r="R904" s="502" t="str">
        <f t="shared" si="118"/>
        <v>2013birthsgest28-31</v>
      </c>
      <c r="S904" s="604">
        <v>2013</v>
      </c>
      <c r="T904" s="604" t="s">
        <v>445</v>
      </c>
      <c r="U904" s="604" t="s">
        <v>450</v>
      </c>
      <c r="V904" s="604" t="s">
        <v>395</v>
      </c>
      <c r="W904" s="604">
        <v>448</v>
      </c>
      <c r="Y904" s="535" t="str">
        <f t="shared" si="119"/>
        <v>2016ethagePacific peoples25-29infant</v>
      </c>
      <c r="Z904" s="604">
        <v>2016</v>
      </c>
      <c r="AA904" s="604" t="s">
        <v>449</v>
      </c>
      <c r="AB904" s="604" t="s">
        <v>453</v>
      </c>
      <c r="AC904" s="604" t="s">
        <v>320</v>
      </c>
      <c r="AD904" s="604" t="s">
        <v>131</v>
      </c>
      <c r="AE904" s="604">
        <v>3</v>
      </c>
      <c r="AF904" s="604">
        <v>1704</v>
      </c>
      <c r="AG904" s="604">
        <v>1.8</v>
      </c>
      <c r="AH904" s="604" t="s">
        <v>437</v>
      </c>
      <c r="AR904" s="538" t="str">
        <f t="shared" si="120"/>
        <v>Quin 2depinfantWhanganui</v>
      </c>
      <c r="AS904" s="604">
        <v>2016</v>
      </c>
      <c r="AT904" s="604" t="s">
        <v>422</v>
      </c>
      <c r="AU904" s="604" t="s">
        <v>454</v>
      </c>
      <c r="AV904" s="604" t="s">
        <v>95</v>
      </c>
      <c r="AW904" s="604">
        <v>1</v>
      </c>
      <c r="AX904" s="604">
        <v>49</v>
      </c>
      <c r="AY904" s="606">
        <v>20.399999999999999</v>
      </c>
      <c r="AZ904" s="604" t="s">
        <v>437</v>
      </c>
      <c r="BY904" s="553" t="str">
        <f t="shared" si="121"/>
        <v>2012FemalesexSIDS</v>
      </c>
      <c r="BZ904" s="604">
        <v>2012</v>
      </c>
      <c r="CA904" s="604" t="s">
        <v>71</v>
      </c>
      <c r="CB904" s="604" t="s">
        <v>451</v>
      </c>
      <c r="CC904" s="604">
        <v>7</v>
      </c>
      <c r="CD904" s="604" t="s">
        <v>32</v>
      </c>
    </row>
    <row r="905" spans="9:82">
      <c r="I905" s="578" t="str">
        <f t="shared" si="117"/>
        <v>2004dhbUnknownFetal</v>
      </c>
      <c r="J905" s="604">
        <v>2004</v>
      </c>
      <c r="K905" s="604" t="s">
        <v>448</v>
      </c>
      <c r="L905" s="604" t="s">
        <v>63</v>
      </c>
      <c r="M905" s="604">
        <v>0</v>
      </c>
      <c r="N905" s="604">
        <v>356</v>
      </c>
      <c r="O905" s="604" t="s">
        <v>119</v>
      </c>
      <c r="P905" s="604" t="s">
        <v>47</v>
      </c>
      <c r="Q905" s="499"/>
      <c r="R905" s="502" t="str">
        <f t="shared" si="118"/>
        <v>2013birthsgest32-36</v>
      </c>
      <c r="S905" s="604">
        <v>2013</v>
      </c>
      <c r="T905" s="604" t="s">
        <v>445</v>
      </c>
      <c r="U905" s="604" t="s">
        <v>450</v>
      </c>
      <c r="V905" s="604" t="s">
        <v>136</v>
      </c>
      <c r="W905" s="604">
        <v>3720</v>
      </c>
      <c r="Y905" s="535" t="str">
        <f t="shared" si="119"/>
        <v>2016ethageAsian25-29infant</v>
      </c>
      <c r="Z905" s="604">
        <v>2016</v>
      </c>
      <c r="AA905" s="604" t="s">
        <v>449</v>
      </c>
      <c r="AB905" s="604" t="s">
        <v>453</v>
      </c>
      <c r="AC905" s="604" t="s">
        <v>355</v>
      </c>
      <c r="AD905" s="604" t="s">
        <v>131</v>
      </c>
      <c r="AE905" s="604">
        <v>5</v>
      </c>
      <c r="AF905" s="604">
        <v>3248</v>
      </c>
      <c r="AG905" s="604">
        <v>1.5</v>
      </c>
      <c r="AH905" s="604" t="s">
        <v>437</v>
      </c>
      <c r="AR905" s="538" t="str">
        <f t="shared" si="120"/>
        <v>Quin 5depinfantWhanganui</v>
      </c>
      <c r="AS905" s="604">
        <v>2016</v>
      </c>
      <c r="AT905" s="604" t="s">
        <v>425</v>
      </c>
      <c r="AU905" s="604" t="s">
        <v>454</v>
      </c>
      <c r="AV905" s="604" t="s">
        <v>95</v>
      </c>
      <c r="AW905" s="604">
        <v>5</v>
      </c>
      <c r="AX905" s="604">
        <v>395</v>
      </c>
      <c r="AY905" s="606">
        <v>12.7</v>
      </c>
      <c r="AZ905" s="604" t="s">
        <v>437</v>
      </c>
      <c r="BY905" s="553" t="str">
        <f t="shared" si="121"/>
        <v>2012Ind/UnksexSIDS</v>
      </c>
      <c r="BZ905" s="604">
        <v>2012</v>
      </c>
      <c r="CA905" s="604" t="s">
        <v>458</v>
      </c>
      <c r="CB905" s="604" t="s">
        <v>451</v>
      </c>
      <c r="CC905" s="604">
        <v>0</v>
      </c>
      <c r="CD905" s="604" t="s">
        <v>32</v>
      </c>
    </row>
    <row r="906" spans="9:82">
      <c r="I906" s="578" t="str">
        <f t="shared" si="117"/>
        <v>2005dhbNorthlandFetal</v>
      </c>
      <c r="J906" s="604">
        <v>2005</v>
      </c>
      <c r="K906" s="604" t="s">
        <v>448</v>
      </c>
      <c r="L906" s="604" t="s">
        <v>85</v>
      </c>
      <c r="M906" s="604">
        <v>15</v>
      </c>
      <c r="N906" s="604">
        <v>2152</v>
      </c>
      <c r="O906" s="604">
        <v>7</v>
      </c>
      <c r="P906" s="604" t="s">
        <v>47</v>
      </c>
      <c r="Q906" s="499"/>
      <c r="R906" s="502" t="str">
        <f t="shared" si="118"/>
        <v>2013birthsgest37-41</v>
      </c>
      <c r="S906" s="604">
        <v>2013</v>
      </c>
      <c r="T906" s="604" t="s">
        <v>445</v>
      </c>
      <c r="U906" s="604" t="s">
        <v>450</v>
      </c>
      <c r="V906" s="604" t="s">
        <v>137</v>
      </c>
      <c r="W906" s="604">
        <v>54038</v>
      </c>
      <c r="Y906" s="535" t="str">
        <f t="shared" si="119"/>
        <v>2016ethageEuropean or Other25-29infant</v>
      </c>
      <c r="Z906" s="604">
        <v>2016</v>
      </c>
      <c r="AA906" s="604" t="s">
        <v>449</v>
      </c>
      <c r="AB906" s="604" t="s">
        <v>453</v>
      </c>
      <c r="AC906" s="604" t="s">
        <v>356</v>
      </c>
      <c r="AD906" s="604" t="s">
        <v>131</v>
      </c>
      <c r="AE906" s="604">
        <v>17</v>
      </c>
      <c r="AF906" s="604">
        <v>6721</v>
      </c>
      <c r="AG906" s="604">
        <v>2.5</v>
      </c>
      <c r="AH906" s="604" t="s">
        <v>437</v>
      </c>
      <c r="AR906" s="538" t="str">
        <f t="shared" si="120"/>
        <v>Quin 1depinfantCapital &amp; Coast</v>
      </c>
      <c r="AS906" s="604">
        <v>2016</v>
      </c>
      <c r="AT906" s="604" t="s">
        <v>421</v>
      </c>
      <c r="AU906" s="604" t="s">
        <v>454</v>
      </c>
      <c r="AV906" s="604" t="s">
        <v>96</v>
      </c>
      <c r="AW906" s="604">
        <v>2</v>
      </c>
      <c r="AX906" s="604">
        <v>1072</v>
      </c>
      <c r="AY906" s="606">
        <v>1.9</v>
      </c>
      <c r="AZ906" s="604" t="s">
        <v>437</v>
      </c>
      <c r="BY906" s="553" t="str">
        <f t="shared" si="121"/>
        <v>2013MalesexSIDS</v>
      </c>
      <c r="BZ906" s="604">
        <v>2013</v>
      </c>
      <c r="CA906" s="604" t="s">
        <v>70</v>
      </c>
      <c r="CB906" s="604" t="s">
        <v>451</v>
      </c>
      <c r="CC906" s="604">
        <v>16</v>
      </c>
      <c r="CD906" s="604" t="s">
        <v>32</v>
      </c>
    </row>
    <row r="907" spans="9:82">
      <c r="I907" s="578" t="str">
        <f t="shared" si="117"/>
        <v>2005dhbWaitemataFetal</v>
      </c>
      <c r="J907" s="604">
        <v>2005</v>
      </c>
      <c r="K907" s="604" t="s">
        <v>448</v>
      </c>
      <c r="L907" s="604" t="s">
        <v>86</v>
      </c>
      <c r="M907" s="604">
        <v>57</v>
      </c>
      <c r="N907" s="604">
        <v>7001</v>
      </c>
      <c r="O907" s="604">
        <v>8.1</v>
      </c>
      <c r="P907" s="604" t="s">
        <v>47</v>
      </c>
      <c r="Q907" s="499"/>
      <c r="R907" s="502" t="str">
        <f t="shared" si="118"/>
        <v>2013birthsgest42+</v>
      </c>
      <c r="S907" s="604">
        <v>2013</v>
      </c>
      <c r="T907" s="604" t="s">
        <v>445</v>
      </c>
      <c r="U907" s="604" t="s">
        <v>450</v>
      </c>
      <c r="V907" s="604" t="s">
        <v>138</v>
      </c>
      <c r="W907" s="604">
        <v>1175</v>
      </c>
      <c r="Y907" s="535" t="str">
        <f t="shared" si="119"/>
        <v>2016ethageMaori30-34infant</v>
      </c>
      <c r="Z907" s="604">
        <v>2016</v>
      </c>
      <c r="AA907" s="604" t="s">
        <v>449</v>
      </c>
      <c r="AB907" s="604" t="s">
        <v>453</v>
      </c>
      <c r="AC907" s="604" t="s">
        <v>129</v>
      </c>
      <c r="AD907" s="604" t="s">
        <v>132</v>
      </c>
      <c r="AE907" s="604">
        <v>14</v>
      </c>
      <c r="AF907" s="604">
        <v>3514</v>
      </c>
      <c r="AG907" s="604">
        <v>4</v>
      </c>
      <c r="AH907" s="604" t="s">
        <v>437</v>
      </c>
      <c r="AR907" s="538" t="str">
        <f t="shared" si="120"/>
        <v>Quin 2depinfantCapital &amp; Coast</v>
      </c>
      <c r="AS907" s="604">
        <v>2016</v>
      </c>
      <c r="AT907" s="604" t="s">
        <v>422</v>
      </c>
      <c r="AU907" s="604" t="s">
        <v>454</v>
      </c>
      <c r="AV907" s="604" t="s">
        <v>96</v>
      </c>
      <c r="AW907" s="604">
        <v>1</v>
      </c>
      <c r="AX907" s="604">
        <v>661</v>
      </c>
      <c r="AY907" s="606">
        <v>1.5</v>
      </c>
      <c r="AZ907" s="604" t="s">
        <v>437</v>
      </c>
      <c r="BY907" s="553" t="str">
        <f t="shared" si="121"/>
        <v>2013FemalesexSIDS</v>
      </c>
      <c r="BZ907" s="604">
        <v>2013</v>
      </c>
      <c r="CA907" s="604" t="s">
        <v>71</v>
      </c>
      <c r="CB907" s="604" t="s">
        <v>451</v>
      </c>
      <c r="CC907" s="604">
        <v>5</v>
      </c>
      <c r="CD907" s="604" t="s">
        <v>32</v>
      </c>
    </row>
    <row r="908" spans="9:82">
      <c r="I908" s="578" t="str">
        <f t="shared" si="117"/>
        <v>2005dhbAucklandFetal</v>
      </c>
      <c r="J908" s="604">
        <v>2005</v>
      </c>
      <c r="K908" s="604" t="s">
        <v>448</v>
      </c>
      <c r="L908" s="604" t="s">
        <v>87</v>
      </c>
      <c r="M908" s="604">
        <v>22</v>
      </c>
      <c r="N908" s="604">
        <v>6269</v>
      </c>
      <c r="O908" s="604">
        <v>3.5</v>
      </c>
      <c r="P908" s="604" t="s">
        <v>47</v>
      </c>
      <c r="Q908" s="499"/>
      <c r="R908" s="502" t="str">
        <f t="shared" si="118"/>
        <v>2013birthsgestUnknown</v>
      </c>
      <c r="S908" s="604">
        <v>2013</v>
      </c>
      <c r="T908" s="604" t="s">
        <v>445</v>
      </c>
      <c r="U908" s="604" t="s">
        <v>450</v>
      </c>
      <c r="V908" s="604" t="s">
        <v>63</v>
      </c>
      <c r="W908" s="604">
        <v>21</v>
      </c>
      <c r="Y908" s="535" t="str">
        <f t="shared" si="119"/>
        <v>2016ethagePacific peoples30-34infant</v>
      </c>
      <c r="Z908" s="604">
        <v>2016</v>
      </c>
      <c r="AA908" s="604" t="s">
        <v>449</v>
      </c>
      <c r="AB908" s="604" t="s">
        <v>453</v>
      </c>
      <c r="AC908" s="604" t="s">
        <v>320</v>
      </c>
      <c r="AD908" s="604" t="s">
        <v>132</v>
      </c>
      <c r="AE908" s="604">
        <v>7</v>
      </c>
      <c r="AF908" s="604">
        <v>1354</v>
      </c>
      <c r="AG908" s="604">
        <v>5.2</v>
      </c>
      <c r="AH908" s="604" t="s">
        <v>437</v>
      </c>
      <c r="AR908" s="538" t="str">
        <f t="shared" si="120"/>
        <v>Quin 3depinfantCapital &amp; Coast</v>
      </c>
      <c r="AS908" s="604">
        <v>2016</v>
      </c>
      <c r="AT908" s="604" t="s">
        <v>423</v>
      </c>
      <c r="AU908" s="604" t="s">
        <v>454</v>
      </c>
      <c r="AV908" s="604" t="s">
        <v>96</v>
      </c>
      <c r="AW908" s="604">
        <v>3</v>
      </c>
      <c r="AX908" s="604">
        <v>637</v>
      </c>
      <c r="AY908" s="606">
        <v>4.7</v>
      </c>
      <c r="AZ908" s="604" t="s">
        <v>437</v>
      </c>
      <c r="BY908" s="553" t="str">
        <f t="shared" si="121"/>
        <v>2013Ind/UnksexSIDS</v>
      </c>
      <c r="BZ908" s="604">
        <v>2013</v>
      </c>
      <c r="CA908" s="604" t="s">
        <v>458</v>
      </c>
      <c r="CB908" s="604" t="s">
        <v>451</v>
      </c>
      <c r="CC908" s="604">
        <v>0</v>
      </c>
      <c r="CD908" s="604" t="s">
        <v>32</v>
      </c>
    </row>
    <row r="909" spans="9:82">
      <c r="I909" s="578" t="str">
        <f t="shared" si="117"/>
        <v>2005dhbCounties ManukauFetal</v>
      </c>
      <c r="J909" s="604">
        <v>2005</v>
      </c>
      <c r="K909" s="604" t="s">
        <v>448</v>
      </c>
      <c r="L909" s="604" t="s">
        <v>88</v>
      </c>
      <c r="M909" s="604">
        <v>56</v>
      </c>
      <c r="N909" s="604">
        <v>8126</v>
      </c>
      <c r="O909" s="604">
        <v>6.9</v>
      </c>
      <c r="P909" s="604" t="s">
        <v>47</v>
      </c>
      <c r="Q909" s="499"/>
      <c r="R909" s="502" t="str">
        <f t="shared" si="118"/>
        <v>2014birthsgest&lt;28</v>
      </c>
      <c r="S909" s="604">
        <v>2014</v>
      </c>
      <c r="T909" s="604" t="s">
        <v>445</v>
      </c>
      <c r="U909" s="604" t="s">
        <v>450</v>
      </c>
      <c r="V909" s="604" t="s">
        <v>375</v>
      </c>
      <c r="W909" s="604">
        <v>318</v>
      </c>
      <c r="Y909" s="535" t="str">
        <f t="shared" si="119"/>
        <v>2016ethageAsian30-34infant</v>
      </c>
      <c r="Z909" s="604">
        <v>2016</v>
      </c>
      <c r="AA909" s="604" t="s">
        <v>449</v>
      </c>
      <c r="AB909" s="604" t="s">
        <v>453</v>
      </c>
      <c r="AC909" s="604" t="s">
        <v>355</v>
      </c>
      <c r="AD909" s="604" t="s">
        <v>132</v>
      </c>
      <c r="AE909" s="604">
        <v>10</v>
      </c>
      <c r="AF909" s="604">
        <v>4523</v>
      </c>
      <c r="AG909" s="604">
        <v>2.2000000000000002</v>
      </c>
      <c r="AH909" s="604" t="s">
        <v>437</v>
      </c>
      <c r="AR909" s="538" t="str">
        <f t="shared" si="120"/>
        <v>Quin 4depinfantCapital &amp; Coast</v>
      </c>
      <c r="AS909" s="604">
        <v>2016</v>
      </c>
      <c r="AT909" s="604" t="s">
        <v>424</v>
      </c>
      <c r="AU909" s="604" t="s">
        <v>454</v>
      </c>
      <c r="AV909" s="604" t="s">
        <v>96</v>
      </c>
      <c r="AW909" s="604">
        <v>3</v>
      </c>
      <c r="AX909" s="604">
        <v>668</v>
      </c>
      <c r="AY909" s="606">
        <v>4.5</v>
      </c>
      <c r="AZ909" s="604" t="s">
        <v>437</v>
      </c>
      <c r="BY909" s="553" t="str">
        <f t="shared" si="121"/>
        <v>2014MalesexSIDS</v>
      </c>
      <c r="BZ909" s="604">
        <v>2014</v>
      </c>
      <c r="CA909" s="604" t="s">
        <v>70</v>
      </c>
      <c r="CB909" s="604" t="s">
        <v>451</v>
      </c>
      <c r="CC909" s="604">
        <v>10</v>
      </c>
      <c r="CD909" s="604" t="s">
        <v>32</v>
      </c>
    </row>
    <row r="910" spans="9:82">
      <c r="I910" s="578" t="str">
        <f t="shared" si="117"/>
        <v>2005dhbWaikatoFetal</v>
      </c>
      <c r="J910" s="604">
        <v>2005</v>
      </c>
      <c r="K910" s="604" t="s">
        <v>448</v>
      </c>
      <c r="L910" s="604" t="s">
        <v>89</v>
      </c>
      <c r="M910" s="604">
        <v>33</v>
      </c>
      <c r="N910" s="604">
        <v>5143</v>
      </c>
      <c r="O910" s="604">
        <v>6.4</v>
      </c>
      <c r="P910" s="604" t="s">
        <v>47</v>
      </c>
      <c r="Q910" s="499"/>
      <c r="R910" s="502" t="str">
        <f t="shared" si="118"/>
        <v>2014birthsgest28-31</v>
      </c>
      <c r="S910" s="604">
        <v>2014</v>
      </c>
      <c r="T910" s="604" t="s">
        <v>445</v>
      </c>
      <c r="U910" s="604" t="s">
        <v>450</v>
      </c>
      <c r="V910" s="604" t="s">
        <v>395</v>
      </c>
      <c r="W910" s="604">
        <v>421</v>
      </c>
      <c r="Y910" s="535" t="str">
        <f t="shared" si="119"/>
        <v>2016ethageEuropean or Other30-34infant</v>
      </c>
      <c r="Z910" s="604">
        <v>2016</v>
      </c>
      <c r="AA910" s="604" t="s">
        <v>449</v>
      </c>
      <c r="AB910" s="604" t="s">
        <v>453</v>
      </c>
      <c r="AC910" s="604" t="s">
        <v>356</v>
      </c>
      <c r="AD910" s="604" t="s">
        <v>132</v>
      </c>
      <c r="AE910" s="604">
        <v>28</v>
      </c>
      <c r="AF910" s="604">
        <v>9329</v>
      </c>
      <c r="AG910" s="604">
        <v>3</v>
      </c>
      <c r="AH910" s="604" t="s">
        <v>437</v>
      </c>
      <c r="AR910" s="538" t="str">
        <f t="shared" si="120"/>
        <v>Quin 5depinfantCapital &amp; Coast</v>
      </c>
      <c r="AS910" s="604">
        <v>2016</v>
      </c>
      <c r="AT910" s="604" t="s">
        <v>425</v>
      </c>
      <c r="AU910" s="604" t="s">
        <v>454</v>
      </c>
      <c r="AV910" s="604" t="s">
        <v>96</v>
      </c>
      <c r="AW910" s="604">
        <v>1</v>
      </c>
      <c r="AX910" s="604">
        <v>489</v>
      </c>
      <c r="AY910" s="606">
        <v>2</v>
      </c>
      <c r="AZ910" s="604" t="s">
        <v>437</v>
      </c>
      <c r="BY910" s="553" t="str">
        <f t="shared" si="121"/>
        <v>2014FemalesexSIDS</v>
      </c>
      <c r="BZ910" s="604">
        <v>2014</v>
      </c>
      <c r="CA910" s="604" t="s">
        <v>71</v>
      </c>
      <c r="CB910" s="604" t="s">
        <v>451</v>
      </c>
      <c r="CC910" s="604">
        <v>4</v>
      </c>
      <c r="CD910" s="604" t="s">
        <v>32</v>
      </c>
    </row>
    <row r="911" spans="9:82">
      <c r="I911" s="578" t="str">
        <f t="shared" si="117"/>
        <v>2005dhbLakesFetal</v>
      </c>
      <c r="J911" s="604">
        <v>2005</v>
      </c>
      <c r="K911" s="604" t="s">
        <v>448</v>
      </c>
      <c r="L911" s="604" t="s">
        <v>90</v>
      </c>
      <c r="M911" s="604">
        <v>14</v>
      </c>
      <c r="N911" s="604">
        <v>1591</v>
      </c>
      <c r="O911" s="604">
        <v>8.8000000000000007</v>
      </c>
      <c r="P911" s="604" t="s">
        <v>47</v>
      </c>
      <c r="Q911" s="499"/>
      <c r="R911" s="502" t="str">
        <f t="shared" si="118"/>
        <v>2014birthsgest32-36</v>
      </c>
      <c r="S911" s="604">
        <v>2014</v>
      </c>
      <c r="T911" s="604" t="s">
        <v>445</v>
      </c>
      <c r="U911" s="604" t="s">
        <v>450</v>
      </c>
      <c r="V911" s="604" t="s">
        <v>136</v>
      </c>
      <c r="W911" s="604">
        <v>3617</v>
      </c>
      <c r="Y911" s="535" t="str">
        <f t="shared" si="119"/>
        <v>2016ethageMaori35-39infant</v>
      </c>
      <c r="Z911" s="604">
        <v>2016</v>
      </c>
      <c r="AA911" s="604" t="s">
        <v>449</v>
      </c>
      <c r="AB911" s="604" t="s">
        <v>453</v>
      </c>
      <c r="AC911" s="604" t="s">
        <v>129</v>
      </c>
      <c r="AD911" s="604" t="s">
        <v>133</v>
      </c>
      <c r="AE911" s="604">
        <v>8</v>
      </c>
      <c r="AF911" s="604">
        <v>1805</v>
      </c>
      <c r="AG911" s="604">
        <v>4.4000000000000004</v>
      </c>
      <c r="AH911" s="604" t="s">
        <v>437</v>
      </c>
      <c r="AR911" s="538" t="str">
        <f t="shared" si="120"/>
        <v>Quin 9depinfantCapital &amp; Coast</v>
      </c>
      <c r="AS911" s="604">
        <v>2016</v>
      </c>
      <c r="AT911" s="604" t="s">
        <v>426</v>
      </c>
      <c r="AU911" s="604" t="s">
        <v>454</v>
      </c>
      <c r="AV911" s="604" t="s">
        <v>96</v>
      </c>
      <c r="AW911" s="604">
        <v>1</v>
      </c>
      <c r="AX911" s="604">
        <v>0</v>
      </c>
      <c r="AY911" s="606" t="s">
        <v>119</v>
      </c>
      <c r="AZ911" s="604" t="s">
        <v>437</v>
      </c>
      <c r="BY911" s="553" t="str">
        <f t="shared" si="121"/>
        <v>2014Ind/UnksexSIDS</v>
      </c>
      <c r="BZ911" s="604">
        <v>2014</v>
      </c>
      <c r="CA911" s="604" t="s">
        <v>458</v>
      </c>
      <c r="CB911" s="604" t="s">
        <v>451</v>
      </c>
      <c r="CC911" s="604">
        <v>0</v>
      </c>
      <c r="CD911" s="604" t="s">
        <v>32</v>
      </c>
    </row>
    <row r="912" spans="9:82">
      <c r="I912" s="578" t="str">
        <f t="shared" si="117"/>
        <v>2005dhbBay of PlentyFetal</v>
      </c>
      <c r="J912" s="604">
        <v>2005</v>
      </c>
      <c r="K912" s="604" t="s">
        <v>448</v>
      </c>
      <c r="L912" s="604" t="s">
        <v>91</v>
      </c>
      <c r="M912" s="604">
        <v>22</v>
      </c>
      <c r="N912" s="604">
        <v>2816</v>
      </c>
      <c r="O912" s="604">
        <v>7.8</v>
      </c>
      <c r="P912" s="604" t="s">
        <v>47</v>
      </c>
      <c r="Q912" s="499"/>
      <c r="R912" s="502" t="str">
        <f t="shared" si="118"/>
        <v>2014birthsgest37-41</v>
      </c>
      <c r="S912" s="604">
        <v>2014</v>
      </c>
      <c r="T912" s="604" t="s">
        <v>445</v>
      </c>
      <c r="U912" s="604" t="s">
        <v>450</v>
      </c>
      <c r="V912" s="604" t="s">
        <v>137</v>
      </c>
      <c r="W912" s="604">
        <v>52797</v>
      </c>
      <c r="Y912" s="535" t="str">
        <f t="shared" si="119"/>
        <v>2016ethagePacific peoples35-39infant</v>
      </c>
      <c r="Z912" s="604">
        <v>2016</v>
      </c>
      <c r="AA912" s="604" t="s">
        <v>449</v>
      </c>
      <c r="AB912" s="604" t="s">
        <v>453</v>
      </c>
      <c r="AC912" s="604" t="s">
        <v>320</v>
      </c>
      <c r="AD912" s="604" t="s">
        <v>133</v>
      </c>
      <c r="AE912" s="604">
        <v>4</v>
      </c>
      <c r="AF912" s="604">
        <v>795</v>
      </c>
      <c r="AG912" s="604">
        <v>5</v>
      </c>
      <c r="AH912" s="604" t="s">
        <v>437</v>
      </c>
      <c r="AR912" s="538" t="str">
        <f t="shared" si="120"/>
        <v>Quin 1depinfantHutt Valley</v>
      </c>
      <c r="AS912" s="604">
        <v>2016</v>
      </c>
      <c r="AT912" s="604" t="s">
        <v>421</v>
      </c>
      <c r="AU912" s="604" t="s">
        <v>454</v>
      </c>
      <c r="AV912" s="604" t="s">
        <v>97</v>
      </c>
      <c r="AW912" s="604">
        <v>2</v>
      </c>
      <c r="AX912" s="604">
        <v>368</v>
      </c>
      <c r="AY912" s="606">
        <v>5.4</v>
      </c>
      <c r="AZ912" s="604" t="s">
        <v>437</v>
      </c>
      <c r="BY912" s="553" t="str">
        <f t="shared" si="121"/>
        <v>2015MalesexSIDS</v>
      </c>
      <c r="BZ912" s="604">
        <v>2015</v>
      </c>
      <c r="CA912" s="604" t="s">
        <v>70</v>
      </c>
      <c r="CB912" s="604" t="s">
        <v>451</v>
      </c>
      <c r="CC912" s="604">
        <v>16</v>
      </c>
      <c r="CD912" s="604" t="s">
        <v>32</v>
      </c>
    </row>
    <row r="913" spans="9:82">
      <c r="I913" s="578" t="str">
        <f t="shared" si="117"/>
        <v>2005dhbTairawhitiFetal</v>
      </c>
      <c r="J913" s="604">
        <v>2005</v>
      </c>
      <c r="K913" s="604" t="s">
        <v>448</v>
      </c>
      <c r="L913" s="604" t="s">
        <v>433</v>
      </c>
      <c r="M913" s="604">
        <v>7</v>
      </c>
      <c r="N913" s="604">
        <v>807</v>
      </c>
      <c r="O913" s="604">
        <v>8.6999999999999993</v>
      </c>
      <c r="P913" s="604" t="s">
        <v>47</v>
      </c>
      <c r="Q913" s="499"/>
      <c r="R913" s="502" t="str">
        <f t="shared" si="118"/>
        <v>2014birthsgest42+</v>
      </c>
      <c r="S913" s="604">
        <v>2014</v>
      </c>
      <c r="T913" s="604" t="s">
        <v>445</v>
      </c>
      <c r="U913" s="604" t="s">
        <v>450</v>
      </c>
      <c r="V913" s="604" t="s">
        <v>138</v>
      </c>
      <c r="W913" s="604">
        <v>1120</v>
      </c>
      <c r="Y913" s="535" t="str">
        <f t="shared" si="119"/>
        <v>2016ethageAsian35-39infant</v>
      </c>
      <c r="Z913" s="604">
        <v>2016</v>
      </c>
      <c r="AA913" s="604" t="s">
        <v>449</v>
      </c>
      <c r="AB913" s="604" t="s">
        <v>453</v>
      </c>
      <c r="AC913" s="604" t="s">
        <v>355</v>
      </c>
      <c r="AD913" s="604" t="s">
        <v>133</v>
      </c>
      <c r="AE913" s="604">
        <v>5</v>
      </c>
      <c r="AF913" s="604">
        <v>1938</v>
      </c>
      <c r="AG913" s="604">
        <v>2.6</v>
      </c>
      <c r="AH913" s="604" t="s">
        <v>437</v>
      </c>
      <c r="AR913" s="538" t="str">
        <f t="shared" si="120"/>
        <v>Quin 2depinfantHutt Valley</v>
      </c>
      <c r="AS913" s="604">
        <v>2016</v>
      </c>
      <c r="AT913" s="604" t="s">
        <v>422</v>
      </c>
      <c r="AU913" s="604" t="s">
        <v>454</v>
      </c>
      <c r="AV913" s="604" t="s">
        <v>97</v>
      </c>
      <c r="AW913" s="604">
        <v>1</v>
      </c>
      <c r="AX913" s="604">
        <v>196</v>
      </c>
      <c r="AY913" s="606">
        <v>5.0999999999999996</v>
      </c>
      <c r="AZ913" s="604" t="s">
        <v>437</v>
      </c>
      <c r="BY913" s="553" t="str">
        <f t="shared" si="121"/>
        <v>2015FemalesexSIDS</v>
      </c>
      <c r="BZ913" s="604">
        <v>2015</v>
      </c>
      <c r="CA913" s="604" t="s">
        <v>71</v>
      </c>
      <c r="CB913" s="604" t="s">
        <v>451</v>
      </c>
      <c r="CC913" s="604">
        <v>9</v>
      </c>
      <c r="CD913" s="604" t="s">
        <v>32</v>
      </c>
    </row>
    <row r="914" spans="9:82">
      <c r="I914" s="578" t="str">
        <f t="shared" si="117"/>
        <v>2005dhbHawke's BayFetal</v>
      </c>
      <c r="J914" s="604">
        <v>2005</v>
      </c>
      <c r="K914" s="604" t="s">
        <v>448</v>
      </c>
      <c r="L914" s="604" t="s">
        <v>92</v>
      </c>
      <c r="M914" s="604">
        <v>11</v>
      </c>
      <c r="N914" s="604">
        <v>2170</v>
      </c>
      <c r="O914" s="604">
        <v>5.0999999999999996</v>
      </c>
      <c r="P914" s="604" t="s">
        <v>47</v>
      </c>
      <c r="Q914" s="499"/>
      <c r="R914" s="502" t="str">
        <f t="shared" si="118"/>
        <v>2014birthsgestUnknown</v>
      </c>
      <c r="S914" s="604">
        <v>2014</v>
      </c>
      <c r="T914" s="604" t="s">
        <v>445</v>
      </c>
      <c r="U914" s="604" t="s">
        <v>450</v>
      </c>
      <c r="V914" s="604" t="s">
        <v>63</v>
      </c>
      <c r="W914" s="604">
        <v>12</v>
      </c>
      <c r="Y914" s="535" t="str">
        <f t="shared" si="119"/>
        <v>2016ethageEuropean or Other35-39infant</v>
      </c>
      <c r="Z914" s="604">
        <v>2016</v>
      </c>
      <c r="AA914" s="604" t="s">
        <v>449</v>
      </c>
      <c r="AB914" s="604" t="s">
        <v>453</v>
      </c>
      <c r="AC914" s="604" t="s">
        <v>356</v>
      </c>
      <c r="AD914" s="604" t="s">
        <v>133</v>
      </c>
      <c r="AE914" s="604">
        <v>9</v>
      </c>
      <c r="AF914" s="604">
        <v>5567</v>
      </c>
      <c r="AG914" s="604">
        <v>1.6</v>
      </c>
      <c r="AH914" s="604" t="s">
        <v>437</v>
      </c>
      <c r="AR914" s="538" t="str">
        <f t="shared" si="120"/>
        <v>Quin 3depinfantHutt Valley</v>
      </c>
      <c r="AS914" s="604">
        <v>2016</v>
      </c>
      <c r="AT914" s="604" t="s">
        <v>423</v>
      </c>
      <c r="AU914" s="604" t="s">
        <v>454</v>
      </c>
      <c r="AV914" s="604" t="s">
        <v>97</v>
      </c>
      <c r="AW914" s="604">
        <v>2</v>
      </c>
      <c r="AX914" s="604">
        <v>339</v>
      </c>
      <c r="AY914" s="606">
        <v>5.9</v>
      </c>
      <c r="AZ914" s="604" t="s">
        <v>437</v>
      </c>
      <c r="BY914" s="553" t="str">
        <f t="shared" si="121"/>
        <v>2015Ind/UnksexSIDS</v>
      </c>
      <c r="BZ914" s="604">
        <v>2015</v>
      </c>
      <c r="CA914" s="604" t="s">
        <v>458</v>
      </c>
      <c r="CB914" s="604" t="s">
        <v>451</v>
      </c>
      <c r="CC914" s="604">
        <v>0</v>
      </c>
      <c r="CD914" s="604" t="s">
        <v>32</v>
      </c>
    </row>
    <row r="915" spans="9:82">
      <c r="I915" s="578" t="str">
        <f t="shared" si="117"/>
        <v>2005dhbTaranakiFetal</v>
      </c>
      <c r="J915" s="604">
        <v>2005</v>
      </c>
      <c r="K915" s="604" t="s">
        <v>448</v>
      </c>
      <c r="L915" s="604" t="s">
        <v>93</v>
      </c>
      <c r="M915" s="604">
        <v>7</v>
      </c>
      <c r="N915" s="604">
        <v>1445</v>
      </c>
      <c r="O915" s="604">
        <v>4.8</v>
      </c>
      <c r="P915" s="604" t="s">
        <v>47</v>
      </c>
      <c r="Q915" s="499"/>
      <c r="R915" s="502" t="str">
        <f t="shared" si="118"/>
        <v>2015birthsgest&lt;28</v>
      </c>
      <c r="S915" s="604">
        <v>2015</v>
      </c>
      <c r="T915" s="604" t="s">
        <v>445</v>
      </c>
      <c r="U915" s="604" t="s">
        <v>450</v>
      </c>
      <c r="V915" s="604" t="s">
        <v>375</v>
      </c>
      <c r="W915" s="604">
        <v>285</v>
      </c>
      <c r="Y915" s="535" t="str">
        <f t="shared" si="119"/>
        <v>2016ethageMaori40+infant</v>
      </c>
      <c r="Z915" s="604">
        <v>2016</v>
      </c>
      <c r="AA915" s="604" t="s">
        <v>449</v>
      </c>
      <c r="AB915" s="604" t="s">
        <v>453</v>
      </c>
      <c r="AC915" s="604" t="s">
        <v>129</v>
      </c>
      <c r="AD915" s="604" t="s">
        <v>134</v>
      </c>
      <c r="AE915" s="604">
        <v>3</v>
      </c>
      <c r="AF915" s="604">
        <v>505</v>
      </c>
      <c r="AG915" s="604">
        <v>5.9</v>
      </c>
      <c r="AH915" s="604" t="s">
        <v>437</v>
      </c>
      <c r="AR915" s="538" t="str">
        <f t="shared" si="120"/>
        <v>Quin 4depinfantHutt Valley</v>
      </c>
      <c r="AS915" s="604">
        <v>2016</v>
      </c>
      <c r="AT915" s="604" t="s">
        <v>424</v>
      </c>
      <c r="AU915" s="604" t="s">
        <v>454</v>
      </c>
      <c r="AV915" s="604" t="s">
        <v>97</v>
      </c>
      <c r="AW915" s="604">
        <v>1</v>
      </c>
      <c r="AX915" s="604">
        <v>655</v>
      </c>
      <c r="AY915" s="606">
        <v>1.5</v>
      </c>
      <c r="AZ915" s="604" t="s">
        <v>437</v>
      </c>
      <c r="BY915" s="553" t="str">
        <f t="shared" si="121"/>
        <v>2016MalesexSIDS</v>
      </c>
      <c r="BZ915" s="604">
        <v>2016</v>
      </c>
      <c r="CA915" s="604" t="s">
        <v>70</v>
      </c>
      <c r="CB915" s="604" t="s">
        <v>451</v>
      </c>
      <c r="CC915" s="604">
        <v>13</v>
      </c>
      <c r="CD915" s="604" t="s">
        <v>32</v>
      </c>
    </row>
    <row r="916" spans="9:82">
      <c r="I916" s="578" t="str">
        <f t="shared" si="117"/>
        <v>2005dhbMidCentralFetal</v>
      </c>
      <c r="J916" s="604">
        <v>2005</v>
      </c>
      <c r="K916" s="604" t="s">
        <v>448</v>
      </c>
      <c r="L916" s="604" t="s">
        <v>94</v>
      </c>
      <c r="M916" s="604">
        <v>18</v>
      </c>
      <c r="N916" s="604">
        <v>2273</v>
      </c>
      <c r="O916" s="604">
        <v>7.9</v>
      </c>
      <c r="P916" s="604" t="s">
        <v>47</v>
      </c>
      <c r="Q916" s="499"/>
      <c r="R916" s="502" t="str">
        <f t="shared" si="118"/>
        <v>2015birthsgest28-31</v>
      </c>
      <c r="S916" s="604">
        <v>2015</v>
      </c>
      <c r="T916" s="604" t="s">
        <v>445</v>
      </c>
      <c r="U916" s="604" t="s">
        <v>450</v>
      </c>
      <c r="V916" s="604" t="s">
        <v>395</v>
      </c>
      <c r="W916" s="604">
        <v>477</v>
      </c>
      <c r="Y916" s="535" t="str">
        <f t="shared" si="119"/>
        <v>2016ethagePacific peoples40+infant</v>
      </c>
      <c r="Z916" s="604">
        <v>2016</v>
      </c>
      <c r="AA916" s="604" t="s">
        <v>449</v>
      </c>
      <c r="AB916" s="604" t="s">
        <v>453</v>
      </c>
      <c r="AC916" s="604" t="s">
        <v>320</v>
      </c>
      <c r="AD916" s="604" t="s">
        <v>134</v>
      </c>
      <c r="AE916" s="604">
        <v>3</v>
      </c>
      <c r="AF916" s="604">
        <v>234</v>
      </c>
      <c r="AG916" s="604">
        <v>12.8</v>
      </c>
      <c r="AH916" s="604" t="s">
        <v>437</v>
      </c>
      <c r="AR916" s="538" t="str">
        <f t="shared" si="120"/>
        <v>Quin 5depinfantHutt Valley</v>
      </c>
      <c r="AS916" s="604">
        <v>2016</v>
      </c>
      <c r="AT916" s="604" t="s">
        <v>425</v>
      </c>
      <c r="AU916" s="604" t="s">
        <v>454</v>
      </c>
      <c r="AV916" s="604" t="s">
        <v>97</v>
      </c>
      <c r="AW916" s="604">
        <v>3</v>
      </c>
      <c r="AX916" s="604">
        <v>446</v>
      </c>
      <c r="AY916" s="606">
        <v>6.7</v>
      </c>
      <c r="AZ916" s="604" t="s">
        <v>437</v>
      </c>
      <c r="BY916" s="553" t="str">
        <f t="shared" si="121"/>
        <v>2016FemalesexSIDS</v>
      </c>
      <c r="BZ916" s="604">
        <v>2016</v>
      </c>
      <c r="CA916" s="604" t="s">
        <v>71</v>
      </c>
      <c r="CB916" s="604" t="s">
        <v>451</v>
      </c>
      <c r="CC916" s="604">
        <v>10</v>
      </c>
      <c r="CD916" s="604" t="s">
        <v>32</v>
      </c>
    </row>
    <row r="917" spans="9:82">
      <c r="I917" s="578" t="str">
        <f t="shared" si="117"/>
        <v>2005dhbWhanganuiFetal</v>
      </c>
      <c r="J917" s="604">
        <v>2005</v>
      </c>
      <c r="K917" s="604" t="s">
        <v>448</v>
      </c>
      <c r="L917" s="604" t="s">
        <v>95</v>
      </c>
      <c r="M917" s="604">
        <v>8</v>
      </c>
      <c r="N917" s="604">
        <v>831</v>
      </c>
      <c r="O917" s="604">
        <v>9.6</v>
      </c>
      <c r="P917" s="604" t="s">
        <v>47</v>
      </c>
      <c r="Q917" s="499"/>
      <c r="R917" s="502" t="str">
        <f t="shared" si="118"/>
        <v>2015birthsgest32-36</v>
      </c>
      <c r="S917" s="604">
        <v>2015</v>
      </c>
      <c r="T917" s="604" t="s">
        <v>445</v>
      </c>
      <c r="U917" s="604" t="s">
        <v>450</v>
      </c>
      <c r="V917" s="604" t="s">
        <v>136</v>
      </c>
      <c r="W917" s="604">
        <v>3866</v>
      </c>
      <c r="Y917" s="535" t="str">
        <f t="shared" si="119"/>
        <v>2016ethageAsian40+infant</v>
      </c>
      <c r="Z917" s="604">
        <v>2016</v>
      </c>
      <c r="AA917" s="604" t="s">
        <v>449</v>
      </c>
      <c r="AB917" s="604" t="s">
        <v>453</v>
      </c>
      <c r="AC917" s="604" t="s">
        <v>355</v>
      </c>
      <c r="AD917" s="604" t="s">
        <v>134</v>
      </c>
      <c r="AE917" s="604">
        <v>1</v>
      </c>
      <c r="AF917" s="604">
        <v>358</v>
      </c>
      <c r="AG917" s="604">
        <v>2.8</v>
      </c>
      <c r="AH917" s="604" t="s">
        <v>437</v>
      </c>
      <c r="AR917" s="538" t="str">
        <f t="shared" si="120"/>
        <v>Quin 5depinfantWairarapa</v>
      </c>
      <c r="AS917" s="604">
        <v>2016</v>
      </c>
      <c r="AT917" s="604" t="s">
        <v>425</v>
      </c>
      <c r="AU917" s="604" t="s">
        <v>454</v>
      </c>
      <c r="AV917" s="604" t="s">
        <v>98</v>
      </c>
      <c r="AW917" s="604">
        <v>1</v>
      </c>
      <c r="AX917" s="604">
        <v>95</v>
      </c>
      <c r="AY917" s="606">
        <v>10.5</v>
      </c>
      <c r="AZ917" s="604" t="s">
        <v>437</v>
      </c>
      <c r="BY917" s="553" t="str">
        <f t="shared" si="121"/>
        <v>2016Ind/UnksexSIDS</v>
      </c>
      <c r="BZ917" s="604">
        <v>2016</v>
      </c>
      <c r="CA917" s="604" t="s">
        <v>458</v>
      </c>
      <c r="CB917" s="604" t="s">
        <v>451</v>
      </c>
      <c r="CC917" s="604">
        <v>0</v>
      </c>
      <c r="CD917" s="604" t="s">
        <v>32</v>
      </c>
    </row>
    <row r="918" spans="9:82">
      <c r="I918" s="578" t="str">
        <f t="shared" si="117"/>
        <v>2005dhbCapital &amp; CoastFetal</v>
      </c>
      <c r="J918" s="604">
        <v>2005</v>
      </c>
      <c r="K918" s="604" t="s">
        <v>448</v>
      </c>
      <c r="L918" s="604" t="s">
        <v>96</v>
      </c>
      <c r="M918" s="604">
        <v>25</v>
      </c>
      <c r="N918" s="604">
        <v>3754</v>
      </c>
      <c r="O918" s="604">
        <v>6.7</v>
      </c>
      <c r="P918" s="604" t="s">
        <v>47</v>
      </c>
      <c r="Q918" s="499"/>
      <c r="R918" s="502" t="str">
        <f t="shared" si="118"/>
        <v>2015birthsgest37-41</v>
      </c>
      <c r="S918" s="604">
        <v>2015</v>
      </c>
      <c r="T918" s="604" t="s">
        <v>445</v>
      </c>
      <c r="U918" s="604" t="s">
        <v>450</v>
      </c>
      <c r="V918" s="604" t="s">
        <v>137</v>
      </c>
      <c r="W918" s="604">
        <v>56298</v>
      </c>
      <c r="Y918" s="535" t="str">
        <f t="shared" si="119"/>
        <v>2016ethageEuropean or Other40+infant</v>
      </c>
      <c r="Z918" s="604">
        <v>2016</v>
      </c>
      <c r="AA918" s="604" t="s">
        <v>449</v>
      </c>
      <c r="AB918" s="604" t="s">
        <v>453</v>
      </c>
      <c r="AC918" s="604" t="s">
        <v>356</v>
      </c>
      <c r="AD918" s="604" t="s">
        <v>134</v>
      </c>
      <c r="AE918" s="604">
        <v>8</v>
      </c>
      <c r="AF918" s="604">
        <v>1357</v>
      </c>
      <c r="AG918" s="604">
        <v>5.9</v>
      </c>
      <c r="AH918" s="604" t="s">
        <v>437</v>
      </c>
      <c r="AR918" s="538" t="str">
        <f t="shared" si="120"/>
        <v>Quin 1depinfantNelson Marlborough</v>
      </c>
      <c r="AS918" s="604">
        <v>2016</v>
      </c>
      <c r="AT918" s="604" t="s">
        <v>421</v>
      </c>
      <c r="AU918" s="604" t="s">
        <v>454</v>
      </c>
      <c r="AV918" s="604" t="s">
        <v>99</v>
      </c>
      <c r="AW918" s="604">
        <v>1</v>
      </c>
      <c r="AX918" s="604">
        <v>142</v>
      </c>
      <c r="AY918" s="606">
        <v>7</v>
      </c>
      <c r="AZ918" s="604" t="s">
        <v>437</v>
      </c>
      <c r="BY918" s="553" t="str">
        <f t="shared" si="121"/>
        <v>2000TotalOverallSIDS</v>
      </c>
      <c r="BZ918" s="604">
        <v>2000</v>
      </c>
      <c r="CA918" s="604" t="s">
        <v>44</v>
      </c>
      <c r="CB918" s="604" t="s">
        <v>104</v>
      </c>
      <c r="CC918" s="604">
        <v>63</v>
      </c>
      <c r="CD918" s="604" t="s">
        <v>32</v>
      </c>
    </row>
    <row r="919" spans="9:82">
      <c r="I919" s="578" t="str">
        <f t="shared" si="117"/>
        <v>2005dhbHutt ValleyFetal</v>
      </c>
      <c r="J919" s="604">
        <v>2005</v>
      </c>
      <c r="K919" s="604" t="s">
        <v>448</v>
      </c>
      <c r="L919" s="604" t="s">
        <v>97</v>
      </c>
      <c r="M919" s="604">
        <v>15</v>
      </c>
      <c r="N919" s="604">
        <v>2026</v>
      </c>
      <c r="O919" s="604">
        <v>7.4</v>
      </c>
      <c r="P919" s="604" t="s">
        <v>47</v>
      </c>
      <c r="Q919" s="499"/>
      <c r="R919" s="502" t="str">
        <f t="shared" si="118"/>
        <v>2015birthsgest42+</v>
      </c>
      <c r="S919" s="604">
        <v>2015</v>
      </c>
      <c r="T919" s="604" t="s">
        <v>445</v>
      </c>
      <c r="U919" s="604" t="s">
        <v>450</v>
      </c>
      <c r="V919" s="604" t="s">
        <v>138</v>
      </c>
      <c r="W919" s="604">
        <v>1182</v>
      </c>
      <c r="Y919" s="535" t="str">
        <f t="shared" si="119"/>
        <v>2016sexageMale&lt;20infant</v>
      </c>
      <c r="Z919" s="604">
        <v>2016</v>
      </c>
      <c r="AA919" s="604" t="s">
        <v>451</v>
      </c>
      <c r="AB919" s="604" t="s">
        <v>453</v>
      </c>
      <c r="AC919" s="604" t="s">
        <v>70</v>
      </c>
      <c r="AD919" s="604" t="s">
        <v>339</v>
      </c>
      <c r="AE919" s="604">
        <v>17</v>
      </c>
      <c r="AF919" s="604">
        <v>1302</v>
      </c>
      <c r="AG919" s="604">
        <v>13.1</v>
      </c>
      <c r="AH919" s="604" t="s">
        <v>437</v>
      </c>
      <c r="AR919" s="538" t="str">
        <f t="shared" si="120"/>
        <v>Quin 3depinfantNelson Marlborough</v>
      </c>
      <c r="AS919" s="604">
        <v>2016</v>
      </c>
      <c r="AT919" s="604" t="s">
        <v>423</v>
      </c>
      <c r="AU919" s="604" t="s">
        <v>454</v>
      </c>
      <c r="AV919" s="604" t="s">
        <v>99</v>
      </c>
      <c r="AW919" s="604">
        <v>1</v>
      </c>
      <c r="AX919" s="604">
        <v>356</v>
      </c>
      <c r="AY919" s="606">
        <v>2.8</v>
      </c>
      <c r="AZ919" s="604" t="s">
        <v>437</v>
      </c>
      <c r="BY919" s="553" t="str">
        <f t="shared" si="121"/>
        <v>2001TotalOverallSIDS</v>
      </c>
      <c r="BZ919" s="604">
        <v>2001</v>
      </c>
      <c r="CA919" s="604" t="s">
        <v>44</v>
      </c>
      <c r="CB919" s="604" t="s">
        <v>104</v>
      </c>
      <c r="CC919" s="604">
        <v>49</v>
      </c>
      <c r="CD919" s="604" t="s">
        <v>32</v>
      </c>
    </row>
    <row r="920" spans="9:82">
      <c r="I920" s="578" t="str">
        <f t="shared" si="117"/>
        <v>2005dhbWairarapaFetal</v>
      </c>
      <c r="J920" s="604">
        <v>2005</v>
      </c>
      <c r="K920" s="604" t="s">
        <v>448</v>
      </c>
      <c r="L920" s="604" t="s">
        <v>98</v>
      </c>
      <c r="M920" s="604">
        <v>3</v>
      </c>
      <c r="N920" s="604">
        <v>478</v>
      </c>
      <c r="O920" s="604">
        <v>6.3</v>
      </c>
      <c r="P920" s="604" t="s">
        <v>47</v>
      </c>
      <c r="Q920" s="499"/>
      <c r="R920" s="502" t="str">
        <f t="shared" si="118"/>
        <v>2015birthsgestUnknown</v>
      </c>
      <c r="S920" s="604">
        <v>2015</v>
      </c>
      <c r="T920" s="604" t="s">
        <v>445</v>
      </c>
      <c r="U920" s="604" t="s">
        <v>450</v>
      </c>
      <c r="V920" s="604" t="s">
        <v>63</v>
      </c>
      <c r="W920" s="604">
        <v>14</v>
      </c>
      <c r="Y920" s="535" t="str">
        <f t="shared" si="119"/>
        <v>2016sexageFemale&lt;20infant</v>
      </c>
      <c r="Z920" s="604">
        <v>2016</v>
      </c>
      <c r="AA920" s="604" t="s">
        <v>451</v>
      </c>
      <c r="AB920" s="604" t="s">
        <v>453</v>
      </c>
      <c r="AC920" s="604" t="s">
        <v>71</v>
      </c>
      <c r="AD920" s="604" t="s">
        <v>339</v>
      </c>
      <c r="AE920" s="604">
        <v>10</v>
      </c>
      <c r="AF920" s="604">
        <v>1257</v>
      </c>
      <c r="AG920" s="604">
        <v>8</v>
      </c>
      <c r="AH920" s="604" t="s">
        <v>437</v>
      </c>
      <c r="AR920" s="538" t="str">
        <f t="shared" si="120"/>
        <v>Quin 1depinfantWest Coast</v>
      </c>
      <c r="AS920" s="604">
        <v>2016</v>
      </c>
      <c r="AT920" s="604" t="s">
        <v>421</v>
      </c>
      <c r="AU920" s="604" t="s">
        <v>454</v>
      </c>
      <c r="AV920" s="604" t="s">
        <v>100</v>
      </c>
      <c r="AW920" s="604">
        <v>1</v>
      </c>
      <c r="AX920" s="604">
        <v>20</v>
      </c>
      <c r="AY920" s="606">
        <v>50</v>
      </c>
      <c r="AZ920" s="604" t="s">
        <v>437</v>
      </c>
      <c r="BY920" s="553" t="str">
        <f t="shared" si="121"/>
        <v>2002TotalOverallSIDS</v>
      </c>
      <c r="BZ920" s="604">
        <v>2002</v>
      </c>
      <c r="CA920" s="604" t="s">
        <v>44</v>
      </c>
      <c r="CB920" s="604" t="s">
        <v>104</v>
      </c>
      <c r="CC920" s="604">
        <v>44</v>
      </c>
      <c r="CD920" s="604" t="s">
        <v>32</v>
      </c>
    </row>
    <row r="921" spans="9:82">
      <c r="I921" s="578" t="str">
        <f t="shared" si="117"/>
        <v>2005dhbNelson MarlboroughFetal</v>
      </c>
      <c r="J921" s="604">
        <v>2005</v>
      </c>
      <c r="K921" s="604" t="s">
        <v>448</v>
      </c>
      <c r="L921" s="604" t="s">
        <v>99</v>
      </c>
      <c r="M921" s="604">
        <v>11</v>
      </c>
      <c r="N921" s="604">
        <v>1525</v>
      </c>
      <c r="O921" s="604">
        <v>7.2</v>
      </c>
      <c r="P921" s="604" t="s">
        <v>47</v>
      </c>
      <c r="Q921" s="499"/>
      <c r="R921" s="502" t="str">
        <f t="shared" si="118"/>
        <v>2016birthsgest&lt;28</v>
      </c>
      <c r="S921" s="604">
        <v>2016</v>
      </c>
      <c r="T921" s="604" t="s">
        <v>445</v>
      </c>
      <c r="U921" s="604" t="s">
        <v>450</v>
      </c>
      <c r="V921" s="604" t="s">
        <v>375</v>
      </c>
      <c r="W921" s="604">
        <v>260</v>
      </c>
      <c r="Y921" s="535" t="str">
        <f t="shared" si="119"/>
        <v>2016sexageMale20-24infant</v>
      </c>
      <c r="Z921" s="604">
        <v>2016</v>
      </c>
      <c r="AA921" s="604" t="s">
        <v>451</v>
      </c>
      <c r="AB921" s="604" t="s">
        <v>453</v>
      </c>
      <c r="AC921" s="604" t="s">
        <v>70</v>
      </c>
      <c r="AD921" s="604" t="s">
        <v>130</v>
      </c>
      <c r="AE921" s="604">
        <v>34</v>
      </c>
      <c r="AF921" s="604">
        <v>5130</v>
      </c>
      <c r="AG921" s="604">
        <v>6.6</v>
      </c>
      <c r="AH921" s="604" t="s">
        <v>437</v>
      </c>
      <c r="AR921" s="538" t="str">
        <f t="shared" si="120"/>
        <v>Quin 3depinfantWest Coast</v>
      </c>
      <c r="AS921" s="604">
        <v>2016</v>
      </c>
      <c r="AT921" s="604" t="s">
        <v>423</v>
      </c>
      <c r="AU921" s="604" t="s">
        <v>454</v>
      </c>
      <c r="AV921" s="604" t="s">
        <v>100</v>
      </c>
      <c r="AW921" s="604">
        <v>1</v>
      </c>
      <c r="AX921" s="604">
        <v>75</v>
      </c>
      <c r="AY921" s="606">
        <v>13.3</v>
      </c>
      <c r="AZ921" s="604" t="s">
        <v>437</v>
      </c>
      <c r="BY921" s="553" t="str">
        <f t="shared" si="121"/>
        <v>2003TotalOverallSIDS</v>
      </c>
      <c r="BZ921" s="604">
        <v>2003</v>
      </c>
      <c r="CA921" s="604" t="s">
        <v>44</v>
      </c>
      <c r="CB921" s="604" t="s">
        <v>104</v>
      </c>
      <c r="CC921" s="604">
        <v>49</v>
      </c>
      <c r="CD921" s="604" t="s">
        <v>32</v>
      </c>
    </row>
    <row r="922" spans="9:82">
      <c r="I922" s="578" t="str">
        <f t="shared" si="117"/>
        <v>2005dhbWest CoastFetal</v>
      </c>
      <c r="J922" s="604">
        <v>2005</v>
      </c>
      <c r="K922" s="604" t="s">
        <v>448</v>
      </c>
      <c r="L922" s="604" t="s">
        <v>100</v>
      </c>
      <c r="M922" s="604">
        <v>3</v>
      </c>
      <c r="N922" s="604">
        <v>344</v>
      </c>
      <c r="O922" s="604">
        <v>8.6999999999999993</v>
      </c>
      <c r="P922" s="604" t="s">
        <v>47</v>
      </c>
      <c r="Q922" s="499"/>
      <c r="R922" s="502" t="str">
        <f t="shared" si="118"/>
        <v>2016birthsgest28-31</v>
      </c>
      <c r="S922" s="604">
        <v>2016</v>
      </c>
      <c r="T922" s="604" t="s">
        <v>445</v>
      </c>
      <c r="U922" s="604" t="s">
        <v>450</v>
      </c>
      <c r="V922" s="604" t="s">
        <v>395</v>
      </c>
      <c r="W922" s="604">
        <v>417</v>
      </c>
      <c r="Y922" s="535" t="str">
        <f t="shared" si="119"/>
        <v>2016sexageFemale20-24infant</v>
      </c>
      <c r="Z922" s="604">
        <v>2016</v>
      </c>
      <c r="AA922" s="604" t="s">
        <v>451</v>
      </c>
      <c r="AB922" s="604" t="s">
        <v>453</v>
      </c>
      <c r="AC922" s="604" t="s">
        <v>71</v>
      </c>
      <c r="AD922" s="604" t="s">
        <v>130</v>
      </c>
      <c r="AE922" s="604">
        <v>27</v>
      </c>
      <c r="AF922" s="604">
        <v>4804</v>
      </c>
      <c r="AG922" s="604">
        <v>5.6</v>
      </c>
      <c r="AH922" s="604" t="s">
        <v>437</v>
      </c>
      <c r="AR922" s="538" t="str">
        <f t="shared" si="120"/>
        <v>Quin 1depinfantCanterbury</v>
      </c>
      <c r="AS922" s="604">
        <v>2016</v>
      </c>
      <c r="AT922" s="604" t="s">
        <v>421</v>
      </c>
      <c r="AU922" s="604" t="s">
        <v>454</v>
      </c>
      <c r="AV922" s="604" t="s">
        <v>101</v>
      </c>
      <c r="AW922" s="604">
        <v>5</v>
      </c>
      <c r="AX922" s="604">
        <v>1785</v>
      </c>
      <c r="AY922" s="606">
        <v>2.8</v>
      </c>
      <c r="AZ922" s="604" t="s">
        <v>437</v>
      </c>
      <c r="BY922" s="553" t="str">
        <f t="shared" si="121"/>
        <v>2004TotalOverallSIDS</v>
      </c>
      <c r="BZ922" s="604">
        <v>2004</v>
      </c>
      <c r="CA922" s="604" t="s">
        <v>44</v>
      </c>
      <c r="CB922" s="604" t="s">
        <v>104</v>
      </c>
      <c r="CC922" s="604">
        <v>45</v>
      </c>
      <c r="CD922" s="604" t="s">
        <v>32</v>
      </c>
    </row>
    <row r="923" spans="9:82">
      <c r="I923" s="578" t="str">
        <f t="shared" si="117"/>
        <v>2005dhbCanterburyFetal</v>
      </c>
      <c r="J923" s="604">
        <v>2005</v>
      </c>
      <c r="K923" s="604" t="s">
        <v>448</v>
      </c>
      <c r="L923" s="604" t="s">
        <v>101</v>
      </c>
      <c r="M923" s="604">
        <v>51</v>
      </c>
      <c r="N923" s="604">
        <v>6099</v>
      </c>
      <c r="O923" s="604">
        <v>8.4</v>
      </c>
      <c r="P923" s="604" t="s">
        <v>47</v>
      </c>
      <c r="Q923" s="499"/>
      <c r="R923" s="502" t="str">
        <f t="shared" si="118"/>
        <v>2016birthsgest32-36</v>
      </c>
      <c r="S923" s="604">
        <v>2016</v>
      </c>
      <c r="T923" s="604" t="s">
        <v>445</v>
      </c>
      <c r="U923" s="604" t="s">
        <v>450</v>
      </c>
      <c r="V923" s="604" t="s">
        <v>136</v>
      </c>
      <c r="W923" s="604">
        <v>3814</v>
      </c>
      <c r="Y923" s="535" t="str">
        <f t="shared" si="119"/>
        <v>2016sexageMale25-29infant</v>
      </c>
      <c r="Z923" s="604">
        <v>2016</v>
      </c>
      <c r="AA923" s="604" t="s">
        <v>451</v>
      </c>
      <c r="AB923" s="604" t="s">
        <v>453</v>
      </c>
      <c r="AC923" s="604" t="s">
        <v>70</v>
      </c>
      <c r="AD923" s="604" t="s">
        <v>131</v>
      </c>
      <c r="AE923" s="604">
        <v>25</v>
      </c>
      <c r="AF923" s="604">
        <v>8428</v>
      </c>
      <c r="AG923" s="604">
        <v>3</v>
      </c>
      <c r="AH923" s="604" t="s">
        <v>437</v>
      </c>
      <c r="AR923" s="538" t="str">
        <f>AT923&amp;AU923&amp;AZ923&amp;AV923</f>
        <v>Quin 2depinfantCanterbury</v>
      </c>
      <c r="AS923" s="604">
        <v>2016</v>
      </c>
      <c r="AT923" s="604" t="s">
        <v>422</v>
      </c>
      <c r="AU923" s="604" t="s">
        <v>454</v>
      </c>
      <c r="AV923" s="604" t="s">
        <v>101</v>
      </c>
      <c r="AW923" s="604">
        <v>6</v>
      </c>
      <c r="AX923" s="604">
        <v>1542</v>
      </c>
      <c r="AY923" s="606">
        <v>3.9</v>
      </c>
      <c r="AZ923" s="604" t="s">
        <v>437</v>
      </c>
      <c r="BY923" s="553" t="str">
        <f t="shared" si="121"/>
        <v>2005TotalOverallSIDS</v>
      </c>
      <c r="BZ923" s="604">
        <v>2005</v>
      </c>
      <c r="CA923" s="604" t="s">
        <v>44</v>
      </c>
      <c r="CB923" s="604" t="s">
        <v>104</v>
      </c>
      <c r="CC923" s="604">
        <v>40</v>
      </c>
      <c r="CD923" s="604" t="s">
        <v>32</v>
      </c>
    </row>
    <row r="924" spans="9:82">
      <c r="I924" s="578" t="str">
        <f t="shared" si="117"/>
        <v>2005dhbSouth CanterburyFetal</v>
      </c>
      <c r="J924" s="604">
        <v>2005</v>
      </c>
      <c r="K924" s="604" t="s">
        <v>448</v>
      </c>
      <c r="L924" s="604" t="s">
        <v>102</v>
      </c>
      <c r="M924" s="604">
        <v>4</v>
      </c>
      <c r="N924" s="604">
        <v>593</v>
      </c>
      <c r="O924" s="604">
        <v>6.7</v>
      </c>
      <c r="P924" s="604" t="s">
        <v>47</v>
      </c>
      <c r="Q924" s="499"/>
      <c r="R924" s="502" t="str">
        <f t="shared" si="118"/>
        <v>2016birthsgest37-41</v>
      </c>
      <c r="S924" s="604">
        <v>2016</v>
      </c>
      <c r="T924" s="604" t="s">
        <v>445</v>
      </c>
      <c r="U924" s="604" t="s">
        <v>450</v>
      </c>
      <c r="V924" s="604" t="s">
        <v>137</v>
      </c>
      <c r="W924" s="604">
        <v>54899</v>
      </c>
      <c r="Y924" s="535" t="str">
        <f t="shared" si="119"/>
        <v>2016sexageFemale25-29infant</v>
      </c>
      <c r="Z924" s="604">
        <v>2016</v>
      </c>
      <c r="AA924" s="604" t="s">
        <v>451</v>
      </c>
      <c r="AB924" s="604" t="s">
        <v>453</v>
      </c>
      <c r="AC924" s="604" t="s">
        <v>71</v>
      </c>
      <c r="AD924" s="604" t="s">
        <v>131</v>
      </c>
      <c r="AE924" s="604">
        <v>27</v>
      </c>
      <c r="AF924" s="604">
        <v>8236</v>
      </c>
      <c r="AG924" s="604">
        <v>3.3</v>
      </c>
      <c r="AH924" s="604" t="s">
        <v>437</v>
      </c>
      <c r="AR924" s="538" t="str">
        <f t="shared" ref="AR924:AR987" si="122">AT924&amp;AU924&amp;AZ924&amp;AV924</f>
        <v>Quin 3depinfantCanterbury</v>
      </c>
      <c r="AS924" s="604">
        <v>2016</v>
      </c>
      <c r="AT924" s="604" t="s">
        <v>423</v>
      </c>
      <c r="AU924" s="604" t="s">
        <v>454</v>
      </c>
      <c r="AV924" s="604" t="s">
        <v>101</v>
      </c>
      <c r="AW924" s="604">
        <v>3</v>
      </c>
      <c r="AX924" s="604">
        <v>953</v>
      </c>
      <c r="AY924" s="606">
        <v>3.1</v>
      </c>
      <c r="AZ924" s="604" t="s">
        <v>437</v>
      </c>
      <c r="BY924" s="553" t="str">
        <f t="shared" si="121"/>
        <v>2006TotalOverallSIDS</v>
      </c>
      <c r="BZ924" s="604">
        <v>2006</v>
      </c>
      <c r="CA924" s="604" t="s">
        <v>44</v>
      </c>
      <c r="CB924" s="604" t="s">
        <v>104</v>
      </c>
      <c r="CC924" s="604">
        <v>49</v>
      </c>
      <c r="CD924" s="604" t="s">
        <v>32</v>
      </c>
    </row>
    <row r="925" spans="9:82">
      <c r="I925" s="578" t="str">
        <f t="shared" si="117"/>
        <v>2005dhbSouthernFetal</v>
      </c>
      <c r="J925" s="604">
        <v>2005</v>
      </c>
      <c r="K925" s="604" t="s">
        <v>448</v>
      </c>
      <c r="L925" s="604" t="s">
        <v>103</v>
      </c>
      <c r="M925" s="604">
        <v>20</v>
      </c>
      <c r="N925" s="604">
        <v>3439</v>
      </c>
      <c r="O925" s="604">
        <v>5.8</v>
      </c>
      <c r="P925" s="604" t="s">
        <v>47</v>
      </c>
      <c r="Q925" s="499"/>
      <c r="R925" s="502" t="str">
        <f t="shared" si="118"/>
        <v>2016birthsgest42+</v>
      </c>
      <c r="S925" s="604">
        <v>2016</v>
      </c>
      <c r="T925" s="604" t="s">
        <v>445</v>
      </c>
      <c r="U925" s="604" t="s">
        <v>450</v>
      </c>
      <c r="V925" s="604" t="s">
        <v>138</v>
      </c>
      <c r="W925" s="604">
        <v>1017</v>
      </c>
      <c r="Y925" s="535" t="str">
        <f t="shared" si="119"/>
        <v>2016sexageMale30-34infant</v>
      </c>
      <c r="Z925" s="604">
        <v>2016</v>
      </c>
      <c r="AA925" s="604" t="s">
        <v>451</v>
      </c>
      <c r="AB925" s="604" t="s">
        <v>453</v>
      </c>
      <c r="AC925" s="604" t="s">
        <v>70</v>
      </c>
      <c r="AD925" s="604" t="s">
        <v>132</v>
      </c>
      <c r="AE925" s="604">
        <v>30</v>
      </c>
      <c r="AF925" s="604">
        <v>9738</v>
      </c>
      <c r="AG925" s="604">
        <v>3.1</v>
      </c>
      <c r="AH925" s="604" t="s">
        <v>437</v>
      </c>
      <c r="AR925" s="538" t="str">
        <f t="shared" si="122"/>
        <v>Quin 4depinfantCanterbury</v>
      </c>
      <c r="AS925" s="604">
        <v>2016</v>
      </c>
      <c r="AT925" s="604" t="s">
        <v>424</v>
      </c>
      <c r="AU925" s="604" t="s">
        <v>454</v>
      </c>
      <c r="AV925" s="604" t="s">
        <v>101</v>
      </c>
      <c r="AW925" s="604">
        <v>4</v>
      </c>
      <c r="AX925" s="604">
        <v>1623</v>
      </c>
      <c r="AY925" s="606">
        <v>2.5</v>
      </c>
      <c r="AZ925" s="604" t="s">
        <v>437</v>
      </c>
      <c r="BY925" s="553" t="str">
        <f t="shared" si="121"/>
        <v>2007TotalOverallSIDS</v>
      </c>
      <c r="BZ925" s="604">
        <v>2007</v>
      </c>
      <c r="CA925" s="604" t="s">
        <v>44</v>
      </c>
      <c r="CB925" s="604" t="s">
        <v>104</v>
      </c>
      <c r="CC925" s="604">
        <v>54</v>
      </c>
      <c r="CD925" s="604" t="s">
        <v>32</v>
      </c>
    </row>
    <row r="926" spans="9:82">
      <c r="I926" s="578" t="str">
        <f t="shared" si="117"/>
        <v>2005dhbUnknownFetal</v>
      </c>
      <c r="J926" s="604">
        <v>2005</v>
      </c>
      <c r="K926" s="604" t="s">
        <v>448</v>
      </c>
      <c r="L926" s="604" t="s">
        <v>63</v>
      </c>
      <c r="M926" s="604">
        <v>1</v>
      </c>
      <c r="N926" s="604">
        <v>248</v>
      </c>
      <c r="O926" s="604" t="s">
        <v>119</v>
      </c>
      <c r="P926" s="604" t="s">
        <v>47</v>
      </c>
      <c r="Q926" s="499"/>
      <c r="R926" s="502" t="str">
        <f t="shared" si="118"/>
        <v>2016birthsgestUnknown</v>
      </c>
      <c r="S926" s="604">
        <v>2016</v>
      </c>
      <c r="T926" s="604" t="s">
        <v>445</v>
      </c>
      <c r="U926" s="604" t="s">
        <v>450</v>
      </c>
      <c r="V926" s="604" t="s">
        <v>63</v>
      </c>
      <c r="W926" s="604">
        <v>29</v>
      </c>
      <c r="Y926" s="535" t="str">
        <f t="shared" si="119"/>
        <v>2016sexageFemale30-34infant</v>
      </c>
      <c r="Z926" s="604">
        <v>2016</v>
      </c>
      <c r="AA926" s="604" t="s">
        <v>451</v>
      </c>
      <c r="AB926" s="604" t="s">
        <v>453</v>
      </c>
      <c r="AC926" s="604" t="s">
        <v>71</v>
      </c>
      <c r="AD926" s="604" t="s">
        <v>132</v>
      </c>
      <c r="AE926" s="604">
        <v>29</v>
      </c>
      <c r="AF926" s="604">
        <v>8982</v>
      </c>
      <c r="AG926" s="604">
        <v>3.2</v>
      </c>
      <c r="AH926" s="604" t="s">
        <v>437</v>
      </c>
      <c r="AR926" s="538" t="str">
        <f t="shared" si="122"/>
        <v>Quin 5depinfantCanterbury</v>
      </c>
      <c r="AS926" s="604">
        <v>2016</v>
      </c>
      <c r="AT926" s="604" t="s">
        <v>425</v>
      </c>
      <c r="AU926" s="604" t="s">
        <v>454</v>
      </c>
      <c r="AV926" s="604" t="s">
        <v>101</v>
      </c>
      <c r="AW926" s="604">
        <v>3</v>
      </c>
      <c r="AX926" s="604">
        <v>496</v>
      </c>
      <c r="AY926" s="606">
        <v>6</v>
      </c>
      <c r="AZ926" s="604" t="s">
        <v>437</v>
      </c>
      <c r="BY926" s="553" t="str">
        <f t="shared" si="121"/>
        <v>2008TotalOverallSIDS</v>
      </c>
      <c r="BZ926" s="604">
        <v>2008</v>
      </c>
      <c r="CA926" s="604" t="s">
        <v>44</v>
      </c>
      <c r="CB926" s="604" t="s">
        <v>104</v>
      </c>
      <c r="CC926" s="604">
        <v>51</v>
      </c>
      <c r="CD926" s="604" t="s">
        <v>32</v>
      </c>
    </row>
    <row r="927" spans="9:82">
      <c r="I927" s="578" t="str">
        <f t="shared" si="117"/>
        <v>2006dhbNorthlandFetal</v>
      </c>
      <c r="J927" s="604">
        <v>2006</v>
      </c>
      <c r="K927" s="604" t="s">
        <v>448</v>
      </c>
      <c r="L927" s="604" t="s">
        <v>85</v>
      </c>
      <c r="M927" s="604">
        <v>18</v>
      </c>
      <c r="N927" s="604">
        <v>2317</v>
      </c>
      <c r="O927" s="604">
        <v>7.8</v>
      </c>
      <c r="P927" s="604" t="s">
        <v>47</v>
      </c>
      <c r="Q927" s="499"/>
      <c r="R927" s="502" t="str">
        <f t="shared" si="118"/>
        <v>1996birthsage&lt;20</v>
      </c>
      <c r="S927" s="604">
        <v>1996</v>
      </c>
      <c r="T927" s="604" t="s">
        <v>445</v>
      </c>
      <c r="U927" s="604" t="s">
        <v>453</v>
      </c>
      <c r="V927" s="604" t="s">
        <v>339</v>
      </c>
      <c r="W927" s="604">
        <v>4412</v>
      </c>
      <c r="Y927" s="535" t="str">
        <f t="shared" si="119"/>
        <v>2016sexageMale35-39infant</v>
      </c>
      <c r="Z927" s="604">
        <v>2016</v>
      </c>
      <c r="AA927" s="604" t="s">
        <v>451</v>
      </c>
      <c r="AB927" s="604" t="s">
        <v>453</v>
      </c>
      <c r="AC927" s="604" t="s">
        <v>70</v>
      </c>
      <c r="AD927" s="604" t="s">
        <v>133</v>
      </c>
      <c r="AE927" s="604">
        <v>12</v>
      </c>
      <c r="AF927" s="604">
        <v>5153</v>
      </c>
      <c r="AG927" s="604">
        <v>2.2999999999999998</v>
      </c>
      <c r="AH927" s="604" t="s">
        <v>437</v>
      </c>
      <c r="AR927" s="538" t="str">
        <f t="shared" si="122"/>
        <v>Quin 1depinfantSouth Canterbury</v>
      </c>
      <c r="AS927" s="604">
        <v>2016</v>
      </c>
      <c r="AT927" s="604" t="s">
        <v>421</v>
      </c>
      <c r="AU927" s="604" t="s">
        <v>454</v>
      </c>
      <c r="AV927" s="604" t="s">
        <v>102</v>
      </c>
      <c r="AW927" s="604">
        <v>1</v>
      </c>
      <c r="AX927" s="604">
        <v>98</v>
      </c>
      <c r="AY927" s="606">
        <v>10.199999999999999</v>
      </c>
      <c r="AZ927" s="604" t="s">
        <v>437</v>
      </c>
      <c r="BY927" s="553" t="str">
        <f t="shared" si="121"/>
        <v>2009TotalOverallSIDS</v>
      </c>
      <c r="BZ927" s="604">
        <v>2009</v>
      </c>
      <c r="CA927" s="604" t="s">
        <v>44</v>
      </c>
      <c r="CB927" s="604" t="s">
        <v>104</v>
      </c>
      <c r="CC927" s="604">
        <v>45</v>
      </c>
      <c r="CD927" s="604" t="s">
        <v>32</v>
      </c>
    </row>
    <row r="928" spans="9:82">
      <c r="I928" s="578" t="str">
        <f t="shared" si="117"/>
        <v>2006dhbWaitemataFetal</v>
      </c>
      <c r="J928" s="604">
        <v>2006</v>
      </c>
      <c r="K928" s="604" t="s">
        <v>448</v>
      </c>
      <c r="L928" s="604" t="s">
        <v>86</v>
      </c>
      <c r="M928" s="604">
        <v>52</v>
      </c>
      <c r="N928" s="604">
        <v>7370</v>
      </c>
      <c r="O928" s="604">
        <v>7.1</v>
      </c>
      <c r="P928" s="604" t="s">
        <v>47</v>
      </c>
      <c r="Q928" s="499"/>
      <c r="R928" s="502" t="str">
        <f t="shared" si="118"/>
        <v>1996birthsage20-24</v>
      </c>
      <c r="S928" s="604">
        <v>1996</v>
      </c>
      <c r="T928" s="604" t="s">
        <v>445</v>
      </c>
      <c r="U928" s="604" t="s">
        <v>453</v>
      </c>
      <c r="V928" s="604" t="s">
        <v>130</v>
      </c>
      <c r="W928" s="604">
        <v>11417</v>
      </c>
      <c r="Y928" s="535" t="str">
        <f t="shared" si="119"/>
        <v>2016sexageFemale35-39infant</v>
      </c>
      <c r="Z928" s="604">
        <v>2016</v>
      </c>
      <c r="AA928" s="604" t="s">
        <v>451</v>
      </c>
      <c r="AB928" s="604" t="s">
        <v>453</v>
      </c>
      <c r="AC928" s="604" t="s">
        <v>71</v>
      </c>
      <c r="AD928" s="604" t="s">
        <v>133</v>
      </c>
      <c r="AE928" s="604">
        <v>14</v>
      </c>
      <c r="AF928" s="604">
        <v>4952</v>
      </c>
      <c r="AG928" s="604">
        <v>2.8</v>
      </c>
      <c r="AH928" s="604" t="s">
        <v>437</v>
      </c>
      <c r="AR928" s="538" t="str">
        <f t="shared" si="122"/>
        <v>Quin 4depinfantSouth Canterbury</v>
      </c>
      <c r="AS928" s="604">
        <v>2016</v>
      </c>
      <c r="AT928" s="604" t="s">
        <v>424</v>
      </c>
      <c r="AU928" s="604" t="s">
        <v>454</v>
      </c>
      <c r="AV928" s="604" t="s">
        <v>102</v>
      </c>
      <c r="AW928" s="604">
        <v>2</v>
      </c>
      <c r="AX928" s="604">
        <v>161</v>
      </c>
      <c r="AY928" s="606">
        <v>12.4</v>
      </c>
      <c r="AZ928" s="604" t="s">
        <v>437</v>
      </c>
      <c r="BY928" s="553" t="str">
        <f t="shared" si="121"/>
        <v>2010TotalOverallSIDS</v>
      </c>
      <c r="BZ928" s="604">
        <v>2010</v>
      </c>
      <c r="CA928" s="604" t="s">
        <v>44</v>
      </c>
      <c r="CB928" s="604" t="s">
        <v>104</v>
      </c>
      <c r="CC928" s="604">
        <v>27</v>
      </c>
      <c r="CD928" s="604" t="s">
        <v>32</v>
      </c>
    </row>
    <row r="929" spans="9:82">
      <c r="I929" s="578" t="str">
        <f t="shared" si="117"/>
        <v>2006dhbAucklandFetal</v>
      </c>
      <c r="J929" s="604">
        <v>2006</v>
      </c>
      <c r="K929" s="604" t="s">
        <v>448</v>
      </c>
      <c r="L929" s="604" t="s">
        <v>87</v>
      </c>
      <c r="M929" s="604">
        <v>43</v>
      </c>
      <c r="N929" s="604">
        <v>6328</v>
      </c>
      <c r="O929" s="604">
        <v>6.8</v>
      </c>
      <c r="P929" s="604" t="s">
        <v>47</v>
      </c>
      <c r="Q929" s="499"/>
      <c r="R929" s="502" t="str">
        <f t="shared" si="118"/>
        <v>1996birthsage25-29</v>
      </c>
      <c r="S929" s="604">
        <v>1996</v>
      </c>
      <c r="T929" s="604" t="s">
        <v>445</v>
      </c>
      <c r="U929" s="604" t="s">
        <v>453</v>
      </c>
      <c r="V929" s="604" t="s">
        <v>131</v>
      </c>
      <c r="W929" s="604">
        <v>17456</v>
      </c>
      <c r="Y929" s="535" t="str">
        <f t="shared" si="119"/>
        <v>2016sexageMale40+infant</v>
      </c>
      <c r="Z929" s="604">
        <v>2016</v>
      </c>
      <c r="AA929" s="604" t="s">
        <v>451</v>
      </c>
      <c r="AB929" s="604" t="s">
        <v>453</v>
      </c>
      <c r="AC929" s="604" t="s">
        <v>70</v>
      </c>
      <c r="AD929" s="604" t="s">
        <v>134</v>
      </c>
      <c r="AE929" s="604">
        <v>9</v>
      </c>
      <c r="AF929" s="604">
        <v>1258</v>
      </c>
      <c r="AG929" s="604">
        <v>7.2</v>
      </c>
      <c r="AH929" s="604" t="s">
        <v>437</v>
      </c>
      <c r="AR929" s="538" t="str">
        <f t="shared" si="122"/>
        <v>Quin 1depinfantSouthern</v>
      </c>
      <c r="AS929" s="604">
        <v>2016</v>
      </c>
      <c r="AT929" s="604" t="s">
        <v>421</v>
      </c>
      <c r="AU929" s="604" t="s">
        <v>454</v>
      </c>
      <c r="AV929" s="604" t="s">
        <v>103</v>
      </c>
      <c r="AW929" s="604">
        <v>1</v>
      </c>
      <c r="AX929" s="604">
        <v>933</v>
      </c>
      <c r="AY929" s="606">
        <v>1.1000000000000001</v>
      </c>
      <c r="AZ929" s="604" t="s">
        <v>437</v>
      </c>
      <c r="BY929" s="553" t="str">
        <f t="shared" si="121"/>
        <v>2011TotalOverallSIDS</v>
      </c>
      <c r="BZ929" s="604">
        <v>2011</v>
      </c>
      <c r="CA929" s="604" t="s">
        <v>44</v>
      </c>
      <c r="CB929" s="604" t="s">
        <v>104</v>
      </c>
      <c r="CC929" s="604">
        <v>26</v>
      </c>
      <c r="CD929" s="604" t="s">
        <v>32</v>
      </c>
    </row>
    <row r="930" spans="9:82">
      <c r="I930" s="578" t="str">
        <f t="shared" si="117"/>
        <v>2006dhbCounties ManukauFetal</v>
      </c>
      <c r="J930" s="604">
        <v>2006</v>
      </c>
      <c r="K930" s="604" t="s">
        <v>448</v>
      </c>
      <c r="L930" s="604" t="s">
        <v>88</v>
      </c>
      <c r="M930" s="604">
        <v>63</v>
      </c>
      <c r="N930" s="604">
        <v>8330</v>
      </c>
      <c r="O930" s="604">
        <v>7.6</v>
      </c>
      <c r="P930" s="604" t="s">
        <v>47</v>
      </c>
      <c r="Q930" s="499"/>
      <c r="R930" s="502" t="str">
        <f t="shared" si="118"/>
        <v>1996birthsage30-34</v>
      </c>
      <c r="S930" s="604">
        <v>1996</v>
      </c>
      <c r="T930" s="604" t="s">
        <v>445</v>
      </c>
      <c r="U930" s="604" t="s">
        <v>453</v>
      </c>
      <c r="V930" s="604" t="s">
        <v>132</v>
      </c>
      <c r="W930" s="604">
        <v>16299</v>
      </c>
      <c r="Y930" s="535" t="str">
        <f t="shared" si="119"/>
        <v>2016sexageFemale40+infant</v>
      </c>
      <c r="Z930" s="604">
        <v>2016</v>
      </c>
      <c r="AA930" s="604" t="s">
        <v>451</v>
      </c>
      <c r="AB930" s="604" t="s">
        <v>453</v>
      </c>
      <c r="AC930" s="604" t="s">
        <v>71</v>
      </c>
      <c r="AD930" s="604" t="s">
        <v>134</v>
      </c>
      <c r="AE930" s="604">
        <v>6</v>
      </c>
      <c r="AF930" s="604">
        <v>1196</v>
      </c>
      <c r="AG930" s="604">
        <v>5</v>
      </c>
      <c r="AH930" s="604" t="s">
        <v>437</v>
      </c>
      <c r="AR930" s="538" t="str">
        <f t="shared" si="122"/>
        <v>Quin 2depinfantSouthern</v>
      </c>
      <c r="AS930" s="604">
        <v>2016</v>
      </c>
      <c r="AT930" s="604" t="s">
        <v>422</v>
      </c>
      <c r="AU930" s="604" t="s">
        <v>454</v>
      </c>
      <c r="AV930" s="604" t="s">
        <v>103</v>
      </c>
      <c r="AW930" s="604">
        <v>1</v>
      </c>
      <c r="AX930" s="604">
        <v>734</v>
      </c>
      <c r="AY930" s="606">
        <v>1.4</v>
      </c>
      <c r="AZ930" s="604" t="s">
        <v>437</v>
      </c>
      <c r="BY930" s="553" t="str">
        <f t="shared" si="121"/>
        <v>2012TotalOverallSIDS</v>
      </c>
      <c r="BZ930" s="604">
        <v>2012</v>
      </c>
      <c r="CA930" s="604" t="s">
        <v>44</v>
      </c>
      <c r="CB930" s="604" t="s">
        <v>104</v>
      </c>
      <c r="CC930" s="604">
        <v>18</v>
      </c>
      <c r="CD930" s="604" t="s">
        <v>32</v>
      </c>
    </row>
    <row r="931" spans="9:82">
      <c r="I931" s="578" t="str">
        <f t="shared" si="117"/>
        <v>2006dhbWaikatoFetal</v>
      </c>
      <c r="J931" s="604">
        <v>2006</v>
      </c>
      <c r="K931" s="604" t="s">
        <v>448</v>
      </c>
      <c r="L931" s="604" t="s">
        <v>89</v>
      </c>
      <c r="M931" s="604">
        <v>40</v>
      </c>
      <c r="N931" s="604">
        <v>5098</v>
      </c>
      <c r="O931" s="604">
        <v>7.8</v>
      </c>
      <c r="P931" s="604" t="s">
        <v>47</v>
      </c>
      <c r="Q931" s="499"/>
      <c r="R931" s="502" t="str">
        <f t="shared" si="118"/>
        <v>1996birthsage35-39</v>
      </c>
      <c r="S931" s="604">
        <v>1996</v>
      </c>
      <c r="T931" s="604" t="s">
        <v>445</v>
      </c>
      <c r="U931" s="604" t="s">
        <v>453</v>
      </c>
      <c r="V931" s="604" t="s">
        <v>133</v>
      </c>
      <c r="W931" s="604">
        <v>6726</v>
      </c>
      <c r="Y931" s="535" t="str">
        <f t="shared" si="119"/>
        <v>2016bwtage&lt;500&lt;20infant</v>
      </c>
      <c r="Z931" s="604">
        <v>2016</v>
      </c>
      <c r="AA931" s="604" t="s">
        <v>447</v>
      </c>
      <c r="AB931" s="604" t="s">
        <v>453</v>
      </c>
      <c r="AC931" s="604" t="s">
        <v>427</v>
      </c>
      <c r="AD931" s="604" t="s">
        <v>339</v>
      </c>
      <c r="AE931" s="604">
        <v>2</v>
      </c>
      <c r="AF931" s="604">
        <v>2</v>
      </c>
      <c r="AG931" s="604">
        <v>1000</v>
      </c>
      <c r="AH931" s="604" t="s">
        <v>437</v>
      </c>
      <c r="AR931" s="538" t="str">
        <f t="shared" si="122"/>
        <v>Quin 3depinfantSouthern</v>
      </c>
      <c r="AS931" s="604">
        <v>2016</v>
      </c>
      <c r="AT931" s="604" t="s">
        <v>423</v>
      </c>
      <c r="AU931" s="604" t="s">
        <v>454</v>
      </c>
      <c r="AV931" s="604" t="s">
        <v>103</v>
      </c>
      <c r="AW931" s="604">
        <v>3</v>
      </c>
      <c r="AX931" s="604">
        <v>765</v>
      </c>
      <c r="AY931" s="606">
        <v>3.9</v>
      </c>
      <c r="AZ931" s="604" t="s">
        <v>437</v>
      </c>
      <c r="BY931" s="553" t="str">
        <f t="shared" si="121"/>
        <v>2013TotalOverallSIDS</v>
      </c>
      <c r="BZ931" s="604">
        <v>2013</v>
      </c>
      <c r="CA931" s="604" t="s">
        <v>44</v>
      </c>
      <c r="CB931" s="604" t="s">
        <v>104</v>
      </c>
      <c r="CC931" s="604">
        <v>21</v>
      </c>
      <c r="CD931" s="604" t="s">
        <v>32</v>
      </c>
    </row>
    <row r="932" spans="9:82">
      <c r="I932" s="578" t="str">
        <f t="shared" si="117"/>
        <v>2006dhbLakesFetal</v>
      </c>
      <c r="J932" s="604">
        <v>2006</v>
      </c>
      <c r="K932" s="604" t="s">
        <v>448</v>
      </c>
      <c r="L932" s="604" t="s">
        <v>90</v>
      </c>
      <c r="M932" s="604">
        <v>8</v>
      </c>
      <c r="N932" s="604">
        <v>1640</v>
      </c>
      <c r="O932" s="604">
        <v>4.9000000000000004</v>
      </c>
      <c r="P932" s="604" t="s">
        <v>47</v>
      </c>
      <c r="Q932" s="499"/>
      <c r="R932" s="502" t="str">
        <f t="shared" si="118"/>
        <v>1996birthsage40+</v>
      </c>
      <c r="S932" s="604">
        <v>1996</v>
      </c>
      <c r="T932" s="604" t="s">
        <v>445</v>
      </c>
      <c r="U932" s="604" t="s">
        <v>453</v>
      </c>
      <c r="V932" s="604" t="s">
        <v>134</v>
      </c>
      <c r="W932" s="604">
        <v>1124</v>
      </c>
      <c r="Y932" s="535" t="str">
        <f t="shared" si="119"/>
        <v>2016bwtage500-999&lt;20infant</v>
      </c>
      <c r="Z932" s="604">
        <v>2016</v>
      </c>
      <c r="AA932" s="604" t="s">
        <v>447</v>
      </c>
      <c r="AB932" s="604" t="s">
        <v>453</v>
      </c>
      <c r="AC932" s="604" t="s">
        <v>428</v>
      </c>
      <c r="AD932" s="604" t="s">
        <v>339</v>
      </c>
      <c r="AE932" s="604">
        <v>8</v>
      </c>
      <c r="AF932" s="604">
        <v>19</v>
      </c>
      <c r="AG932" s="604">
        <v>421.1</v>
      </c>
      <c r="AH932" s="604" t="s">
        <v>437</v>
      </c>
      <c r="AR932" s="538" t="str">
        <f t="shared" si="122"/>
        <v>Quin 4depinfantSouthern</v>
      </c>
      <c r="AS932" s="604">
        <v>2016</v>
      </c>
      <c r="AT932" s="604" t="s">
        <v>424</v>
      </c>
      <c r="AU932" s="604" t="s">
        <v>454</v>
      </c>
      <c r="AV932" s="604" t="s">
        <v>103</v>
      </c>
      <c r="AW932" s="604">
        <v>2</v>
      </c>
      <c r="AX932" s="604">
        <v>616</v>
      </c>
      <c r="AY932" s="606">
        <v>3.2</v>
      </c>
      <c r="AZ932" s="604" t="s">
        <v>437</v>
      </c>
      <c r="BY932" s="553" t="str">
        <f t="shared" si="121"/>
        <v>2014TotalOverallSIDS</v>
      </c>
      <c r="BZ932" s="604">
        <v>2014</v>
      </c>
      <c r="CA932" s="604" t="s">
        <v>44</v>
      </c>
      <c r="CB932" s="604" t="s">
        <v>104</v>
      </c>
      <c r="CC932" s="604">
        <v>14</v>
      </c>
      <c r="CD932" s="604" t="s">
        <v>32</v>
      </c>
    </row>
    <row r="933" spans="9:82">
      <c r="I933" s="578" t="str">
        <f t="shared" si="117"/>
        <v>2006dhbBay of PlentyFetal</v>
      </c>
      <c r="J933" s="604">
        <v>2006</v>
      </c>
      <c r="K933" s="604" t="s">
        <v>448</v>
      </c>
      <c r="L933" s="604" t="s">
        <v>91</v>
      </c>
      <c r="M933" s="604">
        <v>13</v>
      </c>
      <c r="N933" s="604">
        <v>2837</v>
      </c>
      <c r="O933" s="604">
        <v>4.5999999999999996</v>
      </c>
      <c r="P933" s="604" t="s">
        <v>47</v>
      </c>
      <c r="Q933" s="499"/>
      <c r="R933" s="502" t="str">
        <f t="shared" si="118"/>
        <v>1997birthsage&lt;20</v>
      </c>
      <c r="S933" s="604">
        <v>1997</v>
      </c>
      <c r="T933" s="604" t="s">
        <v>445</v>
      </c>
      <c r="U933" s="604" t="s">
        <v>453</v>
      </c>
      <c r="V933" s="604" t="s">
        <v>339</v>
      </c>
      <c r="W933" s="604">
        <v>4403</v>
      </c>
      <c r="Y933" s="535" t="str">
        <f t="shared" si="119"/>
        <v>2016bwtage1000-1499&lt;20infant</v>
      </c>
      <c r="Z933" s="604">
        <v>2016</v>
      </c>
      <c r="AA933" s="604" t="s">
        <v>447</v>
      </c>
      <c r="AB933" s="604" t="s">
        <v>453</v>
      </c>
      <c r="AC933" s="604" t="s">
        <v>429</v>
      </c>
      <c r="AD933" s="604" t="s">
        <v>339</v>
      </c>
      <c r="AE933" s="604">
        <v>1</v>
      </c>
      <c r="AF933" s="604">
        <v>21</v>
      </c>
      <c r="AG933" s="604">
        <v>47.6</v>
      </c>
      <c r="AH933" s="604" t="s">
        <v>437</v>
      </c>
      <c r="AR933" s="538" t="str">
        <f t="shared" si="122"/>
        <v>Quin 5depinfantSouthern</v>
      </c>
      <c r="AS933" s="604">
        <v>2016</v>
      </c>
      <c r="AT933" s="604" t="s">
        <v>425</v>
      </c>
      <c r="AU933" s="604" t="s">
        <v>454</v>
      </c>
      <c r="AV933" s="604" t="s">
        <v>103</v>
      </c>
      <c r="AW933" s="604">
        <v>2</v>
      </c>
      <c r="AX933" s="604">
        <v>366</v>
      </c>
      <c r="AY933" s="606">
        <v>5.5</v>
      </c>
      <c r="AZ933" s="604" t="s">
        <v>437</v>
      </c>
      <c r="BY933" s="553" t="str">
        <f t="shared" si="121"/>
        <v>2015TotalOverallSIDS</v>
      </c>
      <c r="BZ933" s="604">
        <v>2015</v>
      </c>
      <c r="CA933" s="604" t="s">
        <v>44</v>
      </c>
      <c r="CB933" s="604" t="s">
        <v>104</v>
      </c>
      <c r="CC933" s="604">
        <v>25</v>
      </c>
      <c r="CD933" s="604" t="s">
        <v>32</v>
      </c>
    </row>
    <row r="934" spans="9:82">
      <c r="I934" s="578" t="str">
        <f t="shared" si="117"/>
        <v>2006dhbTairawhitiFetal</v>
      </c>
      <c r="J934" s="604">
        <v>2006</v>
      </c>
      <c r="K934" s="604" t="s">
        <v>448</v>
      </c>
      <c r="L934" s="604" t="s">
        <v>433</v>
      </c>
      <c r="M934" s="604">
        <v>5</v>
      </c>
      <c r="N934" s="604">
        <v>752</v>
      </c>
      <c r="O934" s="604">
        <v>6.6</v>
      </c>
      <c r="P934" s="604" t="s">
        <v>47</v>
      </c>
      <c r="Q934" s="499"/>
      <c r="R934" s="502" t="str">
        <f t="shared" si="118"/>
        <v>1997birthsage20-24</v>
      </c>
      <c r="S934" s="604">
        <v>1997</v>
      </c>
      <c r="T934" s="604" t="s">
        <v>445</v>
      </c>
      <c r="U934" s="604" t="s">
        <v>453</v>
      </c>
      <c r="V934" s="604" t="s">
        <v>130</v>
      </c>
      <c r="W934" s="604">
        <v>10833</v>
      </c>
      <c r="Y934" s="535" t="str">
        <f t="shared" si="119"/>
        <v>2016bwtage1500-2499&lt;20infant</v>
      </c>
      <c r="Z934" s="604">
        <v>2016</v>
      </c>
      <c r="AA934" s="604" t="s">
        <v>447</v>
      </c>
      <c r="AB934" s="604" t="s">
        <v>453</v>
      </c>
      <c r="AC934" s="604" t="s">
        <v>430</v>
      </c>
      <c r="AD934" s="604" t="s">
        <v>339</v>
      </c>
      <c r="AE934" s="604">
        <v>3</v>
      </c>
      <c r="AF934" s="604">
        <v>164</v>
      </c>
      <c r="AG934" s="604">
        <v>18.3</v>
      </c>
      <c r="AH934" s="604" t="s">
        <v>437</v>
      </c>
      <c r="AR934" s="538" t="str">
        <f t="shared" si="122"/>
        <v>Quin 9depinfantUnknown</v>
      </c>
      <c r="AS934" s="604">
        <v>2016</v>
      </c>
      <c r="AT934" s="604" t="s">
        <v>426</v>
      </c>
      <c r="AU934" s="604" t="s">
        <v>454</v>
      </c>
      <c r="AV934" s="604" t="s">
        <v>63</v>
      </c>
      <c r="AW934" s="604">
        <v>1</v>
      </c>
      <c r="AX934" s="604">
        <v>130</v>
      </c>
      <c r="AY934" s="606" t="s">
        <v>119</v>
      </c>
      <c r="AZ934" s="604" t="s">
        <v>437</v>
      </c>
      <c r="BY934" s="553" t="str">
        <f t="shared" si="121"/>
        <v>2016TotalOverallSIDS</v>
      </c>
      <c r="BZ934" s="604">
        <v>2016</v>
      </c>
      <c r="CA934" s="604" t="s">
        <v>44</v>
      </c>
      <c r="CB934" s="604" t="s">
        <v>104</v>
      </c>
      <c r="CC934" s="604">
        <v>23</v>
      </c>
      <c r="CD934" s="604" t="s">
        <v>32</v>
      </c>
    </row>
    <row r="935" spans="9:82">
      <c r="I935" s="578" t="str">
        <f t="shared" si="117"/>
        <v>2006dhbHawke's BayFetal</v>
      </c>
      <c r="J935" s="604">
        <v>2006</v>
      </c>
      <c r="K935" s="604" t="s">
        <v>448</v>
      </c>
      <c r="L935" s="604" t="s">
        <v>92</v>
      </c>
      <c r="M935" s="604">
        <v>10</v>
      </c>
      <c r="N935" s="604">
        <v>2222</v>
      </c>
      <c r="O935" s="604">
        <v>4.5</v>
      </c>
      <c r="P935" s="604" t="s">
        <v>47</v>
      </c>
      <c r="Q935" s="499"/>
      <c r="R935" s="502" t="str">
        <f t="shared" si="118"/>
        <v>1997birthsage25-29</v>
      </c>
      <c r="S935" s="604">
        <v>1997</v>
      </c>
      <c r="T935" s="604" t="s">
        <v>445</v>
      </c>
      <c r="U935" s="604" t="s">
        <v>453</v>
      </c>
      <c r="V935" s="604" t="s">
        <v>131</v>
      </c>
      <c r="W935" s="604">
        <v>17156</v>
      </c>
      <c r="Y935" s="535" t="str">
        <f t="shared" si="119"/>
        <v>2016bwtage2500-4499&lt;20infant</v>
      </c>
      <c r="Z935" s="604">
        <v>2016</v>
      </c>
      <c r="AA935" s="604" t="s">
        <v>447</v>
      </c>
      <c r="AB935" s="604" t="s">
        <v>453</v>
      </c>
      <c r="AC935" s="604" t="s">
        <v>431</v>
      </c>
      <c r="AD935" s="604" t="s">
        <v>339</v>
      </c>
      <c r="AE935" s="604">
        <v>12</v>
      </c>
      <c r="AF935" s="604">
        <v>2320</v>
      </c>
      <c r="AG935" s="604">
        <v>5.2</v>
      </c>
      <c r="AH935" s="604" t="s">
        <v>437</v>
      </c>
      <c r="AR935" s="538" t="str">
        <f t="shared" si="122"/>
        <v>&lt;28gestinfantNorthland</v>
      </c>
      <c r="AS935" s="604">
        <v>2016</v>
      </c>
      <c r="AT935" s="604" t="s">
        <v>375</v>
      </c>
      <c r="AU935" s="604" t="s">
        <v>450</v>
      </c>
      <c r="AV935" s="604" t="s">
        <v>85</v>
      </c>
      <c r="AW935" s="604">
        <v>7</v>
      </c>
      <c r="AX935" s="604">
        <v>12</v>
      </c>
      <c r="AY935" s="606">
        <v>583.29999999999995</v>
      </c>
      <c r="AZ935" s="604" t="s">
        <v>437</v>
      </c>
      <c r="BY935" s="553" t="str">
        <f t="shared" si="121"/>
        <v>2000&lt;20ageSUDI</v>
      </c>
      <c r="BZ935" s="604">
        <v>2000</v>
      </c>
      <c r="CA935" s="604" t="s">
        <v>339</v>
      </c>
      <c r="CB935" s="604" t="s">
        <v>453</v>
      </c>
      <c r="CC935" s="604">
        <v>15</v>
      </c>
      <c r="CD935" s="604" t="s">
        <v>33</v>
      </c>
    </row>
    <row r="936" spans="9:82">
      <c r="I936" s="578" t="str">
        <f t="shared" si="117"/>
        <v>2006dhbTaranakiFetal</v>
      </c>
      <c r="J936" s="604">
        <v>2006</v>
      </c>
      <c r="K936" s="604" t="s">
        <v>448</v>
      </c>
      <c r="L936" s="604" t="s">
        <v>93</v>
      </c>
      <c r="M936" s="604">
        <v>12</v>
      </c>
      <c r="N936" s="604">
        <v>1491</v>
      </c>
      <c r="O936" s="604">
        <v>8</v>
      </c>
      <c r="P936" s="604" t="s">
        <v>47</v>
      </c>
      <c r="Q936" s="499"/>
      <c r="R936" s="502" t="str">
        <f t="shared" si="118"/>
        <v>1997birthsage30-34</v>
      </c>
      <c r="S936" s="604">
        <v>1997</v>
      </c>
      <c r="T936" s="604" t="s">
        <v>445</v>
      </c>
      <c r="U936" s="604" t="s">
        <v>453</v>
      </c>
      <c r="V936" s="604" t="s">
        <v>132</v>
      </c>
      <c r="W936" s="604">
        <v>16688</v>
      </c>
      <c r="Y936" s="535" t="str">
        <f t="shared" si="119"/>
        <v>2016bwtage4500+&lt;20infant</v>
      </c>
      <c r="Z936" s="604">
        <v>2016</v>
      </c>
      <c r="AA936" s="604" t="s">
        <v>447</v>
      </c>
      <c r="AB936" s="604" t="s">
        <v>453</v>
      </c>
      <c r="AC936" s="604" t="s">
        <v>432</v>
      </c>
      <c r="AD936" s="604" t="s">
        <v>339</v>
      </c>
      <c r="AE936" s="604">
        <v>0</v>
      </c>
      <c r="AF936" s="604">
        <v>31</v>
      </c>
      <c r="AG936" s="604">
        <v>0</v>
      </c>
      <c r="AH936" s="604" t="s">
        <v>437</v>
      </c>
      <c r="AR936" s="538" t="str">
        <f t="shared" si="122"/>
        <v>28-31gestinfantNorthland</v>
      </c>
      <c r="AS936" s="604">
        <v>2016</v>
      </c>
      <c r="AT936" s="604" t="s">
        <v>395</v>
      </c>
      <c r="AU936" s="604" t="s">
        <v>450</v>
      </c>
      <c r="AV936" s="604" t="s">
        <v>85</v>
      </c>
      <c r="AW936" s="604">
        <v>1</v>
      </c>
      <c r="AX936" s="604">
        <v>10</v>
      </c>
      <c r="AY936" s="606">
        <v>100</v>
      </c>
      <c r="AZ936" s="604" t="s">
        <v>437</v>
      </c>
      <c r="BY936" s="553" t="str">
        <f t="shared" si="121"/>
        <v>200020-24ageSUDI</v>
      </c>
      <c r="BZ936" s="604">
        <v>2000</v>
      </c>
      <c r="CA936" s="604" t="s">
        <v>130</v>
      </c>
      <c r="CB936" s="604" t="s">
        <v>453</v>
      </c>
      <c r="CC936" s="604">
        <v>30</v>
      </c>
      <c r="CD936" s="604" t="s">
        <v>33</v>
      </c>
    </row>
    <row r="937" spans="9:82">
      <c r="I937" s="578" t="str">
        <f t="shared" si="117"/>
        <v>2006dhbMidCentralFetal</v>
      </c>
      <c r="J937" s="604">
        <v>2006</v>
      </c>
      <c r="K937" s="604" t="s">
        <v>448</v>
      </c>
      <c r="L937" s="604" t="s">
        <v>94</v>
      </c>
      <c r="M937" s="604">
        <v>9</v>
      </c>
      <c r="N937" s="604">
        <v>2279</v>
      </c>
      <c r="O937" s="604">
        <v>3.9</v>
      </c>
      <c r="P937" s="604" t="s">
        <v>47</v>
      </c>
      <c r="Q937" s="499"/>
      <c r="R937" s="502" t="str">
        <f t="shared" si="118"/>
        <v>1997birthsage35-39</v>
      </c>
      <c r="S937" s="604">
        <v>1997</v>
      </c>
      <c r="T937" s="604" t="s">
        <v>445</v>
      </c>
      <c r="U937" s="604" t="s">
        <v>453</v>
      </c>
      <c r="V937" s="604" t="s">
        <v>133</v>
      </c>
      <c r="W937" s="604">
        <v>7397</v>
      </c>
      <c r="Y937" s="535" t="str">
        <f t="shared" si="119"/>
        <v>2016bwtageUnknown&lt;20infant</v>
      </c>
      <c r="Z937" s="604">
        <v>2016</v>
      </c>
      <c r="AA937" s="604" t="s">
        <v>447</v>
      </c>
      <c r="AB937" s="604" t="s">
        <v>453</v>
      </c>
      <c r="AC937" s="604" t="s">
        <v>63</v>
      </c>
      <c r="AD937" s="604" t="s">
        <v>339</v>
      </c>
      <c r="AE937" s="604">
        <v>1</v>
      </c>
      <c r="AF937" s="604">
        <v>2</v>
      </c>
      <c r="AG937" s="604" t="s">
        <v>119</v>
      </c>
      <c r="AH937" s="604" t="s">
        <v>437</v>
      </c>
      <c r="AR937" s="538" t="str">
        <f t="shared" si="122"/>
        <v>32-36gestinfantNorthland</v>
      </c>
      <c r="AS937" s="604">
        <v>2016</v>
      </c>
      <c r="AT937" s="604" t="s">
        <v>136</v>
      </c>
      <c r="AU937" s="604" t="s">
        <v>450</v>
      </c>
      <c r="AV937" s="604" t="s">
        <v>85</v>
      </c>
      <c r="AW937" s="604">
        <v>2</v>
      </c>
      <c r="AX937" s="604">
        <v>126</v>
      </c>
      <c r="AY937" s="606">
        <v>15.9</v>
      </c>
      <c r="AZ937" s="604" t="s">
        <v>437</v>
      </c>
      <c r="BY937" s="553" t="str">
        <f t="shared" si="121"/>
        <v>200025-29ageSUDI</v>
      </c>
      <c r="BZ937" s="604">
        <v>2000</v>
      </c>
      <c r="CA937" s="604" t="s">
        <v>131</v>
      </c>
      <c r="CB937" s="604" t="s">
        <v>453</v>
      </c>
      <c r="CC937" s="604">
        <v>13</v>
      </c>
      <c r="CD937" s="604" t="s">
        <v>33</v>
      </c>
    </row>
    <row r="938" spans="9:82">
      <c r="I938" s="578" t="str">
        <f t="shared" si="117"/>
        <v>2006dhbWhanganuiFetal</v>
      </c>
      <c r="J938" s="604">
        <v>2006</v>
      </c>
      <c r="K938" s="604" t="s">
        <v>448</v>
      </c>
      <c r="L938" s="604" t="s">
        <v>95</v>
      </c>
      <c r="M938" s="604">
        <v>5</v>
      </c>
      <c r="N938" s="604">
        <v>900</v>
      </c>
      <c r="O938" s="604">
        <v>5.6</v>
      </c>
      <c r="P938" s="604" t="s">
        <v>47</v>
      </c>
      <c r="Q938" s="499"/>
      <c r="R938" s="502" t="str">
        <f t="shared" si="118"/>
        <v>1997birthsage40+</v>
      </c>
      <c r="S938" s="604">
        <v>1997</v>
      </c>
      <c r="T938" s="604" t="s">
        <v>445</v>
      </c>
      <c r="U938" s="604" t="s">
        <v>453</v>
      </c>
      <c r="V938" s="604" t="s">
        <v>134</v>
      </c>
      <c r="W938" s="604">
        <v>1257</v>
      </c>
      <c r="Y938" s="535" t="str">
        <f t="shared" si="119"/>
        <v>2016bwtage&lt;50020-24infant</v>
      </c>
      <c r="Z938" s="604">
        <v>2016</v>
      </c>
      <c r="AA938" s="604" t="s">
        <v>447</v>
      </c>
      <c r="AB938" s="604" t="s">
        <v>453</v>
      </c>
      <c r="AC938" s="604" t="s">
        <v>427</v>
      </c>
      <c r="AD938" s="604" t="s">
        <v>130</v>
      </c>
      <c r="AE938" s="604">
        <v>11</v>
      </c>
      <c r="AF938" s="604">
        <v>11</v>
      </c>
      <c r="AG938" s="604">
        <v>1000</v>
      </c>
      <c r="AH938" s="604" t="s">
        <v>437</v>
      </c>
      <c r="AR938" s="538" t="str">
        <f t="shared" si="122"/>
        <v>37-41gestinfantNorthland</v>
      </c>
      <c r="AS938" s="604">
        <v>2016</v>
      </c>
      <c r="AT938" s="604" t="s">
        <v>137</v>
      </c>
      <c r="AU938" s="604" t="s">
        <v>450</v>
      </c>
      <c r="AV938" s="604" t="s">
        <v>85</v>
      </c>
      <c r="AW938" s="604">
        <v>2</v>
      </c>
      <c r="AX938" s="604">
        <v>2133</v>
      </c>
      <c r="AY938" s="606">
        <v>0.9</v>
      </c>
      <c r="AZ938" s="604" t="s">
        <v>437</v>
      </c>
      <c r="BY938" s="553" t="str">
        <f t="shared" si="121"/>
        <v>200030-34ageSUDI</v>
      </c>
      <c r="BZ938" s="604">
        <v>2000</v>
      </c>
      <c r="CA938" s="604" t="s">
        <v>132</v>
      </c>
      <c r="CB938" s="604" t="s">
        <v>453</v>
      </c>
      <c r="CC938" s="604">
        <v>16</v>
      </c>
      <c r="CD938" s="604" t="s">
        <v>33</v>
      </c>
    </row>
    <row r="939" spans="9:82">
      <c r="I939" s="578" t="str">
        <f t="shared" si="117"/>
        <v>2006dhbCapital &amp; CoastFetal</v>
      </c>
      <c r="J939" s="604">
        <v>2006</v>
      </c>
      <c r="K939" s="604" t="s">
        <v>448</v>
      </c>
      <c r="L939" s="604" t="s">
        <v>96</v>
      </c>
      <c r="M939" s="604">
        <v>25</v>
      </c>
      <c r="N939" s="604">
        <v>3919</v>
      </c>
      <c r="O939" s="604">
        <v>6.4</v>
      </c>
      <c r="P939" s="604" t="s">
        <v>47</v>
      </c>
      <c r="Q939" s="499"/>
      <c r="R939" s="502" t="str">
        <f t="shared" si="118"/>
        <v>1998birthsage&lt;20</v>
      </c>
      <c r="S939" s="604">
        <v>1998</v>
      </c>
      <c r="T939" s="604" t="s">
        <v>445</v>
      </c>
      <c r="U939" s="604" t="s">
        <v>453</v>
      </c>
      <c r="V939" s="604" t="s">
        <v>339</v>
      </c>
      <c r="W939" s="604">
        <v>3927</v>
      </c>
      <c r="Y939" s="535" t="str">
        <f t="shared" si="119"/>
        <v>2016bwtage500-99920-24infant</v>
      </c>
      <c r="Z939" s="604">
        <v>2016</v>
      </c>
      <c r="AA939" s="604" t="s">
        <v>447</v>
      </c>
      <c r="AB939" s="604" t="s">
        <v>453</v>
      </c>
      <c r="AC939" s="604" t="s">
        <v>428</v>
      </c>
      <c r="AD939" s="604" t="s">
        <v>130</v>
      </c>
      <c r="AE939" s="604">
        <v>14</v>
      </c>
      <c r="AF939" s="604">
        <v>30</v>
      </c>
      <c r="AG939" s="604">
        <v>466.7</v>
      </c>
      <c r="AH939" s="604" t="s">
        <v>437</v>
      </c>
      <c r="AR939" s="538" t="str">
        <f t="shared" si="122"/>
        <v>&lt;28gestinfantWaitemata</v>
      </c>
      <c r="AS939" s="604">
        <v>2016</v>
      </c>
      <c r="AT939" s="604" t="s">
        <v>375</v>
      </c>
      <c r="AU939" s="604" t="s">
        <v>450</v>
      </c>
      <c r="AV939" s="604" t="s">
        <v>86</v>
      </c>
      <c r="AW939" s="604">
        <v>8</v>
      </c>
      <c r="AX939" s="604">
        <v>29</v>
      </c>
      <c r="AY939" s="606">
        <v>275.89999999999998</v>
      </c>
      <c r="AZ939" s="604" t="s">
        <v>437</v>
      </c>
      <c r="BY939" s="553" t="str">
        <f t="shared" si="121"/>
        <v>200035-39ageSUDI</v>
      </c>
      <c r="BZ939" s="604">
        <v>2000</v>
      </c>
      <c r="CA939" s="604" t="s">
        <v>133</v>
      </c>
      <c r="CB939" s="604" t="s">
        <v>453</v>
      </c>
      <c r="CC939" s="604">
        <v>8</v>
      </c>
      <c r="CD939" s="604" t="s">
        <v>33</v>
      </c>
    </row>
    <row r="940" spans="9:82">
      <c r="I940" s="578" t="str">
        <f t="shared" si="117"/>
        <v>2006dhbHutt ValleyFetal</v>
      </c>
      <c r="J940" s="604">
        <v>2006</v>
      </c>
      <c r="K940" s="604" t="s">
        <v>448</v>
      </c>
      <c r="L940" s="604" t="s">
        <v>97</v>
      </c>
      <c r="M940" s="604">
        <v>18</v>
      </c>
      <c r="N940" s="604">
        <v>2017</v>
      </c>
      <c r="O940" s="604">
        <v>8.9</v>
      </c>
      <c r="P940" s="604" t="s">
        <v>47</v>
      </c>
      <c r="Q940" s="499"/>
      <c r="R940" s="502" t="str">
        <f t="shared" si="118"/>
        <v>1998birthsage20-24</v>
      </c>
      <c r="S940" s="604">
        <v>1998</v>
      </c>
      <c r="T940" s="604" t="s">
        <v>445</v>
      </c>
      <c r="U940" s="604" t="s">
        <v>453</v>
      </c>
      <c r="V940" s="604" t="s">
        <v>130</v>
      </c>
      <c r="W940" s="604">
        <v>10017</v>
      </c>
      <c r="Y940" s="535" t="str">
        <f t="shared" si="119"/>
        <v>2016bwtage1000-149920-24infant</v>
      </c>
      <c r="Z940" s="604">
        <v>2016</v>
      </c>
      <c r="AA940" s="604" t="s">
        <v>447</v>
      </c>
      <c r="AB940" s="604" t="s">
        <v>453</v>
      </c>
      <c r="AC940" s="604" t="s">
        <v>429</v>
      </c>
      <c r="AD940" s="604" t="s">
        <v>130</v>
      </c>
      <c r="AE940" s="604">
        <v>0</v>
      </c>
      <c r="AF940" s="604">
        <v>51</v>
      </c>
      <c r="AG940" s="604">
        <v>0</v>
      </c>
      <c r="AH940" s="604" t="s">
        <v>437</v>
      </c>
      <c r="AR940" s="538" t="str">
        <f t="shared" si="122"/>
        <v>28-31gestinfantWaitemata</v>
      </c>
      <c r="AS940" s="604">
        <v>2016</v>
      </c>
      <c r="AT940" s="604" t="s">
        <v>395</v>
      </c>
      <c r="AU940" s="604" t="s">
        <v>450</v>
      </c>
      <c r="AV940" s="604" t="s">
        <v>86</v>
      </c>
      <c r="AW940" s="604">
        <v>1</v>
      </c>
      <c r="AX940" s="604">
        <v>50</v>
      </c>
      <c r="AY940" s="606">
        <v>20</v>
      </c>
      <c r="AZ940" s="604" t="s">
        <v>437</v>
      </c>
      <c r="BY940" s="553" t="str">
        <f t="shared" si="121"/>
        <v>200040+ageSUDI</v>
      </c>
      <c r="BZ940" s="604">
        <v>2000</v>
      </c>
      <c r="CA940" s="604" t="s">
        <v>134</v>
      </c>
      <c r="CB940" s="604" t="s">
        <v>453</v>
      </c>
      <c r="CC940" s="604">
        <v>0</v>
      </c>
      <c r="CD940" s="604" t="s">
        <v>33</v>
      </c>
    </row>
    <row r="941" spans="9:82">
      <c r="I941" s="578" t="str">
        <f t="shared" si="117"/>
        <v>2006dhbWairarapaFetal</v>
      </c>
      <c r="J941" s="604">
        <v>2006</v>
      </c>
      <c r="K941" s="604" t="s">
        <v>448</v>
      </c>
      <c r="L941" s="604" t="s">
        <v>98</v>
      </c>
      <c r="M941" s="604">
        <v>3</v>
      </c>
      <c r="N941" s="604">
        <v>526</v>
      </c>
      <c r="O941" s="604">
        <v>5.7</v>
      </c>
      <c r="P941" s="604" t="s">
        <v>47</v>
      </c>
      <c r="Q941" s="499"/>
      <c r="R941" s="502" t="str">
        <f t="shared" si="118"/>
        <v>1998birthsage25-29</v>
      </c>
      <c r="S941" s="604">
        <v>1998</v>
      </c>
      <c r="T941" s="604" t="s">
        <v>445</v>
      </c>
      <c r="U941" s="604" t="s">
        <v>453</v>
      </c>
      <c r="V941" s="604" t="s">
        <v>131</v>
      </c>
      <c r="W941" s="604">
        <v>16218</v>
      </c>
      <c r="Y941" s="535" t="str">
        <f t="shared" si="119"/>
        <v>2016bwtage1500-249920-24infant</v>
      </c>
      <c r="Z941" s="604">
        <v>2016</v>
      </c>
      <c r="AA941" s="604" t="s">
        <v>447</v>
      </c>
      <c r="AB941" s="604" t="s">
        <v>453</v>
      </c>
      <c r="AC941" s="604" t="s">
        <v>430</v>
      </c>
      <c r="AD941" s="604" t="s">
        <v>130</v>
      </c>
      <c r="AE941" s="604">
        <v>10</v>
      </c>
      <c r="AF941" s="604">
        <v>500</v>
      </c>
      <c r="AG941" s="604">
        <v>20</v>
      </c>
      <c r="AH941" s="604" t="s">
        <v>437</v>
      </c>
      <c r="AR941" s="538" t="str">
        <f t="shared" si="122"/>
        <v>32-36gestinfantWaitemata</v>
      </c>
      <c r="AS941" s="604">
        <v>2016</v>
      </c>
      <c r="AT941" s="604" t="s">
        <v>136</v>
      </c>
      <c r="AU941" s="604" t="s">
        <v>450</v>
      </c>
      <c r="AV941" s="604" t="s">
        <v>86</v>
      </c>
      <c r="AW941" s="604">
        <v>3</v>
      </c>
      <c r="AX941" s="604">
        <v>479</v>
      </c>
      <c r="AY941" s="606">
        <v>6.3</v>
      </c>
      <c r="AZ941" s="604" t="s">
        <v>437</v>
      </c>
      <c r="BY941" s="553" t="str">
        <f t="shared" si="121"/>
        <v>2000UnknownageSUDI</v>
      </c>
      <c r="BZ941" s="604">
        <v>2000</v>
      </c>
      <c r="CA941" s="604" t="s">
        <v>63</v>
      </c>
      <c r="CB941" s="604" t="s">
        <v>453</v>
      </c>
      <c r="CC941" s="604">
        <v>0</v>
      </c>
      <c r="CD941" s="604" t="s">
        <v>33</v>
      </c>
    </row>
    <row r="942" spans="9:82">
      <c r="I942" s="578" t="str">
        <f t="shared" si="117"/>
        <v>2006dhbNelson MarlboroughFetal</v>
      </c>
      <c r="J942" s="604">
        <v>2006</v>
      </c>
      <c r="K942" s="604" t="s">
        <v>448</v>
      </c>
      <c r="L942" s="604" t="s">
        <v>99</v>
      </c>
      <c r="M942" s="604">
        <v>12</v>
      </c>
      <c r="N942" s="604">
        <v>1581</v>
      </c>
      <c r="O942" s="604">
        <v>7.6</v>
      </c>
      <c r="P942" s="604" t="s">
        <v>47</v>
      </c>
      <c r="Q942" s="499"/>
      <c r="R942" s="502" t="str">
        <f t="shared" si="118"/>
        <v>1998birthsage30-34</v>
      </c>
      <c r="S942" s="604">
        <v>1998</v>
      </c>
      <c r="T942" s="604" t="s">
        <v>445</v>
      </c>
      <c r="U942" s="604" t="s">
        <v>453</v>
      </c>
      <c r="V942" s="604" t="s">
        <v>132</v>
      </c>
      <c r="W942" s="604">
        <v>16409</v>
      </c>
      <c r="Y942" s="535" t="str">
        <f t="shared" si="119"/>
        <v>2016bwtage2500-449920-24infant</v>
      </c>
      <c r="Z942" s="604">
        <v>2016</v>
      </c>
      <c r="AA942" s="604" t="s">
        <v>447</v>
      </c>
      <c r="AB942" s="604" t="s">
        <v>453</v>
      </c>
      <c r="AC942" s="604" t="s">
        <v>431</v>
      </c>
      <c r="AD942" s="604" t="s">
        <v>130</v>
      </c>
      <c r="AE942" s="604">
        <v>23</v>
      </c>
      <c r="AF942" s="604">
        <v>9130</v>
      </c>
      <c r="AG942" s="604">
        <v>2.5</v>
      </c>
      <c r="AH942" s="604" t="s">
        <v>437</v>
      </c>
      <c r="AR942" s="538" t="str">
        <f t="shared" si="122"/>
        <v>37-41gestinfantWaitemata</v>
      </c>
      <c r="AS942" s="604">
        <v>2016</v>
      </c>
      <c r="AT942" s="604" t="s">
        <v>137</v>
      </c>
      <c r="AU942" s="604" t="s">
        <v>450</v>
      </c>
      <c r="AV942" s="604" t="s">
        <v>86</v>
      </c>
      <c r="AW942" s="604">
        <v>6</v>
      </c>
      <c r="AX942" s="604">
        <v>7340</v>
      </c>
      <c r="AY942" s="606">
        <v>0.8</v>
      </c>
      <c r="AZ942" s="604" t="s">
        <v>437</v>
      </c>
      <c r="BY942" s="553" t="str">
        <f t="shared" si="121"/>
        <v>2001&lt;20ageSUDI</v>
      </c>
      <c r="BZ942" s="604">
        <v>2001</v>
      </c>
      <c r="CA942" s="604" t="s">
        <v>339</v>
      </c>
      <c r="CB942" s="604" t="s">
        <v>453</v>
      </c>
      <c r="CC942" s="604">
        <v>14</v>
      </c>
      <c r="CD942" s="604" t="s">
        <v>33</v>
      </c>
    </row>
    <row r="943" spans="9:82">
      <c r="I943" s="578" t="str">
        <f t="shared" si="117"/>
        <v>2006dhbWest CoastFetal</v>
      </c>
      <c r="J943" s="604">
        <v>2006</v>
      </c>
      <c r="K943" s="604" t="s">
        <v>448</v>
      </c>
      <c r="L943" s="604" t="s">
        <v>100</v>
      </c>
      <c r="M943" s="604">
        <v>0</v>
      </c>
      <c r="N943" s="604">
        <v>398</v>
      </c>
      <c r="O943" s="604">
        <v>0</v>
      </c>
      <c r="P943" s="604" t="s">
        <v>47</v>
      </c>
      <c r="Q943" s="499"/>
      <c r="R943" s="502" t="str">
        <f t="shared" si="118"/>
        <v>1998birthsage35-39</v>
      </c>
      <c r="S943" s="604">
        <v>1998</v>
      </c>
      <c r="T943" s="604" t="s">
        <v>445</v>
      </c>
      <c r="U943" s="604" t="s">
        <v>453</v>
      </c>
      <c r="V943" s="604" t="s">
        <v>133</v>
      </c>
      <c r="W943" s="604">
        <v>7681</v>
      </c>
      <c r="Y943" s="535" t="str">
        <f t="shared" si="119"/>
        <v>2016bwtage4500+20-24infant</v>
      </c>
      <c r="Z943" s="604">
        <v>2016</v>
      </c>
      <c r="AA943" s="604" t="s">
        <v>447</v>
      </c>
      <c r="AB943" s="604" t="s">
        <v>453</v>
      </c>
      <c r="AC943" s="604" t="s">
        <v>432</v>
      </c>
      <c r="AD943" s="604" t="s">
        <v>130</v>
      </c>
      <c r="AE943" s="604">
        <v>0</v>
      </c>
      <c r="AF943" s="604">
        <v>208</v>
      </c>
      <c r="AG943" s="604">
        <v>0</v>
      </c>
      <c r="AH943" s="604" t="s">
        <v>437</v>
      </c>
      <c r="AR943" s="538" t="str">
        <f t="shared" si="122"/>
        <v>&lt;28gestinfantAuckland</v>
      </c>
      <c r="AS943" s="604">
        <v>2016</v>
      </c>
      <c r="AT943" s="604" t="s">
        <v>375</v>
      </c>
      <c r="AU943" s="604" t="s">
        <v>450</v>
      </c>
      <c r="AV943" s="604" t="s">
        <v>87</v>
      </c>
      <c r="AW943" s="604">
        <v>11</v>
      </c>
      <c r="AX943" s="604">
        <v>25</v>
      </c>
      <c r="AY943" s="606">
        <v>440</v>
      </c>
      <c r="AZ943" s="604" t="s">
        <v>437</v>
      </c>
      <c r="BY943" s="553" t="str">
        <f t="shared" si="121"/>
        <v>200120-24ageSUDI</v>
      </c>
      <c r="BZ943" s="604">
        <v>2001</v>
      </c>
      <c r="CA943" s="604" t="s">
        <v>130</v>
      </c>
      <c r="CB943" s="604" t="s">
        <v>453</v>
      </c>
      <c r="CC943" s="604">
        <v>21</v>
      </c>
      <c r="CD943" s="604" t="s">
        <v>33</v>
      </c>
    </row>
    <row r="944" spans="9:82">
      <c r="I944" s="578" t="str">
        <f t="shared" si="117"/>
        <v>2006dhbCanterburyFetal</v>
      </c>
      <c r="J944" s="604">
        <v>2006</v>
      </c>
      <c r="K944" s="604" t="s">
        <v>448</v>
      </c>
      <c r="L944" s="604" t="s">
        <v>101</v>
      </c>
      <c r="M944" s="604">
        <v>40</v>
      </c>
      <c r="N944" s="604">
        <v>6244</v>
      </c>
      <c r="O944" s="604">
        <v>6.4</v>
      </c>
      <c r="P944" s="604" t="s">
        <v>47</v>
      </c>
      <c r="Q944" s="499"/>
      <c r="R944" s="502" t="str">
        <f t="shared" si="118"/>
        <v>1998birthsage40+</v>
      </c>
      <c r="S944" s="604">
        <v>1998</v>
      </c>
      <c r="T944" s="604" t="s">
        <v>445</v>
      </c>
      <c r="U944" s="604" t="s">
        <v>453</v>
      </c>
      <c r="V944" s="604" t="s">
        <v>134</v>
      </c>
      <c r="W944" s="604">
        <v>1261</v>
      </c>
      <c r="Y944" s="535" t="str">
        <f t="shared" si="119"/>
        <v>2016bwtageUnknown20-24infant</v>
      </c>
      <c r="Z944" s="604">
        <v>2016</v>
      </c>
      <c r="AA944" s="604" t="s">
        <v>447</v>
      </c>
      <c r="AB944" s="604" t="s">
        <v>453</v>
      </c>
      <c r="AC944" s="604" t="s">
        <v>63</v>
      </c>
      <c r="AD944" s="604" t="s">
        <v>130</v>
      </c>
      <c r="AE944" s="604">
        <v>3</v>
      </c>
      <c r="AF944" s="604">
        <v>4</v>
      </c>
      <c r="AG944" s="604" t="s">
        <v>119</v>
      </c>
      <c r="AH944" s="604" t="s">
        <v>437</v>
      </c>
      <c r="AR944" s="538" t="str">
        <f t="shared" si="122"/>
        <v>28-31gestinfantAuckland</v>
      </c>
      <c r="AS944" s="604">
        <v>2016</v>
      </c>
      <c r="AT944" s="604" t="s">
        <v>395</v>
      </c>
      <c r="AU944" s="604" t="s">
        <v>450</v>
      </c>
      <c r="AV944" s="604" t="s">
        <v>87</v>
      </c>
      <c r="AW944" s="604">
        <v>1</v>
      </c>
      <c r="AX944" s="604">
        <v>28</v>
      </c>
      <c r="AY944" s="606">
        <v>35.700000000000003</v>
      </c>
      <c r="AZ944" s="604" t="s">
        <v>437</v>
      </c>
      <c r="BY944" s="553" t="str">
        <f t="shared" si="121"/>
        <v>200125-29ageSUDI</v>
      </c>
      <c r="BZ944" s="604">
        <v>2001</v>
      </c>
      <c r="CA944" s="604" t="s">
        <v>131</v>
      </c>
      <c r="CB944" s="604" t="s">
        <v>453</v>
      </c>
      <c r="CC944" s="604">
        <v>18</v>
      </c>
      <c r="CD944" s="604" t="s">
        <v>33</v>
      </c>
    </row>
    <row r="945" spans="9:82">
      <c r="I945" s="578" t="str">
        <f t="shared" si="117"/>
        <v>2006dhbSouth CanterburyFetal</v>
      </c>
      <c r="J945" s="604">
        <v>2006</v>
      </c>
      <c r="K945" s="604" t="s">
        <v>448</v>
      </c>
      <c r="L945" s="604" t="s">
        <v>102</v>
      </c>
      <c r="M945" s="604">
        <v>0</v>
      </c>
      <c r="N945" s="604">
        <v>606</v>
      </c>
      <c r="O945" s="604">
        <v>0</v>
      </c>
      <c r="P945" s="604" t="s">
        <v>47</v>
      </c>
      <c r="Q945" s="499"/>
      <c r="R945" s="502" t="str">
        <f t="shared" si="118"/>
        <v>1998birthsageUnknown</v>
      </c>
      <c r="S945" s="604">
        <v>1998</v>
      </c>
      <c r="T945" s="604" t="s">
        <v>445</v>
      </c>
      <c r="U945" s="604" t="s">
        <v>453</v>
      </c>
      <c r="V945" s="604" t="s">
        <v>63</v>
      </c>
      <c r="W945" s="604">
        <v>8</v>
      </c>
      <c r="Y945" s="535" t="str">
        <f t="shared" si="119"/>
        <v>2016bwtage&lt;50025-29infant</v>
      </c>
      <c r="Z945" s="604">
        <v>2016</v>
      </c>
      <c r="AA945" s="604" t="s">
        <v>447</v>
      </c>
      <c r="AB945" s="604" t="s">
        <v>453</v>
      </c>
      <c r="AC945" s="604" t="s">
        <v>427</v>
      </c>
      <c r="AD945" s="604" t="s">
        <v>131</v>
      </c>
      <c r="AE945" s="604">
        <v>7</v>
      </c>
      <c r="AF945" s="604">
        <v>13</v>
      </c>
      <c r="AG945" s="604">
        <v>538.5</v>
      </c>
      <c r="AH945" s="604" t="s">
        <v>437</v>
      </c>
      <c r="AR945" s="538" t="str">
        <f t="shared" si="122"/>
        <v>37-41gestinfantAuckland</v>
      </c>
      <c r="AS945" s="604">
        <v>2016</v>
      </c>
      <c r="AT945" s="604" t="s">
        <v>137</v>
      </c>
      <c r="AU945" s="604" t="s">
        <v>450</v>
      </c>
      <c r="AV945" s="604" t="s">
        <v>87</v>
      </c>
      <c r="AW945" s="604">
        <v>6</v>
      </c>
      <c r="AX945" s="604">
        <v>5451</v>
      </c>
      <c r="AY945" s="606">
        <v>1.1000000000000001</v>
      </c>
      <c r="AZ945" s="604" t="s">
        <v>437</v>
      </c>
      <c r="BY945" s="553" t="str">
        <f t="shared" si="121"/>
        <v>200130-34ageSUDI</v>
      </c>
      <c r="BZ945" s="604">
        <v>2001</v>
      </c>
      <c r="CA945" s="604" t="s">
        <v>132</v>
      </c>
      <c r="CB945" s="604" t="s">
        <v>453</v>
      </c>
      <c r="CC945" s="604">
        <v>15</v>
      </c>
      <c r="CD945" s="604" t="s">
        <v>33</v>
      </c>
    </row>
    <row r="946" spans="9:82">
      <c r="I946" s="578" t="str">
        <f t="shared" si="117"/>
        <v>2006dhbSouthernFetal</v>
      </c>
      <c r="J946" s="604">
        <v>2006</v>
      </c>
      <c r="K946" s="604" t="s">
        <v>448</v>
      </c>
      <c r="L946" s="604" t="s">
        <v>103</v>
      </c>
      <c r="M946" s="604">
        <v>31</v>
      </c>
      <c r="N946" s="604">
        <v>3472</v>
      </c>
      <c r="O946" s="604">
        <v>8.9</v>
      </c>
      <c r="P946" s="604" t="s">
        <v>47</v>
      </c>
      <c r="Q946" s="499"/>
      <c r="R946" s="502" t="str">
        <f t="shared" si="118"/>
        <v>1999birthsage&lt;20</v>
      </c>
      <c r="S946" s="604">
        <v>1999</v>
      </c>
      <c r="T946" s="604" t="s">
        <v>445</v>
      </c>
      <c r="U946" s="604" t="s">
        <v>453</v>
      </c>
      <c r="V946" s="604" t="s">
        <v>339</v>
      </c>
      <c r="W946" s="604">
        <v>3889</v>
      </c>
      <c r="Y946" s="535" t="str">
        <f t="shared" si="119"/>
        <v>2016bwtage500-99925-29infant</v>
      </c>
      <c r="Z946" s="604">
        <v>2016</v>
      </c>
      <c r="AA946" s="604" t="s">
        <v>447</v>
      </c>
      <c r="AB946" s="604" t="s">
        <v>453</v>
      </c>
      <c r="AC946" s="604" t="s">
        <v>428</v>
      </c>
      <c r="AD946" s="604" t="s">
        <v>131</v>
      </c>
      <c r="AE946" s="604">
        <v>14</v>
      </c>
      <c r="AF946" s="604">
        <v>48</v>
      </c>
      <c r="AG946" s="604">
        <v>291.7</v>
      </c>
      <c r="AH946" s="604" t="s">
        <v>437</v>
      </c>
      <c r="AR946" s="538" t="str">
        <f t="shared" si="122"/>
        <v>&lt;28gestinfantCounties Manukau</v>
      </c>
      <c r="AS946" s="604">
        <v>2016</v>
      </c>
      <c r="AT946" s="604" t="s">
        <v>375</v>
      </c>
      <c r="AU946" s="604" t="s">
        <v>450</v>
      </c>
      <c r="AV946" s="604" t="s">
        <v>88</v>
      </c>
      <c r="AW946" s="604">
        <v>26</v>
      </c>
      <c r="AX946" s="604">
        <v>51</v>
      </c>
      <c r="AY946" s="606">
        <v>509.8</v>
      </c>
      <c r="AZ946" s="604" t="s">
        <v>437</v>
      </c>
      <c r="BY946" s="553" t="str">
        <f t="shared" si="121"/>
        <v>200135-39ageSUDI</v>
      </c>
      <c r="BZ946" s="604">
        <v>2001</v>
      </c>
      <c r="CA946" s="604" t="s">
        <v>133</v>
      </c>
      <c r="CB946" s="604" t="s">
        <v>453</v>
      </c>
      <c r="CC946" s="604">
        <v>3</v>
      </c>
      <c r="CD946" s="604" t="s">
        <v>33</v>
      </c>
    </row>
    <row r="947" spans="9:82">
      <c r="I947" s="578" t="str">
        <f t="shared" si="117"/>
        <v>2006dhbUnknownFetal</v>
      </c>
      <c r="J947" s="604">
        <v>2006</v>
      </c>
      <c r="K947" s="604" t="s">
        <v>448</v>
      </c>
      <c r="L947" s="604" t="s">
        <v>63</v>
      </c>
      <c r="M947" s="604">
        <v>2</v>
      </c>
      <c r="N947" s="604">
        <v>356</v>
      </c>
      <c r="O947" s="604" t="s">
        <v>119</v>
      </c>
      <c r="P947" s="604" t="s">
        <v>47</v>
      </c>
      <c r="Q947" s="499"/>
      <c r="R947" s="502" t="str">
        <f t="shared" si="118"/>
        <v>1999birthsage20-24</v>
      </c>
      <c r="S947" s="604">
        <v>1999</v>
      </c>
      <c r="T947" s="604" t="s">
        <v>445</v>
      </c>
      <c r="U947" s="604" t="s">
        <v>453</v>
      </c>
      <c r="V947" s="604" t="s">
        <v>130</v>
      </c>
      <c r="W947" s="604">
        <v>10070</v>
      </c>
      <c r="Y947" s="535" t="str">
        <f t="shared" si="119"/>
        <v>2016bwtage1000-149925-29infant</v>
      </c>
      <c r="Z947" s="604">
        <v>2016</v>
      </c>
      <c r="AA947" s="604" t="s">
        <v>447</v>
      </c>
      <c r="AB947" s="604" t="s">
        <v>453</v>
      </c>
      <c r="AC947" s="604" t="s">
        <v>429</v>
      </c>
      <c r="AD947" s="604" t="s">
        <v>131</v>
      </c>
      <c r="AE947" s="604">
        <v>4</v>
      </c>
      <c r="AF947" s="604">
        <v>95</v>
      </c>
      <c r="AG947" s="604">
        <v>42.1</v>
      </c>
      <c r="AH947" s="604" t="s">
        <v>437</v>
      </c>
      <c r="AR947" s="538" t="str">
        <f t="shared" si="122"/>
        <v>28-31gestinfantCounties Manukau</v>
      </c>
      <c r="AS947" s="604">
        <v>2016</v>
      </c>
      <c r="AT947" s="604" t="s">
        <v>395</v>
      </c>
      <c r="AU947" s="604" t="s">
        <v>450</v>
      </c>
      <c r="AV947" s="604" t="s">
        <v>88</v>
      </c>
      <c r="AW947" s="604">
        <v>2</v>
      </c>
      <c r="AX947" s="604">
        <v>49</v>
      </c>
      <c r="AY947" s="606">
        <v>40.799999999999997</v>
      </c>
      <c r="AZ947" s="604" t="s">
        <v>437</v>
      </c>
      <c r="BY947" s="553" t="str">
        <f t="shared" si="121"/>
        <v>200140+ageSUDI</v>
      </c>
      <c r="BZ947" s="604">
        <v>2001</v>
      </c>
      <c r="CA947" s="604" t="s">
        <v>134</v>
      </c>
      <c r="CB947" s="604" t="s">
        <v>453</v>
      </c>
      <c r="CC947" s="604">
        <v>0</v>
      </c>
      <c r="CD947" s="604" t="s">
        <v>33</v>
      </c>
    </row>
    <row r="948" spans="9:82">
      <c r="I948" s="578" t="str">
        <f t="shared" si="117"/>
        <v>2007dhbNorthlandFetal</v>
      </c>
      <c r="J948" s="604">
        <v>2007</v>
      </c>
      <c r="K948" s="604" t="s">
        <v>448</v>
      </c>
      <c r="L948" s="604" t="s">
        <v>85</v>
      </c>
      <c r="M948" s="604">
        <v>19</v>
      </c>
      <c r="N948" s="604">
        <v>2391</v>
      </c>
      <c r="O948" s="604">
        <v>7.9</v>
      </c>
      <c r="P948" s="604" t="s">
        <v>47</v>
      </c>
      <c r="Q948" s="499"/>
      <c r="R948" s="502" t="str">
        <f t="shared" si="118"/>
        <v>1999birthsage25-29</v>
      </c>
      <c r="S948" s="604">
        <v>1999</v>
      </c>
      <c r="T948" s="604" t="s">
        <v>445</v>
      </c>
      <c r="U948" s="604" t="s">
        <v>453</v>
      </c>
      <c r="V948" s="604" t="s">
        <v>131</v>
      </c>
      <c r="W948" s="604">
        <v>16548</v>
      </c>
      <c r="Y948" s="535" t="str">
        <f t="shared" si="119"/>
        <v>2016bwtage1500-249925-29infant</v>
      </c>
      <c r="Z948" s="604">
        <v>2016</v>
      </c>
      <c r="AA948" s="604" t="s">
        <v>447</v>
      </c>
      <c r="AB948" s="604" t="s">
        <v>453</v>
      </c>
      <c r="AC948" s="604" t="s">
        <v>430</v>
      </c>
      <c r="AD948" s="604" t="s">
        <v>131</v>
      </c>
      <c r="AE948" s="604">
        <v>3</v>
      </c>
      <c r="AF948" s="604">
        <v>755</v>
      </c>
      <c r="AG948" s="604">
        <v>4</v>
      </c>
      <c r="AH948" s="604" t="s">
        <v>437</v>
      </c>
      <c r="AR948" s="538" t="str">
        <f t="shared" si="122"/>
        <v>32-36gestinfantCounties Manukau</v>
      </c>
      <c r="AS948" s="604">
        <v>2016</v>
      </c>
      <c r="AT948" s="604" t="s">
        <v>136</v>
      </c>
      <c r="AU948" s="604" t="s">
        <v>450</v>
      </c>
      <c r="AV948" s="604" t="s">
        <v>88</v>
      </c>
      <c r="AW948" s="604">
        <v>8</v>
      </c>
      <c r="AX948" s="604">
        <v>537</v>
      </c>
      <c r="AY948" s="606">
        <v>14.9</v>
      </c>
      <c r="AZ948" s="604" t="s">
        <v>437</v>
      </c>
      <c r="BY948" s="553" t="str">
        <f t="shared" si="121"/>
        <v>2001UnknownageSUDI</v>
      </c>
      <c r="BZ948" s="604">
        <v>2001</v>
      </c>
      <c r="CA948" s="604" t="s">
        <v>63</v>
      </c>
      <c r="CB948" s="604" t="s">
        <v>453</v>
      </c>
      <c r="CC948" s="604">
        <v>0</v>
      </c>
      <c r="CD948" s="604" t="s">
        <v>33</v>
      </c>
    </row>
    <row r="949" spans="9:82">
      <c r="I949" s="578" t="str">
        <f t="shared" si="117"/>
        <v>2007dhbWaitemataFetal</v>
      </c>
      <c r="J949" s="604">
        <v>2007</v>
      </c>
      <c r="K949" s="604" t="s">
        <v>448</v>
      </c>
      <c r="L949" s="604" t="s">
        <v>86</v>
      </c>
      <c r="M949" s="604">
        <v>75</v>
      </c>
      <c r="N949" s="604">
        <v>7904</v>
      </c>
      <c r="O949" s="604">
        <v>9.5</v>
      </c>
      <c r="P949" s="604" t="s">
        <v>47</v>
      </c>
      <c r="Q949" s="499"/>
      <c r="R949" s="502" t="str">
        <f t="shared" si="118"/>
        <v>1999birthsage30-34</v>
      </c>
      <c r="S949" s="604">
        <v>1999</v>
      </c>
      <c r="T949" s="604" t="s">
        <v>445</v>
      </c>
      <c r="U949" s="604" t="s">
        <v>453</v>
      </c>
      <c r="V949" s="604" t="s">
        <v>132</v>
      </c>
      <c r="W949" s="604">
        <v>17187</v>
      </c>
      <c r="Y949" s="535" t="str">
        <f t="shared" si="119"/>
        <v>2016bwtage2500-449925-29infant</v>
      </c>
      <c r="Z949" s="604">
        <v>2016</v>
      </c>
      <c r="AA949" s="604" t="s">
        <v>447</v>
      </c>
      <c r="AB949" s="604" t="s">
        <v>453</v>
      </c>
      <c r="AC949" s="604" t="s">
        <v>431</v>
      </c>
      <c r="AD949" s="604" t="s">
        <v>131</v>
      </c>
      <c r="AE949" s="604">
        <v>23</v>
      </c>
      <c r="AF949" s="604">
        <v>15332</v>
      </c>
      <c r="AG949" s="604">
        <v>1.5</v>
      </c>
      <c r="AH949" s="604" t="s">
        <v>437</v>
      </c>
      <c r="AR949" s="538" t="str">
        <f t="shared" si="122"/>
        <v>37-41gestinfantCounties Manukau</v>
      </c>
      <c r="AS949" s="604">
        <v>2016</v>
      </c>
      <c r="AT949" s="604" t="s">
        <v>137</v>
      </c>
      <c r="AU949" s="604" t="s">
        <v>450</v>
      </c>
      <c r="AV949" s="604" t="s">
        <v>88</v>
      </c>
      <c r="AW949" s="604">
        <v>18</v>
      </c>
      <c r="AX949" s="604">
        <v>7610</v>
      </c>
      <c r="AY949" s="606">
        <v>2.4</v>
      </c>
      <c r="AZ949" s="604" t="s">
        <v>437</v>
      </c>
      <c r="BY949" s="553" t="str">
        <f t="shared" si="121"/>
        <v>2002&lt;20ageSUDI</v>
      </c>
      <c r="BZ949" s="604">
        <v>2002</v>
      </c>
      <c r="CA949" s="604" t="s">
        <v>339</v>
      </c>
      <c r="CB949" s="604" t="s">
        <v>453</v>
      </c>
      <c r="CC949" s="604">
        <v>8</v>
      </c>
      <c r="CD949" s="604" t="s">
        <v>33</v>
      </c>
    </row>
    <row r="950" spans="9:82">
      <c r="I950" s="578" t="str">
        <f t="shared" si="117"/>
        <v>2007dhbAucklandFetal</v>
      </c>
      <c r="J950" s="604">
        <v>2007</v>
      </c>
      <c r="K950" s="604" t="s">
        <v>448</v>
      </c>
      <c r="L950" s="604" t="s">
        <v>87</v>
      </c>
      <c r="M950" s="604">
        <v>48</v>
      </c>
      <c r="N950" s="604">
        <v>6786</v>
      </c>
      <c r="O950" s="604">
        <v>7.1</v>
      </c>
      <c r="P950" s="604" t="s">
        <v>47</v>
      </c>
      <c r="Q950" s="499"/>
      <c r="R950" s="502" t="str">
        <f t="shared" si="118"/>
        <v>1999birthsage35-39</v>
      </c>
      <c r="S950" s="604">
        <v>1999</v>
      </c>
      <c r="T950" s="604" t="s">
        <v>445</v>
      </c>
      <c r="U950" s="604" t="s">
        <v>453</v>
      </c>
      <c r="V950" s="604" t="s">
        <v>133</v>
      </c>
      <c r="W950" s="604">
        <v>8266</v>
      </c>
      <c r="Y950" s="535" t="str">
        <f t="shared" si="119"/>
        <v>2016bwtage4500+25-29infant</v>
      </c>
      <c r="Z950" s="604">
        <v>2016</v>
      </c>
      <c r="AA950" s="604" t="s">
        <v>447</v>
      </c>
      <c r="AB950" s="604" t="s">
        <v>453</v>
      </c>
      <c r="AC950" s="604" t="s">
        <v>432</v>
      </c>
      <c r="AD950" s="604" t="s">
        <v>131</v>
      </c>
      <c r="AE950" s="604">
        <v>0</v>
      </c>
      <c r="AF950" s="604">
        <v>410</v>
      </c>
      <c r="AG950" s="604">
        <v>0</v>
      </c>
      <c r="AH950" s="604" t="s">
        <v>437</v>
      </c>
      <c r="AR950" s="538" t="str">
        <f t="shared" si="122"/>
        <v>42+gestinfantCounties Manukau</v>
      </c>
      <c r="AS950" s="604">
        <v>2016</v>
      </c>
      <c r="AT950" s="604" t="s">
        <v>138</v>
      </c>
      <c r="AU950" s="604" t="s">
        <v>450</v>
      </c>
      <c r="AV950" s="604" t="s">
        <v>88</v>
      </c>
      <c r="AW950" s="604">
        <v>2</v>
      </c>
      <c r="AX950" s="604">
        <v>125</v>
      </c>
      <c r="AY950" s="606">
        <v>16</v>
      </c>
      <c r="AZ950" s="604" t="s">
        <v>437</v>
      </c>
      <c r="BY950" s="553" t="str">
        <f t="shared" si="121"/>
        <v>200220-24ageSUDI</v>
      </c>
      <c r="BZ950" s="604">
        <v>2002</v>
      </c>
      <c r="CA950" s="604" t="s">
        <v>130</v>
      </c>
      <c r="CB950" s="604" t="s">
        <v>453</v>
      </c>
      <c r="CC950" s="604">
        <v>19</v>
      </c>
      <c r="CD950" s="604" t="s">
        <v>33</v>
      </c>
    </row>
    <row r="951" spans="9:82">
      <c r="I951" s="578" t="str">
        <f t="shared" si="117"/>
        <v>2007dhbCounties ManukauFetal</v>
      </c>
      <c r="J951" s="604">
        <v>2007</v>
      </c>
      <c r="K951" s="604" t="s">
        <v>448</v>
      </c>
      <c r="L951" s="604" t="s">
        <v>88</v>
      </c>
      <c r="M951" s="604">
        <v>71</v>
      </c>
      <c r="N951" s="604">
        <v>9069</v>
      </c>
      <c r="O951" s="604">
        <v>7.8</v>
      </c>
      <c r="P951" s="604" t="s">
        <v>47</v>
      </c>
      <c r="Q951" s="499"/>
      <c r="R951" s="502" t="str">
        <f t="shared" si="118"/>
        <v>1999birthsage40+</v>
      </c>
      <c r="S951" s="604">
        <v>1999</v>
      </c>
      <c r="T951" s="604" t="s">
        <v>445</v>
      </c>
      <c r="U951" s="604" t="s">
        <v>453</v>
      </c>
      <c r="V951" s="604" t="s">
        <v>134</v>
      </c>
      <c r="W951" s="604">
        <v>1458</v>
      </c>
      <c r="Y951" s="535" t="str">
        <f t="shared" si="119"/>
        <v>2016bwtageUnknown25-29infant</v>
      </c>
      <c r="Z951" s="604">
        <v>2016</v>
      </c>
      <c r="AA951" s="604" t="s">
        <v>447</v>
      </c>
      <c r="AB951" s="604" t="s">
        <v>453</v>
      </c>
      <c r="AC951" s="604" t="s">
        <v>63</v>
      </c>
      <c r="AD951" s="604" t="s">
        <v>131</v>
      </c>
      <c r="AE951" s="604">
        <v>1</v>
      </c>
      <c r="AF951" s="604">
        <v>11</v>
      </c>
      <c r="AG951" s="604" t="s">
        <v>119</v>
      </c>
      <c r="AH951" s="604" t="s">
        <v>437</v>
      </c>
      <c r="AR951" s="538" t="str">
        <f t="shared" si="122"/>
        <v>UnknowngestinfantCounties Manukau</v>
      </c>
      <c r="AS951" s="604">
        <v>2016</v>
      </c>
      <c r="AT951" s="604" t="s">
        <v>63</v>
      </c>
      <c r="AU951" s="604" t="s">
        <v>450</v>
      </c>
      <c r="AV951" s="604" t="s">
        <v>88</v>
      </c>
      <c r="AW951" s="604">
        <v>1</v>
      </c>
      <c r="AX951" s="604">
        <v>3</v>
      </c>
      <c r="AY951" s="606" t="s">
        <v>119</v>
      </c>
      <c r="AZ951" s="604" t="s">
        <v>437</v>
      </c>
      <c r="BY951" s="553" t="str">
        <f t="shared" si="121"/>
        <v>200225-29ageSUDI</v>
      </c>
      <c r="BZ951" s="604">
        <v>2002</v>
      </c>
      <c r="CA951" s="604" t="s">
        <v>131</v>
      </c>
      <c r="CB951" s="604" t="s">
        <v>453</v>
      </c>
      <c r="CC951" s="604">
        <v>11</v>
      </c>
      <c r="CD951" s="604" t="s">
        <v>33</v>
      </c>
    </row>
    <row r="952" spans="9:82">
      <c r="I952" s="578" t="str">
        <f t="shared" si="117"/>
        <v>2007dhbWaikatoFetal</v>
      </c>
      <c r="J952" s="604">
        <v>2007</v>
      </c>
      <c r="K952" s="604" t="s">
        <v>448</v>
      </c>
      <c r="L952" s="604" t="s">
        <v>89</v>
      </c>
      <c r="M952" s="604">
        <v>41</v>
      </c>
      <c r="N952" s="604">
        <v>5671</v>
      </c>
      <c r="O952" s="604">
        <v>7.2</v>
      </c>
      <c r="P952" s="604" t="s">
        <v>47</v>
      </c>
      <c r="Q952" s="499"/>
      <c r="R952" s="502" t="str">
        <f t="shared" si="118"/>
        <v>1999birthsageUnknown</v>
      </c>
      <c r="S952" s="604">
        <v>1999</v>
      </c>
      <c r="T952" s="604" t="s">
        <v>445</v>
      </c>
      <c r="U952" s="604" t="s">
        <v>453</v>
      </c>
      <c r="V952" s="604" t="s">
        <v>63</v>
      </c>
      <c r="W952" s="604">
        <v>3</v>
      </c>
      <c r="Y952" s="535" t="str">
        <f t="shared" si="119"/>
        <v>2016bwtage&lt;50030-34infant</v>
      </c>
      <c r="Z952" s="604">
        <v>2016</v>
      </c>
      <c r="AA952" s="604" t="s">
        <v>447</v>
      </c>
      <c r="AB952" s="604" t="s">
        <v>453</v>
      </c>
      <c r="AC952" s="604" t="s">
        <v>427</v>
      </c>
      <c r="AD952" s="604" t="s">
        <v>132</v>
      </c>
      <c r="AE952" s="604">
        <v>12</v>
      </c>
      <c r="AF952" s="604">
        <v>19</v>
      </c>
      <c r="AG952" s="604">
        <v>631.6</v>
      </c>
      <c r="AH952" s="604" t="s">
        <v>437</v>
      </c>
      <c r="AR952" s="538" t="str">
        <f t="shared" si="122"/>
        <v>&lt;28gestinfantWaikato</v>
      </c>
      <c r="AS952" s="604">
        <v>2016</v>
      </c>
      <c r="AT952" s="604" t="s">
        <v>375</v>
      </c>
      <c r="AU952" s="604" t="s">
        <v>450</v>
      </c>
      <c r="AV952" s="604" t="s">
        <v>89</v>
      </c>
      <c r="AW952" s="604">
        <v>9</v>
      </c>
      <c r="AX952" s="604">
        <v>20</v>
      </c>
      <c r="AY952" s="606">
        <v>450</v>
      </c>
      <c r="AZ952" s="604" t="s">
        <v>437</v>
      </c>
      <c r="BY952" s="553" t="str">
        <f t="shared" si="121"/>
        <v>200230-34ageSUDI</v>
      </c>
      <c r="BZ952" s="604">
        <v>2002</v>
      </c>
      <c r="CA952" s="604" t="s">
        <v>132</v>
      </c>
      <c r="CB952" s="604" t="s">
        <v>453</v>
      </c>
      <c r="CC952" s="604">
        <v>11</v>
      </c>
      <c r="CD952" s="604" t="s">
        <v>33</v>
      </c>
    </row>
    <row r="953" spans="9:82">
      <c r="I953" s="578" t="str">
        <f t="shared" si="117"/>
        <v>2007dhbLakesFetal</v>
      </c>
      <c r="J953" s="604">
        <v>2007</v>
      </c>
      <c r="K953" s="604" t="s">
        <v>448</v>
      </c>
      <c r="L953" s="604" t="s">
        <v>90</v>
      </c>
      <c r="M953" s="604">
        <v>8</v>
      </c>
      <c r="N953" s="604">
        <v>1700</v>
      </c>
      <c r="O953" s="604">
        <v>4.7</v>
      </c>
      <c r="P953" s="604" t="s">
        <v>47</v>
      </c>
      <c r="Q953" s="499"/>
      <c r="R953" s="502" t="str">
        <f t="shared" si="118"/>
        <v>2000birthsage&lt;20</v>
      </c>
      <c r="S953" s="604">
        <v>2000</v>
      </c>
      <c r="T953" s="604" t="s">
        <v>445</v>
      </c>
      <c r="U953" s="604" t="s">
        <v>453</v>
      </c>
      <c r="V953" s="604" t="s">
        <v>339</v>
      </c>
      <c r="W953" s="604">
        <v>3823</v>
      </c>
      <c r="Y953" s="535" t="str">
        <f t="shared" si="119"/>
        <v>2016bwtage500-99930-34infant</v>
      </c>
      <c r="Z953" s="604">
        <v>2016</v>
      </c>
      <c r="AA953" s="604" t="s">
        <v>447</v>
      </c>
      <c r="AB953" s="604" t="s">
        <v>453</v>
      </c>
      <c r="AC953" s="604" t="s">
        <v>428</v>
      </c>
      <c r="AD953" s="604" t="s">
        <v>132</v>
      </c>
      <c r="AE953" s="604">
        <v>14</v>
      </c>
      <c r="AF953" s="604">
        <v>44</v>
      </c>
      <c r="AG953" s="604">
        <v>318.2</v>
      </c>
      <c r="AH953" s="604" t="s">
        <v>437</v>
      </c>
      <c r="AR953" s="538" t="str">
        <f t="shared" si="122"/>
        <v>28-31gestinfantWaikato</v>
      </c>
      <c r="AS953" s="604">
        <v>2016</v>
      </c>
      <c r="AT953" s="604" t="s">
        <v>395</v>
      </c>
      <c r="AU953" s="604" t="s">
        <v>450</v>
      </c>
      <c r="AV953" s="604" t="s">
        <v>89</v>
      </c>
      <c r="AW953" s="604">
        <v>1</v>
      </c>
      <c r="AX953" s="604">
        <v>43</v>
      </c>
      <c r="AY953" s="606">
        <v>23.3</v>
      </c>
      <c r="AZ953" s="604" t="s">
        <v>437</v>
      </c>
      <c r="BY953" s="553" t="str">
        <f t="shared" si="121"/>
        <v>200235-39ageSUDI</v>
      </c>
      <c r="BZ953" s="604">
        <v>2002</v>
      </c>
      <c r="CA953" s="604" t="s">
        <v>133</v>
      </c>
      <c r="CB953" s="604" t="s">
        <v>453</v>
      </c>
      <c r="CC953" s="604">
        <v>8</v>
      </c>
      <c r="CD953" s="604" t="s">
        <v>33</v>
      </c>
    </row>
    <row r="954" spans="9:82">
      <c r="I954" s="578" t="str">
        <f t="shared" si="117"/>
        <v>2007dhbBay of PlentyFetal</v>
      </c>
      <c r="J954" s="604">
        <v>2007</v>
      </c>
      <c r="K954" s="604" t="s">
        <v>448</v>
      </c>
      <c r="L954" s="604" t="s">
        <v>91</v>
      </c>
      <c r="M954" s="604">
        <v>20</v>
      </c>
      <c r="N954" s="604">
        <v>3070</v>
      </c>
      <c r="O954" s="604">
        <v>6.5</v>
      </c>
      <c r="P954" s="604" t="s">
        <v>47</v>
      </c>
      <c r="Q954" s="499"/>
      <c r="R954" s="502" t="str">
        <f t="shared" si="118"/>
        <v>2000birthsage20-24</v>
      </c>
      <c r="S954" s="604">
        <v>2000</v>
      </c>
      <c r="T954" s="604" t="s">
        <v>445</v>
      </c>
      <c r="U954" s="604" t="s">
        <v>453</v>
      </c>
      <c r="V954" s="604" t="s">
        <v>130</v>
      </c>
      <c r="W954" s="604">
        <v>9937</v>
      </c>
      <c r="Y954" s="535" t="str">
        <f t="shared" si="119"/>
        <v>2016bwtage1000-149930-34infant</v>
      </c>
      <c r="Z954" s="604">
        <v>2016</v>
      </c>
      <c r="AA954" s="604" t="s">
        <v>447</v>
      </c>
      <c r="AB954" s="604" t="s">
        <v>453</v>
      </c>
      <c r="AC954" s="604" t="s">
        <v>429</v>
      </c>
      <c r="AD954" s="604" t="s">
        <v>132</v>
      </c>
      <c r="AE954" s="604">
        <v>0</v>
      </c>
      <c r="AF954" s="604">
        <v>101</v>
      </c>
      <c r="AG954" s="604">
        <v>0</v>
      </c>
      <c r="AH954" s="604" t="s">
        <v>437</v>
      </c>
      <c r="AR954" s="538" t="str">
        <f t="shared" si="122"/>
        <v>32-36gestinfantWaikato</v>
      </c>
      <c r="AS954" s="604">
        <v>2016</v>
      </c>
      <c r="AT954" s="604" t="s">
        <v>136</v>
      </c>
      <c r="AU954" s="604" t="s">
        <v>450</v>
      </c>
      <c r="AV954" s="604" t="s">
        <v>89</v>
      </c>
      <c r="AW954" s="604">
        <v>1</v>
      </c>
      <c r="AX954" s="604">
        <v>335</v>
      </c>
      <c r="AY954" s="606">
        <v>3</v>
      </c>
      <c r="AZ954" s="604" t="s">
        <v>437</v>
      </c>
      <c r="BY954" s="553" t="str">
        <f t="shared" si="121"/>
        <v>200240+ageSUDI</v>
      </c>
      <c r="BZ954" s="604">
        <v>2002</v>
      </c>
      <c r="CA954" s="604" t="s">
        <v>134</v>
      </c>
      <c r="CB954" s="604" t="s">
        <v>453</v>
      </c>
      <c r="CC954" s="604">
        <v>1</v>
      </c>
      <c r="CD954" s="604" t="s">
        <v>33</v>
      </c>
    </row>
    <row r="955" spans="9:82">
      <c r="I955" s="578" t="str">
        <f t="shared" si="117"/>
        <v>2007dhbTairawhitiFetal</v>
      </c>
      <c r="J955" s="604">
        <v>2007</v>
      </c>
      <c r="K955" s="604" t="s">
        <v>448</v>
      </c>
      <c r="L955" s="604" t="s">
        <v>433</v>
      </c>
      <c r="M955" s="604">
        <v>3</v>
      </c>
      <c r="N955" s="604">
        <v>839</v>
      </c>
      <c r="O955" s="604">
        <v>3.6</v>
      </c>
      <c r="P955" s="604" t="s">
        <v>47</v>
      </c>
      <c r="Q955" s="499"/>
      <c r="R955" s="502" t="str">
        <f t="shared" si="118"/>
        <v>2000birthsage25-29</v>
      </c>
      <c r="S955" s="604">
        <v>2000</v>
      </c>
      <c r="T955" s="604" t="s">
        <v>445</v>
      </c>
      <c r="U955" s="604" t="s">
        <v>453</v>
      </c>
      <c r="V955" s="604" t="s">
        <v>131</v>
      </c>
      <c r="W955" s="604">
        <v>15892</v>
      </c>
      <c r="Y955" s="535" t="str">
        <f t="shared" si="119"/>
        <v>2016bwtage1500-249930-34infant</v>
      </c>
      <c r="Z955" s="604">
        <v>2016</v>
      </c>
      <c r="AA955" s="604" t="s">
        <v>447</v>
      </c>
      <c r="AB955" s="604" t="s">
        <v>453</v>
      </c>
      <c r="AC955" s="604" t="s">
        <v>430</v>
      </c>
      <c r="AD955" s="604" t="s">
        <v>132</v>
      </c>
      <c r="AE955" s="604">
        <v>10</v>
      </c>
      <c r="AF955" s="604">
        <v>903</v>
      </c>
      <c r="AG955" s="604">
        <v>11.1</v>
      </c>
      <c r="AH955" s="604" t="s">
        <v>437</v>
      </c>
      <c r="AR955" s="538" t="str">
        <f t="shared" si="122"/>
        <v>37-41gestinfantWaikato</v>
      </c>
      <c r="AS955" s="604">
        <v>2016</v>
      </c>
      <c r="AT955" s="604" t="s">
        <v>137</v>
      </c>
      <c r="AU955" s="604" t="s">
        <v>450</v>
      </c>
      <c r="AV955" s="604" t="s">
        <v>89</v>
      </c>
      <c r="AW955" s="604">
        <v>13</v>
      </c>
      <c r="AX955" s="604">
        <v>4902</v>
      </c>
      <c r="AY955" s="606">
        <v>2.7</v>
      </c>
      <c r="AZ955" s="604" t="s">
        <v>437</v>
      </c>
      <c r="BY955" s="553" t="str">
        <f t="shared" si="121"/>
        <v>2002UnknownageSUDI</v>
      </c>
      <c r="BZ955" s="604">
        <v>2002</v>
      </c>
      <c r="CA955" s="604" t="s">
        <v>63</v>
      </c>
      <c r="CB955" s="604" t="s">
        <v>453</v>
      </c>
      <c r="CC955" s="604">
        <v>0</v>
      </c>
      <c r="CD955" s="604" t="s">
        <v>33</v>
      </c>
    </row>
    <row r="956" spans="9:82">
      <c r="I956" s="578" t="str">
        <f t="shared" si="117"/>
        <v>2007dhbHawke's BayFetal</v>
      </c>
      <c r="J956" s="604">
        <v>2007</v>
      </c>
      <c r="K956" s="604" t="s">
        <v>448</v>
      </c>
      <c r="L956" s="604" t="s">
        <v>92</v>
      </c>
      <c r="M956" s="604">
        <v>10</v>
      </c>
      <c r="N956" s="604">
        <v>2389</v>
      </c>
      <c r="O956" s="604">
        <v>4.2</v>
      </c>
      <c r="P956" s="604" t="s">
        <v>47</v>
      </c>
      <c r="Q956" s="499"/>
      <c r="R956" s="502" t="str">
        <f t="shared" si="118"/>
        <v>2000birthsage30-34</v>
      </c>
      <c r="S956" s="604">
        <v>2000</v>
      </c>
      <c r="T956" s="604" t="s">
        <v>445</v>
      </c>
      <c r="U956" s="604" t="s">
        <v>453</v>
      </c>
      <c r="V956" s="604" t="s">
        <v>132</v>
      </c>
      <c r="W956" s="604">
        <v>17282</v>
      </c>
      <c r="Y956" s="535" t="str">
        <f t="shared" si="119"/>
        <v>2016bwtage2500-449930-34infant</v>
      </c>
      <c r="Z956" s="604">
        <v>2016</v>
      </c>
      <c r="AA956" s="604" t="s">
        <v>447</v>
      </c>
      <c r="AB956" s="604" t="s">
        <v>453</v>
      </c>
      <c r="AC956" s="604" t="s">
        <v>431</v>
      </c>
      <c r="AD956" s="604" t="s">
        <v>132</v>
      </c>
      <c r="AE956" s="604">
        <v>21</v>
      </c>
      <c r="AF956" s="604">
        <v>17196</v>
      </c>
      <c r="AG956" s="604">
        <v>1.2</v>
      </c>
      <c r="AH956" s="604" t="s">
        <v>437</v>
      </c>
      <c r="AR956" s="538" t="str">
        <f t="shared" si="122"/>
        <v>42+gestinfantWaikato</v>
      </c>
      <c r="AS956" s="604">
        <v>2016</v>
      </c>
      <c r="AT956" s="604" t="s">
        <v>138</v>
      </c>
      <c r="AU956" s="604" t="s">
        <v>450</v>
      </c>
      <c r="AV956" s="604" t="s">
        <v>89</v>
      </c>
      <c r="AW956" s="604">
        <v>1</v>
      </c>
      <c r="AX956" s="604">
        <v>196</v>
      </c>
      <c r="AY956" s="606">
        <v>5.0999999999999996</v>
      </c>
      <c r="AZ956" s="604" t="s">
        <v>437</v>
      </c>
      <c r="BY956" s="553" t="str">
        <f t="shared" si="121"/>
        <v>2003&lt;20ageSUDI</v>
      </c>
      <c r="BZ956" s="604">
        <v>2003</v>
      </c>
      <c r="CA956" s="604" t="s">
        <v>339</v>
      </c>
      <c r="CB956" s="604" t="s">
        <v>453</v>
      </c>
      <c r="CC956" s="604">
        <v>5</v>
      </c>
      <c r="CD956" s="604" t="s">
        <v>33</v>
      </c>
    </row>
    <row r="957" spans="9:82">
      <c r="I957" s="578" t="str">
        <f t="shared" si="117"/>
        <v>2007dhbTaranakiFetal</v>
      </c>
      <c r="J957" s="604">
        <v>2007</v>
      </c>
      <c r="K957" s="604" t="s">
        <v>448</v>
      </c>
      <c r="L957" s="604" t="s">
        <v>93</v>
      </c>
      <c r="M957" s="604">
        <v>6</v>
      </c>
      <c r="N957" s="604">
        <v>1632</v>
      </c>
      <c r="O957" s="604">
        <v>3.7</v>
      </c>
      <c r="P957" s="604" t="s">
        <v>47</v>
      </c>
      <c r="Q957" s="499"/>
      <c r="R957" s="502" t="str">
        <f t="shared" si="118"/>
        <v>2000birthsage35-39</v>
      </c>
      <c r="S957" s="604">
        <v>2000</v>
      </c>
      <c r="T957" s="604" t="s">
        <v>445</v>
      </c>
      <c r="U957" s="604" t="s">
        <v>453</v>
      </c>
      <c r="V957" s="604" t="s">
        <v>133</v>
      </c>
      <c r="W957" s="604">
        <v>8493</v>
      </c>
      <c r="Y957" s="535" t="str">
        <f t="shared" si="119"/>
        <v>2016bwtage4500+30-34infant</v>
      </c>
      <c r="Z957" s="604">
        <v>2016</v>
      </c>
      <c r="AA957" s="604" t="s">
        <v>447</v>
      </c>
      <c r="AB957" s="604" t="s">
        <v>453</v>
      </c>
      <c r="AC957" s="604" t="s">
        <v>432</v>
      </c>
      <c r="AD957" s="604" t="s">
        <v>132</v>
      </c>
      <c r="AE957" s="604">
        <v>0</v>
      </c>
      <c r="AF957" s="604">
        <v>449</v>
      </c>
      <c r="AG957" s="604">
        <v>0</v>
      </c>
      <c r="AH957" s="604" t="s">
        <v>437</v>
      </c>
      <c r="AR957" s="538" t="str">
        <f t="shared" si="122"/>
        <v>UnknowngestinfantWaikato</v>
      </c>
      <c r="AS957" s="604">
        <v>2016</v>
      </c>
      <c r="AT957" s="604" t="s">
        <v>63</v>
      </c>
      <c r="AU957" s="604" t="s">
        <v>450</v>
      </c>
      <c r="AV957" s="604" t="s">
        <v>89</v>
      </c>
      <c r="AW957" s="604">
        <v>3</v>
      </c>
      <c r="AX957" s="604">
        <v>11</v>
      </c>
      <c r="AY957" s="606" t="s">
        <v>119</v>
      </c>
      <c r="AZ957" s="604" t="s">
        <v>437</v>
      </c>
      <c r="BY957" s="553" t="str">
        <f t="shared" si="121"/>
        <v>200320-24ageSUDI</v>
      </c>
      <c r="BZ957" s="604">
        <v>2003</v>
      </c>
      <c r="CA957" s="604" t="s">
        <v>130</v>
      </c>
      <c r="CB957" s="604" t="s">
        <v>453</v>
      </c>
      <c r="CC957" s="604">
        <v>16</v>
      </c>
      <c r="CD957" s="604" t="s">
        <v>33</v>
      </c>
    </row>
    <row r="958" spans="9:82">
      <c r="I958" s="578" t="str">
        <f t="shared" si="117"/>
        <v>2007dhbMidCentralFetal</v>
      </c>
      <c r="J958" s="604">
        <v>2007</v>
      </c>
      <c r="K958" s="604" t="s">
        <v>448</v>
      </c>
      <c r="L958" s="604" t="s">
        <v>94</v>
      </c>
      <c r="M958" s="604">
        <v>20</v>
      </c>
      <c r="N958" s="604">
        <v>2370</v>
      </c>
      <c r="O958" s="604">
        <v>8.4</v>
      </c>
      <c r="P958" s="604" t="s">
        <v>47</v>
      </c>
      <c r="Q958" s="499"/>
      <c r="R958" s="502" t="str">
        <f t="shared" si="118"/>
        <v>2000birthsage40+</v>
      </c>
      <c r="S958" s="604">
        <v>2000</v>
      </c>
      <c r="T958" s="604" t="s">
        <v>445</v>
      </c>
      <c r="U958" s="604" t="s">
        <v>453</v>
      </c>
      <c r="V958" s="604" t="s">
        <v>134</v>
      </c>
      <c r="W958" s="604">
        <v>1567</v>
      </c>
      <c r="Y958" s="535" t="str">
        <f t="shared" si="119"/>
        <v>2016bwtageUnknown30-34infant</v>
      </c>
      <c r="Z958" s="604">
        <v>2016</v>
      </c>
      <c r="AA958" s="604" t="s">
        <v>447</v>
      </c>
      <c r="AB958" s="604" t="s">
        <v>453</v>
      </c>
      <c r="AC958" s="604" t="s">
        <v>63</v>
      </c>
      <c r="AD958" s="604" t="s">
        <v>132</v>
      </c>
      <c r="AE958" s="604">
        <v>2</v>
      </c>
      <c r="AF958" s="604">
        <v>8</v>
      </c>
      <c r="AG958" s="604" t="s">
        <v>119</v>
      </c>
      <c r="AH958" s="604" t="s">
        <v>437</v>
      </c>
      <c r="AR958" s="538" t="str">
        <f t="shared" si="122"/>
        <v>&lt;28gestinfantBay of Plenty</v>
      </c>
      <c r="AS958" s="604">
        <v>2016</v>
      </c>
      <c r="AT958" s="604" t="s">
        <v>375</v>
      </c>
      <c r="AU958" s="604" t="s">
        <v>450</v>
      </c>
      <c r="AV958" s="604" t="s">
        <v>91</v>
      </c>
      <c r="AW958" s="604">
        <v>7</v>
      </c>
      <c r="AX958" s="604">
        <v>11</v>
      </c>
      <c r="AY958" s="606">
        <v>636.4</v>
      </c>
      <c r="AZ958" s="604" t="s">
        <v>437</v>
      </c>
      <c r="BY958" s="553" t="str">
        <f t="shared" si="121"/>
        <v>200325-29ageSUDI</v>
      </c>
      <c r="BZ958" s="604">
        <v>2003</v>
      </c>
      <c r="CA958" s="604" t="s">
        <v>131</v>
      </c>
      <c r="CB958" s="604" t="s">
        <v>453</v>
      </c>
      <c r="CC958" s="604">
        <v>23</v>
      </c>
      <c r="CD958" s="604" t="s">
        <v>33</v>
      </c>
    </row>
    <row r="959" spans="9:82">
      <c r="I959" s="578" t="str">
        <f t="shared" si="117"/>
        <v>2007dhbWhanganuiFetal</v>
      </c>
      <c r="J959" s="604">
        <v>2007</v>
      </c>
      <c r="K959" s="604" t="s">
        <v>448</v>
      </c>
      <c r="L959" s="604" t="s">
        <v>95</v>
      </c>
      <c r="M959" s="604">
        <v>9</v>
      </c>
      <c r="N959" s="604">
        <v>914</v>
      </c>
      <c r="O959" s="604">
        <v>9.8000000000000007</v>
      </c>
      <c r="P959" s="604" t="s">
        <v>47</v>
      </c>
      <c r="Q959" s="499"/>
      <c r="R959" s="502" t="str">
        <f t="shared" si="118"/>
        <v>2001birthsage&lt;20</v>
      </c>
      <c r="S959" s="604">
        <v>2001</v>
      </c>
      <c r="T959" s="604" t="s">
        <v>445</v>
      </c>
      <c r="U959" s="604" t="s">
        <v>453</v>
      </c>
      <c r="V959" s="604" t="s">
        <v>339</v>
      </c>
      <c r="W959" s="604">
        <v>3783</v>
      </c>
      <c r="Y959" s="535" t="str">
        <f t="shared" si="119"/>
        <v>2016bwtage&lt;50035-39infant</v>
      </c>
      <c r="Z959" s="604">
        <v>2016</v>
      </c>
      <c r="AA959" s="604" t="s">
        <v>447</v>
      </c>
      <c r="AB959" s="604" t="s">
        <v>453</v>
      </c>
      <c r="AC959" s="604" t="s">
        <v>427</v>
      </c>
      <c r="AD959" s="604" t="s">
        <v>133</v>
      </c>
      <c r="AE959" s="604">
        <v>3</v>
      </c>
      <c r="AF959" s="604">
        <v>7</v>
      </c>
      <c r="AG959" s="604">
        <v>428.6</v>
      </c>
      <c r="AH959" s="604" t="s">
        <v>437</v>
      </c>
      <c r="AR959" s="538" t="str">
        <f t="shared" si="122"/>
        <v>28-31gestinfantBay of Plenty</v>
      </c>
      <c r="AS959" s="604">
        <v>2016</v>
      </c>
      <c r="AT959" s="604" t="s">
        <v>395</v>
      </c>
      <c r="AU959" s="604" t="s">
        <v>450</v>
      </c>
      <c r="AV959" s="604" t="s">
        <v>91</v>
      </c>
      <c r="AW959" s="604">
        <v>1</v>
      </c>
      <c r="AX959" s="604">
        <v>24</v>
      </c>
      <c r="AY959" s="606">
        <v>41.7</v>
      </c>
      <c r="AZ959" s="604" t="s">
        <v>437</v>
      </c>
      <c r="BY959" s="553" t="str">
        <f t="shared" si="121"/>
        <v>200330-34ageSUDI</v>
      </c>
      <c r="BZ959" s="604">
        <v>2003</v>
      </c>
      <c r="CA959" s="604" t="s">
        <v>132</v>
      </c>
      <c r="CB959" s="604" t="s">
        <v>453</v>
      </c>
      <c r="CC959" s="604">
        <v>9</v>
      </c>
      <c r="CD959" s="604" t="s">
        <v>33</v>
      </c>
    </row>
    <row r="960" spans="9:82">
      <c r="I960" s="578" t="str">
        <f t="shared" si="117"/>
        <v>2007dhbCapital &amp; CoastFetal</v>
      </c>
      <c r="J960" s="604">
        <v>2007</v>
      </c>
      <c r="K960" s="604" t="s">
        <v>448</v>
      </c>
      <c r="L960" s="604" t="s">
        <v>96</v>
      </c>
      <c r="M960" s="604">
        <v>32</v>
      </c>
      <c r="N960" s="604">
        <v>4088</v>
      </c>
      <c r="O960" s="604">
        <v>7.8</v>
      </c>
      <c r="P960" s="604" t="s">
        <v>47</v>
      </c>
      <c r="Q960" s="499"/>
      <c r="R960" s="502" t="str">
        <f t="shared" si="118"/>
        <v>2001birthsage20-24</v>
      </c>
      <c r="S960" s="604">
        <v>2001</v>
      </c>
      <c r="T960" s="604" t="s">
        <v>445</v>
      </c>
      <c r="U960" s="604" t="s">
        <v>453</v>
      </c>
      <c r="V960" s="604" t="s">
        <v>130</v>
      </c>
      <c r="W960" s="604">
        <v>9825</v>
      </c>
      <c r="Y960" s="535" t="str">
        <f t="shared" si="119"/>
        <v>2016bwtage500-99935-39infant</v>
      </c>
      <c r="Z960" s="604">
        <v>2016</v>
      </c>
      <c r="AA960" s="604" t="s">
        <v>447</v>
      </c>
      <c r="AB960" s="604" t="s">
        <v>453</v>
      </c>
      <c r="AC960" s="604" t="s">
        <v>428</v>
      </c>
      <c r="AD960" s="604" t="s">
        <v>133</v>
      </c>
      <c r="AE960" s="604">
        <v>3</v>
      </c>
      <c r="AF960" s="604">
        <v>41</v>
      </c>
      <c r="AG960" s="604">
        <v>73.2</v>
      </c>
      <c r="AH960" s="604" t="s">
        <v>437</v>
      </c>
      <c r="AR960" s="538" t="str">
        <f t="shared" si="122"/>
        <v>32-36gestinfantBay of Plenty</v>
      </c>
      <c r="AS960" s="604">
        <v>2016</v>
      </c>
      <c r="AT960" s="604" t="s">
        <v>136</v>
      </c>
      <c r="AU960" s="604" t="s">
        <v>450</v>
      </c>
      <c r="AV960" s="604" t="s">
        <v>91</v>
      </c>
      <c r="AW960" s="604">
        <v>1</v>
      </c>
      <c r="AX960" s="604">
        <v>180</v>
      </c>
      <c r="AY960" s="606">
        <v>5.6</v>
      </c>
      <c r="AZ960" s="604" t="s">
        <v>437</v>
      </c>
      <c r="BY960" s="553" t="str">
        <f t="shared" si="121"/>
        <v>200335-39ageSUDI</v>
      </c>
      <c r="BZ960" s="604">
        <v>2003</v>
      </c>
      <c r="CA960" s="604" t="s">
        <v>133</v>
      </c>
      <c r="CB960" s="604" t="s">
        <v>453</v>
      </c>
      <c r="CC960" s="604">
        <v>6</v>
      </c>
      <c r="CD960" s="604" t="s">
        <v>33</v>
      </c>
    </row>
    <row r="961" spans="9:82">
      <c r="I961" s="578" t="str">
        <f t="shared" si="117"/>
        <v>2007dhbHutt ValleyFetal</v>
      </c>
      <c r="J961" s="604">
        <v>2007</v>
      </c>
      <c r="K961" s="604" t="s">
        <v>448</v>
      </c>
      <c r="L961" s="604" t="s">
        <v>97</v>
      </c>
      <c r="M961" s="604">
        <v>19</v>
      </c>
      <c r="N961" s="604">
        <v>2283</v>
      </c>
      <c r="O961" s="604">
        <v>8.3000000000000007</v>
      </c>
      <c r="P961" s="604" t="s">
        <v>47</v>
      </c>
      <c r="Q961" s="499"/>
      <c r="R961" s="502" t="str">
        <f t="shared" si="118"/>
        <v>2001birthsage25-29</v>
      </c>
      <c r="S961" s="604">
        <v>2001</v>
      </c>
      <c r="T961" s="604" t="s">
        <v>445</v>
      </c>
      <c r="U961" s="604" t="s">
        <v>453</v>
      </c>
      <c r="V961" s="604" t="s">
        <v>131</v>
      </c>
      <c r="W961" s="604">
        <v>15208</v>
      </c>
      <c r="Y961" s="535" t="str">
        <f t="shared" si="119"/>
        <v>2016bwtage1000-149935-39infant</v>
      </c>
      <c r="Z961" s="604">
        <v>2016</v>
      </c>
      <c r="AA961" s="604" t="s">
        <v>447</v>
      </c>
      <c r="AB961" s="604" t="s">
        <v>453</v>
      </c>
      <c r="AC961" s="604" t="s">
        <v>429</v>
      </c>
      <c r="AD961" s="604" t="s">
        <v>133</v>
      </c>
      <c r="AE961" s="604">
        <v>2</v>
      </c>
      <c r="AF961" s="604">
        <v>47</v>
      </c>
      <c r="AG961" s="604">
        <v>42.6</v>
      </c>
      <c r="AH961" s="604" t="s">
        <v>437</v>
      </c>
      <c r="AR961" s="538" t="str">
        <f t="shared" si="122"/>
        <v>37-41gestinfantBay of Plenty</v>
      </c>
      <c r="AS961" s="604">
        <v>2016</v>
      </c>
      <c r="AT961" s="604" t="s">
        <v>137</v>
      </c>
      <c r="AU961" s="604" t="s">
        <v>450</v>
      </c>
      <c r="AV961" s="604" t="s">
        <v>91</v>
      </c>
      <c r="AW961" s="604">
        <v>4</v>
      </c>
      <c r="AX961" s="604">
        <v>2674</v>
      </c>
      <c r="AY961" s="606">
        <v>1.5</v>
      </c>
      <c r="AZ961" s="604" t="s">
        <v>437</v>
      </c>
      <c r="BY961" s="553" t="str">
        <f t="shared" si="121"/>
        <v>200340+ageSUDI</v>
      </c>
      <c r="BZ961" s="604">
        <v>2003</v>
      </c>
      <c r="CA961" s="604" t="s">
        <v>134</v>
      </c>
      <c r="CB961" s="604" t="s">
        <v>453</v>
      </c>
      <c r="CC961" s="604">
        <v>2</v>
      </c>
      <c r="CD961" s="604" t="s">
        <v>33</v>
      </c>
    </row>
    <row r="962" spans="9:82">
      <c r="I962" s="578" t="str">
        <f t="shared" si="117"/>
        <v>2007dhbWairarapaFetal</v>
      </c>
      <c r="J962" s="604">
        <v>2007</v>
      </c>
      <c r="K962" s="604" t="s">
        <v>448</v>
      </c>
      <c r="L962" s="604" t="s">
        <v>98</v>
      </c>
      <c r="M962" s="604">
        <v>4</v>
      </c>
      <c r="N962" s="604">
        <v>543</v>
      </c>
      <c r="O962" s="604">
        <v>7.4</v>
      </c>
      <c r="P962" s="604" t="s">
        <v>47</v>
      </c>
      <c r="Q962" s="499"/>
      <c r="R962" s="502" t="str">
        <f t="shared" si="118"/>
        <v>2001birthsage30-34</v>
      </c>
      <c r="S962" s="604">
        <v>2001</v>
      </c>
      <c r="T962" s="604" t="s">
        <v>445</v>
      </c>
      <c r="U962" s="604" t="s">
        <v>453</v>
      </c>
      <c r="V962" s="604" t="s">
        <v>132</v>
      </c>
      <c r="W962" s="604">
        <v>17158</v>
      </c>
      <c r="Y962" s="535" t="str">
        <f t="shared" si="119"/>
        <v>2016bwtage1500-249935-39infant</v>
      </c>
      <c r="Z962" s="604">
        <v>2016</v>
      </c>
      <c r="AA962" s="604" t="s">
        <v>447</v>
      </c>
      <c r="AB962" s="604" t="s">
        <v>453</v>
      </c>
      <c r="AC962" s="604" t="s">
        <v>430</v>
      </c>
      <c r="AD962" s="604" t="s">
        <v>133</v>
      </c>
      <c r="AE962" s="604">
        <v>6</v>
      </c>
      <c r="AF962" s="604">
        <v>504</v>
      </c>
      <c r="AG962" s="604">
        <v>11.9</v>
      </c>
      <c r="AH962" s="604" t="s">
        <v>437</v>
      </c>
      <c r="AR962" s="538" t="str">
        <f t="shared" si="122"/>
        <v>42+gestinfantBay of Plenty</v>
      </c>
      <c r="AS962" s="604">
        <v>2016</v>
      </c>
      <c r="AT962" s="604" t="s">
        <v>138</v>
      </c>
      <c r="AU962" s="604" t="s">
        <v>450</v>
      </c>
      <c r="AV962" s="604" t="s">
        <v>91</v>
      </c>
      <c r="AW962" s="604">
        <v>1</v>
      </c>
      <c r="AX962" s="604">
        <v>46</v>
      </c>
      <c r="AY962" s="606">
        <v>21.7</v>
      </c>
      <c r="AZ962" s="604" t="s">
        <v>437</v>
      </c>
      <c r="BY962" s="553" t="str">
        <f t="shared" si="121"/>
        <v>2003UnknownageSUDI</v>
      </c>
      <c r="BZ962" s="604">
        <v>2003</v>
      </c>
      <c r="CA962" s="604" t="s">
        <v>63</v>
      </c>
      <c r="CB962" s="604" t="s">
        <v>453</v>
      </c>
      <c r="CC962" s="604">
        <v>0</v>
      </c>
      <c r="CD962" s="604" t="s">
        <v>33</v>
      </c>
    </row>
    <row r="963" spans="9:82">
      <c r="I963" s="578" t="str">
        <f t="shared" si="117"/>
        <v>2007dhbNelson MarlboroughFetal</v>
      </c>
      <c r="J963" s="604">
        <v>2007</v>
      </c>
      <c r="K963" s="604" t="s">
        <v>448</v>
      </c>
      <c r="L963" s="604" t="s">
        <v>99</v>
      </c>
      <c r="M963" s="604">
        <v>12</v>
      </c>
      <c r="N963" s="604">
        <v>1730</v>
      </c>
      <c r="O963" s="604">
        <v>6.9</v>
      </c>
      <c r="P963" s="604" t="s">
        <v>47</v>
      </c>
      <c r="Q963" s="499"/>
      <c r="R963" s="502" t="str">
        <f t="shared" si="118"/>
        <v>2001birthsage35-39</v>
      </c>
      <c r="S963" s="604">
        <v>2001</v>
      </c>
      <c r="T963" s="604" t="s">
        <v>445</v>
      </c>
      <c r="U963" s="604" t="s">
        <v>453</v>
      </c>
      <c r="V963" s="604" t="s">
        <v>133</v>
      </c>
      <c r="W963" s="604">
        <v>8586</v>
      </c>
      <c r="Y963" s="535" t="str">
        <f t="shared" si="119"/>
        <v>2016bwtage2500-449935-39infant</v>
      </c>
      <c r="Z963" s="604">
        <v>2016</v>
      </c>
      <c r="AA963" s="604" t="s">
        <v>447</v>
      </c>
      <c r="AB963" s="604" t="s">
        <v>453</v>
      </c>
      <c r="AC963" s="604" t="s">
        <v>431</v>
      </c>
      <c r="AD963" s="604" t="s">
        <v>133</v>
      </c>
      <c r="AE963" s="604">
        <v>12</v>
      </c>
      <c r="AF963" s="604">
        <v>9239</v>
      </c>
      <c r="AG963" s="604">
        <v>1.3</v>
      </c>
      <c r="AH963" s="604" t="s">
        <v>437</v>
      </c>
      <c r="AR963" s="538" t="str">
        <f t="shared" si="122"/>
        <v>UnknowngestinfantBay of Plenty</v>
      </c>
      <c r="AS963" s="604">
        <v>2016</v>
      </c>
      <c r="AT963" s="604" t="s">
        <v>63</v>
      </c>
      <c r="AU963" s="604" t="s">
        <v>450</v>
      </c>
      <c r="AV963" s="604" t="s">
        <v>91</v>
      </c>
      <c r="AW963" s="604">
        <v>4</v>
      </c>
      <c r="AX963" s="604">
        <v>5</v>
      </c>
      <c r="AY963" s="606" t="s">
        <v>119</v>
      </c>
      <c r="AZ963" s="604" t="s">
        <v>437</v>
      </c>
      <c r="BY963" s="553" t="str">
        <f t="shared" si="121"/>
        <v>2004&lt;20ageSUDI</v>
      </c>
      <c r="BZ963" s="604">
        <v>2004</v>
      </c>
      <c r="CA963" s="604" t="s">
        <v>339</v>
      </c>
      <c r="CB963" s="604" t="s">
        <v>453</v>
      </c>
      <c r="CC963" s="604">
        <v>11</v>
      </c>
      <c r="CD963" s="604" t="s">
        <v>33</v>
      </c>
    </row>
    <row r="964" spans="9:82">
      <c r="I964" s="578" t="str">
        <f t="shared" ref="I964:I1027" si="123">J964&amp;K964&amp;L964&amp;P964</f>
        <v>2007dhbWest CoastFetal</v>
      </c>
      <c r="J964" s="604">
        <v>2007</v>
      </c>
      <c r="K964" s="604" t="s">
        <v>448</v>
      </c>
      <c r="L964" s="604" t="s">
        <v>100</v>
      </c>
      <c r="M964" s="604">
        <v>4</v>
      </c>
      <c r="N964" s="604">
        <v>412</v>
      </c>
      <c r="O964" s="604">
        <v>9.6999999999999993</v>
      </c>
      <c r="P964" s="604" t="s">
        <v>47</v>
      </c>
      <c r="Q964" s="499"/>
      <c r="R964" s="502" t="str">
        <f t="shared" ref="R964:R1027" si="124">S964&amp;T964&amp;U964&amp;V964</f>
        <v>2001birthsage40+</v>
      </c>
      <c r="S964" s="604">
        <v>2001</v>
      </c>
      <c r="T964" s="604" t="s">
        <v>445</v>
      </c>
      <c r="U964" s="604" t="s">
        <v>453</v>
      </c>
      <c r="V964" s="604" t="s">
        <v>134</v>
      </c>
      <c r="W964" s="604">
        <v>1664</v>
      </c>
      <c r="Y964" s="535" t="str">
        <f t="shared" ref="Y964:Y1027" si="125">Z964&amp;AA964&amp;AB964&amp;AC964&amp;AD964&amp;AH964</f>
        <v>2016bwtage4500+35-39infant</v>
      </c>
      <c r="Z964" s="604">
        <v>2016</v>
      </c>
      <c r="AA964" s="604" t="s">
        <v>447</v>
      </c>
      <c r="AB964" s="604" t="s">
        <v>453</v>
      </c>
      <c r="AC964" s="604" t="s">
        <v>432</v>
      </c>
      <c r="AD964" s="604" t="s">
        <v>133</v>
      </c>
      <c r="AE964" s="604">
        <v>0</v>
      </c>
      <c r="AF964" s="604">
        <v>260</v>
      </c>
      <c r="AG964" s="604">
        <v>0</v>
      </c>
      <c r="AH964" s="604" t="s">
        <v>437</v>
      </c>
      <c r="AR964" s="538" t="str">
        <f t="shared" si="122"/>
        <v>32-36gestinfantTairawhiti</v>
      </c>
      <c r="AS964" s="604">
        <v>2016</v>
      </c>
      <c r="AT964" s="604" t="s">
        <v>136</v>
      </c>
      <c r="AU964" s="604" t="s">
        <v>450</v>
      </c>
      <c r="AV964" s="604" t="s">
        <v>433</v>
      </c>
      <c r="AW964" s="604">
        <v>1</v>
      </c>
      <c r="AX964" s="604">
        <v>70</v>
      </c>
      <c r="AY964" s="606">
        <v>14.3</v>
      </c>
      <c r="AZ964" s="604" t="s">
        <v>437</v>
      </c>
      <c r="BY964" s="553" t="str">
        <f t="shared" ref="BY964:BY1027" si="126">BZ964&amp;CA964&amp;CB964&amp;CD964</f>
        <v>200420-24ageSUDI</v>
      </c>
      <c r="BZ964" s="604">
        <v>2004</v>
      </c>
      <c r="CA964" s="604" t="s">
        <v>130</v>
      </c>
      <c r="CB964" s="604" t="s">
        <v>453</v>
      </c>
      <c r="CC964" s="604">
        <v>18</v>
      </c>
      <c r="CD964" s="604" t="s">
        <v>33</v>
      </c>
    </row>
    <row r="965" spans="9:82">
      <c r="I965" s="578" t="str">
        <f t="shared" si="123"/>
        <v>2007dhbCanterburyFetal</v>
      </c>
      <c r="J965" s="604">
        <v>2007</v>
      </c>
      <c r="K965" s="604" t="s">
        <v>448</v>
      </c>
      <c r="L965" s="604" t="s">
        <v>101</v>
      </c>
      <c r="M965" s="604">
        <v>39</v>
      </c>
      <c r="N965" s="604">
        <v>6947</v>
      </c>
      <c r="O965" s="604">
        <v>5.6</v>
      </c>
      <c r="P965" s="604" t="s">
        <v>47</v>
      </c>
      <c r="Q965" s="499"/>
      <c r="R965" s="502" t="str">
        <f t="shared" si="124"/>
        <v>2002birthsage&lt;20</v>
      </c>
      <c r="S965" s="604">
        <v>2002</v>
      </c>
      <c r="T965" s="604" t="s">
        <v>445</v>
      </c>
      <c r="U965" s="604" t="s">
        <v>453</v>
      </c>
      <c r="V965" s="604" t="s">
        <v>339</v>
      </c>
      <c r="W965" s="604">
        <v>3637</v>
      </c>
      <c r="Y965" s="535" t="str">
        <f t="shared" si="125"/>
        <v>2016bwtageUnknown35-39infant</v>
      </c>
      <c r="Z965" s="604">
        <v>2016</v>
      </c>
      <c r="AA965" s="604" t="s">
        <v>447</v>
      </c>
      <c r="AB965" s="604" t="s">
        <v>453</v>
      </c>
      <c r="AC965" s="604" t="s">
        <v>63</v>
      </c>
      <c r="AD965" s="604" t="s">
        <v>133</v>
      </c>
      <c r="AE965" s="604">
        <v>0</v>
      </c>
      <c r="AF965" s="604">
        <v>7</v>
      </c>
      <c r="AG965" s="604" t="s">
        <v>119</v>
      </c>
      <c r="AH965" s="604" t="s">
        <v>437</v>
      </c>
      <c r="AR965" s="538" t="str">
        <f t="shared" si="122"/>
        <v>37-41gestinfantTairawhiti</v>
      </c>
      <c r="AS965" s="604">
        <v>2016</v>
      </c>
      <c r="AT965" s="604" t="s">
        <v>137</v>
      </c>
      <c r="AU965" s="604" t="s">
        <v>450</v>
      </c>
      <c r="AV965" s="604" t="s">
        <v>433</v>
      </c>
      <c r="AW965" s="604">
        <v>2</v>
      </c>
      <c r="AX965" s="604">
        <v>680</v>
      </c>
      <c r="AY965" s="606">
        <v>2.9</v>
      </c>
      <c r="AZ965" s="604" t="s">
        <v>437</v>
      </c>
      <c r="BY965" s="553" t="str">
        <f t="shared" si="126"/>
        <v>200425-29ageSUDI</v>
      </c>
      <c r="BZ965" s="604">
        <v>2004</v>
      </c>
      <c r="CA965" s="604" t="s">
        <v>131</v>
      </c>
      <c r="CB965" s="604" t="s">
        <v>453</v>
      </c>
      <c r="CC965" s="604">
        <v>13</v>
      </c>
      <c r="CD965" s="604" t="s">
        <v>33</v>
      </c>
    </row>
    <row r="966" spans="9:82">
      <c r="I966" s="578" t="str">
        <f t="shared" si="123"/>
        <v>2007dhbSouth CanterburyFetal</v>
      </c>
      <c r="J966" s="604">
        <v>2007</v>
      </c>
      <c r="K966" s="604" t="s">
        <v>448</v>
      </c>
      <c r="L966" s="604" t="s">
        <v>102</v>
      </c>
      <c r="M966" s="604">
        <v>5</v>
      </c>
      <c r="N966" s="604">
        <v>680</v>
      </c>
      <c r="O966" s="604">
        <v>7.4</v>
      </c>
      <c r="P966" s="604" t="s">
        <v>47</v>
      </c>
      <c r="Q966" s="499"/>
      <c r="R966" s="502" t="str">
        <f t="shared" si="124"/>
        <v>2002birthsage20-24</v>
      </c>
      <c r="S966" s="604">
        <v>2002</v>
      </c>
      <c r="T966" s="604" t="s">
        <v>445</v>
      </c>
      <c r="U966" s="604" t="s">
        <v>453</v>
      </c>
      <c r="V966" s="604" t="s">
        <v>130</v>
      </c>
      <c r="W966" s="604">
        <v>9337</v>
      </c>
      <c r="Y966" s="535" t="str">
        <f t="shared" si="125"/>
        <v>2016bwtage&lt;50040+infant</v>
      </c>
      <c r="Z966" s="604">
        <v>2016</v>
      </c>
      <c r="AA966" s="604" t="s">
        <v>447</v>
      </c>
      <c r="AB966" s="604" t="s">
        <v>453</v>
      </c>
      <c r="AC966" s="604" t="s">
        <v>427</v>
      </c>
      <c r="AD966" s="604" t="s">
        <v>134</v>
      </c>
      <c r="AE966" s="604">
        <v>2</v>
      </c>
      <c r="AF966" s="604">
        <v>1</v>
      </c>
      <c r="AG966" s="604" t="s">
        <v>119</v>
      </c>
      <c r="AH966" s="604" t="s">
        <v>437</v>
      </c>
      <c r="AR966" s="538" t="str">
        <f t="shared" si="122"/>
        <v>&lt;28gestinfantHawke's Bay</v>
      </c>
      <c r="AS966" s="604">
        <v>2016</v>
      </c>
      <c r="AT966" s="604" t="s">
        <v>375</v>
      </c>
      <c r="AU966" s="604" t="s">
        <v>450</v>
      </c>
      <c r="AV966" s="604" t="s">
        <v>92</v>
      </c>
      <c r="AW966" s="604">
        <v>1</v>
      </c>
      <c r="AX966" s="604">
        <v>6</v>
      </c>
      <c r="AY966" s="606">
        <v>166.7</v>
      </c>
      <c r="AZ966" s="604" t="s">
        <v>437</v>
      </c>
      <c r="BY966" s="553" t="str">
        <f t="shared" si="126"/>
        <v>200430-34ageSUDI</v>
      </c>
      <c r="BZ966" s="604">
        <v>2004</v>
      </c>
      <c r="CA966" s="604" t="s">
        <v>132</v>
      </c>
      <c r="CB966" s="604" t="s">
        <v>453</v>
      </c>
      <c r="CC966" s="604">
        <v>14</v>
      </c>
      <c r="CD966" s="604" t="s">
        <v>33</v>
      </c>
    </row>
    <row r="967" spans="9:82">
      <c r="I967" s="578" t="str">
        <f t="shared" si="123"/>
        <v>2007dhbSouthernFetal</v>
      </c>
      <c r="J967" s="604">
        <v>2007</v>
      </c>
      <c r="K967" s="604" t="s">
        <v>448</v>
      </c>
      <c r="L967" s="604" t="s">
        <v>103</v>
      </c>
      <c r="M967" s="604">
        <v>24</v>
      </c>
      <c r="N967" s="604">
        <v>3766</v>
      </c>
      <c r="O967" s="604">
        <v>6.4</v>
      </c>
      <c r="P967" s="604" t="s">
        <v>47</v>
      </c>
      <c r="Q967" s="499"/>
      <c r="R967" s="502" t="str">
        <f t="shared" si="124"/>
        <v>2002birthsage25-29</v>
      </c>
      <c r="S967" s="604">
        <v>2002</v>
      </c>
      <c r="T967" s="604" t="s">
        <v>445</v>
      </c>
      <c r="U967" s="604" t="s">
        <v>453</v>
      </c>
      <c r="V967" s="604" t="s">
        <v>131</v>
      </c>
      <c r="W967" s="604">
        <v>13906</v>
      </c>
      <c r="Y967" s="535" t="str">
        <f t="shared" si="125"/>
        <v>2016bwtage500-99940+infant</v>
      </c>
      <c r="Z967" s="604">
        <v>2016</v>
      </c>
      <c r="AA967" s="604" t="s">
        <v>447</v>
      </c>
      <c r="AB967" s="604" t="s">
        <v>453</v>
      </c>
      <c r="AC967" s="604" t="s">
        <v>428</v>
      </c>
      <c r="AD967" s="604" t="s">
        <v>134</v>
      </c>
      <c r="AE967" s="604">
        <v>4</v>
      </c>
      <c r="AF967" s="604">
        <v>14</v>
      </c>
      <c r="AG967" s="604">
        <v>285.7</v>
      </c>
      <c r="AH967" s="604" t="s">
        <v>437</v>
      </c>
      <c r="AR967" s="538" t="str">
        <f t="shared" si="122"/>
        <v>28-31gestinfantHawke's Bay</v>
      </c>
      <c r="AS967" s="604">
        <v>2016</v>
      </c>
      <c r="AT967" s="604" t="s">
        <v>395</v>
      </c>
      <c r="AU967" s="604" t="s">
        <v>450</v>
      </c>
      <c r="AV967" s="604" t="s">
        <v>92</v>
      </c>
      <c r="AW967" s="604">
        <v>1</v>
      </c>
      <c r="AX967" s="604">
        <v>13</v>
      </c>
      <c r="AY967" s="606">
        <v>76.900000000000006</v>
      </c>
      <c r="AZ967" s="604" t="s">
        <v>437</v>
      </c>
      <c r="BY967" s="553" t="str">
        <f t="shared" si="126"/>
        <v>200435-39ageSUDI</v>
      </c>
      <c r="BZ967" s="604">
        <v>2004</v>
      </c>
      <c r="CA967" s="604" t="s">
        <v>133</v>
      </c>
      <c r="CB967" s="604" t="s">
        <v>453</v>
      </c>
      <c r="CC967" s="604">
        <v>6</v>
      </c>
      <c r="CD967" s="604" t="s">
        <v>33</v>
      </c>
    </row>
    <row r="968" spans="9:82">
      <c r="I968" s="578" t="str">
        <f t="shared" si="123"/>
        <v>2007dhbUnknownFetal</v>
      </c>
      <c r="J968" s="604">
        <v>2007</v>
      </c>
      <c r="K968" s="604" t="s">
        <v>448</v>
      </c>
      <c r="L968" s="604" t="s">
        <v>63</v>
      </c>
      <c r="M968" s="604">
        <v>1</v>
      </c>
      <c r="N968" s="604">
        <v>407</v>
      </c>
      <c r="O968" s="604" t="s">
        <v>119</v>
      </c>
      <c r="P968" s="604" t="s">
        <v>47</v>
      </c>
      <c r="Q968" s="499"/>
      <c r="R968" s="502" t="str">
        <f t="shared" si="124"/>
        <v>2002birthsage30-34</v>
      </c>
      <c r="S968" s="604">
        <v>2002</v>
      </c>
      <c r="T968" s="604" t="s">
        <v>445</v>
      </c>
      <c r="U968" s="604" t="s">
        <v>453</v>
      </c>
      <c r="V968" s="604" t="s">
        <v>132</v>
      </c>
      <c r="W968" s="604">
        <v>17067</v>
      </c>
      <c r="Y968" s="535" t="str">
        <f t="shared" si="125"/>
        <v>2016bwtage1000-149940+infant</v>
      </c>
      <c r="Z968" s="604">
        <v>2016</v>
      </c>
      <c r="AA968" s="604" t="s">
        <v>447</v>
      </c>
      <c r="AB968" s="604" t="s">
        <v>453</v>
      </c>
      <c r="AC968" s="604" t="s">
        <v>429</v>
      </c>
      <c r="AD968" s="604" t="s">
        <v>134</v>
      </c>
      <c r="AE968" s="604">
        <v>1</v>
      </c>
      <c r="AF968" s="604">
        <v>16</v>
      </c>
      <c r="AG968" s="604">
        <v>62.5</v>
      </c>
      <c r="AH968" s="604" t="s">
        <v>437</v>
      </c>
      <c r="AR968" s="538" t="str">
        <f t="shared" si="122"/>
        <v>37-41gestinfantHawke's Bay</v>
      </c>
      <c r="AS968" s="604">
        <v>2016</v>
      </c>
      <c r="AT968" s="604" t="s">
        <v>137</v>
      </c>
      <c r="AU968" s="604" t="s">
        <v>450</v>
      </c>
      <c r="AV968" s="604" t="s">
        <v>92</v>
      </c>
      <c r="AW968" s="604">
        <v>3</v>
      </c>
      <c r="AX968" s="604">
        <v>1885</v>
      </c>
      <c r="AY968" s="606">
        <v>1.6</v>
      </c>
      <c r="AZ968" s="604" t="s">
        <v>437</v>
      </c>
      <c r="BY968" s="553" t="str">
        <f t="shared" si="126"/>
        <v>200440+ageSUDI</v>
      </c>
      <c r="BZ968" s="604">
        <v>2004</v>
      </c>
      <c r="CA968" s="604" t="s">
        <v>134</v>
      </c>
      <c r="CB968" s="604" t="s">
        <v>453</v>
      </c>
      <c r="CC968" s="604">
        <v>0</v>
      </c>
      <c r="CD968" s="604" t="s">
        <v>33</v>
      </c>
    </row>
    <row r="969" spans="9:82">
      <c r="I969" s="578" t="str">
        <f t="shared" si="123"/>
        <v>2008dhbNorthlandFetal</v>
      </c>
      <c r="J969" s="604">
        <v>2008</v>
      </c>
      <c r="K969" s="604" t="s">
        <v>448</v>
      </c>
      <c r="L969" s="604" t="s">
        <v>85</v>
      </c>
      <c r="M969" s="604">
        <v>21</v>
      </c>
      <c r="N969" s="604">
        <v>2389</v>
      </c>
      <c r="O969" s="604">
        <v>8.8000000000000007</v>
      </c>
      <c r="P969" s="604" t="s">
        <v>47</v>
      </c>
      <c r="Q969" s="499"/>
      <c r="R969" s="502" t="str">
        <f t="shared" si="124"/>
        <v>2002birthsage35-39</v>
      </c>
      <c r="S969" s="604">
        <v>2002</v>
      </c>
      <c r="T969" s="604" t="s">
        <v>445</v>
      </c>
      <c r="U969" s="604" t="s">
        <v>453</v>
      </c>
      <c r="V969" s="604" t="s">
        <v>133</v>
      </c>
      <c r="W969" s="604">
        <v>8738</v>
      </c>
      <c r="Y969" s="535" t="str">
        <f t="shared" si="125"/>
        <v>2016bwtage1500-249940+infant</v>
      </c>
      <c r="Z969" s="604">
        <v>2016</v>
      </c>
      <c r="AA969" s="604" t="s">
        <v>447</v>
      </c>
      <c r="AB969" s="604" t="s">
        <v>453</v>
      </c>
      <c r="AC969" s="604" t="s">
        <v>430</v>
      </c>
      <c r="AD969" s="604" t="s">
        <v>134</v>
      </c>
      <c r="AE969" s="604">
        <v>3</v>
      </c>
      <c r="AF969" s="604">
        <v>165</v>
      </c>
      <c r="AG969" s="604">
        <v>18.2</v>
      </c>
      <c r="AH969" s="604" t="s">
        <v>437</v>
      </c>
      <c r="AR969" s="538" t="str">
        <f t="shared" si="122"/>
        <v>UnknowngestinfantHawke's Bay</v>
      </c>
      <c r="AS969" s="604">
        <v>2016</v>
      </c>
      <c r="AT969" s="604" t="s">
        <v>63</v>
      </c>
      <c r="AU969" s="604" t="s">
        <v>450</v>
      </c>
      <c r="AV969" s="604" t="s">
        <v>92</v>
      </c>
      <c r="AW969" s="604">
        <v>1</v>
      </c>
      <c r="AX969" s="604">
        <v>1</v>
      </c>
      <c r="AY969" s="606" t="s">
        <v>119</v>
      </c>
      <c r="AZ969" s="604" t="s">
        <v>437</v>
      </c>
      <c r="BY969" s="553" t="str">
        <f t="shared" si="126"/>
        <v>2004UnknownageSUDI</v>
      </c>
      <c r="BZ969" s="604">
        <v>2004</v>
      </c>
      <c r="CA969" s="604" t="s">
        <v>63</v>
      </c>
      <c r="CB969" s="604" t="s">
        <v>453</v>
      </c>
      <c r="CC969" s="604">
        <v>0</v>
      </c>
      <c r="CD969" s="604" t="s">
        <v>33</v>
      </c>
    </row>
    <row r="970" spans="9:82">
      <c r="I970" s="578" t="str">
        <f t="shared" si="123"/>
        <v>2008dhbWaitemataFetal</v>
      </c>
      <c r="J970" s="604">
        <v>2008</v>
      </c>
      <c r="K970" s="604" t="s">
        <v>448</v>
      </c>
      <c r="L970" s="604" t="s">
        <v>86</v>
      </c>
      <c r="M970" s="604">
        <v>70</v>
      </c>
      <c r="N970" s="604">
        <v>8014</v>
      </c>
      <c r="O970" s="604">
        <v>8.6999999999999993</v>
      </c>
      <c r="P970" s="604" t="s">
        <v>47</v>
      </c>
      <c r="Q970" s="499"/>
      <c r="R970" s="502" t="str">
        <f t="shared" si="124"/>
        <v>2002birthsage40+</v>
      </c>
      <c r="S970" s="604">
        <v>2002</v>
      </c>
      <c r="T970" s="604" t="s">
        <v>445</v>
      </c>
      <c r="U970" s="604" t="s">
        <v>453</v>
      </c>
      <c r="V970" s="604" t="s">
        <v>134</v>
      </c>
      <c r="W970" s="604">
        <v>1830</v>
      </c>
      <c r="Y970" s="535" t="str">
        <f t="shared" si="125"/>
        <v>2016bwtage2500-449940+infant</v>
      </c>
      <c r="Z970" s="604">
        <v>2016</v>
      </c>
      <c r="AA970" s="604" t="s">
        <v>447</v>
      </c>
      <c r="AB970" s="604" t="s">
        <v>453</v>
      </c>
      <c r="AC970" s="604" t="s">
        <v>431</v>
      </c>
      <c r="AD970" s="604" t="s">
        <v>134</v>
      </c>
      <c r="AE970" s="604">
        <v>4</v>
      </c>
      <c r="AF970" s="604">
        <v>2190</v>
      </c>
      <c r="AG970" s="604">
        <v>1.8</v>
      </c>
      <c r="AH970" s="604" t="s">
        <v>437</v>
      </c>
      <c r="AR970" s="538" t="str">
        <f t="shared" si="122"/>
        <v>&lt;28gestinfantTaranaki</v>
      </c>
      <c r="AS970" s="604">
        <v>2016</v>
      </c>
      <c r="AT970" s="604" t="s">
        <v>375</v>
      </c>
      <c r="AU970" s="604" t="s">
        <v>450</v>
      </c>
      <c r="AV970" s="604" t="s">
        <v>93</v>
      </c>
      <c r="AW970" s="604">
        <v>2</v>
      </c>
      <c r="AX970" s="604">
        <v>8</v>
      </c>
      <c r="AY970" s="606">
        <v>250</v>
      </c>
      <c r="AZ970" s="604" t="s">
        <v>437</v>
      </c>
      <c r="BY970" s="553" t="str">
        <f t="shared" si="126"/>
        <v>2005&lt;20ageSUDI</v>
      </c>
      <c r="BZ970" s="604">
        <v>2005</v>
      </c>
      <c r="CA970" s="604" t="s">
        <v>339</v>
      </c>
      <c r="CB970" s="604" t="s">
        <v>453</v>
      </c>
      <c r="CC970" s="604">
        <v>11</v>
      </c>
      <c r="CD970" s="604" t="s">
        <v>33</v>
      </c>
    </row>
    <row r="971" spans="9:82">
      <c r="I971" s="578" t="str">
        <f t="shared" si="123"/>
        <v>2008dhbAucklandFetal</v>
      </c>
      <c r="J971" s="604">
        <v>2008</v>
      </c>
      <c r="K971" s="604" t="s">
        <v>448</v>
      </c>
      <c r="L971" s="604" t="s">
        <v>87</v>
      </c>
      <c r="M971" s="604">
        <v>49</v>
      </c>
      <c r="N971" s="604">
        <v>6637</v>
      </c>
      <c r="O971" s="604">
        <v>7.4</v>
      </c>
      <c r="P971" s="604" t="s">
        <v>47</v>
      </c>
      <c r="Q971" s="499"/>
      <c r="R971" s="502" t="str">
        <f t="shared" si="124"/>
        <v>2003birthsage&lt;20</v>
      </c>
      <c r="S971" s="604">
        <v>2003</v>
      </c>
      <c r="T971" s="604" t="s">
        <v>445</v>
      </c>
      <c r="U971" s="604" t="s">
        <v>453</v>
      </c>
      <c r="V971" s="604" t="s">
        <v>339</v>
      </c>
      <c r="W971" s="604">
        <v>3795</v>
      </c>
      <c r="Y971" s="535" t="str">
        <f t="shared" si="125"/>
        <v>2016bwtage4500+40+infant</v>
      </c>
      <c r="Z971" s="604">
        <v>2016</v>
      </c>
      <c r="AA971" s="604" t="s">
        <v>447</v>
      </c>
      <c r="AB971" s="604" t="s">
        <v>453</v>
      </c>
      <c r="AC971" s="604" t="s">
        <v>432</v>
      </c>
      <c r="AD971" s="604" t="s">
        <v>134</v>
      </c>
      <c r="AE971" s="604">
        <v>0</v>
      </c>
      <c r="AF971" s="604">
        <v>65</v>
      </c>
      <c r="AG971" s="604">
        <v>0</v>
      </c>
      <c r="AH971" s="604" t="s">
        <v>437</v>
      </c>
      <c r="AR971" s="538" t="str">
        <f t="shared" si="122"/>
        <v>32-36gestinfantTaranaki</v>
      </c>
      <c r="AS971" s="604">
        <v>2016</v>
      </c>
      <c r="AT971" s="604" t="s">
        <v>136</v>
      </c>
      <c r="AU971" s="604" t="s">
        <v>450</v>
      </c>
      <c r="AV971" s="604" t="s">
        <v>93</v>
      </c>
      <c r="AW971" s="604">
        <v>1</v>
      </c>
      <c r="AX971" s="604">
        <v>95</v>
      </c>
      <c r="AY971" s="606">
        <v>10.5</v>
      </c>
      <c r="AZ971" s="604" t="s">
        <v>437</v>
      </c>
      <c r="BY971" s="553" t="str">
        <f t="shared" si="126"/>
        <v>200520-24ageSUDI</v>
      </c>
      <c r="BZ971" s="604">
        <v>2005</v>
      </c>
      <c r="CA971" s="604" t="s">
        <v>130</v>
      </c>
      <c r="CB971" s="604" t="s">
        <v>453</v>
      </c>
      <c r="CC971" s="604">
        <v>19</v>
      </c>
      <c r="CD971" s="604" t="s">
        <v>33</v>
      </c>
    </row>
    <row r="972" spans="9:82">
      <c r="I972" s="578" t="str">
        <f t="shared" si="123"/>
        <v>2008dhbCounties ManukauFetal</v>
      </c>
      <c r="J972" s="604">
        <v>2008</v>
      </c>
      <c r="K972" s="604" t="s">
        <v>448</v>
      </c>
      <c r="L972" s="604" t="s">
        <v>88</v>
      </c>
      <c r="M972" s="604">
        <v>101</v>
      </c>
      <c r="N972" s="604">
        <v>9153</v>
      </c>
      <c r="O972" s="604">
        <v>11</v>
      </c>
      <c r="P972" s="604" t="s">
        <v>47</v>
      </c>
      <c r="Q972" s="499"/>
      <c r="R972" s="502" t="str">
        <f t="shared" si="124"/>
        <v>2003birthsage20-24</v>
      </c>
      <c r="S972" s="604">
        <v>2003</v>
      </c>
      <c r="T972" s="604" t="s">
        <v>445</v>
      </c>
      <c r="U972" s="604" t="s">
        <v>453</v>
      </c>
      <c r="V972" s="604" t="s">
        <v>130</v>
      </c>
      <c r="W972" s="604">
        <v>9548</v>
      </c>
      <c r="Y972" s="535" t="str">
        <f t="shared" si="125"/>
        <v>2016bwtageUnknown40+infant</v>
      </c>
      <c r="Z972" s="604">
        <v>2016</v>
      </c>
      <c r="AA972" s="604" t="s">
        <v>447</v>
      </c>
      <c r="AB972" s="604" t="s">
        <v>453</v>
      </c>
      <c r="AC972" s="604" t="s">
        <v>63</v>
      </c>
      <c r="AD972" s="604" t="s">
        <v>134</v>
      </c>
      <c r="AE972" s="604">
        <v>1</v>
      </c>
      <c r="AF972" s="604">
        <v>3</v>
      </c>
      <c r="AG972" s="604" t="s">
        <v>119</v>
      </c>
      <c r="AH972" s="604" t="s">
        <v>437</v>
      </c>
      <c r="AR972" s="538" t="str">
        <f t="shared" si="122"/>
        <v>37-41gestinfantTaranaki</v>
      </c>
      <c r="AS972" s="604">
        <v>2016</v>
      </c>
      <c r="AT972" s="604" t="s">
        <v>137</v>
      </c>
      <c r="AU972" s="604" t="s">
        <v>450</v>
      </c>
      <c r="AV972" s="604" t="s">
        <v>93</v>
      </c>
      <c r="AW972" s="604">
        <v>3</v>
      </c>
      <c r="AX972" s="604">
        <v>1361</v>
      </c>
      <c r="AY972" s="606">
        <v>2.2000000000000002</v>
      </c>
      <c r="AZ972" s="604" t="s">
        <v>437</v>
      </c>
      <c r="BY972" s="553" t="str">
        <f t="shared" si="126"/>
        <v>200525-29ageSUDI</v>
      </c>
      <c r="BZ972" s="604">
        <v>2005</v>
      </c>
      <c r="CA972" s="604" t="s">
        <v>131</v>
      </c>
      <c r="CB972" s="604" t="s">
        <v>453</v>
      </c>
      <c r="CC972" s="604">
        <v>8</v>
      </c>
      <c r="CD972" s="604" t="s">
        <v>33</v>
      </c>
    </row>
    <row r="973" spans="9:82">
      <c r="I973" s="578" t="str">
        <f t="shared" si="123"/>
        <v>2008dhbWaikatoFetal</v>
      </c>
      <c r="J973" s="604">
        <v>2008</v>
      </c>
      <c r="K973" s="604" t="s">
        <v>448</v>
      </c>
      <c r="L973" s="604" t="s">
        <v>89</v>
      </c>
      <c r="M973" s="604">
        <v>43</v>
      </c>
      <c r="N973" s="604">
        <v>5886</v>
      </c>
      <c r="O973" s="604">
        <v>7.3</v>
      </c>
      <c r="P973" s="604" t="s">
        <v>47</v>
      </c>
      <c r="Q973" s="499"/>
      <c r="R973" s="502" t="str">
        <f t="shared" si="124"/>
        <v>2003birthsage25-29</v>
      </c>
      <c r="S973" s="604">
        <v>2003</v>
      </c>
      <c r="T973" s="604" t="s">
        <v>445</v>
      </c>
      <c r="U973" s="604" t="s">
        <v>453</v>
      </c>
      <c r="V973" s="604" t="s">
        <v>131</v>
      </c>
      <c r="W973" s="604">
        <v>14104</v>
      </c>
      <c r="Y973" s="535" t="str">
        <f t="shared" si="125"/>
        <v>2016depageQuin 1&lt;20infant</v>
      </c>
      <c r="Z973" s="604">
        <v>2016</v>
      </c>
      <c r="AA973" s="604" t="s">
        <v>454</v>
      </c>
      <c r="AB973" s="604" t="s">
        <v>453</v>
      </c>
      <c r="AC973" s="604" t="s">
        <v>421</v>
      </c>
      <c r="AD973" s="604" t="s">
        <v>339</v>
      </c>
      <c r="AE973" s="604">
        <v>1</v>
      </c>
      <c r="AF973" s="604">
        <v>118</v>
      </c>
      <c r="AG973" s="604">
        <v>8.5</v>
      </c>
      <c r="AH973" s="604" t="s">
        <v>437</v>
      </c>
      <c r="AR973" s="538" t="str">
        <f t="shared" si="122"/>
        <v>&lt;28gestinfantMidCentral</v>
      </c>
      <c r="AS973" s="604">
        <v>2016</v>
      </c>
      <c r="AT973" s="604" t="s">
        <v>375</v>
      </c>
      <c r="AU973" s="604" t="s">
        <v>450</v>
      </c>
      <c r="AV973" s="604" t="s">
        <v>94</v>
      </c>
      <c r="AW973" s="604">
        <v>1</v>
      </c>
      <c r="AX973" s="604">
        <v>7</v>
      </c>
      <c r="AY973" s="606">
        <v>142.9</v>
      </c>
      <c r="AZ973" s="604" t="s">
        <v>437</v>
      </c>
      <c r="BY973" s="553" t="str">
        <f t="shared" si="126"/>
        <v>200530-34ageSUDI</v>
      </c>
      <c r="BZ973" s="604">
        <v>2005</v>
      </c>
      <c r="CA973" s="604" t="s">
        <v>132</v>
      </c>
      <c r="CB973" s="604" t="s">
        <v>453</v>
      </c>
      <c r="CC973" s="604">
        <v>10</v>
      </c>
      <c r="CD973" s="604" t="s">
        <v>33</v>
      </c>
    </row>
    <row r="974" spans="9:82">
      <c r="I974" s="578" t="str">
        <f t="shared" si="123"/>
        <v>2008dhbLakesFetal</v>
      </c>
      <c r="J974" s="604">
        <v>2008</v>
      </c>
      <c r="K974" s="604" t="s">
        <v>448</v>
      </c>
      <c r="L974" s="604" t="s">
        <v>90</v>
      </c>
      <c r="M974" s="604">
        <v>25</v>
      </c>
      <c r="N974" s="604">
        <v>1751</v>
      </c>
      <c r="O974" s="604">
        <v>14.3</v>
      </c>
      <c r="P974" s="604" t="s">
        <v>47</v>
      </c>
      <c r="Q974" s="499"/>
      <c r="R974" s="502" t="str">
        <f t="shared" si="124"/>
        <v>2003birthsage30-34</v>
      </c>
      <c r="S974" s="604">
        <v>2003</v>
      </c>
      <c r="T974" s="604" t="s">
        <v>445</v>
      </c>
      <c r="U974" s="604" t="s">
        <v>453</v>
      </c>
      <c r="V974" s="604" t="s">
        <v>132</v>
      </c>
      <c r="W974" s="604">
        <v>17664</v>
      </c>
      <c r="Y974" s="535" t="str">
        <f t="shared" si="125"/>
        <v>2016depageQuin 2&lt;20infant</v>
      </c>
      <c r="Z974" s="604">
        <v>2016</v>
      </c>
      <c r="AA974" s="604" t="s">
        <v>454</v>
      </c>
      <c r="AB974" s="604" t="s">
        <v>453</v>
      </c>
      <c r="AC974" s="604" t="s">
        <v>422</v>
      </c>
      <c r="AD974" s="604" t="s">
        <v>339</v>
      </c>
      <c r="AE974" s="604">
        <v>2</v>
      </c>
      <c r="AF974" s="604">
        <v>232</v>
      </c>
      <c r="AG974" s="604">
        <v>8.6</v>
      </c>
      <c r="AH974" s="604" t="s">
        <v>437</v>
      </c>
      <c r="AR974" s="538" t="str">
        <f t="shared" si="122"/>
        <v>28-31gestinfantMidCentral</v>
      </c>
      <c r="AS974" s="604">
        <v>2016</v>
      </c>
      <c r="AT974" s="604" t="s">
        <v>395</v>
      </c>
      <c r="AU974" s="604" t="s">
        <v>450</v>
      </c>
      <c r="AV974" s="604" t="s">
        <v>94</v>
      </c>
      <c r="AW974" s="604">
        <v>2</v>
      </c>
      <c r="AX974" s="604">
        <v>28</v>
      </c>
      <c r="AY974" s="606">
        <v>71.400000000000006</v>
      </c>
      <c r="AZ974" s="604" t="s">
        <v>437</v>
      </c>
      <c r="BY974" s="553" t="str">
        <f t="shared" si="126"/>
        <v>200535-39ageSUDI</v>
      </c>
      <c r="BZ974" s="604">
        <v>2005</v>
      </c>
      <c r="CA974" s="604" t="s">
        <v>133</v>
      </c>
      <c r="CB974" s="604" t="s">
        <v>453</v>
      </c>
      <c r="CC974" s="604">
        <v>4</v>
      </c>
      <c r="CD974" s="604" t="s">
        <v>33</v>
      </c>
    </row>
    <row r="975" spans="9:82">
      <c r="I975" s="578" t="str">
        <f t="shared" si="123"/>
        <v>2008dhbBay of PlentyFetal</v>
      </c>
      <c r="J975" s="604">
        <v>2008</v>
      </c>
      <c r="K975" s="604" t="s">
        <v>448</v>
      </c>
      <c r="L975" s="604" t="s">
        <v>91</v>
      </c>
      <c r="M975" s="604">
        <v>25</v>
      </c>
      <c r="N975" s="604">
        <v>3072</v>
      </c>
      <c r="O975" s="604">
        <v>8.1</v>
      </c>
      <c r="P975" s="604" t="s">
        <v>47</v>
      </c>
      <c r="Q975" s="499"/>
      <c r="R975" s="502" t="str">
        <f t="shared" si="124"/>
        <v>2003birthsage35-39</v>
      </c>
      <c r="S975" s="604">
        <v>2003</v>
      </c>
      <c r="T975" s="604" t="s">
        <v>445</v>
      </c>
      <c r="U975" s="604" t="s">
        <v>453</v>
      </c>
      <c r="V975" s="604" t="s">
        <v>133</v>
      </c>
      <c r="W975" s="604">
        <v>9384</v>
      </c>
      <c r="Y975" s="535" t="str">
        <f t="shared" si="125"/>
        <v>2016depageQuin 3&lt;20infant</v>
      </c>
      <c r="Z975" s="604">
        <v>2016</v>
      </c>
      <c r="AA975" s="604" t="s">
        <v>454</v>
      </c>
      <c r="AB975" s="604" t="s">
        <v>453</v>
      </c>
      <c r="AC975" s="604" t="s">
        <v>423</v>
      </c>
      <c r="AD975" s="604" t="s">
        <v>339</v>
      </c>
      <c r="AE975" s="604">
        <v>2</v>
      </c>
      <c r="AF975" s="604">
        <v>325</v>
      </c>
      <c r="AG975" s="604">
        <v>6.2</v>
      </c>
      <c r="AH975" s="604" t="s">
        <v>437</v>
      </c>
      <c r="AR975" s="538" t="str">
        <f t="shared" si="122"/>
        <v>37-41gestinfantMidCentral</v>
      </c>
      <c r="AS975" s="604">
        <v>2016</v>
      </c>
      <c r="AT975" s="604" t="s">
        <v>137</v>
      </c>
      <c r="AU975" s="604" t="s">
        <v>450</v>
      </c>
      <c r="AV975" s="604" t="s">
        <v>94</v>
      </c>
      <c r="AW975" s="604">
        <v>5</v>
      </c>
      <c r="AX975" s="604">
        <v>1872</v>
      </c>
      <c r="AY975" s="606">
        <v>2.7</v>
      </c>
      <c r="AZ975" s="604" t="s">
        <v>437</v>
      </c>
      <c r="BY975" s="553" t="str">
        <f t="shared" si="126"/>
        <v>200540+ageSUDI</v>
      </c>
      <c r="BZ975" s="604">
        <v>2005</v>
      </c>
      <c r="CA975" s="604" t="s">
        <v>134</v>
      </c>
      <c r="CB975" s="604" t="s">
        <v>453</v>
      </c>
      <c r="CC975" s="604">
        <v>0</v>
      </c>
      <c r="CD975" s="604" t="s">
        <v>33</v>
      </c>
    </row>
    <row r="976" spans="9:82">
      <c r="I976" s="578" t="str">
        <f t="shared" si="123"/>
        <v>2008dhbTairawhitiFetal</v>
      </c>
      <c r="J976" s="604">
        <v>2008</v>
      </c>
      <c r="K976" s="604" t="s">
        <v>448</v>
      </c>
      <c r="L976" s="604" t="s">
        <v>433</v>
      </c>
      <c r="M976" s="604">
        <v>11</v>
      </c>
      <c r="N976" s="604">
        <v>873</v>
      </c>
      <c r="O976" s="604">
        <v>12.6</v>
      </c>
      <c r="P976" s="604" t="s">
        <v>47</v>
      </c>
      <c r="Q976" s="499"/>
      <c r="R976" s="502" t="str">
        <f t="shared" si="124"/>
        <v>2003birthsage40+</v>
      </c>
      <c r="S976" s="604">
        <v>2003</v>
      </c>
      <c r="T976" s="604" t="s">
        <v>445</v>
      </c>
      <c r="U976" s="604" t="s">
        <v>453</v>
      </c>
      <c r="V976" s="604" t="s">
        <v>134</v>
      </c>
      <c r="W976" s="604">
        <v>2081</v>
      </c>
      <c r="Y976" s="535" t="str">
        <f t="shared" si="125"/>
        <v>2016depageQuin 4&lt;20infant</v>
      </c>
      <c r="Z976" s="604">
        <v>2016</v>
      </c>
      <c r="AA976" s="604" t="s">
        <v>454</v>
      </c>
      <c r="AB976" s="604" t="s">
        <v>453</v>
      </c>
      <c r="AC976" s="604" t="s">
        <v>424</v>
      </c>
      <c r="AD976" s="604" t="s">
        <v>339</v>
      </c>
      <c r="AE976" s="604">
        <v>4</v>
      </c>
      <c r="AF976" s="604">
        <v>591</v>
      </c>
      <c r="AG976" s="604">
        <v>6.8</v>
      </c>
      <c r="AH976" s="604" t="s">
        <v>437</v>
      </c>
      <c r="AR976" s="538" t="str">
        <f t="shared" si="122"/>
        <v>UnknowngestinfantMidCentral</v>
      </c>
      <c r="AS976" s="604">
        <v>2016</v>
      </c>
      <c r="AT976" s="604" t="s">
        <v>63</v>
      </c>
      <c r="AU976" s="604" t="s">
        <v>450</v>
      </c>
      <c r="AV976" s="604" t="s">
        <v>94</v>
      </c>
      <c r="AW976" s="604">
        <v>2</v>
      </c>
      <c r="AX976" s="604">
        <v>0</v>
      </c>
      <c r="AY976" s="606" t="s">
        <v>119</v>
      </c>
      <c r="AZ976" s="604" t="s">
        <v>437</v>
      </c>
      <c r="BY976" s="553" t="str">
        <f t="shared" si="126"/>
        <v>2005UnknownageSUDI</v>
      </c>
      <c r="BZ976" s="604">
        <v>2005</v>
      </c>
      <c r="CA976" s="604" t="s">
        <v>63</v>
      </c>
      <c r="CB976" s="604" t="s">
        <v>453</v>
      </c>
      <c r="CC976" s="604">
        <v>1</v>
      </c>
      <c r="CD976" s="604" t="s">
        <v>33</v>
      </c>
    </row>
    <row r="977" spans="9:82">
      <c r="I977" s="578" t="str">
        <f t="shared" si="123"/>
        <v>2008dhbHawke's BayFetal</v>
      </c>
      <c r="J977" s="604">
        <v>2008</v>
      </c>
      <c r="K977" s="604" t="s">
        <v>448</v>
      </c>
      <c r="L977" s="604" t="s">
        <v>92</v>
      </c>
      <c r="M977" s="604">
        <v>12</v>
      </c>
      <c r="N977" s="604">
        <v>2416</v>
      </c>
      <c r="O977" s="604">
        <v>5</v>
      </c>
      <c r="P977" s="604" t="s">
        <v>47</v>
      </c>
      <c r="Q977" s="499"/>
      <c r="R977" s="502" t="str">
        <f t="shared" si="124"/>
        <v>2004birthsage&lt;20</v>
      </c>
      <c r="S977" s="604">
        <v>2004</v>
      </c>
      <c r="T977" s="604" t="s">
        <v>445</v>
      </c>
      <c r="U977" s="604" t="s">
        <v>453</v>
      </c>
      <c r="V977" s="604" t="s">
        <v>339</v>
      </c>
      <c r="W977" s="604">
        <v>4095</v>
      </c>
      <c r="Y977" s="535" t="str">
        <f t="shared" si="125"/>
        <v>2016depageQuin 5&lt;20infant</v>
      </c>
      <c r="Z977" s="604">
        <v>2016</v>
      </c>
      <c r="AA977" s="604" t="s">
        <v>454</v>
      </c>
      <c r="AB977" s="604" t="s">
        <v>453</v>
      </c>
      <c r="AC977" s="604" t="s">
        <v>425</v>
      </c>
      <c r="AD977" s="604" t="s">
        <v>339</v>
      </c>
      <c r="AE977" s="604">
        <v>18</v>
      </c>
      <c r="AF977" s="604">
        <v>1291</v>
      </c>
      <c r="AG977" s="604">
        <v>13.9</v>
      </c>
      <c r="AH977" s="604" t="s">
        <v>437</v>
      </c>
      <c r="AR977" s="538" t="str">
        <f t="shared" si="122"/>
        <v>32-36gestinfantWhanganui</v>
      </c>
      <c r="AS977" s="604">
        <v>2016</v>
      </c>
      <c r="AT977" s="604" t="s">
        <v>136</v>
      </c>
      <c r="AU977" s="604" t="s">
        <v>450</v>
      </c>
      <c r="AV977" s="604" t="s">
        <v>95</v>
      </c>
      <c r="AW977" s="604">
        <v>2</v>
      </c>
      <c r="AX977" s="604">
        <v>62</v>
      </c>
      <c r="AY977" s="606">
        <v>32.299999999999997</v>
      </c>
      <c r="AZ977" s="604" t="s">
        <v>437</v>
      </c>
      <c r="BY977" s="553" t="str">
        <f t="shared" si="126"/>
        <v>2006&lt;20ageSUDI</v>
      </c>
      <c r="BZ977" s="604">
        <v>2006</v>
      </c>
      <c r="CA977" s="604" t="s">
        <v>339</v>
      </c>
      <c r="CB977" s="604" t="s">
        <v>453</v>
      </c>
      <c r="CC977" s="604">
        <v>10</v>
      </c>
      <c r="CD977" s="604" t="s">
        <v>33</v>
      </c>
    </row>
    <row r="978" spans="9:82">
      <c r="I978" s="578" t="str">
        <f t="shared" si="123"/>
        <v>2008dhbTaranakiFetal</v>
      </c>
      <c r="J978" s="604">
        <v>2008</v>
      </c>
      <c r="K978" s="604" t="s">
        <v>448</v>
      </c>
      <c r="L978" s="604" t="s">
        <v>93</v>
      </c>
      <c r="M978" s="604">
        <v>13</v>
      </c>
      <c r="N978" s="604">
        <v>1636</v>
      </c>
      <c r="O978" s="604">
        <v>7.9</v>
      </c>
      <c r="P978" s="604" t="s">
        <v>47</v>
      </c>
      <c r="Q978" s="499"/>
      <c r="R978" s="502" t="str">
        <f t="shared" si="124"/>
        <v>2004birthsage20-24</v>
      </c>
      <c r="S978" s="604">
        <v>2004</v>
      </c>
      <c r="T978" s="604" t="s">
        <v>445</v>
      </c>
      <c r="U978" s="604" t="s">
        <v>453</v>
      </c>
      <c r="V978" s="604" t="s">
        <v>130</v>
      </c>
      <c r="W978" s="604">
        <v>10153</v>
      </c>
      <c r="Y978" s="535" t="str">
        <f t="shared" si="125"/>
        <v>2016depageQuin 9&lt;20infant</v>
      </c>
      <c r="Z978" s="604">
        <v>2016</v>
      </c>
      <c r="AA978" s="604" t="s">
        <v>454</v>
      </c>
      <c r="AB978" s="604" t="s">
        <v>453</v>
      </c>
      <c r="AC978" s="604" t="s">
        <v>426</v>
      </c>
      <c r="AD978" s="604" t="s">
        <v>339</v>
      </c>
      <c r="AE978" s="604">
        <v>0</v>
      </c>
      <c r="AF978" s="604">
        <v>2</v>
      </c>
      <c r="AG978" s="604" t="s">
        <v>119</v>
      </c>
      <c r="AH978" s="604" t="s">
        <v>437</v>
      </c>
      <c r="AR978" s="538" t="str">
        <f t="shared" si="122"/>
        <v>37-41gestinfantWhanganui</v>
      </c>
      <c r="AS978" s="604">
        <v>2016</v>
      </c>
      <c r="AT978" s="604" t="s">
        <v>137</v>
      </c>
      <c r="AU978" s="604" t="s">
        <v>450</v>
      </c>
      <c r="AV978" s="604" t="s">
        <v>95</v>
      </c>
      <c r="AW978" s="604">
        <v>3</v>
      </c>
      <c r="AX978" s="604">
        <v>761</v>
      </c>
      <c r="AY978" s="606">
        <v>3.9</v>
      </c>
      <c r="AZ978" s="604" t="s">
        <v>437</v>
      </c>
      <c r="BY978" s="553" t="str">
        <f t="shared" si="126"/>
        <v>200620-24ageSUDI</v>
      </c>
      <c r="BZ978" s="604">
        <v>2006</v>
      </c>
      <c r="CA978" s="604" t="s">
        <v>130</v>
      </c>
      <c r="CB978" s="604" t="s">
        <v>453</v>
      </c>
      <c r="CC978" s="604">
        <v>21</v>
      </c>
      <c r="CD978" s="604" t="s">
        <v>33</v>
      </c>
    </row>
    <row r="979" spans="9:82">
      <c r="I979" s="578" t="str">
        <f t="shared" si="123"/>
        <v>2008dhbMidCentralFetal</v>
      </c>
      <c r="J979" s="604">
        <v>2008</v>
      </c>
      <c r="K979" s="604" t="s">
        <v>448</v>
      </c>
      <c r="L979" s="604" t="s">
        <v>94</v>
      </c>
      <c r="M979" s="604">
        <v>22</v>
      </c>
      <c r="N979" s="604">
        <v>2480</v>
      </c>
      <c r="O979" s="604">
        <v>8.9</v>
      </c>
      <c r="P979" s="604" t="s">
        <v>47</v>
      </c>
      <c r="Q979" s="499"/>
      <c r="R979" s="502" t="str">
        <f t="shared" si="124"/>
        <v>2004birthsage25-29</v>
      </c>
      <c r="S979" s="604">
        <v>2004</v>
      </c>
      <c r="T979" s="604" t="s">
        <v>445</v>
      </c>
      <c r="U979" s="604" t="s">
        <v>453</v>
      </c>
      <c r="V979" s="604" t="s">
        <v>131</v>
      </c>
      <c r="W979" s="604">
        <v>14254</v>
      </c>
      <c r="Y979" s="535" t="str">
        <f t="shared" si="125"/>
        <v>2016depageQuin 120-24infant</v>
      </c>
      <c r="Z979" s="604">
        <v>2016</v>
      </c>
      <c r="AA979" s="604" t="s">
        <v>454</v>
      </c>
      <c r="AB979" s="604" t="s">
        <v>453</v>
      </c>
      <c r="AC979" s="604" t="s">
        <v>421</v>
      </c>
      <c r="AD979" s="604" t="s">
        <v>130</v>
      </c>
      <c r="AE979" s="604">
        <v>7</v>
      </c>
      <c r="AF979" s="604">
        <v>662</v>
      </c>
      <c r="AG979" s="604">
        <v>10.6</v>
      </c>
      <c r="AH979" s="604" t="s">
        <v>437</v>
      </c>
      <c r="AR979" s="538" t="str">
        <f t="shared" si="122"/>
        <v>UnknowngestinfantWhanganui</v>
      </c>
      <c r="AS979" s="604">
        <v>2016</v>
      </c>
      <c r="AT979" s="604" t="s">
        <v>63</v>
      </c>
      <c r="AU979" s="604" t="s">
        <v>450</v>
      </c>
      <c r="AV979" s="604" t="s">
        <v>95</v>
      </c>
      <c r="AW979" s="604">
        <v>1</v>
      </c>
      <c r="AX979" s="604">
        <v>0</v>
      </c>
      <c r="AY979" s="606" t="s">
        <v>119</v>
      </c>
      <c r="AZ979" s="604" t="s">
        <v>437</v>
      </c>
      <c r="BY979" s="553" t="str">
        <f t="shared" si="126"/>
        <v>200625-29ageSUDI</v>
      </c>
      <c r="BZ979" s="604">
        <v>2006</v>
      </c>
      <c r="CA979" s="604" t="s">
        <v>131</v>
      </c>
      <c r="CB979" s="604" t="s">
        <v>453</v>
      </c>
      <c r="CC979" s="604">
        <v>15</v>
      </c>
      <c r="CD979" s="604" t="s">
        <v>33</v>
      </c>
    </row>
    <row r="980" spans="9:82">
      <c r="I980" s="578" t="str">
        <f t="shared" si="123"/>
        <v>2008dhbWhanganuiFetal</v>
      </c>
      <c r="J980" s="604">
        <v>2008</v>
      </c>
      <c r="K980" s="604" t="s">
        <v>448</v>
      </c>
      <c r="L980" s="604" t="s">
        <v>95</v>
      </c>
      <c r="M980" s="604">
        <v>9</v>
      </c>
      <c r="N980" s="604">
        <v>959</v>
      </c>
      <c r="O980" s="604">
        <v>9.4</v>
      </c>
      <c r="P980" s="604" t="s">
        <v>47</v>
      </c>
      <c r="Q980" s="499"/>
      <c r="R980" s="502" t="str">
        <f t="shared" si="124"/>
        <v>2004birthsage30-34</v>
      </c>
      <c r="S980" s="604">
        <v>2004</v>
      </c>
      <c r="T980" s="604" t="s">
        <v>445</v>
      </c>
      <c r="U980" s="604" t="s">
        <v>453</v>
      </c>
      <c r="V980" s="604" t="s">
        <v>132</v>
      </c>
      <c r="W980" s="604">
        <v>18417</v>
      </c>
      <c r="Y980" s="535" t="str">
        <f t="shared" si="125"/>
        <v>2016depageQuin 220-24infant</v>
      </c>
      <c r="Z980" s="604">
        <v>2016</v>
      </c>
      <c r="AA980" s="604" t="s">
        <v>454</v>
      </c>
      <c r="AB980" s="604" t="s">
        <v>453</v>
      </c>
      <c r="AC980" s="604" t="s">
        <v>422</v>
      </c>
      <c r="AD980" s="604" t="s">
        <v>130</v>
      </c>
      <c r="AE980" s="604">
        <v>4</v>
      </c>
      <c r="AF980" s="604">
        <v>1044</v>
      </c>
      <c r="AG980" s="604">
        <v>3.8</v>
      </c>
      <c r="AH980" s="604" t="s">
        <v>437</v>
      </c>
      <c r="AR980" s="538" t="str">
        <f t="shared" si="122"/>
        <v>&lt;28gestinfantCapital &amp; Coast</v>
      </c>
      <c r="AS980" s="604">
        <v>2016</v>
      </c>
      <c r="AT980" s="604" t="s">
        <v>375</v>
      </c>
      <c r="AU980" s="604" t="s">
        <v>450</v>
      </c>
      <c r="AV980" s="604" t="s">
        <v>96</v>
      </c>
      <c r="AW980" s="604">
        <v>3</v>
      </c>
      <c r="AX980" s="604">
        <v>13</v>
      </c>
      <c r="AY980" s="606">
        <v>230.8</v>
      </c>
      <c r="AZ980" s="604" t="s">
        <v>437</v>
      </c>
      <c r="BY980" s="553" t="str">
        <f t="shared" si="126"/>
        <v>200630-34ageSUDI</v>
      </c>
      <c r="BZ980" s="604">
        <v>2006</v>
      </c>
      <c r="CA980" s="604" t="s">
        <v>132</v>
      </c>
      <c r="CB980" s="604" t="s">
        <v>453</v>
      </c>
      <c r="CC980" s="604">
        <v>10</v>
      </c>
      <c r="CD980" s="604" t="s">
        <v>33</v>
      </c>
    </row>
    <row r="981" spans="9:82">
      <c r="I981" s="578" t="str">
        <f t="shared" si="123"/>
        <v>2008dhbCapital &amp; CoastFetal</v>
      </c>
      <c r="J981" s="604">
        <v>2008</v>
      </c>
      <c r="K981" s="604" t="s">
        <v>448</v>
      </c>
      <c r="L981" s="604" t="s">
        <v>96</v>
      </c>
      <c r="M981" s="604">
        <v>31</v>
      </c>
      <c r="N981" s="604">
        <v>4164</v>
      </c>
      <c r="O981" s="604">
        <v>7.4</v>
      </c>
      <c r="P981" s="604" t="s">
        <v>47</v>
      </c>
      <c r="Q981" s="499"/>
      <c r="R981" s="502" t="str">
        <f t="shared" si="124"/>
        <v>2004birthsage35-39</v>
      </c>
      <c r="S981" s="604">
        <v>2004</v>
      </c>
      <c r="T981" s="604" t="s">
        <v>445</v>
      </c>
      <c r="U981" s="604" t="s">
        <v>453</v>
      </c>
      <c r="V981" s="604" t="s">
        <v>133</v>
      </c>
      <c r="W981" s="604">
        <v>9675</v>
      </c>
      <c r="Y981" s="535" t="str">
        <f t="shared" si="125"/>
        <v>2016depageQuin 320-24infant</v>
      </c>
      <c r="Z981" s="604">
        <v>2016</v>
      </c>
      <c r="AA981" s="604" t="s">
        <v>454</v>
      </c>
      <c r="AB981" s="604" t="s">
        <v>453</v>
      </c>
      <c r="AC981" s="604" t="s">
        <v>423</v>
      </c>
      <c r="AD981" s="604" t="s">
        <v>130</v>
      </c>
      <c r="AE981" s="604">
        <v>8</v>
      </c>
      <c r="AF981" s="604">
        <v>1564</v>
      </c>
      <c r="AG981" s="604">
        <v>5.0999999999999996</v>
      </c>
      <c r="AH981" s="604" t="s">
        <v>437</v>
      </c>
      <c r="AR981" s="538" t="str">
        <f t="shared" si="122"/>
        <v>32-36gestinfantCapital &amp; Coast</v>
      </c>
      <c r="AS981" s="604">
        <v>2016</v>
      </c>
      <c r="AT981" s="604" t="s">
        <v>136</v>
      </c>
      <c r="AU981" s="604" t="s">
        <v>450</v>
      </c>
      <c r="AV981" s="604" t="s">
        <v>96</v>
      </c>
      <c r="AW981" s="604">
        <v>1</v>
      </c>
      <c r="AX981" s="604">
        <v>232</v>
      </c>
      <c r="AY981" s="606">
        <v>4.3</v>
      </c>
      <c r="AZ981" s="604" t="s">
        <v>437</v>
      </c>
      <c r="BY981" s="553" t="str">
        <f t="shared" si="126"/>
        <v>200635-39ageSUDI</v>
      </c>
      <c r="BZ981" s="604">
        <v>2006</v>
      </c>
      <c r="CA981" s="604" t="s">
        <v>133</v>
      </c>
      <c r="CB981" s="604" t="s">
        <v>453</v>
      </c>
      <c r="CC981" s="604">
        <v>7</v>
      </c>
      <c r="CD981" s="604" t="s">
        <v>33</v>
      </c>
    </row>
    <row r="982" spans="9:82">
      <c r="I982" s="578" t="str">
        <f t="shared" si="123"/>
        <v>2008dhbHutt ValleyFetal</v>
      </c>
      <c r="J982" s="604">
        <v>2008</v>
      </c>
      <c r="K982" s="604" t="s">
        <v>448</v>
      </c>
      <c r="L982" s="604" t="s">
        <v>97</v>
      </c>
      <c r="M982" s="604">
        <v>21</v>
      </c>
      <c r="N982" s="604">
        <v>2270</v>
      </c>
      <c r="O982" s="604">
        <v>9.3000000000000007</v>
      </c>
      <c r="P982" s="604" t="s">
        <v>47</v>
      </c>
      <c r="Q982" s="499"/>
      <c r="R982" s="502" t="str">
        <f t="shared" si="124"/>
        <v>2004birthsage40+</v>
      </c>
      <c r="S982" s="604">
        <v>2004</v>
      </c>
      <c r="T982" s="604" t="s">
        <v>445</v>
      </c>
      <c r="U982" s="604" t="s">
        <v>453</v>
      </c>
      <c r="V982" s="604" t="s">
        <v>134</v>
      </c>
      <c r="W982" s="604">
        <v>2129</v>
      </c>
      <c r="Y982" s="535" t="str">
        <f t="shared" si="125"/>
        <v>2016depageQuin 420-24infant</v>
      </c>
      <c r="Z982" s="604">
        <v>2016</v>
      </c>
      <c r="AA982" s="604" t="s">
        <v>454</v>
      </c>
      <c r="AB982" s="604" t="s">
        <v>453</v>
      </c>
      <c r="AC982" s="604" t="s">
        <v>424</v>
      </c>
      <c r="AD982" s="604" t="s">
        <v>130</v>
      </c>
      <c r="AE982" s="604">
        <v>12</v>
      </c>
      <c r="AF982" s="604">
        <v>2364</v>
      </c>
      <c r="AG982" s="604">
        <v>5.0999999999999996</v>
      </c>
      <c r="AH982" s="604" t="s">
        <v>437</v>
      </c>
      <c r="AR982" s="538" t="str">
        <f t="shared" si="122"/>
        <v>37-41gestinfantCapital &amp; Coast</v>
      </c>
      <c r="AS982" s="604">
        <v>2016</v>
      </c>
      <c r="AT982" s="604" t="s">
        <v>137</v>
      </c>
      <c r="AU982" s="604" t="s">
        <v>450</v>
      </c>
      <c r="AV982" s="604" t="s">
        <v>96</v>
      </c>
      <c r="AW982" s="604">
        <v>7</v>
      </c>
      <c r="AX982" s="604">
        <v>3226</v>
      </c>
      <c r="AY982" s="606">
        <v>2.2000000000000002</v>
      </c>
      <c r="AZ982" s="604" t="s">
        <v>437</v>
      </c>
      <c r="BY982" s="553" t="str">
        <f t="shared" si="126"/>
        <v>200640+ageSUDI</v>
      </c>
      <c r="BZ982" s="604">
        <v>2006</v>
      </c>
      <c r="CA982" s="604" t="s">
        <v>134</v>
      </c>
      <c r="CB982" s="604" t="s">
        <v>453</v>
      </c>
      <c r="CC982" s="604">
        <v>2</v>
      </c>
      <c r="CD982" s="604" t="s">
        <v>33</v>
      </c>
    </row>
    <row r="983" spans="9:82">
      <c r="I983" s="578" t="str">
        <f t="shared" si="123"/>
        <v>2008dhbWairarapaFetal</v>
      </c>
      <c r="J983" s="604">
        <v>2008</v>
      </c>
      <c r="K983" s="604" t="s">
        <v>448</v>
      </c>
      <c r="L983" s="604" t="s">
        <v>98</v>
      </c>
      <c r="M983" s="604">
        <v>4</v>
      </c>
      <c r="N983" s="604">
        <v>534</v>
      </c>
      <c r="O983" s="604">
        <v>7.5</v>
      </c>
      <c r="P983" s="604" t="s">
        <v>47</v>
      </c>
      <c r="Q983" s="499"/>
      <c r="R983" s="502" t="str">
        <f t="shared" si="124"/>
        <v>2005birthsage&lt;20</v>
      </c>
      <c r="S983" s="604">
        <v>2005</v>
      </c>
      <c r="T983" s="604" t="s">
        <v>445</v>
      </c>
      <c r="U983" s="604" t="s">
        <v>453</v>
      </c>
      <c r="V983" s="604" t="s">
        <v>339</v>
      </c>
      <c r="W983" s="604">
        <v>4245</v>
      </c>
      <c r="Y983" s="535" t="str">
        <f t="shared" si="125"/>
        <v>2016depageQuin 520-24infant</v>
      </c>
      <c r="Z983" s="604">
        <v>2016</v>
      </c>
      <c r="AA983" s="604" t="s">
        <v>454</v>
      </c>
      <c r="AB983" s="604" t="s">
        <v>453</v>
      </c>
      <c r="AC983" s="604" t="s">
        <v>425</v>
      </c>
      <c r="AD983" s="604" t="s">
        <v>130</v>
      </c>
      <c r="AE983" s="604">
        <v>30</v>
      </c>
      <c r="AF983" s="604">
        <v>4284</v>
      </c>
      <c r="AG983" s="604">
        <v>7</v>
      </c>
      <c r="AH983" s="604" t="s">
        <v>437</v>
      </c>
      <c r="AR983" s="538" t="str">
        <f t="shared" si="122"/>
        <v>&lt;28gestinfantHutt Valley</v>
      </c>
      <c r="AS983" s="604">
        <v>2016</v>
      </c>
      <c r="AT983" s="604" t="s">
        <v>375</v>
      </c>
      <c r="AU983" s="604" t="s">
        <v>450</v>
      </c>
      <c r="AV983" s="604" t="s">
        <v>97</v>
      </c>
      <c r="AW983" s="604">
        <v>4</v>
      </c>
      <c r="AX983" s="604">
        <v>11</v>
      </c>
      <c r="AY983" s="606">
        <v>363.6</v>
      </c>
      <c r="AZ983" s="604" t="s">
        <v>437</v>
      </c>
      <c r="BY983" s="553" t="str">
        <f t="shared" si="126"/>
        <v>2006UnknownageSUDI</v>
      </c>
      <c r="BZ983" s="604">
        <v>2006</v>
      </c>
      <c r="CA983" s="604" t="s">
        <v>63</v>
      </c>
      <c r="CB983" s="604" t="s">
        <v>453</v>
      </c>
      <c r="CC983" s="604">
        <v>1</v>
      </c>
      <c r="CD983" s="604" t="s">
        <v>33</v>
      </c>
    </row>
    <row r="984" spans="9:82">
      <c r="I984" s="578" t="str">
        <f t="shared" si="123"/>
        <v>2008dhbNelson MarlboroughFetal</v>
      </c>
      <c r="J984" s="604">
        <v>2008</v>
      </c>
      <c r="K984" s="604" t="s">
        <v>448</v>
      </c>
      <c r="L984" s="604" t="s">
        <v>99</v>
      </c>
      <c r="M984" s="604">
        <v>13</v>
      </c>
      <c r="N984" s="604">
        <v>1769</v>
      </c>
      <c r="O984" s="604">
        <v>7.3</v>
      </c>
      <c r="P984" s="604" t="s">
        <v>47</v>
      </c>
      <c r="Q984" s="499"/>
      <c r="R984" s="502" t="str">
        <f t="shared" si="124"/>
        <v>2005birthsage20-24</v>
      </c>
      <c r="S984" s="604">
        <v>2005</v>
      </c>
      <c r="T984" s="604" t="s">
        <v>445</v>
      </c>
      <c r="U984" s="604" t="s">
        <v>453</v>
      </c>
      <c r="V984" s="604" t="s">
        <v>130</v>
      </c>
      <c r="W984" s="604">
        <v>10022</v>
      </c>
      <c r="Y984" s="535" t="str">
        <f t="shared" si="125"/>
        <v>2016depageQuin 920-24infant</v>
      </c>
      <c r="Z984" s="604">
        <v>2016</v>
      </c>
      <c r="AA984" s="604" t="s">
        <v>454</v>
      </c>
      <c r="AB984" s="604" t="s">
        <v>453</v>
      </c>
      <c r="AC984" s="604" t="s">
        <v>426</v>
      </c>
      <c r="AD984" s="604" t="s">
        <v>130</v>
      </c>
      <c r="AE984" s="604">
        <v>0</v>
      </c>
      <c r="AF984" s="604">
        <v>16</v>
      </c>
      <c r="AG984" s="604" t="s">
        <v>119</v>
      </c>
      <c r="AH984" s="604" t="s">
        <v>437</v>
      </c>
      <c r="AR984" s="538" t="str">
        <f t="shared" si="122"/>
        <v>32-36gestinfantHutt Valley</v>
      </c>
      <c r="AS984" s="604">
        <v>2016</v>
      </c>
      <c r="AT984" s="604" t="s">
        <v>136</v>
      </c>
      <c r="AU984" s="604" t="s">
        <v>450</v>
      </c>
      <c r="AV984" s="604" t="s">
        <v>97</v>
      </c>
      <c r="AW984" s="604">
        <v>1</v>
      </c>
      <c r="AX984" s="604">
        <v>151</v>
      </c>
      <c r="AY984" s="606">
        <v>6.6</v>
      </c>
      <c r="AZ984" s="604" t="s">
        <v>437</v>
      </c>
      <c r="BY984" s="553" t="str">
        <f t="shared" si="126"/>
        <v>2007&lt;20ageSUDI</v>
      </c>
      <c r="BZ984" s="604">
        <v>2007</v>
      </c>
      <c r="CA984" s="604" t="s">
        <v>339</v>
      </c>
      <c r="CB984" s="604" t="s">
        <v>453</v>
      </c>
      <c r="CC984" s="604">
        <v>13</v>
      </c>
      <c r="CD984" s="604" t="s">
        <v>33</v>
      </c>
    </row>
    <row r="985" spans="9:82">
      <c r="I985" s="578" t="str">
        <f t="shared" si="123"/>
        <v>2008dhbWest CoastFetal</v>
      </c>
      <c r="J985" s="604">
        <v>2008</v>
      </c>
      <c r="K985" s="604" t="s">
        <v>448</v>
      </c>
      <c r="L985" s="604" t="s">
        <v>100</v>
      </c>
      <c r="M985" s="604">
        <v>3</v>
      </c>
      <c r="N985" s="604">
        <v>455</v>
      </c>
      <c r="O985" s="604">
        <v>6.6</v>
      </c>
      <c r="P985" s="604" t="s">
        <v>47</v>
      </c>
      <c r="Q985" s="499"/>
      <c r="R985" s="502" t="str">
        <f t="shared" si="124"/>
        <v>2005birthsage25-29</v>
      </c>
      <c r="S985" s="604">
        <v>2005</v>
      </c>
      <c r="T985" s="604" t="s">
        <v>445</v>
      </c>
      <c r="U985" s="604" t="s">
        <v>453</v>
      </c>
      <c r="V985" s="604" t="s">
        <v>131</v>
      </c>
      <c r="W985" s="604">
        <v>14057</v>
      </c>
      <c r="Y985" s="535" t="str">
        <f t="shared" si="125"/>
        <v>2016depageQuin 125-29infant</v>
      </c>
      <c r="Z985" s="604">
        <v>2016</v>
      </c>
      <c r="AA985" s="604" t="s">
        <v>454</v>
      </c>
      <c r="AB985" s="604" t="s">
        <v>453</v>
      </c>
      <c r="AC985" s="604" t="s">
        <v>421</v>
      </c>
      <c r="AD985" s="604" t="s">
        <v>131</v>
      </c>
      <c r="AE985" s="604">
        <v>4</v>
      </c>
      <c r="AF985" s="604">
        <v>2066</v>
      </c>
      <c r="AG985" s="604">
        <v>1.9</v>
      </c>
      <c r="AH985" s="604" t="s">
        <v>437</v>
      </c>
      <c r="AR985" s="538" t="str">
        <f t="shared" si="122"/>
        <v>37-41gestinfantHutt Valley</v>
      </c>
      <c r="AS985" s="604">
        <v>2016</v>
      </c>
      <c r="AT985" s="604" t="s">
        <v>137</v>
      </c>
      <c r="AU985" s="604" t="s">
        <v>450</v>
      </c>
      <c r="AV985" s="604" t="s">
        <v>97</v>
      </c>
      <c r="AW985" s="604">
        <v>4</v>
      </c>
      <c r="AX985" s="604">
        <v>1813</v>
      </c>
      <c r="AY985" s="606">
        <v>2.2000000000000002</v>
      </c>
      <c r="AZ985" s="604" t="s">
        <v>437</v>
      </c>
      <c r="BY985" s="553" t="str">
        <f t="shared" si="126"/>
        <v>200720-24ageSUDI</v>
      </c>
      <c r="BZ985" s="604">
        <v>2007</v>
      </c>
      <c r="CA985" s="604" t="s">
        <v>130</v>
      </c>
      <c r="CB985" s="604" t="s">
        <v>453</v>
      </c>
      <c r="CC985" s="604">
        <v>21</v>
      </c>
      <c r="CD985" s="604" t="s">
        <v>33</v>
      </c>
    </row>
    <row r="986" spans="9:82">
      <c r="I986" s="578" t="str">
        <f t="shared" si="123"/>
        <v>2008dhbCanterburyFetal</v>
      </c>
      <c r="J986" s="604">
        <v>2008</v>
      </c>
      <c r="K986" s="604" t="s">
        <v>448</v>
      </c>
      <c r="L986" s="604" t="s">
        <v>101</v>
      </c>
      <c r="M986" s="604">
        <v>44</v>
      </c>
      <c r="N986" s="604">
        <v>6709</v>
      </c>
      <c r="O986" s="604">
        <v>6.6</v>
      </c>
      <c r="P986" s="604" t="s">
        <v>47</v>
      </c>
      <c r="Q986" s="499"/>
      <c r="R986" s="502" t="str">
        <f t="shared" si="124"/>
        <v>2005birthsage30-34</v>
      </c>
      <c r="S986" s="604">
        <v>2005</v>
      </c>
      <c r="T986" s="604" t="s">
        <v>445</v>
      </c>
      <c r="U986" s="604" t="s">
        <v>453</v>
      </c>
      <c r="V986" s="604" t="s">
        <v>132</v>
      </c>
      <c r="W986" s="604">
        <v>18155</v>
      </c>
      <c r="Y986" s="535" t="str">
        <f t="shared" si="125"/>
        <v>2016depageQuin 225-29infant</v>
      </c>
      <c r="Z986" s="604">
        <v>2016</v>
      </c>
      <c r="AA986" s="604" t="s">
        <v>454</v>
      </c>
      <c r="AB986" s="604" t="s">
        <v>453</v>
      </c>
      <c r="AC986" s="604" t="s">
        <v>422</v>
      </c>
      <c r="AD986" s="604" t="s">
        <v>131</v>
      </c>
      <c r="AE986" s="604">
        <v>6</v>
      </c>
      <c r="AF986" s="604">
        <v>2592</v>
      </c>
      <c r="AG986" s="604">
        <v>2.2999999999999998</v>
      </c>
      <c r="AH986" s="604" t="s">
        <v>437</v>
      </c>
      <c r="AR986" s="538" t="str">
        <f t="shared" si="122"/>
        <v>&lt;28gestinfantWairarapa</v>
      </c>
      <c r="AS986" s="604">
        <v>2016</v>
      </c>
      <c r="AT986" s="604" t="s">
        <v>375</v>
      </c>
      <c r="AU986" s="604" t="s">
        <v>450</v>
      </c>
      <c r="AV986" s="604" t="s">
        <v>98</v>
      </c>
      <c r="AW986" s="604">
        <v>1</v>
      </c>
      <c r="AX986" s="604">
        <v>4</v>
      </c>
      <c r="AY986" s="606">
        <v>250</v>
      </c>
      <c r="AZ986" s="604" t="s">
        <v>437</v>
      </c>
      <c r="BY986" s="553" t="str">
        <f t="shared" si="126"/>
        <v>200725-29ageSUDI</v>
      </c>
      <c r="BZ986" s="604">
        <v>2007</v>
      </c>
      <c r="CA986" s="604" t="s">
        <v>131</v>
      </c>
      <c r="CB986" s="604" t="s">
        <v>453</v>
      </c>
      <c r="CC986" s="604">
        <v>12</v>
      </c>
      <c r="CD986" s="604" t="s">
        <v>33</v>
      </c>
    </row>
    <row r="987" spans="9:82">
      <c r="I987" s="578" t="str">
        <f t="shared" si="123"/>
        <v>2008dhbSouth CanterburyFetal</v>
      </c>
      <c r="J987" s="604">
        <v>2008</v>
      </c>
      <c r="K987" s="604" t="s">
        <v>448</v>
      </c>
      <c r="L987" s="604" t="s">
        <v>102</v>
      </c>
      <c r="M987" s="604">
        <v>5</v>
      </c>
      <c r="N987" s="604">
        <v>648</v>
      </c>
      <c r="O987" s="604">
        <v>7.7</v>
      </c>
      <c r="P987" s="604" t="s">
        <v>47</v>
      </c>
      <c r="Q987" s="499"/>
      <c r="R987" s="502" t="str">
        <f t="shared" si="124"/>
        <v>2005birthsage35-39</v>
      </c>
      <c r="S987" s="604">
        <v>2005</v>
      </c>
      <c r="T987" s="604" t="s">
        <v>445</v>
      </c>
      <c r="U987" s="604" t="s">
        <v>453</v>
      </c>
      <c r="V987" s="604" t="s">
        <v>133</v>
      </c>
      <c r="W987" s="604">
        <v>10120</v>
      </c>
      <c r="Y987" s="535" t="str">
        <f t="shared" si="125"/>
        <v>2016depageQuin 325-29infant</v>
      </c>
      <c r="Z987" s="604">
        <v>2016</v>
      </c>
      <c r="AA987" s="604" t="s">
        <v>454</v>
      </c>
      <c r="AB987" s="604" t="s">
        <v>453</v>
      </c>
      <c r="AC987" s="604" t="s">
        <v>423</v>
      </c>
      <c r="AD987" s="604" t="s">
        <v>131</v>
      </c>
      <c r="AE987" s="604">
        <v>7</v>
      </c>
      <c r="AF987" s="604">
        <v>3067</v>
      </c>
      <c r="AG987" s="604">
        <v>2.2999999999999998</v>
      </c>
      <c r="AH987" s="604" t="s">
        <v>437</v>
      </c>
      <c r="AR987" s="538" t="str">
        <f t="shared" si="122"/>
        <v>&lt;28gestinfantNelson Marlborough</v>
      </c>
      <c r="AS987" s="604">
        <v>2016</v>
      </c>
      <c r="AT987" s="604" t="s">
        <v>375</v>
      </c>
      <c r="AU987" s="604" t="s">
        <v>450</v>
      </c>
      <c r="AV987" s="604" t="s">
        <v>99</v>
      </c>
      <c r="AW987" s="604">
        <v>1</v>
      </c>
      <c r="AX987" s="604">
        <v>6</v>
      </c>
      <c r="AY987" s="606">
        <v>166.7</v>
      </c>
      <c r="AZ987" s="604" t="s">
        <v>437</v>
      </c>
      <c r="BY987" s="553" t="str">
        <f t="shared" si="126"/>
        <v>200730-34ageSUDI</v>
      </c>
      <c r="BZ987" s="604">
        <v>2007</v>
      </c>
      <c r="CA987" s="604" t="s">
        <v>132</v>
      </c>
      <c r="CB987" s="604" t="s">
        <v>453</v>
      </c>
      <c r="CC987" s="604">
        <v>10</v>
      </c>
      <c r="CD987" s="604" t="s">
        <v>33</v>
      </c>
    </row>
    <row r="988" spans="9:82">
      <c r="I988" s="578" t="str">
        <f t="shared" si="123"/>
        <v>2008dhbSouthernFetal</v>
      </c>
      <c r="J988" s="604">
        <v>2008</v>
      </c>
      <c r="K988" s="604" t="s">
        <v>448</v>
      </c>
      <c r="L988" s="604" t="s">
        <v>103</v>
      </c>
      <c r="M988" s="604">
        <v>34</v>
      </c>
      <c r="N988" s="604">
        <v>3780</v>
      </c>
      <c r="O988" s="604">
        <v>9</v>
      </c>
      <c r="P988" s="604" t="s">
        <v>47</v>
      </c>
      <c r="Q988" s="499"/>
      <c r="R988" s="502" t="str">
        <f t="shared" si="124"/>
        <v>2005birthsage40+</v>
      </c>
      <c r="S988" s="604">
        <v>2005</v>
      </c>
      <c r="T988" s="604" t="s">
        <v>445</v>
      </c>
      <c r="U988" s="604" t="s">
        <v>453</v>
      </c>
      <c r="V988" s="604" t="s">
        <v>134</v>
      </c>
      <c r="W988" s="604">
        <v>2128</v>
      </c>
      <c r="Y988" s="535" t="str">
        <f t="shared" si="125"/>
        <v>2016depageQuin 425-29infant</v>
      </c>
      <c r="Z988" s="604">
        <v>2016</v>
      </c>
      <c r="AA988" s="604" t="s">
        <v>454</v>
      </c>
      <c r="AB988" s="604" t="s">
        <v>453</v>
      </c>
      <c r="AC988" s="604" t="s">
        <v>424</v>
      </c>
      <c r="AD988" s="604" t="s">
        <v>131</v>
      </c>
      <c r="AE988" s="604">
        <v>8</v>
      </c>
      <c r="AF988" s="604">
        <v>3866</v>
      </c>
      <c r="AG988" s="604">
        <v>2.1</v>
      </c>
      <c r="AH988" s="604" t="s">
        <v>437</v>
      </c>
      <c r="AR988" s="538" t="str">
        <f t="shared" ref="AR988:AR1051" si="127">AT988&amp;AU988&amp;AZ988&amp;AV988</f>
        <v>37-41gestinfantNelson Marlborough</v>
      </c>
      <c r="AS988" s="604">
        <v>2016</v>
      </c>
      <c r="AT988" s="604" t="s">
        <v>137</v>
      </c>
      <c r="AU988" s="604" t="s">
        <v>450</v>
      </c>
      <c r="AV988" s="604" t="s">
        <v>99</v>
      </c>
      <c r="AW988" s="604">
        <v>1</v>
      </c>
      <c r="AX988" s="604">
        <v>1425</v>
      </c>
      <c r="AY988" s="606">
        <v>0.7</v>
      </c>
      <c r="AZ988" s="604" t="s">
        <v>437</v>
      </c>
      <c r="BY988" s="553" t="str">
        <f t="shared" si="126"/>
        <v>200735-39ageSUDI</v>
      </c>
      <c r="BZ988" s="604">
        <v>2007</v>
      </c>
      <c r="CA988" s="604" t="s">
        <v>133</v>
      </c>
      <c r="CB988" s="604" t="s">
        <v>453</v>
      </c>
      <c r="CC988" s="604">
        <v>6</v>
      </c>
      <c r="CD988" s="604" t="s">
        <v>33</v>
      </c>
    </row>
    <row r="989" spans="9:82">
      <c r="I989" s="578" t="str">
        <f t="shared" si="123"/>
        <v>2008dhbUnknownFetal</v>
      </c>
      <c r="J989" s="604">
        <v>2008</v>
      </c>
      <c r="K989" s="604" t="s">
        <v>448</v>
      </c>
      <c r="L989" s="604" t="s">
        <v>63</v>
      </c>
      <c r="M989" s="604">
        <v>0</v>
      </c>
      <c r="N989" s="604">
        <v>294</v>
      </c>
      <c r="O989" s="604" t="s">
        <v>119</v>
      </c>
      <c r="P989" s="604" t="s">
        <v>47</v>
      </c>
      <c r="Q989" s="499"/>
      <c r="R989" s="502" t="str">
        <f t="shared" si="124"/>
        <v>2006birthsage&lt;20</v>
      </c>
      <c r="S989" s="604">
        <v>2006</v>
      </c>
      <c r="T989" s="604" t="s">
        <v>445</v>
      </c>
      <c r="U989" s="604" t="s">
        <v>453</v>
      </c>
      <c r="V989" s="604" t="s">
        <v>339</v>
      </c>
      <c r="W989" s="604">
        <v>4455</v>
      </c>
      <c r="Y989" s="535" t="str">
        <f t="shared" si="125"/>
        <v>2016depageQuin 525-29infant</v>
      </c>
      <c r="Z989" s="604">
        <v>2016</v>
      </c>
      <c r="AA989" s="604" t="s">
        <v>454</v>
      </c>
      <c r="AB989" s="604" t="s">
        <v>453</v>
      </c>
      <c r="AC989" s="604" t="s">
        <v>425</v>
      </c>
      <c r="AD989" s="604" t="s">
        <v>131</v>
      </c>
      <c r="AE989" s="604">
        <v>26</v>
      </c>
      <c r="AF989" s="604">
        <v>5031</v>
      </c>
      <c r="AG989" s="604">
        <v>5.2</v>
      </c>
      <c r="AH989" s="604" t="s">
        <v>437</v>
      </c>
      <c r="AR989" s="538" t="str">
        <f t="shared" si="127"/>
        <v>&lt;28gestinfantWest Coast</v>
      </c>
      <c r="AS989" s="604">
        <v>2016</v>
      </c>
      <c r="AT989" s="604" t="s">
        <v>375</v>
      </c>
      <c r="AU989" s="604" t="s">
        <v>450</v>
      </c>
      <c r="AV989" s="604" t="s">
        <v>100</v>
      </c>
      <c r="AW989" s="604">
        <v>2</v>
      </c>
      <c r="AX989" s="604">
        <v>1</v>
      </c>
      <c r="AY989" s="606" t="s">
        <v>119</v>
      </c>
      <c r="AZ989" s="604" t="s">
        <v>437</v>
      </c>
      <c r="BY989" s="553" t="str">
        <f t="shared" si="126"/>
        <v>200740+ageSUDI</v>
      </c>
      <c r="BZ989" s="604">
        <v>2007</v>
      </c>
      <c r="CA989" s="604" t="s">
        <v>134</v>
      </c>
      <c r="CB989" s="604" t="s">
        <v>453</v>
      </c>
      <c r="CC989" s="604">
        <v>2</v>
      </c>
      <c r="CD989" s="604" t="s">
        <v>33</v>
      </c>
    </row>
    <row r="990" spans="9:82">
      <c r="I990" s="578" t="str">
        <f t="shared" si="123"/>
        <v>2009dhbNorthlandFetal</v>
      </c>
      <c r="J990" s="604">
        <v>2009</v>
      </c>
      <c r="K990" s="604" t="s">
        <v>448</v>
      </c>
      <c r="L990" s="604" t="s">
        <v>85</v>
      </c>
      <c r="M990" s="604">
        <v>13</v>
      </c>
      <c r="N990" s="604">
        <v>2246</v>
      </c>
      <c r="O990" s="604">
        <v>5.8</v>
      </c>
      <c r="P990" s="604" t="s">
        <v>47</v>
      </c>
      <c r="Q990" s="499"/>
      <c r="R990" s="502" t="str">
        <f t="shared" si="124"/>
        <v>2006birthsage20-24</v>
      </c>
      <c r="S990" s="604">
        <v>2006</v>
      </c>
      <c r="T990" s="604" t="s">
        <v>445</v>
      </c>
      <c r="U990" s="604" t="s">
        <v>453</v>
      </c>
      <c r="V990" s="604" t="s">
        <v>130</v>
      </c>
      <c r="W990" s="604">
        <v>10647</v>
      </c>
      <c r="Y990" s="535" t="str">
        <f t="shared" si="125"/>
        <v>2016depageQuin 925-29infant</v>
      </c>
      <c r="Z990" s="604">
        <v>2016</v>
      </c>
      <c r="AA990" s="604" t="s">
        <v>454</v>
      </c>
      <c r="AB990" s="604" t="s">
        <v>453</v>
      </c>
      <c r="AC990" s="604" t="s">
        <v>426</v>
      </c>
      <c r="AD990" s="604" t="s">
        <v>131</v>
      </c>
      <c r="AE990" s="604">
        <v>1</v>
      </c>
      <c r="AF990" s="604">
        <v>42</v>
      </c>
      <c r="AG990" s="604" t="s">
        <v>119</v>
      </c>
      <c r="AH990" s="604" t="s">
        <v>437</v>
      </c>
      <c r="AR990" s="538" t="str">
        <f t="shared" si="127"/>
        <v>&lt;28gestinfantCanterbury</v>
      </c>
      <c r="AS990" s="604">
        <v>2016</v>
      </c>
      <c r="AT990" s="604" t="s">
        <v>375</v>
      </c>
      <c r="AU990" s="604" t="s">
        <v>450</v>
      </c>
      <c r="AV990" s="604" t="s">
        <v>101</v>
      </c>
      <c r="AW990" s="604">
        <v>7</v>
      </c>
      <c r="AX990" s="604">
        <v>20</v>
      </c>
      <c r="AY990" s="606">
        <v>350</v>
      </c>
      <c r="AZ990" s="604" t="s">
        <v>437</v>
      </c>
      <c r="BY990" s="553" t="str">
        <f t="shared" si="126"/>
        <v>2007UnknownageSUDI</v>
      </c>
      <c r="BZ990" s="604">
        <v>2007</v>
      </c>
      <c r="CA990" s="604" t="s">
        <v>63</v>
      </c>
      <c r="CB990" s="604" t="s">
        <v>453</v>
      </c>
      <c r="CC990" s="604">
        <v>0</v>
      </c>
      <c r="CD990" s="604" t="s">
        <v>33</v>
      </c>
    </row>
    <row r="991" spans="9:82">
      <c r="I991" s="578" t="str">
        <f t="shared" si="123"/>
        <v>2009dhbWaitemataFetal</v>
      </c>
      <c r="J991" s="604">
        <v>2009</v>
      </c>
      <c r="K991" s="604" t="s">
        <v>448</v>
      </c>
      <c r="L991" s="604" t="s">
        <v>86</v>
      </c>
      <c r="M991" s="604">
        <v>66</v>
      </c>
      <c r="N991" s="604">
        <v>7757</v>
      </c>
      <c r="O991" s="604">
        <v>8.5</v>
      </c>
      <c r="P991" s="604" t="s">
        <v>47</v>
      </c>
      <c r="Q991" s="499"/>
      <c r="R991" s="502" t="str">
        <f t="shared" si="124"/>
        <v>2006birthsage25-29</v>
      </c>
      <c r="S991" s="604">
        <v>2006</v>
      </c>
      <c r="T991" s="604" t="s">
        <v>445</v>
      </c>
      <c r="U991" s="604" t="s">
        <v>453</v>
      </c>
      <c r="V991" s="604" t="s">
        <v>131</v>
      </c>
      <c r="W991" s="604">
        <v>14386</v>
      </c>
      <c r="Y991" s="535" t="str">
        <f t="shared" si="125"/>
        <v>2016depageQuin 130-34infant</v>
      </c>
      <c r="Z991" s="604">
        <v>2016</v>
      </c>
      <c r="AA991" s="604" t="s">
        <v>454</v>
      </c>
      <c r="AB991" s="604" t="s">
        <v>453</v>
      </c>
      <c r="AC991" s="604" t="s">
        <v>421</v>
      </c>
      <c r="AD991" s="604" t="s">
        <v>132</v>
      </c>
      <c r="AE991" s="604">
        <v>6</v>
      </c>
      <c r="AF991" s="604">
        <v>3536</v>
      </c>
      <c r="AG991" s="604">
        <v>1.7</v>
      </c>
      <c r="AH991" s="604" t="s">
        <v>437</v>
      </c>
      <c r="AR991" s="538" t="str">
        <f t="shared" si="127"/>
        <v>28-31gestinfantCanterbury</v>
      </c>
      <c r="AS991" s="604">
        <v>2016</v>
      </c>
      <c r="AT991" s="604" t="s">
        <v>395</v>
      </c>
      <c r="AU991" s="604" t="s">
        <v>450</v>
      </c>
      <c r="AV991" s="604" t="s">
        <v>101</v>
      </c>
      <c r="AW991" s="604">
        <v>3</v>
      </c>
      <c r="AX991" s="604">
        <v>58</v>
      </c>
      <c r="AY991" s="606">
        <v>51.7</v>
      </c>
      <c r="AZ991" s="604" t="s">
        <v>437</v>
      </c>
      <c r="BY991" s="553" t="str">
        <f t="shared" si="126"/>
        <v>2008&lt;20ageSUDI</v>
      </c>
      <c r="BZ991" s="604">
        <v>2008</v>
      </c>
      <c r="CA991" s="604" t="s">
        <v>339</v>
      </c>
      <c r="CB991" s="604" t="s">
        <v>453</v>
      </c>
      <c r="CC991" s="604">
        <v>18</v>
      </c>
      <c r="CD991" s="604" t="s">
        <v>33</v>
      </c>
    </row>
    <row r="992" spans="9:82">
      <c r="I992" s="578" t="str">
        <f t="shared" si="123"/>
        <v>2009dhbAucklandFetal</v>
      </c>
      <c r="J992" s="604">
        <v>2009</v>
      </c>
      <c r="K992" s="604" t="s">
        <v>448</v>
      </c>
      <c r="L992" s="604" t="s">
        <v>87</v>
      </c>
      <c r="M992" s="604">
        <v>48</v>
      </c>
      <c r="N992" s="604">
        <v>6780</v>
      </c>
      <c r="O992" s="604">
        <v>7.1</v>
      </c>
      <c r="P992" s="604" t="s">
        <v>47</v>
      </c>
      <c r="Q992" s="499"/>
      <c r="R992" s="502" t="str">
        <f t="shared" si="124"/>
        <v>2006birthsage30-34</v>
      </c>
      <c r="S992" s="604">
        <v>2006</v>
      </c>
      <c r="T992" s="604" t="s">
        <v>445</v>
      </c>
      <c r="U992" s="604" t="s">
        <v>453</v>
      </c>
      <c r="V992" s="604" t="s">
        <v>132</v>
      </c>
      <c r="W992" s="604">
        <v>18090</v>
      </c>
      <c r="Y992" s="535" t="str">
        <f t="shared" si="125"/>
        <v>2016depageQuin 230-34infant</v>
      </c>
      <c r="Z992" s="604">
        <v>2016</v>
      </c>
      <c r="AA992" s="604" t="s">
        <v>454</v>
      </c>
      <c r="AB992" s="604" t="s">
        <v>453</v>
      </c>
      <c r="AC992" s="604" t="s">
        <v>422</v>
      </c>
      <c r="AD992" s="604" t="s">
        <v>132</v>
      </c>
      <c r="AE992" s="604">
        <v>10</v>
      </c>
      <c r="AF992" s="604">
        <v>3702</v>
      </c>
      <c r="AG992" s="604">
        <v>2.7</v>
      </c>
      <c r="AH992" s="604" t="s">
        <v>437</v>
      </c>
      <c r="AR992" s="538" t="str">
        <f t="shared" si="127"/>
        <v>32-36gestinfantCanterbury</v>
      </c>
      <c r="AS992" s="604">
        <v>2016</v>
      </c>
      <c r="AT992" s="604" t="s">
        <v>136</v>
      </c>
      <c r="AU992" s="604" t="s">
        <v>450</v>
      </c>
      <c r="AV992" s="604" t="s">
        <v>101</v>
      </c>
      <c r="AW992" s="604">
        <v>2</v>
      </c>
      <c r="AX992" s="604">
        <v>415</v>
      </c>
      <c r="AY992" s="606">
        <v>4.8</v>
      </c>
      <c r="AZ992" s="604" t="s">
        <v>437</v>
      </c>
      <c r="BY992" s="553" t="str">
        <f t="shared" si="126"/>
        <v>200820-24ageSUDI</v>
      </c>
      <c r="BZ992" s="604">
        <v>2008</v>
      </c>
      <c r="CA992" s="604" t="s">
        <v>130</v>
      </c>
      <c r="CB992" s="604" t="s">
        <v>453</v>
      </c>
      <c r="CC992" s="604">
        <v>20</v>
      </c>
      <c r="CD992" s="604" t="s">
        <v>33</v>
      </c>
    </row>
    <row r="993" spans="9:82">
      <c r="I993" s="578" t="str">
        <f t="shared" si="123"/>
        <v>2009dhbCounties ManukauFetal</v>
      </c>
      <c r="J993" s="604">
        <v>2009</v>
      </c>
      <c r="K993" s="604" t="s">
        <v>448</v>
      </c>
      <c r="L993" s="604" t="s">
        <v>88</v>
      </c>
      <c r="M993" s="604">
        <v>80</v>
      </c>
      <c r="N993" s="604">
        <v>8680</v>
      </c>
      <c r="O993" s="604">
        <v>9.1999999999999993</v>
      </c>
      <c r="P993" s="604" t="s">
        <v>47</v>
      </c>
      <c r="Q993" s="499"/>
      <c r="R993" s="502" t="str">
        <f t="shared" si="124"/>
        <v>2006birthsage35-39</v>
      </c>
      <c r="S993" s="604">
        <v>2006</v>
      </c>
      <c r="T993" s="604" t="s">
        <v>445</v>
      </c>
      <c r="U993" s="604" t="s">
        <v>453</v>
      </c>
      <c r="V993" s="604" t="s">
        <v>133</v>
      </c>
      <c r="W993" s="604">
        <v>10499</v>
      </c>
      <c r="Y993" s="535" t="str">
        <f t="shared" si="125"/>
        <v>2016depageQuin 330-34infant</v>
      </c>
      <c r="Z993" s="604">
        <v>2016</v>
      </c>
      <c r="AA993" s="604" t="s">
        <v>454</v>
      </c>
      <c r="AB993" s="604" t="s">
        <v>453</v>
      </c>
      <c r="AC993" s="604" t="s">
        <v>423</v>
      </c>
      <c r="AD993" s="604" t="s">
        <v>132</v>
      </c>
      <c r="AE993" s="604">
        <v>10</v>
      </c>
      <c r="AF993" s="604">
        <v>3667</v>
      </c>
      <c r="AG993" s="604">
        <v>2.7</v>
      </c>
      <c r="AH993" s="604" t="s">
        <v>437</v>
      </c>
      <c r="AR993" s="538" t="str">
        <f t="shared" si="127"/>
        <v>37-41gestinfantCanterbury</v>
      </c>
      <c r="AS993" s="604">
        <v>2016</v>
      </c>
      <c r="AT993" s="604" t="s">
        <v>137</v>
      </c>
      <c r="AU993" s="604" t="s">
        <v>450</v>
      </c>
      <c r="AV993" s="604" t="s">
        <v>101</v>
      </c>
      <c r="AW993" s="604">
        <v>9</v>
      </c>
      <c r="AX993" s="604">
        <v>5805</v>
      </c>
      <c r="AY993" s="606">
        <v>1.6</v>
      </c>
      <c r="AZ993" s="604" t="s">
        <v>437</v>
      </c>
      <c r="BY993" s="553" t="str">
        <f t="shared" si="126"/>
        <v>200825-29ageSUDI</v>
      </c>
      <c r="BZ993" s="604">
        <v>2008</v>
      </c>
      <c r="CA993" s="604" t="s">
        <v>131</v>
      </c>
      <c r="CB993" s="604" t="s">
        <v>453</v>
      </c>
      <c r="CC993" s="604">
        <v>15</v>
      </c>
      <c r="CD993" s="604" t="s">
        <v>33</v>
      </c>
    </row>
    <row r="994" spans="9:82">
      <c r="I994" s="578" t="str">
        <f t="shared" si="123"/>
        <v>2009dhbWaikatoFetal</v>
      </c>
      <c r="J994" s="604">
        <v>2009</v>
      </c>
      <c r="K994" s="604" t="s">
        <v>448</v>
      </c>
      <c r="L994" s="604" t="s">
        <v>89</v>
      </c>
      <c r="M994" s="604">
        <v>46</v>
      </c>
      <c r="N994" s="604">
        <v>5594</v>
      </c>
      <c r="O994" s="604">
        <v>8.1999999999999993</v>
      </c>
      <c r="P994" s="604" t="s">
        <v>47</v>
      </c>
      <c r="Q994" s="499"/>
      <c r="R994" s="502" t="str">
        <f t="shared" si="124"/>
        <v>2006birthsage40+</v>
      </c>
      <c r="S994" s="604">
        <v>2006</v>
      </c>
      <c r="T994" s="604" t="s">
        <v>445</v>
      </c>
      <c r="U994" s="604" t="s">
        <v>453</v>
      </c>
      <c r="V994" s="604" t="s">
        <v>134</v>
      </c>
      <c r="W994" s="604">
        <v>2197</v>
      </c>
      <c r="Y994" s="535" t="str">
        <f t="shared" si="125"/>
        <v>2016depageQuin 430-34infant</v>
      </c>
      <c r="Z994" s="604">
        <v>2016</v>
      </c>
      <c r="AA994" s="604" t="s">
        <v>454</v>
      </c>
      <c r="AB994" s="604" t="s">
        <v>453</v>
      </c>
      <c r="AC994" s="604" t="s">
        <v>424</v>
      </c>
      <c r="AD994" s="604" t="s">
        <v>132</v>
      </c>
      <c r="AE994" s="604">
        <v>14</v>
      </c>
      <c r="AF994" s="604">
        <v>3942</v>
      </c>
      <c r="AG994" s="604">
        <v>3.6</v>
      </c>
      <c r="AH994" s="604" t="s">
        <v>437</v>
      </c>
      <c r="AR994" s="538" t="str">
        <f t="shared" si="127"/>
        <v>&lt;28gestinfantSouth Canterbury</v>
      </c>
      <c r="AS994" s="604">
        <v>2016</v>
      </c>
      <c r="AT994" s="604" t="s">
        <v>375</v>
      </c>
      <c r="AU994" s="604" t="s">
        <v>450</v>
      </c>
      <c r="AV994" s="604" t="s">
        <v>102</v>
      </c>
      <c r="AW994" s="604">
        <v>2</v>
      </c>
      <c r="AX994" s="604">
        <v>5</v>
      </c>
      <c r="AY994" s="606">
        <v>400</v>
      </c>
      <c r="AZ994" s="604" t="s">
        <v>437</v>
      </c>
      <c r="BY994" s="553" t="str">
        <f t="shared" si="126"/>
        <v>200830-34ageSUDI</v>
      </c>
      <c r="BZ994" s="604">
        <v>2008</v>
      </c>
      <c r="CA994" s="604" t="s">
        <v>132</v>
      </c>
      <c r="CB994" s="604" t="s">
        <v>453</v>
      </c>
      <c r="CC994" s="604">
        <v>7</v>
      </c>
      <c r="CD994" s="604" t="s">
        <v>33</v>
      </c>
    </row>
    <row r="995" spans="9:82">
      <c r="I995" s="578" t="str">
        <f t="shared" si="123"/>
        <v>2009dhbLakesFetal</v>
      </c>
      <c r="J995" s="604">
        <v>2009</v>
      </c>
      <c r="K995" s="604" t="s">
        <v>448</v>
      </c>
      <c r="L995" s="604" t="s">
        <v>90</v>
      </c>
      <c r="M995" s="604">
        <v>11</v>
      </c>
      <c r="N995" s="604">
        <v>1696</v>
      </c>
      <c r="O995" s="604">
        <v>6.5</v>
      </c>
      <c r="P995" s="604" t="s">
        <v>47</v>
      </c>
      <c r="Q995" s="499"/>
      <c r="R995" s="502" t="str">
        <f t="shared" si="124"/>
        <v>2007birthsage&lt;20</v>
      </c>
      <c r="S995" s="604">
        <v>2007</v>
      </c>
      <c r="T995" s="604" t="s">
        <v>445</v>
      </c>
      <c r="U995" s="604" t="s">
        <v>453</v>
      </c>
      <c r="V995" s="604" t="s">
        <v>339</v>
      </c>
      <c r="W995" s="604">
        <v>5051</v>
      </c>
      <c r="Y995" s="535" t="str">
        <f t="shared" si="125"/>
        <v>2016depageQuin 530-34infant</v>
      </c>
      <c r="Z995" s="604">
        <v>2016</v>
      </c>
      <c r="AA995" s="604" t="s">
        <v>454</v>
      </c>
      <c r="AB995" s="604" t="s">
        <v>453</v>
      </c>
      <c r="AC995" s="604" t="s">
        <v>425</v>
      </c>
      <c r="AD995" s="604" t="s">
        <v>132</v>
      </c>
      <c r="AE995" s="604">
        <v>19</v>
      </c>
      <c r="AF995" s="604">
        <v>3829</v>
      </c>
      <c r="AG995" s="604">
        <v>5</v>
      </c>
      <c r="AH995" s="604" t="s">
        <v>437</v>
      </c>
      <c r="AR995" s="538" t="str">
        <f t="shared" si="127"/>
        <v>37-41gestinfantSouth Canterbury</v>
      </c>
      <c r="AS995" s="604">
        <v>2016</v>
      </c>
      <c r="AT995" s="604" t="s">
        <v>137</v>
      </c>
      <c r="AU995" s="604" t="s">
        <v>450</v>
      </c>
      <c r="AV995" s="604" t="s">
        <v>102</v>
      </c>
      <c r="AW995" s="604">
        <v>1</v>
      </c>
      <c r="AX995" s="604">
        <v>577</v>
      </c>
      <c r="AY995" s="606">
        <v>1.7</v>
      </c>
      <c r="AZ995" s="604" t="s">
        <v>437</v>
      </c>
      <c r="BY995" s="553" t="str">
        <f t="shared" si="126"/>
        <v>200835-39ageSUDI</v>
      </c>
      <c r="BZ995" s="604">
        <v>2008</v>
      </c>
      <c r="CA995" s="604" t="s">
        <v>133</v>
      </c>
      <c r="CB995" s="604" t="s">
        <v>453</v>
      </c>
      <c r="CC995" s="604">
        <v>4</v>
      </c>
      <c r="CD995" s="604" t="s">
        <v>33</v>
      </c>
    </row>
    <row r="996" spans="9:82">
      <c r="I996" s="578" t="str">
        <f t="shared" si="123"/>
        <v>2009dhbBay of PlentyFetal</v>
      </c>
      <c r="J996" s="604">
        <v>2009</v>
      </c>
      <c r="K996" s="604" t="s">
        <v>448</v>
      </c>
      <c r="L996" s="604" t="s">
        <v>91</v>
      </c>
      <c r="M996" s="604">
        <v>11</v>
      </c>
      <c r="N996" s="604">
        <v>2911</v>
      </c>
      <c r="O996" s="604">
        <v>3.8</v>
      </c>
      <c r="P996" s="604" t="s">
        <v>47</v>
      </c>
      <c r="Q996" s="499"/>
      <c r="R996" s="502" t="str">
        <f t="shared" si="124"/>
        <v>2007birthsage20-24</v>
      </c>
      <c r="S996" s="604">
        <v>2007</v>
      </c>
      <c r="T996" s="604" t="s">
        <v>445</v>
      </c>
      <c r="U996" s="604" t="s">
        <v>453</v>
      </c>
      <c r="V996" s="604" t="s">
        <v>130</v>
      </c>
      <c r="W996" s="604">
        <v>11423</v>
      </c>
      <c r="Y996" s="535" t="str">
        <f t="shared" si="125"/>
        <v>2016depageQuin 930-34infant</v>
      </c>
      <c r="Z996" s="604">
        <v>2016</v>
      </c>
      <c r="AA996" s="604" t="s">
        <v>454</v>
      </c>
      <c r="AB996" s="604" t="s">
        <v>453</v>
      </c>
      <c r="AC996" s="604" t="s">
        <v>426</v>
      </c>
      <c r="AD996" s="604" t="s">
        <v>132</v>
      </c>
      <c r="AE996" s="604">
        <v>0</v>
      </c>
      <c r="AF996" s="604">
        <v>44</v>
      </c>
      <c r="AG996" s="604" t="s">
        <v>119</v>
      </c>
      <c r="AH996" s="604" t="s">
        <v>437</v>
      </c>
      <c r="AR996" s="538" t="str">
        <f t="shared" si="127"/>
        <v>&lt;28gestinfantSouthern</v>
      </c>
      <c r="AS996" s="604">
        <v>2016</v>
      </c>
      <c r="AT996" s="604" t="s">
        <v>375</v>
      </c>
      <c r="AU996" s="604" t="s">
        <v>450</v>
      </c>
      <c r="AV996" s="604" t="s">
        <v>103</v>
      </c>
      <c r="AW996" s="604">
        <v>4</v>
      </c>
      <c r="AX996" s="604">
        <v>17</v>
      </c>
      <c r="AY996" s="606">
        <v>235.3</v>
      </c>
      <c r="AZ996" s="604" t="s">
        <v>437</v>
      </c>
      <c r="BY996" s="553" t="str">
        <f t="shared" si="126"/>
        <v>200840+ageSUDI</v>
      </c>
      <c r="BZ996" s="604">
        <v>2008</v>
      </c>
      <c r="CA996" s="604" t="s">
        <v>134</v>
      </c>
      <c r="CB996" s="604" t="s">
        <v>453</v>
      </c>
      <c r="CC996" s="604">
        <v>0</v>
      </c>
      <c r="CD996" s="604" t="s">
        <v>33</v>
      </c>
    </row>
    <row r="997" spans="9:82">
      <c r="I997" s="578" t="str">
        <f t="shared" si="123"/>
        <v>2009dhbTairawhitiFetal</v>
      </c>
      <c r="J997" s="604">
        <v>2009</v>
      </c>
      <c r="K997" s="604" t="s">
        <v>448</v>
      </c>
      <c r="L997" s="604" t="s">
        <v>433</v>
      </c>
      <c r="M997" s="604">
        <v>1</v>
      </c>
      <c r="N997" s="604">
        <v>747</v>
      </c>
      <c r="O997" s="604">
        <v>1.3</v>
      </c>
      <c r="P997" s="604" t="s">
        <v>47</v>
      </c>
      <c r="Q997" s="499"/>
      <c r="R997" s="502" t="str">
        <f t="shared" si="124"/>
        <v>2007birthsage25-29</v>
      </c>
      <c r="S997" s="604">
        <v>2007</v>
      </c>
      <c r="T997" s="604" t="s">
        <v>445</v>
      </c>
      <c r="U997" s="604" t="s">
        <v>453</v>
      </c>
      <c r="V997" s="604" t="s">
        <v>131</v>
      </c>
      <c r="W997" s="604">
        <v>15815</v>
      </c>
      <c r="Y997" s="535" t="str">
        <f t="shared" si="125"/>
        <v>2016depageQuin 135-39infant</v>
      </c>
      <c r="Z997" s="604">
        <v>2016</v>
      </c>
      <c r="AA997" s="604" t="s">
        <v>454</v>
      </c>
      <c r="AB997" s="604" t="s">
        <v>453</v>
      </c>
      <c r="AC997" s="604" t="s">
        <v>421</v>
      </c>
      <c r="AD997" s="604" t="s">
        <v>133</v>
      </c>
      <c r="AE997" s="604">
        <v>3</v>
      </c>
      <c r="AF997" s="604">
        <v>2263</v>
      </c>
      <c r="AG997" s="604">
        <v>1.3</v>
      </c>
      <c r="AH997" s="604" t="s">
        <v>437</v>
      </c>
      <c r="AR997" s="538" t="str">
        <f t="shared" si="127"/>
        <v>28-31gestinfantSouthern</v>
      </c>
      <c r="AS997" s="604">
        <v>2016</v>
      </c>
      <c r="AT997" s="604" t="s">
        <v>395</v>
      </c>
      <c r="AU997" s="604" t="s">
        <v>450</v>
      </c>
      <c r="AV997" s="604" t="s">
        <v>103</v>
      </c>
      <c r="AW997" s="604">
        <v>1</v>
      </c>
      <c r="AX997" s="604">
        <v>29</v>
      </c>
      <c r="AY997" s="606">
        <v>34.5</v>
      </c>
      <c r="AZ997" s="604" t="s">
        <v>437</v>
      </c>
      <c r="BY997" s="553" t="str">
        <f t="shared" si="126"/>
        <v>2008UnknownageSUDI</v>
      </c>
      <c r="BZ997" s="604">
        <v>2008</v>
      </c>
      <c r="CA997" s="604" t="s">
        <v>63</v>
      </c>
      <c r="CB997" s="604" t="s">
        <v>453</v>
      </c>
      <c r="CC997" s="604">
        <v>2</v>
      </c>
      <c r="CD997" s="604" t="s">
        <v>33</v>
      </c>
    </row>
    <row r="998" spans="9:82">
      <c r="I998" s="578" t="str">
        <f t="shared" si="123"/>
        <v>2009dhbHawke's BayFetal</v>
      </c>
      <c r="J998" s="604">
        <v>2009</v>
      </c>
      <c r="K998" s="604" t="s">
        <v>448</v>
      </c>
      <c r="L998" s="604" t="s">
        <v>92</v>
      </c>
      <c r="M998" s="604">
        <v>15</v>
      </c>
      <c r="N998" s="604">
        <v>2410</v>
      </c>
      <c r="O998" s="604">
        <v>6.2</v>
      </c>
      <c r="P998" s="604" t="s">
        <v>47</v>
      </c>
      <c r="Q998" s="499"/>
      <c r="R998" s="502" t="str">
        <f t="shared" si="124"/>
        <v>2007birthsage30-34</v>
      </c>
      <c r="S998" s="604">
        <v>2007</v>
      </c>
      <c r="T998" s="604" t="s">
        <v>445</v>
      </c>
      <c r="U998" s="604" t="s">
        <v>453</v>
      </c>
      <c r="V998" s="604" t="s">
        <v>132</v>
      </c>
      <c r="W998" s="604">
        <v>18716</v>
      </c>
      <c r="Y998" s="535" t="str">
        <f t="shared" si="125"/>
        <v>2016depageQuin 235-39infant</v>
      </c>
      <c r="Z998" s="604">
        <v>2016</v>
      </c>
      <c r="AA998" s="604" t="s">
        <v>454</v>
      </c>
      <c r="AB998" s="604" t="s">
        <v>453</v>
      </c>
      <c r="AC998" s="604" t="s">
        <v>422</v>
      </c>
      <c r="AD998" s="604" t="s">
        <v>133</v>
      </c>
      <c r="AE998" s="604">
        <v>2</v>
      </c>
      <c r="AF998" s="604">
        <v>2080</v>
      </c>
      <c r="AG998" s="604">
        <v>1</v>
      </c>
      <c r="AH998" s="604" t="s">
        <v>437</v>
      </c>
      <c r="AR998" s="538" t="str">
        <f t="shared" si="127"/>
        <v>37-41gestinfantSouthern</v>
      </c>
      <c r="AS998" s="604">
        <v>2016</v>
      </c>
      <c r="AT998" s="604" t="s">
        <v>137</v>
      </c>
      <c r="AU998" s="604" t="s">
        <v>450</v>
      </c>
      <c r="AV998" s="604" t="s">
        <v>103</v>
      </c>
      <c r="AW998" s="604">
        <v>4</v>
      </c>
      <c r="AX998" s="604">
        <v>3076</v>
      </c>
      <c r="AY998" s="606">
        <v>1.3</v>
      </c>
      <c r="AZ998" s="604" t="s">
        <v>437</v>
      </c>
      <c r="BY998" s="553" t="str">
        <f t="shared" si="126"/>
        <v>2009&lt;20ageSUDI</v>
      </c>
      <c r="BZ998" s="604">
        <v>2009</v>
      </c>
      <c r="CA998" s="604" t="s">
        <v>339</v>
      </c>
      <c r="CB998" s="604" t="s">
        <v>453</v>
      </c>
      <c r="CC998" s="604">
        <v>16</v>
      </c>
      <c r="CD998" s="604" t="s">
        <v>33</v>
      </c>
    </row>
    <row r="999" spans="9:82">
      <c r="I999" s="578" t="str">
        <f t="shared" si="123"/>
        <v>2009dhbTaranakiFetal</v>
      </c>
      <c r="J999" s="604">
        <v>2009</v>
      </c>
      <c r="K999" s="604" t="s">
        <v>448</v>
      </c>
      <c r="L999" s="604" t="s">
        <v>93</v>
      </c>
      <c r="M999" s="604">
        <v>8</v>
      </c>
      <c r="N999" s="604">
        <v>1609</v>
      </c>
      <c r="O999" s="604">
        <v>5</v>
      </c>
      <c r="P999" s="604" t="s">
        <v>47</v>
      </c>
      <c r="Q999" s="499"/>
      <c r="R999" s="502" t="str">
        <f t="shared" si="124"/>
        <v>2007birthsage35-39</v>
      </c>
      <c r="S999" s="604">
        <v>2007</v>
      </c>
      <c r="T999" s="604" t="s">
        <v>445</v>
      </c>
      <c r="U999" s="604" t="s">
        <v>453</v>
      </c>
      <c r="V999" s="604" t="s">
        <v>133</v>
      </c>
      <c r="W999" s="604">
        <v>11704</v>
      </c>
      <c r="Y999" s="535" t="str">
        <f t="shared" si="125"/>
        <v>2016depageQuin 335-39infant</v>
      </c>
      <c r="Z999" s="604">
        <v>2016</v>
      </c>
      <c r="AA999" s="604" t="s">
        <v>454</v>
      </c>
      <c r="AB999" s="604" t="s">
        <v>453</v>
      </c>
      <c r="AC999" s="604" t="s">
        <v>423</v>
      </c>
      <c r="AD999" s="604" t="s">
        <v>133</v>
      </c>
      <c r="AE999" s="604">
        <v>4</v>
      </c>
      <c r="AF999" s="604">
        <v>1919</v>
      </c>
      <c r="AG999" s="604">
        <v>2.1</v>
      </c>
      <c r="AH999" s="604" t="s">
        <v>437</v>
      </c>
      <c r="AR999" s="538" t="str">
        <f t="shared" si="127"/>
        <v>UnknowngestinfantUnknown</v>
      </c>
      <c r="AS999" s="604">
        <v>2016</v>
      </c>
      <c r="AT999" s="604" t="s">
        <v>63</v>
      </c>
      <c r="AU999" s="604" t="s">
        <v>450</v>
      </c>
      <c r="AV999" s="604" t="s">
        <v>63</v>
      </c>
      <c r="AW999" s="604">
        <v>1</v>
      </c>
      <c r="AX999" s="604">
        <v>1</v>
      </c>
      <c r="AY999" s="606" t="s">
        <v>119</v>
      </c>
      <c r="AZ999" s="604" t="s">
        <v>437</v>
      </c>
      <c r="BY999" s="553" t="str">
        <f t="shared" si="126"/>
        <v>200920-24ageSUDI</v>
      </c>
      <c r="BZ999" s="604">
        <v>2009</v>
      </c>
      <c r="CA999" s="604" t="s">
        <v>130</v>
      </c>
      <c r="CB999" s="604" t="s">
        <v>453</v>
      </c>
      <c r="CC999" s="604">
        <v>25</v>
      </c>
      <c r="CD999" s="604" t="s">
        <v>33</v>
      </c>
    </row>
    <row r="1000" spans="9:82">
      <c r="I1000" s="578" t="str">
        <f t="shared" si="123"/>
        <v>2009dhbMidCentralFetal</v>
      </c>
      <c r="J1000" s="604">
        <v>2009</v>
      </c>
      <c r="K1000" s="604" t="s">
        <v>448</v>
      </c>
      <c r="L1000" s="604" t="s">
        <v>94</v>
      </c>
      <c r="M1000" s="604">
        <v>25</v>
      </c>
      <c r="N1000" s="604">
        <v>2229</v>
      </c>
      <c r="O1000" s="604">
        <v>11.2</v>
      </c>
      <c r="P1000" s="604" t="s">
        <v>47</v>
      </c>
      <c r="Q1000" s="499"/>
      <c r="R1000" s="502" t="str">
        <f t="shared" si="124"/>
        <v>2007birthsage40+</v>
      </c>
      <c r="S1000" s="604">
        <v>2007</v>
      </c>
      <c r="T1000" s="604" t="s">
        <v>445</v>
      </c>
      <c r="U1000" s="604" t="s">
        <v>453</v>
      </c>
      <c r="V1000" s="604" t="s">
        <v>134</v>
      </c>
      <c r="W1000" s="604">
        <v>2412</v>
      </c>
      <c r="Y1000" s="535" t="str">
        <f t="shared" si="125"/>
        <v>2016depageQuin 435-39infant</v>
      </c>
      <c r="Z1000" s="604">
        <v>2016</v>
      </c>
      <c r="AA1000" s="604" t="s">
        <v>454</v>
      </c>
      <c r="AB1000" s="604" t="s">
        <v>453</v>
      </c>
      <c r="AC1000" s="604" t="s">
        <v>424</v>
      </c>
      <c r="AD1000" s="604" t="s">
        <v>133</v>
      </c>
      <c r="AE1000" s="604">
        <v>10</v>
      </c>
      <c r="AF1000" s="604">
        <v>1934</v>
      </c>
      <c r="AG1000" s="604">
        <v>5.2</v>
      </c>
      <c r="AH1000" s="604" t="s">
        <v>437</v>
      </c>
      <c r="AR1000" s="538" t="str">
        <f t="shared" si="127"/>
        <v>&lt;500bwtinfantNorthland</v>
      </c>
      <c r="AS1000" s="604">
        <v>2016</v>
      </c>
      <c r="AT1000" s="604" t="s">
        <v>427</v>
      </c>
      <c r="AU1000" s="604" t="s">
        <v>447</v>
      </c>
      <c r="AV1000" s="604" t="s">
        <v>85</v>
      </c>
      <c r="AW1000" s="604">
        <v>2</v>
      </c>
      <c r="AX1000" s="604">
        <v>0</v>
      </c>
      <c r="AY1000" s="606" t="s">
        <v>119</v>
      </c>
      <c r="AZ1000" s="604" t="s">
        <v>437</v>
      </c>
      <c r="BY1000" s="553" t="str">
        <f t="shared" si="126"/>
        <v>200925-29ageSUDI</v>
      </c>
      <c r="BZ1000" s="604">
        <v>2009</v>
      </c>
      <c r="CA1000" s="604" t="s">
        <v>131</v>
      </c>
      <c r="CB1000" s="604" t="s">
        <v>453</v>
      </c>
      <c r="CC1000" s="604">
        <v>9</v>
      </c>
      <c r="CD1000" s="604" t="s">
        <v>33</v>
      </c>
    </row>
    <row r="1001" spans="9:82">
      <c r="I1001" s="578" t="str">
        <f t="shared" si="123"/>
        <v>2009dhbWhanganuiFetal</v>
      </c>
      <c r="J1001" s="604">
        <v>2009</v>
      </c>
      <c r="K1001" s="604" t="s">
        <v>448</v>
      </c>
      <c r="L1001" s="604" t="s">
        <v>95</v>
      </c>
      <c r="M1001" s="604">
        <v>9</v>
      </c>
      <c r="N1001" s="604">
        <v>936</v>
      </c>
      <c r="O1001" s="604">
        <v>9.6</v>
      </c>
      <c r="P1001" s="604" t="s">
        <v>47</v>
      </c>
      <c r="Q1001" s="499"/>
      <c r="R1001" s="502" t="str">
        <f t="shared" si="124"/>
        <v>2008birthsage&lt;20</v>
      </c>
      <c r="S1001" s="604">
        <v>2008</v>
      </c>
      <c r="T1001" s="604" t="s">
        <v>445</v>
      </c>
      <c r="U1001" s="604" t="s">
        <v>453</v>
      </c>
      <c r="V1001" s="604" t="s">
        <v>339</v>
      </c>
      <c r="W1001" s="604">
        <v>5310</v>
      </c>
      <c r="Y1001" s="535" t="str">
        <f t="shared" si="125"/>
        <v>2016depageQuin 535-39infant</v>
      </c>
      <c r="Z1001" s="604">
        <v>2016</v>
      </c>
      <c r="AA1001" s="604" t="s">
        <v>454</v>
      </c>
      <c r="AB1001" s="604" t="s">
        <v>453</v>
      </c>
      <c r="AC1001" s="604" t="s">
        <v>425</v>
      </c>
      <c r="AD1001" s="604" t="s">
        <v>133</v>
      </c>
      <c r="AE1001" s="604">
        <v>7</v>
      </c>
      <c r="AF1001" s="604">
        <v>1887</v>
      </c>
      <c r="AG1001" s="604">
        <v>3.7</v>
      </c>
      <c r="AH1001" s="604" t="s">
        <v>437</v>
      </c>
      <c r="AR1001" s="538" t="str">
        <f t="shared" si="127"/>
        <v>500-999bwtinfantNorthland</v>
      </c>
      <c r="AS1001" s="604">
        <v>2016</v>
      </c>
      <c r="AT1001" s="604" t="s">
        <v>428</v>
      </c>
      <c r="AU1001" s="604" t="s">
        <v>447</v>
      </c>
      <c r="AV1001" s="604" t="s">
        <v>85</v>
      </c>
      <c r="AW1001" s="604">
        <v>4</v>
      </c>
      <c r="AX1001" s="604">
        <v>6</v>
      </c>
      <c r="AY1001" s="606">
        <v>666.7</v>
      </c>
      <c r="AZ1001" s="604" t="s">
        <v>437</v>
      </c>
      <c r="BY1001" s="553" t="str">
        <f t="shared" si="126"/>
        <v>200930-34ageSUDI</v>
      </c>
      <c r="BZ1001" s="604">
        <v>2009</v>
      </c>
      <c r="CA1001" s="604" t="s">
        <v>132</v>
      </c>
      <c r="CB1001" s="604" t="s">
        <v>453</v>
      </c>
      <c r="CC1001" s="604">
        <v>10</v>
      </c>
      <c r="CD1001" s="604" t="s">
        <v>33</v>
      </c>
    </row>
    <row r="1002" spans="9:82">
      <c r="I1002" s="578" t="str">
        <f t="shared" si="123"/>
        <v>2009dhbCapital &amp; CoastFetal</v>
      </c>
      <c r="J1002" s="604">
        <v>2009</v>
      </c>
      <c r="K1002" s="604" t="s">
        <v>448</v>
      </c>
      <c r="L1002" s="604" t="s">
        <v>96</v>
      </c>
      <c r="M1002" s="604">
        <v>31</v>
      </c>
      <c r="N1002" s="604">
        <v>4014</v>
      </c>
      <c r="O1002" s="604">
        <v>7.7</v>
      </c>
      <c r="P1002" s="604" t="s">
        <v>47</v>
      </c>
      <c r="Q1002" s="499"/>
      <c r="R1002" s="502" t="str">
        <f t="shared" si="124"/>
        <v>2008birthsage20-24</v>
      </c>
      <c r="S1002" s="604">
        <v>2008</v>
      </c>
      <c r="T1002" s="604" t="s">
        <v>445</v>
      </c>
      <c r="U1002" s="604" t="s">
        <v>453</v>
      </c>
      <c r="V1002" s="604" t="s">
        <v>130</v>
      </c>
      <c r="W1002" s="604">
        <v>11795</v>
      </c>
      <c r="Y1002" s="535" t="str">
        <f t="shared" si="125"/>
        <v>2016depageQuin 935-39infant</v>
      </c>
      <c r="Z1002" s="604">
        <v>2016</v>
      </c>
      <c r="AA1002" s="604" t="s">
        <v>454</v>
      </c>
      <c r="AB1002" s="604" t="s">
        <v>453</v>
      </c>
      <c r="AC1002" s="604" t="s">
        <v>426</v>
      </c>
      <c r="AD1002" s="604" t="s">
        <v>133</v>
      </c>
      <c r="AE1002" s="604">
        <v>0</v>
      </c>
      <c r="AF1002" s="604">
        <v>22</v>
      </c>
      <c r="AG1002" s="604" t="s">
        <v>119</v>
      </c>
      <c r="AH1002" s="604" t="s">
        <v>437</v>
      </c>
      <c r="AR1002" s="538" t="str">
        <f t="shared" si="127"/>
        <v>1000-1499bwtinfantNorthland</v>
      </c>
      <c r="AS1002" s="604">
        <v>2016</v>
      </c>
      <c r="AT1002" s="604" t="s">
        <v>429</v>
      </c>
      <c r="AU1002" s="604" t="s">
        <v>447</v>
      </c>
      <c r="AV1002" s="604" t="s">
        <v>85</v>
      </c>
      <c r="AW1002" s="604">
        <v>1</v>
      </c>
      <c r="AX1002" s="604">
        <v>16</v>
      </c>
      <c r="AY1002" s="606">
        <v>62.5</v>
      </c>
      <c r="AZ1002" s="604" t="s">
        <v>437</v>
      </c>
      <c r="BY1002" s="553" t="str">
        <f t="shared" si="126"/>
        <v>200935-39ageSUDI</v>
      </c>
      <c r="BZ1002" s="604">
        <v>2009</v>
      </c>
      <c r="CA1002" s="604" t="s">
        <v>133</v>
      </c>
      <c r="CB1002" s="604" t="s">
        <v>453</v>
      </c>
      <c r="CC1002" s="604">
        <v>5</v>
      </c>
      <c r="CD1002" s="604" t="s">
        <v>33</v>
      </c>
    </row>
    <row r="1003" spans="9:82">
      <c r="I1003" s="578" t="str">
        <f t="shared" si="123"/>
        <v>2009dhbHutt ValleyFetal</v>
      </c>
      <c r="J1003" s="604">
        <v>2009</v>
      </c>
      <c r="K1003" s="604" t="s">
        <v>448</v>
      </c>
      <c r="L1003" s="604" t="s">
        <v>97</v>
      </c>
      <c r="M1003" s="604">
        <v>16</v>
      </c>
      <c r="N1003" s="604">
        <v>2217</v>
      </c>
      <c r="O1003" s="604">
        <v>7.2</v>
      </c>
      <c r="P1003" s="604" t="s">
        <v>47</v>
      </c>
      <c r="Q1003" s="499"/>
      <c r="R1003" s="502" t="str">
        <f t="shared" si="124"/>
        <v>2008birthsage25-29</v>
      </c>
      <c r="S1003" s="604">
        <v>2008</v>
      </c>
      <c r="T1003" s="604" t="s">
        <v>445</v>
      </c>
      <c r="U1003" s="604" t="s">
        <v>453</v>
      </c>
      <c r="V1003" s="604" t="s">
        <v>131</v>
      </c>
      <c r="W1003" s="604">
        <v>15901</v>
      </c>
      <c r="Y1003" s="535" t="str">
        <f t="shared" si="125"/>
        <v>2016depageQuin 140+infant</v>
      </c>
      <c r="Z1003" s="604">
        <v>2016</v>
      </c>
      <c r="AA1003" s="604" t="s">
        <v>454</v>
      </c>
      <c r="AB1003" s="604" t="s">
        <v>453</v>
      </c>
      <c r="AC1003" s="604" t="s">
        <v>421</v>
      </c>
      <c r="AD1003" s="604" t="s">
        <v>134</v>
      </c>
      <c r="AE1003" s="604">
        <v>3</v>
      </c>
      <c r="AF1003" s="604">
        <v>549</v>
      </c>
      <c r="AG1003" s="604">
        <v>5.5</v>
      </c>
      <c r="AH1003" s="604" t="s">
        <v>437</v>
      </c>
      <c r="AR1003" s="538" t="str">
        <f t="shared" si="127"/>
        <v>1500-2499bwtinfantNorthland</v>
      </c>
      <c r="AS1003" s="604">
        <v>2016</v>
      </c>
      <c r="AT1003" s="604" t="s">
        <v>430</v>
      </c>
      <c r="AU1003" s="604" t="s">
        <v>447</v>
      </c>
      <c r="AV1003" s="604" t="s">
        <v>85</v>
      </c>
      <c r="AW1003" s="604">
        <v>3</v>
      </c>
      <c r="AX1003" s="604">
        <v>105</v>
      </c>
      <c r="AY1003" s="606">
        <v>28.6</v>
      </c>
      <c r="AZ1003" s="604" t="s">
        <v>437</v>
      </c>
      <c r="BY1003" s="553" t="str">
        <f t="shared" si="126"/>
        <v>200940+ageSUDI</v>
      </c>
      <c r="BZ1003" s="604">
        <v>2009</v>
      </c>
      <c r="CA1003" s="604" t="s">
        <v>134</v>
      </c>
      <c r="CB1003" s="604" t="s">
        <v>453</v>
      </c>
      <c r="CC1003" s="604">
        <v>1</v>
      </c>
      <c r="CD1003" s="604" t="s">
        <v>33</v>
      </c>
    </row>
    <row r="1004" spans="9:82">
      <c r="I1004" s="578" t="str">
        <f t="shared" si="123"/>
        <v>2009dhbWairarapaFetal</v>
      </c>
      <c r="J1004" s="604">
        <v>2009</v>
      </c>
      <c r="K1004" s="604" t="s">
        <v>448</v>
      </c>
      <c r="L1004" s="604" t="s">
        <v>98</v>
      </c>
      <c r="M1004" s="604">
        <v>4</v>
      </c>
      <c r="N1004" s="604">
        <v>559</v>
      </c>
      <c r="O1004" s="604">
        <v>7.2</v>
      </c>
      <c r="P1004" s="604" t="s">
        <v>47</v>
      </c>
      <c r="Q1004" s="499"/>
      <c r="R1004" s="502" t="str">
        <f t="shared" si="124"/>
        <v>2008birthsage30-34</v>
      </c>
      <c r="S1004" s="604">
        <v>2008</v>
      </c>
      <c r="T1004" s="604" t="s">
        <v>445</v>
      </c>
      <c r="U1004" s="604" t="s">
        <v>453</v>
      </c>
      <c r="V1004" s="604" t="s">
        <v>132</v>
      </c>
      <c r="W1004" s="604">
        <v>18009</v>
      </c>
      <c r="Y1004" s="535" t="str">
        <f t="shared" si="125"/>
        <v>2016depageQuin 240+infant</v>
      </c>
      <c r="Z1004" s="604">
        <v>2016</v>
      </c>
      <c r="AA1004" s="604" t="s">
        <v>454</v>
      </c>
      <c r="AB1004" s="604" t="s">
        <v>453</v>
      </c>
      <c r="AC1004" s="604" t="s">
        <v>422</v>
      </c>
      <c r="AD1004" s="604" t="s">
        <v>134</v>
      </c>
      <c r="AE1004" s="604">
        <v>0</v>
      </c>
      <c r="AF1004" s="604">
        <v>473</v>
      </c>
      <c r="AG1004" s="604">
        <v>0</v>
      </c>
      <c r="AH1004" s="604" t="s">
        <v>437</v>
      </c>
      <c r="AR1004" s="538" t="str">
        <f t="shared" si="127"/>
        <v>2500-4499bwtinfantNorthland</v>
      </c>
      <c r="AS1004" s="604">
        <v>2016</v>
      </c>
      <c r="AT1004" s="604" t="s">
        <v>431</v>
      </c>
      <c r="AU1004" s="604" t="s">
        <v>447</v>
      </c>
      <c r="AV1004" s="604" t="s">
        <v>85</v>
      </c>
      <c r="AW1004" s="604">
        <v>2</v>
      </c>
      <c r="AX1004" s="604">
        <v>2132</v>
      </c>
      <c r="AY1004" s="606">
        <v>0.9</v>
      </c>
      <c r="AZ1004" s="604" t="s">
        <v>437</v>
      </c>
      <c r="BY1004" s="553" t="str">
        <f t="shared" si="126"/>
        <v>2009UnknownageSUDI</v>
      </c>
      <c r="BZ1004" s="604">
        <v>2009</v>
      </c>
      <c r="CA1004" s="604" t="s">
        <v>63</v>
      </c>
      <c r="CB1004" s="604" t="s">
        <v>453</v>
      </c>
      <c r="CC1004" s="604">
        <v>0</v>
      </c>
      <c r="CD1004" s="604" t="s">
        <v>33</v>
      </c>
    </row>
    <row r="1005" spans="9:82">
      <c r="I1005" s="578" t="str">
        <f t="shared" si="123"/>
        <v>2009dhbNelson MarlboroughFetal</v>
      </c>
      <c r="J1005" s="604">
        <v>2009</v>
      </c>
      <c r="K1005" s="604" t="s">
        <v>448</v>
      </c>
      <c r="L1005" s="604" t="s">
        <v>99</v>
      </c>
      <c r="M1005" s="604">
        <v>12</v>
      </c>
      <c r="N1005" s="604">
        <v>1672</v>
      </c>
      <c r="O1005" s="604">
        <v>7.2</v>
      </c>
      <c r="P1005" s="604" t="s">
        <v>47</v>
      </c>
      <c r="Q1005" s="499"/>
      <c r="R1005" s="502" t="str">
        <f t="shared" si="124"/>
        <v>2008birthsage35-39</v>
      </c>
      <c r="S1005" s="604">
        <v>2008</v>
      </c>
      <c r="T1005" s="604" t="s">
        <v>445</v>
      </c>
      <c r="U1005" s="604" t="s">
        <v>453</v>
      </c>
      <c r="V1005" s="604" t="s">
        <v>133</v>
      </c>
      <c r="W1005" s="604">
        <v>11900</v>
      </c>
      <c r="Y1005" s="535" t="str">
        <f t="shared" si="125"/>
        <v>2016depageQuin 340+infant</v>
      </c>
      <c r="Z1005" s="604">
        <v>2016</v>
      </c>
      <c r="AA1005" s="604" t="s">
        <v>454</v>
      </c>
      <c r="AB1005" s="604" t="s">
        <v>453</v>
      </c>
      <c r="AC1005" s="604" t="s">
        <v>423</v>
      </c>
      <c r="AD1005" s="604" t="s">
        <v>134</v>
      </c>
      <c r="AE1005" s="604">
        <v>1</v>
      </c>
      <c r="AF1005" s="604">
        <v>429</v>
      </c>
      <c r="AG1005" s="604">
        <v>2.2999999999999998</v>
      </c>
      <c r="AH1005" s="604" t="s">
        <v>437</v>
      </c>
      <c r="AR1005" s="538" t="str">
        <f t="shared" si="127"/>
        <v>&lt;500bwtinfantWaitemata</v>
      </c>
      <c r="AS1005" s="604">
        <v>2016</v>
      </c>
      <c r="AT1005" s="604" t="s">
        <v>427</v>
      </c>
      <c r="AU1005" s="604" t="s">
        <v>447</v>
      </c>
      <c r="AV1005" s="604" t="s">
        <v>86</v>
      </c>
      <c r="AW1005" s="604">
        <v>3</v>
      </c>
      <c r="AX1005" s="604">
        <v>9</v>
      </c>
      <c r="AY1005" s="606">
        <v>333.3</v>
      </c>
      <c r="AZ1005" s="604" t="s">
        <v>437</v>
      </c>
      <c r="BY1005" s="553" t="str">
        <f t="shared" si="126"/>
        <v>2010&lt;20ageSUDI</v>
      </c>
      <c r="BZ1005" s="604">
        <v>2010</v>
      </c>
      <c r="CA1005" s="604" t="s">
        <v>339</v>
      </c>
      <c r="CB1005" s="604" t="s">
        <v>453</v>
      </c>
      <c r="CC1005" s="604">
        <v>13</v>
      </c>
      <c r="CD1005" s="604" t="s">
        <v>33</v>
      </c>
    </row>
    <row r="1006" spans="9:82">
      <c r="I1006" s="578" t="str">
        <f t="shared" si="123"/>
        <v>2009dhbWest CoastFetal</v>
      </c>
      <c r="J1006" s="604">
        <v>2009</v>
      </c>
      <c r="K1006" s="604" t="s">
        <v>448</v>
      </c>
      <c r="L1006" s="604" t="s">
        <v>100</v>
      </c>
      <c r="M1006" s="604">
        <v>1</v>
      </c>
      <c r="N1006" s="604">
        <v>433</v>
      </c>
      <c r="O1006" s="604">
        <v>2.2999999999999998</v>
      </c>
      <c r="P1006" s="604" t="s">
        <v>47</v>
      </c>
      <c r="Q1006" s="499"/>
      <c r="R1006" s="502" t="str">
        <f t="shared" si="124"/>
        <v>2008birthsage40+</v>
      </c>
      <c r="S1006" s="604">
        <v>2008</v>
      </c>
      <c r="T1006" s="604" t="s">
        <v>445</v>
      </c>
      <c r="U1006" s="604" t="s">
        <v>453</v>
      </c>
      <c r="V1006" s="604" t="s">
        <v>134</v>
      </c>
      <c r="W1006" s="604">
        <v>2418</v>
      </c>
      <c r="Y1006" s="535" t="str">
        <f t="shared" si="125"/>
        <v>2016depageQuin 440+infant</v>
      </c>
      <c r="Z1006" s="604">
        <v>2016</v>
      </c>
      <c r="AA1006" s="604" t="s">
        <v>454</v>
      </c>
      <c r="AB1006" s="604" t="s">
        <v>453</v>
      </c>
      <c r="AC1006" s="604" t="s">
        <v>424</v>
      </c>
      <c r="AD1006" s="604" t="s">
        <v>134</v>
      </c>
      <c r="AE1006" s="604">
        <v>4</v>
      </c>
      <c r="AF1006" s="604">
        <v>434</v>
      </c>
      <c r="AG1006" s="604">
        <v>9.1999999999999993</v>
      </c>
      <c r="AH1006" s="604" t="s">
        <v>437</v>
      </c>
      <c r="AR1006" s="538" t="str">
        <f t="shared" si="127"/>
        <v>500-999bwtinfantWaitemata</v>
      </c>
      <c r="AS1006" s="604">
        <v>2016</v>
      </c>
      <c r="AT1006" s="604" t="s">
        <v>428</v>
      </c>
      <c r="AU1006" s="604" t="s">
        <v>447</v>
      </c>
      <c r="AV1006" s="604" t="s">
        <v>86</v>
      </c>
      <c r="AW1006" s="604">
        <v>6</v>
      </c>
      <c r="AX1006" s="604">
        <v>17</v>
      </c>
      <c r="AY1006" s="606">
        <v>352.9</v>
      </c>
      <c r="AZ1006" s="604" t="s">
        <v>437</v>
      </c>
      <c r="BY1006" s="553" t="str">
        <f t="shared" si="126"/>
        <v>201020-24ageSUDI</v>
      </c>
      <c r="BZ1006" s="604">
        <v>2010</v>
      </c>
      <c r="CA1006" s="604" t="s">
        <v>130</v>
      </c>
      <c r="CB1006" s="604" t="s">
        <v>453</v>
      </c>
      <c r="CC1006" s="604">
        <v>19</v>
      </c>
      <c r="CD1006" s="604" t="s">
        <v>33</v>
      </c>
    </row>
    <row r="1007" spans="9:82">
      <c r="I1007" s="578" t="str">
        <f t="shared" si="123"/>
        <v>2009dhbCanterburyFetal</v>
      </c>
      <c r="J1007" s="604">
        <v>2009</v>
      </c>
      <c r="K1007" s="604" t="s">
        <v>448</v>
      </c>
      <c r="L1007" s="604" t="s">
        <v>101</v>
      </c>
      <c r="M1007" s="604">
        <v>52</v>
      </c>
      <c r="N1007" s="604">
        <v>6585</v>
      </c>
      <c r="O1007" s="604">
        <v>7.9</v>
      </c>
      <c r="P1007" s="604" t="s">
        <v>47</v>
      </c>
      <c r="Q1007" s="499"/>
      <c r="R1007" s="502" t="str">
        <f t="shared" si="124"/>
        <v>2009birthsage&lt;20</v>
      </c>
      <c r="S1007" s="604">
        <v>2009</v>
      </c>
      <c r="T1007" s="604" t="s">
        <v>445</v>
      </c>
      <c r="U1007" s="604" t="s">
        <v>453</v>
      </c>
      <c r="V1007" s="604" t="s">
        <v>339</v>
      </c>
      <c r="W1007" s="604">
        <v>4735</v>
      </c>
      <c r="Y1007" s="535" t="str">
        <f t="shared" si="125"/>
        <v>2016depageQuin 540+infant</v>
      </c>
      <c r="Z1007" s="604">
        <v>2016</v>
      </c>
      <c r="AA1007" s="604" t="s">
        <v>454</v>
      </c>
      <c r="AB1007" s="604" t="s">
        <v>453</v>
      </c>
      <c r="AC1007" s="604" t="s">
        <v>425</v>
      </c>
      <c r="AD1007" s="604" t="s">
        <v>134</v>
      </c>
      <c r="AE1007" s="604">
        <v>7</v>
      </c>
      <c r="AF1007" s="604">
        <v>564</v>
      </c>
      <c r="AG1007" s="604">
        <v>12.4</v>
      </c>
      <c r="AH1007" s="604" t="s">
        <v>437</v>
      </c>
      <c r="AR1007" s="538" t="str">
        <f t="shared" si="127"/>
        <v>1500-2499bwtinfantWaitemata</v>
      </c>
      <c r="AS1007" s="604">
        <v>2016</v>
      </c>
      <c r="AT1007" s="604" t="s">
        <v>430</v>
      </c>
      <c r="AU1007" s="604" t="s">
        <v>447</v>
      </c>
      <c r="AV1007" s="604" t="s">
        <v>86</v>
      </c>
      <c r="AW1007" s="604">
        <v>5</v>
      </c>
      <c r="AX1007" s="604">
        <v>377</v>
      </c>
      <c r="AY1007" s="606">
        <v>13.3</v>
      </c>
      <c r="AZ1007" s="604" t="s">
        <v>437</v>
      </c>
      <c r="BY1007" s="553" t="str">
        <f t="shared" si="126"/>
        <v>201025-29ageSUDI</v>
      </c>
      <c r="BZ1007" s="604">
        <v>2010</v>
      </c>
      <c r="CA1007" s="604" t="s">
        <v>131</v>
      </c>
      <c r="CB1007" s="604" t="s">
        <v>453</v>
      </c>
      <c r="CC1007" s="604">
        <v>17</v>
      </c>
      <c r="CD1007" s="604" t="s">
        <v>33</v>
      </c>
    </row>
    <row r="1008" spans="9:82">
      <c r="I1008" s="578" t="str">
        <f t="shared" si="123"/>
        <v>2009dhbSouth CanterburyFetal</v>
      </c>
      <c r="J1008" s="604">
        <v>2009</v>
      </c>
      <c r="K1008" s="604" t="s">
        <v>448</v>
      </c>
      <c r="L1008" s="604" t="s">
        <v>102</v>
      </c>
      <c r="M1008" s="604">
        <v>6</v>
      </c>
      <c r="N1008" s="604">
        <v>660</v>
      </c>
      <c r="O1008" s="604">
        <v>9.1</v>
      </c>
      <c r="P1008" s="604" t="s">
        <v>47</v>
      </c>
      <c r="Q1008" s="499"/>
      <c r="R1008" s="502" t="str">
        <f t="shared" si="124"/>
        <v>2009birthsage20-24</v>
      </c>
      <c r="S1008" s="604">
        <v>2009</v>
      </c>
      <c r="T1008" s="604" t="s">
        <v>445</v>
      </c>
      <c r="U1008" s="604" t="s">
        <v>453</v>
      </c>
      <c r="V1008" s="604" t="s">
        <v>130</v>
      </c>
      <c r="W1008" s="604">
        <v>11699</v>
      </c>
      <c r="Y1008" s="535" t="str">
        <f t="shared" si="125"/>
        <v>2016depageQuin 940+infant</v>
      </c>
      <c r="Z1008" s="604">
        <v>2016</v>
      </c>
      <c r="AA1008" s="604" t="s">
        <v>454</v>
      </c>
      <c r="AB1008" s="604" t="s">
        <v>453</v>
      </c>
      <c r="AC1008" s="604" t="s">
        <v>426</v>
      </c>
      <c r="AD1008" s="604" t="s">
        <v>134</v>
      </c>
      <c r="AE1008" s="604">
        <v>0</v>
      </c>
      <c r="AF1008" s="604">
        <v>5</v>
      </c>
      <c r="AG1008" s="604" t="s">
        <v>119</v>
      </c>
      <c r="AH1008" s="604" t="s">
        <v>437</v>
      </c>
      <c r="AR1008" s="538" t="str">
        <f t="shared" si="127"/>
        <v>2500-4499bwtinfantWaitemata</v>
      </c>
      <c r="AS1008" s="604">
        <v>2016</v>
      </c>
      <c r="AT1008" s="604" t="s">
        <v>431</v>
      </c>
      <c r="AU1008" s="604" t="s">
        <v>447</v>
      </c>
      <c r="AV1008" s="604" t="s">
        <v>86</v>
      </c>
      <c r="AW1008" s="604">
        <v>4</v>
      </c>
      <c r="AX1008" s="604">
        <v>7445</v>
      </c>
      <c r="AY1008" s="606">
        <v>0.5</v>
      </c>
      <c r="AZ1008" s="604" t="s">
        <v>437</v>
      </c>
      <c r="BY1008" s="553" t="str">
        <f t="shared" si="126"/>
        <v>201030-34ageSUDI</v>
      </c>
      <c r="BZ1008" s="604">
        <v>2010</v>
      </c>
      <c r="CA1008" s="604" t="s">
        <v>132</v>
      </c>
      <c r="CB1008" s="604" t="s">
        <v>453</v>
      </c>
      <c r="CC1008" s="604">
        <v>4</v>
      </c>
      <c r="CD1008" s="604" t="s">
        <v>33</v>
      </c>
    </row>
    <row r="1009" spans="9:82">
      <c r="I1009" s="578" t="str">
        <f t="shared" si="123"/>
        <v>2009dhbSouthernFetal</v>
      </c>
      <c r="J1009" s="604">
        <v>2009</v>
      </c>
      <c r="K1009" s="604" t="s">
        <v>448</v>
      </c>
      <c r="L1009" s="604" t="s">
        <v>103</v>
      </c>
      <c r="M1009" s="604">
        <v>25</v>
      </c>
      <c r="N1009" s="604">
        <v>3758</v>
      </c>
      <c r="O1009" s="604">
        <v>6.7</v>
      </c>
      <c r="P1009" s="604" t="s">
        <v>47</v>
      </c>
      <c r="Q1009" s="499"/>
      <c r="R1009" s="502" t="str">
        <f t="shared" si="124"/>
        <v>2009birthsage25-29</v>
      </c>
      <c r="S1009" s="604">
        <v>2009</v>
      </c>
      <c r="T1009" s="604" t="s">
        <v>445</v>
      </c>
      <c r="U1009" s="604" t="s">
        <v>453</v>
      </c>
      <c r="V1009" s="604" t="s">
        <v>131</v>
      </c>
      <c r="W1009" s="604">
        <v>15518</v>
      </c>
      <c r="Y1009" s="535" t="str">
        <f t="shared" si="125"/>
        <v>2016gestage&lt;28&lt;20infant</v>
      </c>
      <c r="Z1009" s="604">
        <v>2016</v>
      </c>
      <c r="AA1009" s="604" t="s">
        <v>450</v>
      </c>
      <c r="AB1009" s="604" t="s">
        <v>453</v>
      </c>
      <c r="AC1009" s="604" t="s">
        <v>375</v>
      </c>
      <c r="AD1009" s="604" t="s">
        <v>339</v>
      </c>
      <c r="AE1009" s="604">
        <v>9</v>
      </c>
      <c r="AF1009" s="604">
        <v>22</v>
      </c>
      <c r="AG1009" s="604">
        <v>409.1</v>
      </c>
      <c r="AH1009" s="604" t="s">
        <v>437</v>
      </c>
      <c r="AR1009" s="538" t="str">
        <f t="shared" si="127"/>
        <v>&lt;500bwtinfantAuckland</v>
      </c>
      <c r="AS1009" s="604">
        <v>2016</v>
      </c>
      <c r="AT1009" s="604" t="s">
        <v>427</v>
      </c>
      <c r="AU1009" s="604" t="s">
        <v>447</v>
      </c>
      <c r="AV1009" s="604" t="s">
        <v>87</v>
      </c>
      <c r="AW1009" s="604">
        <v>6</v>
      </c>
      <c r="AX1009" s="604">
        <v>6</v>
      </c>
      <c r="AY1009" s="606">
        <v>1000</v>
      </c>
      <c r="AZ1009" s="604" t="s">
        <v>437</v>
      </c>
      <c r="BY1009" s="553" t="str">
        <f t="shared" si="126"/>
        <v>201035-39ageSUDI</v>
      </c>
      <c r="BZ1009" s="604">
        <v>2010</v>
      </c>
      <c r="CA1009" s="604" t="s">
        <v>133</v>
      </c>
      <c r="CB1009" s="604" t="s">
        <v>453</v>
      </c>
      <c r="CC1009" s="604">
        <v>4</v>
      </c>
      <c r="CD1009" s="604" t="s">
        <v>33</v>
      </c>
    </row>
    <row r="1010" spans="9:82">
      <c r="I1010" s="578" t="str">
        <f t="shared" si="123"/>
        <v>2009dhbUnknownFetal</v>
      </c>
      <c r="J1010" s="604">
        <v>2009</v>
      </c>
      <c r="K1010" s="604" t="s">
        <v>448</v>
      </c>
      <c r="L1010" s="604" t="s">
        <v>63</v>
      </c>
      <c r="M1010" s="604">
        <v>2</v>
      </c>
      <c r="N1010" s="604">
        <v>274</v>
      </c>
      <c r="O1010" s="604" t="s">
        <v>119</v>
      </c>
      <c r="P1010" s="604" t="s">
        <v>47</v>
      </c>
      <c r="Q1010" s="499"/>
      <c r="R1010" s="502" t="str">
        <f t="shared" si="124"/>
        <v>2009birthsage30-34</v>
      </c>
      <c r="S1010" s="604">
        <v>2009</v>
      </c>
      <c r="T1010" s="604" t="s">
        <v>445</v>
      </c>
      <c r="U1010" s="604" t="s">
        <v>453</v>
      </c>
      <c r="V1010" s="604" t="s">
        <v>132</v>
      </c>
      <c r="W1010" s="604">
        <v>17463</v>
      </c>
      <c r="Y1010" s="535" t="str">
        <f t="shared" si="125"/>
        <v>2016gestage28-31&lt;20infant</v>
      </c>
      <c r="Z1010" s="604">
        <v>2016</v>
      </c>
      <c r="AA1010" s="604" t="s">
        <v>450</v>
      </c>
      <c r="AB1010" s="604" t="s">
        <v>453</v>
      </c>
      <c r="AC1010" s="604" t="s">
        <v>395</v>
      </c>
      <c r="AD1010" s="604" t="s">
        <v>339</v>
      </c>
      <c r="AE1010" s="604">
        <v>2</v>
      </c>
      <c r="AF1010" s="604">
        <v>24</v>
      </c>
      <c r="AG1010" s="604">
        <v>83.3</v>
      </c>
      <c r="AH1010" s="604" t="s">
        <v>437</v>
      </c>
      <c r="AR1010" s="538" t="str">
        <f t="shared" si="127"/>
        <v>500-999bwtinfantAuckland</v>
      </c>
      <c r="AS1010" s="604">
        <v>2016</v>
      </c>
      <c r="AT1010" s="604" t="s">
        <v>428</v>
      </c>
      <c r="AU1010" s="604" t="s">
        <v>447</v>
      </c>
      <c r="AV1010" s="604" t="s">
        <v>87</v>
      </c>
      <c r="AW1010" s="604">
        <v>5</v>
      </c>
      <c r="AX1010" s="604">
        <v>22</v>
      </c>
      <c r="AY1010" s="606">
        <v>227.3</v>
      </c>
      <c r="AZ1010" s="604" t="s">
        <v>437</v>
      </c>
      <c r="BY1010" s="553" t="str">
        <f t="shared" si="126"/>
        <v>201040+ageSUDI</v>
      </c>
      <c r="BZ1010" s="604">
        <v>2010</v>
      </c>
      <c r="CA1010" s="604" t="s">
        <v>134</v>
      </c>
      <c r="CB1010" s="604" t="s">
        <v>453</v>
      </c>
      <c r="CC1010" s="604">
        <v>1</v>
      </c>
      <c r="CD1010" s="604" t="s">
        <v>33</v>
      </c>
    </row>
    <row r="1011" spans="9:82">
      <c r="I1011" s="578" t="str">
        <f t="shared" si="123"/>
        <v>2010dhbNorthlandFetal</v>
      </c>
      <c r="J1011" s="604">
        <v>2010</v>
      </c>
      <c r="K1011" s="604" t="s">
        <v>448</v>
      </c>
      <c r="L1011" s="604" t="s">
        <v>85</v>
      </c>
      <c r="M1011" s="604">
        <v>22</v>
      </c>
      <c r="N1011" s="604">
        <v>2478</v>
      </c>
      <c r="O1011" s="604">
        <v>8.9</v>
      </c>
      <c r="P1011" s="604" t="s">
        <v>47</v>
      </c>
      <c r="Q1011" s="499"/>
      <c r="R1011" s="502" t="str">
        <f t="shared" si="124"/>
        <v>2009birthsage35-39</v>
      </c>
      <c r="S1011" s="604">
        <v>2009</v>
      </c>
      <c r="T1011" s="604" t="s">
        <v>445</v>
      </c>
      <c r="U1011" s="604" t="s">
        <v>453</v>
      </c>
      <c r="V1011" s="604" t="s">
        <v>133</v>
      </c>
      <c r="W1011" s="604">
        <v>11391</v>
      </c>
      <c r="Y1011" s="535" t="str">
        <f t="shared" si="125"/>
        <v>2016gestage32-36&lt;20infant</v>
      </c>
      <c r="Z1011" s="604">
        <v>2016</v>
      </c>
      <c r="AA1011" s="604" t="s">
        <v>450</v>
      </c>
      <c r="AB1011" s="604" t="s">
        <v>453</v>
      </c>
      <c r="AC1011" s="604" t="s">
        <v>136</v>
      </c>
      <c r="AD1011" s="604" t="s">
        <v>339</v>
      </c>
      <c r="AE1011" s="604">
        <v>2</v>
      </c>
      <c r="AF1011" s="604">
        <v>189</v>
      </c>
      <c r="AG1011" s="604">
        <v>10.6</v>
      </c>
      <c r="AH1011" s="604" t="s">
        <v>437</v>
      </c>
      <c r="AR1011" s="538" t="str">
        <f t="shared" si="127"/>
        <v>1500-2499bwtinfantAuckland</v>
      </c>
      <c r="AS1011" s="604">
        <v>2016</v>
      </c>
      <c r="AT1011" s="604" t="s">
        <v>430</v>
      </c>
      <c r="AU1011" s="604" t="s">
        <v>447</v>
      </c>
      <c r="AV1011" s="604" t="s">
        <v>87</v>
      </c>
      <c r="AW1011" s="604">
        <v>2</v>
      </c>
      <c r="AX1011" s="604">
        <v>299</v>
      </c>
      <c r="AY1011" s="606">
        <v>6.7</v>
      </c>
      <c r="AZ1011" s="604" t="s">
        <v>437</v>
      </c>
      <c r="BY1011" s="553" t="str">
        <f t="shared" si="126"/>
        <v>2010UnknownageSUDI</v>
      </c>
      <c r="BZ1011" s="604">
        <v>2010</v>
      </c>
      <c r="CA1011" s="604" t="s">
        <v>63</v>
      </c>
      <c r="CB1011" s="604" t="s">
        <v>453</v>
      </c>
      <c r="CC1011" s="604">
        <v>2</v>
      </c>
      <c r="CD1011" s="604" t="s">
        <v>33</v>
      </c>
    </row>
    <row r="1012" spans="9:82">
      <c r="I1012" s="578" t="str">
        <f t="shared" si="123"/>
        <v>2010dhbWaitemataFetal</v>
      </c>
      <c r="J1012" s="604">
        <v>2010</v>
      </c>
      <c r="K1012" s="604" t="s">
        <v>448</v>
      </c>
      <c r="L1012" s="604" t="s">
        <v>86</v>
      </c>
      <c r="M1012" s="604">
        <v>50</v>
      </c>
      <c r="N1012" s="604">
        <v>8156</v>
      </c>
      <c r="O1012" s="604">
        <v>6.1</v>
      </c>
      <c r="P1012" s="604" t="s">
        <v>47</v>
      </c>
      <c r="Q1012" s="499"/>
      <c r="R1012" s="575" t="str">
        <f t="shared" si="124"/>
        <v>2009birthsage40+</v>
      </c>
      <c r="S1012" s="604">
        <v>2009</v>
      </c>
      <c r="T1012" s="604" t="s">
        <v>445</v>
      </c>
      <c r="U1012" s="604" t="s">
        <v>453</v>
      </c>
      <c r="V1012" s="604" t="s">
        <v>134</v>
      </c>
      <c r="W1012" s="604">
        <v>2479</v>
      </c>
      <c r="Y1012" s="535" t="str">
        <f t="shared" si="125"/>
        <v>2016gestage37-41&lt;20infant</v>
      </c>
      <c r="Z1012" s="604">
        <v>2016</v>
      </c>
      <c r="AA1012" s="604" t="s">
        <v>450</v>
      </c>
      <c r="AB1012" s="604" t="s">
        <v>453</v>
      </c>
      <c r="AC1012" s="604" t="s">
        <v>137</v>
      </c>
      <c r="AD1012" s="604" t="s">
        <v>339</v>
      </c>
      <c r="AE1012" s="604">
        <v>9</v>
      </c>
      <c r="AF1012" s="604">
        <v>2277</v>
      </c>
      <c r="AG1012" s="604">
        <v>4</v>
      </c>
      <c r="AH1012" s="604" t="s">
        <v>437</v>
      </c>
      <c r="AR1012" s="538" t="str">
        <f t="shared" si="127"/>
        <v>2500-4499bwtinfantAuckland</v>
      </c>
      <c r="AS1012" s="604">
        <v>2016</v>
      </c>
      <c r="AT1012" s="604" t="s">
        <v>431</v>
      </c>
      <c r="AU1012" s="604" t="s">
        <v>447</v>
      </c>
      <c r="AV1012" s="604" t="s">
        <v>87</v>
      </c>
      <c r="AW1012" s="604">
        <v>5</v>
      </c>
      <c r="AX1012" s="604">
        <v>5449</v>
      </c>
      <c r="AY1012" s="606">
        <v>0.9</v>
      </c>
      <c r="AZ1012" s="604" t="s">
        <v>437</v>
      </c>
      <c r="BY1012" s="553" t="str">
        <f t="shared" si="126"/>
        <v>2011&lt;20ageSUDI</v>
      </c>
      <c r="BZ1012" s="604">
        <v>2011</v>
      </c>
      <c r="CA1012" s="604" t="s">
        <v>339</v>
      </c>
      <c r="CB1012" s="604" t="s">
        <v>453</v>
      </c>
      <c r="CC1012" s="604">
        <v>9</v>
      </c>
      <c r="CD1012" s="604" t="s">
        <v>33</v>
      </c>
    </row>
    <row r="1013" spans="9:82">
      <c r="I1013" s="578" t="str">
        <f t="shared" si="123"/>
        <v>2010dhbAucklandFetal</v>
      </c>
      <c r="J1013" s="604">
        <v>2010</v>
      </c>
      <c r="K1013" s="604" t="s">
        <v>448</v>
      </c>
      <c r="L1013" s="604" t="s">
        <v>87</v>
      </c>
      <c r="M1013" s="604">
        <v>55</v>
      </c>
      <c r="N1013" s="604">
        <v>6755</v>
      </c>
      <c r="O1013" s="604">
        <v>8.1</v>
      </c>
      <c r="P1013" s="604" t="s">
        <v>47</v>
      </c>
      <c r="Q1013" s="499"/>
      <c r="R1013" s="575" t="str">
        <f t="shared" si="124"/>
        <v>2010birthsage&lt;20</v>
      </c>
      <c r="S1013" s="604">
        <v>2010</v>
      </c>
      <c r="T1013" s="604" t="s">
        <v>445</v>
      </c>
      <c r="U1013" s="604" t="s">
        <v>453</v>
      </c>
      <c r="V1013" s="604" t="s">
        <v>339</v>
      </c>
      <c r="W1013" s="604">
        <v>4600</v>
      </c>
      <c r="Y1013" s="535" t="str">
        <f t="shared" si="125"/>
        <v>2016gestage42+&lt;20infant</v>
      </c>
      <c r="Z1013" s="604">
        <v>2016</v>
      </c>
      <c r="AA1013" s="604" t="s">
        <v>450</v>
      </c>
      <c r="AB1013" s="604" t="s">
        <v>453</v>
      </c>
      <c r="AC1013" s="604" t="s">
        <v>138</v>
      </c>
      <c r="AD1013" s="604" t="s">
        <v>339</v>
      </c>
      <c r="AE1013" s="604">
        <v>3</v>
      </c>
      <c r="AF1013" s="604">
        <v>45</v>
      </c>
      <c r="AG1013" s="604">
        <v>66.7</v>
      </c>
      <c r="AH1013" s="604" t="s">
        <v>437</v>
      </c>
      <c r="AR1013" s="538" t="str">
        <f t="shared" si="127"/>
        <v>&lt;500bwtinfantCounties Manukau</v>
      </c>
      <c r="AS1013" s="604">
        <v>2016</v>
      </c>
      <c r="AT1013" s="604" t="s">
        <v>427</v>
      </c>
      <c r="AU1013" s="604" t="s">
        <v>447</v>
      </c>
      <c r="AV1013" s="604" t="s">
        <v>88</v>
      </c>
      <c r="AW1013" s="604">
        <v>11</v>
      </c>
      <c r="AX1013" s="604">
        <v>15</v>
      </c>
      <c r="AY1013" s="606">
        <v>733.3</v>
      </c>
      <c r="AZ1013" s="604" t="s">
        <v>437</v>
      </c>
      <c r="BY1013" s="553" t="str">
        <f t="shared" si="126"/>
        <v>201120-24ageSUDI</v>
      </c>
      <c r="BZ1013" s="604">
        <v>2011</v>
      </c>
      <c r="CA1013" s="604" t="s">
        <v>130</v>
      </c>
      <c r="CB1013" s="604" t="s">
        <v>453</v>
      </c>
      <c r="CC1013" s="604">
        <v>23</v>
      </c>
      <c r="CD1013" s="604" t="s">
        <v>33</v>
      </c>
    </row>
    <row r="1014" spans="9:82">
      <c r="I1014" s="578" t="str">
        <f t="shared" si="123"/>
        <v>2010dhbCounties ManukauFetal</v>
      </c>
      <c r="J1014" s="604">
        <v>2010</v>
      </c>
      <c r="K1014" s="604" t="s">
        <v>448</v>
      </c>
      <c r="L1014" s="604" t="s">
        <v>88</v>
      </c>
      <c r="M1014" s="604">
        <v>67</v>
      </c>
      <c r="N1014" s="604">
        <v>8918</v>
      </c>
      <c r="O1014" s="604">
        <v>7.5</v>
      </c>
      <c r="P1014" s="604" t="s">
        <v>47</v>
      </c>
      <c r="Q1014" s="499"/>
      <c r="R1014" s="575" t="str">
        <f t="shared" si="124"/>
        <v>2010birthsage20-24</v>
      </c>
      <c r="S1014" s="604">
        <v>2010</v>
      </c>
      <c r="T1014" s="604" t="s">
        <v>445</v>
      </c>
      <c r="U1014" s="604" t="s">
        <v>453</v>
      </c>
      <c r="V1014" s="604" t="s">
        <v>130</v>
      </c>
      <c r="W1014" s="604">
        <v>12034</v>
      </c>
      <c r="Y1014" s="535" t="str">
        <f t="shared" si="125"/>
        <v>2016gestageUnknown&lt;20infant</v>
      </c>
      <c r="Z1014" s="604">
        <v>2016</v>
      </c>
      <c r="AA1014" s="604" t="s">
        <v>450</v>
      </c>
      <c r="AB1014" s="604" t="s">
        <v>453</v>
      </c>
      <c r="AC1014" s="604" t="s">
        <v>63</v>
      </c>
      <c r="AD1014" s="604" t="s">
        <v>339</v>
      </c>
      <c r="AE1014" s="604">
        <v>2</v>
      </c>
      <c r="AF1014" s="604">
        <v>2</v>
      </c>
      <c r="AG1014" s="604" t="s">
        <v>119</v>
      </c>
      <c r="AH1014" s="604" t="s">
        <v>437</v>
      </c>
      <c r="AR1014" s="538" t="str">
        <f t="shared" si="127"/>
        <v>500-999bwtinfantCounties Manukau</v>
      </c>
      <c r="AS1014" s="604">
        <v>2016</v>
      </c>
      <c r="AT1014" s="604" t="s">
        <v>428</v>
      </c>
      <c r="AU1014" s="604" t="s">
        <v>447</v>
      </c>
      <c r="AV1014" s="604" t="s">
        <v>88</v>
      </c>
      <c r="AW1014" s="604">
        <v>16</v>
      </c>
      <c r="AX1014" s="604">
        <v>31</v>
      </c>
      <c r="AY1014" s="606">
        <v>516.1</v>
      </c>
      <c r="AZ1014" s="604" t="s">
        <v>437</v>
      </c>
      <c r="BY1014" s="553" t="str">
        <f t="shared" si="126"/>
        <v>201125-29ageSUDI</v>
      </c>
      <c r="BZ1014" s="604">
        <v>2011</v>
      </c>
      <c r="CA1014" s="604" t="s">
        <v>131</v>
      </c>
      <c r="CB1014" s="604" t="s">
        <v>453</v>
      </c>
      <c r="CC1014" s="604">
        <v>8</v>
      </c>
      <c r="CD1014" s="604" t="s">
        <v>33</v>
      </c>
    </row>
    <row r="1015" spans="9:82">
      <c r="I1015" s="578" t="str">
        <f t="shared" si="123"/>
        <v>2010dhbWaikatoFetal</v>
      </c>
      <c r="J1015" s="604">
        <v>2010</v>
      </c>
      <c r="K1015" s="604" t="s">
        <v>448</v>
      </c>
      <c r="L1015" s="604" t="s">
        <v>89</v>
      </c>
      <c r="M1015" s="604">
        <v>39</v>
      </c>
      <c r="N1015" s="604">
        <v>5736</v>
      </c>
      <c r="O1015" s="604">
        <v>6.8</v>
      </c>
      <c r="P1015" s="604" t="s">
        <v>47</v>
      </c>
      <c r="Q1015" s="499"/>
      <c r="R1015" s="575" t="str">
        <f t="shared" si="124"/>
        <v>2010birthsage25-29</v>
      </c>
      <c r="S1015" s="604">
        <v>2010</v>
      </c>
      <c r="T1015" s="604" t="s">
        <v>445</v>
      </c>
      <c r="U1015" s="604" t="s">
        <v>453</v>
      </c>
      <c r="V1015" s="604" t="s">
        <v>131</v>
      </c>
      <c r="W1015" s="604">
        <v>16132</v>
      </c>
      <c r="Y1015" s="535" t="str">
        <f t="shared" si="125"/>
        <v>2016gestage&lt;2820-24infant</v>
      </c>
      <c r="Z1015" s="604">
        <v>2016</v>
      </c>
      <c r="AA1015" s="604" t="s">
        <v>450</v>
      </c>
      <c r="AB1015" s="604" t="s">
        <v>453</v>
      </c>
      <c r="AC1015" s="604" t="s">
        <v>375</v>
      </c>
      <c r="AD1015" s="604" t="s">
        <v>130</v>
      </c>
      <c r="AE1015" s="604">
        <v>25</v>
      </c>
      <c r="AF1015" s="604">
        <v>51</v>
      </c>
      <c r="AG1015" s="604">
        <v>490.2</v>
      </c>
      <c r="AH1015" s="604" t="s">
        <v>437</v>
      </c>
      <c r="AR1015" s="538" t="str">
        <f t="shared" si="127"/>
        <v>1500-2499bwtinfantCounties Manukau</v>
      </c>
      <c r="AS1015" s="604">
        <v>2016</v>
      </c>
      <c r="AT1015" s="604" t="s">
        <v>430</v>
      </c>
      <c r="AU1015" s="604" t="s">
        <v>447</v>
      </c>
      <c r="AV1015" s="604" t="s">
        <v>88</v>
      </c>
      <c r="AW1015" s="604">
        <v>10</v>
      </c>
      <c r="AX1015" s="604">
        <v>411</v>
      </c>
      <c r="AY1015" s="606">
        <v>24.3</v>
      </c>
      <c r="AZ1015" s="604" t="s">
        <v>437</v>
      </c>
      <c r="BY1015" s="553" t="str">
        <f t="shared" si="126"/>
        <v>201130-34ageSUDI</v>
      </c>
      <c r="BZ1015" s="604">
        <v>2011</v>
      </c>
      <c r="CA1015" s="604" t="s">
        <v>132</v>
      </c>
      <c r="CB1015" s="604" t="s">
        <v>453</v>
      </c>
      <c r="CC1015" s="604">
        <v>7</v>
      </c>
      <c r="CD1015" s="604" t="s">
        <v>33</v>
      </c>
    </row>
    <row r="1016" spans="9:82">
      <c r="I1016" s="578" t="str">
        <f t="shared" si="123"/>
        <v>2010dhbLakesFetal</v>
      </c>
      <c r="J1016" s="604">
        <v>2010</v>
      </c>
      <c r="K1016" s="604" t="s">
        <v>448</v>
      </c>
      <c r="L1016" s="604" t="s">
        <v>90</v>
      </c>
      <c r="M1016" s="604">
        <v>10</v>
      </c>
      <c r="N1016" s="604">
        <v>1634</v>
      </c>
      <c r="O1016" s="604">
        <v>6.1</v>
      </c>
      <c r="P1016" s="604" t="s">
        <v>47</v>
      </c>
      <c r="Q1016" s="499"/>
      <c r="R1016" s="575" t="str">
        <f t="shared" si="124"/>
        <v>2010birthsage30-34</v>
      </c>
      <c r="S1016" s="604">
        <v>2010</v>
      </c>
      <c r="T1016" s="604" t="s">
        <v>445</v>
      </c>
      <c r="U1016" s="604" t="s">
        <v>453</v>
      </c>
      <c r="V1016" s="604" t="s">
        <v>132</v>
      </c>
      <c r="W1016" s="604">
        <v>17871</v>
      </c>
      <c r="Y1016" s="535" t="str">
        <f t="shared" si="125"/>
        <v>2016gestage28-3120-24infant</v>
      </c>
      <c r="Z1016" s="604">
        <v>2016</v>
      </c>
      <c r="AA1016" s="604" t="s">
        <v>450</v>
      </c>
      <c r="AB1016" s="604" t="s">
        <v>453</v>
      </c>
      <c r="AC1016" s="604" t="s">
        <v>395</v>
      </c>
      <c r="AD1016" s="604" t="s">
        <v>130</v>
      </c>
      <c r="AE1016" s="604">
        <v>1</v>
      </c>
      <c r="AF1016" s="604">
        <v>66</v>
      </c>
      <c r="AG1016" s="604">
        <v>15.2</v>
      </c>
      <c r="AH1016" s="604" t="s">
        <v>437</v>
      </c>
      <c r="AR1016" s="538" t="str">
        <f t="shared" si="127"/>
        <v>2500-4499bwtinfantCounties Manukau</v>
      </c>
      <c r="AS1016" s="604">
        <v>2016</v>
      </c>
      <c r="AT1016" s="604" t="s">
        <v>431</v>
      </c>
      <c r="AU1016" s="604" t="s">
        <v>447</v>
      </c>
      <c r="AV1016" s="604" t="s">
        <v>88</v>
      </c>
      <c r="AW1016" s="604">
        <v>20</v>
      </c>
      <c r="AX1016" s="604">
        <v>7674</v>
      </c>
      <c r="AY1016" s="606">
        <v>2.6</v>
      </c>
      <c r="AZ1016" s="604" t="s">
        <v>437</v>
      </c>
      <c r="BY1016" s="553" t="str">
        <f t="shared" si="126"/>
        <v>201135-39ageSUDI</v>
      </c>
      <c r="BZ1016" s="604">
        <v>2011</v>
      </c>
      <c r="CA1016" s="604" t="s">
        <v>133</v>
      </c>
      <c r="CB1016" s="604" t="s">
        <v>453</v>
      </c>
      <c r="CC1016" s="604">
        <v>3</v>
      </c>
      <c r="CD1016" s="604" t="s">
        <v>33</v>
      </c>
    </row>
    <row r="1017" spans="9:82">
      <c r="I1017" s="578" t="str">
        <f t="shared" si="123"/>
        <v>2010dhbBay of PlentyFetal</v>
      </c>
      <c r="J1017" s="604">
        <v>2010</v>
      </c>
      <c r="K1017" s="604" t="s">
        <v>448</v>
      </c>
      <c r="L1017" s="604" t="s">
        <v>91</v>
      </c>
      <c r="M1017" s="604">
        <v>14</v>
      </c>
      <c r="N1017" s="604">
        <v>3002</v>
      </c>
      <c r="O1017" s="604">
        <v>4.7</v>
      </c>
      <c r="P1017" s="604" t="s">
        <v>47</v>
      </c>
      <c r="Q1017" s="499"/>
      <c r="R1017" s="575" t="str">
        <f t="shared" si="124"/>
        <v>2010birthsage35-39</v>
      </c>
      <c r="S1017" s="604">
        <v>2010</v>
      </c>
      <c r="T1017" s="604" t="s">
        <v>445</v>
      </c>
      <c r="U1017" s="604" t="s">
        <v>453</v>
      </c>
      <c r="V1017" s="604" t="s">
        <v>133</v>
      </c>
      <c r="W1017" s="604">
        <v>11413</v>
      </c>
      <c r="Y1017" s="535" t="str">
        <f t="shared" si="125"/>
        <v>2016gestage32-3620-24infant</v>
      </c>
      <c r="Z1017" s="604">
        <v>2016</v>
      </c>
      <c r="AA1017" s="604" t="s">
        <v>450</v>
      </c>
      <c r="AB1017" s="604" t="s">
        <v>453</v>
      </c>
      <c r="AC1017" s="604" t="s">
        <v>136</v>
      </c>
      <c r="AD1017" s="604" t="s">
        <v>130</v>
      </c>
      <c r="AE1017" s="604">
        <v>8</v>
      </c>
      <c r="AF1017" s="604">
        <v>604</v>
      </c>
      <c r="AG1017" s="604">
        <v>13.2</v>
      </c>
      <c r="AH1017" s="604" t="s">
        <v>437</v>
      </c>
      <c r="AR1017" s="538" t="str">
        <f t="shared" si="127"/>
        <v>&lt;500bwtinfantWaikato</v>
      </c>
      <c r="AS1017" s="604">
        <v>2016</v>
      </c>
      <c r="AT1017" s="604" t="s">
        <v>427</v>
      </c>
      <c r="AU1017" s="604" t="s">
        <v>447</v>
      </c>
      <c r="AV1017" s="604" t="s">
        <v>89</v>
      </c>
      <c r="AW1017" s="604">
        <v>5</v>
      </c>
      <c r="AX1017" s="604">
        <v>6</v>
      </c>
      <c r="AY1017" s="606">
        <v>833.3</v>
      </c>
      <c r="AZ1017" s="604" t="s">
        <v>437</v>
      </c>
      <c r="BY1017" s="553" t="str">
        <f t="shared" si="126"/>
        <v>201140+ageSUDI</v>
      </c>
      <c r="BZ1017" s="604">
        <v>2011</v>
      </c>
      <c r="CA1017" s="604" t="s">
        <v>134</v>
      </c>
      <c r="CB1017" s="604" t="s">
        <v>453</v>
      </c>
      <c r="CC1017" s="604">
        <v>1</v>
      </c>
      <c r="CD1017" s="604" t="s">
        <v>33</v>
      </c>
    </row>
    <row r="1018" spans="9:82">
      <c r="I1018" s="578" t="str">
        <f t="shared" si="123"/>
        <v>2010dhbTairawhitiFetal</v>
      </c>
      <c r="J1018" s="604">
        <v>2010</v>
      </c>
      <c r="K1018" s="604" t="s">
        <v>448</v>
      </c>
      <c r="L1018" s="604" t="s">
        <v>433</v>
      </c>
      <c r="M1018" s="604">
        <v>8</v>
      </c>
      <c r="N1018" s="604">
        <v>813</v>
      </c>
      <c r="O1018" s="604">
        <v>9.8000000000000007</v>
      </c>
      <c r="P1018" s="604" t="s">
        <v>47</v>
      </c>
      <c r="Q1018" s="499"/>
      <c r="R1018" s="575" t="str">
        <f t="shared" si="124"/>
        <v>2010birthsage40+</v>
      </c>
      <c r="S1018" s="604">
        <v>2010</v>
      </c>
      <c r="T1018" s="604" t="s">
        <v>445</v>
      </c>
      <c r="U1018" s="604" t="s">
        <v>453</v>
      </c>
      <c r="V1018" s="604" t="s">
        <v>134</v>
      </c>
      <c r="W1018" s="604">
        <v>2649</v>
      </c>
      <c r="Y1018" s="535" t="str">
        <f t="shared" si="125"/>
        <v>2016gestage37-4120-24infant</v>
      </c>
      <c r="Z1018" s="604">
        <v>2016</v>
      </c>
      <c r="AA1018" s="604" t="s">
        <v>450</v>
      </c>
      <c r="AB1018" s="604" t="s">
        <v>453</v>
      </c>
      <c r="AC1018" s="604" t="s">
        <v>137</v>
      </c>
      <c r="AD1018" s="604" t="s">
        <v>130</v>
      </c>
      <c r="AE1018" s="604">
        <v>22</v>
      </c>
      <c r="AF1018" s="604">
        <v>9027</v>
      </c>
      <c r="AG1018" s="604">
        <v>2.4</v>
      </c>
      <c r="AH1018" s="604" t="s">
        <v>437</v>
      </c>
      <c r="AR1018" s="538" t="str">
        <f t="shared" si="127"/>
        <v>500-999bwtinfantWaikato</v>
      </c>
      <c r="AS1018" s="604">
        <v>2016</v>
      </c>
      <c r="AT1018" s="604" t="s">
        <v>428</v>
      </c>
      <c r="AU1018" s="604" t="s">
        <v>447</v>
      </c>
      <c r="AV1018" s="604" t="s">
        <v>89</v>
      </c>
      <c r="AW1018" s="604">
        <v>5</v>
      </c>
      <c r="AX1018" s="604">
        <v>19</v>
      </c>
      <c r="AY1018" s="606">
        <v>263.2</v>
      </c>
      <c r="AZ1018" s="604" t="s">
        <v>437</v>
      </c>
      <c r="BY1018" s="553" t="str">
        <f t="shared" si="126"/>
        <v>2011UnknownageSUDI</v>
      </c>
      <c r="BZ1018" s="604">
        <v>2011</v>
      </c>
      <c r="CA1018" s="604" t="s">
        <v>63</v>
      </c>
      <c r="CB1018" s="604" t="s">
        <v>453</v>
      </c>
      <c r="CC1018" s="604">
        <v>3</v>
      </c>
      <c r="CD1018" s="604" t="s">
        <v>33</v>
      </c>
    </row>
    <row r="1019" spans="9:82">
      <c r="I1019" s="578" t="str">
        <f t="shared" si="123"/>
        <v>2010dhbHawke's BayFetal</v>
      </c>
      <c r="J1019" s="604">
        <v>2010</v>
      </c>
      <c r="K1019" s="604" t="s">
        <v>448</v>
      </c>
      <c r="L1019" s="604" t="s">
        <v>92</v>
      </c>
      <c r="M1019" s="604">
        <v>21</v>
      </c>
      <c r="N1019" s="604">
        <v>2352</v>
      </c>
      <c r="O1019" s="604">
        <v>8.9</v>
      </c>
      <c r="P1019" s="604" t="s">
        <v>47</v>
      </c>
      <c r="Q1019" s="499"/>
      <c r="R1019" s="575" t="str">
        <f t="shared" si="124"/>
        <v>2011birthsage&lt;20</v>
      </c>
      <c r="S1019" s="604">
        <v>2011</v>
      </c>
      <c r="T1019" s="604" t="s">
        <v>445</v>
      </c>
      <c r="U1019" s="604" t="s">
        <v>453</v>
      </c>
      <c r="V1019" s="604" t="s">
        <v>339</v>
      </c>
      <c r="W1019" s="604">
        <v>4065</v>
      </c>
      <c r="Y1019" s="535" t="str">
        <f t="shared" si="125"/>
        <v>2016gestage42+20-24infant</v>
      </c>
      <c r="Z1019" s="604">
        <v>2016</v>
      </c>
      <c r="AA1019" s="604" t="s">
        <v>450</v>
      </c>
      <c r="AB1019" s="604" t="s">
        <v>453</v>
      </c>
      <c r="AC1019" s="604" t="s">
        <v>138</v>
      </c>
      <c r="AD1019" s="604" t="s">
        <v>130</v>
      </c>
      <c r="AE1019" s="604">
        <v>0</v>
      </c>
      <c r="AF1019" s="604">
        <v>180</v>
      </c>
      <c r="AG1019" s="604">
        <v>0</v>
      </c>
      <c r="AH1019" s="604" t="s">
        <v>437</v>
      </c>
      <c r="AR1019" s="538" t="str">
        <f t="shared" si="127"/>
        <v>1500-2499bwtinfantWaikato</v>
      </c>
      <c r="AS1019" s="604">
        <v>2016</v>
      </c>
      <c r="AT1019" s="604" t="s">
        <v>430</v>
      </c>
      <c r="AU1019" s="604" t="s">
        <v>447</v>
      </c>
      <c r="AV1019" s="604" t="s">
        <v>89</v>
      </c>
      <c r="AW1019" s="604">
        <v>2</v>
      </c>
      <c r="AX1019" s="604">
        <v>270</v>
      </c>
      <c r="AY1019" s="606">
        <v>7.4</v>
      </c>
      <c r="AZ1019" s="604" t="s">
        <v>437</v>
      </c>
      <c r="BY1019" s="553" t="str">
        <f t="shared" si="126"/>
        <v>2012&lt;20ageSUDI</v>
      </c>
      <c r="BZ1019" s="604">
        <v>2012</v>
      </c>
      <c r="CA1019" s="604" t="s">
        <v>339</v>
      </c>
      <c r="CB1019" s="604" t="s">
        <v>453</v>
      </c>
      <c r="CC1019" s="604">
        <v>5</v>
      </c>
      <c r="CD1019" s="604" t="s">
        <v>33</v>
      </c>
    </row>
    <row r="1020" spans="9:82">
      <c r="I1020" s="578" t="str">
        <f t="shared" si="123"/>
        <v>2010dhbTaranakiFetal</v>
      </c>
      <c r="J1020" s="604">
        <v>2010</v>
      </c>
      <c r="K1020" s="604" t="s">
        <v>448</v>
      </c>
      <c r="L1020" s="604" t="s">
        <v>93</v>
      </c>
      <c r="M1020" s="604">
        <v>15</v>
      </c>
      <c r="N1020" s="604">
        <v>1622</v>
      </c>
      <c r="O1020" s="604">
        <v>9.1999999999999993</v>
      </c>
      <c r="P1020" s="604" t="s">
        <v>47</v>
      </c>
      <c r="Q1020" s="499"/>
      <c r="R1020" s="575" t="str">
        <f t="shared" si="124"/>
        <v>2011birthsage20-24</v>
      </c>
      <c r="S1020" s="604">
        <v>2011</v>
      </c>
      <c r="T1020" s="604" t="s">
        <v>445</v>
      </c>
      <c r="U1020" s="604" t="s">
        <v>453</v>
      </c>
      <c r="V1020" s="604" t="s">
        <v>130</v>
      </c>
      <c r="W1020" s="604">
        <v>11604</v>
      </c>
      <c r="Y1020" s="535" t="str">
        <f t="shared" si="125"/>
        <v>2016gestageUnknown20-24infant</v>
      </c>
      <c r="Z1020" s="604">
        <v>2016</v>
      </c>
      <c r="AA1020" s="604" t="s">
        <v>450</v>
      </c>
      <c r="AB1020" s="604" t="s">
        <v>453</v>
      </c>
      <c r="AC1020" s="604" t="s">
        <v>63</v>
      </c>
      <c r="AD1020" s="604" t="s">
        <v>130</v>
      </c>
      <c r="AE1020" s="604">
        <v>5</v>
      </c>
      <c r="AF1020" s="604">
        <v>6</v>
      </c>
      <c r="AG1020" s="604" t="s">
        <v>119</v>
      </c>
      <c r="AH1020" s="604" t="s">
        <v>437</v>
      </c>
      <c r="AR1020" s="538" t="str">
        <f t="shared" si="127"/>
        <v>2500-4499bwtinfantWaikato</v>
      </c>
      <c r="AS1020" s="604">
        <v>2016</v>
      </c>
      <c r="AT1020" s="604" t="s">
        <v>431</v>
      </c>
      <c r="AU1020" s="604" t="s">
        <v>447</v>
      </c>
      <c r="AV1020" s="604" t="s">
        <v>89</v>
      </c>
      <c r="AW1020" s="604">
        <v>14</v>
      </c>
      <c r="AX1020" s="604">
        <v>5017</v>
      </c>
      <c r="AY1020" s="606">
        <v>2.8</v>
      </c>
      <c r="AZ1020" s="604" t="s">
        <v>437</v>
      </c>
      <c r="BY1020" s="553" t="str">
        <f t="shared" si="126"/>
        <v>201220-24ageSUDI</v>
      </c>
      <c r="BZ1020" s="604">
        <v>2012</v>
      </c>
      <c r="CA1020" s="604" t="s">
        <v>130</v>
      </c>
      <c r="CB1020" s="604" t="s">
        <v>453</v>
      </c>
      <c r="CC1020" s="604">
        <v>14</v>
      </c>
      <c r="CD1020" s="604" t="s">
        <v>33</v>
      </c>
    </row>
    <row r="1021" spans="9:82">
      <c r="I1021" s="578" t="str">
        <f t="shared" si="123"/>
        <v>2010dhbMidCentralFetal</v>
      </c>
      <c r="J1021" s="604">
        <v>2010</v>
      </c>
      <c r="K1021" s="604" t="s">
        <v>448</v>
      </c>
      <c r="L1021" s="604" t="s">
        <v>94</v>
      </c>
      <c r="M1021" s="604">
        <v>20</v>
      </c>
      <c r="N1021" s="604">
        <v>2393</v>
      </c>
      <c r="O1021" s="604">
        <v>8.4</v>
      </c>
      <c r="P1021" s="604" t="s">
        <v>47</v>
      </c>
      <c r="Q1021" s="499"/>
      <c r="R1021" s="575" t="str">
        <f t="shared" si="124"/>
        <v>2011birthsage25-29</v>
      </c>
      <c r="S1021" s="604">
        <v>2011</v>
      </c>
      <c r="T1021" s="604" t="s">
        <v>445</v>
      </c>
      <c r="U1021" s="604" t="s">
        <v>453</v>
      </c>
      <c r="V1021" s="604" t="s">
        <v>131</v>
      </c>
      <c r="W1021" s="604">
        <v>15636</v>
      </c>
      <c r="Y1021" s="535" t="str">
        <f t="shared" si="125"/>
        <v>2016gestage&lt;2825-29infant</v>
      </c>
      <c r="Z1021" s="604">
        <v>2016</v>
      </c>
      <c r="AA1021" s="604" t="s">
        <v>450</v>
      </c>
      <c r="AB1021" s="604" t="s">
        <v>453</v>
      </c>
      <c r="AC1021" s="604" t="s">
        <v>375</v>
      </c>
      <c r="AD1021" s="604" t="s">
        <v>131</v>
      </c>
      <c r="AE1021" s="604">
        <v>23</v>
      </c>
      <c r="AF1021" s="604">
        <v>66</v>
      </c>
      <c r="AG1021" s="604">
        <v>348.5</v>
      </c>
      <c r="AH1021" s="604" t="s">
        <v>437</v>
      </c>
      <c r="AR1021" s="538" t="str">
        <f t="shared" si="127"/>
        <v>UnknownbwtinfantWaikato</v>
      </c>
      <c r="AS1021" s="604">
        <v>2016</v>
      </c>
      <c r="AT1021" s="604" t="s">
        <v>63</v>
      </c>
      <c r="AU1021" s="604" t="s">
        <v>447</v>
      </c>
      <c r="AV1021" s="604" t="s">
        <v>89</v>
      </c>
      <c r="AW1021" s="604">
        <v>2</v>
      </c>
      <c r="AX1021" s="604">
        <v>4</v>
      </c>
      <c r="AY1021" s="606" t="s">
        <v>119</v>
      </c>
      <c r="AZ1021" s="604" t="s">
        <v>437</v>
      </c>
      <c r="BY1021" s="553" t="str">
        <f t="shared" si="126"/>
        <v>201225-29ageSUDI</v>
      </c>
      <c r="BZ1021" s="604">
        <v>2012</v>
      </c>
      <c r="CA1021" s="604" t="s">
        <v>131</v>
      </c>
      <c r="CB1021" s="604" t="s">
        <v>453</v>
      </c>
      <c r="CC1021" s="604">
        <v>7</v>
      </c>
      <c r="CD1021" s="604" t="s">
        <v>33</v>
      </c>
    </row>
    <row r="1022" spans="9:82">
      <c r="I1022" s="578" t="str">
        <f t="shared" si="123"/>
        <v>2010dhbWhanganuiFetal</v>
      </c>
      <c r="J1022" s="604">
        <v>2010</v>
      </c>
      <c r="K1022" s="604" t="s">
        <v>448</v>
      </c>
      <c r="L1022" s="604" t="s">
        <v>95</v>
      </c>
      <c r="M1022" s="604">
        <v>6</v>
      </c>
      <c r="N1022" s="604">
        <v>918</v>
      </c>
      <c r="O1022" s="604">
        <v>6.5</v>
      </c>
      <c r="P1022" s="604" t="s">
        <v>47</v>
      </c>
      <c r="Q1022" s="499"/>
      <c r="R1022" s="575" t="str">
        <f t="shared" si="124"/>
        <v>2011birthsage30-34</v>
      </c>
      <c r="S1022" s="604">
        <v>2011</v>
      </c>
      <c r="T1022" s="604" t="s">
        <v>445</v>
      </c>
      <c r="U1022" s="604" t="s">
        <v>453</v>
      </c>
      <c r="V1022" s="604" t="s">
        <v>132</v>
      </c>
      <c r="W1022" s="604">
        <v>17359</v>
      </c>
      <c r="Y1022" s="535" t="str">
        <f t="shared" si="125"/>
        <v>2016gestage28-3125-29infant</v>
      </c>
      <c r="Z1022" s="604">
        <v>2016</v>
      </c>
      <c r="AA1022" s="604" t="s">
        <v>450</v>
      </c>
      <c r="AB1022" s="604" t="s">
        <v>453</v>
      </c>
      <c r="AC1022" s="604" t="s">
        <v>395</v>
      </c>
      <c r="AD1022" s="604" t="s">
        <v>131</v>
      </c>
      <c r="AE1022" s="604">
        <v>3</v>
      </c>
      <c r="AF1022" s="604">
        <v>105</v>
      </c>
      <c r="AG1022" s="604">
        <v>28.6</v>
      </c>
      <c r="AH1022" s="604" t="s">
        <v>437</v>
      </c>
      <c r="AR1022" s="538" t="str">
        <f t="shared" si="127"/>
        <v>&lt;500bwtinfantBay of Plenty</v>
      </c>
      <c r="AS1022" s="604">
        <v>2016</v>
      </c>
      <c r="AT1022" s="604" t="s">
        <v>427</v>
      </c>
      <c r="AU1022" s="604" t="s">
        <v>447</v>
      </c>
      <c r="AV1022" s="604" t="s">
        <v>91</v>
      </c>
      <c r="AW1022" s="604">
        <v>2</v>
      </c>
      <c r="AX1022" s="604">
        <v>3</v>
      </c>
      <c r="AY1022" s="606">
        <v>666.7</v>
      </c>
      <c r="AZ1022" s="604" t="s">
        <v>437</v>
      </c>
      <c r="BY1022" s="553" t="str">
        <f t="shared" si="126"/>
        <v>201230-34ageSUDI</v>
      </c>
      <c r="BZ1022" s="604">
        <v>2012</v>
      </c>
      <c r="CA1022" s="604" t="s">
        <v>132</v>
      </c>
      <c r="CB1022" s="604" t="s">
        <v>453</v>
      </c>
      <c r="CC1022" s="604">
        <v>6</v>
      </c>
      <c r="CD1022" s="604" t="s">
        <v>33</v>
      </c>
    </row>
    <row r="1023" spans="9:82">
      <c r="I1023" s="578" t="str">
        <f t="shared" si="123"/>
        <v>2010dhbCapital &amp; CoastFetal</v>
      </c>
      <c r="J1023" s="604">
        <v>2010</v>
      </c>
      <c r="K1023" s="604" t="s">
        <v>448</v>
      </c>
      <c r="L1023" s="604" t="s">
        <v>96</v>
      </c>
      <c r="M1023" s="604">
        <v>21</v>
      </c>
      <c r="N1023" s="604">
        <v>4019</v>
      </c>
      <c r="O1023" s="604">
        <v>5.2</v>
      </c>
      <c r="P1023" s="604" t="s">
        <v>47</v>
      </c>
      <c r="Q1023" s="499"/>
      <c r="R1023" s="575" t="str">
        <f t="shared" si="124"/>
        <v>2011birthsage35-39</v>
      </c>
      <c r="S1023" s="604">
        <v>2011</v>
      </c>
      <c r="T1023" s="604" t="s">
        <v>445</v>
      </c>
      <c r="U1023" s="604" t="s">
        <v>453</v>
      </c>
      <c r="V1023" s="604" t="s">
        <v>133</v>
      </c>
      <c r="W1023" s="604">
        <v>10940</v>
      </c>
      <c r="Y1023" s="535" t="str">
        <f t="shared" si="125"/>
        <v>2016gestage32-3625-29infant</v>
      </c>
      <c r="Z1023" s="604">
        <v>2016</v>
      </c>
      <c r="AA1023" s="604" t="s">
        <v>450</v>
      </c>
      <c r="AB1023" s="604" t="s">
        <v>453</v>
      </c>
      <c r="AC1023" s="604" t="s">
        <v>136</v>
      </c>
      <c r="AD1023" s="604" t="s">
        <v>131</v>
      </c>
      <c r="AE1023" s="604">
        <v>4</v>
      </c>
      <c r="AF1023" s="604">
        <v>991</v>
      </c>
      <c r="AG1023" s="604">
        <v>4</v>
      </c>
      <c r="AH1023" s="604" t="s">
        <v>437</v>
      </c>
      <c r="AR1023" s="538" t="str">
        <f t="shared" si="127"/>
        <v>500-999bwtinfantBay of Plenty</v>
      </c>
      <c r="AS1023" s="604">
        <v>2016</v>
      </c>
      <c r="AT1023" s="604" t="s">
        <v>428</v>
      </c>
      <c r="AU1023" s="604" t="s">
        <v>447</v>
      </c>
      <c r="AV1023" s="604" t="s">
        <v>91</v>
      </c>
      <c r="AW1023" s="604">
        <v>5</v>
      </c>
      <c r="AX1023" s="604">
        <v>9</v>
      </c>
      <c r="AY1023" s="606">
        <v>555.6</v>
      </c>
      <c r="AZ1023" s="604" t="s">
        <v>437</v>
      </c>
      <c r="BY1023" s="553" t="str">
        <f t="shared" si="126"/>
        <v>201235-39ageSUDI</v>
      </c>
      <c r="BZ1023" s="604">
        <v>2012</v>
      </c>
      <c r="CA1023" s="604" t="s">
        <v>133</v>
      </c>
      <c r="CB1023" s="604" t="s">
        <v>453</v>
      </c>
      <c r="CC1023" s="604">
        <v>5</v>
      </c>
      <c r="CD1023" s="604" t="s">
        <v>33</v>
      </c>
    </row>
    <row r="1024" spans="9:82">
      <c r="I1024" s="578" t="str">
        <f t="shared" si="123"/>
        <v>2010dhbHutt ValleyFetal</v>
      </c>
      <c r="J1024" s="604">
        <v>2010</v>
      </c>
      <c r="K1024" s="604" t="s">
        <v>448</v>
      </c>
      <c r="L1024" s="604" t="s">
        <v>97</v>
      </c>
      <c r="M1024" s="604">
        <v>19</v>
      </c>
      <c r="N1024" s="604">
        <v>2170</v>
      </c>
      <c r="O1024" s="604">
        <v>8.8000000000000007</v>
      </c>
      <c r="P1024" s="604" t="s">
        <v>47</v>
      </c>
      <c r="Q1024" s="499"/>
      <c r="R1024" s="575" t="str">
        <f t="shared" si="124"/>
        <v>2011birthsage40+</v>
      </c>
      <c r="S1024" s="604">
        <v>2011</v>
      </c>
      <c r="T1024" s="604" t="s">
        <v>445</v>
      </c>
      <c r="U1024" s="604" t="s">
        <v>453</v>
      </c>
      <c r="V1024" s="604" t="s">
        <v>134</v>
      </c>
      <c r="W1024" s="604">
        <v>2570</v>
      </c>
      <c r="Y1024" s="535" t="str">
        <f t="shared" si="125"/>
        <v>2016gestage37-4125-29infant</v>
      </c>
      <c r="Z1024" s="604">
        <v>2016</v>
      </c>
      <c r="AA1024" s="604" t="s">
        <v>450</v>
      </c>
      <c r="AB1024" s="604" t="s">
        <v>453</v>
      </c>
      <c r="AC1024" s="604" t="s">
        <v>137</v>
      </c>
      <c r="AD1024" s="604" t="s">
        <v>131</v>
      </c>
      <c r="AE1024" s="604">
        <v>20</v>
      </c>
      <c r="AF1024" s="604">
        <v>15201</v>
      </c>
      <c r="AG1024" s="604">
        <v>1.3</v>
      </c>
      <c r="AH1024" s="604" t="s">
        <v>437</v>
      </c>
      <c r="AR1024" s="538" t="str">
        <f t="shared" si="127"/>
        <v>1000-1499bwtinfantBay of Plenty</v>
      </c>
      <c r="AS1024" s="604">
        <v>2016</v>
      </c>
      <c r="AT1024" s="604" t="s">
        <v>429</v>
      </c>
      <c r="AU1024" s="604" t="s">
        <v>447</v>
      </c>
      <c r="AV1024" s="604" t="s">
        <v>91</v>
      </c>
      <c r="AW1024" s="604">
        <v>1</v>
      </c>
      <c r="AX1024" s="604">
        <v>13</v>
      </c>
      <c r="AY1024" s="606">
        <v>76.900000000000006</v>
      </c>
      <c r="AZ1024" s="604" t="s">
        <v>437</v>
      </c>
      <c r="BY1024" s="553" t="str">
        <f t="shared" si="126"/>
        <v>201240+ageSUDI</v>
      </c>
      <c r="BZ1024" s="604">
        <v>2012</v>
      </c>
      <c r="CA1024" s="604" t="s">
        <v>134</v>
      </c>
      <c r="CB1024" s="604" t="s">
        <v>453</v>
      </c>
      <c r="CC1024" s="604">
        <v>0</v>
      </c>
      <c r="CD1024" s="604" t="s">
        <v>33</v>
      </c>
    </row>
    <row r="1025" spans="9:82">
      <c r="I1025" s="578" t="str">
        <f t="shared" si="123"/>
        <v>2010dhbWairarapaFetal</v>
      </c>
      <c r="J1025" s="604">
        <v>2010</v>
      </c>
      <c r="K1025" s="604" t="s">
        <v>448</v>
      </c>
      <c r="L1025" s="604" t="s">
        <v>98</v>
      </c>
      <c r="M1025" s="604">
        <v>6</v>
      </c>
      <c r="N1025" s="604">
        <v>555</v>
      </c>
      <c r="O1025" s="604">
        <v>10.8</v>
      </c>
      <c r="P1025" s="604" t="s">
        <v>47</v>
      </c>
      <c r="Q1025" s="499"/>
      <c r="R1025" s="575" t="str">
        <f t="shared" si="124"/>
        <v>2012birthsage&lt;20</v>
      </c>
      <c r="S1025" s="604">
        <v>2012</v>
      </c>
      <c r="T1025" s="604" t="s">
        <v>445</v>
      </c>
      <c r="U1025" s="604" t="s">
        <v>453</v>
      </c>
      <c r="V1025" s="604" t="s">
        <v>339</v>
      </c>
      <c r="W1025" s="604">
        <v>3881</v>
      </c>
      <c r="Y1025" s="535" t="str">
        <f t="shared" si="125"/>
        <v>2016gestage42+25-29infant</v>
      </c>
      <c r="Z1025" s="604">
        <v>2016</v>
      </c>
      <c r="AA1025" s="604" t="s">
        <v>450</v>
      </c>
      <c r="AB1025" s="604" t="s">
        <v>453</v>
      </c>
      <c r="AC1025" s="604" t="s">
        <v>138</v>
      </c>
      <c r="AD1025" s="604" t="s">
        <v>131</v>
      </c>
      <c r="AE1025" s="604">
        <v>1</v>
      </c>
      <c r="AF1025" s="604">
        <v>294</v>
      </c>
      <c r="AG1025" s="604">
        <v>3.4</v>
      </c>
      <c r="AH1025" s="604" t="s">
        <v>437</v>
      </c>
      <c r="AR1025" s="538" t="str">
        <f t="shared" si="127"/>
        <v>1500-2499bwtinfantBay of Plenty</v>
      </c>
      <c r="AS1025" s="604">
        <v>2016</v>
      </c>
      <c r="AT1025" s="604" t="s">
        <v>430</v>
      </c>
      <c r="AU1025" s="604" t="s">
        <v>447</v>
      </c>
      <c r="AV1025" s="604" t="s">
        <v>91</v>
      </c>
      <c r="AW1025" s="604">
        <v>1</v>
      </c>
      <c r="AX1025" s="604">
        <v>129</v>
      </c>
      <c r="AY1025" s="606">
        <v>7.8</v>
      </c>
      <c r="AZ1025" s="604" t="s">
        <v>437</v>
      </c>
      <c r="BY1025" s="553" t="str">
        <f t="shared" si="126"/>
        <v>2012UnknownageSUDI</v>
      </c>
      <c r="BZ1025" s="604">
        <v>2012</v>
      </c>
      <c r="CA1025" s="604" t="s">
        <v>63</v>
      </c>
      <c r="CB1025" s="604" t="s">
        <v>453</v>
      </c>
      <c r="CC1025" s="604">
        <v>0</v>
      </c>
      <c r="CD1025" s="604" t="s">
        <v>33</v>
      </c>
    </row>
    <row r="1026" spans="9:82">
      <c r="I1026" s="578" t="str">
        <f t="shared" si="123"/>
        <v>2010dhbNelson MarlboroughFetal</v>
      </c>
      <c r="J1026" s="604">
        <v>2010</v>
      </c>
      <c r="K1026" s="604" t="s">
        <v>448</v>
      </c>
      <c r="L1026" s="604" t="s">
        <v>99</v>
      </c>
      <c r="M1026" s="604">
        <v>6</v>
      </c>
      <c r="N1026" s="604">
        <v>1731</v>
      </c>
      <c r="O1026" s="604">
        <v>3.5</v>
      </c>
      <c r="P1026" s="604" t="s">
        <v>47</v>
      </c>
      <c r="Q1026" s="499"/>
      <c r="R1026" s="575" t="str">
        <f t="shared" si="124"/>
        <v>2012birthsage20-24</v>
      </c>
      <c r="S1026" s="604">
        <v>2012</v>
      </c>
      <c r="T1026" s="604" t="s">
        <v>445</v>
      </c>
      <c r="U1026" s="604" t="s">
        <v>453</v>
      </c>
      <c r="V1026" s="604" t="s">
        <v>130</v>
      </c>
      <c r="W1026" s="604">
        <v>11530</v>
      </c>
      <c r="Y1026" s="535" t="str">
        <f t="shared" si="125"/>
        <v>2016gestageUnknown25-29infant</v>
      </c>
      <c r="Z1026" s="604">
        <v>2016</v>
      </c>
      <c r="AA1026" s="604" t="s">
        <v>450</v>
      </c>
      <c r="AB1026" s="604" t="s">
        <v>453</v>
      </c>
      <c r="AC1026" s="604" t="s">
        <v>63</v>
      </c>
      <c r="AD1026" s="604" t="s">
        <v>131</v>
      </c>
      <c r="AE1026" s="604">
        <v>1</v>
      </c>
      <c r="AF1026" s="604">
        <v>7</v>
      </c>
      <c r="AG1026" s="604" t="s">
        <v>119</v>
      </c>
      <c r="AH1026" s="604" t="s">
        <v>437</v>
      </c>
      <c r="AR1026" s="538" t="str">
        <f t="shared" si="127"/>
        <v>2500-4499bwtinfantBay of Plenty</v>
      </c>
      <c r="AS1026" s="604">
        <v>2016</v>
      </c>
      <c r="AT1026" s="604" t="s">
        <v>431</v>
      </c>
      <c r="AU1026" s="604" t="s">
        <v>447</v>
      </c>
      <c r="AV1026" s="604" t="s">
        <v>91</v>
      </c>
      <c r="AW1026" s="604">
        <v>8</v>
      </c>
      <c r="AX1026" s="604">
        <v>2716</v>
      </c>
      <c r="AY1026" s="606">
        <v>2.9</v>
      </c>
      <c r="AZ1026" s="604" t="s">
        <v>437</v>
      </c>
      <c r="BY1026" s="553" t="str">
        <f t="shared" si="126"/>
        <v>2013&lt;20ageSUDI</v>
      </c>
      <c r="BZ1026" s="604">
        <v>2013</v>
      </c>
      <c r="CA1026" s="604" t="s">
        <v>339</v>
      </c>
      <c r="CB1026" s="604" t="s">
        <v>453</v>
      </c>
      <c r="CC1026" s="604">
        <v>7</v>
      </c>
      <c r="CD1026" s="604" t="s">
        <v>33</v>
      </c>
    </row>
    <row r="1027" spans="9:82">
      <c r="I1027" s="578" t="str">
        <f t="shared" si="123"/>
        <v>2010dhbWest CoastFetal</v>
      </c>
      <c r="J1027" s="604">
        <v>2010</v>
      </c>
      <c r="K1027" s="604" t="s">
        <v>448</v>
      </c>
      <c r="L1027" s="604" t="s">
        <v>100</v>
      </c>
      <c r="M1027" s="604">
        <v>3</v>
      </c>
      <c r="N1027" s="604">
        <v>435</v>
      </c>
      <c r="O1027" s="604">
        <v>6.9</v>
      </c>
      <c r="P1027" s="604" t="s">
        <v>47</v>
      </c>
      <c r="Q1027" s="499"/>
      <c r="R1027" s="575" t="str">
        <f t="shared" si="124"/>
        <v>2012birthsage25-29</v>
      </c>
      <c r="S1027" s="604">
        <v>2012</v>
      </c>
      <c r="T1027" s="604" t="s">
        <v>445</v>
      </c>
      <c r="U1027" s="604" t="s">
        <v>453</v>
      </c>
      <c r="V1027" s="604" t="s">
        <v>131</v>
      </c>
      <c r="W1027" s="604">
        <v>15863</v>
      </c>
      <c r="Y1027" s="535" t="str">
        <f t="shared" si="125"/>
        <v>2016gestage&lt;2830-34infant</v>
      </c>
      <c r="Z1027" s="604">
        <v>2016</v>
      </c>
      <c r="AA1027" s="604" t="s">
        <v>450</v>
      </c>
      <c r="AB1027" s="604" t="s">
        <v>453</v>
      </c>
      <c r="AC1027" s="604" t="s">
        <v>375</v>
      </c>
      <c r="AD1027" s="604" t="s">
        <v>132</v>
      </c>
      <c r="AE1027" s="604">
        <v>27</v>
      </c>
      <c r="AF1027" s="604">
        <v>61</v>
      </c>
      <c r="AG1027" s="604">
        <v>442.6</v>
      </c>
      <c r="AH1027" s="604" t="s">
        <v>437</v>
      </c>
      <c r="AR1027" s="538" t="str">
        <f t="shared" si="127"/>
        <v>UnknownbwtinfantBay of Plenty</v>
      </c>
      <c r="AS1027" s="604">
        <v>2016</v>
      </c>
      <c r="AT1027" s="604" t="s">
        <v>63</v>
      </c>
      <c r="AU1027" s="604" t="s">
        <v>447</v>
      </c>
      <c r="AV1027" s="604" t="s">
        <v>91</v>
      </c>
      <c r="AW1027" s="604">
        <v>1</v>
      </c>
      <c r="AX1027" s="604">
        <v>4</v>
      </c>
      <c r="AY1027" s="606" t="s">
        <v>119</v>
      </c>
      <c r="AZ1027" s="604" t="s">
        <v>437</v>
      </c>
      <c r="BY1027" s="553" t="str">
        <f t="shared" si="126"/>
        <v>201320-24ageSUDI</v>
      </c>
      <c r="BZ1027" s="604">
        <v>2013</v>
      </c>
      <c r="CA1027" s="604" t="s">
        <v>130</v>
      </c>
      <c r="CB1027" s="604" t="s">
        <v>453</v>
      </c>
      <c r="CC1027" s="604">
        <v>17</v>
      </c>
      <c r="CD1027" s="604" t="s">
        <v>33</v>
      </c>
    </row>
    <row r="1028" spans="9:82">
      <c r="I1028" s="578" t="str">
        <f t="shared" ref="I1028:I1091" si="128">J1028&amp;K1028&amp;L1028&amp;P1028</f>
        <v>2010dhbCanterburyFetal</v>
      </c>
      <c r="J1028" s="604">
        <v>2010</v>
      </c>
      <c r="K1028" s="604" t="s">
        <v>448</v>
      </c>
      <c r="L1028" s="604" t="s">
        <v>101</v>
      </c>
      <c r="M1028" s="604">
        <v>54</v>
      </c>
      <c r="N1028" s="604">
        <v>6742</v>
      </c>
      <c r="O1028" s="604">
        <v>8</v>
      </c>
      <c r="P1028" s="604" t="s">
        <v>47</v>
      </c>
      <c r="Q1028" s="499"/>
      <c r="R1028" s="575" t="str">
        <f t="shared" ref="R1028:R1091" si="129">S1028&amp;T1028&amp;U1028&amp;V1028</f>
        <v>2012birthsage30-34</v>
      </c>
      <c r="S1028" s="604">
        <v>2012</v>
      </c>
      <c r="T1028" s="604" t="s">
        <v>445</v>
      </c>
      <c r="U1028" s="604" t="s">
        <v>453</v>
      </c>
      <c r="V1028" s="604" t="s">
        <v>132</v>
      </c>
      <c r="W1028" s="604">
        <v>17635</v>
      </c>
      <c r="Y1028" s="535" t="str">
        <f t="shared" ref="Y1028:Y1091" si="130">Z1028&amp;AA1028&amp;AB1028&amp;AC1028&amp;AD1028&amp;AH1028</f>
        <v>2016gestage28-3130-34infant</v>
      </c>
      <c r="Z1028" s="604">
        <v>2016</v>
      </c>
      <c r="AA1028" s="604" t="s">
        <v>450</v>
      </c>
      <c r="AB1028" s="604" t="s">
        <v>453</v>
      </c>
      <c r="AC1028" s="604" t="s">
        <v>395</v>
      </c>
      <c r="AD1028" s="604" t="s">
        <v>132</v>
      </c>
      <c r="AE1028" s="604">
        <v>2</v>
      </c>
      <c r="AF1028" s="604">
        <v>132</v>
      </c>
      <c r="AG1028" s="604">
        <v>15.2</v>
      </c>
      <c r="AH1028" s="604" t="s">
        <v>437</v>
      </c>
      <c r="AR1028" s="538" t="str">
        <f t="shared" si="127"/>
        <v>2500-4499bwtinfantTairawhiti</v>
      </c>
      <c r="AS1028" s="604">
        <v>2016</v>
      </c>
      <c r="AT1028" s="604" t="s">
        <v>431</v>
      </c>
      <c r="AU1028" s="604" t="s">
        <v>447</v>
      </c>
      <c r="AV1028" s="604" t="s">
        <v>433</v>
      </c>
      <c r="AW1028" s="604">
        <v>3</v>
      </c>
      <c r="AX1028" s="604">
        <v>685</v>
      </c>
      <c r="AY1028" s="606">
        <v>4.4000000000000004</v>
      </c>
      <c r="AZ1028" s="604" t="s">
        <v>437</v>
      </c>
      <c r="BY1028" s="553" t="str">
        <f t="shared" ref="BY1028:BY1091" si="131">BZ1028&amp;CA1028&amp;CB1028&amp;CD1028</f>
        <v>201325-29ageSUDI</v>
      </c>
      <c r="BZ1028" s="604">
        <v>2013</v>
      </c>
      <c r="CA1028" s="604" t="s">
        <v>131</v>
      </c>
      <c r="CB1028" s="604" t="s">
        <v>453</v>
      </c>
      <c r="CC1028" s="604">
        <v>8</v>
      </c>
      <c r="CD1028" s="604" t="s">
        <v>33</v>
      </c>
    </row>
    <row r="1029" spans="9:82">
      <c r="I1029" s="578" t="str">
        <f t="shared" si="128"/>
        <v>2010dhbSouth CanterburyFetal</v>
      </c>
      <c r="J1029" s="604">
        <v>2010</v>
      </c>
      <c r="K1029" s="604" t="s">
        <v>448</v>
      </c>
      <c r="L1029" s="604" t="s">
        <v>102</v>
      </c>
      <c r="M1029" s="604">
        <v>5</v>
      </c>
      <c r="N1029" s="604">
        <v>632</v>
      </c>
      <c r="O1029" s="604">
        <v>7.9</v>
      </c>
      <c r="P1029" s="604" t="s">
        <v>47</v>
      </c>
      <c r="Q1029" s="499"/>
      <c r="R1029" s="575" t="str">
        <f t="shared" si="129"/>
        <v>2012birthsage35-39</v>
      </c>
      <c r="S1029" s="604">
        <v>2012</v>
      </c>
      <c r="T1029" s="604" t="s">
        <v>445</v>
      </c>
      <c r="U1029" s="604" t="s">
        <v>453</v>
      </c>
      <c r="V1029" s="604" t="s">
        <v>133</v>
      </c>
      <c r="W1029" s="604">
        <v>10460</v>
      </c>
      <c r="Y1029" s="535" t="str">
        <f t="shared" si="130"/>
        <v>2016gestage32-3630-34infant</v>
      </c>
      <c r="Z1029" s="604">
        <v>2016</v>
      </c>
      <c r="AA1029" s="604" t="s">
        <v>450</v>
      </c>
      <c r="AB1029" s="604" t="s">
        <v>453</v>
      </c>
      <c r="AC1029" s="604" t="s">
        <v>136</v>
      </c>
      <c r="AD1029" s="604" t="s">
        <v>132</v>
      </c>
      <c r="AE1029" s="604">
        <v>6</v>
      </c>
      <c r="AF1029" s="604">
        <v>1113</v>
      </c>
      <c r="AG1029" s="604">
        <v>5.4</v>
      </c>
      <c r="AH1029" s="604" t="s">
        <v>437</v>
      </c>
      <c r="AR1029" s="538" t="str">
        <f t="shared" si="127"/>
        <v>500-999bwtinfantHawke's Bay</v>
      </c>
      <c r="AS1029" s="604">
        <v>2016</v>
      </c>
      <c r="AT1029" s="604" t="s">
        <v>428</v>
      </c>
      <c r="AU1029" s="604" t="s">
        <v>447</v>
      </c>
      <c r="AV1029" s="604" t="s">
        <v>92</v>
      </c>
      <c r="AW1029" s="604">
        <v>1</v>
      </c>
      <c r="AX1029" s="604">
        <v>7</v>
      </c>
      <c r="AY1029" s="606">
        <v>142.9</v>
      </c>
      <c r="AZ1029" s="604" t="s">
        <v>437</v>
      </c>
      <c r="BY1029" s="553" t="str">
        <f t="shared" si="131"/>
        <v>201330-34ageSUDI</v>
      </c>
      <c r="BZ1029" s="604">
        <v>2013</v>
      </c>
      <c r="CA1029" s="604" t="s">
        <v>132</v>
      </c>
      <c r="CB1029" s="604" t="s">
        <v>453</v>
      </c>
      <c r="CC1029" s="604">
        <v>5</v>
      </c>
      <c r="CD1029" s="604" t="s">
        <v>33</v>
      </c>
    </row>
    <row r="1030" spans="9:82">
      <c r="I1030" s="578" t="str">
        <f t="shared" si="128"/>
        <v>2010dhbSouthernFetal</v>
      </c>
      <c r="J1030" s="604">
        <v>2010</v>
      </c>
      <c r="K1030" s="604" t="s">
        <v>448</v>
      </c>
      <c r="L1030" s="604" t="s">
        <v>103</v>
      </c>
      <c r="M1030" s="604">
        <v>24</v>
      </c>
      <c r="N1030" s="604">
        <v>3796</v>
      </c>
      <c r="O1030" s="604">
        <v>6.3</v>
      </c>
      <c r="P1030" s="604" t="s">
        <v>47</v>
      </c>
      <c r="Q1030" s="499"/>
      <c r="R1030" s="575" t="str">
        <f t="shared" si="129"/>
        <v>2012birthsage40+</v>
      </c>
      <c r="S1030" s="604">
        <v>2012</v>
      </c>
      <c r="T1030" s="604" t="s">
        <v>445</v>
      </c>
      <c r="U1030" s="604" t="s">
        <v>453</v>
      </c>
      <c r="V1030" s="604" t="s">
        <v>134</v>
      </c>
      <c r="W1030" s="604">
        <v>2666</v>
      </c>
      <c r="Y1030" s="535" t="str">
        <f t="shared" si="130"/>
        <v>2016gestage37-4130-34infant</v>
      </c>
      <c r="Z1030" s="604">
        <v>2016</v>
      </c>
      <c r="AA1030" s="604" t="s">
        <v>450</v>
      </c>
      <c r="AB1030" s="604" t="s">
        <v>453</v>
      </c>
      <c r="AC1030" s="604" t="s">
        <v>137</v>
      </c>
      <c r="AD1030" s="604" t="s">
        <v>132</v>
      </c>
      <c r="AE1030" s="604">
        <v>21</v>
      </c>
      <c r="AF1030" s="604">
        <v>17088</v>
      </c>
      <c r="AG1030" s="604">
        <v>1.2</v>
      </c>
      <c r="AH1030" s="604" t="s">
        <v>437</v>
      </c>
      <c r="AR1030" s="538" t="str">
        <f t="shared" si="127"/>
        <v>1000-1499bwtinfantHawke's Bay</v>
      </c>
      <c r="AS1030" s="604">
        <v>2016</v>
      </c>
      <c r="AT1030" s="604" t="s">
        <v>429</v>
      </c>
      <c r="AU1030" s="604" t="s">
        <v>447</v>
      </c>
      <c r="AV1030" s="604" t="s">
        <v>92</v>
      </c>
      <c r="AW1030" s="604">
        <v>1</v>
      </c>
      <c r="AX1030" s="604">
        <v>9</v>
      </c>
      <c r="AY1030" s="606">
        <v>111.1</v>
      </c>
      <c r="AZ1030" s="604" t="s">
        <v>437</v>
      </c>
      <c r="BY1030" s="553" t="str">
        <f t="shared" si="131"/>
        <v>201335-39ageSUDI</v>
      </c>
      <c r="BZ1030" s="604">
        <v>2013</v>
      </c>
      <c r="CA1030" s="604" t="s">
        <v>133</v>
      </c>
      <c r="CB1030" s="604" t="s">
        <v>453</v>
      </c>
      <c r="CC1030" s="604">
        <v>2</v>
      </c>
      <c r="CD1030" s="604" t="s">
        <v>33</v>
      </c>
    </row>
    <row r="1031" spans="9:82">
      <c r="I1031" s="578" t="str">
        <f t="shared" si="128"/>
        <v>2010dhbUnknownFetal</v>
      </c>
      <c r="J1031" s="604">
        <v>2010</v>
      </c>
      <c r="K1031" s="604" t="s">
        <v>448</v>
      </c>
      <c r="L1031" s="604" t="s">
        <v>63</v>
      </c>
      <c r="M1031" s="604">
        <v>4</v>
      </c>
      <c r="N1031" s="604">
        <v>311</v>
      </c>
      <c r="O1031" s="604" t="s">
        <v>119</v>
      </c>
      <c r="P1031" s="604" t="s">
        <v>47</v>
      </c>
      <c r="Q1031" s="499"/>
      <c r="R1031" s="575" t="str">
        <f t="shared" si="129"/>
        <v>2013birthsage&lt;20</v>
      </c>
      <c r="S1031" s="604">
        <v>2013</v>
      </c>
      <c r="T1031" s="604" t="s">
        <v>445</v>
      </c>
      <c r="U1031" s="604" t="s">
        <v>453</v>
      </c>
      <c r="V1031" s="604" t="s">
        <v>339</v>
      </c>
      <c r="W1031" s="604">
        <v>3409</v>
      </c>
      <c r="Y1031" s="535" t="str">
        <f t="shared" si="130"/>
        <v>2016gestage42+30-34infant</v>
      </c>
      <c r="Z1031" s="604">
        <v>2016</v>
      </c>
      <c r="AA1031" s="604" t="s">
        <v>450</v>
      </c>
      <c r="AB1031" s="604" t="s">
        <v>453</v>
      </c>
      <c r="AC1031" s="604" t="s">
        <v>138</v>
      </c>
      <c r="AD1031" s="604" t="s">
        <v>132</v>
      </c>
      <c r="AE1031" s="604">
        <v>0</v>
      </c>
      <c r="AF1031" s="604">
        <v>318</v>
      </c>
      <c r="AG1031" s="604">
        <v>0</v>
      </c>
      <c r="AH1031" s="604" t="s">
        <v>437</v>
      </c>
      <c r="AR1031" s="538" t="str">
        <f t="shared" si="127"/>
        <v>2500-4499bwtinfantHawke's Bay</v>
      </c>
      <c r="AS1031" s="604">
        <v>2016</v>
      </c>
      <c r="AT1031" s="604" t="s">
        <v>431</v>
      </c>
      <c r="AU1031" s="604" t="s">
        <v>447</v>
      </c>
      <c r="AV1031" s="604" t="s">
        <v>92</v>
      </c>
      <c r="AW1031" s="604">
        <v>3</v>
      </c>
      <c r="AX1031" s="604">
        <v>1911</v>
      </c>
      <c r="AY1031" s="606">
        <v>1.6</v>
      </c>
      <c r="AZ1031" s="604" t="s">
        <v>437</v>
      </c>
      <c r="BY1031" s="553" t="str">
        <f t="shared" si="131"/>
        <v>201340+ageSUDI</v>
      </c>
      <c r="BZ1031" s="604">
        <v>2013</v>
      </c>
      <c r="CA1031" s="604" t="s">
        <v>134</v>
      </c>
      <c r="CB1031" s="604" t="s">
        <v>453</v>
      </c>
      <c r="CC1031" s="604">
        <v>2</v>
      </c>
      <c r="CD1031" s="604" t="s">
        <v>33</v>
      </c>
    </row>
    <row r="1032" spans="9:82">
      <c r="I1032" s="578" t="str">
        <f t="shared" si="128"/>
        <v>2011dhbNorthlandFetal</v>
      </c>
      <c r="J1032" s="604">
        <v>2011</v>
      </c>
      <c r="K1032" s="604" t="s">
        <v>448</v>
      </c>
      <c r="L1032" s="604" t="s">
        <v>85</v>
      </c>
      <c r="M1032" s="604">
        <v>14</v>
      </c>
      <c r="N1032" s="604">
        <v>2275</v>
      </c>
      <c r="O1032" s="604">
        <v>6.2</v>
      </c>
      <c r="P1032" s="604" t="s">
        <v>47</v>
      </c>
      <c r="Q1032" s="499"/>
      <c r="R1032" s="575" t="str">
        <f t="shared" si="129"/>
        <v>2013birthsage20-24</v>
      </c>
      <c r="S1032" s="604">
        <v>2013</v>
      </c>
      <c r="T1032" s="604" t="s">
        <v>445</v>
      </c>
      <c r="U1032" s="604" t="s">
        <v>453</v>
      </c>
      <c r="V1032" s="604" t="s">
        <v>130</v>
      </c>
      <c r="W1032" s="604">
        <v>10983</v>
      </c>
      <c r="Y1032" s="535" t="str">
        <f t="shared" si="130"/>
        <v>2016gestageUnknown30-34infant</v>
      </c>
      <c r="Z1032" s="604">
        <v>2016</v>
      </c>
      <c r="AA1032" s="604" t="s">
        <v>450</v>
      </c>
      <c r="AB1032" s="604" t="s">
        <v>453</v>
      </c>
      <c r="AC1032" s="604" t="s">
        <v>63</v>
      </c>
      <c r="AD1032" s="604" t="s">
        <v>132</v>
      </c>
      <c r="AE1032" s="604">
        <v>3</v>
      </c>
      <c r="AF1032" s="604">
        <v>8</v>
      </c>
      <c r="AG1032" s="604" t="s">
        <v>119</v>
      </c>
      <c r="AH1032" s="604" t="s">
        <v>437</v>
      </c>
      <c r="AR1032" s="538" t="str">
        <f t="shared" si="127"/>
        <v>UnknownbwtinfantHawke's Bay</v>
      </c>
      <c r="AS1032" s="604">
        <v>2016</v>
      </c>
      <c r="AT1032" s="604" t="s">
        <v>63</v>
      </c>
      <c r="AU1032" s="604" t="s">
        <v>447</v>
      </c>
      <c r="AV1032" s="604" t="s">
        <v>92</v>
      </c>
      <c r="AW1032" s="604">
        <v>1</v>
      </c>
      <c r="AX1032" s="604">
        <v>3</v>
      </c>
      <c r="AY1032" s="606" t="s">
        <v>119</v>
      </c>
      <c r="AZ1032" s="604" t="s">
        <v>437</v>
      </c>
      <c r="BY1032" s="553" t="str">
        <f t="shared" si="131"/>
        <v>2013UnknownageSUDI</v>
      </c>
      <c r="BZ1032" s="604">
        <v>2013</v>
      </c>
      <c r="CA1032" s="604" t="s">
        <v>63</v>
      </c>
      <c r="CB1032" s="604" t="s">
        <v>453</v>
      </c>
      <c r="CC1032" s="604">
        <v>0</v>
      </c>
      <c r="CD1032" s="604" t="s">
        <v>33</v>
      </c>
    </row>
    <row r="1033" spans="9:82">
      <c r="I1033" s="578" t="str">
        <f t="shared" si="128"/>
        <v>2011dhbWaitemataFetal</v>
      </c>
      <c r="J1033" s="604">
        <v>2011</v>
      </c>
      <c r="K1033" s="604" t="s">
        <v>448</v>
      </c>
      <c r="L1033" s="604" t="s">
        <v>86</v>
      </c>
      <c r="M1033" s="604">
        <v>54</v>
      </c>
      <c r="N1033" s="604">
        <v>7934</v>
      </c>
      <c r="O1033" s="604">
        <v>6.8</v>
      </c>
      <c r="P1033" s="604" t="s">
        <v>47</v>
      </c>
      <c r="Q1033" s="499"/>
      <c r="R1033" s="575" t="str">
        <f t="shared" si="129"/>
        <v>2013birthsage25-29</v>
      </c>
      <c r="S1033" s="604">
        <v>2013</v>
      </c>
      <c r="T1033" s="604" t="s">
        <v>445</v>
      </c>
      <c r="U1033" s="604" t="s">
        <v>453</v>
      </c>
      <c r="V1033" s="604" t="s">
        <v>131</v>
      </c>
      <c r="W1033" s="604">
        <v>15486</v>
      </c>
      <c r="Y1033" s="535" t="str">
        <f t="shared" si="130"/>
        <v>2016gestage&lt;2835-39infant</v>
      </c>
      <c r="Z1033" s="604">
        <v>2016</v>
      </c>
      <c r="AA1033" s="604" t="s">
        <v>450</v>
      </c>
      <c r="AB1033" s="604" t="s">
        <v>453</v>
      </c>
      <c r="AC1033" s="604" t="s">
        <v>375</v>
      </c>
      <c r="AD1033" s="604" t="s">
        <v>133</v>
      </c>
      <c r="AE1033" s="604">
        <v>6</v>
      </c>
      <c r="AF1033" s="604">
        <v>44</v>
      </c>
      <c r="AG1033" s="604">
        <v>136.4</v>
      </c>
      <c r="AH1033" s="604" t="s">
        <v>437</v>
      </c>
      <c r="AR1033" s="538" t="str">
        <f t="shared" si="127"/>
        <v>500-999bwtinfantTaranaki</v>
      </c>
      <c r="AS1033" s="604">
        <v>2016</v>
      </c>
      <c r="AT1033" s="604" t="s">
        <v>428</v>
      </c>
      <c r="AU1033" s="604" t="s">
        <v>447</v>
      </c>
      <c r="AV1033" s="604" t="s">
        <v>93</v>
      </c>
      <c r="AW1033" s="604">
        <v>2</v>
      </c>
      <c r="AX1033" s="604">
        <v>4</v>
      </c>
      <c r="AY1033" s="606">
        <v>500</v>
      </c>
      <c r="AZ1033" s="604" t="s">
        <v>437</v>
      </c>
      <c r="BY1033" s="553" t="str">
        <f t="shared" si="131"/>
        <v>2014&lt;20ageSUDI</v>
      </c>
      <c r="BZ1033" s="604">
        <v>2014</v>
      </c>
      <c r="CA1033" s="604" t="s">
        <v>339</v>
      </c>
      <c r="CB1033" s="604" t="s">
        <v>453</v>
      </c>
      <c r="CC1033" s="604">
        <v>12</v>
      </c>
      <c r="CD1033" s="604" t="s">
        <v>33</v>
      </c>
    </row>
    <row r="1034" spans="9:82">
      <c r="I1034" s="578" t="str">
        <f t="shared" si="128"/>
        <v>2011dhbAucklandFetal</v>
      </c>
      <c r="J1034" s="604">
        <v>2011</v>
      </c>
      <c r="K1034" s="604" t="s">
        <v>448</v>
      </c>
      <c r="L1034" s="604" t="s">
        <v>87</v>
      </c>
      <c r="M1034" s="604">
        <v>57</v>
      </c>
      <c r="N1034" s="604">
        <v>6581</v>
      </c>
      <c r="O1034" s="604">
        <v>8.6999999999999993</v>
      </c>
      <c r="P1034" s="604" t="s">
        <v>47</v>
      </c>
      <c r="Q1034" s="499"/>
      <c r="R1034" s="575" t="str">
        <f t="shared" si="129"/>
        <v>2013birthsage30-34</v>
      </c>
      <c r="S1034" s="604">
        <v>2013</v>
      </c>
      <c r="T1034" s="604" t="s">
        <v>445</v>
      </c>
      <c r="U1034" s="604" t="s">
        <v>453</v>
      </c>
      <c r="V1034" s="604" t="s">
        <v>132</v>
      </c>
      <c r="W1034" s="604">
        <v>16970</v>
      </c>
      <c r="Y1034" s="535" t="str">
        <f t="shared" si="130"/>
        <v>2016gestage28-3135-39infant</v>
      </c>
      <c r="Z1034" s="604">
        <v>2016</v>
      </c>
      <c r="AA1034" s="604" t="s">
        <v>450</v>
      </c>
      <c r="AB1034" s="604" t="s">
        <v>453</v>
      </c>
      <c r="AC1034" s="604" t="s">
        <v>395</v>
      </c>
      <c r="AD1034" s="604" t="s">
        <v>133</v>
      </c>
      <c r="AE1034" s="604">
        <v>4</v>
      </c>
      <c r="AF1034" s="604">
        <v>70</v>
      </c>
      <c r="AG1034" s="604">
        <v>57.1</v>
      </c>
      <c r="AH1034" s="604" t="s">
        <v>437</v>
      </c>
      <c r="AR1034" s="538" t="str">
        <f t="shared" si="127"/>
        <v>1500-2499bwtinfantTaranaki</v>
      </c>
      <c r="AS1034" s="604">
        <v>2016</v>
      </c>
      <c r="AT1034" s="604" t="s">
        <v>430</v>
      </c>
      <c r="AU1034" s="604" t="s">
        <v>447</v>
      </c>
      <c r="AV1034" s="604" t="s">
        <v>93</v>
      </c>
      <c r="AW1034" s="604">
        <v>1</v>
      </c>
      <c r="AX1034" s="604">
        <v>85</v>
      </c>
      <c r="AY1034" s="606">
        <v>11.8</v>
      </c>
      <c r="AZ1034" s="604" t="s">
        <v>437</v>
      </c>
      <c r="BY1034" s="553" t="str">
        <f t="shared" si="131"/>
        <v>201420-24ageSUDI</v>
      </c>
      <c r="BZ1034" s="604">
        <v>2014</v>
      </c>
      <c r="CA1034" s="604" t="s">
        <v>130</v>
      </c>
      <c r="CB1034" s="604" t="s">
        <v>453</v>
      </c>
      <c r="CC1034" s="604">
        <v>14</v>
      </c>
      <c r="CD1034" s="604" t="s">
        <v>33</v>
      </c>
    </row>
    <row r="1035" spans="9:82">
      <c r="I1035" s="578" t="str">
        <f t="shared" si="128"/>
        <v>2011dhbCounties ManukauFetal</v>
      </c>
      <c r="J1035" s="604">
        <v>2011</v>
      </c>
      <c r="K1035" s="604" t="s">
        <v>448</v>
      </c>
      <c r="L1035" s="604" t="s">
        <v>88</v>
      </c>
      <c r="M1035" s="604">
        <v>73</v>
      </c>
      <c r="N1035" s="604">
        <v>8681</v>
      </c>
      <c r="O1035" s="604">
        <v>8.4</v>
      </c>
      <c r="P1035" s="604" t="s">
        <v>47</v>
      </c>
      <c r="Q1035" s="499"/>
      <c r="R1035" s="575" t="str">
        <f t="shared" si="129"/>
        <v>2013birthsage35-39</v>
      </c>
      <c r="S1035" s="604">
        <v>2013</v>
      </c>
      <c r="T1035" s="604" t="s">
        <v>445</v>
      </c>
      <c r="U1035" s="604" t="s">
        <v>453</v>
      </c>
      <c r="V1035" s="604" t="s">
        <v>133</v>
      </c>
      <c r="W1035" s="604">
        <v>10235</v>
      </c>
      <c r="Y1035" s="535" t="str">
        <f t="shared" si="130"/>
        <v>2016gestage32-3635-39infant</v>
      </c>
      <c r="Z1035" s="604">
        <v>2016</v>
      </c>
      <c r="AA1035" s="604" t="s">
        <v>450</v>
      </c>
      <c r="AB1035" s="604" t="s">
        <v>453</v>
      </c>
      <c r="AC1035" s="604" t="s">
        <v>136</v>
      </c>
      <c r="AD1035" s="604" t="s">
        <v>133</v>
      </c>
      <c r="AE1035" s="604">
        <v>1</v>
      </c>
      <c r="AF1035" s="604">
        <v>683</v>
      </c>
      <c r="AG1035" s="604">
        <v>1.5</v>
      </c>
      <c r="AH1035" s="604" t="s">
        <v>437</v>
      </c>
      <c r="AR1035" s="538" t="str">
        <f t="shared" si="127"/>
        <v>2500-4499bwtinfantTaranaki</v>
      </c>
      <c r="AS1035" s="604">
        <v>2016</v>
      </c>
      <c r="AT1035" s="604" t="s">
        <v>431</v>
      </c>
      <c r="AU1035" s="604" t="s">
        <v>447</v>
      </c>
      <c r="AV1035" s="604" t="s">
        <v>93</v>
      </c>
      <c r="AW1035" s="604">
        <v>3</v>
      </c>
      <c r="AX1035" s="604">
        <v>1367</v>
      </c>
      <c r="AY1035" s="606">
        <v>2.2000000000000002</v>
      </c>
      <c r="AZ1035" s="604" t="s">
        <v>437</v>
      </c>
      <c r="BY1035" s="553" t="str">
        <f t="shared" si="131"/>
        <v>201425-29ageSUDI</v>
      </c>
      <c r="BZ1035" s="604">
        <v>2014</v>
      </c>
      <c r="CA1035" s="604" t="s">
        <v>131</v>
      </c>
      <c r="CB1035" s="604" t="s">
        <v>453</v>
      </c>
      <c r="CC1035" s="604">
        <v>8</v>
      </c>
      <c r="CD1035" s="604" t="s">
        <v>33</v>
      </c>
    </row>
    <row r="1036" spans="9:82">
      <c r="I1036" s="578" t="str">
        <f t="shared" si="128"/>
        <v>2011dhbWaikatoFetal</v>
      </c>
      <c r="J1036" s="604">
        <v>2011</v>
      </c>
      <c r="K1036" s="604" t="s">
        <v>448</v>
      </c>
      <c r="L1036" s="604" t="s">
        <v>89</v>
      </c>
      <c r="M1036" s="604">
        <v>40</v>
      </c>
      <c r="N1036" s="604">
        <v>5441</v>
      </c>
      <c r="O1036" s="604">
        <v>7.4</v>
      </c>
      <c r="P1036" s="604" t="s">
        <v>47</v>
      </c>
      <c r="Q1036" s="499"/>
      <c r="R1036" s="575" t="str">
        <f t="shared" si="129"/>
        <v>2013birthsage40+</v>
      </c>
      <c r="S1036" s="604">
        <v>2013</v>
      </c>
      <c r="T1036" s="604" t="s">
        <v>445</v>
      </c>
      <c r="U1036" s="604" t="s">
        <v>453</v>
      </c>
      <c r="V1036" s="604" t="s">
        <v>134</v>
      </c>
      <c r="W1036" s="604">
        <v>2618</v>
      </c>
      <c r="Y1036" s="535" t="str">
        <f t="shared" si="130"/>
        <v>2016gestage37-4135-39infant</v>
      </c>
      <c r="Z1036" s="604">
        <v>2016</v>
      </c>
      <c r="AA1036" s="604" t="s">
        <v>450</v>
      </c>
      <c r="AB1036" s="604" t="s">
        <v>453</v>
      </c>
      <c r="AC1036" s="604" t="s">
        <v>137</v>
      </c>
      <c r="AD1036" s="604" t="s">
        <v>133</v>
      </c>
      <c r="AE1036" s="604">
        <v>15</v>
      </c>
      <c r="AF1036" s="604">
        <v>9143</v>
      </c>
      <c r="AG1036" s="604">
        <v>1.6</v>
      </c>
      <c r="AH1036" s="604" t="s">
        <v>437</v>
      </c>
      <c r="AR1036" s="538" t="str">
        <f t="shared" si="127"/>
        <v>&lt;500bwtinfantMidCentral</v>
      </c>
      <c r="AS1036" s="604">
        <v>2016</v>
      </c>
      <c r="AT1036" s="604" t="s">
        <v>427</v>
      </c>
      <c r="AU1036" s="604" t="s">
        <v>447</v>
      </c>
      <c r="AV1036" s="604" t="s">
        <v>94</v>
      </c>
      <c r="AW1036" s="604">
        <v>1</v>
      </c>
      <c r="AX1036" s="604">
        <v>1</v>
      </c>
      <c r="AY1036" s="606">
        <v>1000</v>
      </c>
      <c r="AZ1036" s="604" t="s">
        <v>437</v>
      </c>
      <c r="BY1036" s="553" t="str">
        <f t="shared" si="131"/>
        <v>201430-34ageSUDI</v>
      </c>
      <c r="BZ1036" s="604">
        <v>2014</v>
      </c>
      <c r="CA1036" s="604" t="s">
        <v>132</v>
      </c>
      <c r="CB1036" s="604" t="s">
        <v>453</v>
      </c>
      <c r="CC1036" s="604">
        <v>5</v>
      </c>
      <c r="CD1036" s="604" t="s">
        <v>33</v>
      </c>
    </row>
    <row r="1037" spans="9:82">
      <c r="I1037" s="578" t="str">
        <f t="shared" si="128"/>
        <v>2011dhbLakesFetal</v>
      </c>
      <c r="J1037" s="604">
        <v>2011</v>
      </c>
      <c r="K1037" s="604" t="s">
        <v>448</v>
      </c>
      <c r="L1037" s="604" t="s">
        <v>90</v>
      </c>
      <c r="M1037" s="604">
        <v>12</v>
      </c>
      <c r="N1037" s="604">
        <v>1564</v>
      </c>
      <c r="O1037" s="604">
        <v>7.7</v>
      </c>
      <c r="P1037" s="604" t="s">
        <v>47</v>
      </c>
      <c r="Q1037" s="499"/>
      <c r="R1037" s="575" t="str">
        <f t="shared" si="129"/>
        <v>2014birthsage&lt;20</v>
      </c>
      <c r="S1037" s="604">
        <v>2014</v>
      </c>
      <c r="T1037" s="604" t="s">
        <v>445</v>
      </c>
      <c r="U1037" s="604" t="s">
        <v>453</v>
      </c>
      <c r="V1037" s="604" t="s">
        <v>339</v>
      </c>
      <c r="W1037" s="604">
        <v>3017</v>
      </c>
      <c r="Y1037" s="535" t="str">
        <f t="shared" si="130"/>
        <v>2016gestage42+35-39infant</v>
      </c>
      <c r="Z1037" s="604">
        <v>2016</v>
      </c>
      <c r="AA1037" s="604" t="s">
        <v>450</v>
      </c>
      <c r="AB1037" s="604" t="s">
        <v>453</v>
      </c>
      <c r="AC1037" s="604" t="s">
        <v>138</v>
      </c>
      <c r="AD1037" s="604" t="s">
        <v>133</v>
      </c>
      <c r="AE1037" s="604">
        <v>0</v>
      </c>
      <c r="AF1037" s="604">
        <v>162</v>
      </c>
      <c r="AG1037" s="604">
        <v>0</v>
      </c>
      <c r="AH1037" s="604" t="s">
        <v>437</v>
      </c>
      <c r="AR1037" s="538" t="str">
        <f t="shared" si="127"/>
        <v>1000-1499bwtinfantMidCentral</v>
      </c>
      <c r="AS1037" s="604">
        <v>2016</v>
      </c>
      <c r="AT1037" s="604" t="s">
        <v>429</v>
      </c>
      <c r="AU1037" s="604" t="s">
        <v>447</v>
      </c>
      <c r="AV1037" s="604" t="s">
        <v>94</v>
      </c>
      <c r="AW1037" s="604">
        <v>1</v>
      </c>
      <c r="AX1037" s="604">
        <v>19</v>
      </c>
      <c r="AY1037" s="606">
        <v>52.6</v>
      </c>
      <c r="AZ1037" s="604" t="s">
        <v>437</v>
      </c>
      <c r="BY1037" s="553" t="str">
        <f t="shared" si="131"/>
        <v>201435-39ageSUDI</v>
      </c>
      <c r="BZ1037" s="604">
        <v>2014</v>
      </c>
      <c r="CA1037" s="604" t="s">
        <v>133</v>
      </c>
      <c r="CB1037" s="604" t="s">
        <v>453</v>
      </c>
      <c r="CC1037" s="604">
        <v>4</v>
      </c>
      <c r="CD1037" s="604" t="s">
        <v>33</v>
      </c>
    </row>
    <row r="1038" spans="9:82">
      <c r="I1038" s="578" t="str">
        <f t="shared" si="128"/>
        <v>2011dhbBay of PlentyFetal</v>
      </c>
      <c r="J1038" s="604">
        <v>2011</v>
      </c>
      <c r="K1038" s="604" t="s">
        <v>448</v>
      </c>
      <c r="L1038" s="604" t="s">
        <v>91</v>
      </c>
      <c r="M1038" s="604">
        <v>15</v>
      </c>
      <c r="N1038" s="604">
        <v>2990</v>
      </c>
      <c r="O1038" s="604">
        <v>5</v>
      </c>
      <c r="P1038" s="604" t="s">
        <v>47</v>
      </c>
      <c r="Q1038" s="499"/>
      <c r="R1038" s="575" t="str">
        <f t="shared" si="129"/>
        <v>2014birthsage20-24</v>
      </c>
      <c r="S1038" s="604">
        <v>2014</v>
      </c>
      <c r="T1038" s="604" t="s">
        <v>445</v>
      </c>
      <c r="U1038" s="604" t="s">
        <v>453</v>
      </c>
      <c r="V1038" s="604" t="s">
        <v>130</v>
      </c>
      <c r="W1038" s="604">
        <v>10235</v>
      </c>
      <c r="Y1038" s="535" t="str">
        <f t="shared" si="130"/>
        <v>2016gestageUnknown35-39infant</v>
      </c>
      <c r="Z1038" s="604">
        <v>2016</v>
      </c>
      <c r="AA1038" s="604" t="s">
        <v>450</v>
      </c>
      <c r="AB1038" s="604" t="s">
        <v>453</v>
      </c>
      <c r="AC1038" s="604" t="s">
        <v>63</v>
      </c>
      <c r="AD1038" s="604" t="s">
        <v>133</v>
      </c>
      <c r="AE1038" s="604">
        <v>0</v>
      </c>
      <c r="AF1038" s="604">
        <v>3</v>
      </c>
      <c r="AG1038" s="604" t="s">
        <v>119</v>
      </c>
      <c r="AH1038" s="604" t="s">
        <v>437</v>
      </c>
      <c r="AR1038" s="538" t="str">
        <f t="shared" si="127"/>
        <v>1500-2499bwtinfantMidCentral</v>
      </c>
      <c r="AS1038" s="604">
        <v>2016</v>
      </c>
      <c r="AT1038" s="604" t="s">
        <v>430</v>
      </c>
      <c r="AU1038" s="604" t="s">
        <v>447</v>
      </c>
      <c r="AV1038" s="604" t="s">
        <v>94</v>
      </c>
      <c r="AW1038" s="604">
        <v>1</v>
      </c>
      <c r="AX1038" s="604">
        <v>129</v>
      </c>
      <c r="AY1038" s="606">
        <v>7.8</v>
      </c>
      <c r="AZ1038" s="604" t="s">
        <v>437</v>
      </c>
      <c r="BY1038" s="553" t="str">
        <f t="shared" si="131"/>
        <v>201440+ageSUDI</v>
      </c>
      <c r="BZ1038" s="604">
        <v>2014</v>
      </c>
      <c r="CA1038" s="604" t="s">
        <v>134</v>
      </c>
      <c r="CB1038" s="604" t="s">
        <v>453</v>
      </c>
      <c r="CC1038" s="604">
        <v>1</v>
      </c>
      <c r="CD1038" s="604" t="s">
        <v>33</v>
      </c>
    </row>
    <row r="1039" spans="9:82">
      <c r="I1039" s="578" t="str">
        <f t="shared" si="128"/>
        <v>2011dhbTairawhitiFetal</v>
      </c>
      <c r="J1039" s="604">
        <v>2011</v>
      </c>
      <c r="K1039" s="604" t="s">
        <v>448</v>
      </c>
      <c r="L1039" s="604" t="s">
        <v>433</v>
      </c>
      <c r="M1039" s="604">
        <v>4</v>
      </c>
      <c r="N1039" s="604">
        <v>760</v>
      </c>
      <c r="O1039" s="604">
        <v>5.3</v>
      </c>
      <c r="P1039" s="604" t="s">
        <v>47</v>
      </c>
      <c r="Q1039" s="499"/>
      <c r="R1039" s="575" t="str">
        <f t="shared" si="129"/>
        <v>2014birthsage25-29</v>
      </c>
      <c r="S1039" s="604">
        <v>2014</v>
      </c>
      <c r="T1039" s="604" t="s">
        <v>445</v>
      </c>
      <c r="U1039" s="604" t="s">
        <v>453</v>
      </c>
      <c r="V1039" s="604" t="s">
        <v>131</v>
      </c>
      <c r="W1039" s="604">
        <v>15519</v>
      </c>
      <c r="Y1039" s="535" t="str">
        <f t="shared" si="130"/>
        <v>2016gestage&lt;2840+infant</v>
      </c>
      <c r="Z1039" s="604">
        <v>2016</v>
      </c>
      <c r="AA1039" s="604" t="s">
        <v>450</v>
      </c>
      <c r="AB1039" s="604" t="s">
        <v>453</v>
      </c>
      <c r="AC1039" s="604" t="s">
        <v>375</v>
      </c>
      <c r="AD1039" s="604" t="s">
        <v>134</v>
      </c>
      <c r="AE1039" s="604">
        <v>6</v>
      </c>
      <c r="AF1039" s="604">
        <v>16</v>
      </c>
      <c r="AG1039" s="604">
        <v>375</v>
      </c>
      <c r="AH1039" s="604" t="s">
        <v>437</v>
      </c>
      <c r="AR1039" s="538" t="str">
        <f t="shared" si="127"/>
        <v>2500-4499bwtinfantMidCentral</v>
      </c>
      <c r="AS1039" s="604">
        <v>2016</v>
      </c>
      <c r="AT1039" s="604" t="s">
        <v>431</v>
      </c>
      <c r="AU1039" s="604" t="s">
        <v>447</v>
      </c>
      <c r="AV1039" s="604" t="s">
        <v>94</v>
      </c>
      <c r="AW1039" s="604">
        <v>5</v>
      </c>
      <c r="AX1039" s="604">
        <v>1892</v>
      </c>
      <c r="AY1039" s="606">
        <v>2.6</v>
      </c>
      <c r="AZ1039" s="604" t="s">
        <v>437</v>
      </c>
      <c r="BY1039" s="553" t="str">
        <f t="shared" si="131"/>
        <v>2014UnknownageSUDI</v>
      </c>
      <c r="BZ1039" s="604">
        <v>2014</v>
      </c>
      <c r="CA1039" s="604" t="s">
        <v>63</v>
      </c>
      <c r="CB1039" s="604" t="s">
        <v>453</v>
      </c>
      <c r="CC1039" s="604">
        <v>1</v>
      </c>
      <c r="CD1039" s="604" t="s">
        <v>33</v>
      </c>
    </row>
    <row r="1040" spans="9:82">
      <c r="I1040" s="578" t="str">
        <f t="shared" si="128"/>
        <v>2011dhbHawke's BayFetal</v>
      </c>
      <c r="J1040" s="604">
        <v>2011</v>
      </c>
      <c r="K1040" s="604" t="s">
        <v>448</v>
      </c>
      <c r="L1040" s="604" t="s">
        <v>92</v>
      </c>
      <c r="M1040" s="604">
        <v>20</v>
      </c>
      <c r="N1040" s="604">
        <v>2270</v>
      </c>
      <c r="O1040" s="604">
        <v>8.8000000000000007</v>
      </c>
      <c r="P1040" s="604" t="s">
        <v>47</v>
      </c>
      <c r="Q1040" s="499"/>
      <c r="R1040" s="575" t="str">
        <f t="shared" si="129"/>
        <v>2014birthsage30-34</v>
      </c>
      <c r="S1040" s="604">
        <v>2014</v>
      </c>
      <c r="T1040" s="604" t="s">
        <v>445</v>
      </c>
      <c r="U1040" s="604" t="s">
        <v>453</v>
      </c>
      <c r="V1040" s="604" t="s">
        <v>132</v>
      </c>
      <c r="W1040" s="604">
        <v>17375</v>
      </c>
      <c r="Y1040" s="535" t="str">
        <f t="shared" si="130"/>
        <v>2016gestage28-3140+infant</v>
      </c>
      <c r="Z1040" s="604">
        <v>2016</v>
      </c>
      <c r="AA1040" s="604" t="s">
        <v>450</v>
      </c>
      <c r="AB1040" s="604" t="s">
        <v>453</v>
      </c>
      <c r="AC1040" s="604" t="s">
        <v>395</v>
      </c>
      <c r="AD1040" s="604" t="s">
        <v>134</v>
      </c>
      <c r="AE1040" s="604">
        <v>2</v>
      </c>
      <c r="AF1040" s="604">
        <v>20</v>
      </c>
      <c r="AG1040" s="604">
        <v>100</v>
      </c>
      <c r="AH1040" s="604" t="s">
        <v>437</v>
      </c>
      <c r="AR1040" s="538" t="str">
        <f t="shared" si="127"/>
        <v>UnknownbwtinfantMidCentral</v>
      </c>
      <c r="AS1040" s="604">
        <v>2016</v>
      </c>
      <c r="AT1040" s="604" t="s">
        <v>63</v>
      </c>
      <c r="AU1040" s="604" t="s">
        <v>447</v>
      </c>
      <c r="AV1040" s="604" t="s">
        <v>94</v>
      </c>
      <c r="AW1040" s="604">
        <v>2</v>
      </c>
      <c r="AX1040" s="604">
        <v>1</v>
      </c>
      <c r="AY1040" s="606" t="s">
        <v>119</v>
      </c>
      <c r="AZ1040" s="604" t="s">
        <v>437</v>
      </c>
      <c r="BY1040" s="553" t="str">
        <f t="shared" si="131"/>
        <v>2015&lt;20ageSUDI</v>
      </c>
      <c r="BZ1040" s="604">
        <v>2015</v>
      </c>
      <c r="CA1040" s="604" t="s">
        <v>339</v>
      </c>
      <c r="CB1040" s="604" t="s">
        <v>453</v>
      </c>
      <c r="CC1040" s="604">
        <v>6</v>
      </c>
      <c r="CD1040" s="604" t="s">
        <v>33</v>
      </c>
    </row>
    <row r="1041" spans="9:82">
      <c r="I1041" s="578" t="str">
        <f t="shared" si="128"/>
        <v>2011dhbTaranakiFetal</v>
      </c>
      <c r="J1041" s="604">
        <v>2011</v>
      </c>
      <c r="K1041" s="604" t="s">
        <v>448</v>
      </c>
      <c r="L1041" s="604" t="s">
        <v>93</v>
      </c>
      <c r="M1041" s="604">
        <v>12</v>
      </c>
      <c r="N1041" s="604">
        <v>1579</v>
      </c>
      <c r="O1041" s="604">
        <v>7.6</v>
      </c>
      <c r="P1041" s="604" t="s">
        <v>47</v>
      </c>
      <c r="Q1041" s="499"/>
      <c r="R1041" s="575" t="str">
        <f t="shared" si="129"/>
        <v>2014birthsage35-39</v>
      </c>
      <c r="S1041" s="604">
        <v>2014</v>
      </c>
      <c r="T1041" s="604" t="s">
        <v>445</v>
      </c>
      <c r="U1041" s="604" t="s">
        <v>453</v>
      </c>
      <c r="V1041" s="604" t="s">
        <v>133</v>
      </c>
      <c r="W1041" s="604">
        <v>9639</v>
      </c>
      <c r="Y1041" s="535" t="str">
        <f t="shared" si="130"/>
        <v>2016gestage32-3640+infant</v>
      </c>
      <c r="Z1041" s="604">
        <v>2016</v>
      </c>
      <c r="AA1041" s="604" t="s">
        <v>450</v>
      </c>
      <c r="AB1041" s="604" t="s">
        <v>453</v>
      </c>
      <c r="AC1041" s="604" t="s">
        <v>136</v>
      </c>
      <c r="AD1041" s="604" t="s">
        <v>134</v>
      </c>
      <c r="AE1041" s="604">
        <v>2</v>
      </c>
      <c r="AF1041" s="604">
        <v>234</v>
      </c>
      <c r="AG1041" s="604">
        <v>8.5</v>
      </c>
      <c r="AH1041" s="604" t="s">
        <v>437</v>
      </c>
      <c r="AR1041" s="538" t="str">
        <f t="shared" si="127"/>
        <v>1500-2499bwtinfantWhanganui</v>
      </c>
      <c r="AS1041" s="604">
        <v>2016</v>
      </c>
      <c r="AT1041" s="604" t="s">
        <v>430</v>
      </c>
      <c r="AU1041" s="604" t="s">
        <v>447</v>
      </c>
      <c r="AV1041" s="604" t="s">
        <v>95</v>
      </c>
      <c r="AW1041" s="604">
        <v>1</v>
      </c>
      <c r="AX1041" s="604">
        <v>46</v>
      </c>
      <c r="AY1041" s="606">
        <v>21.7</v>
      </c>
      <c r="AZ1041" s="604" t="s">
        <v>437</v>
      </c>
      <c r="BY1041" s="553" t="str">
        <f t="shared" si="131"/>
        <v>201520-24ageSUDI</v>
      </c>
      <c r="BZ1041" s="604">
        <v>2015</v>
      </c>
      <c r="CA1041" s="604" t="s">
        <v>130</v>
      </c>
      <c r="CB1041" s="604" t="s">
        <v>453</v>
      </c>
      <c r="CC1041" s="604">
        <v>17</v>
      </c>
      <c r="CD1041" s="604" t="s">
        <v>33</v>
      </c>
    </row>
    <row r="1042" spans="9:82">
      <c r="I1042" s="578" t="str">
        <f t="shared" si="128"/>
        <v>2011dhbMidCentralFetal</v>
      </c>
      <c r="J1042" s="604">
        <v>2011</v>
      </c>
      <c r="K1042" s="604" t="s">
        <v>448</v>
      </c>
      <c r="L1042" s="604" t="s">
        <v>94</v>
      </c>
      <c r="M1042" s="604">
        <v>14</v>
      </c>
      <c r="N1042" s="604">
        <v>2378</v>
      </c>
      <c r="O1042" s="604">
        <v>5.9</v>
      </c>
      <c r="P1042" s="604" t="s">
        <v>47</v>
      </c>
      <c r="Q1042" s="499"/>
      <c r="R1042" s="575" t="str">
        <f t="shared" si="129"/>
        <v>2014birthsage40+</v>
      </c>
      <c r="S1042" s="604">
        <v>2014</v>
      </c>
      <c r="T1042" s="604" t="s">
        <v>445</v>
      </c>
      <c r="U1042" s="604" t="s">
        <v>453</v>
      </c>
      <c r="V1042" s="604" t="s">
        <v>134</v>
      </c>
      <c r="W1042" s="604">
        <v>2500</v>
      </c>
      <c r="Y1042" s="535" t="str">
        <f t="shared" si="130"/>
        <v>2016gestage37-4140+infant</v>
      </c>
      <c r="Z1042" s="604">
        <v>2016</v>
      </c>
      <c r="AA1042" s="604" t="s">
        <v>450</v>
      </c>
      <c r="AB1042" s="604" t="s">
        <v>453</v>
      </c>
      <c r="AC1042" s="604" t="s">
        <v>137</v>
      </c>
      <c r="AD1042" s="604" t="s">
        <v>134</v>
      </c>
      <c r="AE1042" s="604">
        <v>4</v>
      </c>
      <c r="AF1042" s="604">
        <v>2163</v>
      </c>
      <c r="AG1042" s="604">
        <v>1.8</v>
      </c>
      <c r="AH1042" s="604" t="s">
        <v>437</v>
      </c>
      <c r="AR1042" s="538" t="str">
        <f t="shared" si="127"/>
        <v>2500-4499bwtinfantWhanganui</v>
      </c>
      <c r="AS1042" s="604">
        <v>2016</v>
      </c>
      <c r="AT1042" s="604" t="s">
        <v>431</v>
      </c>
      <c r="AU1042" s="604" t="s">
        <v>447</v>
      </c>
      <c r="AV1042" s="604" t="s">
        <v>95</v>
      </c>
      <c r="AW1042" s="604">
        <v>4</v>
      </c>
      <c r="AX1042" s="604">
        <v>773</v>
      </c>
      <c r="AY1042" s="606">
        <v>5.2</v>
      </c>
      <c r="AZ1042" s="604" t="s">
        <v>437</v>
      </c>
      <c r="BY1042" s="553" t="str">
        <f t="shared" si="131"/>
        <v>201525-29ageSUDI</v>
      </c>
      <c r="BZ1042" s="604">
        <v>2015</v>
      </c>
      <c r="CA1042" s="604" t="s">
        <v>131</v>
      </c>
      <c r="CB1042" s="604" t="s">
        <v>453</v>
      </c>
      <c r="CC1042" s="604">
        <v>7</v>
      </c>
      <c r="CD1042" s="604" t="s">
        <v>33</v>
      </c>
    </row>
    <row r="1043" spans="9:82">
      <c r="I1043" s="578" t="str">
        <f t="shared" si="128"/>
        <v>2011dhbWhanganuiFetal</v>
      </c>
      <c r="J1043" s="604">
        <v>2011</v>
      </c>
      <c r="K1043" s="604" t="s">
        <v>448</v>
      </c>
      <c r="L1043" s="604" t="s">
        <v>95</v>
      </c>
      <c r="M1043" s="604">
        <v>5</v>
      </c>
      <c r="N1043" s="604">
        <v>832</v>
      </c>
      <c r="O1043" s="604">
        <v>6</v>
      </c>
      <c r="P1043" s="604" t="s">
        <v>47</v>
      </c>
      <c r="Q1043" s="499"/>
      <c r="R1043" s="575" t="str">
        <f t="shared" si="129"/>
        <v>2015birthsage&lt;20</v>
      </c>
      <c r="S1043" s="604">
        <v>2015</v>
      </c>
      <c r="T1043" s="604" t="s">
        <v>445</v>
      </c>
      <c r="U1043" s="604" t="s">
        <v>453</v>
      </c>
      <c r="V1043" s="604" t="s">
        <v>339</v>
      </c>
      <c r="W1043" s="604">
        <v>2977</v>
      </c>
      <c r="Y1043" s="535" t="str">
        <f t="shared" si="130"/>
        <v>2016gestage42+40+infant</v>
      </c>
      <c r="Z1043" s="604">
        <v>2016</v>
      </c>
      <c r="AA1043" s="604" t="s">
        <v>450</v>
      </c>
      <c r="AB1043" s="604" t="s">
        <v>453</v>
      </c>
      <c r="AC1043" s="604" t="s">
        <v>138</v>
      </c>
      <c r="AD1043" s="604" t="s">
        <v>134</v>
      </c>
      <c r="AE1043" s="604">
        <v>0</v>
      </c>
      <c r="AF1043" s="604">
        <v>18</v>
      </c>
      <c r="AG1043" s="604">
        <v>0</v>
      </c>
      <c r="AH1043" s="604" t="s">
        <v>437</v>
      </c>
      <c r="AR1043" s="538" t="str">
        <f t="shared" si="127"/>
        <v>UnknownbwtinfantWhanganui</v>
      </c>
      <c r="AS1043" s="604">
        <v>2016</v>
      </c>
      <c r="AT1043" s="604" t="s">
        <v>63</v>
      </c>
      <c r="AU1043" s="604" t="s">
        <v>447</v>
      </c>
      <c r="AV1043" s="604" t="s">
        <v>95</v>
      </c>
      <c r="AW1043" s="604">
        <v>1</v>
      </c>
      <c r="AX1043" s="604">
        <v>0</v>
      </c>
      <c r="AY1043" s="606" t="s">
        <v>119</v>
      </c>
      <c r="AZ1043" s="604" t="s">
        <v>437</v>
      </c>
      <c r="BY1043" s="553" t="str">
        <f t="shared" si="131"/>
        <v>201530-34ageSUDI</v>
      </c>
      <c r="BZ1043" s="604">
        <v>2015</v>
      </c>
      <c r="CA1043" s="604" t="s">
        <v>132</v>
      </c>
      <c r="CB1043" s="604" t="s">
        <v>453</v>
      </c>
      <c r="CC1043" s="604">
        <v>8</v>
      </c>
      <c r="CD1043" s="604" t="s">
        <v>33</v>
      </c>
    </row>
    <row r="1044" spans="9:82">
      <c r="I1044" s="578" t="str">
        <f t="shared" si="128"/>
        <v>2011dhbCapital &amp; CoastFetal</v>
      </c>
      <c r="J1044" s="604">
        <v>2011</v>
      </c>
      <c r="K1044" s="604" t="s">
        <v>448</v>
      </c>
      <c r="L1044" s="604" t="s">
        <v>96</v>
      </c>
      <c r="M1044" s="604">
        <v>20</v>
      </c>
      <c r="N1044" s="604">
        <v>3902</v>
      </c>
      <c r="O1044" s="604">
        <v>5.0999999999999996</v>
      </c>
      <c r="P1044" s="604" t="s">
        <v>47</v>
      </c>
      <c r="Q1044" s="499"/>
      <c r="R1044" s="575" t="str">
        <f t="shared" si="129"/>
        <v>2015birthsage20-24</v>
      </c>
      <c r="S1044" s="604">
        <v>2015</v>
      </c>
      <c r="T1044" s="604" t="s">
        <v>445</v>
      </c>
      <c r="U1044" s="604" t="s">
        <v>453</v>
      </c>
      <c r="V1044" s="604" t="s">
        <v>130</v>
      </c>
      <c r="W1044" s="604">
        <v>10795</v>
      </c>
      <c r="Y1044" s="535" t="str">
        <f t="shared" si="130"/>
        <v>2016gestageUnknown40+infant</v>
      </c>
      <c r="Z1044" s="604">
        <v>2016</v>
      </c>
      <c r="AA1044" s="604" t="s">
        <v>450</v>
      </c>
      <c r="AB1044" s="604" t="s">
        <v>453</v>
      </c>
      <c r="AC1044" s="604" t="s">
        <v>63</v>
      </c>
      <c r="AD1044" s="604" t="s">
        <v>134</v>
      </c>
      <c r="AE1044" s="604">
        <v>1</v>
      </c>
      <c r="AF1044" s="604">
        <v>3</v>
      </c>
      <c r="AG1044" s="604" t="s">
        <v>119</v>
      </c>
      <c r="AH1044" s="604" t="s">
        <v>437</v>
      </c>
      <c r="AR1044" s="538" t="str">
        <f t="shared" si="127"/>
        <v>500-999bwtinfantCapital &amp; Coast</v>
      </c>
      <c r="AS1044" s="604">
        <v>2016</v>
      </c>
      <c r="AT1044" s="604" t="s">
        <v>428</v>
      </c>
      <c r="AU1044" s="604" t="s">
        <v>447</v>
      </c>
      <c r="AV1044" s="604" t="s">
        <v>96</v>
      </c>
      <c r="AW1044" s="604">
        <v>2</v>
      </c>
      <c r="AX1044" s="604">
        <v>11</v>
      </c>
      <c r="AY1044" s="606">
        <v>181.8</v>
      </c>
      <c r="AZ1044" s="604" t="s">
        <v>437</v>
      </c>
      <c r="BY1044" s="553" t="str">
        <f t="shared" si="131"/>
        <v>201535-39ageSUDI</v>
      </c>
      <c r="BZ1044" s="604">
        <v>2015</v>
      </c>
      <c r="CA1044" s="604" t="s">
        <v>133</v>
      </c>
      <c r="CB1044" s="604" t="s">
        <v>453</v>
      </c>
      <c r="CC1044" s="604">
        <v>3</v>
      </c>
      <c r="CD1044" s="604" t="s">
        <v>33</v>
      </c>
    </row>
    <row r="1045" spans="9:82">
      <c r="I1045" s="578" t="str">
        <f t="shared" si="128"/>
        <v>2011dhbHutt ValleyFetal</v>
      </c>
      <c r="J1045" s="604">
        <v>2011</v>
      </c>
      <c r="K1045" s="604" t="s">
        <v>448</v>
      </c>
      <c r="L1045" s="604" t="s">
        <v>97</v>
      </c>
      <c r="M1045" s="604">
        <v>22</v>
      </c>
      <c r="N1045" s="604">
        <v>2074</v>
      </c>
      <c r="O1045" s="604">
        <v>10.6</v>
      </c>
      <c r="P1045" s="604" t="s">
        <v>47</v>
      </c>
      <c r="Q1045" s="499"/>
      <c r="R1045" s="575" t="str">
        <f t="shared" si="129"/>
        <v>2015birthsage25-29</v>
      </c>
      <c r="S1045" s="604">
        <v>2015</v>
      </c>
      <c r="T1045" s="604" t="s">
        <v>445</v>
      </c>
      <c r="U1045" s="604" t="s">
        <v>453</v>
      </c>
      <c r="V1045" s="604" t="s">
        <v>131</v>
      </c>
      <c r="W1045" s="604">
        <v>16661</v>
      </c>
      <c r="Y1045" s="535" t="str">
        <f t="shared" si="130"/>
        <v>2016ethbwtMaori&lt;500infant</v>
      </c>
      <c r="Z1045" s="604">
        <v>2016</v>
      </c>
      <c r="AA1045" s="604" t="s">
        <v>449</v>
      </c>
      <c r="AB1045" s="604" t="s">
        <v>447</v>
      </c>
      <c r="AC1045" s="604" t="s">
        <v>129</v>
      </c>
      <c r="AD1045" s="604" t="s">
        <v>427</v>
      </c>
      <c r="AE1045" s="604">
        <v>13</v>
      </c>
      <c r="AF1045" s="604">
        <v>14</v>
      </c>
      <c r="AG1045" s="604">
        <v>928.6</v>
      </c>
      <c r="AH1045" s="604" t="s">
        <v>437</v>
      </c>
      <c r="AR1045" s="538" t="str">
        <f t="shared" si="127"/>
        <v>1000-1499bwtinfantCapital &amp; Coast</v>
      </c>
      <c r="AS1045" s="604">
        <v>2016</v>
      </c>
      <c r="AT1045" s="604" t="s">
        <v>429</v>
      </c>
      <c r="AU1045" s="604" t="s">
        <v>447</v>
      </c>
      <c r="AV1045" s="604" t="s">
        <v>96</v>
      </c>
      <c r="AW1045" s="604">
        <v>1</v>
      </c>
      <c r="AX1045" s="604">
        <v>18</v>
      </c>
      <c r="AY1045" s="606">
        <v>55.6</v>
      </c>
      <c r="AZ1045" s="604" t="s">
        <v>437</v>
      </c>
      <c r="BY1045" s="553" t="str">
        <f t="shared" si="131"/>
        <v>201540+ageSUDI</v>
      </c>
      <c r="BZ1045" s="604">
        <v>2015</v>
      </c>
      <c r="CA1045" s="604" t="s">
        <v>134</v>
      </c>
      <c r="CB1045" s="604" t="s">
        <v>453</v>
      </c>
      <c r="CC1045" s="604">
        <v>0</v>
      </c>
      <c r="CD1045" s="604" t="s">
        <v>33</v>
      </c>
    </row>
    <row r="1046" spans="9:82">
      <c r="I1046" s="578" t="str">
        <f t="shared" si="128"/>
        <v>2011dhbWairarapaFetal</v>
      </c>
      <c r="J1046" s="604">
        <v>2011</v>
      </c>
      <c r="K1046" s="604" t="s">
        <v>448</v>
      </c>
      <c r="L1046" s="604" t="s">
        <v>98</v>
      </c>
      <c r="M1046" s="604">
        <v>1</v>
      </c>
      <c r="N1046" s="604">
        <v>535</v>
      </c>
      <c r="O1046" s="604">
        <v>1.9</v>
      </c>
      <c r="P1046" s="604" t="s">
        <v>47</v>
      </c>
      <c r="Q1046" s="499"/>
      <c r="R1046" s="575" t="str">
        <f t="shared" si="129"/>
        <v>2015birthsage30-34</v>
      </c>
      <c r="S1046" s="604">
        <v>2015</v>
      </c>
      <c r="T1046" s="604" t="s">
        <v>445</v>
      </c>
      <c r="U1046" s="604" t="s">
        <v>453</v>
      </c>
      <c r="V1046" s="604" t="s">
        <v>132</v>
      </c>
      <c r="W1046" s="604">
        <v>18793</v>
      </c>
      <c r="Y1046" s="535" t="str">
        <f t="shared" si="130"/>
        <v>2016ethbwtPacific peoples&lt;500infant</v>
      </c>
      <c r="Z1046" s="604">
        <v>2016</v>
      </c>
      <c r="AA1046" s="604" t="s">
        <v>449</v>
      </c>
      <c r="AB1046" s="604" t="s">
        <v>447</v>
      </c>
      <c r="AC1046" s="604" t="s">
        <v>320</v>
      </c>
      <c r="AD1046" s="604" t="s">
        <v>427</v>
      </c>
      <c r="AE1046" s="604">
        <v>6</v>
      </c>
      <c r="AF1046" s="604">
        <v>5</v>
      </c>
      <c r="AG1046" s="604" t="s">
        <v>119</v>
      </c>
      <c r="AH1046" s="604" t="s">
        <v>437</v>
      </c>
      <c r="AR1046" s="538" t="str">
        <f t="shared" si="127"/>
        <v>1500-2499bwtinfantCapital &amp; Coast</v>
      </c>
      <c r="AS1046" s="604">
        <v>2016</v>
      </c>
      <c r="AT1046" s="604" t="s">
        <v>430</v>
      </c>
      <c r="AU1046" s="604" t="s">
        <v>447</v>
      </c>
      <c r="AV1046" s="604" t="s">
        <v>96</v>
      </c>
      <c r="AW1046" s="604">
        <v>2</v>
      </c>
      <c r="AX1046" s="604">
        <v>171</v>
      </c>
      <c r="AY1046" s="606">
        <v>11.7</v>
      </c>
      <c r="AZ1046" s="604" t="s">
        <v>437</v>
      </c>
      <c r="BY1046" s="553" t="str">
        <f t="shared" si="131"/>
        <v>2015UnknownageSUDI</v>
      </c>
      <c r="BZ1046" s="604">
        <v>2015</v>
      </c>
      <c r="CA1046" s="604" t="s">
        <v>63</v>
      </c>
      <c r="CB1046" s="604" t="s">
        <v>453</v>
      </c>
      <c r="CC1046" s="604">
        <v>3</v>
      </c>
      <c r="CD1046" s="604" t="s">
        <v>33</v>
      </c>
    </row>
    <row r="1047" spans="9:82">
      <c r="I1047" s="578" t="str">
        <f t="shared" si="128"/>
        <v>2011dhbNelson MarlboroughFetal</v>
      </c>
      <c r="J1047" s="604">
        <v>2011</v>
      </c>
      <c r="K1047" s="604" t="s">
        <v>448</v>
      </c>
      <c r="L1047" s="604" t="s">
        <v>99</v>
      </c>
      <c r="M1047" s="604">
        <v>11</v>
      </c>
      <c r="N1047" s="604">
        <v>1658</v>
      </c>
      <c r="O1047" s="604">
        <v>6.6</v>
      </c>
      <c r="P1047" s="604" t="s">
        <v>47</v>
      </c>
      <c r="Q1047" s="499"/>
      <c r="R1047" s="575" t="str">
        <f t="shared" si="129"/>
        <v>2015birthsage35-39</v>
      </c>
      <c r="S1047" s="604">
        <v>2015</v>
      </c>
      <c r="T1047" s="604" t="s">
        <v>445</v>
      </c>
      <c r="U1047" s="604" t="s">
        <v>453</v>
      </c>
      <c r="V1047" s="604" t="s">
        <v>133</v>
      </c>
      <c r="W1047" s="604">
        <v>10321</v>
      </c>
      <c r="Y1047" s="535" t="str">
        <f t="shared" si="130"/>
        <v>2016ethbwtAsian&lt;500infant</v>
      </c>
      <c r="Z1047" s="604">
        <v>2016</v>
      </c>
      <c r="AA1047" s="604" t="s">
        <v>449</v>
      </c>
      <c r="AB1047" s="604" t="s">
        <v>447</v>
      </c>
      <c r="AC1047" s="604" t="s">
        <v>355</v>
      </c>
      <c r="AD1047" s="604" t="s">
        <v>427</v>
      </c>
      <c r="AE1047" s="604">
        <v>9</v>
      </c>
      <c r="AF1047" s="604">
        <v>19</v>
      </c>
      <c r="AG1047" s="604">
        <v>473.7</v>
      </c>
      <c r="AH1047" s="604" t="s">
        <v>437</v>
      </c>
      <c r="AR1047" s="538" t="str">
        <f t="shared" si="127"/>
        <v>2500-4499bwtinfantCapital &amp; Coast</v>
      </c>
      <c r="AS1047" s="604">
        <v>2016</v>
      </c>
      <c r="AT1047" s="604" t="s">
        <v>431</v>
      </c>
      <c r="AU1047" s="604" t="s">
        <v>447</v>
      </c>
      <c r="AV1047" s="604" t="s">
        <v>96</v>
      </c>
      <c r="AW1047" s="604">
        <v>6</v>
      </c>
      <c r="AX1047" s="604">
        <v>3252</v>
      </c>
      <c r="AY1047" s="606">
        <v>1.8</v>
      </c>
      <c r="AZ1047" s="604" t="s">
        <v>437</v>
      </c>
      <c r="BY1047" s="553" t="str">
        <f t="shared" si="131"/>
        <v>2016&lt;20ageSUDI</v>
      </c>
      <c r="BZ1047" s="604">
        <v>2016</v>
      </c>
      <c r="CA1047" s="604" t="s">
        <v>339</v>
      </c>
      <c r="CB1047" s="604" t="s">
        <v>453</v>
      </c>
      <c r="CC1047" s="604">
        <v>6</v>
      </c>
      <c r="CD1047" s="604" t="s">
        <v>33</v>
      </c>
    </row>
    <row r="1048" spans="9:82">
      <c r="I1048" s="578" t="str">
        <f t="shared" si="128"/>
        <v>2011dhbWest CoastFetal</v>
      </c>
      <c r="J1048" s="604">
        <v>2011</v>
      </c>
      <c r="K1048" s="604" t="s">
        <v>448</v>
      </c>
      <c r="L1048" s="604" t="s">
        <v>100</v>
      </c>
      <c r="M1048" s="604">
        <v>4</v>
      </c>
      <c r="N1048" s="604">
        <v>439</v>
      </c>
      <c r="O1048" s="604">
        <v>9.1</v>
      </c>
      <c r="P1048" s="604" t="s">
        <v>47</v>
      </c>
      <c r="Q1048" s="499"/>
      <c r="R1048" s="575" t="str">
        <f t="shared" si="129"/>
        <v>2015birthsage40+</v>
      </c>
      <c r="S1048" s="604">
        <v>2015</v>
      </c>
      <c r="T1048" s="604" t="s">
        <v>445</v>
      </c>
      <c r="U1048" s="604" t="s">
        <v>453</v>
      </c>
      <c r="V1048" s="604" t="s">
        <v>134</v>
      </c>
      <c r="W1048" s="604">
        <v>2575</v>
      </c>
      <c r="Y1048" s="535" t="str">
        <f t="shared" si="130"/>
        <v>2016ethbwtEuropean or Other&lt;500infant</v>
      </c>
      <c r="Z1048" s="604">
        <v>2016</v>
      </c>
      <c r="AA1048" s="604" t="s">
        <v>449</v>
      </c>
      <c r="AB1048" s="604" t="s">
        <v>447</v>
      </c>
      <c r="AC1048" s="604" t="s">
        <v>356</v>
      </c>
      <c r="AD1048" s="604" t="s">
        <v>427</v>
      </c>
      <c r="AE1048" s="604">
        <v>9</v>
      </c>
      <c r="AF1048" s="604">
        <v>15</v>
      </c>
      <c r="AG1048" s="604">
        <v>600</v>
      </c>
      <c r="AH1048" s="604" t="s">
        <v>437</v>
      </c>
      <c r="AR1048" s="538" t="str">
        <f t="shared" si="127"/>
        <v>&lt;500bwtinfantHutt Valley</v>
      </c>
      <c r="AS1048" s="604">
        <v>2016</v>
      </c>
      <c r="AT1048" s="604" t="s">
        <v>427</v>
      </c>
      <c r="AU1048" s="604" t="s">
        <v>447</v>
      </c>
      <c r="AV1048" s="604" t="s">
        <v>97</v>
      </c>
      <c r="AW1048" s="604">
        <v>2</v>
      </c>
      <c r="AX1048" s="604">
        <v>2</v>
      </c>
      <c r="AY1048" s="606">
        <v>1000</v>
      </c>
      <c r="AZ1048" s="604" t="s">
        <v>437</v>
      </c>
      <c r="BY1048" s="553" t="str">
        <f t="shared" si="131"/>
        <v>201620-24ageSUDI</v>
      </c>
      <c r="BZ1048" s="604">
        <v>2016</v>
      </c>
      <c r="CA1048" s="604" t="s">
        <v>130</v>
      </c>
      <c r="CB1048" s="604" t="s">
        <v>453</v>
      </c>
      <c r="CC1048" s="604">
        <v>13</v>
      </c>
      <c r="CD1048" s="604" t="s">
        <v>33</v>
      </c>
    </row>
    <row r="1049" spans="9:82">
      <c r="I1049" s="578" t="str">
        <f t="shared" si="128"/>
        <v>2011dhbCanterburyFetal</v>
      </c>
      <c r="J1049" s="604">
        <v>2011</v>
      </c>
      <c r="K1049" s="604" t="s">
        <v>448</v>
      </c>
      <c r="L1049" s="604" t="s">
        <v>101</v>
      </c>
      <c r="M1049" s="604">
        <v>43</v>
      </c>
      <c r="N1049" s="604">
        <v>6164</v>
      </c>
      <c r="O1049" s="604">
        <v>7</v>
      </c>
      <c r="P1049" s="604" t="s">
        <v>47</v>
      </c>
      <c r="Q1049" s="499"/>
      <c r="R1049" s="575" t="str">
        <f t="shared" si="129"/>
        <v>2016birthsage&lt;20</v>
      </c>
      <c r="S1049" s="604">
        <v>2016</v>
      </c>
      <c r="T1049" s="604" t="s">
        <v>445</v>
      </c>
      <c r="U1049" s="604" t="s">
        <v>453</v>
      </c>
      <c r="V1049" s="604" t="s">
        <v>339</v>
      </c>
      <c r="W1049" s="604">
        <v>2559</v>
      </c>
      <c r="Y1049" s="535" t="str">
        <f t="shared" si="130"/>
        <v>2016ethbwtMaori500-999infant</v>
      </c>
      <c r="Z1049" s="604">
        <v>2016</v>
      </c>
      <c r="AA1049" s="604" t="s">
        <v>449</v>
      </c>
      <c r="AB1049" s="604" t="s">
        <v>447</v>
      </c>
      <c r="AC1049" s="604" t="s">
        <v>129</v>
      </c>
      <c r="AD1049" s="604" t="s">
        <v>428</v>
      </c>
      <c r="AE1049" s="604">
        <v>20</v>
      </c>
      <c r="AF1049" s="604">
        <v>65</v>
      </c>
      <c r="AG1049" s="604">
        <v>307.7</v>
      </c>
      <c r="AH1049" s="604" t="s">
        <v>437</v>
      </c>
      <c r="AR1049" s="538" t="str">
        <f t="shared" si="127"/>
        <v>500-999bwtinfantHutt Valley</v>
      </c>
      <c r="AS1049" s="604">
        <v>2016</v>
      </c>
      <c r="AT1049" s="604" t="s">
        <v>428</v>
      </c>
      <c r="AU1049" s="604" t="s">
        <v>447</v>
      </c>
      <c r="AV1049" s="604" t="s">
        <v>97</v>
      </c>
      <c r="AW1049" s="604">
        <v>2</v>
      </c>
      <c r="AX1049" s="604">
        <v>10</v>
      </c>
      <c r="AY1049" s="606">
        <v>200</v>
      </c>
      <c r="AZ1049" s="604" t="s">
        <v>437</v>
      </c>
      <c r="BY1049" s="553" t="str">
        <f t="shared" si="131"/>
        <v>201625-29ageSUDI</v>
      </c>
      <c r="BZ1049" s="604">
        <v>2016</v>
      </c>
      <c r="CA1049" s="604" t="s">
        <v>131</v>
      </c>
      <c r="CB1049" s="604" t="s">
        <v>453</v>
      </c>
      <c r="CC1049" s="604">
        <v>13</v>
      </c>
      <c r="CD1049" s="604" t="s">
        <v>33</v>
      </c>
    </row>
    <row r="1050" spans="9:82">
      <c r="I1050" s="578" t="str">
        <f t="shared" si="128"/>
        <v>2011dhbSouth CanterburyFetal</v>
      </c>
      <c r="J1050" s="604">
        <v>2011</v>
      </c>
      <c r="K1050" s="604" t="s">
        <v>448</v>
      </c>
      <c r="L1050" s="604" t="s">
        <v>102</v>
      </c>
      <c r="M1050" s="604">
        <v>1</v>
      </c>
      <c r="N1050" s="604">
        <v>587</v>
      </c>
      <c r="O1050" s="604">
        <v>1.7</v>
      </c>
      <c r="P1050" s="604" t="s">
        <v>47</v>
      </c>
      <c r="Q1050" s="499"/>
      <c r="R1050" s="575" t="str">
        <f t="shared" si="129"/>
        <v>2016birthsage20-24</v>
      </c>
      <c r="S1050" s="604">
        <v>2016</v>
      </c>
      <c r="T1050" s="604" t="s">
        <v>445</v>
      </c>
      <c r="U1050" s="604" t="s">
        <v>453</v>
      </c>
      <c r="V1050" s="604" t="s">
        <v>130</v>
      </c>
      <c r="W1050" s="604">
        <v>9934</v>
      </c>
      <c r="Y1050" s="535" t="str">
        <f t="shared" si="130"/>
        <v>2016ethbwtPacific peoples500-999infant</v>
      </c>
      <c r="Z1050" s="604">
        <v>2016</v>
      </c>
      <c r="AA1050" s="604" t="s">
        <v>449</v>
      </c>
      <c r="AB1050" s="604" t="s">
        <v>447</v>
      </c>
      <c r="AC1050" s="604" t="s">
        <v>320</v>
      </c>
      <c r="AD1050" s="604" t="s">
        <v>428</v>
      </c>
      <c r="AE1050" s="604">
        <v>9</v>
      </c>
      <c r="AF1050" s="604">
        <v>27</v>
      </c>
      <c r="AG1050" s="604">
        <v>333.3</v>
      </c>
      <c r="AH1050" s="604" t="s">
        <v>437</v>
      </c>
      <c r="AR1050" s="538" t="str">
        <f t="shared" si="127"/>
        <v>1500-2499bwtinfantHutt Valley</v>
      </c>
      <c r="AS1050" s="604">
        <v>2016</v>
      </c>
      <c r="AT1050" s="604" t="s">
        <v>430</v>
      </c>
      <c r="AU1050" s="604" t="s">
        <v>447</v>
      </c>
      <c r="AV1050" s="604" t="s">
        <v>97</v>
      </c>
      <c r="AW1050" s="604">
        <v>1</v>
      </c>
      <c r="AX1050" s="604">
        <v>116</v>
      </c>
      <c r="AY1050" s="606">
        <v>8.6</v>
      </c>
      <c r="AZ1050" s="604" t="s">
        <v>437</v>
      </c>
      <c r="BY1050" s="553" t="str">
        <f t="shared" si="131"/>
        <v>201630-34ageSUDI</v>
      </c>
      <c r="BZ1050" s="604">
        <v>2016</v>
      </c>
      <c r="CA1050" s="604" t="s">
        <v>132</v>
      </c>
      <c r="CB1050" s="604" t="s">
        <v>453</v>
      </c>
      <c r="CC1050" s="604">
        <v>7</v>
      </c>
      <c r="CD1050" s="604" t="s">
        <v>33</v>
      </c>
    </row>
    <row r="1051" spans="9:82">
      <c r="I1051" s="578" t="str">
        <f t="shared" si="128"/>
        <v>2011dhbSouthernFetal</v>
      </c>
      <c r="J1051" s="604">
        <v>2011</v>
      </c>
      <c r="K1051" s="604" t="s">
        <v>448</v>
      </c>
      <c r="L1051" s="604" t="s">
        <v>103</v>
      </c>
      <c r="M1051" s="604">
        <v>28</v>
      </c>
      <c r="N1051" s="604">
        <v>3738</v>
      </c>
      <c r="O1051" s="604">
        <v>7.5</v>
      </c>
      <c r="P1051" s="604" t="s">
        <v>47</v>
      </c>
      <c r="Q1051" s="499"/>
      <c r="R1051" s="575" t="str">
        <f t="shared" si="129"/>
        <v>2016birthsage25-29</v>
      </c>
      <c r="S1051" s="604">
        <v>2016</v>
      </c>
      <c r="T1051" s="604" t="s">
        <v>445</v>
      </c>
      <c r="U1051" s="604" t="s">
        <v>453</v>
      </c>
      <c r="V1051" s="604" t="s">
        <v>131</v>
      </c>
      <c r="W1051" s="604">
        <v>16664</v>
      </c>
      <c r="Y1051" s="535" t="str">
        <f t="shared" si="130"/>
        <v>2016ethbwtAsian500-999infant</v>
      </c>
      <c r="Z1051" s="604">
        <v>2016</v>
      </c>
      <c r="AA1051" s="604" t="s">
        <v>449</v>
      </c>
      <c r="AB1051" s="604" t="s">
        <v>447</v>
      </c>
      <c r="AC1051" s="604" t="s">
        <v>355</v>
      </c>
      <c r="AD1051" s="604" t="s">
        <v>428</v>
      </c>
      <c r="AE1051" s="604">
        <v>7</v>
      </c>
      <c r="AF1051" s="604">
        <v>40</v>
      </c>
      <c r="AG1051" s="604">
        <v>175</v>
      </c>
      <c r="AH1051" s="604" t="s">
        <v>437</v>
      </c>
      <c r="AR1051" s="538" t="str">
        <f t="shared" si="127"/>
        <v>2500-4499bwtinfantHutt Valley</v>
      </c>
      <c r="AS1051" s="604">
        <v>2016</v>
      </c>
      <c r="AT1051" s="604" t="s">
        <v>431</v>
      </c>
      <c r="AU1051" s="604" t="s">
        <v>447</v>
      </c>
      <c r="AV1051" s="604" t="s">
        <v>97</v>
      </c>
      <c r="AW1051" s="604">
        <v>4</v>
      </c>
      <c r="AX1051" s="604">
        <v>1811</v>
      </c>
      <c r="AY1051" s="606">
        <v>2.2000000000000002</v>
      </c>
      <c r="AZ1051" s="604" t="s">
        <v>437</v>
      </c>
      <c r="BY1051" s="553" t="str">
        <f t="shared" si="131"/>
        <v>201635-39ageSUDI</v>
      </c>
      <c r="BZ1051" s="604">
        <v>2016</v>
      </c>
      <c r="CA1051" s="604" t="s">
        <v>133</v>
      </c>
      <c r="CB1051" s="604" t="s">
        <v>453</v>
      </c>
      <c r="CC1051" s="604">
        <v>2</v>
      </c>
      <c r="CD1051" s="604" t="s">
        <v>33</v>
      </c>
    </row>
    <row r="1052" spans="9:82">
      <c r="I1052" s="578" t="str">
        <f t="shared" si="128"/>
        <v>2011dhbUnknownFetal</v>
      </c>
      <c r="J1052" s="604">
        <v>2011</v>
      </c>
      <c r="K1052" s="604" t="s">
        <v>448</v>
      </c>
      <c r="L1052" s="604" t="s">
        <v>63</v>
      </c>
      <c r="M1052" s="604">
        <v>1</v>
      </c>
      <c r="N1052" s="604">
        <v>243</v>
      </c>
      <c r="O1052" s="604" t="s">
        <v>119</v>
      </c>
      <c r="P1052" s="604" t="s">
        <v>47</v>
      </c>
      <c r="Q1052" s="499"/>
      <c r="R1052" s="575" t="str">
        <f t="shared" si="129"/>
        <v>2016birthsage30-34</v>
      </c>
      <c r="S1052" s="604">
        <v>2016</v>
      </c>
      <c r="T1052" s="604" t="s">
        <v>445</v>
      </c>
      <c r="U1052" s="604" t="s">
        <v>453</v>
      </c>
      <c r="V1052" s="604" t="s">
        <v>132</v>
      </c>
      <c r="W1052" s="604">
        <v>18720</v>
      </c>
      <c r="Y1052" s="535" t="str">
        <f t="shared" si="130"/>
        <v>2016ethbwtEuropean or Other500-999infant</v>
      </c>
      <c r="Z1052" s="604">
        <v>2016</v>
      </c>
      <c r="AA1052" s="604" t="s">
        <v>449</v>
      </c>
      <c r="AB1052" s="604" t="s">
        <v>447</v>
      </c>
      <c r="AC1052" s="604" t="s">
        <v>356</v>
      </c>
      <c r="AD1052" s="604" t="s">
        <v>428</v>
      </c>
      <c r="AE1052" s="604">
        <v>21</v>
      </c>
      <c r="AF1052" s="604">
        <v>64</v>
      </c>
      <c r="AG1052" s="604">
        <v>328.1</v>
      </c>
      <c r="AH1052" s="604" t="s">
        <v>437</v>
      </c>
      <c r="AR1052" s="538" t="str">
        <f t="shared" ref="AR1052:AR1115" si="132">AT1052&amp;AU1052&amp;AZ1052&amp;AV1052</f>
        <v>&lt;500bwtinfantWairarapa</v>
      </c>
      <c r="AS1052" s="604">
        <v>2016</v>
      </c>
      <c r="AT1052" s="604" t="s">
        <v>427</v>
      </c>
      <c r="AU1052" s="604" t="s">
        <v>447</v>
      </c>
      <c r="AV1052" s="604" t="s">
        <v>98</v>
      </c>
      <c r="AW1052" s="604">
        <v>1</v>
      </c>
      <c r="AX1052" s="604">
        <v>1</v>
      </c>
      <c r="AY1052" s="606">
        <v>1000</v>
      </c>
      <c r="AZ1052" s="604" t="s">
        <v>437</v>
      </c>
      <c r="BY1052" s="553" t="str">
        <f t="shared" si="131"/>
        <v>201640+ageSUDI</v>
      </c>
      <c r="BZ1052" s="604">
        <v>2016</v>
      </c>
      <c r="CA1052" s="604" t="s">
        <v>134</v>
      </c>
      <c r="CB1052" s="604" t="s">
        <v>453</v>
      </c>
      <c r="CC1052" s="604">
        <v>1</v>
      </c>
      <c r="CD1052" s="604" t="s">
        <v>33</v>
      </c>
    </row>
    <row r="1053" spans="9:82">
      <c r="I1053" s="578" t="str">
        <f t="shared" si="128"/>
        <v>2012dhbNorthlandFetal</v>
      </c>
      <c r="J1053" s="604">
        <v>2012</v>
      </c>
      <c r="K1053" s="604" t="s">
        <v>448</v>
      </c>
      <c r="L1053" s="604" t="s">
        <v>85</v>
      </c>
      <c r="M1053" s="604">
        <v>21</v>
      </c>
      <c r="N1053" s="604">
        <v>2408</v>
      </c>
      <c r="O1053" s="604">
        <v>8.6999999999999993</v>
      </c>
      <c r="P1053" s="604" t="s">
        <v>47</v>
      </c>
      <c r="Q1053" s="499"/>
      <c r="R1053" s="575" t="str">
        <f t="shared" si="129"/>
        <v>2016birthsage35-39</v>
      </c>
      <c r="S1053" s="604">
        <v>2016</v>
      </c>
      <c r="T1053" s="604" t="s">
        <v>445</v>
      </c>
      <c r="U1053" s="604" t="s">
        <v>453</v>
      </c>
      <c r="V1053" s="604" t="s">
        <v>133</v>
      </c>
      <c r="W1053" s="604">
        <v>10105</v>
      </c>
      <c r="Y1053" s="535" t="str">
        <f t="shared" si="130"/>
        <v>2016ethbwtMaori1000-1499infant</v>
      </c>
      <c r="Z1053" s="604">
        <v>2016</v>
      </c>
      <c r="AA1053" s="604" t="s">
        <v>449</v>
      </c>
      <c r="AB1053" s="604" t="s">
        <v>447</v>
      </c>
      <c r="AC1053" s="604" t="s">
        <v>129</v>
      </c>
      <c r="AD1053" s="604" t="s">
        <v>429</v>
      </c>
      <c r="AE1053" s="604">
        <v>4</v>
      </c>
      <c r="AF1053" s="604">
        <v>119</v>
      </c>
      <c r="AG1053" s="604">
        <v>33.6</v>
      </c>
      <c r="AH1053" s="604" t="s">
        <v>437</v>
      </c>
      <c r="AR1053" s="538" t="str">
        <f t="shared" si="132"/>
        <v>500-999bwtinfantNelson Marlborough</v>
      </c>
      <c r="AS1053" s="604">
        <v>2016</v>
      </c>
      <c r="AT1053" s="604" t="s">
        <v>428</v>
      </c>
      <c r="AU1053" s="604" t="s">
        <v>447</v>
      </c>
      <c r="AV1053" s="604" t="s">
        <v>99</v>
      </c>
      <c r="AW1053" s="604">
        <v>1</v>
      </c>
      <c r="AX1053" s="604">
        <v>5</v>
      </c>
      <c r="AY1053" s="606">
        <v>200</v>
      </c>
      <c r="AZ1053" s="604" t="s">
        <v>437</v>
      </c>
      <c r="BY1053" s="553" t="str">
        <f t="shared" si="131"/>
        <v>2016UnknownageSUDI</v>
      </c>
      <c r="BZ1053" s="604">
        <v>2016</v>
      </c>
      <c r="CA1053" s="604" t="s">
        <v>63</v>
      </c>
      <c r="CB1053" s="604" t="s">
        <v>453</v>
      </c>
      <c r="CC1053" s="604">
        <v>0</v>
      </c>
      <c r="CD1053" s="604" t="s">
        <v>33</v>
      </c>
    </row>
    <row r="1054" spans="9:82">
      <c r="I1054" s="578" t="str">
        <f t="shared" si="128"/>
        <v>2012dhbWaitemataFetal</v>
      </c>
      <c r="J1054" s="604">
        <v>2012</v>
      </c>
      <c r="K1054" s="604" t="s">
        <v>448</v>
      </c>
      <c r="L1054" s="604" t="s">
        <v>86</v>
      </c>
      <c r="M1054" s="604">
        <v>58</v>
      </c>
      <c r="N1054" s="604">
        <v>8011</v>
      </c>
      <c r="O1054" s="604">
        <v>7.2</v>
      </c>
      <c r="P1054" s="604" t="s">
        <v>47</v>
      </c>
      <c r="Q1054" s="499"/>
      <c r="R1054" s="575" t="str">
        <f t="shared" si="129"/>
        <v>2016birthsage40+</v>
      </c>
      <c r="S1054" s="604">
        <v>2016</v>
      </c>
      <c r="T1054" s="604" t="s">
        <v>445</v>
      </c>
      <c r="U1054" s="604" t="s">
        <v>453</v>
      </c>
      <c r="V1054" s="604" t="s">
        <v>134</v>
      </c>
      <c r="W1054" s="604">
        <v>2454</v>
      </c>
      <c r="Y1054" s="535" t="str">
        <f t="shared" si="130"/>
        <v>2016ethbwtPacific peoples1000-1499infant</v>
      </c>
      <c r="Z1054" s="604">
        <v>2016</v>
      </c>
      <c r="AA1054" s="604" t="s">
        <v>449</v>
      </c>
      <c r="AB1054" s="604" t="s">
        <v>447</v>
      </c>
      <c r="AC1054" s="604" t="s">
        <v>320</v>
      </c>
      <c r="AD1054" s="604" t="s">
        <v>429</v>
      </c>
      <c r="AE1054" s="604">
        <v>0</v>
      </c>
      <c r="AF1054" s="604">
        <v>22</v>
      </c>
      <c r="AG1054" s="604">
        <v>0</v>
      </c>
      <c r="AH1054" s="604" t="s">
        <v>437</v>
      </c>
      <c r="AR1054" s="538" t="str">
        <f t="shared" si="132"/>
        <v>2500-4499bwtinfantNelson Marlborough</v>
      </c>
      <c r="AS1054" s="604">
        <v>2016</v>
      </c>
      <c r="AT1054" s="604" t="s">
        <v>431</v>
      </c>
      <c r="AU1054" s="604" t="s">
        <v>447</v>
      </c>
      <c r="AV1054" s="604" t="s">
        <v>99</v>
      </c>
      <c r="AW1054" s="604">
        <v>1</v>
      </c>
      <c r="AX1054" s="604">
        <v>1418</v>
      </c>
      <c r="AY1054" s="606">
        <v>0.7</v>
      </c>
      <c r="AZ1054" s="604" t="s">
        <v>437</v>
      </c>
      <c r="BY1054" s="553" t="str">
        <f t="shared" si="131"/>
        <v>2000&lt;500bwtSUDI</v>
      </c>
      <c r="BZ1054" s="604">
        <v>2000</v>
      </c>
      <c r="CA1054" s="604" t="s">
        <v>427</v>
      </c>
      <c r="CB1054" s="604" t="s">
        <v>447</v>
      </c>
      <c r="CC1054" s="604">
        <v>0</v>
      </c>
      <c r="CD1054" s="604" t="s">
        <v>33</v>
      </c>
    </row>
    <row r="1055" spans="9:82">
      <c r="I1055" s="578" t="str">
        <f t="shared" si="128"/>
        <v>2012dhbAucklandFetal</v>
      </c>
      <c r="J1055" s="604">
        <v>2012</v>
      </c>
      <c r="K1055" s="604" t="s">
        <v>448</v>
      </c>
      <c r="L1055" s="604" t="s">
        <v>87</v>
      </c>
      <c r="M1055" s="604">
        <v>51</v>
      </c>
      <c r="N1055" s="604">
        <v>6607</v>
      </c>
      <c r="O1055" s="604">
        <v>7.7</v>
      </c>
      <c r="P1055" s="604" t="s">
        <v>47</v>
      </c>
      <c r="Q1055" s="499"/>
      <c r="R1055" s="575" t="str">
        <f t="shared" si="129"/>
        <v>1996birthssexMale</v>
      </c>
      <c r="S1055" s="604">
        <v>1996</v>
      </c>
      <c r="T1055" s="604" t="s">
        <v>445</v>
      </c>
      <c r="U1055" s="604" t="s">
        <v>451</v>
      </c>
      <c r="V1055" s="604" t="s">
        <v>70</v>
      </c>
      <c r="W1055" s="604">
        <v>29549</v>
      </c>
      <c r="Y1055" s="535" t="str">
        <f t="shared" si="130"/>
        <v>2016ethbwtAsian1000-1499infant</v>
      </c>
      <c r="Z1055" s="604">
        <v>2016</v>
      </c>
      <c r="AA1055" s="604" t="s">
        <v>449</v>
      </c>
      <c r="AB1055" s="604" t="s">
        <v>447</v>
      </c>
      <c r="AC1055" s="604" t="s">
        <v>355</v>
      </c>
      <c r="AD1055" s="604" t="s">
        <v>429</v>
      </c>
      <c r="AE1055" s="604">
        <v>1</v>
      </c>
      <c r="AF1055" s="604">
        <v>59</v>
      </c>
      <c r="AG1055" s="604">
        <v>16.899999999999999</v>
      </c>
      <c r="AH1055" s="604" t="s">
        <v>437</v>
      </c>
      <c r="AR1055" s="538" t="str">
        <f t="shared" si="132"/>
        <v>&lt;500bwtinfantWest Coast</v>
      </c>
      <c r="AS1055" s="604">
        <v>2016</v>
      </c>
      <c r="AT1055" s="604" t="s">
        <v>427</v>
      </c>
      <c r="AU1055" s="604" t="s">
        <v>447</v>
      </c>
      <c r="AV1055" s="604" t="s">
        <v>100</v>
      </c>
      <c r="AW1055" s="604">
        <v>1</v>
      </c>
      <c r="AX1055" s="604">
        <v>0</v>
      </c>
      <c r="AY1055" s="606" t="s">
        <v>119</v>
      </c>
      <c r="AZ1055" s="604" t="s">
        <v>437</v>
      </c>
      <c r="BY1055" s="553" t="str">
        <f t="shared" si="131"/>
        <v>2000500-999bwtSUDI</v>
      </c>
      <c r="BZ1055" s="604">
        <v>2000</v>
      </c>
      <c r="CA1055" s="604" t="s">
        <v>428</v>
      </c>
      <c r="CB1055" s="604" t="s">
        <v>447</v>
      </c>
      <c r="CC1055" s="604">
        <v>0</v>
      </c>
      <c r="CD1055" s="604" t="s">
        <v>33</v>
      </c>
    </row>
    <row r="1056" spans="9:82">
      <c r="I1056" s="578" t="str">
        <f t="shared" si="128"/>
        <v>2012dhbCounties ManukauFetal</v>
      </c>
      <c r="J1056" s="604">
        <v>2012</v>
      </c>
      <c r="K1056" s="604" t="s">
        <v>448</v>
      </c>
      <c r="L1056" s="604" t="s">
        <v>88</v>
      </c>
      <c r="M1056" s="604">
        <v>68</v>
      </c>
      <c r="N1056" s="604">
        <v>8816</v>
      </c>
      <c r="O1056" s="604">
        <v>7.7</v>
      </c>
      <c r="P1056" s="604" t="s">
        <v>47</v>
      </c>
      <c r="Q1056" s="499"/>
      <c r="R1056" s="575" t="str">
        <f t="shared" si="129"/>
        <v>1996birthssexFemale</v>
      </c>
      <c r="S1056" s="604">
        <v>1996</v>
      </c>
      <c r="T1056" s="604" t="s">
        <v>445</v>
      </c>
      <c r="U1056" s="604" t="s">
        <v>451</v>
      </c>
      <c r="V1056" s="604" t="s">
        <v>71</v>
      </c>
      <c r="W1056" s="604">
        <v>27885</v>
      </c>
      <c r="Y1056" s="535" t="str">
        <f t="shared" si="130"/>
        <v>2016ethbwtEuropean or Other1000-1499infant</v>
      </c>
      <c r="Z1056" s="604">
        <v>2016</v>
      </c>
      <c r="AA1056" s="604" t="s">
        <v>449</v>
      </c>
      <c r="AB1056" s="604" t="s">
        <v>447</v>
      </c>
      <c r="AC1056" s="604" t="s">
        <v>356</v>
      </c>
      <c r="AD1056" s="604" t="s">
        <v>429</v>
      </c>
      <c r="AE1056" s="604">
        <v>3</v>
      </c>
      <c r="AF1056" s="604">
        <v>131</v>
      </c>
      <c r="AG1056" s="604">
        <v>22.9</v>
      </c>
      <c r="AH1056" s="604" t="s">
        <v>437</v>
      </c>
      <c r="AR1056" s="538" t="str">
        <f t="shared" si="132"/>
        <v>500-999bwtinfantWest Coast</v>
      </c>
      <c r="AS1056" s="604">
        <v>2016</v>
      </c>
      <c r="AT1056" s="604" t="s">
        <v>428</v>
      </c>
      <c r="AU1056" s="604" t="s">
        <v>447</v>
      </c>
      <c r="AV1056" s="604" t="s">
        <v>100</v>
      </c>
      <c r="AW1056" s="604">
        <v>1</v>
      </c>
      <c r="AX1056" s="604">
        <v>1</v>
      </c>
      <c r="AY1056" s="606">
        <v>1000</v>
      </c>
      <c r="AZ1056" s="604" t="s">
        <v>437</v>
      </c>
      <c r="BY1056" s="553" t="str">
        <f t="shared" si="131"/>
        <v>20001000-1499bwtSUDI</v>
      </c>
      <c r="BZ1056" s="604">
        <v>2000</v>
      </c>
      <c r="CA1056" s="604" t="s">
        <v>429</v>
      </c>
      <c r="CB1056" s="604" t="s">
        <v>447</v>
      </c>
      <c r="CC1056" s="604">
        <v>1</v>
      </c>
      <c r="CD1056" s="604" t="s">
        <v>33</v>
      </c>
    </row>
    <row r="1057" spans="9:82">
      <c r="I1057" s="578" t="str">
        <f t="shared" si="128"/>
        <v>2012dhbWaikatoFetal</v>
      </c>
      <c r="J1057" s="604">
        <v>2012</v>
      </c>
      <c r="K1057" s="604" t="s">
        <v>448</v>
      </c>
      <c r="L1057" s="604" t="s">
        <v>89</v>
      </c>
      <c r="M1057" s="604">
        <v>43</v>
      </c>
      <c r="N1057" s="604">
        <v>5528</v>
      </c>
      <c r="O1057" s="604">
        <v>7.8</v>
      </c>
      <c r="P1057" s="604" t="s">
        <v>47</v>
      </c>
      <c r="Q1057" s="499"/>
      <c r="R1057" s="575" t="str">
        <f t="shared" si="129"/>
        <v>1997birthssexMale</v>
      </c>
      <c r="S1057" s="604">
        <v>1997</v>
      </c>
      <c r="T1057" s="604" t="s">
        <v>445</v>
      </c>
      <c r="U1057" s="604" t="s">
        <v>451</v>
      </c>
      <c r="V1057" s="604" t="s">
        <v>70</v>
      </c>
      <c r="W1057" s="604">
        <v>29493</v>
      </c>
      <c r="Y1057" s="535" t="str">
        <f t="shared" si="130"/>
        <v>2016ethbwtMaori1500-2499infant</v>
      </c>
      <c r="Z1057" s="604">
        <v>2016</v>
      </c>
      <c r="AA1057" s="604" t="s">
        <v>449</v>
      </c>
      <c r="AB1057" s="604" t="s">
        <v>447</v>
      </c>
      <c r="AC1057" s="604" t="s">
        <v>129</v>
      </c>
      <c r="AD1057" s="604" t="s">
        <v>430</v>
      </c>
      <c r="AE1057" s="604">
        <v>15</v>
      </c>
      <c r="AF1057" s="604">
        <v>933</v>
      </c>
      <c r="AG1057" s="604">
        <v>16.100000000000001</v>
      </c>
      <c r="AH1057" s="604" t="s">
        <v>437</v>
      </c>
      <c r="AR1057" s="538" t="str">
        <f t="shared" si="132"/>
        <v>&lt;500bwtinfantCanterbury</v>
      </c>
      <c r="AS1057" s="604">
        <v>2016</v>
      </c>
      <c r="AT1057" s="604" t="s">
        <v>427</v>
      </c>
      <c r="AU1057" s="604" t="s">
        <v>447</v>
      </c>
      <c r="AV1057" s="604" t="s">
        <v>101</v>
      </c>
      <c r="AW1057" s="604">
        <v>1</v>
      </c>
      <c r="AX1057" s="604">
        <v>2</v>
      </c>
      <c r="AY1057" s="606">
        <v>500</v>
      </c>
      <c r="AZ1057" s="604" t="s">
        <v>437</v>
      </c>
      <c r="BY1057" s="553" t="str">
        <f t="shared" si="131"/>
        <v>20001500-2499bwtSUDI</v>
      </c>
      <c r="BZ1057" s="604">
        <v>2000</v>
      </c>
      <c r="CA1057" s="604" t="s">
        <v>430</v>
      </c>
      <c r="CB1057" s="604" t="s">
        <v>447</v>
      </c>
      <c r="CC1057" s="604">
        <v>22</v>
      </c>
      <c r="CD1057" s="604" t="s">
        <v>33</v>
      </c>
    </row>
    <row r="1058" spans="9:82">
      <c r="I1058" s="578" t="str">
        <f t="shared" si="128"/>
        <v>2012dhbLakesFetal</v>
      </c>
      <c r="J1058" s="604">
        <v>2012</v>
      </c>
      <c r="K1058" s="604" t="s">
        <v>448</v>
      </c>
      <c r="L1058" s="604" t="s">
        <v>90</v>
      </c>
      <c r="M1058" s="604">
        <v>11</v>
      </c>
      <c r="N1058" s="604">
        <v>1528</v>
      </c>
      <c r="O1058" s="604">
        <v>7.2</v>
      </c>
      <c r="P1058" s="604" t="s">
        <v>47</v>
      </c>
      <c r="Q1058" s="499"/>
      <c r="R1058" s="575" t="str">
        <f t="shared" si="129"/>
        <v>1997birthssexFemale</v>
      </c>
      <c r="S1058" s="604">
        <v>1997</v>
      </c>
      <c r="T1058" s="604" t="s">
        <v>445</v>
      </c>
      <c r="U1058" s="604" t="s">
        <v>451</v>
      </c>
      <c r="V1058" s="604" t="s">
        <v>71</v>
      </c>
      <c r="W1058" s="604">
        <v>28241</v>
      </c>
      <c r="Y1058" s="535" t="str">
        <f t="shared" si="130"/>
        <v>2016ethbwtPacific peoples1500-2499infant</v>
      </c>
      <c r="Z1058" s="604">
        <v>2016</v>
      </c>
      <c r="AA1058" s="604" t="s">
        <v>449</v>
      </c>
      <c r="AB1058" s="604" t="s">
        <v>447</v>
      </c>
      <c r="AC1058" s="604" t="s">
        <v>320</v>
      </c>
      <c r="AD1058" s="604" t="s">
        <v>430</v>
      </c>
      <c r="AE1058" s="604">
        <v>9</v>
      </c>
      <c r="AF1058" s="604">
        <v>211</v>
      </c>
      <c r="AG1058" s="604">
        <v>42.7</v>
      </c>
      <c r="AH1058" s="604" t="s">
        <v>437</v>
      </c>
      <c r="AR1058" s="538" t="str">
        <f t="shared" si="132"/>
        <v>500-999bwtinfantCanterbury</v>
      </c>
      <c r="AS1058" s="604">
        <v>2016</v>
      </c>
      <c r="AT1058" s="604" t="s">
        <v>428</v>
      </c>
      <c r="AU1058" s="604" t="s">
        <v>447</v>
      </c>
      <c r="AV1058" s="604" t="s">
        <v>101</v>
      </c>
      <c r="AW1058" s="604">
        <v>3</v>
      </c>
      <c r="AX1058" s="604">
        <v>12</v>
      </c>
      <c r="AY1058" s="606">
        <v>250</v>
      </c>
      <c r="AZ1058" s="604" t="s">
        <v>437</v>
      </c>
      <c r="BY1058" s="553" t="str">
        <f t="shared" si="131"/>
        <v>20002500-4499bwtSUDI</v>
      </c>
      <c r="BZ1058" s="604">
        <v>2000</v>
      </c>
      <c r="CA1058" s="604" t="s">
        <v>431</v>
      </c>
      <c r="CB1058" s="604" t="s">
        <v>447</v>
      </c>
      <c r="CC1058" s="604">
        <v>59</v>
      </c>
      <c r="CD1058" s="604" t="s">
        <v>33</v>
      </c>
    </row>
    <row r="1059" spans="9:82">
      <c r="I1059" s="578" t="str">
        <f t="shared" si="128"/>
        <v>2012dhbBay of PlentyFetal</v>
      </c>
      <c r="J1059" s="604">
        <v>2012</v>
      </c>
      <c r="K1059" s="604" t="s">
        <v>448</v>
      </c>
      <c r="L1059" s="604" t="s">
        <v>91</v>
      </c>
      <c r="M1059" s="604">
        <v>19</v>
      </c>
      <c r="N1059" s="604">
        <v>2997</v>
      </c>
      <c r="O1059" s="604">
        <v>6.3</v>
      </c>
      <c r="P1059" s="604" t="s">
        <v>47</v>
      </c>
      <c r="Q1059" s="499"/>
      <c r="R1059" s="575" t="str">
        <f t="shared" si="129"/>
        <v>1998birthssexMale</v>
      </c>
      <c r="S1059" s="604">
        <v>1998</v>
      </c>
      <c r="T1059" s="604" t="s">
        <v>445</v>
      </c>
      <c r="U1059" s="604" t="s">
        <v>451</v>
      </c>
      <c r="V1059" s="604" t="s">
        <v>70</v>
      </c>
      <c r="W1059" s="604">
        <v>28661</v>
      </c>
      <c r="Y1059" s="535" t="str">
        <f t="shared" si="130"/>
        <v>2016ethbwtAsian1500-2499infant</v>
      </c>
      <c r="Z1059" s="604">
        <v>2016</v>
      </c>
      <c r="AA1059" s="604" t="s">
        <v>449</v>
      </c>
      <c r="AB1059" s="604" t="s">
        <v>447</v>
      </c>
      <c r="AC1059" s="604" t="s">
        <v>355</v>
      </c>
      <c r="AD1059" s="604" t="s">
        <v>430</v>
      </c>
      <c r="AE1059" s="604">
        <v>2</v>
      </c>
      <c r="AF1059" s="604">
        <v>684</v>
      </c>
      <c r="AG1059" s="604">
        <v>2.9</v>
      </c>
      <c r="AH1059" s="604" t="s">
        <v>437</v>
      </c>
      <c r="AR1059" s="538" t="str">
        <f t="shared" si="132"/>
        <v>1000-1499bwtinfantCanterbury</v>
      </c>
      <c r="AS1059" s="604">
        <v>2016</v>
      </c>
      <c r="AT1059" s="604" t="s">
        <v>429</v>
      </c>
      <c r="AU1059" s="604" t="s">
        <v>447</v>
      </c>
      <c r="AV1059" s="604" t="s">
        <v>101</v>
      </c>
      <c r="AW1059" s="604">
        <v>2</v>
      </c>
      <c r="AX1059" s="604">
        <v>40</v>
      </c>
      <c r="AY1059" s="606">
        <v>50</v>
      </c>
      <c r="AZ1059" s="604" t="s">
        <v>437</v>
      </c>
      <c r="BY1059" s="553" t="str">
        <f t="shared" si="131"/>
        <v>20004500+bwtSUDI</v>
      </c>
      <c r="BZ1059" s="604">
        <v>2000</v>
      </c>
      <c r="CA1059" s="604" t="s">
        <v>432</v>
      </c>
      <c r="CB1059" s="604" t="s">
        <v>447</v>
      </c>
      <c r="CC1059" s="604">
        <v>0</v>
      </c>
      <c r="CD1059" s="604" t="s">
        <v>33</v>
      </c>
    </row>
    <row r="1060" spans="9:82">
      <c r="I1060" s="578" t="str">
        <f t="shared" si="128"/>
        <v>2012dhbTairawhitiFetal</v>
      </c>
      <c r="J1060" s="604">
        <v>2012</v>
      </c>
      <c r="K1060" s="604" t="s">
        <v>448</v>
      </c>
      <c r="L1060" s="604" t="s">
        <v>433</v>
      </c>
      <c r="M1060" s="604">
        <v>4</v>
      </c>
      <c r="N1060" s="604">
        <v>725</v>
      </c>
      <c r="O1060" s="604">
        <v>5.5</v>
      </c>
      <c r="P1060" s="604" t="s">
        <v>47</v>
      </c>
      <c r="Q1060" s="499"/>
      <c r="R1060" s="575" t="str">
        <f t="shared" si="129"/>
        <v>1998birthssexFemale</v>
      </c>
      <c r="S1060" s="604">
        <v>1998</v>
      </c>
      <c r="T1060" s="604" t="s">
        <v>445</v>
      </c>
      <c r="U1060" s="604" t="s">
        <v>451</v>
      </c>
      <c r="V1060" s="604" t="s">
        <v>71</v>
      </c>
      <c r="W1060" s="604">
        <v>26860</v>
      </c>
      <c r="Y1060" s="535" t="str">
        <f t="shared" si="130"/>
        <v>2016ethbwtEuropean or Other1500-2499infant</v>
      </c>
      <c r="Z1060" s="604">
        <v>2016</v>
      </c>
      <c r="AA1060" s="604" t="s">
        <v>449</v>
      </c>
      <c r="AB1060" s="604" t="s">
        <v>447</v>
      </c>
      <c r="AC1060" s="604" t="s">
        <v>356</v>
      </c>
      <c r="AD1060" s="604" t="s">
        <v>430</v>
      </c>
      <c r="AE1060" s="604">
        <v>9</v>
      </c>
      <c r="AF1060" s="604">
        <v>1163</v>
      </c>
      <c r="AG1060" s="604">
        <v>7.7</v>
      </c>
      <c r="AH1060" s="604" t="s">
        <v>437</v>
      </c>
      <c r="AR1060" s="538" t="str">
        <f t="shared" si="132"/>
        <v>1500-2499bwtinfantCanterbury</v>
      </c>
      <c r="AS1060" s="604">
        <v>2016</v>
      </c>
      <c r="AT1060" s="604" t="s">
        <v>430</v>
      </c>
      <c r="AU1060" s="604" t="s">
        <v>447</v>
      </c>
      <c r="AV1060" s="604" t="s">
        <v>101</v>
      </c>
      <c r="AW1060" s="604">
        <v>5</v>
      </c>
      <c r="AX1060" s="604">
        <v>312</v>
      </c>
      <c r="AY1060" s="606">
        <v>16</v>
      </c>
      <c r="AZ1060" s="604" t="s">
        <v>437</v>
      </c>
      <c r="BY1060" s="553" t="str">
        <f t="shared" si="131"/>
        <v>2000UnknownbwtSUDI</v>
      </c>
      <c r="BZ1060" s="604">
        <v>2000</v>
      </c>
      <c r="CA1060" s="604" t="s">
        <v>63</v>
      </c>
      <c r="CB1060" s="604" t="s">
        <v>447</v>
      </c>
      <c r="CC1060" s="604">
        <v>0</v>
      </c>
      <c r="CD1060" s="604" t="s">
        <v>33</v>
      </c>
    </row>
    <row r="1061" spans="9:82">
      <c r="I1061" s="578" t="str">
        <f t="shared" si="128"/>
        <v>2012dhbHawke's BayFetal</v>
      </c>
      <c r="J1061" s="604">
        <v>2012</v>
      </c>
      <c r="K1061" s="604" t="s">
        <v>448</v>
      </c>
      <c r="L1061" s="604" t="s">
        <v>92</v>
      </c>
      <c r="M1061" s="604">
        <v>13</v>
      </c>
      <c r="N1061" s="604">
        <v>2297</v>
      </c>
      <c r="O1061" s="604">
        <v>5.7</v>
      </c>
      <c r="P1061" s="604" t="s">
        <v>47</v>
      </c>
      <c r="Q1061" s="499"/>
      <c r="R1061" s="575" t="str">
        <f t="shared" si="129"/>
        <v>1999birthssexMale</v>
      </c>
      <c r="S1061" s="604">
        <v>1999</v>
      </c>
      <c r="T1061" s="604" t="s">
        <v>445</v>
      </c>
      <c r="U1061" s="604" t="s">
        <v>451</v>
      </c>
      <c r="V1061" s="604" t="s">
        <v>70</v>
      </c>
      <c r="W1061" s="604">
        <v>29372</v>
      </c>
      <c r="Y1061" s="535" t="str">
        <f t="shared" si="130"/>
        <v>2016ethbwtMaori2500-4499infant</v>
      </c>
      <c r="Z1061" s="604">
        <v>2016</v>
      </c>
      <c r="AA1061" s="604" t="s">
        <v>449</v>
      </c>
      <c r="AB1061" s="604" t="s">
        <v>447</v>
      </c>
      <c r="AC1061" s="604" t="s">
        <v>129</v>
      </c>
      <c r="AD1061" s="604" t="s">
        <v>431</v>
      </c>
      <c r="AE1061" s="604">
        <v>47</v>
      </c>
      <c r="AF1061" s="604">
        <v>15761</v>
      </c>
      <c r="AG1061" s="604">
        <v>3</v>
      </c>
      <c r="AH1061" s="604" t="s">
        <v>437</v>
      </c>
      <c r="AR1061" s="538" t="str">
        <f t="shared" si="132"/>
        <v>2500-4499bwtinfantCanterbury</v>
      </c>
      <c r="AS1061" s="604">
        <v>2016</v>
      </c>
      <c r="AT1061" s="604" t="s">
        <v>431</v>
      </c>
      <c r="AU1061" s="604" t="s">
        <v>447</v>
      </c>
      <c r="AV1061" s="604" t="s">
        <v>101</v>
      </c>
      <c r="AW1061" s="604">
        <v>9</v>
      </c>
      <c r="AX1061" s="604">
        <v>5868</v>
      </c>
      <c r="AY1061" s="606">
        <v>1.5</v>
      </c>
      <c r="AZ1061" s="604" t="s">
        <v>437</v>
      </c>
      <c r="BY1061" s="553" t="str">
        <f t="shared" si="131"/>
        <v>2001&lt;500bwtSUDI</v>
      </c>
      <c r="BZ1061" s="604">
        <v>2001</v>
      </c>
      <c r="CA1061" s="604" t="s">
        <v>427</v>
      </c>
      <c r="CB1061" s="604" t="s">
        <v>447</v>
      </c>
      <c r="CC1061" s="604">
        <v>0</v>
      </c>
      <c r="CD1061" s="604" t="s">
        <v>33</v>
      </c>
    </row>
    <row r="1062" spans="9:82">
      <c r="I1062" s="578" t="str">
        <f t="shared" si="128"/>
        <v>2012dhbTaranakiFetal</v>
      </c>
      <c r="J1062" s="604">
        <v>2012</v>
      </c>
      <c r="K1062" s="604" t="s">
        <v>448</v>
      </c>
      <c r="L1062" s="604" t="s">
        <v>93</v>
      </c>
      <c r="M1062" s="604">
        <v>6</v>
      </c>
      <c r="N1062" s="604">
        <v>1559</v>
      </c>
      <c r="O1062" s="604">
        <v>3.8</v>
      </c>
      <c r="P1062" s="604" t="s">
        <v>47</v>
      </c>
      <c r="Q1062" s="499"/>
      <c r="R1062" s="575" t="str">
        <f t="shared" si="129"/>
        <v>1999birthssexFemale</v>
      </c>
      <c r="S1062" s="604">
        <v>1999</v>
      </c>
      <c r="T1062" s="604" t="s">
        <v>445</v>
      </c>
      <c r="U1062" s="604" t="s">
        <v>451</v>
      </c>
      <c r="V1062" s="604" t="s">
        <v>71</v>
      </c>
      <c r="W1062" s="604">
        <v>28049</v>
      </c>
      <c r="Y1062" s="535" t="str">
        <f t="shared" si="130"/>
        <v>2016ethbwtPacific peoples2500-4499infant</v>
      </c>
      <c r="Z1062" s="604">
        <v>2016</v>
      </c>
      <c r="AA1062" s="604" t="s">
        <v>449</v>
      </c>
      <c r="AB1062" s="604" t="s">
        <v>447</v>
      </c>
      <c r="AC1062" s="604" t="s">
        <v>320</v>
      </c>
      <c r="AD1062" s="604" t="s">
        <v>431</v>
      </c>
      <c r="AE1062" s="604">
        <v>12</v>
      </c>
      <c r="AF1062" s="604">
        <v>5449</v>
      </c>
      <c r="AG1062" s="604">
        <v>2.2000000000000002</v>
      </c>
      <c r="AH1062" s="604" t="s">
        <v>437</v>
      </c>
      <c r="AR1062" s="538" t="str">
        <f t="shared" si="132"/>
        <v>UnknownbwtinfantCanterbury</v>
      </c>
      <c r="AS1062" s="604">
        <v>2016</v>
      </c>
      <c r="AT1062" s="604" t="s">
        <v>63</v>
      </c>
      <c r="AU1062" s="604" t="s">
        <v>447</v>
      </c>
      <c r="AV1062" s="604" t="s">
        <v>101</v>
      </c>
      <c r="AW1062" s="604">
        <v>1</v>
      </c>
      <c r="AX1062" s="604">
        <v>2</v>
      </c>
      <c r="AY1062" s="606" t="s">
        <v>119</v>
      </c>
      <c r="AZ1062" s="604" t="s">
        <v>437</v>
      </c>
      <c r="BY1062" s="553" t="str">
        <f t="shared" si="131"/>
        <v>2001500-999bwtSUDI</v>
      </c>
      <c r="BZ1062" s="604">
        <v>2001</v>
      </c>
      <c r="CA1062" s="604" t="s">
        <v>428</v>
      </c>
      <c r="CB1062" s="604" t="s">
        <v>447</v>
      </c>
      <c r="CC1062" s="604">
        <v>1</v>
      </c>
      <c r="CD1062" s="604" t="s">
        <v>33</v>
      </c>
    </row>
    <row r="1063" spans="9:82">
      <c r="I1063" s="578" t="str">
        <f t="shared" si="128"/>
        <v>2012dhbMidCentralFetal</v>
      </c>
      <c r="J1063" s="604">
        <v>2012</v>
      </c>
      <c r="K1063" s="604" t="s">
        <v>448</v>
      </c>
      <c r="L1063" s="604" t="s">
        <v>94</v>
      </c>
      <c r="M1063" s="604">
        <v>17</v>
      </c>
      <c r="N1063" s="604">
        <v>2199</v>
      </c>
      <c r="O1063" s="604">
        <v>7.7</v>
      </c>
      <c r="P1063" s="604" t="s">
        <v>47</v>
      </c>
      <c r="Q1063" s="499"/>
      <c r="R1063" s="575" t="str">
        <f t="shared" si="129"/>
        <v>2000birthssexMale</v>
      </c>
      <c r="S1063" s="604">
        <v>2000</v>
      </c>
      <c r="T1063" s="604" t="s">
        <v>445</v>
      </c>
      <c r="U1063" s="604" t="s">
        <v>451</v>
      </c>
      <c r="V1063" s="604" t="s">
        <v>70</v>
      </c>
      <c r="W1063" s="604">
        <v>29351</v>
      </c>
      <c r="Y1063" s="535" t="str">
        <f t="shared" si="130"/>
        <v>2016ethbwtAsian2500-4499infant</v>
      </c>
      <c r="Z1063" s="604">
        <v>2016</v>
      </c>
      <c r="AA1063" s="604" t="s">
        <v>449</v>
      </c>
      <c r="AB1063" s="604" t="s">
        <v>447</v>
      </c>
      <c r="AC1063" s="604" t="s">
        <v>355</v>
      </c>
      <c r="AD1063" s="604" t="s">
        <v>431</v>
      </c>
      <c r="AE1063" s="604">
        <v>7</v>
      </c>
      <c r="AF1063" s="604">
        <v>10050</v>
      </c>
      <c r="AG1063" s="604">
        <v>0.7</v>
      </c>
      <c r="AH1063" s="604" t="s">
        <v>437</v>
      </c>
      <c r="AR1063" s="538" t="str">
        <f t="shared" si="132"/>
        <v>500-999bwtinfantSouth Canterbury</v>
      </c>
      <c r="AS1063" s="604">
        <v>2016</v>
      </c>
      <c r="AT1063" s="604" t="s">
        <v>428</v>
      </c>
      <c r="AU1063" s="604" t="s">
        <v>447</v>
      </c>
      <c r="AV1063" s="604" t="s">
        <v>102</v>
      </c>
      <c r="AW1063" s="604">
        <v>2</v>
      </c>
      <c r="AX1063" s="604">
        <v>2</v>
      </c>
      <c r="AY1063" s="606">
        <v>1000</v>
      </c>
      <c r="AZ1063" s="604" t="s">
        <v>437</v>
      </c>
      <c r="BY1063" s="553" t="str">
        <f t="shared" si="131"/>
        <v>20011000-1499bwtSUDI</v>
      </c>
      <c r="BZ1063" s="604">
        <v>2001</v>
      </c>
      <c r="CA1063" s="604" t="s">
        <v>429</v>
      </c>
      <c r="CB1063" s="604" t="s">
        <v>447</v>
      </c>
      <c r="CC1063" s="604">
        <v>1</v>
      </c>
      <c r="CD1063" s="604" t="s">
        <v>33</v>
      </c>
    </row>
    <row r="1064" spans="9:82">
      <c r="I1064" s="578" t="str">
        <f t="shared" si="128"/>
        <v>2012dhbWhanganuiFetal</v>
      </c>
      <c r="J1064" s="604">
        <v>2012</v>
      </c>
      <c r="K1064" s="604" t="s">
        <v>448</v>
      </c>
      <c r="L1064" s="604" t="s">
        <v>95</v>
      </c>
      <c r="M1064" s="604">
        <v>13</v>
      </c>
      <c r="N1064" s="604">
        <v>858</v>
      </c>
      <c r="O1064" s="604">
        <v>15.2</v>
      </c>
      <c r="P1064" s="604" t="s">
        <v>47</v>
      </c>
      <c r="Q1064" s="499"/>
      <c r="R1064" s="575" t="str">
        <f t="shared" si="129"/>
        <v>2000birthssexFemale</v>
      </c>
      <c r="S1064" s="604">
        <v>2000</v>
      </c>
      <c r="T1064" s="604" t="s">
        <v>445</v>
      </c>
      <c r="U1064" s="604" t="s">
        <v>451</v>
      </c>
      <c r="V1064" s="604" t="s">
        <v>71</v>
      </c>
      <c r="W1064" s="604">
        <v>27643</v>
      </c>
      <c r="Y1064" s="535" t="str">
        <f t="shared" si="130"/>
        <v>2016ethbwtEuropean or Other2500-4499infant</v>
      </c>
      <c r="Z1064" s="604">
        <v>2016</v>
      </c>
      <c r="AA1064" s="604" t="s">
        <v>449</v>
      </c>
      <c r="AB1064" s="604" t="s">
        <v>447</v>
      </c>
      <c r="AC1064" s="604" t="s">
        <v>356</v>
      </c>
      <c r="AD1064" s="604" t="s">
        <v>431</v>
      </c>
      <c r="AE1064" s="604">
        <v>29</v>
      </c>
      <c r="AF1064" s="604">
        <v>24147</v>
      </c>
      <c r="AG1064" s="604">
        <v>1.2</v>
      </c>
      <c r="AH1064" s="604" t="s">
        <v>437</v>
      </c>
      <c r="AR1064" s="538" t="str">
        <f t="shared" si="132"/>
        <v>1500-2499bwtinfantSouth Canterbury</v>
      </c>
      <c r="AS1064" s="604">
        <v>2016</v>
      </c>
      <c r="AT1064" s="604" t="s">
        <v>430</v>
      </c>
      <c r="AU1064" s="604" t="s">
        <v>447</v>
      </c>
      <c r="AV1064" s="604" t="s">
        <v>102</v>
      </c>
      <c r="AW1064" s="604">
        <v>1</v>
      </c>
      <c r="AX1064" s="604">
        <v>28</v>
      </c>
      <c r="AY1064" s="606">
        <v>35.700000000000003</v>
      </c>
      <c r="AZ1064" s="604" t="s">
        <v>437</v>
      </c>
      <c r="BY1064" s="553" t="str">
        <f t="shared" si="131"/>
        <v>20011500-2499bwtSUDI</v>
      </c>
      <c r="BZ1064" s="604">
        <v>2001</v>
      </c>
      <c r="CA1064" s="604" t="s">
        <v>430</v>
      </c>
      <c r="CB1064" s="604" t="s">
        <v>447</v>
      </c>
      <c r="CC1064" s="604">
        <v>12</v>
      </c>
      <c r="CD1064" s="604" t="s">
        <v>33</v>
      </c>
    </row>
    <row r="1065" spans="9:82">
      <c r="I1065" s="578" t="str">
        <f t="shared" si="128"/>
        <v>2012dhbCapital &amp; CoastFetal</v>
      </c>
      <c r="J1065" s="604">
        <v>2012</v>
      </c>
      <c r="K1065" s="604" t="s">
        <v>448</v>
      </c>
      <c r="L1065" s="604" t="s">
        <v>96</v>
      </c>
      <c r="M1065" s="604">
        <v>28</v>
      </c>
      <c r="N1065" s="604">
        <v>3861</v>
      </c>
      <c r="O1065" s="604">
        <v>7.3</v>
      </c>
      <c r="P1065" s="604" t="s">
        <v>47</v>
      </c>
      <c r="Q1065" s="499"/>
      <c r="R1065" s="696" t="str">
        <f t="shared" si="129"/>
        <v>2001birthssexMale</v>
      </c>
      <c r="S1065" s="604">
        <v>2001</v>
      </c>
      <c r="T1065" s="604" t="s">
        <v>445</v>
      </c>
      <c r="U1065" s="604" t="s">
        <v>451</v>
      </c>
      <c r="V1065" s="604" t="s">
        <v>70</v>
      </c>
      <c r="W1065" s="604">
        <v>28575</v>
      </c>
      <c r="Y1065" s="535" t="str">
        <f t="shared" si="130"/>
        <v>2016ethbwtMaori4500+infant</v>
      </c>
      <c r="Z1065" s="604">
        <v>2016</v>
      </c>
      <c r="AA1065" s="604" t="s">
        <v>449</v>
      </c>
      <c r="AB1065" s="604" t="s">
        <v>447</v>
      </c>
      <c r="AC1065" s="604" t="s">
        <v>129</v>
      </c>
      <c r="AD1065" s="604" t="s">
        <v>432</v>
      </c>
      <c r="AE1065" s="604">
        <v>0</v>
      </c>
      <c r="AF1065" s="604">
        <v>426</v>
      </c>
      <c r="AG1065" s="604">
        <v>0</v>
      </c>
      <c r="AH1065" s="604" t="s">
        <v>437</v>
      </c>
      <c r="AR1065" s="538" t="str">
        <f t="shared" si="132"/>
        <v>&lt;500bwtinfantSouthern</v>
      </c>
      <c r="AS1065" s="604">
        <v>2016</v>
      </c>
      <c r="AT1065" s="604" t="s">
        <v>427</v>
      </c>
      <c r="AU1065" s="604" t="s">
        <v>447</v>
      </c>
      <c r="AV1065" s="604" t="s">
        <v>103</v>
      </c>
      <c r="AW1065" s="604">
        <v>2</v>
      </c>
      <c r="AX1065" s="604">
        <v>3</v>
      </c>
      <c r="AY1065" s="606">
        <v>666.7</v>
      </c>
      <c r="AZ1065" s="604" t="s">
        <v>437</v>
      </c>
      <c r="BY1065" s="553" t="str">
        <f t="shared" si="131"/>
        <v>20012500-4499bwtSUDI</v>
      </c>
      <c r="BZ1065" s="604">
        <v>2001</v>
      </c>
      <c r="CA1065" s="604" t="s">
        <v>431</v>
      </c>
      <c r="CB1065" s="604" t="s">
        <v>447</v>
      </c>
      <c r="CC1065" s="604">
        <v>57</v>
      </c>
      <c r="CD1065" s="604" t="s">
        <v>33</v>
      </c>
    </row>
    <row r="1066" spans="9:82">
      <c r="I1066" s="578" t="str">
        <f t="shared" si="128"/>
        <v>2012dhbHutt ValleyFetal</v>
      </c>
      <c r="J1066" s="604">
        <v>2012</v>
      </c>
      <c r="K1066" s="604" t="s">
        <v>448</v>
      </c>
      <c r="L1066" s="604" t="s">
        <v>97</v>
      </c>
      <c r="M1066" s="604">
        <v>11</v>
      </c>
      <c r="N1066" s="604">
        <v>2052</v>
      </c>
      <c r="O1066" s="604">
        <v>5.4</v>
      </c>
      <c r="P1066" s="604" t="s">
        <v>47</v>
      </c>
      <c r="Q1066" s="499"/>
      <c r="R1066" s="696" t="str">
        <f t="shared" si="129"/>
        <v>2001birthssexFemale</v>
      </c>
      <c r="S1066" s="604">
        <v>2001</v>
      </c>
      <c r="T1066" s="604" t="s">
        <v>445</v>
      </c>
      <c r="U1066" s="604" t="s">
        <v>451</v>
      </c>
      <c r="V1066" s="604" t="s">
        <v>71</v>
      </c>
      <c r="W1066" s="604">
        <v>27649</v>
      </c>
      <c r="Y1066" s="535" t="str">
        <f t="shared" si="130"/>
        <v>2016ethbwtPacific peoples4500+infant</v>
      </c>
      <c r="Z1066" s="604">
        <v>2016</v>
      </c>
      <c r="AA1066" s="604" t="s">
        <v>449</v>
      </c>
      <c r="AB1066" s="604" t="s">
        <v>447</v>
      </c>
      <c r="AC1066" s="604" t="s">
        <v>320</v>
      </c>
      <c r="AD1066" s="604" t="s">
        <v>432</v>
      </c>
      <c r="AE1066" s="604">
        <v>0</v>
      </c>
      <c r="AF1066" s="604">
        <v>261</v>
      </c>
      <c r="AG1066" s="604">
        <v>0</v>
      </c>
      <c r="AH1066" s="604" t="s">
        <v>437</v>
      </c>
      <c r="AR1066" s="538" t="str">
        <f t="shared" si="132"/>
        <v>500-999bwtinfantSouthern</v>
      </c>
      <c r="AS1066" s="604">
        <v>2016</v>
      </c>
      <c r="AT1066" s="604" t="s">
        <v>428</v>
      </c>
      <c r="AU1066" s="604" t="s">
        <v>447</v>
      </c>
      <c r="AV1066" s="604" t="s">
        <v>103</v>
      </c>
      <c r="AW1066" s="604">
        <v>2</v>
      </c>
      <c r="AX1066" s="604">
        <v>16</v>
      </c>
      <c r="AY1066" s="606">
        <v>125</v>
      </c>
      <c r="AZ1066" s="604" t="s">
        <v>437</v>
      </c>
      <c r="BY1066" s="553" t="str">
        <f t="shared" si="131"/>
        <v>20014500+bwtSUDI</v>
      </c>
      <c r="BZ1066" s="604">
        <v>2001</v>
      </c>
      <c r="CA1066" s="604" t="s">
        <v>432</v>
      </c>
      <c r="CB1066" s="604" t="s">
        <v>447</v>
      </c>
      <c r="CC1066" s="604">
        <v>0</v>
      </c>
      <c r="CD1066" s="604" t="s">
        <v>33</v>
      </c>
    </row>
    <row r="1067" spans="9:82">
      <c r="I1067" s="578" t="str">
        <f t="shared" si="128"/>
        <v>2012dhbWairarapaFetal</v>
      </c>
      <c r="J1067" s="604">
        <v>2012</v>
      </c>
      <c r="K1067" s="604" t="s">
        <v>448</v>
      </c>
      <c r="L1067" s="604" t="s">
        <v>98</v>
      </c>
      <c r="M1067" s="604">
        <v>4</v>
      </c>
      <c r="N1067" s="604">
        <v>517</v>
      </c>
      <c r="O1067" s="604">
        <v>7.7</v>
      </c>
      <c r="P1067" s="604" t="s">
        <v>47</v>
      </c>
      <c r="Q1067" s="499"/>
      <c r="R1067" s="696" t="str">
        <f t="shared" si="129"/>
        <v>2002birthssexMale</v>
      </c>
      <c r="S1067" s="604">
        <v>2002</v>
      </c>
      <c r="T1067" s="604" t="s">
        <v>445</v>
      </c>
      <c r="U1067" s="604" t="s">
        <v>451</v>
      </c>
      <c r="V1067" s="604" t="s">
        <v>70</v>
      </c>
      <c r="W1067" s="604">
        <v>27822</v>
      </c>
      <c r="Y1067" s="535" t="str">
        <f t="shared" si="130"/>
        <v>2016ethbwtAsian4500+infant</v>
      </c>
      <c r="Z1067" s="604">
        <v>2016</v>
      </c>
      <c r="AA1067" s="604" t="s">
        <v>449</v>
      </c>
      <c r="AB1067" s="604" t="s">
        <v>447</v>
      </c>
      <c r="AC1067" s="604" t="s">
        <v>355</v>
      </c>
      <c r="AD1067" s="604" t="s">
        <v>432</v>
      </c>
      <c r="AE1067" s="604">
        <v>0</v>
      </c>
      <c r="AF1067" s="604">
        <v>44</v>
      </c>
      <c r="AG1067" s="604">
        <v>0</v>
      </c>
      <c r="AH1067" s="604" t="s">
        <v>437</v>
      </c>
      <c r="AR1067" s="538" t="str">
        <f t="shared" si="132"/>
        <v>1000-1499bwtinfantSouthern</v>
      </c>
      <c r="AS1067" s="604">
        <v>2016</v>
      </c>
      <c r="AT1067" s="604" t="s">
        <v>429</v>
      </c>
      <c r="AU1067" s="604" t="s">
        <v>447</v>
      </c>
      <c r="AV1067" s="604" t="s">
        <v>103</v>
      </c>
      <c r="AW1067" s="604">
        <v>1</v>
      </c>
      <c r="AX1067" s="604">
        <v>25</v>
      </c>
      <c r="AY1067" s="606">
        <v>40</v>
      </c>
      <c r="AZ1067" s="604" t="s">
        <v>437</v>
      </c>
      <c r="BY1067" s="553" t="str">
        <f t="shared" si="131"/>
        <v>2001UnknownbwtSUDI</v>
      </c>
      <c r="BZ1067" s="604">
        <v>2001</v>
      </c>
      <c r="CA1067" s="604" t="s">
        <v>63</v>
      </c>
      <c r="CB1067" s="604" t="s">
        <v>447</v>
      </c>
      <c r="CC1067" s="604">
        <v>0</v>
      </c>
      <c r="CD1067" s="604" t="s">
        <v>33</v>
      </c>
    </row>
    <row r="1068" spans="9:82">
      <c r="I1068" s="578" t="str">
        <f t="shared" si="128"/>
        <v>2012dhbNelson MarlboroughFetal</v>
      </c>
      <c r="J1068" s="604">
        <v>2012</v>
      </c>
      <c r="K1068" s="604" t="s">
        <v>448</v>
      </c>
      <c r="L1068" s="604" t="s">
        <v>99</v>
      </c>
      <c r="M1068" s="604">
        <v>7</v>
      </c>
      <c r="N1068" s="604">
        <v>1548</v>
      </c>
      <c r="O1068" s="604">
        <v>4.5</v>
      </c>
      <c r="P1068" s="604" t="s">
        <v>47</v>
      </c>
      <c r="Q1068" s="499"/>
      <c r="R1068" s="696" t="str">
        <f t="shared" si="129"/>
        <v>2002birthssexFemale</v>
      </c>
      <c r="S1068" s="604">
        <v>2002</v>
      </c>
      <c r="T1068" s="604" t="s">
        <v>445</v>
      </c>
      <c r="U1068" s="604" t="s">
        <v>451</v>
      </c>
      <c r="V1068" s="604" t="s">
        <v>71</v>
      </c>
      <c r="W1068" s="604">
        <v>26693</v>
      </c>
      <c r="Y1068" s="535" t="str">
        <f t="shared" si="130"/>
        <v>2016ethbwtEuropean or Other4500+infant</v>
      </c>
      <c r="Z1068" s="604">
        <v>2016</v>
      </c>
      <c r="AA1068" s="604" t="s">
        <v>449</v>
      </c>
      <c r="AB1068" s="604" t="s">
        <v>447</v>
      </c>
      <c r="AC1068" s="604" t="s">
        <v>356</v>
      </c>
      <c r="AD1068" s="604" t="s">
        <v>432</v>
      </c>
      <c r="AE1068" s="604">
        <v>0</v>
      </c>
      <c r="AF1068" s="604">
        <v>692</v>
      </c>
      <c r="AG1068" s="604">
        <v>0</v>
      </c>
      <c r="AH1068" s="604" t="s">
        <v>437</v>
      </c>
      <c r="AR1068" s="538" t="str">
        <f t="shared" si="132"/>
        <v>2500-4499bwtinfantSouthern</v>
      </c>
      <c r="AS1068" s="604">
        <v>2016</v>
      </c>
      <c r="AT1068" s="604" t="s">
        <v>431</v>
      </c>
      <c r="AU1068" s="604" t="s">
        <v>447</v>
      </c>
      <c r="AV1068" s="604" t="s">
        <v>103</v>
      </c>
      <c r="AW1068" s="604">
        <v>4</v>
      </c>
      <c r="AX1068" s="604">
        <v>3111</v>
      </c>
      <c r="AY1068" s="606">
        <v>1.3</v>
      </c>
      <c r="AZ1068" s="604" t="s">
        <v>437</v>
      </c>
      <c r="BY1068" s="553" t="str">
        <f t="shared" si="131"/>
        <v>2002&lt;500bwtSUDI</v>
      </c>
      <c r="BZ1068" s="604">
        <v>2002</v>
      </c>
      <c r="CA1068" s="604" t="s">
        <v>427</v>
      </c>
      <c r="CB1068" s="604" t="s">
        <v>447</v>
      </c>
      <c r="CC1068" s="604">
        <v>0</v>
      </c>
      <c r="CD1068" s="604" t="s">
        <v>33</v>
      </c>
    </row>
    <row r="1069" spans="9:82">
      <c r="I1069" s="578" t="str">
        <f t="shared" si="128"/>
        <v>2012dhbWest CoastFetal</v>
      </c>
      <c r="J1069" s="604">
        <v>2012</v>
      </c>
      <c r="K1069" s="604" t="s">
        <v>448</v>
      </c>
      <c r="L1069" s="604" t="s">
        <v>100</v>
      </c>
      <c r="M1069" s="604">
        <v>1</v>
      </c>
      <c r="N1069" s="604">
        <v>420</v>
      </c>
      <c r="O1069" s="604">
        <v>2.4</v>
      </c>
      <c r="P1069" s="604" t="s">
        <v>47</v>
      </c>
      <c r="Q1069" s="499"/>
      <c r="R1069" s="696" t="str">
        <f t="shared" si="129"/>
        <v>2003birthssexMale</v>
      </c>
      <c r="S1069" s="604">
        <v>2003</v>
      </c>
      <c r="T1069" s="604" t="s">
        <v>445</v>
      </c>
      <c r="U1069" s="604" t="s">
        <v>451</v>
      </c>
      <c r="V1069" s="604" t="s">
        <v>70</v>
      </c>
      <c r="W1069" s="604">
        <v>29050</v>
      </c>
      <c r="Y1069" s="535" t="str">
        <f t="shared" si="130"/>
        <v>2016ethbwtMaoriUnknowninfant</v>
      </c>
      <c r="Z1069" s="604">
        <v>2016</v>
      </c>
      <c r="AA1069" s="604" t="s">
        <v>449</v>
      </c>
      <c r="AB1069" s="604" t="s">
        <v>447</v>
      </c>
      <c r="AC1069" s="604" t="s">
        <v>129</v>
      </c>
      <c r="AD1069" s="604" t="s">
        <v>63</v>
      </c>
      <c r="AE1069" s="604">
        <v>4</v>
      </c>
      <c r="AF1069" s="604">
        <v>11</v>
      </c>
      <c r="AG1069" s="604" t="s">
        <v>119</v>
      </c>
      <c r="AH1069" s="604" t="s">
        <v>437</v>
      </c>
      <c r="AR1069" s="538" t="str">
        <f t="shared" si="132"/>
        <v>UnknownbwtinfantUnknown</v>
      </c>
      <c r="AS1069" s="604">
        <v>2016</v>
      </c>
      <c r="AT1069" s="604" t="s">
        <v>63</v>
      </c>
      <c r="AU1069" s="604" t="s">
        <v>447</v>
      </c>
      <c r="AV1069" s="604" t="s">
        <v>63</v>
      </c>
      <c r="AW1069" s="604">
        <v>1</v>
      </c>
      <c r="AX1069" s="604">
        <v>1</v>
      </c>
      <c r="AY1069" s="606" t="s">
        <v>119</v>
      </c>
      <c r="AZ1069" s="604" t="s">
        <v>437</v>
      </c>
      <c r="BY1069" s="553" t="str">
        <f t="shared" si="131"/>
        <v>2002500-999bwtSUDI</v>
      </c>
      <c r="BZ1069" s="604">
        <v>2002</v>
      </c>
      <c r="CA1069" s="604" t="s">
        <v>428</v>
      </c>
      <c r="CB1069" s="604" t="s">
        <v>447</v>
      </c>
      <c r="CC1069" s="604">
        <v>1</v>
      </c>
      <c r="CD1069" s="604" t="s">
        <v>33</v>
      </c>
    </row>
    <row r="1070" spans="9:82">
      <c r="I1070" s="578" t="str">
        <f t="shared" si="128"/>
        <v>2012dhbCanterburyFetal</v>
      </c>
      <c r="J1070" s="604">
        <v>2012</v>
      </c>
      <c r="K1070" s="604" t="s">
        <v>448</v>
      </c>
      <c r="L1070" s="604" t="s">
        <v>101</v>
      </c>
      <c r="M1070" s="604">
        <v>44</v>
      </c>
      <c r="N1070" s="604">
        <v>6085</v>
      </c>
      <c r="O1070" s="604">
        <v>7.2</v>
      </c>
      <c r="P1070" s="604" t="s">
        <v>47</v>
      </c>
      <c r="Q1070" s="499"/>
      <c r="R1070" s="696" t="str">
        <f t="shared" si="129"/>
        <v>2003birthssexFemale</v>
      </c>
      <c r="S1070" s="604">
        <v>2003</v>
      </c>
      <c r="T1070" s="604" t="s">
        <v>445</v>
      </c>
      <c r="U1070" s="604" t="s">
        <v>451</v>
      </c>
      <c r="V1070" s="604" t="s">
        <v>71</v>
      </c>
      <c r="W1070" s="604">
        <v>27526</v>
      </c>
      <c r="Y1070" s="535" t="str">
        <f t="shared" si="130"/>
        <v>2016ethbwtPacific peoplesUnknowninfant</v>
      </c>
      <c r="Z1070" s="604">
        <v>2016</v>
      </c>
      <c r="AA1070" s="604" t="s">
        <v>449</v>
      </c>
      <c r="AB1070" s="604" t="s">
        <v>447</v>
      </c>
      <c r="AC1070" s="604" t="s">
        <v>320</v>
      </c>
      <c r="AD1070" s="604" t="s">
        <v>63</v>
      </c>
      <c r="AE1070" s="604">
        <v>1</v>
      </c>
      <c r="AF1070" s="604">
        <v>1</v>
      </c>
      <c r="AG1070" s="604" t="s">
        <v>119</v>
      </c>
      <c r="AH1070" s="604" t="s">
        <v>437</v>
      </c>
      <c r="AR1070" s="538" t="str">
        <f t="shared" si="132"/>
        <v>&lt;20ageinfantNew Zealand</v>
      </c>
      <c r="AS1070" s="604">
        <v>2016</v>
      </c>
      <c r="AT1070" s="604" t="s">
        <v>339</v>
      </c>
      <c r="AU1070" s="604" t="s">
        <v>453</v>
      </c>
      <c r="AV1070" s="604" t="s">
        <v>16</v>
      </c>
      <c r="AW1070" s="604">
        <v>27</v>
      </c>
      <c r="AX1070" s="604">
        <v>2559</v>
      </c>
      <c r="AY1070" s="606">
        <v>10.6</v>
      </c>
      <c r="AZ1070" s="604" t="s">
        <v>437</v>
      </c>
      <c r="BY1070" s="553" t="str">
        <f t="shared" si="131"/>
        <v>20021000-1499bwtSUDI</v>
      </c>
      <c r="BZ1070" s="604">
        <v>2002</v>
      </c>
      <c r="CA1070" s="604" t="s">
        <v>429</v>
      </c>
      <c r="CB1070" s="604" t="s">
        <v>447</v>
      </c>
      <c r="CC1070" s="604">
        <v>1</v>
      </c>
      <c r="CD1070" s="604" t="s">
        <v>33</v>
      </c>
    </row>
    <row r="1071" spans="9:82">
      <c r="I1071" s="578" t="str">
        <f t="shared" si="128"/>
        <v>2012dhbSouth CanterburyFetal</v>
      </c>
      <c r="J1071" s="604">
        <v>2012</v>
      </c>
      <c r="K1071" s="604" t="s">
        <v>448</v>
      </c>
      <c r="L1071" s="604" t="s">
        <v>102</v>
      </c>
      <c r="M1071" s="604">
        <v>3</v>
      </c>
      <c r="N1071" s="604">
        <v>629</v>
      </c>
      <c r="O1071" s="604">
        <v>4.8</v>
      </c>
      <c r="P1071" s="604" t="s">
        <v>47</v>
      </c>
      <c r="Q1071" s="499"/>
      <c r="R1071" s="696" t="str">
        <f t="shared" si="129"/>
        <v>2004birthssexMale</v>
      </c>
      <c r="S1071" s="604">
        <v>2004</v>
      </c>
      <c r="T1071" s="604" t="s">
        <v>445</v>
      </c>
      <c r="U1071" s="604" t="s">
        <v>451</v>
      </c>
      <c r="V1071" s="604" t="s">
        <v>70</v>
      </c>
      <c r="W1071" s="604">
        <v>30091</v>
      </c>
      <c r="Y1071" s="535" t="str">
        <f t="shared" si="130"/>
        <v>2016ethbwtAsianUnknowninfant</v>
      </c>
      <c r="Z1071" s="604">
        <v>2016</v>
      </c>
      <c r="AA1071" s="604" t="s">
        <v>449</v>
      </c>
      <c r="AB1071" s="604" t="s">
        <v>447</v>
      </c>
      <c r="AC1071" s="604" t="s">
        <v>355</v>
      </c>
      <c r="AD1071" s="604" t="s">
        <v>63</v>
      </c>
      <c r="AE1071" s="604">
        <v>1</v>
      </c>
      <c r="AF1071" s="604">
        <v>6</v>
      </c>
      <c r="AG1071" s="604" t="s">
        <v>119</v>
      </c>
      <c r="AH1071" s="604" t="s">
        <v>437</v>
      </c>
      <c r="AR1071" s="538" t="str">
        <f t="shared" si="132"/>
        <v>20-24ageinfantNew Zealand</v>
      </c>
      <c r="AS1071" s="604">
        <v>2016</v>
      </c>
      <c r="AT1071" s="604" t="s">
        <v>130</v>
      </c>
      <c r="AU1071" s="604" t="s">
        <v>453</v>
      </c>
      <c r="AV1071" s="604" t="s">
        <v>16</v>
      </c>
      <c r="AW1071" s="604">
        <v>61</v>
      </c>
      <c r="AX1071" s="604">
        <v>9934</v>
      </c>
      <c r="AY1071" s="606">
        <v>6.1</v>
      </c>
      <c r="AZ1071" s="604" t="s">
        <v>437</v>
      </c>
      <c r="BY1071" s="553" t="str">
        <f t="shared" si="131"/>
        <v>20021500-2499bwtSUDI</v>
      </c>
      <c r="BZ1071" s="604">
        <v>2002</v>
      </c>
      <c r="CA1071" s="604" t="s">
        <v>430</v>
      </c>
      <c r="CB1071" s="604" t="s">
        <v>447</v>
      </c>
      <c r="CC1071" s="604">
        <v>8</v>
      </c>
      <c r="CD1071" s="604" t="s">
        <v>33</v>
      </c>
    </row>
    <row r="1072" spans="9:82">
      <c r="I1072" s="578" t="str">
        <f t="shared" si="128"/>
        <v>2012dhbSouthernFetal</v>
      </c>
      <c r="J1072" s="604">
        <v>2012</v>
      </c>
      <c r="K1072" s="604" t="s">
        <v>448</v>
      </c>
      <c r="L1072" s="604" t="s">
        <v>103</v>
      </c>
      <c r="M1072" s="604">
        <v>22</v>
      </c>
      <c r="N1072" s="604">
        <v>3642</v>
      </c>
      <c r="O1072" s="604">
        <v>6</v>
      </c>
      <c r="P1072" s="604" t="s">
        <v>47</v>
      </c>
      <c r="Q1072" s="499"/>
      <c r="R1072" s="696" t="str">
        <f t="shared" si="129"/>
        <v>2004birthssexFemale</v>
      </c>
      <c r="S1072" s="604">
        <v>2004</v>
      </c>
      <c r="T1072" s="604" t="s">
        <v>445</v>
      </c>
      <c r="U1072" s="604" t="s">
        <v>451</v>
      </c>
      <c r="V1072" s="604" t="s">
        <v>71</v>
      </c>
      <c r="W1072" s="604">
        <v>28632</v>
      </c>
      <c r="Y1072" s="535" t="str">
        <f t="shared" si="130"/>
        <v>2016ethbwtEuropean or OtherUnknowninfant</v>
      </c>
      <c r="Z1072" s="604">
        <v>2016</v>
      </c>
      <c r="AA1072" s="604" t="s">
        <v>449</v>
      </c>
      <c r="AB1072" s="604" t="s">
        <v>447</v>
      </c>
      <c r="AC1072" s="604" t="s">
        <v>356</v>
      </c>
      <c r="AD1072" s="604" t="s">
        <v>63</v>
      </c>
      <c r="AE1072" s="604">
        <v>3</v>
      </c>
      <c r="AF1072" s="604">
        <v>17</v>
      </c>
      <c r="AG1072" s="604" t="s">
        <v>119</v>
      </c>
      <c r="AH1072" s="604" t="s">
        <v>437</v>
      </c>
      <c r="AR1072" s="538" t="str">
        <f t="shared" si="132"/>
        <v>25-29ageinfantNew Zealand</v>
      </c>
      <c r="AS1072" s="604">
        <v>2016</v>
      </c>
      <c r="AT1072" s="604" t="s">
        <v>131</v>
      </c>
      <c r="AU1072" s="604" t="s">
        <v>453</v>
      </c>
      <c r="AV1072" s="604" t="s">
        <v>16</v>
      </c>
      <c r="AW1072" s="604">
        <v>52</v>
      </c>
      <c r="AX1072" s="604">
        <v>16664</v>
      </c>
      <c r="AY1072" s="606">
        <v>3.1</v>
      </c>
      <c r="AZ1072" s="604" t="s">
        <v>437</v>
      </c>
      <c r="BY1072" s="553" t="str">
        <f t="shared" si="131"/>
        <v>20022500-4499bwtSUDI</v>
      </c>
      <c r="BZ1072" s="604">
        <v>2002</v>
      </c>
      <c r="CA1072" s="604" t="s">
        <v>431</v>
      </c>
      <c r="CB1072" s="604" t="s">
        <v>447</v>
      </c>
      <c r="CC1072" s="604">
        <v>43</v>
      </c>
      <c r="CD1072" s="604" t="s">
        <v>33</v>
      </c>
    </row>
    <row r="1073" spans="9:82">
      <c r="I1073" s="578" t="str">
        <f t="shared" si="128"/>
        <v>2012dhbUnknownFetal</v>
      </c>
      <c r="J1073" s="604">
        <v>2012</v>
      </c>
      <c r="K1073" s="604" t="s">
        <v>448</v>
      </c>
      <c r="L1073" s="604" t="s">
        <v>63</v>
      </c>
      <c r="M1073" s="604">
        <v>4</v>
      </c>
      <c r="N1073" s="604">
        <v>196</v>
      </c>
      <c r="O1073" s="604" t="s">
        <v>119</v>
      </c>
      <c r="P1073" s="604" t="s">
        <v>47</v>
      </c>
      <c r="Q1073" s="499"/>
      <c r="R1073" s="696" t="str">
        <f t="shared" si="129"/>
        <v>2005birthssexMale</v>
      </c>
      <c r="S1073" s="604">
        <v>2005</v>
      </c>
      <c r="T1073" s="604" t="s">
        <v>445</v>
      </c>
      <c r="U1073" s="604" t="s">
        <v>451</v>
      </c>
      <c r="V1073" s="604" t="s">
        <v>70</v>
      </c>
      <c r="W1073" s="604">
        <v>30067</v>
      </c>
      <c r="Y1073" s="535" t="str">
        <f t="shared" si="130"/>
        <v>2016sexbwtMale&lt;500infant</v>
      </c>
      <c r="Z1073" s="604">
        <v>2016</v>
      </c>
      <c r="AA1073" s="604" t="s">
        <v>451</v>
      </c>
      <c r="AB1073" s="604" t="s">
        <v>447</v>
      </c>
      <c r="AC1073" s="604" t="s">
        <v>70</v>
      </c>
      <c r="AD1073" s="604" t="s">
        <v>427</v>
      </c>
      <c r="AE1073" s="604">
        <v>17</v>
      </c>
      <c r="AF1073" s="604">
        <v>24</v>
      </c>
      <c r="AG1073" s="604">
        <v>708.3</v>
      </c>
      <c r="AH1073" s="604" t="s">
        <v>437</v>
      </c>
      <c r="AR1073" s="538" t="str">
        <f t="shared" si="132"/>
        <v>30-34ageinfantNew Zealand</v>
      </c>
      <c r="AS1073" s="604">
        <v>2016</v>
      </c>
      <c r="AT1073" s="604" t="s">
        <v>132</v>
      </c>
      <c r="AU1073" s="604" t="s">
        <v>453</v>
      </c>
      <c r="AV1073" s="604" t="s">
        <v>16</v>
      </c>
      <c r="AW1073" s="604">
        <v>59</v>
      </c>
      <c r="AX1073" s="604">
        <v>18720</v>
      </c>
      <c r="AY1073" s="606">
        <v>3.2</v>
      </c>
      <c r="AZ1073" s="604" t="s">
        <v>437</v>
      </c>
      <c r="BY1073" s="553" t="str">
        <f t="shared" si="131"/>
        <v>20024500+bwtSUDI</v>
      </c>
      <c r="BZ1073" s="604">
        <v>2002</v>
      </c>
      <c r="CA1073" s="604" t="s">
        <v>432</v>
      </c>
      <c r="CB1073" s="604" t="s">
        <v>447</v>
      </c>
      <c r="CC1073" s="604">
        <v>0</v>
      </c>
      <c r="CD1073" s="604" t="s">
        <v>33</v>
      </c>
    </row>
    <row r="1074" spans="9:82">
      <c r="I1074" s="578" t="str">
        <f t="shared" si="128"/>
        <v>2013dhbNorthlandFetal</v>
      </c>
      <c r="J1074" s="604">
        <v>2013</v>
      </c>
      <c r="K1074" s="604" t="s">
        <v>448</v>
      </c>
      <c r="L1074" s="604" t="s">
        <v>85</v>
      </c>
      <c r="M1074" s="604">
        <v>19</v>
      </c>
      <c r="N1074" s="604">
        <v>2215</v>
      </c>
      <c r="O1074" s="604">
        <v>8.6</v>
      </c>
      <c r="P1074" s="604" t="s">
        <v>47</v>
      </c>
      <c r="Q1074" s="499"/>
      <c r="R1074" s="696" t="str">
        <f t="shared" si="129"/>
        <v>2005birthssexFemale</v>
      </c>
      <c r="S1074" s="604">
        <v>2005</v>
      </c>
      <c r="T1074" s="604" t="s">
        <v>445</v>
      </c>
      <c r="U1074" s="604" t="s">
        <v>451</v>
      </c>
      <c r="V1074" s="604" t="s">
        <v>71</v>
      </c>
      <c r="W1074" s="604">
        <v>28660</v>
      </c>
      <c r="Y1074" s="535" t="str">
        <f t="shared" si="130"/>
        <v>2016sexbwtFemale&lt;500infant</v>
      </c>
      <c r="Z1074" s="604">
        <v>2016</v>
      </c>
      <c r="AA1074" s="604" t="s">
        <v>451</v>
      </c>
      <c r="AB1074" s="604" t="s">
        <v>447</v>
      </c>
      <c r="AC1074" s="604" t="s">
        <v>71</v>
      </c>
      <c r="AD1074" s="604" t="s">
        <v>427</v>
      </c>
      <c r="AE1074" s="604">
        <v>20</v>
      </c>
      <c r="AF1074" s="604">
        <v>29</v>
      </c>
      <c r="AG1074" s="604">
        <v>689.7</v>
      </c>
      <c r="AH1074" s="604" t="s">
        <v>437</v>
      </c>
      <c r="AR1074" s="538" t="str">
        <f t="shared" si="132"/>
        <v>35-39ageinfantNew Zealand</v>
      </c>
      <c r="AS1074" s="604">
        <v>2016</v>
      </c>
      <c r="AT1074" s="604" t="s">
        <v>133</v>
      </c>
      <c r="AU1074" s="604" t="s">
        <v>453</v>
      </c>
      <c r="AV1074" s="604" t="s">
        <v>16</v>
      </c>
      <c r="AW1074" s="604">
        <v>26</v>
      </c>
      <c r="AX1074" s="604">
        <v>10105</v>
      </c>
      <c r="AY1074" s="606">
        <v>2.6</v>
      </c>
      <c r="AZ1074" s="604" t="s">
        <v>437</v>
      </c>
      <c r="BY1074" s="553" t="str">
        <f t="shared" si="131"/>
        <v>2002UnknownbwtSUDI</v>
      </c>
      <c r="BZ1074" s="604">
        <v>2002</v>
      </c>
      <c r="CA1074" s="604" t="s">
        <v>63</v>
      </c>
      <c r="CB1074" s="604" t="s">
        <v>447</v>
      </c>
      <c r="CC1074" s="604">
        <v>5</v>
      </c>
      <c r="CD1074" s="604" t="s">
        <v>33</v>
      </c>
    </row>
    <row r="1075" spans="9:82">
      <c r="I1075" s="578" t="str">
        <f t="shared" si="128"/>
        <v>2013dhbWaitemataFetal</v>
      </c>
      <c r="J1075" s="604">
        <v>2013</v>
      </c>
      <c r="K1075" s="604" t="s">
        <v>448</v>
      </c>
      <c r="L1075" s="604" t="s">
        <v>86</v>
      </c>
      <c r="M1075" s="604">
        <v>51</v>
      </c>
      <c r="N1075" s="604">
        <v>7729</v>
      </c>
      <c r="O1075" s="604">
        <v>6.6</v>
      </c>
      <c r="P1075" s="604" t="s">
        <v>47</v>
      </c>
      <c r="Q1075" s="499"/>
      <c r="R1075" s="696" t="str">
        <f t="shared" si="129"/>
        <v>2006birthssexMale</v>
      </c>
      <c r="S1075" s="604">
        <v>2006</v>
      </c>
      <c r="T1075" s="604" t="s">
        <v>445</v>
      </c>
      <c r="U1075" s="604" t="s">
        <v>451</v>
      </c>
      <c r="V1075" s="604" t="s">
        <v>70</v>
      </c>
      <c r="W1075" s="604">
        <v>30808</v>
      </c>
      <c r="Y1075" s="535" t="str">
        <f t="shared" si="130"/>
        <v>2016sexbwtMale500-999infant</v>
      </c>
      <c r="Z1075" s="604">
        <v>2016</v>
      </c>
      <c r="AA1075" s="604" t="s">
        <v>451</v>
      </c>
      <c r="AB1075" s="604" t="s">
        <v>447</v>
      </c>
      <c r="AC1075" s="604" t="s">
        <v>70</v>
      </c>
      <c r="AD1075" s="604" t="s">
        <v>428</v>
      </c>
      <c r="AE1075" s="604">
        <v>34</v>
      </c>
      <c r="AF1075" s="604">
        <v>95</v>
      </c>
      <c r="AG1075" s="604">
        <v>357.9</v>
      </c>
      <c r="AH1075" s="604" t="s">
        <v>437</v>
      </c>
      <c r="AR1075" s="538" t="str">
        <f t="shared" si="132"/>
        <v>40+ageinfantNew Zealand</v>
      </c>
      <c r="AS1075" s="604">
        <v>2016</v>
      </c>
      <c r="AT1075" s="604" t="s">
        <v>134</v>
      </c>
      <c r="AU1075" s="604" t="s">
        <v>453</v>
      </c>
      <c r="AV1075" s="604" t="s">
        <v>16</v>
      </c>
      <c r="AW1075" s="604">
        <v>15</v>
      </c>
      <c r="AX1075" s="604">
        <v>2454</v>
      </c>
      <c r="AY1075" s="606">
        <v>6.1</v>
      </c>
      <c r="AZ1075" s="604" t="s">
        <v>437</v>
      </c>
      <c r="BY1075" s="553" t="str">
        <f t="shared" si="131"/>
        <v>2003&lt;500bwtSUDI</v>
      </c>
      <c r="BZ1075" s="604">
        <v>2003</v>
      </c>
      <c r="CA1075" s="604" t="s">
        <v>427</v>
      </c>
      <c r="CB1075" s="604" t="s">
        <v>447</v>
      </c>
      <c r="CC1075" s="604">
        <v>0</v>
      </c>
      <c r="CD1075" s="604" t="s">
        <v>33</v>
      </c>
    </row>
    <row r="1076" spans="9:82">
      <c r="I1076" s="578" t="str">
        <f t="shared" si="128"/>
        <v>2013dhbAucklandFetal</v>
      </c>
      <c r="J1076" s="604">
        <v>2013</v>
      </c>
      <c r="K1076" s="604" t="s">
        <v>448</v>
      </c>
      <c r="L1076" s="604" t="s">
        <v>87</v>
      </c>
      <c r="M1076" s="604">
        <v>47</v>
      </c>
      <c r="N1076" s="604">
        <v>6262</v>
      </c>
      <c r="O1076" s="604">
        <v>7.5</v>
      </c>
      <c r="P1076" s="604" t="s">
        <v>47</v>
      </c>
      <c r="Q1076" s="499"/>
      <c r="R1076" s="696" t="str">
        <f t="shared" si="129"/>
        <v>2006birthssexFemale</v>
      </c>
      <c r="S1076" s="604">
        <v>2006</v>
      </c>
      <c r="T1076" s="604" t="s">
        <v>445</v>
      </c>
      <c r="U1076" s="604" t="s">
        <v>451</v>
      </c>
      <c r="V1076" s="604" t="s">
        <v>71</v>
      </c>
      <c r="W1076" s="604">
        <v>29466</v>
      </c>
      <c r="Y1076" s="535" t="str">
        <f t="shared" si="130"/>
        <v>2016sexbwtFemale500-999infant</v>
      </c>
      <c r="Z1076" s="604">
        <v>2016</v>
      </c>
      <c r="AA1076" s="604" t="s">
        <v>451</v>
      </c>
      <c r="AB1076" s="604" t="s">
        <v>447</v>
      </c>
      <c r="AC1076" s="604" t="s">
        <v>71</v>
      </c>
      <c r="AD1076" s="604" t="s">
        <v>428</v>
      </c>
      <c r="AE1076" s="604">
        <v>23</v>
      </c>
      <c r="AF1076" s="604">
        <v>101</v>
      </c>
      <c r="AG1076" s="604">
        <v>227.7</v>
      </c>
      <c r="AH1076" s="604" t="s">
        <v>437</v>
      </c>
      <c r="AR1076" s="538" t="str">
        <f t="shared" si="132"/>
        <v>UnknownageinfantNew Zealand</v>
      </c>
      <c r="AS1076" s="604">
        <v>2016</v>
      </c>
      <c r="AT1076" s="604" t="s">
        <v>63</v>
      </c>
      <c r="AU1076" s="604" t="s">
        <v>453</v>
      </c>
      <c r="AV1076" s="604" t="s">
        <v>16</v>
      </c>
      <c r="AW1076" s="604">
        <v>1</v>
      </c>
      <c r="AX1076" s="604">
        <v>0</v>
      </c>
      <c r="AY1076" s="606" t="s">
        <v>119</v>
      </c>
      <c r="AZ1076" s="604" t="s">
        <v>437</v>
      </c>
      <c r="BY1076" s="553" t="str">
        <f t="shared" si="131"/>
        <v>2003500-999bwtSUDI</v>
      </c>
      <c r="BZ1076" s="604">
        <v>2003</v>
      </c>
      <c r="CA1076" s="604" t="s">
        <v>428</v>
      </c>
      <c r="CB1076" s="604" t="s">
        <v>447</v>
      </c>
      <c r="CC1076" s="604">
        <v>1</v>
      </c>
      <c r="CD1076" s="604" t="s">
        <v>33</v>
      </c>
    </row>
    <row r="1077" spans="9:82">
      <c r="I1077" s="578" t="str">
        <f t="shared" si="128"/>
        <v>2013dhbCounties ManukauFetal</v>
      </c>
      <c r="J1077" s="604">
        <v>2013</v>
      </c>
      <c r="K1077" s="604" t="s">
        <v>448</v>
      </c>
      <c r="L1077" s="604" t="s">
        <v>88</v>
      </c>
      <c r="M1077" s="604">
        <v>62</v>
      </c>
      <c r="N1077" s="604">
        <v>8412</v>
      </c>
      <c r="O1077" s="604">
        <v>7.4</v>
      </c>
      <c r="P1077" s="604" t="s">
        <v>47</v>
      </c>
      <c r="Q1077" s="499"/>
      <c r="R1077" s="696" t="str">
        <f t="shared" si="129"/>
        <v>2007birthssexMale</v>
      </c>
      <c r="S1077" s="604">
        <v>2007</v>
      </c>
      <c r="T1077" s="604" t="s">
        <v>445</v>
      </c>
      <c r="U1077" s="604" t="s">
        <v>451</v>
      </c>
      <c r="V1077" s="604" t="s">
        <v>70</v>
      </c>
      <c r="W1077" s="604">
        <v>33569</v>
      </c>
      <c r="Y1077" s="535" t="str">
        <f t="shared" si="130"/>
        <v>2016sexbwtMale1000-1499infant</v>
      </c>
      <c r="Z1077" s="604">
        <v>2016</v>
      </c>
      <c r="AA1077" s="604" t="s">
        <v>451</v>
      </c>
      <c r="AB1077" s="604" t="s">
        <v>447</v>
      </c>
      <c r="AC1077" s="604" t="s">
        <v>70</v>
      </c>
      <c r="AD1077" s="604" t="s">
        <v>429</v>
      </c>
      <c r="AE1077" s="604">
        <v>4</v>
      </c>
      <c r="AF1077" s="604">
        <v>179</v>
      </c>
      <c r="AG1077" s="604">
        <v>22.3</v>
      </c>
      <c r="AH1077" s="604" t="s">
        <v>437</v>
      </c>
      <c r="AR1077" s="538" t="str">
        <f t="shared" si="132"/>
        <v>AsianethinfantNew Zealand</v>
      </c>
      <c r="AS1077" s="604">
        <v>2016</v>
      </c>
      <c r="AT1077" s="604" t="s">
        <v>355</v>
      </c>
      <c r="AU1077" s="604" t="s">
        <v>449</v>
      </c>
      <c r="AV1077" s="604" t="s">
        <v>16</v>
      </c>
      <c r="AW1077" s="604">
        <v>27</v>
      </c>
      <c r="AX1077" s="604">
        <v>10902</v>
      </c>
      <c r="AY1077" s="606">
        <v>2.5</v>
      </c>
      <c r="AZ1077" s="604" t="s">
        <v>437</v>
      </c>
      <c r="BY1077" s="553" t="str">
        <f t="shared" si="131"/>
        <v>20031000-1499bwtSUDI</v>
      </c>
      <c r="BZ1077" s="604">
        <v>2003</v>
      </c>
      <c r="CA1077" s="604" t="s">
        <v>429</v>
      </c>
      <c r="CB1077" s="604" t="s">
        <v>447</v>
      </c>
      <c r="CC1077" s="604">
        <v>1</v>
      </c>
      <c r="CD1077" s="604" t="s">
        <v>33</v>
      </c>
    </row>
    <row r="1078" spans="9:82">
      <c r="I1078" s="578" t="str">
        <f t="shared" si="128"/>
        <v>2013dhbWaikatoFetal</v>
      </c>
      <c r="J1078" s="604">
        <v>2013</v>
      </c>
      <c r="K1078" s="604" t="s">
        <v>448</v>
      </c>
      <c r="L1078" s="604" t="s">
        <v>89</v>
      </c>
      <c r="M1078" s="604">
        <v>35</v>
      </c>
      <c r="N1078" s="604">
        <v>5322</v>
      </c>
      <c r="O1078" s="604">
        <v>6.6</v>
      </c>
      <c r="P1078" s="604" t="s">
        <v>47</v>
      </c>
      <c r="Q1078" s="499"/>
      <c r="R1078" s="696" t="str">
        <f t="shared" si="129"/>
        <v>2007birthssexFemale</v>
      </c>
      <c r="S1078" s="604">
        <v>2007</v>
      </c>
      <c r="T1078" s="604" t="s">
        <v>445</v>
      </c>
      <c r="U1078" s="604" t="s">
        <v>451</v>
      </c>
      <c r="V1078" s="604" t="s">
        <v>71</v>
      </c>
      <c r="W1078" s="604">
        <v>31552</v>
      </c>
      <c r="Y1078" s="535" t="str">
        <f t="shared" si="130"/>
        <v>2016sexbwtFemale1000-1499infant</v>
      </c>
      <c r="Z1078" s="604">
        <v>2016</v>
      </c>
      <c r="AA1078" s="604" t="s">
        <v>451</v>
      </c>
      <c r="AB1078" s="604" t="s">
        <v>447</v>
      </c>
      <c r="AC1078" s="604" t="s">
        <v>71</v>
      </c>
      <c r="AD1078" s="604" t="s">
        <v>429</v>
      </c>
      <c r="AE1078" s="604">
        <v>4</v>
      </c>
      <c r="AF1078" s="604">
        <v>152</v>
      </c>
      <c r="AG1078" s="604">
        <v>26.3</v>
      </c>
      <c r="AH1078" s="604" t="s">
        <v>437</v>
      </c>
      <c r="AR1078" s="538" t="str">
        <f t="shared" si="132"/>
        <v>European or OtherethinfantNew Zealand</v>
      </c>
      <c r="AS1078" s="604">
        <v>2016</v>
      </c>
      <c r="AT1078" s="604" t="s">
        <v>356</v>
      </c>
      <c r="AU1078" s="604" t="s">
        <v>449</v>
      </c>
      <c r="AV1078" s="604" t="s">
        <v>16</v>
      </c>
      <c r="AW1078" s="604">
        <v>74</v>
      </c>
      <c r="AX1078" s="604">
        <v>26229</v>
      </c>
      <c r="AY1078" s="606">
        <v>2.8</v>
      </c>
      <c r="AZ1078" s="604" t="s">
        <v>437</v>
      </c>
      <c r="BY1078" s="553" t="str">
        <f t="shared" si="131"/>
        <v>20031500-2499bwtSUDI</v>
      </c>
      <c r="BZ1078" s="604">
        <v>2003</v>
      </c>
      <c r="CA1078" s="604" t="s">
        <v>430</v>
      </c>
      <c r="CB1078" s="604" t="s">
        <v>447</v>
      </c>
      <c r="CC1078" s="604">
        <v>10</v>
      </c>
      <c r="CD1078" s="604" t="s">
        <v>33</v>
      </c>
    </row>
    <row r="1079" spans="9:82">
      <c r="I1079" s="578" t="str">
        <f t="shared" si="128"/>
        <v>2013dhbLakesFetal</v>
      </c>
      <c r="J1079" s="604">
        <v>2013</v>
      </c>
      <c r="K1079" s="604" t="s">
        <v>448</v>
      </c>
      <c r="L1079" s="604" t="s">
        <v>90</v>
      </c>
      <c r="M1079" s="604">
        <v>10</v>
      </c>
      <c r="N1079" s="604">
        <v>1490</v>
      </c>
      <c r="O1079" s="604">
        <v>6.7</v>
      </c>
      <c r="P1079" s="604" t="s">
        <v>47</v>
      </c>
      <c r="Q1079" s="499"/>
      <c r="R1079" s="696" t="str">
        <f t="shared" si="129"/>
        <v>2008birthssexMale</v>
      </c>
      <c r="S1079" s="604">
        <v>2008</v>
      </c>
      <c r="T1079" s="604" t="s">
        <v>445</v>
      </c>
      <c r="U1079" s="604" t="s">
        <v>451</v>
      </c>
      <c r="V1079" s="604" t="s">
        <v>70</v>
      </c>
      <c r="W1079" s="604">
        <v>33622</v>
      </c>
      <c r="Y1079" s="535" t="str">
        <f t="shared" si="130"/>
        <v>2016sexbwtMale1500-2499infant</v>
      </c>
      <c r="Z1079" s="604">
        <v>2016</v>
      </c>
      <c r="AA1079" s="604" t="s">
        <v>451</v>
      </c>
      <c r="AB1079" s="604" t="s">
        <v>447</v>
      </c>
      <c r="AC1079" s="604" t="s">
        <v>70</v>
      </c>
      <c r="AD1079" s="604" t="s">
        <v>430</v>
      </c>
      <c r="AE1079" s="604">
        <v>21</v>
      </c>
      <c r="AF1079" s="604">
        <v>1440</v>
      </c>
      <c r="AG1079" s="604">
        <v>14.6</v>
      </c>
      <c r="AH1079" s="604" t="s">
        <v>437</v>
      </c>
      <c r="AR1079" s="538" t="str">
        <f t="shared" si="132"/>
        <v>MaoriethinfantNew Zealand</v>
      </c>
      <c r="AS1079" s="604">
        <v>2016</v>
      </c>
      <c r="AT1079" s="604" t="s">
        <v>129</v>
      </c>
      <c r="AU1079" s="604" t="s">
        <v>449</v>
      </c>
      <c r="AV1079" s="604" t="s">
        <v>16</v>
      </c>
      <c r="AW1079" s="604">
        <v>103</v>
      </c>
      <c r="AX1079" s="604">
        <v>17329</v>
      </c>
      <c r="AY1079" s="606">
        <v>5.9</v>
      </c>
      <c r="AZ1079" s="604" t="s">
        <v>437</v>
      </c>
      <c r="BY1079" s="553" t="str">
        <f t="shared" si="131"/>
        <v>20032500-4499bwtSUDI</v>
      </c>
      <c r="BZ1079" s="604">
        <v>2003</v>
      </c>
      <c r="CA1079" s="604" t="s">
        <v>431</v>
      </c>
      <c r="CB1079" s="604" t="s">
        <v>447</v>
      </c>
      <c r="CC1079" s="604">
        <v>48</v>
      </c>
      <c r="CD1079" s="604" t="s">
        <v>33</v>
      </c>
    </row>
    <row r="1080" spans="9:82">
      <c r="I1080" s="578" t="str">
        <f t="shared" si="128"/>
        <v>2013dhbBay of PlentyFetal</v>
      </c>
      <c r="J1080" s="604">
        <v>2013</v>
      </c>
      <c r="K1080" s="604" t="s">
        <v>448</v>
      </c>
      <c r="L1080" s="604" t="s">
        <v>91</v>
      </c>
      <c r="M1080" s="604">
        <v>11</v>
      </c>
      <c r="N1080" s="604">
        <v>2817</v>
      </c>
      <c r="O1080" s="604">
        <v>3.9</v>
      </c>
      <c r="P1080" s="604" t="s">
        <v>47</v>
      </c>
      <c r="Q1080" s="499"/>
      <c r="R1080" s="696" t="str">
        <f t="shared" si="129"/>
        <v>2008birthssexFemale</v>
      </c>
      <c r="S1080" s="604">
        <v>2008</v>
      </c>
      <c r="T1080" s="604" t="s">
        <v>445</v>
      </c>
      <c r="U1080" s="604" t="s">
        <v>451</v>
      </c>
      <c r="V1080" s="604" t="s">
        <v>71</v>
      </c>
      <c r="W1080" s="604">
        <v>31711</v>
      </c>
      <c r="Y1080" s="535" t="str">
        <f t="shared" si="130"/>
        <v>2016sexbwtFemale1500-2499infant</v>
      </c>
      <c r="Z1080" s="604">
        <v>2016</v>
      </c>
      <c r="AA1080" s="604" t="s">
        <v>451</v>
      </c>
      <c r="AB1080" s="604" t="s">
        <v>447</v>
      </c>
      <c r="AC1080" s="604" t="s">
        <v>71</v>
      </c>
      <c r="AD1080" s="604" t="s">
        <v>430</v>
      </c>
      <c r="AE1080" s="604">
        <v>14</v>
      </c>
      <c r="AF1080" s="604">
        <v>1551</v>
      </c>
      <c r="AG1080" s="604">
        <v>9</v>
      </c>
      <c r="AH1080" s="604" t="s">
        <v>437</v>
      </c>
      <c r="AR1080" s="538" t="str">
        <f t="shared" si="132"/>
        <v>Pacific peoplesethinfantNew Zealand</v>
      </c>
      <c r="AS1080" s="604">
        <v>2016</v>
      </c>
      <c r="AT1080" s="604" t="s">
        <v>320</v>
      </c>
      <c r="AU1080" s="604" t="s">
        <v>449</v>
      </c>
      <c r="AV1080" s="604" t="s">
        <v>16</v>
      </c>
      <c r="AW1080" s="604">
        <v>37</v>
      </c>
      <c r="AX1080" s="604">
        <v>5976</v>
      </c>
      <c r="AY1080" s="606">
        <v>6.2</v>
      </c>
      <c r="AZ1080" s="604" t="s">
        <v>437</v>
      </c>
      <c r="BY1080" s="553" t="str">
        <f t="shared" si="131"/>
        <v>20034500+bwtSUDI</v>
      </c>
      <c r="BZ1080" s="604">
        <v>2003</v>
      </c>
      <c r="CA1080" s="604" t="s">
        <v>432</v>
      </c>
      <c r="CB1080" s="604" t="s">
        <v>447</v>
      </c>
      <c r="CC1080" s="604">
        <v>0</v>
      </c>
      <c r="CD1080" s="604" t="s">
        <v>33</v>
      </c>
    </row>
    <row r="1081" spans="9:82">
      <c r="I1081" s="578" t="str">
        <f t="shared" si="128"/>
        <v>2013dhbTairawhitiFetal</v>
      </c>
      <c r="J1081" s="604">
        <v>2013</v>
      </c>
      <c r="K1081" s="604" t="s">
        <v>448</v>
      </c>
      <c r="L1081" s="604" t="s">
        <v>433</v>
      </c>
      <c r="M1081" s="604">
        <v>5</v>
      </c>
      <c r="N1081" s="604">
        <v>719</v>
      </c>
      <c r="O1081" s="604">
        <v>7</v>
      </c>
      <c r="P1081" s="604" t="s">
        <v>47</v>
      </c>
      <c r="Q1081" s="499"/>
      <c r="R1081" s="696" t="str">
        <f t="shared" si="129"/>
        <v>2009birthssexMale</v>
      </c>
      <c r="S1081" s="604">
        <v>2009</v>
      </c>
      <c r="T1081" s="604" t="s">
        <v>445</v>
      </c>
      <c r="U1081" s="604" t="s">
        <v>451</v>
      </c>
      <c r="V1081" s="604" t="s">
        <v>70</v>
      </c>
      <c r="W1081" s="604">
        <v>32482</v>
      </c>
      <c r="Y1081" s="535" t="str">
        <f t="shared" si="130"/>
        <v>2016sexbwtMale2500-4499infant</v>
      </c>
      <c r="Z1081" s="604">
        <v>2016</v>
      </c>
      <c r="AA1081" s="604" t="s">
        <v>451</v>
      </c>
      <c r="AB1081" s="604" t="s">
        <v>447</v>
      </c>
      <c r="AC1081" s="604" t="s">
        <v>70</v>
      </c>
      <c r="AD1081" s="604" t="s">
        <v>431</v>
      </c>
      <c r="AE1081" s="604">
        <v>47</v>
      </c>
      <c r="AF1081" s="604">
        <v>28327</v>
      </c>
      <c r="AG1081" s="604">
        <v>1.7</v>
      </c>
      <c r="AH1081" s="604" t="s">
        <v>437</v>
      </c>
      <c r="AR1081" s="538" t="str">
        <f t="shared" si="132"/>
        <v>MalesexinfantNew Zealand</v>
      </c>
      <c r="AS1081" s="604">
        <v>2016</v>
      </c>
      <c r="AT1081" s="604" t="s">
        <v>70</v>
      </c>
      <c r="AU1081" s="604" t="s">
        <v>451</v>
      </c>
      <c r="AV1081" s="604" t="s">
        <v>16</v>
      </c>
      <c r="AW1081" s="604">
        <v>127</v>
      </c>
      <c r="AX1081" s="604">
        <v>31009</v>
      </c>
      <c r="AY1081" s="606">
        <v>4.0999999999999996</v>
      </c>
      <c r="AZ1081" s="604" t="s">
        <v>437</v>
      </c>
      <c r="BY1081" s="553" t="str">
        <f t="shared" si="131"/>
        <v>2003UnknownbwtSUDI</v>
      </c>
      <c r="BZ1081" s="604">
        <v>2003</v>
      </c>
      <c r="CA1081" s="604" t="s">
        <v>63</v>
      </c>
      <c r="CB1081" s="604" t="s">
        <v>447</v>
      </c>
      <c r="CC1081" s="604">
        <v>1</v>
      </c>
      <c r="CD1081" s="604" t="s">
        <v>33</v>
      </c>
    </row>
    <row r="1082" spans="9:82">
      <c r="I1082" s="578" t="str">
        <f t="shared" si="128"/>
        <v>2013dhbHawke's BayFetal</v>
      </c>
      <c r="J1082" s="604">
        <v>2013</v>
      </c>
      <c r="K1082" s="604" t="s">
        <v>448</v>
      </c>
      <c r="L1082" s="604" t="s">
        <v>92</v>
      </c>
      <c r="M1082" s="604">
        <v>16</v>
      </c>
      <c r="N1082" s="604">
        <v>2223</v>
      </c>
      <c r="O1082" s="604">
        <v>7.2</v>
      </c>
      <c r="P1082" s="604" t="s">
        <v>47</v>
      </c>
      <c r="Q1082" s="499"/>
      <c r="R1082" s="696" t="str">
        <f t="shared" si="129"/>
        <v>2009birthssexFemale</v>
      </c>
      <c r="S1082" s="604">
        <v>2009</v>
      </c>
      <c r="T1082" s="604" t="s">
        <v>445</v>
      </c>
      <c r="U1082" s="604" t="s">
        <v>451</v>
      </c>
      <c r="V1082" s="604" t="s">
        <v>71</v>
      </c>
      <c r="W1082" s="604">
        <v>30803</v>
      </c>
      <c r="Y1082" s="535" t="str">
        <f t="shared" si="130"/>
        <v>2016sexbwtFemale2500-4499infant</v>
      </c>
      <c r="Z1082" s="604">
        <v>2016</v>
      </c>
      <c r="AA1082" s="604" t="s">
        <v>451</v>
      </c>
      <c r="AB1082" s="604" t="s">
        <v>447</v>
      </c>
      <c r="AC1082" s="604" t="s">
        <v>71</v>
      </c>
      <c r="AD1082" s="604" t="s">
        <v>431</v>
      </c>
      <c r="AE1082" s="604">
        <v>48</v>
      </c>
      <c r="AF1082" s="604">
        <v>27080</v>
      </c>
      <c r="AG1082" s="604">
        <v>1.8</v>
      </c>
      <c r="AH1082" s="604" t="s">
        <v>437</v>
      </c>
      <c r="AR1082" s="538" t="str">
        <f t="shared" si="132"/>
        <v>FemalesexinfantNew Zealand</v>
      </c>
      <c r="AS1082" s="604">
        <v>2016</v>
      </c>
      <c r="AT1082" s="604" t="s">
        <v>71</v>
      </c>
      <c r="AU1082" s="604" t="s">
        <v>451</v>
      </c>
      <c r="AV1082" s="604" t="s">
        <v>16</v>
      </c>
      <c r="AW1082" s="604">
        <v>114</v>
      </c>
      <c r="AX1082" s="604">
        <v>29427</v>
      </c>
      <c r="AY1082" s="606">
        <v>3.9</v>
      </c>
      <c r="AZ1082" s="604" t="s">
        <v>437</v>
      </c>
      <c r="BY1082" s="553" t="str">
        <f t="shared" si="131"/>
        <v>2004&lt;500bwtSUDI</v>
      </c>
      <c r="BZ1082" s="604">
        <v>2004</v>
      </c>
      <c r="CA1082" s="604" t="s">
        <v>427</v>
      </c>
      <c r="CB1082" s="604" t="s">
        <v>447</v>
      </c>
      <c r="CC1082" s="604">
        <v>0</v>
      </c>
      <c r="CD1082" s="604" t="s">
        <v>33</v>
      </c>
    </row>
    <row r="1083" spans="9:82">
      <c r="I1083" s="578" t="str">
        <f t="shared" si="128"/>
        <v>2013dhbTaranakiFetal</v>
      </c>
      <c r="J1083" s="604">
        <v>2013</v>
      </c>
      <c r="K1083" s="604" t="s">
        <v>448</v>
      </c>
      <c r="L1083" s="604" t="s">
        <v>93</v>
      </c>
      <c r="M1083" s="604">
        <v>10</v>
      </c>
      <c r="N1083" s="604">
        <v>1532</v>
      </c>
      <c r="O1083" s="604">
        <v>6.5</v>
      </c>
      <c r="P1083" s="604" t="s">
        <v>47</v>
      </c>
      <c r="Q1083" s="499"/>
      <c r="R1083" s="696" t="str">
        <f t="shared" si="129"/>
        <v>2010birthssexMale</v>
      </c>
      <c r="S1083" s="604">
        <v>2010</v>
      </c>
      <c r="T1083" s="604" t="s">
        <v>445</v>
      </c>
      <c r="U1083" s="604" t="s">
        <v>451</v>
      </c>
      <c r="V1083" s="604" t="s">
        <v>70</v>
      </c>
      <c r="W1083" s="604">
        <v>33319</v>
      </c>
      <c r="Y1083" s="535" t="str">
        <f t="shared" si="130"/>
        <v>2016sexbwtMale4500+infant</v>
      </c>
      <c r="Z1083" s="604">
        <v>2016</v>
      </c>
      <c r="AA1083" s="604" t="s">
        <v>451</v>
      </c>
      <c r="AB1083" s="604" t="s">
        <v>447</v>
      </c>
      <c r="AC1083" s="604" t="s">
        <v>70</v>
      </c>
      <c r="AD1083" s="604" t="s">
        <v>432</v>
      </c>
      <c r="AE1083" s="604">
        <v>0</v>
      </c>
      <c r="AF1083" s="604">
        <v>930</v>
      </c>
      <c r="AG1083" s="604">
        <v>0</v>
      </c>
      <c r="AH1083" s="604" t="s">
        <v>437</v>
      </c>
      <c r="AR1083" s="538" t="str">
        <f t="shared" si="132"/>
        <v>Quin 1depinfantNew Zealand</v>
      </c>
      <c r="AS1083" s="604">
        <v>2016</v>
      </c>
      <c r="AT1083" s="604" t="s">
        <v>421</v>
      </c>
      <c r="AU1083" s="604" t="s">
        <v>454</v>
      </c>
      <c r="AV1083" s="604" t="s">
        <v>16</v>
      </c>
      <c r="AW1083" s="604">
        <v>24</v>
      </c>
      <c r="AX1083" s="604">
        <v>9194</v>
      </c>
      <c r="AY1083" s="606">
        <v>2.6</v>
      </c>
      <c r="AZ1083" s="604" t="s">
        <v>437</v>
      </c>
      <c r="BY1083" s="553" t="str">
        <f t="shared" si="131"/>
        <v>2004500-999bwtSUDI</v>
      </c>
      <c r="BZ1083" s="604">
        <v>2004</v>
      </c>
      <c r="CA1083" s="604" t="s">
        <v>428</v>
      </c>
      <c r="CB1083" s="604" t="s">
        <v>447</v>
      </c>
      <c r="CC1083" s="604">
        <v>1</v>
      </c>
      <c r="CD1083" s="604" t="s">
        <v>33</v>
      </c>
    </row>
    <row r="1084" spans="9:82">
      <c r="I1084" s="578" t="str">
        <f t="shared" si="128"/>
        <v>2013dhbMidCentralFetal</v>
      </c>
      <c r="J1084" s="604">
        <v>2013</v>
      </c>
      <c r="K1084" s="604" t="s">
        <v>448</v>
      </c>
      <c r="L1084" s="604" t="s">
        <v>94</v>
      </c>
      <c r="M1084" s="604">
        <v>13</v>
      </c>
      <c r="N1084" s="604">
        <v>2158</v>
      </c>
      <c r="O1084" s="604">
        <v>6</v>
      </c>
      <c r="P1084" s="604" t="s">
        <v>47</v>
      </c>
      <c r="Q1084" s="499"/>
      <c r="R1084" s="696" t="str">
        <f t="shared" si="129"/>
        <v>2010birthssexFemale</v>
      </c>
      <c r="S1084" s="604">
        <v>2010</v>
      </c>
      <c r="T1084" s="604" t="s">
        <v>445</v>
      </c>
      <c r="U1084" s="604" t="s">
        <v>451</v>
      </c>
      <c r="V1084" s="604" t="s">
        <v>71</v>
      </c>
      <c r="W1084" s="604">
        <v>31380</v>
      </c>
      <c r="Y1084" s="535" t="str">
        <f t="shared" si="130"/>
        <v>2016sexbwtFemale4500+infant</v>
      </c>
      <c r="Z1084" s="604">
        <v>2016</v>
      </c>
      <c r="AA1084" s="604" t="s">
        <v>451</v>
      </c>
      <c r="AB1084" s="604" t="s">
        <v>447</v>
      </c>
      <c r="AC1084" s="604" t="s">
        <v>71</v>
      </c>
      <c r="AD1084" s="604" t="s">
        <v>432</v>
      </c>
      <c r="AE1084" s="604">
        <v>0</v>
      </c>
      <c r="AF1084" s="604">
        <v>493</v>
      </c>
      <c r="AG1084" s="604">
        <v>0</v>
      </c>
      <c r="AH1084" s="604" t="s">
        <v>437</v>
      </c>
      <c r="AR1084" s="538" t="str">
        <f t="shared" si="132"/>
        <v>Quin 2depinfantNew Zealand</v>
      </c>
      <c r="AS1084" s="604">
        <v>2016</v>
      </c>
      <c r="AT1084" s="604" t="s">
        <v>422</v>
      </c>
      <c r="AU1084" s="604" t="s">
        <v>454</v>
      </c>
      <c r="AV1084" s="604" t="s">
        <v>16</v>
      </c>
      <c r="AW1084" s="604">
        <v>24</v>
      </c>
      <c r="AX1084" s="604">
        <v>10123</v>
      </c>
      <c r="AY1084" s="606">
        <v>2.4</v>
      </c>
      <c r="AZ1084" s="604" t="s">
        <v>437</v>
      </c>
      <c r="BY1084" s="553" t="str">
        <f t="shared" si="131"/>
        <v>20041000-1499bwtSUDI</v>
      </c>
      <c r="BZ1084" s="604">
        <v>2004</v>
      </c>
      <c r="CA1084" s="604" t="s">
        <v>429</v>
      </c>
      <c r="CB1084" s="604" t="s">
        <v>447</v>
      </c>
      <c r="CC1084" s="604">
        <v>1</v>
      </c>
      <c r="CD1084" s="604" t="s">
        <v>33</v>
      </c>
    </row>
    <row r="1085" spans="9:82">
      <c r="I1085" s="578" t="str">
        <f t="shared" si="128"/>
        <v>2013dhbWhanganuiFetal</v>
      </c>
      <c r="J1085" s="604">
        <v>2013</v>
      </c>
      <c r="K1085" s="604" t="s">
        <v>448</v>
      </c>
      <c r="L1085" s="604" t="s">
        <v>95</v>
      </c>
      <c r="M1085" s="604">
        <v>4</v>
      </c>
      <c r="N1085" s="604">
        <v>871</v>
      </c>
      <c r="O1085" s="604">
        <v>4.5999999999999996</v>
      </c>
      <c r="P1085" s="604" t="s">
        <v>47</v>
      </c>
      <c r="Q1085" s="499"/>
      <c r="R1085" s="696" t="str">
        <f t="shared" si="129"/>
        <v>2011birthssexMale</v>
      </c>
      <c r="S1085" s="604">
        <v>2011</v>
      </c>
      <c r="T1085" s="604" t="s">
        <v>445</v>
      </c>
      <c r="U1085" s="604" t="s">
        <v>451</v>
      </c>
      <c r="V1085" s="604" t="s">
        <v>70</v>
      </c>
      <c r="W1085" s="604">
        <v>31894</v>
      </c>
      <c r="Y1085" s="535" t="str">
        <f t="shared" si="130"/>
        <v>2016sexbwtMaleUnknowninfant</v>
      </c>
      <c r="Z1085" s="604">
        <v>2016</v>
      </c>
      <c r="AA1085" s="604" t="s">
        <v>451</v>
      </c>
      <c r="AB1085" s="604" t="s">
        <v>447</v>
      </c>
      <c r="AC1085" s="604" t="s">
        <v>70</v>
      </c>
      <c r="AD1085" s="604" t="s">
        <v>63</v>
      </c>
      <c r="AE1085" s="604">
        <v>4</v>
      </c>
      <c r="AF1085" s="604">
        <v>14</v>
      </c>
      <c r="AG1085" s="604" t="s">
        <v>119</v>
      </c>
      <c r="AH1085" s="604" t="s">
        <v>437</v>
      </c>
      <c r="AR1085" s="538" t="str">
        <f t="shared" si="132"/>
        <v>Quin 3depinfantNew Zealand</v>
      </c>
      <c r="AS1085" s="604">
        <v>2016</v>
      </c>
      <c r="AT1085" s="604" t="s">
        <v>423</v>
      </c>
      <c r="AU1085" s="604" t="s">
        <v>454</v>
      </c>
      <c r="AV1085" s="604" t="s">
        <v>16</v>
      </c>
      <c r="AW1085" s="604">
        <v>32</v>
      </c>
      <c r="AX1085" s="604">
        <v>10971</v>
      </c>
      <c r="AY1085" s="606">
        <v>2.9</v>
      </c>
      <c r="AZ1085" s="604" t="s">
        <v>437</v>
      </c>
      <c r="BY1085" s="553" t="str">
        <f t="shared" si="131"/>
        <v>20041500-2499bwtSUDI</v>
      </c>
      <c r="BZ1085" s="604">
        <v>2004</v>
      </c>
      <c r="CA1085" s="604" t="s">
        <v>430</v>
      </c>
      <c r="CB1085" s="604" t="s">
        <v>447</v>
      </c>
      <c r="CC1085" s="604">
        <v>13</v>
      </c>
      <c r="CD1085" s="604" t="s">
        <v>33</v>
      </c>
    </row>
    <row r="1086" spans="9:82">
      <c r="I1086" s="578" t="str">
        <f t="shared" si="128"/>
        <v>2013dhbCapital &amp; CoastFetal</v>
      </c>
      <c r="J1086" s="604">
        <v>2013</v>
      </c>
      <c r="K1086" s="604" t="s">
        <v>448</v>
      </c>
      <c r="L1086" s="604" t="s">
        <v>96</v>
      </c>
      <c r="M1086" s="604">
        <v>17</v>
      </c>
      <c r="N1086" s="604">
        <v>3655</v>
      </c>
      <c r="O1086" s="604">
        <v>4.7</v>
      </c>
      <c r="P1086" s="604" t="s">
        <v>47</v>
      </c>
      <c r="Q1086" s="499"/>
      <c r="R1086" s="696" t="str">
        <f t="shared" si="129"/>
        <v>2011birthssexFemale</v>
      </c>
      <c r="S1086" s="604">
        <v>2011</v>
      </c>
      <c r="T1086" s="604" t="s">
        <v>445</v>
      </c>
      <c r="U1086" s="604" t="s">
        <v>451</v>
      </c>
      <c r="V1086" s="604" t="s">
        <v>71</v>
      </c>
      <c r="W1086" s="604">
        <v>30280</v>
      </c>
      <c r="Y1086" s="535" t="str">
        <f t="shared" si="130"/>
        <v>2016sexbwtFemaleUnknowninfant</v>
      </c>
      <c r="Z1086" s="604">
        <v>2016</v>
      </c>
      <c r="AA1086" s="604" t="s">
        <v>451</v>
      </c>
      <c r="AB1086" s="604" t="s">
        <v>447</v>
      </c>
      <c r="AC1086" s="604" t="s">
        <v>71</v>
      </c>
      <c r="AD1086" s="604" t="s">
        <v>63</v>
      </c>
      <c r="AE1086" s="604">
        <v>5</v>
      </c>
      <c r="AF1086" s="604">
        <v>21</v>
      </c>
      <c r="AG1086" s="604" t="s">
        <v>119</v>
      </c>
      <c r="AH1086" s="604" t="s">
        <v>437</v>
      </c>
      <c r="AR1086" s="538" t="str">
        <f t="shared" si="132"/>
        <v>Quin 4depinfantNew Zealand</v>
      </c>
      <c r="AS1086" s="604">
        <v>2016</v>
      </c>
      <c r="AT1086" s="604" t="s">
        <v>424</v>
      </c>
      <c r="AU1086" s="604" t="s">
        <v>454</v>
      </c>
      <c r="AV1086" s="604" t="s">
        <v>16</v>
      </c>
      <c r="AW1086" s="604">
        <v>52</v>
      </c>
      <c r="AX1086" s="604">
        <v>13131</v>
      </c>
      <c r="AY1086" s="606">
        <v>4</v>
      </c>
      <c r="AZ1086" s="604" t="s">
        <v>437</v>
      </c>
      <c r="BY1086" s="553" t="str">
        <f t="shared" si="131"/>
        <v>20042500-4499bwtSUDI</v>
      </c>
      <c r="BZ1086" s="604">
        <v>2004</v>
      </c>
      <c r="CA1086" s="604" t="s">
        <v>431</v>
      </c>
      <c r="CB1086" s="604" t="s">
        <v>447</v>
      </c>
      <c r="CC1086" s="604">
        <v>44</v>
      </c>
      <c r="CD1086" s="604" t="s">
        <v>33</v>
      </c>
    </row>
    <row r="1087" spans="9:82">
      <c r="I1087" s="578" t="str">
        <f t="shared" si="128"/>
        <v>2013dhbHutt ValleyFetal</v>
      </c>
      <c r="J1087" s="604">
        <v>2013</v>
      </c>
      <c r="K1087" s="604" t="s">
        <v>448</v>
      </c>
      <c r="L1087" s="604" t="s">
        <v>97</v>
      </c>
      <c r="M1087" s="604">
        <v>7</v>
      </c>
      <c r="N1087" s="604">
        <v>1910</v>
      </c>
      <c r="O1087" s="604">
        <v>3.7</v>
      </c>
      <c r="P1087" s="604" t="s">
        <v>47</v>
      </c>
      <c r="Q1087" s="499"/>
      <c r="R1087" s="696" t="str">
        <f t="shared" si="129"/>
        <v>2012birthssexMale</v>
      </c>
      <c r="S1087" s="604">
        <v>2012</v>
      </c>
      <c r="T1087" s="604" t="s">
        <v>445</v>
      </c>
      <c r="U1087" s="604" t="s">
        <v>451</v>
      </c>
      <c r="V1087" s="604" t="s">
        <v>70</v>
      </c>
      <c r="W1087" s="604">
        <v>31698</v>
      </c>
      <c r="Y1087" s="535" t="str">
        <f t="shared" si="130"/>
        <v>2016gestbwt&lt;28&lt;500infant</v>
      </c>
      <c r="Z1087" s="604">
        <v>2016</v>
      </c>
      <c r="AA1087" s="604" t="s">
        <v>450</v>
      </c>
      <c r="AB1087" s="604" t="s">
        <v>447</v>
      </c>
      <c r="AC1087" s="604" t="s">
        <v>375</v>
      </c>
      <c r="AD1087" s="604" t="s">
        <v>427</v>
      </c>
      <c r="AE1087" s="604">
        <v>36</v>
      </c>
      <c r="AF1087" s="604">
        <v>41</v>
      </c>
      <c r="AG1087" s="604">
        <v>878</v>
      </c>
      <c r="AH1087" s="604" t="s">
        <v>437</v>
      </c>
      <c r="AR1087" s="538" t="str">
        <f t="shared" si="132"/>
        <v>Quin 5depinfantNew Zealand</v>
      </c>
      <c r="AS1087" s="604">
        <v>2016</v>
      </c>
      <c r="AT1087" s="604" t="s">
        <v>425</v>
      </c>
      <c r="AU1087" s="604" t="s">
        <v>454</v>
      </c>
      <c r="AV1087" s="604" t="s">
        <v>16</v>
      </c>
      <c r="AW1087" s="604">
        <v>107</v>
      </c>
      <c r="AX1087" s="604">
        <v>16886</v>
      </c>
      <c r="AY1087" s="606">
        <v>6.3</v>
      </c>
      <c r="AZ1087" s="604" t="s">
        <v>437</v>
      </c>
      <c r="BY1087" s="553" t="str">
        <f t="shared" si="131"/>
        <v>20044500+bwtSUDI</v>
      </c>
      <c r="BZ1087" s="604">
        <v>2004</v>
      </c>
      <c r="CA1087" s="604" t="s">
        <v>432</v>
      </c>
      <c r="CB1087" s="604" t="s">
        <v>447</v>
      </c>
      <c r="CC1087" s="604">
        <v>0</v>
      </c>
      <c r="CD1087" s="604" t="s">
        <v>33</v>
      </c>
    </row>
    <row r="1088" spans="9:82">
      <c r="I1088" s="578" t="str">
        <f t="shared" si="128"/>
        <v>2013dhbWairarapaFetal</v>
      </c>
      <c r="J1088" s="604">
        <v>2013</v>
      </c>
      <c r="K1088" s="604" t="s">
        <v>448</v>
      </c>
      <c r="L1088" s="604" t="s">
        <v>98</v>
      </c>
      <c r="M1088" s="604">
        <v>10</v>
      </c>
      <c r="N1088" s="604">
        <v>507</v>
      </c>
      <c r="O1088" s="604">
        <v>19.7</v>
      </c>
      <c r="P1088" s="604" t="s">
        <v>47</v>
      </c>
      <c r="Q1088" s="499"/>
      <c r="R1088" s="696" t="str">
        <f t="shared" si="129"/>
        <v>2012birthssexFemale</v>
      </c>
      <c r="S1088" s="604">
        <v>2012</v>
      </c>
      <c r="T1088" s="604" t="s">
        <v>445</v>
      </c>
      <c r="U1088" s="604" t="s">
        <v>451</v>
      </c>
      <c r="V1088" s="604" t="s">
        <v>71</v>
      </c>
      <c r="W1088" s="604">
        <v>30337</v>
      </c>
      <c r="Y1088" s="535" t="str">
        <f t="shared" si="130"/>
        <v>2016gestbwt32-36&lt;500infant</v>
      </c>
      <c r="Z1088" s="604">
        <v>2016</v>
      </c>
      <c r="AA1088" s="604" t="s">
        <v>450</v>
      </c>
      <c r="AB1088" s="604" t="s">
        <v>447</v>
      </c>
      <c r="AC1088" s="604" t="s">
        <v>136</v>
      </c>
      <c r="AD1088" s="604" t="s">
        <v>427</v>
      </c>
      <c r="AE1088" s="604">
        <v>0</v>
      </c>
      <c r="AF1088" s="604">
        <v>1</v>
      </c>
      <c r="AG1088" s="604">
        <v>0</v>
      </c>
      <c r="AH1088" s="604" t="s">
        <v>437</v>
      </c>
      <c r="AR1088" s="538" t="str">
        <f t="shared" si="132"/>
        <v>Quin 9depinfantNew Zealand</v>
      </c>
      <c r="AS1088" s="604">
        <v>2016</v>
      </c>
      <c r="AT1088" s="604" t="s">
        <v>426</v>
      </c>
      <c r="AU1088" s="604" t="s">
        <v>454</v>
      </c>
      <c r="AV1088" s="604" t="s">
        <v>16</v>
      </c>
      <c r="AW1088" s="604">
        <v>2</v>
      </c>
      <c r="AX1088" s="604">
        <v>131</v>
      </c>
      <c r="AY1088" s="606" t="s">
        <v>119</v>
      </c>
      <c r="AZ1088" s="604" t="s">
        <v>437</v>
      </c>
      <c r="BY1088" s="553" t="str">
        <f t="shared" si="131"/>
        <v>2004UnknownbwtSUDI</v>
      </c>
      <c r="BZ1088" s="604">
        <v>2004</v>
      </c>
      <c r="CA1088" s="604" t="s">
        <v>63</v>
      </c>
      <c r="CB1088" s="604" t="s">
        <v>447</v>
      </c>
      <c r="CC1088" s="604">
        <v>3</v>
      </c>
      <c r="CD1088" s="604" t="s">
        <v>33</v>
      </c>
    </row>
    <row r="1089" spans="9:82">
      <c r="I1089" s="578" t="str">
        <f t="shared" si="128"/>
        <v>2013dhbNelson MarlboroughFetal</v>
      </c>
      <c r="J1089" s="604">
        <v>2013</v>
      </c>
      <c r="K1089" s="604" t="s">
        <v>448</v>
      </c>
      <c r="L1089" s="604" t="s">
        <v>99</v>
      </c>
      <c r="M1089" s="604">
        <v>9</v>
      </c>
      <c r="N1089" s="604">
        <v>1565</v>
      </c>
      <c r="O1089" s="604">
        <v>5.8</v>
      </c>
      <c r="P1089" s="604" t="s">
        <v>47</v>
      </c>
      <c r="Q1089" s="499"/>
      <c r="R1089" s="696" t="str">
        <f t="shared" si="129"/>
        <v>2013birthssexMale</v>
      </c>
      <c r="S1089" s="604">
        <v>2013</v>
      </c>
      <c r="T1089" s="604" t="s">
        <v>445</v>
      </c>
      <c r="U1089" s="604" t="s">
        <v>451</v>
      </c>
      <c r="V1089" s="604" t="s">
        <v>70</v>
      </c>
      <c r="W1089" s="604">
        <v>30626</v>
      </c>
      <c r="Y1089" s="535" t="str">
        <f t="shared" si="130"/>
        <v>2016gestbwt37-41&lt;500infant</v>
      </c>
      <c r="Z1089" s="604">
        <v>2016</v>
      </c>
      <c r="AA1089" s="604" t="s">
        <v>450</v>
      </c>
      <c r="AB1089" s="604" t="s">
        <v>447</v>
      </c>
      <c r="AC1089" s="604" t="s">
        <v>137</v>
      </c>
      <c r="AD1089" s="604" t="s">
        <v>427</v>
      </c>
      <c r="AE1089" s="604">
        <v>0</v>
      </c>
      <c r="AF1089" s="604">
        <v>11</v>
      </c>
      <c r="AG1089" s="604">
        <v>0</v>
      </c>
      <c r="AH1089" s="604" t="s">
        <v>437</v>
      </c>
      <c r="AR1089" s="538" t="str">
        <f t="shared" si="132"/>
        <v>&lt;28gestinfantNew Zealand</v>
      </c>
      <c r="AS1089" s="604">
        <v>2016</v>
      </c>
      <c r="AT1089" s="604" t="s">
        <v>375</v>
      </c>
      <c r="AU1089" s="604" t="s">
        <v>450</v>
      </c>
      <c r="AV1089" s="604" t="s">
        <v>16</v>
      </c>
      <c r="AW1089" s="604">
        <v>96</v>
      </c>
      <c r="AX1089" s="604">
        <v>260</v>
      </c>
      <c r="AY1089" s="606">
        <v>369.2</v>
      </c>
      <c r="AZ1089" s="604" t="s">
        <v>437</v>
      </c>
      <c r="BY1089" s="553" t="str">
        <f t="shared" si="131"/>
        <v>2005&lt;500bwtSUDI</v>
      </c>
      <c r="BZ1089" s="604">
        <v>2005</v>
      </c>
      <c r="CA1089" s="604" t="s">
        <v>427</v>
      </c>
      <c r="CB1089" s="604" t="s">
        <v>447</v>
      </c>
      <c r="CC1089" s="604">
        <v>0</v>
      </c>
      <c r="CD1089" s="604" t="s">
        <v>33</v>
      </c>
    </row>
    <row r="1090" spans="9:82">
      <c r="I1090" s="578" t="str">
        <f t="shared" si="128"/>
        <v>2013dhbWest CoastFetal</v>
      </c>
      <c r="J1090" s="604">
        <v>2013</v>
      </c>
      <c r="K1090" s="604" t="s">
        <v>448</v>
      </c>
      <c r="L1090" s="604" t="s">
        <v>100</v>
      </c>
      <c r="M1090" s="604">
        <v>4</v>
      </c>
      <c r="N1090" s="604">
        <v>396</v>
      </c>
      <c r="O1090" s="604">
        <v>10.1</v>
      </c>
      <c r="P1090" s="604" t="s">
        <v>47</v>
      </c>
      <c r="Q1090" s="499"/>
      <c r="R1090" s="696" t="str">
        <f t="shared" si="129"/>
        <v>2013birthssexFemale</v>
      </c>
      <c r="S1090" s="604">
        <v>2013</v>
      </c>
      <c r="T1090" s="604" t="s">
        <v>445</v>
      </c>
      <c r="U1090" s="604" t="s">
        <v>451</v>
      </c>
      <c r="V1090" s="604" t="s">
        <v>71</v>
      </c>
      <c r="W1090" s="604">
        <v>29075</v>
      </c>
      <c r="Y1090" s="535" t="str">
        <f t="shared" si="130"/>
        <v>2016gestbwt&lt;28500-999infant</v>
      </c>
      <c r="Z1090" s="604">
        <v>2016</v>
      </c>
      <c r="AA1090" s="604" t="s">
        <v>450</v>
      </c>
      <c r="AB1090" s="604" t="s">
        <v>447</v>
      </c>
      <c r="AC1090" s="604" t="s">
        <v>375</v>
      </c>
      <c r="AD1090" s="604" t="s">
        <v>428</v>
      </c>
      <c r="AE1090" s="604">
        <v>55</v>
      </c>
      <c r="AF1090" s="604">
        <v>157</v>
      </c>
      <c r="AG1090" s="604">
        <v>350.3</v>
      </c>
      <c r="AH1090" s="604" t="s">
        <v>437</v>
      </c>
      <c r="AR1090" s="538" t="str">
        <f t="shared" si="132"/>
        <v>28-31gestinfantNew Zealand</v>
      </c>
      <c r="AS1090" s="604">
        <v>2016</v>
      </c>
      <c r="AT1090" s="604" t="s">
        <v>395</v>
      </c>
      <c r="AU1090" s="604" t="s">
        <v>450</v>
      </c>
      <c r="AV1090" s="604" t="s">
        <v>16</v>
      </c>
      <c r="AW1090" s="604">
        <v>14</v>
      </c>
      <c r="AX1090" s="604">
        <v>417</v>
      </c>
      <c r="AY1090" s="606">
        <v>33.6</v>
      </c>
      <c r="AZ1090" s="604" t="s">
        <v>437</v>
      </c>
      <c r="BY1090" s="553" t="str">
        <f t="shared" si="131"/>
        <v>2005500-999bwtSUDI</v>
      </c>
      <c r="BZ1090" s="604">
        <v>2005</v>
      </c>
      <c r="CA1090" s="604" t="s">
        <v>428</v>
      </c>
      <c r="CB1090" s="604" t="s">
        <v>447</v>
      </c>
      <c r="CC1090" s="604">
        <v>0</v>
      </c>
      <c r="CD1090" s="604" t="s">
        <v>33</v>
      </c>
    </row>
    <row r="1091" spans="9:82">
      <c r="I1091" s="578" t="str">
        <f t="shared" si="128"/>
        <v>2013dhbCanterburyFetal</v>
      </c>
      <c r="J1091" s="604">
        <v>2013</v>
      </c>
      <c r="K1091" s="604" t="s">
        <v>448</v>
      </c>
      <c r="L1091" s="604" t="s">
        <v>101</v>
      </c>
      <c r="M1091" s="604">
        <v>35</v>
      </c>
      <c r="N1091" s="604">
        <v>5980</v>
      </c>
      <c r="O1091" s="604">
        <v>5.9</v>
      </c>
      <c r="P1091" s="604" t="s">
        <v>47</v>
      </c>
      <c r="Q1091" s="499"/>
      <c r="R1091" s="696" t="str">
        <f t="shared" si="129"/>
        <v>2014birthssexMale</v>
      </c>
      <c r="S1091" s="604">
        <v>2014</v>
      </c>
      <c r="T1091" s="604" t="s">
        <v>445</v>
      </c>
      <c r="U1091" s="604" t="s">
        <v>451</v>
      </c>
      <c r="V1091" s="604" t="s">
        <v>70</v>
      </c>
      <c r="W1091" s="604">
        <v>30135</v>
      </c>
      <c r="Y1091" s="535" t="str">
        <f t="shared" si="130"/>
        <v>2016gestbwt28-31500-999infant</v>
      </c>
      <c r="Z1091" s="604">
        <v>2016</v>
      </c>
      <c r="AA1091" s="604" t="s">
        <v>450</v>
      </c>
      <c r="AB1091" s="604" t="s">
        <v>447</v>
      </c>
      <c r="AC1091" s="604" t="s">
        <v>395</v>
      </c>
      <c r="AD1091" s="604" t="s">
        <v>428</v>
      </c>
      <c r="AE1091" s="604">
        <v>1</v>
      </c>
      <c r="AF1091" s="604">
        <v>37</v>
      </c>
      <c r="AG1091" s="604">
        <v>27</v>
      </c>
      <c r="AH1091" s="604" t="s">
        <v>437</v>
      </c>
      <c r="AR1091" s="538" t="str">
        <f t="shared" si="132"/>
        <v>32-36gestinfantNew Zealand</v>
      </c>
      <c r="AS1091" s="604">
        <v>2016</v>
      </c>
      <c r="AT1091" s="604" t="s">
        <v>136</v>
      </c>
      <c r="AU1091" s="604" t="s">
        <v>450</v>
      </c>
      <c r="AV1091" s="604" t="s">
        <v>16</v>
      </c>
      <c r="AW1091" s="604">
        <v>23</v>
      </c>
      <c r="AX1091" s="604">
        <v>3814</v>
      </c>
      <c r="AY1091" s="606">
        <v>6</v>
      </c>
      <c r="AZ1091" s="604" t="s">
        <v>437</v>
      </c>
      <c r="BY1091" s="553" t="str">
        <f t="shared" si="131"/>
        <v>20051000-1499bwtSUDI</v>
      </c>
      <c r="BZ1091" s="604">
        <v>2005</v>
      </c>
      <c r="CA1091" s="604" t="s">
        <v>429</v>
      </c>
      <c r="CB1091" s="604" t="s">
        <v>447</v>
      </c>
      <c r="CC1091" s="604">
        <v>1</v>
      </c>
      <c r="CD1091" s="604" t="s">
        <v>33</v>
      </c>
    </row>
    <row r="1092" spans="9:82">
      <c r="I1092" s="578" t="str">
        <f t="shared" ref="I1092:I1155" si="133">J1092&amp;K1092&amp;L1092&amp;P1092</f>
        <v>2013dhbSouth CanterburyFetal</v>
      </c>
      <c r="J1092" s="604">
        <v>2013</v>
      </c>
      <c r="K1092" s="604" t="s">
        <v>448</v>
      </c>
      <c r="L1092" s="604" t="s">
        <v>102</v>
      </c>
      <c r="M1092" s="604">
        <v>5</v>
      </c>
      <c r="N1092" s="604">
        <v>634</v>
      </c>
      <c r="O1092" s="604">
        <v>7.9</v>
      </c>
      <c r="P1092" s="604" t="s">
        <v>47</v>
      </c>
      <c r="Q1092" s="499"/>
      <c r="R1092" s="696" t="str">
        <f t="shared" ref="R1092:R1117" si="134">S1092&amp;T1092&amp;U1092&amp;V1092</f>
        <v>2014birthssexFemale</v>
      </c>
      <c r="S1092" s="604">
        <v>2014</v>
      </c>
      <c r="T1092" s="604" t="s">
        <v>445</v>
      </c>
      <c r="U1092" s="604" t="s">
        <v>451</v>
      </c>
      <c r="V1092" s="604" t="s">
        <v>71</v>
      </c>
      <c r="W1092" s="604">
        <v>28150</v>
      </c>
      <c r="Y1092" s="535" t="str">
        <f t="shared" ref="Y1092:Y1155" si="135">Z1092&amp;AA1092&amp;AB1092&amp;AC1092&amp;AD1092&amp;AH1092</f>
        <v>2016gestbwt37-41500-999infant</v>
      </c>
      <c r="Z1092" s="604">
        <v>2016</v>
      </c>
      <c r="AA1092" s="604" t="s">
        <v>450</v>
      </c>
      <c r="AB1092" s="604" t="s">
        <v>447</v>
      </c>
      <c r="AC1092" s="604" t="s">
        <v>137</v>
      </c>
      <c r="AD1092" s="604" t="s">
        <v>428</v>
      </c>
      <c r="AE1092" s="604">
        <v>0</v>
      </c>
      <c r="AF1092" s="604">
        <v>2</v>
      </c>
      <c r="AG1092" s="604">
        <v>0</v>
      </c>
      <c r="AH1092" s="604" t="s">
        <v>437</v>
      </c>
      <c r="AR1092" s="538" t="str">
        <f t="shared" si="132"/>
        <v>37-41gestinfantNew Zealand</v>
      </c>
      <c r="AS1092" s="604">
        <v>2016</v>
      </c>
      <c r="AT1092" s="604" t="s">
        <v>137</v>
      </c>
      <c r="AU1092" s="604" t="s">
        <v>450</v>
      </c>
      <c r="AV1092" s="604" t="s">
        <v>16</v>
      </c>
      <c r="AW1092" s="604">
        <v>91</v>
      </c>
      <c r="AX1092" s="604">
        <v>54899</v>
      </c>
      <c r="AY1092" s="606">
        <v>1.7</v>
      </c>
      <c r="AZ1092" s="604" t="s">
        <v>437</v>
      </c>
      <c r="BY1092" s="553" t="str">
        <f t="shared" ref="BY1092:BY1155" si="136">BZ1092&amp;CA1092&amp;CB1092&amp;CD1092</f>
        <v>20051500-2499bwtSUDI</v>
      </c>
      <c r="BZ1092" s="604">
        <v>2005</v>
      </c>
      <c r="CA1092" s="604" t="s">
        <v>430</v>
      </c>
      <c r="CB1092" s="604" t="s">
        <v>447</v>
      </c>
      <c r="CC1092" s="604">
        <v>9</v>
      </c>
      <c r="CD1092" s="604" t="s">
        <v>33</v>
      </c>
    </row>
    <row r="1093" spans="9:82">
      <c r="I1093" s="578" t="str">
        <f t="shared" si="133"/>
        <v>2013dhbSouthernFetal</v>
      </c>
      <c r="J1093" s="604">
        <v>2013</v>
      </c>
      <c r="K1093" s="604" t="s">
        <v>448</v>
      </c>
      <c r="L1093" s="604" t="s">
        <v>103</v>
      </c>
      <c r="M1093" s="604">
        <v>18</v>
      </c>
      <c r="N1093" s="604">
        <v>3496</v>
      </c>
      <c r="O1093" s="604">
        <v>5.0999999999999996</v>
      </c>
      <c r="P1093" s="604" t="s">
        <v>47</v>
      </c>
      <c r="Q1093" s="499"/>
      <c r="R1093" s="696" t="str">
        <f t="shared" si="134"/>
        <v>2015birthssexMale</v>
      </c>
      <c r="S1093" s="604">
        <v>2015</v>
      </c>
      <c r="T1093" s="604" t="s">
        <v>445</v>
      </c>
      <c r="U1093" s="604" t="s">
        <v>451</v>
      </c>
      <c r="V1093" s="604" t="s">
        <v>70</v>
      </c>
      <c r="W1093" s="604">
        <v>31923</v>
      </c>
      <c r="Y1093" s="535" t="str">
        <f t="shared" si="135"/>
        <v>2016gestbwt&lt;281000-1499infant</v>
      </c>
      <c r="Z1093" s="604">
        <v>2016</v>
      </c>
      <c r="AA1093" s="604" t="s">
        <v>450</v>
      </c>
      <c r="AB1093" s="604" t="s">
        <v>447</v>
      </c>
      <c r="AC1093" s="604" t="s">
        <v>375</v>
      </c>
      <c r="AD1093" s="604" t="s">
        <v>429</v>
      </c>
      <c r="AE1093" s="604">
        <v>3</v>
      </c>
      <c r="AF1093" s="604">
        <v>56</v>
      </c>
      <c r="AG1093" s="604">
        <v>53.6</v>
      </c>
      <c r="AH1093" s="604" t="s">
        <v>437</v>
      </c>
      <c r="AR1093" s="538" t="str">
        <f t="shared" si="132"/>
        <v>42+gestinfantNew Zealand</v>
      </c>
      <c r="AS1093" s="604">
        <v>2016</v>
      </c>
      <c r="AT1093" s="604" t="s">
        <v>138</v>
      </c>
      <c r="AU1093" s="604" t="s">
        <v>450</v>
      </c>
      <c r="AV1093" s="604" t="s">
        <v>16</v>
      </c>
      <c r="AW1093" s="604">
        <v>4</v>
      </c>
      <c r="AX1093" s="604">
        <v>1017</v>
      </c>
      <c r="AY1093" s="606">
        <v>3.9</v>
      </c>
      <c r="AZ1093" s="604" t="s">
        <v>437</v>
      </c>
      <c r="BY1093" s="553" t="str">
        <f t="shared" si="136"/>
        <v>20052500-4499bwtSUDI</v>
      </c>
      <c r="BZ1093" s="604">
        <v>2005</v>
      </c>
      <c r="CA1093" s="604" t="s">
        <v>431</v>
      </c>
      <c r="CB1093" s="604" t="s">
        <v>447</v>
      </c>
      <c r="CC1093" s="604">
        <v>41</v>
      </c>
      <c r="CD1093" s="604" t="s">
        <v>33</v>
      </c>
    </row>
    <row r="1094" spans="9:82">
      <c r="I1094" s="578" t="str">
        <f t="shared" si="133"/>
        <v>2013dhbUnknownFetal</v>
      </c>
      <c r="J1094" s="604">
        <v>2013</v>
      </c>
      <c r="K1094" s="604" t="s">
        <v>448</v>
      </c>
      <c r="L1094" s="604" t="s">
        <v>63</v>
      </c>
      <c r="M1094" s="604">
        <v>5</v>
      </c>
      <c r="N1094" s="604">
        <v>201</v>
      </c>
      <c r="O1094" s="604" t="s">
        <v>119</v>
      </c>
      <c r="P1094" s="604" t="s">
        <v>47</v>
      </c>
      <c r="Q1094" s="499"/>
      <c r="R1094" s="696" t="str">
        <f t="shared" si="134"/>
        <v>2015birthssexFemale</v>
      </c>
      <c r="S1094" s="604">
        <v>2015</v>
      </c>
      <c r="T1094" s="604" t="s">
        <v>445</v>
      </c>
      <c r="U1094" s="604" t="s">
        <v>451</v>
      </c>
      <c r="V1094" s="604" t="s">
        <v>71</v>
      </c>
      <c r="W1094" s="604">
        <v>30199</v>
      </c>
      <c r="Y1094" s="535" t="str">
        <f t="shared" si="135"/>
        <v>2016gestbwt28-311000-1499infant</v>
      </c>
      <c r="Z1094" s="604">
        <v>2016</v>
      </c>
      <c r="AA1094" s="604" t="s">
        <v>450</v>
      </c>
      <c r="AB1094" s="604" t="s">
        <v>447</v>
      </c>
      <c r="AC1094" s="604" t="s">
        <v>395</v>
      </c>
      <c r="AD1094" s="604" t="s">
        <v>429</v>
      </c>
      <c r="AE1094" s="604">
        <v>5</v>
      </c>
      <c r="AF1094" s="604">
        <v>198</v>
      </c>
      <c r="AG1094" s="604">
        <v>25.3</v>
      </c>
      <c r="AH1094" s="604" t="s">
        <v>437</v>
      </c>
      <c r="AR1094" s="538" t="str">
        <f t="shared" si="132"/>
        <v>UnknowngestinfantNew Zealand</v>
      </c>
      <c r="AS1094" s="604">
        <v>2016</v>
      </c>
      <c r="AT1094" s="604" t="s">
        <v>63</v>
      </c>
      <c r="AU1094" s="604" t="s">
        <v>450</v>
      </c>
      <c r="AV1094" s="604" t="s">
        <v>16</v>
      </c>
      <c r="AW1094" s="604">
        <v>13</v>
      </c>
      <c r="AX1094" s="604">
        <v>29</v>
      </c>
      <c r="AY1094" s="606" t="s">
        <v>119</v>
      </c>
      <c r="AZ1094" s="604" t="s">
        <v>437</v>
      </c>
      <c r="BY1094" s="553" t="str">
        <f t="shared" si="136"/>
        <v>20054500+bwtSUDI</v>
      </c>
      <c r="BZ1094" s="604">
        <v>2005</v>
      </c>
      <c r="CA1094" s="604" t="s">
        <v>432</v>
      </c>
      <c r="CB1094" s="604" t="s">
        <v>447</v>
      </c>
      <c r="CC1094" s="604">
        <v>0</v>
      </c>
      <c r="CD1094" s="604" t="s">
        <v>33</v>
      </c>
    </row>
    <row r="1095" spans="9:82">
      <c r="I1095" s="578" t="str">
        <f t="shared" si="133"/>
        <v>2014dhbNorthlandFetal</v>
      </c>
      <c r="J1095" s="604">
        <v>2014</v>
      </c>
      <c r="K1095" s="604" t="s">
        <v>448</v>
      </c>
      <c r="L1095" s="604" t="s">
        <v>85</v>
      </c>
      <c r="M1095" s="604">
        <v>23</v>
      </c>
      <c r="N1095" s="604">
        <v>2150</v>
      </c>
      <c r="O1095" s="604">
        <v>10.7</v>
      </c>
      <c r="P1095" s="604" t="s">
        <v>47</v>
      </c>
      <c r="Q1095" s="499"/>
      <c r="R1095" s="696" t="str">
        <f t="shared" si="134"/>
        <v>2016birthssexMale</v>
      </c>
      <c r="S1095" s="604">
        <v>2016</v>
      </c>
      <c r="T1095" s="604" t="s">
        <v>445</v>
      </c>
      <c r="U1095" s="604" t="s">
        <v>451</v>
      </c>
      <c r="V1095" s="604" t="s">
        <v>70</v>
      </c>
      <c r="W1095" s="604">
        <v>31009</v>
      </c>
      <c r="Y1095" s="535" t="str">
        <f t="shared" si="135"/>
        <v>2016gestbwt32-361000-1499infant</v>
      </c>
      <c r="Z1095" s="604">
        <v>2016</v>
      </c>
      <c r="AA1095" s="604" t="s">
        <v>450</v>
      </c>
      <c r="AB1095" s="604" t="s">
        <v>447</v>
      </c>
      <c r="AC1095" s="604" t="s">
        <v>136</v>
      </c>
      <c r="AD1095" s="604" t="s">
        <v>429</v>
      </c>
      <c r="AE1095" s="604">
        <v>0</v>
      </c>
      <c r="AF1095" s="604">
        <v>72</v>
      </c>
      <c r="AG1095" s="604">
        <v>0</v>
      </c>
      <c r="AH1095" s="604" t="s">
        <v>437</v>
      </c>
      <c r="AR1095" s="538" t="str">
        <f t="shared" si="132"/>
        <v>&lt;500bwtinfantNew Zealand</v>
      </c>
      <c r="AS1095" s="604">
        <v>2016</v>
      </c>
      <c r="AT1095" s="604" t="s">
        <v>427</v>
      </c>
      <c r="AU1095" s="604" t="s">
        <v>447</v>
      </c>
      <c r="AV1095" s="604" t="s">
        <v>16</v>
      </c>
      <c r="AW1095" s="604">
        <v>37</v>
      </c>
      <c r="AX1095" s="604">
        <v>53</v>
      </c>
      <c r="AY1095" s="606">
        <v>698.1</v>
      </c>
      <c r="AZ1095" s="604" t="s">
        <v>437</v>
      </c>
      <c r="BY1095" s="553" t="str">
        <f t="shared" si="136"/>
        <v>2005UnknownbwtSUDI</v>
      </c>
      <c r="BZ1095" s="604">
        <v>2005</v>
      </c>
      <c r="CA1095" s="604" t="s">
        <v>63</v>
      </c>
      <c r="CB1095" s="604" t="s">
        <v>447</v>
      </c>
      <c r="CC1095" s="604">
        <v>2</v>
      </c>
      <c r="CD1095" s="604" t="s">
        <v>33</v>
      </c>
    </row>
    <row r="1096" spans="9:82">
      <c r="I1096" s="578" t="str">
        <f t="shared" si="133"/>
        <v>2014dhbWaitemataFetal</v>
      </c>
      <c r="J1096" s="604">
        <v>2014</v>
      </c>
      <c r="K1096" s="604" t="s">
        <v>448</v>
      </c>
      <c r="L1096" s="604" t="s">
        <v>86</v>
      </c>
      <c r="M1096" s="604">
        <v>39</v>
      </c>
      <c r="N1096" s="604">
        <v>7776</v>
      </c>
      <c r="O1096" s="604">
        <v>5</v>
      </c>
      <c r="P1096" s="604" t="s">
        <v>47</v>
      </c>
      <c r="Q1096" s="499"/>
      <c r="R1096" s="696" t="str">
        <f t="shared" si="134"/>
        <v>2016birthssexFemale</v>
      </c>
      <c r="S1096" s="604">
        <v>2016</v>
      </c>
      <c r="T1096" s="604" t="s">
        <v>445</v>
      </c>
      <c r="U1096" s="604" t="s">
        <v>451</v>
      </c>
      <c r="V1096" s="604" t="s">
        <v>71</v>
      </c>
      <c r="W1096" s="604">
        <v>29427</v>
      </c>
      <c r="Y1096" s="535" t="str">
        <f t="shared" si="135"/>
        <v>2016gestbwt37-411000-1499infant</v>
      </c>
      <c r="Z1096" s="604">
        <v>2016</v>
      </c>
      <c r="AA1096" s="604" t="s">
        <v>450</v>
      </c>
      <c r="AB1096" s="604" t="s">
        <v>447</v>
      </c>
      <c r="AC1096" s="604" t="s">
        <v>137</v>
      </c>
      <c r="AD1096" s="604" t="s">
        <v>429</v>
      </c>
      <c r="AE1096" s="604">
        <v>0</v>
      </c>
      <c r="AF1096" s="604">
        <v>5</v>
      </c>
      <c r="AG1096" s="604">
        <v>0</v>
      </c>
      <c r="AH1096" s="604" t="s">
        <v>437</v>
      </c>
      <c r="AR1096" s="538" t="str">
        <f t="shared" si="132"/>
        <v>500-999bwtinfantNew Zealand</v>
      </c>
      <c r="AS1096" s="604">
        <v>2016</v>
      </c>
      <c r="AT1096" s="604" t="s">
        <v>428</v>
      </c>
      <c r="AU1096" s="604" t="s">
        <v>447</v>
      </c>
      <c r="AV1096" s="604" t="s">
        <v>16</v>
      </c>
      <c r="AW1096" s="604">
        <v>57</v>
      </c>
      <c r="AX1096" s="604">
        <v>196</v>
      </c>
      <c r="AY1096" s="606">
        <v>290.8</v>
      </c>
      <c r="AZ1096" s="604" t="s">
        <v>437</v>
      </c>
      <c r="BY1096" s="553" t="str">
        <f t="shared" si="136"/>
        <v>2006&lt;500bwtSUDI</v>
      </c>
      <c r="BZ1096" s="604">
        <v>2006</v>
      </c>
      <c r="CA1096" s="604" t="s">
        <v>427</v>
      </c>
      <c r="CB1096" s="604" t="s">
        <v>447</v>
      </c>
      <c r="CC1096" s="604">
        <v>0</v>
      </c>
      <c r="CD1096" s="604" t="s">
        <v>33</v>
      </c>
    </row>
    <row r="1097" spans="9:82">
      <c r="I1097" s="578" t="str">
        <f t="shared" si="133"/>
        <v>2014dhbAucklandFetal</v>
      </c>
      <c r="J1097" s="604">
        <v>2014</v>
      </c>
      <c r="K1097" s="604" t="s">
        <v>448</v>
      </c>
      <c r="L1097" s="604" t="s">
        <v>87</v>
      </c>
      <c r="M1097" s="604">
        <v>42</v>
      </c>
      <c r="N1097" s="604">
        <v>6116</v>
      </c>
      <c r="O1097" s="604">
        <v>6.9</v>
      </c>
      <c r="P1097" s="604" t="s">
        <v>47</v>
      </c>
      <c r="Q1097" s="499"/>
      <c r="R1097" s="696" t="str">
        <f t="shared" si="134"/>
        <v>1996birthsTotal</v>
      </c>
      <c r="S1097" s="604">
        <v>1996</v>
      </c>
      <c r="T1097" s="604" t="s">
        <v>445</v>
      </c>
      <c r="V1097" s="604" t="s">
        <v>44</v>
      </c>
      <c r="W1097" s="604">
        <v>57434</v>
      </c>
      <c r="Y1097" s="535" t="str">
        <f t="shared" si="135"/>
        <v>2016gestbwt&lt;281500-2499infant</v>
      </c>
      <c r="Z1097" s="604">
        <v>2016</v>
      </c>
      <c r="AA1097" s="604" t="s">
        <v>450</v>
      </c>
      <c r="AB1097" s="604" t="s">
        <v>447</v>
      </c>
      <c r="AC1097" s="604" t="s">
        <v>375</v>
      </c>
      <c r="AD1097" s="604" t="s">
        <v>430</v>
      </c>
      <c r="AE1097" s="604">
        <v>1</v>
      </c>
      <c r="AF1097" s="604">
        <v>3</v>
      </c>
      <c r="AG1097" s="604">
        <v>333.3</v>
      </c>
      <c r="AH1097" s="604" t="s">
        <v>437</v>
      </c>
      <c r="AR1097" s="538" t="str">
        <f t="shared" si="132"/>
        <v>1000-1499bwtinfantNew Zealand</v>
      </c>
      <c r="AS1097" s="604">
        <v>2016</v>
      </c>
      <c r="AT1097" s="604" t="s">
        <v>429</v>
      </c>
      <c r="AU1097" s="604" t="s">
        <v>447</v>
      </c>
      <c r="AV1097" s="604" t="s">
        <v>16</v>
      </c>
      <c r="AW1097" s="604">
        <v>8</v>
      </c>
      <c r="AX1097" s="604">
        <v>331</v>
      </c>
      <c r="AY1097" s="606">
        <v>24.2</v>
      </c>
      <c r="AZ1097" s="604" t="s">
        <v>437</v>
      </c>
      <c r="BY1097" s="553" t="str">
        <f t="shared" si="136"/>
        <v>2006500-999bwtSUDI</v>
      </c>
      <c r="BZ1097" s="604">
        <v>2006</v>
      </c>
      <c r="CA1097" s="604" t="s">
        <v>428</v>
      </c>
      <c r="CB1097" s="604" t="s">
        <v>447</v>
      </c>
      <c r="CC1097" s="604">
        <v>1</v>
      </c>
      <c r="CD1097" s="604" t="s">
        <v>33</v>
      </c>
    </row>
    <row r="1098" spans="9:82">
      <c r="I1098" s="578" t="str">
        <f t="shared" si="133"/>
        <v>2014dhbCounties ManukauFetal</v>
      </c>
      <c r="J1098" s="604">
        <v>2014</v>
      </c>
      <c r="K1098" s="604" t="s">
        <v>448</v>
      </c>
      <c r="L1098" s="604" t="s">
        <v>88</v>
      </c>
      <c r="M1098" s="604">
        <v>87</v>
      </c>
      <c r="N1098" s="604">
        <v>8159</v>
      </c>
      <c r="O1098" s="604">
        <v>10.7</v>
      </c>
      <c r="P1098" s="604" t="s">
        <v>47</v>
      </c>
      <c r="Q1098" s="499"/>
      <c r="R1098" s="696" t="str">
        <f t="shared" si="134"/>
        <v>1997birthsTotal</v>
      </c>
      <c r="S1098" s="604">
        <v>1997</v>
      </c>
      <c r="T1098" s="604" t="s">
        <v>445</v>
      </c>
      <c r="V1098" s="604" t="s">
        <v>44</v>
      </c>
      <c r="W1098" s="604">
        <v>57734</v>
      </c>
      <c r="Y1098" s="535" t="str">
        <f t="shared" si="135"/>
        <v>2016gestbwt28-311500-2499infant</v>
      </c>
      <c r="Z1098" s="604">
        <v>2016</v>
      </c>
      <c r="AA1098" s="604" t="s">
        <v>450</v>
      </c>
      <c r="AB1098" s="604" t="s">
        <v>447</v>
      </c>
      <c r="AC1098" s="604" t="s">
        <v>395</v>
      </c>
      <c r="AD1098" s="604" t="s">
        <v>430</v>
      </c>
      <c r="AE1098" s="604">
        <v>8</v>
      </c>
      <c r="AF1098" s="604">
        <v>167</v>
      </c>
      <c r="AG1098" s="604">
        <v>47.9</v>
      </c>
      <c r="AH1098" s="604" t="s">
        <v>437</v>
      </c>
      <c r="AR1098" s="538" t="str">
        <f t="shared" si="132"/>
        <v>1500-2499bwtinfantNew Zealand</v>
      </c>
      <c r="AS1098" s="604">
        <v>2016</v>
      </c>
      <c r="AT1098" s="604" t="s">
        <v>430</v>
      </c>
      <c r="AU1098" s="604" t="s">
        <v>447</v>
      </c>
      <c r="AV1098" s="604" t="s">
        <v>16</v>
      </c>
      <c r="AW1098" s="604">
        <v>35</v>
      </c>
      <c r="AX1098" s="604">
        <v>2991</v>
      </c>
      <c r="AY1098" s="606">
        <v>11.7</v>
      </c>
      <c r="AZ1098" s="604" t="s">
        <v>437</v>
      </c>
      <c r="BY1098" s="553" t="str">
        <f t="shared" si="136"/>
        <v>20061000-1499bwtSUDI</v>
      </c>
      <c r="BZ1098" s="604">
        <v>2006</v>
      </c>
      <c r="CA1098" s="604" t="s">
        <v>429</v>
      </c>
      <c r="CB1098" s="604" t="s">
        <v>447</v>
      </c>
      <c r="CC1098" s="604">
        <v>0</v>
      </c>
      <c r="CD1098" s="604" t="s">
        <v>33</v>
      </c>
    </row>
    <row r="1099" spans="9:82">
      <c r="I1099" s="578" t="str">
        <f t="shared" si="133"/>
        <v>2014dhbWaikatoFetal</v>
      </c>
      <c r="J1099" s="604">
        <v>2014</v>
      </c>
      <c r="K1099" s="604" t="s">
        <v>448</v>
      </c>
      <c r="L1099" s="604" t="s">
        <v>89</v>
      </c>
      <c r="M1099" s="604">
        <v>40</v>
      </c>
      <c r="N1099" s="604">
        <v>5275</v>
      </c>
      <c r="O1099" s="604">
        <v>7.6</v>
      </c>
      <c r="P1099" s="604" t="s">
        <v>47</v>
      </c>
      <c r="Q1099" s="499"/>
      <c r="R1099" s="696" t="str">
        <f t="shared" si="134"/>
        <v>1998birthsTotal</v>
      </c>
      <c r="S1099" s="604">
        <v>1998</v>
      </c>
      <c r="T1099" s="604" t="s">
        <v>445</v>
      </c>
      <c r="V1099" s="604" t="s">
        <v>44</v>
      </c>
      <c r="W1099" s="604">
        <v>55521</v>
      </c>
      <c r="Y1099" s="535" t="str">
        <f t="shared" si="135"/>
        <v>2016gestbwt32-361500-2499infant</v>
      </c>
      <c r="Z1099" s="604">
        <v>2016</v>
      </c>
      <c r="AA1099" s="604" t="s">
        <v>450</v>
      </c>
      <c r="AB1099" s="604" t="s">
        <v>447</v>
      </c>
      <c r="AC1099" s="604" t="s">
        <v>136</v>
      </c>
      <c r="AD1099" s="604" t="s">
        <v>430</v>
      </c>
      <c r="AE1099" s="604">
        <v>13</v>
      </c>
      <c r="AF1099" s="604">
        <v>1729</v>
      </c>
      <c r="AG1099" s="604">
        <v>7.5</v>
      </c>
      <c r="AH1099" s="604" t="s">
        <v>437</v>
      </c>
      <c r="AR1099" s="538" t="str">
        <f t="shared" si="132"/>
        <v>2500-4499bwtinfantNew Zealand</v>
      </c>
      <c r="AS1099" s="604">
        <v>2016</v>
      </c>
      <c r="AT1099" s="604" t="s">
        <v>431</v>
      </c>
      <c r="AU1099" s="604" t="s">
        <v>447</v>
      </c>
      <c r="AV1099" s="604" t="s">
        <v>16</v>
      </c>
      <c r="AW1099" s="604">
        <v>95</v>
      </c>
      <c r="AX1099" s="604">
        <v>55407</v>
      </c>
      <c r="AY1099" s="606">
        <v>1.7</v>
      </c>
      <c r="AZ1099" s="604" t="s">
        <v>437</v>
      </c>
      <c r="BY1099" s="553" t="str">
        <f t="shared" si="136"/>
        <v>20061500-2499bwtSUDI</v>
      </c>
      <c r="BZ1099" s="604">
        <v>2006</v>
      </c>
      <c r="CA1099" s="604" t="s">
        <v>430</v>
      </c>
      <c r="CB1099" s="604" t="s">
        <v>447</v>
      </c>
      <c r="CC1099" s="604">
        <v>9</v>
      </c>
      <c r="CD1099" s="604" t="s">
        <v>33</v>
      </c>
    </row>
    <row r="1100" spans="9:82">
      <c r="I1100" s="578" t="str">
        <f t="shared" si="133"/>
        <v>2014dhbLakesFetal</v>
      </c>
      <c r="J1100" s="604">
        <v>2014</v>
      </c>
      <c r="K1100" s="604" t="s">
        <v>448</v>
      </c>
      <c r="L1100" s="604" t="s">
        <v>90</v>
      </c>
      <c r="M1100" s="604">
        <v>14</v>
      </c>
      <c r="N1100" s="604">
        <v>1378</v>
      </c>
      <c r="O1100" s="604">
        <v>10.199999999999999</v>
      </c>
      <c r="P1100" s="604" t="s">
        <v>47</v>
      </c>
      <c r="Q1100" s="499"/>
      <c r="R1100" s="696" t="str">
        <f t="shared" si="134"/>
        <v>1999birthsTotal</v>
      </c>
      <c r="S1100" s="604">
        <v>1999</v>
      </c>
      <c r="T1100" s="604" t="s">
        <v>445</v>
      </c>
      <c r="V1100" s="604" t="s">
        <v>44</v>
      </c>
      <c r="W1100" s="604">
        <v>57421</v>
      </c>
      <c r="Y1100" s="535" t="str">
        <f t="shared" si="135"/>
        <v>2016gestbwt37-411500-2499infant</v>
      </c>
      <c r="Z1100" s="604">
        <v>2016</v>
      </c>
      <c r="AA1100" s="604" t="s">
        <v>450</v>
      </c>
      <c r="AB1100" s="604" t="s">
        <v>447</v>
      </c>
      <c r="AC1100" s="604" t="s">
        <v>137</v>
      </c>
      <c r="AD1100" s="604" t="s">
        <v>430</v>
      </c>
      <c r="AE1100" s="604">
        <v>11</v>
      </c>
      <c r="AF1100" s="604">
        <v>1088</v>
      </c>
      <c r="AG1100" s="604">
        <v>10.1</v>
      </c>
      <c r="AH1100" s="604" t="s">
        <v>437</v>
      </c>
      <c r="AR1100" s="538" t="str">
        <f t="shared" si="132"/>
        <v>UnknownbwtinfantNew Zealand</v>
      </c>
      <c r="AS1100" s="604">
        <v>2016</v>
      </c>
      <c r="AT1100" s="604" t="s">
        <v>63</v>
      </c>
      <c r="AU1100" s="604" t="s">
        <v>447</v>
      </c>
      <c r="AV1100" s="604" t="s">
        <v>16</v>
      </c>
      <c r="AW1100" s="604">
        <v>9</v>
      </c>
      <c r="AX1100" s="604">
        <v>35</v>
      </c>
      <c r="AY1100" s="606" t="s">
        <v>119</v>
      </c>
      <c r="AZ1100" s="604" t="s">
        <v>437</v>
      </c>
      <c r="BY1100" s="553" t="str">
        <f t="shared" si="136"/>
        <v>20062500-4499bwtSUDI</v>
      </c>
      <c r="BZ1100" s="604">
        <v>2006</v>
      </c>
      <c r="CA1100" s="604" t="s">
        <v>431</v>
      </c>
      <c r="CB1100" s="604" t="s">
        <v>447</v>
      </c>
      <c r="CC1100" s="604">
        <v>52</v>
      </c>
      <c r="CD1100" s="604" t="s">
        <v>33</v>
      </c>
    </row>
    <row r="1101" spans="9:82">
      <c r="I1101" s="578" t="str">
        <f t="shared" si="133"/>
        <v>2014dhbBay of PlentyFetal</v>
      </c>
      <c r="J1101" s="604">
        <v>2014</v>
      </c>
      <c r="K1101" s="604" t="s">
        <v>448</v>
      </c>
      <c r="L1101" s="604" t="s">
        <v>91</v>
      </c>
      <c r="M1101" s="604">
        <v>27</v>
      </c>
      <c r="N1101" s="604">
        <v>2715</v>
      </c>
      <c r="O1101" s="604">
        <v>9.9</v>
      </c>
      <c r="P1101" s="604" t="s">
        <v>47</v>
      </c>
      <c r="Q1101" s="499"/>
      <c r="R1101" s="696" t="str">
        <f t="shared" si="134"/>
        <v>2000birthsTotal</v>
      </c>
      <c r="S1101" s="604">
        <v>2000</v>
      </c>
      <c r="T1101" s="604" t="s">
        <v>445</v>
      </c>
      <c r="V1101" s="604" t="s">
        <v>44</v>
      </c>
      <c r="W1101" s="604">
        <v>56994</v>
      </c>
      <c r="Y1101" s="535" t="str">
        <f t="shared" si="135"/>
        <v>2016gestbwt42+1500-2499infant</v>
      </c>
      <c r="Z1101" s="604">
        <v>2016</v>
      </c>
      <c r="AA1101" s="604" t="s">
        <v>450</v>
      </c>
      <c r="AB1101" s="604" t="s">
        <v>447</v>
      </c>
      <c r="AC1101" s="604" t="s">
        <v>138</v>
      </c>
      <c r="AD1101" s="604" t="s">
        <v>430</v>
      </c>
      <c r="AE1101" s="604">
        <v>1</v>
      </c>
      <c r="AF1101" s="604">
        <v>3</v>
      </c>
      <c r="AG1101" s="604">
        <v>333.3</v>
      </c>
      <c r="AH1101" s="604" t="s">
        <v>437</v>
      </c>
      <c r="AR1101" s="538" t="str">
        <f t="shared" si="132"/>
        <v>TotalOverallinfantLakes</v>
      </c>
      <c r="AS1101" s="604">
        <v>2016</v>
      </c>
      <c r="AT1101" s="604" t="s">
        <v>44</v>
      </c>
      <c r="AU1101" s="604" t="s">
        <v>104</v>
      </c>
      <c r="AV1101" s="604" t="s">
        <v>90</v>
      </c>
      <c r="AW1101" s="604">
        <v>0</v>
      </c>
      <c r="AX1101" s="604">
        <v>1569</v>
      </c>
      <c r="AY1101" s="606">
        <v>0</v>
      </c>
      <c r="AZ1101" s="604" t="s">
        <v>437</v>
      </c>
      <c r="BY1101" s="553" t="str">
        <f t="shared" si="136"/>
        <v>20064500+bwtSUDI</v>
      </c>
      <c r="BZ1101" s="604">
        <v>2006</v>
      </c>
      <c r="CA1101" s="604" t="s">
        <v>432</v>
      </c>
      <c r="CB1101" s="604" t="s">
        <v>447</v>
      </c>
      <c r="CC1101" s="604">
        <v>1</v>
      </c>
      <c r="CD1101" s="604" t="s">
        <v>33</v>
      </c>
    </row>
    <row r="1102" spans="9:82">
      <c r="I1102" s="578" t="str">
        <f t="shared" si="133"/>
        <v>2014dhbTairawhitiFetal</v>
      </c>
      <c r="J1102" s="604">
        <v>2014</v>
      </c>
      <c r="K1102" s="604" t="s">
        <v>448</v>
      </c>
      <c r="L1102" s="604" t="s">
        <v>433</v>
      </c>
      <c r="M1102" s="604">
        <v>2</v>
      </c>
      <c r="N1102" s="604">
        <v>675</v>
      </c>
      <c r="O1102" s="604">
        <v>3</v>
      </c>
      <c r="P1102" s="604" t="s">
        <v>47</v>
      </c>
      <c r="Q1102" s="499"/>
      <c r="R1102" s="696" t="str">
        <f t="shared" si="134"/>
        <v>2001birthsTotal</v>
      </c>
      <c r="S1102" s="604">
        <v>2001</v>
      </c>
      <c r="T1102" s="604" t="s">
        <v>445</v>
      </c>
      <c r="V1102" s="604" t="s">
        <v>44</v>
      </c>
      <c r="W1102" s="604">
        <v>56224</v>
      </c>
      <c r="Y1102" s="535" t="str">
        <f t="shared" si="135"/>
        <v>2016gestbwtUnknown1500-2499infant</v>
      </c>
      <c r="Z1102" s="604">
        <v>2016</v>
      </c>
      <c r="AA1102" s="604" t="s">
        <v>450</v>
      </c>
      <c r="AB1102" s="604" t="s">
        <v>447</v>
      </c>
      <c r="AC1102" s="604" t="s">
        <v>63</v>
      </c>
      <c r="AD1102" s="604" t="s">
        <v>430</v>
      </c>
      <c r="AE1102" s="604">
        <v>1</v>
      </c>
      <c r="AF1102" s="604">
        <v>1</v>
      </c>
      <c r="AG1102" s="604" t="s">
        <v>119</v>
      </c>
      <c r="AH1102" s="604" t="s">
        <v>437</v>
      </c>
      <c r="AR1102" s="538" t="str">
        <f t="shared" si="132"/>
        <v>&lt;20ageinfantNorthland</v>
      </c>
      <c r="AS1102" s="604">
        <v>2016</v>
      </c>
      <c r="AT1102" s="604" t="s">
        <v>339</v>
      </c>
      <c r="AU1102" s="604" t="s">
        <v>453</v>
      </c>
      <c r="AV1102" s="604" t="s">
        <v>85</v>
      </c>
      <c r="AW1102" s="604">
        <v>0</v>
      </c>
      <c r="AX1102" s="604">
        <v>151</v>
      </c>
      <c r="AY1102" s="606">
        <v>0</v>
      </c>
      <c r="AZ1102" s="604" t="s">
        <v>437</v>
      </c>
      <c r="BY1102" s="553" t="str">
        <f t="shared" si="136"/>
        <v>2006UnknownbwtSUDI</v>
      </c>
      <c r="BZ1102" s="604">
        <v>2006</v>
      </c>
      <c r="CA1102" s="604" t="s">
        <v>63</v>
      </c>
      <c r="CB1102" s="604" t="s">
        <v>447</v>
      </c>
      <c r="CC1102" s="604">
        <v>3</v>
      </c>
      <c r="CD1102" s="604" t="s">
        <v>33</v>
      </c>
    </row>
    <row r="1103" spans="9:82">
      <c r="I1103" s="578" t="str">
        <f t="shared" si="133"/>
        <v>2014dhbHawke's BayFetal</v>
      </c>
      <c r="J1103" s="604">
        <v>2014</v>
      </c>
      <c r="K1103" s="604" t="s">
        <v>448</v>
      </c>
      <c r="L1103" s="604" t="s">
        <v>92</v>
      </c>
      <c r="M1103" s="604">
        <v>14</v>
      </c>
      <c r="N1103" s="604">
        <v>2108</v>
      </c>
      <c r="O1103" s="604">
        <v>6.6</v>
      </c>
      <c r="P1103" s="604" t="s">
        <v>47</v>
      </c>
      <c r="Q1103" s="499"/>
      <c r="R1103" s="696" t="str">
        <f t="shared" si="134"/>
        <v>2002birthsTotal</v>
      </c>
      <c r="S1103" s="604">
        <v>2002</v>
      </c>
      <c r="T1103" s="604" t="s">
        <v>445</v>
      </c>
      <c r="V1103" s="604" t="s">
        <v>44</v>
      </c>
      <c r="W1103" s="604">
        <v>54515</v>
      </c>
      <c r="Y1103" s="535" t="str">
        <f t="shared" si="135"/>
        <v>2016gestbwt&lt;282500-4499infant</v>
      </c>
      <c r="Z1103" s="604">
        <v>2016</v>
      </c>
      <c r="AA1103" s="604" t="s">
        <v>450</v>
      </c>
      <c r="AB1103" s="604" t="s">
        <v>447</v>
      </c>
      <c r="AC1103" s="604" t="s">
        <v>375</v>
      </c>
      <c r="AD1103" s="604" t="s">
        <v>431</v>
      </c>
      <c r="AE1103" s="604">
        <v>0</v>
      </c>
      <c r="AF1103" s="604">
        <v>2</v>
      </c>
      <c r="AG1103" s="604">
        <v>0</v>
      </c>
      <c r="AH1103" s="604" t="s">
        <v>437</v>
      </c>
      <c r="AR1103" s="538" t="str">
        <f t="shared" si="132"/>
        <v>40+ageinfantWaitemata</v>
      </c>
      <c r="AS1103" s="604">
        <v>2016</v>
      </c>
      <c r="AT1103" s="604" t="s">
        <v>134</v>
      </c>
      <c r="AU1103" s="604" t="s">
        <v>453</v>
      </c>
      <c r="AV1103" s="604" t="s">
        <v>86</v>
      </c>
      <c r="AW1103" s="604">
        <v>0</v>
      </c>
      <c r="AX1103" s="604">
        <v>335</v>
      </c>
      <c r="AY1103" s="606">
        <v>0</v>
      </c>
      <c r="AZ1103" s="604" t="s">
        <v>437</v>
      </c>
      <c r="BY1103" s="553" t="str">
        <f t="shared" si="136"/>
        <v>2007&lt;500bwtSUDI</v>
      </c>
      <c r="BZ1103" s="604">
        <v>2007</v>
      </c>
      <c r="CA1103" s="604" t="s">
        <v>427</v>
      </c>
      <c r="CB1103" s="604" t="s">
        <v>447</v>
      </c>
      <c r="CC1103" s="604">
        <v>0</v>
      </c>
      <c r="CD1103" s="604" t="s">
        <v>33</v>
      </c>
    </row>
    <row r="1104" spans="9:82">
      <c r="I1104" s="578" t="str">
        <f t="shared" si="133"/>
        <v>2014dhbTaranakiFetal</v>
      </c>
      <c r="J1104" s="604">
        <v>2014</v>
      </c>
      <c r="K1104" s="604" t="s">
        <v>448</v>
      </c>
      <c r="L1104" s="604" t="s">
        <v>93</v>
      </c>
      <c r="M1104" s="604">
        <v>12</v>
      </c>
      <c r="N1104" s="604">
        <v>1546</v>
      </c>
      <c r="O1104" s="604">
        <v>7.8</v>
      </c>
      <c r="P1104" s="604" t="s">
        <v>47</v>
      </c>
      <c r="Q1104" s="499"/>
      <c r="R1104" s="696" t="str">
        <f t="shared" si="134"/>
        <v>2003birthsTotal</v>
      </c>
      <c r="S1104" s="604">
        <v>2003</v>
      </c>
      <c r="T1104" s="604" t="s">
        <v>445</v>
      </c>
      <c r="V1104" s="604" t="s">
        <v>44</v>
      </c>
      <c r="W1104" s="604">
        <v>56576</v>
      </c>
      <c r="Y1104" s="535" t="str">
        <f t="shared" si="135"/>
        <v>2016gestbwt28-312500-4499infant</v>
      </c>
      <c r="Z1104" s="604">
        <v>2016</v>
      </c>
      <c r="AA1104" s="604" t="s">
        <v>450</v>
      </c>
      <c r="AB1104" s="604" t="s">
        <v>447</v>
      </c>
      <c r="AC1104" s="604" t="s">
        <v>395</v>
      </c>
      <c r="AD1104" s="604" t="s">
        <v>431</v>
      </c>
      <c r="AE1104" s="604">
        <v>0</v>
      </c>
      <c r="AF1104" s="604">
        <v>15</v>
      </c>
      <c r="AG1104" s="604">
        <v>0</v>
      </c>
      <c r="AH1104" s="604" t="s">
        <v>437</v>
      </c>
      <c r="AR1104" s="538" t="str">
        <f t="shared" si="132"/>
        <v>40+ageinfantWaikato</v>
      </c>
      <c r="AS1104" s="604">
        <v>2016</v>
      </c>
      <c r="AT1104" s="604" t="s">
        <v>134</v>
      </c>
      <c r="AU1104" s="604" t="s">
        <v>453</v>
      </c>
      <c r="AV1104" s="604" t="s">
        <v>89</v>
      </c>
      <c r="AW1104" s="604">
        <v>0</v>
      </c>
      <c r="AX1104" s="604">
        <v>159</v>
      </c>
      <c r="AY1104" s="606">
        <v>0</v>
      </c>
      <c r="AZ1104" s="604" t="s">
        <v>437</v>
      </c>
      <c r="BY1104" s="553" t="str">
        <f t="shared" si="136"/>
        <v>2007500-999bwtSUDI</v>
      </c>
      <c r="BZ1104" s="604">
        <v>2007</v>
      </c>
      <c r="CA1104" s="604" t="s">
        <v>428</v>
      </c>
      <c r="CB1104" s="604" t="s">
        <v>447</v>
      </c>
      <c r="CC1104" s="604">
        <v>0</v>
      </c>
      <c r="CD1104" s="604" t="s">
        <v>33</v>
      </c>
    </row>
    <row r="1105" spans="9:82">
      <c r="I1105" s="578" t="str">
        <f t="shared" si="133"/>
        <v>2014dhbMidCentralFetal</v>
      </c>
      <c r="J1105" s="604">
        <v>2014</v>
      </c>
      <c r="K1105" s="604" t="s">
        <v>448</v>
      </c>
      <c r="L1105" s="604" t="s">
        <v>94</v>
      </c>
      <c r="M1105" s="604">
        <v>9</v>
      </c>
      <c r="N1105" s="604">
        <v>2102</v>
      </c>
      <c r="O1105" s="604">
        <v>4.3</v>
      </c>
      <c r="P1105" s="604" t="s">
        <v>47</v>
      </c>
      <c r="Q1105" s="499"/>
      <c r="R1105" s="696" t="str">
        <f t="shared" si="134"/>
        <v>2004birthsTotal</v>
      </c>
      <c r="S1105" s="604">
        <v>2004</v>
      </c>
      <c r="T1105" s="604" t="s">
        <v>445</v>
      </c>
      <c r="V1105" s="604" t="s">
        <v>44</v>
      </c>
      <c r="W1105" s="604">
        <v>58723</v>
      </c>
      <c r="Y1105" s="535" t="str">
        <f t="shared" si="135"/>
        <v>2016gestbwt32-362500-4499infant</v>
      </c>
      <c r="Z1105" s="604">
        <v>2016</v>
      </c>
      <c r="AA1105" s="604" t="s">
        <v>450</v>
      </c>
      <c r="AB1105" s="604" t="s">
        <v>447</v>
      </c>
      <c r="AC1105" s="604" t="s">
        <v>136</v>
      </c>
      <c r="AD1105" s="604" t="s">
        <v>431</v>
      </c>
      <c r="AE1105" s="604">
        <v>10</v>
      </c>
      <c r="AF1105" s="604">
        <v>2005</v>
      </c>
      <c r="AG1105" s="604">
        <v>5</v>
      </c>
      <c r="AH1105" s="604" t="s">
        <v>437</v>
      </c>
      <c r="AR1105" s="538" t="str">
        <f t="shared" si="132"/>
        <v>&lt;20ageinfantLakes</v>
      </c>
      <c r="AS1105" s="604">
        <v>2016</v>
      </c>
      <c r="AT1105" s="604" t="s">
        <v>339</v>
      </c>
      <c r="AU1105" s="604" t="s">
        <v>453</v>
      </c>
      <c r="AV1105" s="604" t="s">
        <v>90</v>
      </c>
      <c r="AW1105" s="604">
        <v>0</v>
      </c>
      <c r="AX1105" s="604">
        <v>101</v>
      </c>
      <c r="AY1105" s="606">
        <v>0</v>
      </c>
      <c r="AZ1105" s="604" t="s">
        <v>437</v>
      </c>
      <c r="BY1105" s="553" t="str">
        <f t="shared" si="136"/>
        <v>20071000-1499bwtSUDI</v>
      </c>
      <c r="BZ1105" s="604">
        <v>2007</v>
      </c>
      <c r="CA1105" s="604" t="s">
        <v>429</v>
      </c>
      <c r="CB1105" s="604" t="s">
        <v>447</v>
      </c>
      <c r="CC1105" s="604">
        <v>3</v>
      </c>
      <c r="CD1105" s="604" t="s">
        <v>33</v>
      </c>
    </row>
    <row r="1106" spans="9:82">
      <c r="I1106" s="578" t="str">
        <f t="shared" si="133"/>
        <v>2014dhbWhanganuiFetal</v>
      </c>
      <c r="J1106" s="604">
        <v>2014</v>
      </c>
      <c r="K1106" s="604" t="s">
        <v>448</v>
      </c>
      <c r="L1106" s="604" t="s">
        <v>95</v>
      </c>
      <c r="M1106" s="604">
        <v>3</v>
      </c>
      <c r="N1106" s="604">
        <v>803</v>
      </c>
      <c r="O1106" s="604">
        <v>3.7</v>
      </c>
      <c r="P1106" s="604" t="s">
        <v>47</v>
      </c>
      <c r="Q1106" s="499"/>
      <c r="R1106" s="696" t="str">
        <f t="shared" si="134"/>
        <v>2005birthsTotal</v>
      </c>
      <c r="S1106" s="604">
        <v>2005</v>
      </c>
      <c r="T1106" s="604" t="s">
        <v>445</v>
      </c>
      <c r="V1106" s="604" t="s">
        <v>44</v>
      </c>
      <c r="W1106" s="604">
        <v>58727</v>
      </c>
      <c r="Y1106" s="535" t="str">
        <f t="shared" si="135"/>
        <v>2016gestbwt37-412500-4499infant</v>
      </c>
      <c r="Z1106" s="604">
        <v>2016</v>
      </c>
      <c r="AA1106" s="604" t="s">
        <v>450</v>
      </c>
      <c r="AB1106" s="604" t="s">
        <v>447</v>
      </c>
      <c r="AC1106" s="604" t="s">
        <v>137</v>
      </c>
      <c r="AD1106" s="604" t="s">
        <v>431</v>
      </c>
      <c r="AE1106" s="604">
        <v>80</v>
      </c>
      <c r="AF1106" s="604">
        <v>52424</v>
      </c>
      <c r="AG1106" s="604">
        <v>1.5</v>
      </c>
      <c r="AH1106" s="604" t="s">
        <v>437</v>
      </c>
      <c r="AR1106" s="538" t="str">
        <f t="shared" si="132"/>
        <v>20-24ageinfantLakes</v>
      </c>
      <c r="AS1106" s="604">
        <v>2016</v>
      </c>
      <c r="AT1106" s="604" t="s">
        <v>130</v>
      </c>
      <c r="AU1106" s="604" t="s">
        <v>453</v>
      </c>
      <c r="AV1106" s="604" t="s">
        <v>90</v>
      </c>
      <c r="AW1106" s="604">
        <v>0</v>
      </c>
      <c r="AX1106" s="604">
        <v>358</v>
      </c>
      <c r="AY1106" s="606">
        <v>0</v>
      </c>
      <c r="AZ1106" s="604" t="s">
        <v>437</v>
      </c>
      <c r="BY1106" s="553" t="str">
        <f t="shared" si="136"/>
        <v>20071500-2499bwtSUDI</v>
      </c>
      <c r="BZ1106" s="604">
        <v>2007</v>
      </c>
      <c r="CA1106" s="604" t="s">
        <v>430</v>
      </c>
      <c r="CB1106" s="604" t="s">
        <v>447</v>
      </c>
      <c r="CC1106" s="604">
        <v>6</v>
      </c>
      <c r="CD1106" s="604" t="s">
        <v>33</v>
      </c>
    </row>
    <row r="1107" spans="9:82">
      <c r="I1107" s="578" t="str">
        <f t="shared" si="133"/>
        <v>2014dhbCapital &amp; CoastFetal</v>
      </c>
      <c r="J1107" s="604">
        <v>2014</v>
      </c>
      <c r="K1107" s="604" t="s">
        <v>448</v>
      </c>
      <c r="L1107" s="604" t="s">
        <v>96</v>
      </c>
      <c r="M1107" s="604">
        <v>16</v>
      </c>
      <c r="N1107" s="604">
        <v>3575</v>
      </c>
      <c r="O1107" s="604">
        <v>4.5</v>
      </c>
      <c r="P1107" s="604" t="s">
        <v>47</v>
      </c>
      <c r="Q1107" s="499"/>
      <c r="R1107" s="696" t="str">
        <f t="shared" si="134"/>
        <v>2006birthsTotal</v>
      </c>
      <c r="S1107" s="604">
        <v>2006</v>
      </c>
      <c r="T1107" s="604" t="s">
        <v>445</v>
      </c>
      <c r="V1107" s="604" t="s">
        <v>44</v>
      </c>
      <c r="W1107" s="604">
        <v>60274</v>
      </c>
      <c r="Y1107" s="535" t="str">
        <f t="shared" si="135"/>
        <v>2016gestbwt42+2500-4499infant</v>
      </c>
      <c r="Z1107" s="604">
        <v>2016</v>
      </c>
      <c r="AA1107" s="604" t="s">
        <v>450</v>
      </c>
      <c r="AB1107" s="604" t="s">
        <v>447</v>
      </c>
      <c r="AC1107" s="604" t="s">
        <v>138</v>
      </c>
      <c r="AD1107" s="604" t="s">
        <v>431</v>
      </c>
      <c r="AE1107" s="604">
        <v>3</v>
      </c>
      <c r="AF1107" s="604">
        <v>944</v>
      </c>
      <c r="AG1107" s="604">
        <v>3.2</v>
      </c>
      <c r="AH1107" s="604" t="s">
        <v>437</v>
      </c>
      <c r="AR1107" s="538" t="str">
        <f t="shared" si="132"/>
        <v>25-29ageinfantLakes</v>
      </c>
      <c r="AS1107" s="604">
        <v>2016</v>
      </c>
      <c r="AT1107" s="604" t="s">
        <v>131</v>
      </c>
      <c r="AU1107" s="604" t="s">
        <v>453</v>
      </c>
      <c r="AV1107" s="604" t="s">
        <v>90</v>
      </c>
      <c r="AW1107" s="604">
        <v>0</v>
      </c>
      <c r="AX1107" s="604">
        <v>491</v>
      </c>
      <c r="AY1107" s="606">
        <v>0</v>
      </c>
      <c r="AZ1107" s="604" t="s">
        <v>437</v>
      </c>
      <c r="BY1107" s="553" t="str">
        <f t="shared" si="136"/>
        <v>20072500-4499bwtSUDI</v>
      </c>
      <c r="BZ1107" s="604">
        <v>2007</v>
      </c>
      <c r="CA1107" s="604" t="s">
        <v>431</v>
      </c>
      <c r="CB1107" s="604" t="s">
        <v>447</v>
      </c>
      <c r="CC1107" s="604">
        <v>53</v>
      </c>
      <c r="CD1107" s="604" t="s">
        <v>33</v>
      </c>
    </row>
    <row r="1108" spans="9:82">
      <c r="I1108" s="578" t="str">
        <f t="shared" si="133"/>
        <v>2014dhbHutt ValleyFetal</v>
      </c>
      <c r="J1108" s="604">
        <v>2014</v>
      </c>
      <c r="K1108" s="604" t="s">
        <v>448</v>
      </c>
      <c r="L1108" s="604" t="s">
        <v>97</v>
      </c>
      <c r="M1108" s="604">
        <v>16</v>
      </c>
      <c r="N1108" s="604">
        <v>1830</v>
      </c>
      <c r="O1108" s="604">
        <v>8.6999999999999993</v>
      </c>
      <c r="P1108" s="604" t="s">
        <v>47</v>
      </c>
      <c r="Q1108" s="499"/>
      <c r="R1108" s="696" t="str">
        <f t="shared" si="134"/>
        <v>2007birthsTotal</v>
      </c>
      <c r="S1108" s="604">
        <v>2007</v>
      </c>
      <c r="T1108" s="604" t="s">
        <v>445</v>
      </c>
      <c r="V1108" s="604" t="s">
        <v>44</v>
      </c>
      <c r="W1108" s="604">
        <v>65121</v>
      </c>
      <c r="Y1108" s="535" t="str">
        <f t="shared" si="135"/>
        <v>2016gestbwtUnknown2500-4499infant</v>
      </c>
      <c r="Z1108" s="604">
        <v>2016</v>
      </c>
      <c r="AA1108" s="604" t="s">
        <v>450</v>
      </c>
      <c r="AB1108" s="604" t="s">
        <v>447</v>
      </c>
      <c r="AC1108" s="604" t="s">
        <v>63</v>
      </c>
      <c r="AD1108" s="604" t="s">
        <v>431</v>
      </c>
      <c r="AE1108" s="604">
        <v>2</v>
      </c>
      <c r="AF1108" s="604">
        <v>17</v>
      </c>
      <c r="AG1108" s="604" t="s">
        <v>119</v>
      </c>
      <c r="AH1108" s="604" t="s">
        <v>437</v>
      </c>
      <c r="AR1108" s="538" t="str">
        <f t="shared" si="132"/>
        <v>30-34ageinfantLakes</v>
      </c>
      <c r="AS1108" s="604">
        <v>2016</v>
      </c>
      <c r="AT1108" s="604" t="s">
        <v>132</v>
      </c>
      <c r="AU1108" s="604" t="s">
        <v>453</v>
      </c>
      <c r="AV1108" s="604" t="s">
        <v>90</v>
      </c>
      <c r="AW1108" s="604">
        <v>0</v>
      </c>
      <c r="AX1108" s="604">
        <v>372</v>
      </c>
      <c r="AY1108" s="606">
        <v>0</v>
      </c>
      <c r="AZ1108" s="604" t="s">
        <v>437</v>
      </c>
      <c r="BY1108" s="553" t="str">
        <f t="shared" si="136"/>
        <v>20074500+bwtSUDI</v>
      </c>
      <c r="BZ1108" s="604">
        <v>2007</v>
      </c>
      <c r="CA1108" s="604" t="s">
        <v>432</v>
      </c>
      <c r="CB1108" s="604" t="s">
        <v>447</v>
      </c>
      <c r="CC1108" s="604">
        <v>0</v>
      </c>
      <c r="CD1108" s="604" t="s">
        <v>33</v>
      </c>
    </row>
    <row r="1109" spans="9:82">
      <c r="I1109" s="578" t="str">
        <f t="shared" si="133"/>
        <v>2014dhbWairarapaFetal</v>
      </c>
      <c r="J1109" s="604">
        <v>2014</v>
      </c>
      <c r="K1109" s="604" t="s">
        <v>448</v>
      </c>
      <c r="L1109" s="604" t="s">
        <v>98</v>
      </c>
      <c r="M1109" s="604">
        <v>1</v>
      </c>
      <c r="N1109" s="604">
        <v>494</v>
      </c>
      <c r="O1109" s="604">
        <v>2</v>
      </c>
      <c r="P1109" s="604" t="s">
        <v>47</v>
      </c>
      <c r="Q1109" s="499"/>
      <c r="R1109" s="696" t="str">
        <f t="shared" si="134"/>
        <v>2008birthsTotal</v>
      </c>
      <c r="S1109" s="604">
        <v>2008</v>
      </c>
      <c r="T1109" s="604" t="s">
        <v>445</v>
      </c>
      <c r="V1109" s="604" t="s">
        <v>44</v>
      </c>
      <c r="W1109" s="604">
        <v>65333</v>
      </c>
      <c r="Y1109" s="535" t="str">
        <f t="shared" si="135"/>
        <v>2016gestbwt32-364500+infant</v>
      </c>
      <c r="Z1109" s="604">
        <v>2016</v>
      </c>
      <c r="AA1109" s="604" t="s">
        <v>450</v>
      </c>
      <c r="AB1109" s="604" t="s">
        <v>447</v>
      </c>
      <c r="AC1109" s="604" t="s">
        <v>136</v>
      </c>
      <c r="AD1109" s="604" t="s">
        <v>432</v>
      </c>
      <c r="AE1109" s="604">
        <v>0</v>
      </c>
      <c r="AF1109" s="604">
        <v>6</v>
      </c>
      <c r="AG1109" s="604">
        <v>0</v>
      </c>
      <c r="AH1109" s="604" t="s">
        <v>437</v>
      </c>
      <c r="AR1109" s="538" t="str">
        <f t="shared" si="132"/>
        <v>35-39ageinfantLakes</v>
      </c>
      <c r="AS1109" s="604">
        <v>2016</v>
      </c>
      <c r="AT1109" s="604" t="s">
        <v>133</v>
      </c>
      <c r="AU1109" s="604" t="s">
        <v>453</v>
      </c>
      <c r="AV1109" s="604" t="s">
        <v>90</v>
      </c>
      <c r="AW1109" s="604">
        <v>0</v>
      </c>
      <c r="AX1109" s="604">
        <v>196</v>
      </c>
      <c r="AY1109" s="606">
        <v>0</v>
      </c>
      <c r="AZ1109" s="604" t="s">
        <v>437</v>
      </c>
      <c r="BY1109" s="553" t="str">
        <f t="shared" si="136"/>
        <v>2007UnknownbwtSUDI</v>
      </c>
      <c r="BZ1109" s="604">
        <v>2007</v>
      </c>
      <c r="CA1109" s="604" t="s">
        <v>63</v>
      </c>
      <c r="CB1109" s="604" t="s">
        <v>447</v>
      </c>
      <c r="CC1109" s="604">
        <v>2</v>
      </c>
      <c r="CD1109" s="604" t="s">
        <v>33</v>
      </c>
    </row>
    <row r="1110" spans="9:82">
      <c r="I1110" s="578" t="str">
        <f t="shared" si="133"/>
        <v>2014dhbNelson MarlboroughFetal</v>
      </c>
      <c r="J1110" s="604">
        <v>2014</v>
      </c>
      <c r="K1110" s="604" t="s">
        <v>448</v>
      </c>
      <c r="L1110" s="604" t="s">
        <v>99</v>
      </c>
      <c r="M1110" s="604">
        <v>13</v>
      </c>
      <c r="N1110" s="604">
        <v>1462</v>
      </c>
      <c r="O1110" s="604">
        <v>8.9</v>
      </c>
      <c r="P1110" s="604" t="s">
        <v>47</v>
      </c>
      <c r="Q1110" s="499"/>
      <c r="R1110" s="696" t="str">
        <f t="shared" si="134"/>
        <v>2009birthsTotal</v>
      </c>
      <c r="S1110" s="604">
        <v>2009</v>
      </c>
      <c r="T1110" s="604" t="s">
        <v>445</v>
      </c>
      <c r="V1110" s="604" t="s">
        <v>44</v>
      </c>
      <c r="W1110" s="604">
        <v>63285</v>
      </c>
      <c r="Y1110" s="535" t="str">
        <f t="shared" si="135"/>
        <v>2016gestbwt37-414500+infant</v>
      </c>
      <c r="Z1110" s="604">
        <v>2016</v>
      </c>
      <c r="AA1110" s="604" t="s">
        <v>450</v>
      </c>
      <c r="AB1110" s="604" t="s">
        <v>447</v>
      </c>
      <c r="AC1110" s="604" t="s">
        <v>137</v>
      </c>
      <c r="AD1110" s="604" t="s">
        <v>432</v>
      </c>
      <c r="AE1110" s="604">
        <v>0</v>
      </c>
      <c r="AF1110" s="604">
        <v>1348</v>
      </c>
      <c r="AG1110" s="604">
        <v>0</v>
      </c>
      <c r="AH1110" s="604" t="s">
        <v>437</v>
      </c>
      <c r="AR1110" s="538" t="str">
        <f t="shared" si="132"/>
        <v>40+ageinfantLakes</v>
      </c>
      <c r="AS1110" s="604">
        <v>2016</v>
      </c>
      <c r="AT1110" s="604" t="s">
        <v>134</v>
      </c>
      <c r="AU1110" s="604" t="s">
        <v>453</v>
      </c>
      <c r="AV1110" s="604" t="s">
        <v>90</v>
      </c>
      <c r="AW1110" s="604">
        <v>0</v>
      </c>
      <c r="AX1110" s="604">
        <v>51</v>
      </c>
      <c r="AY1110" s="606">
        <v>0</v>
      </c>
      <c r="AZ1110" s="604" t="s">
        <v>437</v>
      </c>
      <c r="BY1110" s="553" t="str">
        <f t="shared" si="136"/>
        <v>2008&lt;500bwtSUDI</v>
      </c>
      <c r="BZ1110" s="604">
        <v>2008</v>
      </c>
      <c r="CA1110" s="604" t="s">
        <v>427</v>
      </c>
      <c r="CB1110" s="604" t="s">
        <v>447</v>
      </c>
      <c r="CC1110" s="604">
        <v>0</v>
      </c>
      <c r="CD1110" s="604" t="s">
        <v>33</v>
      </c>
    </row>
    <row r="1111" spans="9:82">
      <c r="I1111" s="578" t="str">
        <f t="shared" si="133"/>
        <v>2014dhbWest CoastFetal</v>
      </c>
      <c r="J1111" s="604">
        <v>2014</v>
      </c>
      <c r="K1111" s="604" t="s">
        <v>448</v>
      </c>
      <c r="L1111" s="604" t="s">
        <v>100</v>
      </c>
      <c r="M1111" s="604">
        <v>1</v>
      </c>
      <c r="N1111" s="604">
        <v>382</v>
      </c>
      <c r="O1111" s="604">
        <v>2.6</v>
      </c>
      <c r="P1111" s="604" t="s">
        <v>47</v>
      </c>
      <c r="Q1111" s="499"/>
      <c r="R1111" s="696" t="str">
        <f t="shared" si="134"/>
        <v>2010birthsTotal</v>
      </c>
      <c r="S1111" s="604">
        <v>2010</v>
      </c>
      <c r="T1111" s="604" t="s">
        <v>445</v>
      </c>
      <c r="V1111" s="604" t="s">
        <v>44</v>
      </c>
      <c r="W1111" s="604">
        <v>64699</v>
      </c>
      <c r="Y1111" s="535" t="str">
        <f t="shared" si="135"/>
        <v>2016gestbwt42+4500+infant</v>
      </c>
      <c r="Z1111" s="604">
        <v>2016</v>
      </c>
      <c r="AA1111" s="604" t="s">
        <v>450</v>
      </c>
      <c r="AB1111" s="604" t="s">
        <v>447</v>
      </c>
      <c r="AC1111" s="604" t="s">
        <v>138</v>
      </c>
      <c r="AD1111" s="604" t="s">
        <v>432</v>
      </c>
      <c r="AE1111" s="604">
        <v>0</v>
      </c>
      <c r="AF1111" s="604">
        <v>69</v>
      </c>
      <c r="AG1111" s="604">
        <v>0</v>
      </c>
      <c r="AH1111" s="604" t="s">
        <v>437</v>
      </c>
      <c r="AR1111" s="538" t="str">
        <f t="shared" si="132"/>
        <v>&lt;20ageinfantTairawhiti</v>
      </c>
      <c r="AS1111" s="604">
        <v>2016</v>
      </c>
      <c r="AT1111" s="604" t="s">
        <v>339</v>
      </c>
      <c r="AU1111" s="604" t="s">
        <v>453</v>
      </c>
      <c r="AV1111" s="604" t="s">
        <v>433</v>
      </c>
      <c r="AW1111" s="604">
        <v>0</v>
      </c>
      <c r="AX1111" s="604">
        <v>77</v>
      </c>
      <c r="AY1111" s="606">
        <v>0</v>
      </c>
      <c r="AZ1111" s="604" t="s">
        <v>437</v>
      </c>
      <c r="BY1111" s="553" t="str">
        <f t="shared" si="136"/>
        <v>2008500-999bwtSUDI</v>
      </c>
      <c r="BZ1111" s="604">
        <v>2008</v>
      </c>
      <c r="CA1111" s="604" t="s">
        <v>428</v>
      </c>
      <c r="CB1111" s="604" t="s">
        <v>447</v>
      </c>
      <c r="CC1111" s="604">
        <v>0</v>
      </c>
      <c r="CD1111" s="604" t="s">
        <v>33</v>
      </c>
    </row>
    <row r="1112" spans="9:82">
      <c r="I1112" s="578" t="str">
        <f t="shared" si="133"/>
        <v>2014dhbCanterburyFetal</v>
      </c>
      <c r="J1112" s="604">
        <v>2014</v>
      </c>
      <c r="K1112" s="604" t="s">
        <v>448</v>
      </c>
      <c r="L1112" s="604" t="s">
        <v>101</v>
      </c>
      <c r="M1112" s="604">
        <v>55</v>
      </c>
      <c r="N1112" s="604">
        <v>6048</v>
      </c>
      <c r="O1112" s="604">
        <v>9.1</v>
      </c>
      <c r="P1112" s="604" t="s">
        <v>47</v>
      </c>
      <c r="Q1112" s="499"/>
      <c r="R1112" s="696" t="str">
        <f t="shared" si="134"/>
        <v>2011birthsTotal</v>
      </c>
      <c r="S1112" s="604">
        <v>2011</v>
      </c>
      <c r="T1112" s="604" t="s">
        <v>445</v>
      </c>
      <c r="V1112" s="604" t="s">
        <v>44</v>
      </c>
      <c r="W1112" s="604">
        <v>62174</v>
      </c>
      <c r="Y1112" s="535" t="str">
        <f t="shared" si="135"/>
        <v>2016gestbwt&lt;28Unknowninfant</v>
      </c>
      <c r="Z1112" s="604">
        <v>2016</v>
      </c>
      <c r="AA1112" s="604" t="s">
        <v>450</v>
      </c>
      <c r="AB1112" s="604" t="s">
        <v>447</v>
      </c>
      <c r="AC1112" s="604" t="s">
        <v>375</v>
      </c>
      <c r="AD1112" s="604" t="s">
        <v>63</v>
      </c>
      <c r="AE1112" s="604">
        <v>1</v>
      </c>
      <c r="AF1112" s="604">
        <v>1</v>
      </c>
      <c r="AG1112" s="604" t="s">
        <v>119</v>
      </c>
      <c r="AH1112" s="604" t="s">
        <v>437</v>
      </c>
      <c r="AR1112" s="538" t="str">
        <f t="shared" si="132"/>
        <v>30-34ageinfantTairawhiti</v>
      </c>
      <c r="AS1112" s="604">
        <v>2016</v>
      </c>
      <c r="AT1112" s="604" t="s">
        <v>132</v>
      </c>
      <c r="AU1112" s="604" t="s">
        <v>453</v>
      </c>
      <c r="AV1112" s="604" t="s">
        <v>433</v>
      </c>
      <c r="AW1112" s="604">
        <v>0</v>
      </c>
      <c r="AX1112" s="604">
        <v>170</v>
      </c>
      <c r="AY1112" s="606">
        <v>0</v>
      </c>
      <c r="AZ1112" s="604" t="s">
        <v>437</v>
      </c>
      <c r="BY1112" s="553" t="str">
        <f t="shared" si="136"/>
        <v>20081000-1499bwtSUDI</v>
      </c>
      <c r="BZ1112" s="604">
        <v>2008</v>
      </c>
      <c r="CA1112" s="604" t="s">
        <v>429</v>
      </c>
      <c r="CB1112" s="604" t="s">
        <v>447</v>
      </c>
      <c r="CC1112" s="604">
        <v>1</v>
      </c>
      <c r="CD1112" s="604" t="s">
        <v>33</v>
      </c>
    </row>
    <row r="1113" spans="9:82">
      <c r="I1113" s="578" t="str">
        <f t="shared" si="133"/>
        <v>2014dhbSouth CanterburyFetal</v>
      </c>
      <c r="J1113" s="604">
        <v>2014</v>
      </c>
      <c r="K1113" s="604" t="s">
        <v>448</v>
      </c>
      <c r="L1113" s="604" t="s">
        <v>102</v>
      </c>
      <c r="M1113" s="604">
        <v>4</v>
      </c>
      <c r="N1113" s="604">
        <v>628</v>
      </c>
      <c r="O1113" s="604">
        <v>6.4</v>
      </c>
      <c r="P1113" s="604" t="s">
        <v>47</v>
      </c>
      <c r="Q1113" s="499"/>
      <c r="R1113" s="696" t="str">
        <f t="shared" si="134"/>
        <v>2012birthsTotal</v>
      </c>
      <c r="S1113" s="604">
        <v>2012</v>
      </c>
      <c r="T1113" s="604" t="s">
        <v>445</v>
      </c>
      <c r="V1113" s="604" t="s">
        <v>44</v>
      </c>
      <c r="W1113" s="604">
        <v>62035</v>
      </c>
      <c r="Y1113" s="535" t="str">
        <f t="shared" si="135"/>
        <v>2016gestbwt32-36Unknowninfant</v>
      </c>
      <c r="Z1113" s="604">
        <v>2016</v>
      </c>
      <c r="AA1113" s="604" t="s">
        <v>450</v>
      </c>
      <c r="AB1113" s="604" t="s">
        <v>447</v>
      </c>
      <c r="AC1113" s="604" t="s">
        <v>136</v>
      </c>
      <c r="AD1113" s="604" t="s">
        <v>63</v>
      </c>
      <c r="AE1113" s="604">
        <v>0</v>
      </c>
      <c r="AF1113" s="604">
        <v>1</v>
      </c>
      <c r="AG1113" s="604" t="s">
        <v>119</v>
      </c>
      <c r="AH1113" s="604" t="s">
        <v>437</v>
      </c>
      <c r="AR1113" s="538" t="str">
        <f t="shared" si="132"/>
        <v>35-39ageinfantTairawhiti</v>
      </c>
      <c r="AS1113" s="604">
        <v>2016</v>
      </c>
      <c r="AT1113" s="604" t="s">
        <v>133</v>
      </c>
      <c r="AU1113" s="604" t="s">
        <v>453</v>
      </c>
      <c r="AV1113" s="604" t="s">
        <v>433</v>
      </c>
      <c r="AW1113" s="604">
        <v>0</v>
      </c>
      <c r="AX1113" s="604">
        <v>93</v>
      </c>
      <c r="AY1113" s="606">
        <v>0</v>
      </c>
      <c r="AZ1113" s="604" t="s">
        <v>437</v>
      </c>
      <c r="BY1113" s="553" t="str">
        <f t="shared" si="136"/>
        <v>20081500-2499bwtSUDI</v>
      </c>
      <c r="BZ1113" s="604">
        <v>2008</v>
      </c>
      <c r="CA1113" s="604" t="s">
        <v>430</v>
      </c>
      <c r="CB1113" s="604" t="s">
        <v>447</v>
      </c>
      <c r="CC1113" s="604">
        <v>8</v>
      </c>
      <c r="CD1113" s="604" t="s">
        <v>33</v>
      </c>
    </row>
    <row r="1114" spans="9:82">
      <c r="I1114" s="578" t="str">
        <f t="shared" si="133"/>
        <v>2014dhbSouthernFetal</v>
      </c>
      <c r="J1114" s="604">
        <v>2014</v>
      </c>
      <c r="K1114" s="604" t="s">
        <v>448</v>
      </c>
      <c r="L1114" s="604" t="s">
        <v>103</v>
      </c>
      <c r="M1114" s="604">
        <v>26</v>
      </c>
      <c r="N1114" s="604">
        <v>3295</v>
      </c>
      <c r="O1114" s="604">
        <v>7.9</v>
      </c>
      <c r="P1114" s="604" t="s">
        <v>47</v>
      </c>
      <c r="Q1114" s="499"/>
      <c r="R1114" s="696" t="str">
        <f t="shared" si="134"/>
        <v>2013birthsTotal</v>
      </c>
      <c r="S1114" s="604">
        <v>2013</v>
      </c>
      <c r="T1114" s="604" t="s">
        <v>445</v>
      </c>
      <c r="V1114" s="604" t="s">
        <v>44</v>
      </c>
      <c r="W1114" s="604">
        <v>59701</v>
      </c>
      <c r="Y1114" s="535" t="str">
        <f t="shared" si="135"/>
        <v>2016gestbwt37-41Unknowninfant</v>
      </c>
      <c r="Z1114" s="604">
        <v>2016</v>
      </c>
      <c r="AA1114" s="604" t="s">
        <v>450</v>
      </c>
      <c r="AB1114" s="604" t="s">
        <v>447</v>
      </c>
      <c r="AC1114" s="604" t="s">
        <v>137</v>
      </c>
      <c r="AD1114" s="604" t="s">
        <v>63</v>
      </c>
      <c r="AE1114" s="604">
        <v>0</v>
      </c>
      <c r="AF1114" s="604">
        <v>21</v>
      </c>
      <c r="AG1114" s="604" t="s">
        <v>119</v>
      </c>
      <c r="AH1114" s="604" t="s">
        <v>437</v>
      </c>
      <c r="AR1114" s="538" t="str">
        <f t="shared" si="132"/>
        <v>40+ageinfantTairawhiti</v>
      </c>
      <c r="AS1114" s="604">
        <v>2016</v>
      </c>
      <c r="AT1114" s="604" t="s">
        <v>134</v>
      </c>
      <c r="AU1114" s="604" t="s">
        <v>453</v>
      </c>
      <c r="AV1114" s="604" t="s">
        <v>433</v>
      </c>
      <c r="AW1114" s="604">
        <v>0</v>
      </c>
      <c r="AX1114" s="604">
        <v>20</v>
      </c>
      <c r="AY1114" s="606">
        <v>0</v>
      </c>
      <c r="AZ1114" s="604" t="s">
        <v>437</v>
      </c>
      <c r="BY1114" s="553" t="str">
        <f t="shared" si="136"/>
        <v>20082500-4499bwtSUDI</v>
      </c>
      <c r="BZ1114" s="604">
        <v>2008</v>
      </c>
      <c r="CA1114" s="604" t="s">
        <v>431</v>
      </c>
      <c r="CB1114" s="604" t="s">
        <v>447</v>
      </c>
      <c r="CC1114" s="604">
        <v>55</v>
      </c>
      <c r="CD1114" s="604" t="s">
        <v>33</v>
      </c>
    </row>
    <row r="1115" spans="9:82">
      <c r="I1115" s="578" t="str">
        <f t="shared" si="133"/>
        <v>2014dhbUnknownFetal</v>
      </c>
      <c r="J1115" s="604">
        <v>2014</v>
      </c>
      <c r="K1115" s="604" t="s">
        <v>448</v>
      </c>
      <c r="L1115" s="604" t="s">
        <v>63</v>
      </c>
      <c r="M1115" s="604">
        <v>3</v>
      </c>
      <c r="N1115" s="604">
        <v>215</v>
      </c>
      <c r="O1115" s="604" t="s">
        <v>119</v>
      </c>
      <c r="P1115" s="604" t="s">
        <v>47</v>
      </c>
      <c r="Q1115" s="499"/>
      <c r="R1115" s="696" t="str">
        <f t="shared" si="134"/>
        <v>2014birthsTotal</v>
      </c>
      <c r="S1115" s="604">
        <v>2014</v>
      </c>
      <c r="T1115" s="604" t="s">
        <v>445</v>
      </c>
      <c r="V1115" s="604" t="s">
        <v>44</v>
      </c>
      <c r="W1115" s="604">
        <v>58285</v>
      </c>
      <c r="Y1115" s="535" t="str">
        <f t="shared" si="135"/>
        <v>2016gestbwt42+Unknowninfant</v>
      </c>
      <c r="Z1115" s="604">
        <v>2016</v>
      </c>
      <c r="AA1115" s="604" t="s">
        <v>450</v>
      </c>
      <c r="AB1115" s="604" t="s">
        <v>447</v>
      </c>
      <c r="AC1115" s="604" t="s">
        <v>138</v>
      </c>
      <c r="AD1115" s="604" t="s">
        <v>63</v>
      </c>
      <c r="AE1115" s="604">
        <v>0</v>
      </c>
      <c r="AF1115" s="604">
        <v>1</v>
      </c>
      <c r="AG1115" s="604" t="s">
        <v>119</v>
      </c>
      <c r="AH1115" s="604" t="s">
        <v>437</v>
      </c>
      <c r="AR1115" s="538" t="str">
        <f t="shared" si="132"/>
        <v>35-39ageinfantHawke's Bay</v>
      </c>
      <c r="AS1115" s="604">
        <v>2016</v>
      </c>
      <c r="AT1115" s="604" t="s">
        <v>133</v>
      </c>
      <c r="AU1115" s="604" t="s">
        <v>453</v>
      </c>
      <c r="AV1115" s="604" t="s">
        <v>92</v>
      </c>
      <c r="AW1115" s="604">
        <v>0</v>
      </c>
      <c r="AX1115" s="604">
        <v>274</v>
      </c>
      <c r="AY1115" s="606">
        <v>0</v>
      </c>
      <c r="AZ1115" s="604" t="s">
        <v>437</v>
      </c>
      <c r="BY1115" s="553" t="str">
        <f t="shared" si="136"/>
        <v>20084500+bwtSUDI</v>
      </c>
      <c r="BZ1115" s="604">
        <v>2008</v>
      </c>
      <c r="CA1115" s="604" t="s">
        <v>432</v>
      </c>
      <c r="CB1115" s="604" t="s">
        <v>447</v>
      </c>
      <c r="CC1115" s="604">
        <v>0</v>
      </c>
      <c r="CD1115" s="604" t="s">
        <v>33</v>
      </c>
    </row>
    <row r="1116" spans="9:82">
      <c r="I1116" s="578" t="str">
        <f t="shared" si="133"/>
        <v>2015dhbNorthlandFetal</v>
      </c>
      <c r="J1116" s="604">
        <v>2015</v>
      </c>
      <c r="K1116" s="604" t="s">
        <v>448</v>
      </c>
      <c r="L1116" s="604" t="s">
        <v>85</v>
      </c>
      <c r="M1116" s="604">
        <v>14</v>
      </c>
      <c r="N1116" s="604">
        <v>2301</v>
      </c>
      <c r="O1116" s="604">
        <v>6.1</v>
      </c>
      <c r="P1116" s="604" t="s">
        <v>47</v>
      </c>
      <c r="Q1116" s="499"/>
      <c r="R1116" s="696" t="str">
        <f t="shared" si="134"/>
        <v>2015birthsTotal</v>
      </c>
      <c r="S1116" s="604">
        <v>2015</v>
      </c>
      <c r="T1116" s="604" t="s">
        <v>445</v>
      </c>
      <c r="V1116" s="604" t="s">
        <v>44</v>
      </c>
      <c r="W1116" s="604">
        <v>62122</v>
      </c>
      <c r="Y1116" s="535" t="str">
        <f t="shared" si="135"/>
        <v>2016gestbwtUnknownUnknowninfant</v>
      </c>
      <c r="Z1116" s="604">
        <v>2016</v>
      </c>
      <c r="AA1116" s="604" t="s">
        <v>450</v>
      </c>
      <c r="AB1116" s="604" t="s">
        <v>447</v>
      </c>
      <c r="AC1116" s="604" t="s">
        <v>63</v>
      </c>
      <c r="AD1116" s="604" t="s">
        <v>63</v>
      </c>
      <c r="AE1116" s="604">
        <v>8</v>
      </c>
      <c r="AF1116" s="604">
        <v>11</v>
      </c>
      <c r="AG1116" s="604" t="s">
        <v>119</v>
      </c>
      <c r="AH1116" s="604" t="s">
        <v>437</v>
      </c>
      <c r="AR1116" s="538" t="str">
        <f t="shared" ref="AR1116:AR1179" si="137">AT1116&amp;AU1116&amp;AZ1116&amp;AV1116</f>
        <v>40+ageinfantHawke's Bay</v>
      </c>
      <c r="AS1116" s="604">
        <v>2016</v>
      </c>
      <c r="AT1116" s="604" t="s">
        <v>134</v>
      </c>
      <c r="AU1116" s="604" t="s">
        <v>453</v>
      </c>
      <c r="AV1116" s="604" t="s">
        <v>92</v>
      </c>
      <c r="AW1116" s="604">
        <v>0</v>
      </c>
      <c r="AX1116" s="604">
        <v>52</v>
      </c>
      <c r="AY1116" s="606">
        <v>0</v>
      </c>
      <c r="AZ1116" s="604" t="s">
        <v>437</v>
      </c>
      <c r="BY1116" s="553" t="str">
        <f t="shared" si="136"/>
        <v>2008UnknownbwtSUDI</v>
      </c>
      <c r="BZ1116" s="604">
        <v>2008</v>
      </c>
      <c r="CA1116" s="604" t="s">
        <v>63</v>
      </c>
      <c r="CB1116" s="604" t="s">
        <v>447</v>
      </c>
      <c r="CC1116" s="604">
        <v>2</v>
      </c>
      <c r="CD1116" s="604" t="s">
        <v>33</v>
      </c>
    </row>
    <row r="1117" spans="9:82">
      <c r="I1117" s="578" t="str">
        <f t="shared" si="133"/>
        <v>2015dhbWaitemataFetal</v>
      </c>
      <c r="J1117" s="604">
        <v>2015</v>
      </c>
      <c r="K1117" s="604" t="s">
        <v>448</v>
      </c>
      <c r="L1117" s="604" t="s">
        <v>86</v>
      </c>
      <c r="M1117" s="604">
        <v>41</v>
      </c>
      <c r="N1117" s="604">
        <v>8133</v>
      </c>
      <c r="O1117" s="604">
        <v>5</v>
      </c>
      <c r="P1117" s="604" t="s">
        <v>47</v>
      </c>
      <c r="Q1117" s="499"/>
      <c r="R1117" s="696" t="str">
        <f t="shared" si="134"/>
        <v>2016birthsTotal</v>
      </c>
      <c r="S1117" s="604">
        <v>2016</v>
      </c>
      <c r="T1117" s="604" t="s">
        <v>445</v>
      </c>
      <c r="V1117" s="604" t="s">
        <v>44</v>
      </c>
      <c r="W1117" s="604">
        <v>60436</v>
      </c>
      <c r="Y1117" s="535" t="str">
        <f t="shared" si="135"/>
        <v>2016agebwt&lt;20&lt;500infant</v>
      </c>
      <c r="Z1117" s="604">
        <v>2016</v>
      </c>
      <c r="AA1117" s="604" t="s">
        <v>453</v>
      </c>
      <c r="AB1117" s="604" t="s">
        <v>447</v>
      </c>
      <c r="AC1117" s="604" t="s">
        <v>339</v>
      </c>
      <c r="AD1117" s="604" t="s">
        <v>427</v>
      </c>
      <c r="AE1117" s="604">
        <v>2</v>
      </c>
      <c r="AF1117" s="604">
        <v>2</v>
      </c>
      <c r="AG1117" s="604">
        <v>1000</v>
      </c>
      <c r="AH1117" s="604" t="s">
        <v>437</v>
      </c>
      <c r="AR1117" s="538" t="str">
        <f t="shared" si="137"/>
        <v>&lt;20ageinfantTaranaki</v>
      </c>
      <c r="AS1117" s="604">
        <v>2016</v>
      </c>
      <c r="AT1117" s="604" t="s">
        <v>339</v>
      </c>
      <c r="AU1117" s="604" t="s">
        <v>453</v>
      </c>
      <c r="AV1117" s="604" t="s">
        <v>93</v>
      </c>
      <c r="AW1117" s="604">
        <v>0</v>
      </c>
      <c r="AX1117" s="604">
        <v>59</v>
      </c>
      <c r="AY1117" s="606">
        <v>0</v>
      </c>
      <c r="AZ1117" s="604" t="s">
        <v>437</v>
      </c>
      <c r="BY1117" s="553" t="str">
        <f t="shared" si="136"/>
        <v>2009&lt;500bwtSUDI</v>
      </c>
      <c r="BZ1117" s="604">
        <v>2009</v>
      </c>
      <c r="CA1117" s="604" t="s">
        <v>427</v>
      </c>
      <c r="CB1117" s="604" t="s">
        <v>447</v>
      </c>
      <c r="CC1117" s="604">
        <v>0</v>
      </c>
      <c r="CD1117" s="604" t="s">
        <v>33</v>
      </c>
    </row>
    <row r="1118" spans="9:82">
      <c r="I1118" s="578" t="str">
        <f t="shared" si="133"/>
        <v>2015dhbAucklandFetal</v>
      </c>
      <c r="J1118" s="604">
        <v>2015</v>
      </c>
      <c r="K1118" s="604" t="s">
        <v>448</v>
      </c>
      <c r="L1118" s="604" t="s">
        <v>87</v>
      </c>
      <c r="M1118" s="604">
        <v>34</v>
      </c>
      <c r="N1118" s="604">
        <v>6298</v>
      </c>
      <c r="O1118" s="604">
        <v>5.4</v>
      </c>
      <c r="P1118" s="604" t="s">
        <v>47</v>
      </c>
      <c r="Q1118" s="499"/>
      <c r="Y1118" s="535" t="str">
        <f t="shared" si="135"/>
        <v>2016agebwt20-24&lt;500infant</v>
      </c>
      <c r="Z1118" s="604">
        <v>2016</v>
      </c>
      <c r="AA1118" s="604" t="s">
        <v>453</v>
      </c>
      <c r="AB1118" s="604" t="s">
        <v>447</v>
      </c>
      <c r="AC1118" s="604" t="s">
        <v>130</v>
      </c>
      <c r="AD1118" s="604" t="s">
        <v>427</v>
      </c>
      <c r="AE1118" s="604">
        <v>11</v>
      </c>
      <c r="AF1118" s="604">
        <v>11</v>
      </c>
      <c r="AG1118" s="604">
        <v>1000</v>
      </c>
      <c r="AH1118" s="604" t="s">
        <v>437</v>
      </c>
      <c r="AR1118" s="538" t="str">
        <f t="shared" si="137"/>
        <v>35-39ageinfantTaranaki</v>
      </c>
      <c r="AS1118" s="604">
        <v>2016</v>
      </c>
      <c r="AT1118" s="604" t="s">
        <v>133</v>
      </c>
      <c r="AU1118" s="604" t="s">
        <v>453</v>
      </c>
      <c r="AV1118" s="604" t="s">
        <v>93</v>
      </c>
      <c r="AW1118" s="604">
        <v>0</v>
      </c>
      <c r="AX1118" s="604">
        <v>207</v>
      </c>
      <c r="AY1118" s="606">
        <v>0</v>
      </c>
      <c r="AZ1118" s="604" t="s">
        <v>437</v>
      </c>
      <c r="BY1118" s="553" t="str">
        <f t="shared" si="136"/>
        <v>2009500-999bwtSUDI</v>
      </c>
      <c r="BZ1118" s="604">
        <v>2009</v>
      </c>
      <c r="CA1118" s="604" t="s">
        <v>428</v>
      </c>
      <c r="CB1118" s="604" t="s">
        <v>447</v>
      </c>
      <c r="CC1118" s="604">
        <v>0</v>
      </c>
      <c r="CD1118" s="604" t="s">
        <v>33</v>
      </c>
    </row>
    <row r="1119" spans="9:82">
      <c r="I1119" s="578" t="str">
        <f t="shared" si="133"/>
        <v>2015dhbCounties ManukauFetal</v>
      </c>
      <c r="J1119" s="604">
        <v>2015</v>
      </c>
      <c r="K1119" s="604" t="s">
        <v>448</v>
      </c>
      <c r="L1119" s="604" t="s">
        <v>88</v>
      </c>
      <c r="M1119" s="604">
        <v>52</v>
      </c>
      <c r="N1119" s="604">
        <v>8614</v>
      </c>
      <c r="O1119" s="604">
        <v>6</v>
      </c>
      <c r="P1119" s="604" t="s">
        <v>47</v>
      </c>
      <c r="Q1119" s="499"/>
      <c r="Y1119" s="535" t="str">
        <f t="shared" si="135"/>
        <v>2016agebwt25-29&lt;500infant</v>
      </c>
      <c r="Z1119" s="604">
        <v>2016</v>
      </c>
      <c r="AA1119" s="604" t="s">
        <v>453</v>
      </c>
      <c r="AB1119" s="604" t="s">
        <v>447</v>
      </c>
      <c r="AC1119" s="604" t="s">
        <v>131</v>
      </c>
      <c r="AD1119" s="604" t="s">
        <v>427</v>
      </c>
      <c r="AE1119" s="604">
        <v>7</v>
      </c>
      <c r="AF1119" s="604">
        <v>13</v>
      </c>
      <c r="AG1119" s="604">
        <v>538.5</v>
      </c>
      <c r="AH1119" s="604" t="s">
        <v>437</v>
      </c>
      <c r="AR1119" s="538" t="str">
        <f t="shared" si="137"/>
        <v>40+ageinfantTaranaki</v>
      </c>
      <c r="AS1119" s="604">
        <v>2016</v>
      </c>
      <c r="AT1119" s="604" t="s">
        <v>134</v>
      </c>
      <c r="AU1119" s="604" t="s">
        <v>453</v>
      </c>
      <c r="AV1119" s="604" t="s">
        <v>93</v>
      </c>
      <c r="AW1119" s="604">
        <v>0</v>
      </c>
      <c r="AX1119" s="604">
        <v>45</v>
      </c>
      <c r="AY1119" s="606">
        <v>0</v>
      </c>
      <c r="AZ1119" s="604" t="s">
        <v>437</v>
      </c>
      <c r="BY1119" s="553" t="str">
        <f t="shared" si="136"/>
        <v>20091000-1499bwtSUDI</v>
      </c>
      <c r="BZ1119" s="604">
        <v>2009</v>
      </c>
      <c r="CA1119" s="604" t="s">
        <v>429</v>
      </c>
      <c r="CB1119" s="604" t="s">
        <v>447</v>
      </c>
      <c r="CC1119" s="604">
        <v>0</v>
      </c>
      <c r="CD1119" s="604" t="s">
        <v>33</v>
      </c>
    </row>
    <row r="1120" spans="9:82">
      <c r="I1120" s="578" t="str">
        <f t="shared" si="133"/>
        <v>2015dhbWaikatoFetal</v>
      </c>
      <c r="J1120" s="604">
        <v>2015</v>
      </c>
      <c r="K1120" s="604" t="s">
        <v>448</v>
      </c>
      <c r="L1120" s="604" t="s">
        <v>89</v>
      </c>
      <c r="M1120" s="604">
        <v>35</v>
      </c>
      <c r="N1120" s="604">
        <v>5725</v>
      </c>
      <c r="O1120" s="604">
        <v>6.1</v>
      </c>
      <c r="P1120" s="604" t="s">
        <v>47</v>
      </c>
      <c r="Q1120" s="499"/>
      <c r="Y1120" s="535" t="str">
        <f t="shared" si="135"/>
        <v>2016agebwt30-34&lt;500infant</v>
      </c>
      <c r="Z1120" s="604">
        <v>2016</v>
      </c>
      <c r="AA1120" s="604" t="s">
        <v>453</v>
      </c>
      <c r="AB1120" s="604" t="s">
        <v>447</v>
      </c>
      <c r="AC1120" s="604" t="s">
        <v>132</v>
      </c>
      <c r="AD1120" s="604" t="s">
        <v>427</v>
      </c>
      <c r="AE1120" s="604">
        <v>12</v>
      </c>
      <c r="AF1120" s="604">
        <v>19</v>
      </c>
      <c r="AG1120" s="604">
        <v>631.6</v>
      </c>
      <c r="AH1120" s="604" t="s">
        <v>437</v>
      </c>
      <c r="AR1120" s="538" t="str">
        <f t="shared" si="137"/>
        <v>35-39ageinfantMidCentral</v>
      </c>
      <c r="AS1120" s="604">
        <v>2016</v>
      </c>
      <c r="AT1120" s="604" t="s">
        <v>133</v>
      </c>
      <c r="AU1120" s="604" t="s">
        <v>453</v>
      </c>
      <c r="AV1120" s="604" t="s">
        <v>94</v>
      </c>
      <c r="AW1120" s="604">
        <v>0</v>
      </c>
      <c r="AX1120" s="604">
        <v>280</v>
      </c>
      <c r="AY1120" s="606">
        <v>0</v>
      </c>
      <c r="AZ1120" s="604" t="s">
        <v>437</v>
      </c>
      <c r="BY1120" s="553" t="str">
        <f t="shared" si="136"/>
        <v>20091500-2499bwtSUDI</v>
      </c>
      <c r="BZ1120" s="604">
        <v>2009</v>
      </c>
      <c r="CA1120" s="604" t="s">
        <v>430</v>
      </c>
      <c r="CB1120" s="604" t="s">
        <v>447</v>
      </c>
      <c r="CC1120" s="604">
        <v>10</v>
      </c>
      <c r="CD1120" s="604" t="s">
        <v>33</v>
      </c>
    </row>
    <row r="1121" spans="9:82">
      <c r="I1121" s="578" t="str">
        <f t="shared" si="133"/>
        <v>2015dhbLakesFetal</v>
      </c>
      <c r="J1121" s="604">
        <v>2015</v>
      </c>
      <c r="K1121" s="604" t="s">
        <v>448</v>
      </c>
      <c r="L1121" s="604" t="s">
        <v>90</v>
      </c>
      <c r="M1121" s="604">
        <v>12</v>
      </c>
      <c r="N1121" s="604">
        <v>1603</v>
      </c>
      <c r="O1121" s="604">
        <v>7.5</v>
      </c>
      <c r="P1121" s="604" t="s">
        <v>47</v>
      </c>
      <c r="Q1121" s="499"/>
      <c r="Y1121" s="535" t="str">
        <f t="shared" si="135"/>
        <v>2016agebwt35-39&lt;500infant</v>
      </c>
      <c r="Z1121" s="604">
        <v>2016</v>
      </c>
      <c r="AA1121" s="604" t="s">
        <v>453</v>
      </c>
      <c r="AB1121" s="604" t="s">
        <v>447</v>
      </c>
      <c r="AC1121" s="604" t="s">
        <v>133</v>
      </c>
      <c r="AD1121" s="604" t="s">
        <v>427</v>
      </c>
      <c r="AE1121" s="604">
        <v>3</v>
      </c>
      <c r="AF1121" s="604">
        <v>7</v>
      </c>
      <c r="AG1121" s="604">
        <v>428.6</v>
      </c>
      <c r="AH1121" s="604" t="s">
        <v>437</v>
      </c>
      <c r="AR1121" s="538" t="str">
        <f t="shared" si="137"/>
        <v>40+ageinfantMidCentral</v>
      </c>
      <c r="AS1121" s="604">
        <v>2016</v>
      </c>
      <c r="AT1121" s="604" t="s">
        <v>134</v>
      </c>
      <c r="AU1121" s="604" t="s">
        <v>453</v>
      </c>
      <c r="AV1121" s="604" t="s">
        <v>94</v>
      </c>
      <c r="AW1121" s="604">
        <v>0</v>
      </c>
      <c r="AX1121" s="604">
        <v>68</v>
      </c>
      <c r="AY1121" s="606">
        <v>0</v>
      </c>
      <c r="AZ1121" s="604" t="s">
        <v>437</v>
      </c>
      <c r="BY1121" s="553" t="str">
        <f t="shared" si="136"/>
        <v>20092500-4499bwtSUDI</v>
      </c>
      <c r="BZ1121" s="604">
        <v>2009</v>
      </c>
      <c r="CA1121" s="604" t="s">
        <v>431</v>
      </c>
      <c r="CB1121" s="604" t="s">
        <v>447</v>
      </c>
      <c r="CC1121" s="604">
        <v>51</v>
      </c>
      <c r="CD1121" s="604" t="s">
        <v>33</v>
      </c>
    </row>
    <row r="1122" spans="9:82">
      <c r="I1122" s="578" t="str">
        <f t="shared" si="133"/>
        <v>2015dhbBay of PlentyFetal</v>
      </c>
      <c r="J1122" s="604">
        <v>2015</v>
      </c>
      <c r="K1122" s="604" t="s">
        <v>448</v>
      </c>
      <c r="L1122" s="604" t="s">
        <v>91</v>
      </c>
      <c r="M1122" s="604">
        <v>20</v>
      </c>
      <c r="N1122" s="604">
        <v>2966</v>
      </c>
      <c r="O1122" s="604">
        <v>6.7</v>
      </c>
      <c r="P1122" s="604" t="s">
        <v>47</v>
      </c>
      <c r="Q1122" s="499"/>
      <c r="Y1122" s="535" t="str">
        <f t="shared" si="135"/>
        <v>2016agebwt40+&lt;500infant</v>
      </c>
      <c r="Z1122" s="604">
        <v>2016</v>
      </c>
      <c r="AA1122" s="604" t="s">
        <v>453</v>
      </c>
      <c r="AB1122" s="604" t="s">
        <v>447</v>
      </c>
      <c r="AC1122" s="604" t="s">
        <v>134</v>
      </c>
      <c r="AD1122" s="604" t="s">
        <v>427</v>
      </c>
      <c r="AE1122" s="604">
        <v>2</v>
      </c>
      <c r="AF1122" s="604">
        <v>1</v>
      </c>
      <c r="AG1122" s="604" t="s">
        <v>119</v>
      </c>
      <c r="AH1122" s="604" t="s">
        <v>437</v>
      </c>
      <c r="AR1122" s="538" t="str">
        <f t="shared" si="137"/>
        <v>&lt;20ageinfantWhanganui</v>
      </c>
      <c r="AS1122" s="604">
        <v>2016</v>
      </c>
      <c r="AT1122" s="604" t="s">
        <v>339</v>
      </c>
      <c r="AU1122" s="604" t="s">
        <v>453</v>
      </c>
      <c r="AV1122" s="604" t="s">
        <v>95</v>
      </c>
      <c r="AW1122" s="604">
        <v>0</v>
      </c>
      <c r="AX1122" s="604">
        <v>59</v>
      </c>
      <c r="AY1122" s="606">
        <v>0</v>
      </c>
      <c r="AZ1122" s="604" t="s">
        <v>437</v>
      </c>
      <c r="BY1122" s="553" t="str">
        <f t="shared" si="136"/>
        <v>20094500+bwtSUDI</v>
      </c>
      <c r="BZ1122" s="604">
        <v>2009</v>
      </c>
      <c r="CA1122" s="604" t="s">
        <v>432</v>
      </c>
      <c r="CB1122" s="604" t="s">
        <v>447</v>
      </c>
      <c r="CC1122" s="604">
        <v>0</v>
      </c>
      <c r="CD1122" s="604" t="s">
        <v>33</v>
      </c>
    </row>
    <row r="1123" spans="9:82">
      <c r="I1123" s="578" t="str">
        <f t="shared" si="133"/>
        <v>2015dhbTairawhitiFetal</v>
      </c>
      <c r="J1123" s="604">
        <v>2015</v>
      </c>
      <c r="K1123" s="604" t="s">
        <v>448</v>
      </c>
      <c r="L1123" s="604" t="s">
        <v>433</v>
      </c>
      <c r="M1123" s="604">
        <v>6</v>
      </c>
      <c r="N1123" s="604">
        <v>745</v>
      </c>
      <c r="O1123" s="604">
        <v>8.1</v>
      </c>
      <c r="P1123" s="604" t="s">
        <v>47</v>
      </c>
      <c r="Q1123" s="499"/>
      <c r="Y1123" s="535" t="str">
        <f t="shared" si="135"/>
        <v>2016agebwt&lt;20500-999infant</v>
      </c>
      <c r="Z1123" s="604">
        <v>2016</v>
      </c>
      <c r="AA1123" s="604" t="s">
        <v>453</v>
      </c>
      <c r="AB1123" s="604" t="s">
        <v>447</v>
      </c>
      <c r="AC1123" s="604" t="s">
        <v>339</v>
      </c>
      <c r="AD1123" s="604" t="s">
        <v>428</v>
      </c>
      <c r="AE1123" s="604">
        <v>8</v>
      </c>
      <c r="AF1123" s="604">
        <v>19</v>
      </c>
      <c r="AG1123" s="604">
        <v>421.1</v>
      </c>
      <c r="AH1123" s="604" t="s">
        <v>437</v>
      </c>
      <c r="AR1123" s="538" t="str">
        <f t="shared" si="137"/>
        <v>40+ageinfantWhanganui</v>
      </c>
      <c r="AS1123" s="604">
        <v>2016</v>
      </c>
      <c r="AT1123" s="604" t="s">
        <v>134</v>
      </c>
      <c r="AU1123" s="604" t="s">
        <v>453</v>
      </c>
      <c r="AV1123" s="604" t="s">
        <v>95</v>
      </c>
      <c r="AW1123" s="604">
        <v>0</v>
      </c>
      <c r="AX1123" s="604">
        <v>15</v>
      </c>
      <c r="AY1123" s="606">
        <v>0</v>
      </c>
      <c r="AZ1123" s="604" t="s">
        <v>437</v>
      </c>
      <c r="BY1123" s="553" t="str">
        <f t="shared" si="136"/>
        <v>2009UnknownbwtSUDI</v>
      </c>
      <c r="BZ1123" s="604">
        <v>2009</v>
      </c>
      <c r="CA1123" s="604" t="s">
        <v>63</v>
      </c>
      <c r="CB1123" s="604" t="s">
        <v>447</v>
      </c>
      <c r="CC1123" s="604">
        <v>5</v>
      </c>
      <c r="CD1123" s="604" t="s">
        <v>33</v>
      </c>
    </row>
    <row r="1124" spans="9:82">
      <c r="I1124" s="578" t="str">
        <f t="shared" si="133"/>
        <v>2015dhbHawke's BayFetal</v>
      </c>
      <c r="J1124" s="604">
        <v>2015</v>
      </c>
      <c r="K1124" s="604" t="s">
        <v>448</v>
      </c>
      <c r="L1124" s="604" t="s">
        <v>92</v>
      </c>
      <c r="M1124" s="604">
        <v>11</v>
      </c>
      <c r="N1124" s="604">
        <v>2219</v>
      </c>
      <c r="O1124" s="604">
        <v>5</v>
      </c>
      <c r="P1124" s="604" t="s">
        <v>47</v>
      </c>
      <c r="Q1124" s="499"/>
      <c r="Y1124" s="535" t="str">
        <f t="shared" si="135"/>
        <v>2016agebwt20-24500-999infant</v>
      </c>
      <c r="Z1124" s="604">
        <v>2016</v>
      </c>
      <c r="AA1124" s="604" t="s">
        <v>453</v>
      </c>
      <c r="AB1124" s="604" t="s">
        <v>447</v>
      </c>
      <c r="AC1124" s="604" t="s">
        <v>130</v>
      </c>
      <c r="AD1124" s="604" t="s">
        <v>428</v>
      </c>
      <c r="AE1124" s="604">
        <v>14</v>
      </c>
      <c r="AF1124" s="604">
        <v>30</v>
      </c>
      <c r="AG1124" s="604">
        <v>466.7</v>
      </c>
      <c r="AH1124" s="604" t="s">
        <v>437</v>
      </c>
      <c r="AR1124" s="538" t="str">
        <f t="shared" si="137"/>
        <v>&lt;20ageinfantCapital &amp; Coast</v>
      </c>
      <c r="AS1124" s="604">
        <v>2016</v>
      </c>
      <c r="AT1124" s="604" t="s">
        <v>339</v>
      </c>
      <c r="AU1124" s="604" t="s">
        <v>453</v>
      </c>
      <c r="AV1124" s="604" t="s">
        <v>96</v>
      </c>
      <c r="AW1124" s="604">
        <v>0</v>
      </c>
      <c r="AX1124" s="604">
        <v>83</v>
      </c>
      <c r="AY1124" s="606">
        <v>0</v>
      </c>
      <c r="AZ1124" s="604" t="s">
        <v>437</v>
      </c>
      <c r="BY1124" s="553" t="str">
        <f t="shared" si="136"/>
        <v>2010&lt;500bwtSUDI</v>
      </c>
      <c r="BZ1124" s="604">
        <v>2010</v>
      </c>
      <c r="CA1124" s="604" t="s">
        <v>427</v>
      </c>
      <c r="CB1124" s="604" t="s">
        <v>447</v>
      </c>
      <c r="CC1124" s="604">
        <v>0</v>
      </c>
      <c r="CD1124" s="604" t="s">
        <v>33</v>
      </c>
    </row>
    <row r="1125" spans="9:82">
      <c r="I1125" s="578" t="str">
        <f t="shared" si="133"/>
        <v>2015dhbTaranakiFetal</v>
      </c>
      <c r="J1125" s="604">
        <v>2015</v>
      </c>
      <c r="K1125" s="604" t="s">
        <v>448</v>
      </c>
      <c r="L1125" s="604" t="s">
        <v>93</v>
      </c>
      <c r="M1125" s="604">
        <v>7</v>
      </c>
      <c r="N1125" s="604">
        <v>1645</v>
      </c>
      <c r="O1125" s="604">
        <v>4.3</v>
      </c>
      <c r="P1125" s="604" t="s">
        <v>47</v>
      </c>
      <c r="Q1125" s="499"/>
      <c r="Y1125" s="535" t="str">
        <f t="shared" si="135"/>
        <v>2016agebwt25-29500-999infant</v>
      </c>
      <c r="Z1125" s="604">
        <v>2016</v>
      </c>
      <c r="AA1125" s="604" t="s">
        <v>453</v>
      </c>
      <c r="AB1125" s="604" t="s">
        <v>447</v>
      </c>
      <c r="AC1125" s="604" t="s">
        <v>131</v>
      </c>
      <c r="AD1125" s="604" t="s">
        <v>428</v>
      </c>
      <c r="AE1125" s="604">
        <v>14</v>
      </c>
      <c r="AF1125" s="604">
        <v>48</v>
      </c>
      <c r="AG1125" s="604">
        <v>291.7</v>
      </c>
      <c r="AH1125" s="604" t="s">
        <v>437</v>
      </c>
      <c r="AR1125" s="538" t="str">
        <f t="shared" si="137"/>
        <v>20-24ageinfantCapital &amp; Coast</v>
      </c>
      <c r="AS1125" s="604">
        <v>2016</v>
      </c>
      <c r="AT1125" s="604" t="s">
        <v>130</v>
      </c>
      <c r="AU1125" s="604" t="s">
        <v>453</v>
      </c>
      <c r="AV1125" s="604" t="s">
        <v>96</v>
      </c>
      <c r="AW1125" s="604">
        <v>0</v>
      </c>
      <c r="AX1125" s="604">
        <v>366</v>
      </c>
      <c r="AY1125" s="606">
        <v>0</v>
      </c>
      <c r="AZ1125" s="604" t="s">
        <v>437</v>
      </c>
      <c r="BY1125" s="553" t="str">
        <f t="shared" si="136"/>
        <v>2010500-999bwtSUDI</v>
      </c>
      <c r="BZ1125" s="604">
        <v>2010</v>
      </c>
      <c r="CA1125" s="604" t="s">
        <v>428</v>
      </c>
      <c r="CB1125" s="604" t="s">
        <v>447</v>
      </c>
      <c r="CC1125" s="604">
        <v>1</v>
      </c>
      <c r="CD1125" s="604" t="s">
        <v>33</v>
      </c>
    </row>
    <row r="1126" spans="9:82">
      <c r="I1126" s="578" t="str">
        <f t="shared" si="133"/>
        <v>2015dhbMidCentralFetal</v>
      </c>
      <c r="J1126" s="604">
        <v>2015</v>
      </c>
      <c r="K1126" s="604" t="s">
        <v>448</v>
      </c>
      <c r="L1126" s="604" t="s">
        <v>94</v>
      </c>
      <c r="M1126" s="604">
        <v>12</v>
      </c>
      <c r="N1126" s="604">
        <v>2229</v>
      </c>
      <c r="O1126" s="604">
        <v>5.4</v>
      </c>
      <c r="P1126" s="604" t="s">
        <v>47</v>
      </c>
      <c r="Q1126" s="499"/>
      <c r="Y1126" s="535" t="str">
        <f t="shared" si="135"/>
        <v>2016agebwt30-34500-999infant</v>
      </c>
      <c r="Z1126" s="604">
        <v>2016</v>
      </c>
      <c r="AA1126" s="604" t="s">
        <v>453</v>
      </c>
      <c r="AB1126" s="604" t="s">
        <v>447</v>
      </c>
      <c r="AC1126" s="604" t="s">
        <v>132</v>
      </c>
      <c r="AD1126" s="604" t="s">
        <v>428</v>
      </c>
      <c r="AE1126" s="604">
        <v>14</v>
      </c>
      <c r="AF1126" s="604">
        <v>44</v>
      </c>
      <c r="AG1126" s="604">
        <v>318.2</v>
      </c>
      <c r="AH1126" s="604" t="s">
        <v>437</v>
      </c>
      <c r="AR1126" s="538" t="str">
        <f t="shared" si="137"/>
        <v>25-29ageinfantHutt Valley</v>
      </c>
      <c r="AS1126" s="604">
        <v>2016</v>
      </c>
      <c r="AT1126" s="604" t="s">
        <v>131</v>
      </c>
      <c r="AU1126" s="604" t="s">
        <v>453</v>
      </c>
      <c r="AV1126" s="604" t="s">
        <v>97</v>
      </c>
      <c r="AW1126" s="604">
        <v>0</v>
      </c>
      <c r="AX1126" s="604">
        <v>556</v>
      </c>
      <c r="AY1126" s="606">
        <v>0</v>
      </c>
      <c r="AZ1126" s="604" t="s">
        <v>437</v>
      </c>
      <c r="BY1126" s="553" t="str">
        <f t="shared" si="136"/>
        <v>20101000-1499bwtSUDI</v>
      </c>
      <c r="BZ1126" s="604">
        <v>2010</v>
      </c>
      <c r="CA1126" s="604" t="s">
        <v>429</v>
      </c>
      <c r="CB1126" s="604" t="s">
        <v>447</v>
      </c>
      <c r="CC1126" s="604">
        <v>2</v>
      </c>
      <c r="CD1126" s="604" t="s">
        <v>33</v>
      </c>
    </row>
    <row r="1127" spans="9:82">
      <c r="I1127" s="578" t="str">
        <f t="shared" si="133"/>
        <v>2015dhbWhanganuiFetal</v>
      </c>
      <c r="J1127" s="604">
        <v>2015</v>
      </c>
      <c r="K1127" s="604" t="s">
        <v>448</v>
      </c>
      <c r="L1127" s="604" t="s">
        <v>95</v>
      </c>
      <c r="M1127" s="604">
        <v>7</v>
      </c>
      <c r="N1127" s="604">
        <v>881</v>
      </c>
      <c r="O1127" s="604">
        <v>7.9</v>
      </c>
      <c r="P1127" s="604" t="s">
        <v>47</v>
      </c>
      <c r="Q1127" s="499"/>
      <c r="Y1127" s="535" t="str">
        <f t="shared" si="135"/>
        <v>2016agebwt35-39500-999infant</v>
      </c>
      <c r="Z1127" s="604">
        <v>2016</v>
      </c>
      <c r="AA1127" s="604" t="s">
        <v>453</v>
      </c>
      <c r="AB1127" s="604" t="s">
        <v>447</v>
      </c>
      <c r="AC1127" s="604" t="s">
        <v>133</v>
      </c>
      <c r="AD1127" s="604" t="s">
        <v>428</v>
      </c>
      <c r="AE1127" s="604">
        <v>3</v>
      </c>
      <c r="AF1127" s="604">
        <v>41</v>
      </c>
      <c r="AG1127" s="604">
        <v>73.2</v>
      </c>
      <c r="AH1127" s="604" t="s">
        <v>437</v>
      </c>
      <c r="AR1127" s="538" t="str">
        <f t="shared" si="137"/>
        <v>20-24ageinfantWairarapa</v>
      </c>
      <c r="AS1127" s="604">
        <v>2016</v>
      </c>
      <c r="AT1127" s="604" t="s">
        <v>130</v>
      </c>
      <c r="AU1127" s="604" t="s">
        <v>453</v>
      </c>
      <c r="AV1127" s="604" t="s">
        <v>98</v>
      </c>
      <c r="AW1127" s="604">
        <v>0</v>
      </c>
      <c r="AX1127" s="604">
        <v>100</v>
      </c>
      <c r="AY1127" s="606">
        <v>0</v>
      </c>
      <c r="AZ1127" s="604" t="s">
        <v>437</v>
      </c>
      <c r="BY1127" s="553" t="str">
        <f t="shared" si="136"/>
        <v>20101500-2499bwtSUDI</v>
      </c>
      <c r="BZ1127" s="604">
        <v>2010</v>
      </c>
      <c r="CA1127" s="604" t="s">
        <v>430</v>
      </c>
      <c r="CB1127" s="604" t="s">
        <v>447</v>
      </c>
      <c r="CC1127" s="604">
        <v>5</v>
      </c>
      <c r="CD1127" s="604" t="s">
        <v>33</v>
      </c>
    </row>
    <row r="1128" spans="9:82">
      <c r="I1128" s="578" t="str">
        <f t="shared" si="133"/>
        <v>2015dhbCapital &amp; CoastFetal</v>
      </c>
      <c r="J1128" s="604">
        <v>2015</v>
      </c>
      <c r="K1128" s="604" t="s">
        <v>448</v>
      </c>
      <c r="L1128" s="604" t="s">
        <v>96</v>
      </c>
      <c r="M1128" s="604">
        <v>25</v>
      </c>
      <c r="N1128" s="604">
        <v>3640</v>
      </c>
      <c r="O1128" s="604">
        <v>6.9</v>
      </c>
      <c r="P1128" s="604" t="s">
        <v>47</v>
      </c>
      <c r="Q1128" s="499"/>
      <c r="Y1128" s="535" t="str">
        <f t="shared" si="135"/>
        <v>2016agebwt40+500-999infant</v>
      </c>
      <c r="Z1128" s="604">
        <v>2016</v>
      </c>
      <c r="AA1128" s="604" t="s">
        <v>453</v>
      </c>
      <c r="AB1128" s="604" t="s">
        <v>447</v>
      </c>
      <c r="AC1128" s="604" t="s">
        <v>134</v>
      </c>
      <c r="AD1128" s="604" t="s">
        <v>428</v>
      </c>
      <c r="AE1128" s="604">
        <v>4</v>
      </c>
      <c r="AF1128" s="604">
        <v>14</v>
      </c>
      <c r="AG1128" s="604">
        <v>285.7</v>
      </c>
      <c r="AH1128" s="604" t="s">
        <v>437</v>
      </c>
      <c r="AR1128" s="538" t="str">
        <f t="shared" si="137"/>
        <v>25-29ageinfantWairarapa</v>
      </c>
      <c r="AS1128" s="604">
        <v>2016</v>
      </c>
      <c r="AT1128" s="604" t="s">
        <v>131</v>
      </c>
      <c r="AU1128" s="604" t="s">
        <v>453</v>
      </c>
      <c r="AV1128" s="604" t="s">
        <v>98</v>
      </c>
      <c r="AW1128" s="604">
        <v>0</v>
      </c>
      <c r="AX1128" s="604">
        <v>139</v>
      </c>
      <c r="AY1128" s="606">
        <v>0</v>
      </c>
      <c r="AZ1128" s="604" t="s">
        <v>437</v>
      </c>
      <c r="BY1128" s="553" t="str">
        <f t="shared" si="136"/>
        <v>20102500-4499bwtSUDI</v>
      </c>
      <c r="BZ1128" s="604">
        <v>2010</v>
      </c>
      <c r="CA1128" s="604" t="s">
        <v>431</v>
      </c>
      <c r="CB1128" s="604" t="s">
        <v>447</v>
      </c>
      <c r="CC1128" s="604">
        <v>46</v>
      </c>
      <c r="CD1128" s="604" t="s">
        <v>33</v>
      </c>
    </row>
    <row r="1129" spans="9:82">
      <c r="I1129" s="578" t="str">
        <f t="shared" si="133"/>
        <v>2015dhbHutt ValleyFetal</v>
      </c>
      <c r="J1129" s="604">
        <v>2015</v>
      </c>
      <c r="K1129" s="604" t="s">
        <v>448</v>
      </c>
      <c r="L1129" s="604" t="s">
        <v>97</v>
      </c>
      <c r="M1129" s="604">
        <v>13</v>
      </c>
      <c r="N1129" s="604">
        <v>2104</v>
      </c>
      <c r="O1129" s="604">
        <v>6.2</v>
      </c>
      <c r="P1129" s="604" t="s">
        <v>47</v>
      </c>
      <c r="Q1129" s="499"/>
      <c r="Y1129" s="535" t="str">
        <f t="shared" si="135"/>
        <v>2016agebwt&lt;201000-1499infant</v>
      </c>
      <c r="Z1129" s="604">
        <v>2016</v>
      </c>
      <c r="AA1129" s="604" t="s">
        <v>453</v>
      </c>
      <c r="AB1129" s="604" t="s">
        <v>447</v>
      </c>
      <c r="AC1129" s="604" t="s">
        <v>339</v>
      </c>
      <c r="AD1129" s="604" t="s">
        <v>429</v>
      </c>
      <c r="AE1129" s="604">
        <v>1</v>
      </c>
      <c r="AF1129" s="604">
        <v>21</v>
      </c>
      <c r="AG1129" s="604">
        <v>47.6</v>
      </c>
      <c r="AH1129" s="604" t="s">
        <v>437</v>
      </c>
      <c r="AR1129" s="538" t="str">
        <f t="shared" si="137"/>
        <v>30-34ageinfantWairarapa</v>
      </c>
      <c r="AS1129" s="604">
        <v>2016</v>
      </c>
      <c r="AT1129" s="604" t="s">
        <v>132</v>
      </c>
      <c r="AU1129" s="604" t="s">
        <v>453</v>
      </c>
      <c r="AV1129" s="604" t="s">
        <v>98</v>
      </c>
      <c r="AW1129" s="604">
        <v>0</v>
      </c>
      <c r="AX1129" s="604">
        <v>120</v>
      </c>
      <c r="AY1129" s="606">
        <v>0</v>
      </c>
      <c r="AZ1129" s="604" t="s">
        <v>437</v>
      </c>
      <c r="BY1129" s="553" t="str">
        <f t="shared" si="136"/>
        <v>20104500+bwtSUDI</v>
      </c>
      <c r="BZ1129" s="604">
        <v>2010</v>
      </c>
      <c r="CA1129" s="604" t="s">
        <v>432</v>
      </c>
      <c r="CB1129" s="604" t="s">
        <v>447</v>
      </c>
      <c r="CC1129" s="604">
        <v>1</v>
      </c>
      <c r="CD1129" s="604" t="s">
        <v>33</v>
      </c>
    </row>
    <row r="1130" spans="9:82">
      <c r="I1130" s="578" t="str">
        <f t="shared" si="133"/>
        <v>2015dhbWairarapaFetal</v>
      </c>
      <c r="J1130" s="604">
        <v>2015</v>
      </c>
      <c r="K1130" s="604" t="s">
        <v>448</v>
      </c>
      <c r="L1130" s="604" t="s">
        <v>98</v>
      </c>
      <c r="M1130" s="604">
        <v>2</v>
      </c>
      <c r="N1130" s="604">
        <v>496</v>
      </c>
      <c r="O1130" s="604">
        <v>4</v>
      </c>
      <c r="P1130" s="604" t="s">
        <v>47</v>
      </c>
      <c r="Q1130" s="499"/>
      <c r="Y1130" s="535" t="str">
        <f t="shared" si="135"/>
        <v>2016agebwt20-241000-1499infant</v>
      </c>
      <c r="Z1130" s="604">
        <v>2016</v>
      </c>
      <c r="AA1130" s="604" t="s">
        <v>453</v>
      </c>
      <c r="AB1130" s="604" t="s">
        <v>447</v>
      </c>
      <c r="AC1130" s="604" t="s">
        <v>130</v>
      </c>
      <c r="AD1130" s="604" t="s">
        <v>429</v>
      </c>
      <c r="AE1130" s="604">
        <v>0</v>
      </c>
      <c r="AF1130" s="604">
        <v>51</v>
      </c>
      <c r="AG1130" s="604">
        <v>0</v>
      </c>
      <c r="AH1130" s="604" t="s">
        <v>437</v>
      </c>
      <c r="AR1130" s="538" t="str">
        <f t="shared" si="137"/>
        <v>35-39ageinfantWairarapa</v>
      </c>
      <c r="AS1130" s="604">
        <v>2016</v>
      </c>
      <c r="AT1130" s="604" t="s">
        <v>133</v>
      </c>
      <c r="AU1130" s="604" t="s">
        <v>453</v>
      </c>
      <c r="AV1130" s="604" t="s">
        <v>98</v>
      </c>
      <c r="AW1130" s="604">
        <v>0</v>
      </c>
      <c r="AX1130" s="604">
        <v>73</v>
      </c>
      <c r="AY1130" s="606">
        <v>0</v>
      </c>
      <c r="AZ1130" s="604" t="s">
        <v>437</v>
      </c>
      <c r="BY1130" s="553" t="str">
        <f t="shared" si="136"/>
        <v>2010UnknownbwtSUDI</v>
      </c>
      <c r="BZ1130" s="604">
        <v>2010</v>
      </c>
      <c r="CA1130" s="604" t="s">
        <v>63</v>
      </c>
      <c r="CB1130" s="604" t="s">
        <v>447</v>
      </c>
      <c r="CC1130" s="604">
        <v>5</v>
      </c>
      <c r="CD1130" s="604" t="s">
        <v>33</v>
      </c>
    </row>
    <row r="1131" spans="9:82">
      <c r="I1131" s="578" t="str">
        <f t="shared" si="133"/>
        <v>2015dhbNelson MarlboroughFetal</v>
      </c>
      <c r="J1131" s="604">
        <v>2015</v>
      </c>
      <c r="K1131" s="604" t="s">
        <v>448</v>
      </c>
      <c r="L1131" s="604" t="s">
        <v>99</v>
      </c>
      <c r="M1131" s="604">
        <v>9</v>
      </c>
      <c r="N1131" s="604">
        <v>1498</v>
      </c>
      <c r="O1131" s="604">
        <v>6</v>
      </c>
      <c r="P1131" s="604" t="s">
        <v>47</v>
      </c>
      <c r="Q1131" s="499"/>
      <c r="Y1131" s="535" t="str">
        <f t="shared" si="135"/>
        <v>2016agebwt25-291000-1499infant</v>
      </c>
      <c r="Z1131" s="604">
        <v>2016</v>
      </c>
      <c r="AA1131" s="604" t="s">
        <v>453</v>
      </c>
      <c r="AB1131" s="604" t="s">
        <v>447</v>
      </c>
      <c r="AC1131" s="604" t="s">
        <v>131</v>
      </c>
      <c r="AD1131" s="604" t="s">
        <v>429</v>
      </c>
      <c r="AE1131" s="604">
        <v>4</v>
      </c>
      <c r="AF1131" s="604">
        <v>95</v>
      </c>
      <c r="AG1131" s="604">
        <v>42.1</v>
      </c>
      <c r="AH1131" s="604" t="s">
        <v>437</v>
      </c>
      <c r="AR1131" s="538" t="str">
        <f t="shared" si="137"/>
        <v>40+ageinfantWairarapa</v>
      </c>
      <c r="AS1131" s="604">
        <v>2016</v>
      </c>
      <c r="AT1131" s="604" t="s">
        <v>134</v>
      </c>
      <c r="AU1131" s="604" t="s">
        <v>453</v>
      </c>
      <c r="AV1131" s="604" t="s">
        <v>98</v>
      </c>
      <c r="AW1131" s="604">
        <v>0</v>
      </c>
      <c r="AX1131" s="604">
        <v>22</v>
      </c>
      <c r="AY1131" s="606">
        <v>0</v>
      </c>
      <c r="AZ1131" s="604" t="s">
        <v>437</v>
      </c>
      <c r="BY1131" s="553" t="str">
        <f t="shared" si="136"/>
        <v>2011&lt;500bwtSUDI</v>
      </c>
      <c r="BZ1131" s="604">
        <v>2011</v>
      </c>
      <c r="CA1131" s="604" t="s">
        <v>427</v>
      </c>
      <c r="CB1131" s="604" t="s">
        <v>447</v>
      </c>
      <c r="CC1131" s="604">
        <v>0</v>
      </c>
      <c r="CD1131" s="604" t="s">
        <v>33</v>
      </c>
    </row>
    <row r="1132" spans="9:82">
      <c r="I1132" s="578" t="str">
        <f t="shared" si="133"/>
        <v>2015dhbWest CoastFetal</v>
      </c>
      <c r="J1132" s="604">
        <v>2015</v>
      </c>
      <c r="K1132" s="604" t="s">
        <v>448</v>
      </c>
      <c r="L1132" s="604" t="s">
        <v>100</v>
      </c>
      <c r="M1132" s="604">
        <v>5</v>
      </c>
      <c r="N1132" s="604">
        <v>394</v>
      </c>
      <c r="O1132" s="604">
        <v>12.7</v>
      </c>
      <c r="P1132" s="604" t="s">
        <v>47</v>
      </c>
      <c r="Q1132" s="499"/>
      <c r="Y1132" s="535" t="str">
        <f t="shared" si="135"/>
        <v>2016agebwt30-341000-1499infant</v>
      </c>
      <c r="Z1132" s="604">
        <v>2016</v>
      </c>
      <c r="AA1132" s="604" t="s">
        <v>453</v>
      </c>
      <c r="AB1132" s="604" t="s">
        <v>447</v>
      </c>
      <c r="AC1132" s="604" t="s">
        <v>132</v>
      </c>
      <c r="AD1132" s="604" t="s">
        <v>429</v>
      </c>
      <c r="AE1132" s="604">
        <v>0</v>
      </c>
      <c r="AF1132" s="604">
        <v>101</v>
      </c>
      <c r="AG1132" s="604">
        <v>0</v>
      </c>
      <c r="AH1132" s="604" t="s">
        <v>437</v>
      </c>
      <c r="AR1132" s="538" t="str">
        <f t="shared" si="137"/>
        <v>&lt;20ageinfantNelson Marlborough</v>
      </c>
      <c r="AS1132" s="604">
        <v>2016</v>
      </c>
      <c r="AT1132" s="604" t="s">
        <v>339</v>
      </c>
      <c r="AU1132" s="604" t="s">
        <v>453</v>
      </c>
      <c r="AV1132" s="604" t="s">
        <v>99</v>
      </c>
      <c r="AW1132" s="604">
        <v>0</v>
      </c>
      <c r="AX1132" s="604">
        <v>65</v>
      </c>
      <c r="AY1132" s="606">
        <v>0</v>
      </c>
      <c r="AZ1132" s="604" t="s">
        <v>437</v>
      </c>
      <c r="BY1132" s="553" t="str">
        <f t="shared" si="136"/>
        <v>2011500-999bwtSUDI</v>
      </c>
      <c r="BZ1132" s="604">
        <v>2011</v>
      </c>
      <c r="CA1132" s="604" t="s">
        <v>428</v>
      </c>
      <c r="CB1132" s="604" t="s">
        <v>447</v>
      </c>
      <c r="CC1132" s="604">
        <v>0</v>
      </c>
      <c r="CD1132" s="604" t="s">
        <v>33</v>
      </c>
    </row>
    <row r="1133" spans="9:82">
      <c r="I1133" s="578" t="str">
        <f t="shared" si="133"/>
        <v>2015dhbCanterburyFetal</v>
      </c>
      <c r="J1133" s="604">
        <v>2015</v>
      </c>
      <c r="K1133" s="604" t="s">
        <v>448</v>
      </c>
      <c r="L1133" s="604" t="s">
        <v>101</v>
      </c>
      <c r="M1133" s="604">
        <v>50</v>
      </c>
      <c r="N1133" s="604">
        <v>6489</v>
      </c>
      <c r="O1133" s="604">
        <v>7.7</v>
      </c>
      <c r="P1133" s="604" t="s">
        <v>47</v>
      </c>
      <c r="Q1133" s="499"/>
      <c r="Y1133" s="535" t="str">
        <f t="shared" si="135"/>
        <v>2016agebwt35-391000-1499infant</v>
      </c>
      <c r="Z1133" s="604">
        <v>2016</v>
      </c>
      <c r="AA1133" s="604" t="s">
        <v>453</v>
      </c>
      <c r="AB1133" s="604" t="s">
        <v>447</v>
      </c>
      <c r="AC1133" s="604" t="s">
        <v>133</v>
      </c>
      <c r="AD1133" s="604" t="s">
        <v>429</v>
      </c>
      <c r="AE1133" s="604">
        <v>2</v>
      </c>
      <c r="AF1133" s="604">
        <v>47</v>
      </c>
      <c r="AG1133" s="604">
        <v>42.6</v>
      </c>
      <c r="AH1133" s="604" t="s">
        <v>437</v>
      </c>
      <c r="AR1133" s="538" t="str">
        <f t="shared" si="137"/>
        <v>20-24ageinfantNelson Marlborough</v>
      </c>
      <c r="AS1133" s="604">
        <v>2016</v>
      </c>
      <c r="AT1133" s="604" t="s">
        <v>130</v>
      </c>
      <c r="AU1133" s="604" t="s">
        <v>453</v>
      </c>
      <c r="AV1133" s="604" t="s">
        <v>99</v>
      </c>
      <c r="AW1133" s="604">
        <v>0</v>
      </c>
      <c r="AX1133" s="604">
        <v>267</v>
      </c>
      <c r="AY1133" s="606">
        <v>0</v>
      </c>
      <c r="AZ1133" s="604" t="s">
        <v>437</v>
      </c>
      <c r="BY1133" s="553" t="str">
        <f t="shared" si="136"/>
        <v>20111000-1499bwtSUDI</v>
      </c>
      <c r="BZ1133" s="604">
        <v>2011</v>
      </c>
      <c r="CA1133" s="604" t="s">
        <v>429</v>
      </c>
      <c r="CB1133" s="604" t="s">
        <v>447</v>
      </c>
      <c r="CC1133" s="604">
        <v>2</v>
      </c>
      <c r="CD1133" s="604" t="s">
        <v>33</v>
      </c>
    </row>
    <row r="1134" spans="9:82">
      <c r="I1134" s="578" t="str">
        <f t="shared" si="133"/>
        <v>2015dhbSouth CanterburyFetal</v>
      </c>
      <c r="J1134" s="604">
        <v>2015</v>
      </c>
      <c r="K1134" s="604" t="s">
        <v>448</v>
      </c>
      <c r="L1134" s="604" t="s">
        <v>102</v>
      </c>
      <c r="M1134" s="604">
        <v>1</v>
      </c>
      <c r="N1134" s="604">
        <v>683</v>
      </c>
      <c r="O1134" s="604">
        <v>1.5</v>
      </c>
      <c r="P1134" s="604" t="s">
        <v>47</v>
      </c>
      <c r="Q1134" s="499"/>
      <c r="Y1134" s="535" t="str">
        <f t="shared" si="135"/>
        <v>2016agebwt40+1000-1499infant</v>
      </c>
      <c r="Z1134" s="604">
        <v>2016</v>
      </c>
      <c r="AA1134" s="604" t="s">
        <v>453</v>
      </c>
      <c r="AB1134" s="604" t="s">
        <v>447</v>
      </c>
      <c r="AC1134" s="604" t="s">
        <v>134</v>
      </c>
      <c r="AD1134" s="604" t="s">
        <v>429</v>
      </c>
      <c r="AE1134" s="604">
        <v>1</v>
      </c>
      <c r="AF1134" s="604">
        <v>16</v>
      </c>
      <c r="AG1134" s="604">
        <v>62.5</v>
      </c>
      <c r="AH1134" s="604" t="s">
        <v>437</v>
      </c>
      <c r="AR1134" s="538" t="str">
        <f t="shared" si="137"/>
        <v>30-34ageinfantNelson Marlborough</v>
      </c>
      <c r="AS1134" s="604">
        <v>2016</v>
      </c>
      <c r="AT1134" s="604" t="s">
        <v>132</v>
      </c>
      <c r="AU1134" s="604" t="s">
        <v>453</v>
      </c>
      <c r="AV1134" s="604" t="s">
        <v>99</v>
      </c>
      <c r="AW1134" s="604">
        <v>0</v>
      </c>
      <c r="AX1134" s="604">
        <v>472</v>
      </c>
      <c r="AY1134" s="606">
        <v>0</v>
      </c>
      <c r="AZ1134" s="604" t="s">
        <v>437</v>
      </c>
      <c r="BY1134" s="553" t="str">
        <f t="shared" si="136"/>
        <v>20111500-2499bwtSUDI</v>
      </c>
      <c r="BZ1134" s="604">
        <v>2011</v>
      </c>
      <c r="CA1134" s="604" t="s">
        <v>430</v>
      </c>
      <c r="CB1134" s="604" t="s">
        <v>447</v>
      </c>
      <c r="CC1134" s="604">
        <v>13</v>
      </c>
      <c r="CD1134" s="604" t="s">
        <v>33</v>
      </c>
    </row>
    <row r="1135" spans="9:82">
      <c r="I1135" s="578" t="str">
        <f t="shared" si="133"/>
        <v>2015dhbSouthernFetal</v>
      </c>
      <c r="J1135" s="604">
        <v>2015</v>
      </c>
      <c r="K1135" s="604" t="s">
        <v>448</v>
      </c>
      <c r="L1135" s="604" t="s">
        <v>103</v>
      </c>
      <c r="M1135" s="604">
        <v>26</v>
      </c>
      <c r="N1135" s="604">
        <v>3672</v>
      </c>
      <c r="O1135" s="604">
        <v>7.1</v>
      </c>
      <c r="P1135" s="604" t="s">
        <v>47</v>
      </c>
      <c r="Q1135" s="499"/>
      <c r="Y1135" s="535" t="str">
        <f t="shared" si="135"/>
        <v>2016agebwt&lt;201500-2499infant</v>
      </c>
      <c r="Z1135" s="604">
        <v>2016</v>
      </c>
      <c r="AA1135" s="604" t="s">
        <v>453</v>
      </c>
      <c r="AB1135" s="604" t="s">
        <v>447</v>
      </c>
      <c r="AC1135" s="604" t="s">
        <v>339</v>
      </c>
      <c r="AD1135" s="604" t="s">
        <v>430</v>
      </c>
      <c r="AE1135" s="604">
        <v>3</v>
      </c>
      <c r="AF1135" s="604">
        <v>164</v>
      </c>
      <c r="AG1135" s="604">
        <v>18.3</v>
      </c>
      <c r="AH1135" s="604" t="s">
        <v>437</v>
      </c>
      <c r="AR1135" s="538" t="str">
        <f t="shared" si="137"/>
        <v>35-39ageinfantNelson Marlborough</v>
      </c>
      <c r="AS1135" s="604">
        <v>2016</v>
      </c>
      <c r="AT1135" s="604" t="s">
        <v>133</v>
      </c>
      <c r="AU1135" s="604" t="s">
        <v>453</v>
      </c>
      <c r="AV1135" s="604" t="s">
        <v>99</v>
      </c>
      <c r="AW1135" s="604">
        <v>0</v>
      </c>
      <c r="AX1135" s="604">
        <v>241</v>
      </c>
      <c r="AY1135" s="606">
        <v>0</v>
      </c>
      <c r="AZ1135" s="604" t="s">
        <v>437</v>
      </c>
      <c r="BY1135" s="553" t="str">
        <f t="shared" si="136"/>
        <v>20112500-4499bwtSUDI</v>
      </c>
      <c r="BZ1135" s="604">
        <v>2011</v>
      </c>
      <c r="CA1135" s="604" t="s">
        <v>431</v>
      </c>
      <c r="CB1135" s="604" t="s">
        <v>447</v>
      </c>
      <c r="CC1135" s="604">
        <v>36</v>
      </c>
      <c r="CD1135" s="604" t="s">
        <v>33</v>
      </c>
    </row>
    <row r="1136" spans="9:82">
      <c r="I1136" s="578" t="str">
        <f t="shared" si="133"/>
        <v>2015dhbUnknownFetal</v>
      </c>
      <c r="J1136" s="604">
        <v>2015</v>
      </c>
      <c r="K1136" s="604" t="s">
        <v>448</v>
      </c>
      <c r="L1136" s="604" t="s">
        <v>63</v>
      </c>
      <c r="M1136" s="604">
        <v>2</v>
      </c>
      <c r="N1136" s="604">
        <v>171</v>
      </c>
      <c r="O1136" s="604" t="s">
        <v>119</v>
      </c>
      <c r="P1136" s="604" t="s">
        <v>47</v>
      </c>
      <c r="Q1136" s="499"/>
      <c r="Y1136" s="535" t="str">
        <f t="shared" si="135"/>
        <v>2016agebwt20-241500-2499infant</v>
      </c>
      <c r="Z1136" s="604">
        <v>2016</v>
      </c>
      <c r="AA1136" s="604" t="s">
        <v>453</v>
      </c>
      <c r="AB1136" s="604" t="s">
        <v>447</v>
      </c>
      <c r="AC1136" s="604" t="s">
        <v>130</v>
      </c>
      <c r="AD1136" s="604" t="s">
        <v>430</v>
      </c>
      <c r="AE1136" s="604">
        <v>10</v>
      </c>
      <c r="AF1136" s="604">
        <v>500</v>
      </c>
      <c r="AG1136" s="604">
        <v>20</v>
      </c>
      <c r="AH1136" s="604" t="s">
        <v>437</v>
      </c>
      <c r="AR1136" s="538" t="str">
        <f t="shared" si="137"/>
        <v>40+ageinfantNelson Marlborough</v>
      </c>
      <c r="AS1136" s="604">
        <v>2016</v>
      </c>
      <c r="AT1136" s="604" t="s">
        <v>134</v>
      </c>
      <c r="AU1136" s="604" t="s">
        <v>453</v>
      </c>
      <c r="AV1136" s="604" t="s">
        <v>99</v>
      </c>
      <c r="AW1136" s="604">
        <v>0</v>
      </c>
      <c r="AX1136" s="604">
        <v>63</v>
      </c>
      <c r="AY1136" s="606">
        <v>0</v>
      </c>
      <c r="AZ1136" s="604" t="s">
        <v>437</v>
      </c>
      <c r="BY1136" s="553" t="str">
        <f t="shared" si="136"/>
        <v>20114500+bwtSUDI</v>
      </c>
      <c r="BZ1136" s="604">
        <v>2011</v>
      </c>
      <c r="CA1136" s="604" t="s">
        <v>432</v>
      </c>
      <c r="CB1136" s="604" t="s">
        <v>447</v>
      </c>
      <c r="CC1136" s="604">
        <v>0</v>
      </c>
      <c r="CD1136" s="604" t="s">
        <v>33</v>
      </c>
    </row>
    <row r="1137" spans="9:82">
      <c r="I1137" s="578" t="str">
        <f t="shared" si="133"/>
        <v>2016dhbNorthlandFetal</v>
      </c>
      <c r="J1137" s="604">
        <v>2016</v>
      </c>
      <c r="K1137" s="604" t="s">
        <v>448</v>
      </c>
      <c r="L1137" s="604" t="s">
        <v>85</v>
      </c>
      <c r="M1137" s="604">
        <v>20</v>
      </c>
      <c r="N1137" s="604">
        <v>2340</v>
      </c>
      <c r="O1137" s="604">
        <v>8.5</v>
      </c>
      <c r="P1137" s="604" t="s">
        <v>47</v>
      </c>
      <c r="Q1137" s="499"/>
      <c r="Y1137" s="535" t="str">
        <f t="shared" si="135"/>
        <v>2016agebwt25-291500-2499infant</v>
      </c>
      <c r="Z1137" s="604">
        <v>2016</v>
      </c>
      <c r="AA1137" s="604" t="s">
        <v>453</v>
      </c>
      <c r="AB1137" s="604" t="s">
        <v>447</v>
      </c>
      <c r="AC1137" s="604" t="s">
        <v>131</v>
      </c>
      <c r="AD1137" s="604" t="s">
        <v>430</v>
      </c>
      <c r="AE1137" s="604">
        <v>3</v>
      </c>
      <c r="AF1137" s="604">
        <v>755</v>
      </c>
      <c r="AG1137" s="604">
        <v>4</v>
      </c>
      <c r="AH1137" s="604" t="s">
        <v>437</v>
      </c>
      <c r="AR1137" s="538" t="str">
        <f t="shared" si="137"/>
        <v>25-29ageinfantWest Coast</v>
      </c>
      <c r="AS1137" s="604">
        <v>2016</v>
      </c>
      <c r="AT1137" s="604" t="s">
        <v>131</v>
      </c>
      <c r="AU1137" s="604" t="s">
        <v>453</v>
      </c>
      <c r="AV1137" s="604" t="s">
        <v>100</v>
      </c>
      <c r="AW1137" s="604">
        <v>0</v>
      </c>
      <c r="AX1137" s="604">
        <v>100</v>
      </c>
      <c r="AY1137" s="606">
        <v>0</v>
      </c>
      <c r="AZ1137" s="604" t="s">
        <v>437</v>
      </c>
      <c r="BY1137" s="553" t="str">
        <f t="shared" si="136"/>
        <v>2011UnknownbwtSUDI</v>
      </c>
      <c r="BZ1137" s="604">
        <v>2011</v>
      </c>
      <c r="CA1137" s="604" t="s">
        <v>63</v>
      </c>
      <c r="CB1137" s="604" t="s">
        <v>447</v>
      </c>
      <c r="CC1137" s="604">
        <v>3</v>
      </c>
      <c r="CD1137" s="604" t="s">
        <v>33</v>
      </c>
    </row>
    <row r="1138" spans="9:82">
      <c r="I1138" s="578" t="str">
        <f t="shared" si="133"/>
        <v>2016dhbWaitemataFetal</v>
      </c>
      <c r="J1138" s="604">
        <v>2016</v>
      </c>
      <c r="K1138" s="604" t="s">
        <v>448</v>
      </c>
      <c r="L1138" s="604" t="s">
        <v>86</v>
      </c>
      <c r="M1138" s="604">
        <v>42</v>
      </c>
      <c r="N1138" s="604">
        <v>8093</v>
      </c>
      <c r="O1138" s="604">
        <v>5.2</v>
      </c>
      <c r="P1138" s="604" t="s">
        <v>47</v>
      </c>
      <c r="Q1138" s="499"/>
      <c r="Y1138" s="535" t="str">
        <f t="shared" si="135"/>
        <v>2016agebwt30-341500-2499infant</v>
      </c>
      <c r="Z1138" s="604">
        <v>2016</v>
      </c>
      <c r="AA1138" s="604" t="s">
        <v>453</v>
      </c>
      <c r="AB1138" s="604" t="s">
        <v>447</v>
      </c>
      <c r="AC1138" s="604" t="s">
        <v>132</v>
      </c>
      <c r="AD1138" s="604" t="s">
        <v>430</v>
      </c>
      <c r="AE1138" s="604">
        <v>10</v>
      </c>
      <c r="AF1138" s="604">
        <v>903</v>
      </c>
      <c r="AG1138" s="604">
        <v>11.1</v>
      </c>
      <c r="AH1138" s="604" t="s">
        <v>437</v>
      </c>
      <c r="AR1138" s="538" t="str">
        <f t="shared" si="137"/>
        <v>30-34ageinfantWest Coast</v>
      </c>
      <c r="AS1138" s="604">
        <v>2016</v>
      </c>
      <c r="AT1138" s="604" t="s">
        <v>132</v>
      </c>
      <c r="AU1138" s="604" t="s">
        <v>453</v>
      </c>
      <c r="AV1138" s="604" t="s">
        <v>100</v>
      </c>
      <c r="AW1138" s="604">
        <v>0</v>
      </c>
      <c r="AX1138" s="604">
        <v>88</v>
      </c>
      <c r="AY1138" s="606">
        <v>0</v>
      </c>
      <c r="AZ1138" s="604" t="s">
        <v>437</v>
      </c>
      <c r="BY1138" s="553" t="str">
        <f t="shared" si="136"/>
        <v>2012&lt;500bwtSUDI</v>
      </c>
      <c r="BZ1138" s="604">
        <v>2012</v>
      </c>
      <c r="CA1138" s="604" t="s">
        <v>427</v>
      </c>
      <c r="CB1138" s="604" t="s">
        <v>447</v>
      </c>
      <c r="CC1138" s="604">
        <v>0</v>
      </c>
      <c r="CD1138" s="604" t="s">
        <v>33</v>
      </c>
    </row>
    <row r="1139" spans="9:82">
      <c r="I1139" s="578" t="str">
        <f t="shared" si="133"/>
        <v>2016dhbAucklandFetal</v>
      </c>
      <c r="J1139" s="604">
        <v>2016</v>
      </c>
      <c r="K1139" s="604" t="s">
        <v>448</v>
      </c>
      <c r="L1139" s="604" t="s">
        <v>87</v>
      </c>
      <c r="M1139" s="604">
        <v>39</v>
      </c>
      <c r="N1139" s="604">
        <v>5944</v>
      </c>
      <c r="O1139" s="604">
        <v>6.6</v>
      </c>
      <c r="P1139" s="604" t="s">
        <v>47</v>
      </c>
      <c r="Q1139" s="499"/>
      <c r="Y1139" s="535" t="str">
        <f t="shared" si="135"/>
        <v>2016agebwt35-391500-2499infant</v>
      </c>
      <c r="Z1139" s="604">
        <v>2016</v>
      </c>
      <c r="AA1139" s="604" t="s">
        <v>453</v>
      </c>
      <c r="AB1139" s="604" t="s">
        <v>447</v>
      </c>
      <c r="AC1139" s="604" t="s">
        <v>133</v>
      </c>
      <c r="AD1139" s="604" t="s">
        <v>430</v>
      </c>
      <c r="AE1139" s="604">
        <v>6</v>
      </c>
      <c r="AF1139" s="604">
        <v>504</v>
      </c>
      <c r="AG1139" s="604">
        <v>11.9</v>
      </c>
      <c r="AH1139" s="604" t="s">
        <v>437</v>
      </c>
      <c r="AR1139" s="538" t="str">
        <f t="shared" si="137"/>
        <v>35-39ageinfantWest Coast</v>
      </c>
      <c r="AS1139" s="604">
        <v>2016</v>
      </c>
      <c r="AT1139" s="604" t="s">
        <v>133</v>
      </c>
      <c r="AU1139" s="604" t="s">
        <v>453</v>
      </c>
      <c r="AV1139" s="604" t="s">
        <v>100</v>
      </c>
      <c r="AW1139" s="604">
        <v>0</v>
      </c>
      <c r="AX1139" s="604">
        <v>44</v>
      </c>
      <c r="AY1139" s="606">
        <v>0</v>
      </c>
      <c r="AZ1139" s="604" t="s">
        <v>437</v>
      </c>
      <c r="BY1139" s="553" t="str">
        <f t="shared" si="136"/>
        <v>2012500-999bwtSUDI</v>
      </c>
      <c r="BZ1139" s="604">
        <v>2012</v>
      </c>
      <c r="CA1139" s="604" t="s">
        <v>428</v>
      </c>
      <c r="CB1139" s="604" t="s">
        <v>447</v>
      </c>
      <c r="CC1139" s="604">
        <v>0</v>
      </c>
      <c r="CD1139" s="604" t="s">
        <v>33</v>
      </c>
    </row>
    <row r="1140" spans="9:82">
      <c r="I1140" s="578" t="str">
        <f t="shared" si="133"/>
        <v>2016dhbCounties ManukauFetal</v>
      </c>
      <c r="J1140" s="604">
        <v>2016</v>
      </c>
      <c r="K1140" s="604" t="s">
        <v>448</v>
      </c>
      <c r="L1140" s="604" t="s">
        <v>88</v>
      </c>
      <c r="M1140" s="604">
        <v>66</v>
      </c>
      <c r="N1140" s="604">
        <v>8441</v>
      </c>
      <c r="O1140" s="604">
        <v>7.8</v>
      </c>
      <c r="P1140" s="604" t="s">
        <v>47</v>
      </c>
      <c r="Q1140" s="499"/>
      <c r="Y1140" s="535" t="str">
        <f t="shared" si="135"/>
        <v>2016agebwt40+1500-2499infant</v>
      </c>
      <c r="Z1140" s="604">
        <v>2016</v>
      </c>
      <c r="AA1140" s="604" t="s">
        <v>453</v>
      </c>
      <c r="AB1140" s="604" t="s">
        <v>447</v>
      </c>
      <c r="AC1140" s="604" t="s">
        <v>134</v>
      </c>
      <c r="AD1140" s="604" t="s">
        <v>430</v>
      </c>
      <c r="AE1140" s="604">
        <v>3</v>
      </c>
      <c r="AF1140" s="604">
        <v>165</v>
      </c>
      <c r="AG1140" s="604">
        <v>18.2</v>
      </c>
      <c r="AH1140" s="604" t="s">
        <v>437</v>
      </c>
      <c r="AR1140" s="538" t="str">
        <f t="shared" si="137"/>
        <v>40+ageinfantWest Coast</v>
      </c>
      <c r="AS1140" s="604">
        <v>2016</v>
      </c>
      <c r="AT1140" s="604" t="s">
        <v>134</v>
      </c>
      <c r="AU1140" s="604" t="s">
        <v>453</v>
      </c>
      <c r="AV1140" s="604" t="s">
        <v>100</v>
      </c>
      <c r="AW1140" s="604">
        <v>0</v>
      </c>
      <c r="AX1140" s="604">
        <v>13</v>
      </c>
      <c r="AY1140" s="606">
        <v>0</v>
      </c>
      <c r="AZ1140" s="604" t="s">
        <v>437</v>
      </c>
      <c r="BY1140" s="553" t="str">
        <f t="shared" si="136"/>
        <v>20121000-1499bwtSUDI</v>
      </c>
      <c r="BZ1140" s="604">
        <v>2012</v>
      </c>
      <c r="CA1140" s="604" t="s">
        <v>429</v>
      </c>
      <c r="CB1140" s="604" t="s">
        <v>447</v>
      </c>
      <c r="CC1140" s="604">
        <v>1</v>
      </c>
      <c r="CD1140" s="604" t="s">
        <v>33</v>
      </c>
    </row>
    <row r="1141" spans="9:82">
      <c r="I1141" s="578" t="str">
        <f t="shared" si="133"/>
        <v>2016dhbWaikatoFetal</v>
      </c>
      <c r="J1141" s="604">
        <v>2016</v>
      </c>
      <c r="K1141" s="604" t="s">
        <v>448</v>
      </c>
      <c r="L1141" s="604" t="s">
        <v>89</v>
      </c>
      <c r="M1141" s="604">
        <v>58</v>
      </c>
      <c r="N1141" s="604">
        <v>5565</v>
      </c>
      <c r="O1141" s="604">
        <v>10.4</v>
      </c>
      <c r="P1141" s="604" t="s">
        <v>47</v>
      </c>
      <c r="Q1141" s="499"/>
      <c r="Y1141" s="535" t="str">
        <f t="shared" si="135"/>
        <v>2016agebwt&lt;202500-4499infant</v>
      </c>
      <c r="Z1141" s="604">
        <v>2016</v>
      </c>
      <c r="AA1141" s="604" t="s">
        <v>453</v>
      </c>
      <c r="AB1141" s="604" t="s">
        <v>447</v>
      </c>
      <c r="AC1141" s="604" t="s">
        <v>339</v>
      </c>
      <c r="AD1141" s="604" t="s">
        <v>431</v>
      </c>
      <c r="AE1141" s="604">
        <v>12</v>
      </c>
      <c r="AF1141" s="604">
        <v>2320</v>
      </c>
      <c r="AG1141" s="604">
        <v>5.2</v>
      </c>
      <c r="AH1141" s="604" t="s">
        <v>437</v>
      </c>
      <c r="AR1141" s="538" t="str">
        <f t="shared" si="137"/>
        <v>&lt;20ageinfantCanterbury</v>
      </c>
      <c r="AS1141" s="604">
        <v>2016</v>
      </c>
      <c r="AT1141" s="604" t="s">
        <v>339</v>
      </c>
      <c r="AU1141" s="604" t="s">
        <v>453</v>
      </c>
      <c r="AV1141" s="604" t="s">
        <v>101</v>
      </c>
      <c r="AW1141" s="604">
        <v>0</v>
      </c>
      <c r="AX1141" s="604">
        <v>192</v>
      </c>
      <c r="AY1141" s="606">
        <v>0</v>
      </c>
      <c r="AZ1141" s="604" t="s">
        <v>437</v>
      </c>
      <c r="BY1141" s="553" t="str">
        <f t="shared" si="136"/>
        <v>20121500-2499bwtSUDI</v>
      </c>
      <c r="BZ1141" s="604">
        <v>2012</v>
      </c>
      <c r="CA1141" s="604" t="s">
        <v>430</v>
      </c>
      <c r="CB1141" s="604" t="s">
        <v>447</v>
      </c>
      <c r="CC1141" s="604">
        <v>4</v>
      </c>
      <c r="CD1141" s="604" t="s">
        <v>33</v>
      </c>
    </row>
    <row r="1142" spans="9:82">
      <c r="I1142" s="578" t="str">
        <f t="shared" si="133"/>
        <v>2016dhbLakesFetal</v>
      </c>
      <c r="J1142" s="604">
        <v>2016</v>
      </c>
      <c r="K1142" s="604" t="s">
        <v>448</v>
      </c>
      <c r="L1142" s="604" t="s">
        <v>90</v>
      </c>
      <c r="M1142" s="604">
        <v>13</v>
      </c>
      <c r="N1142" s="604">
        <v>1582</v>
      </c>
      <c r="O1142" s="604">
        <v>8.1999999999999993</v>
      </c>
      <c r="P1142" s="604" t="s">
        <v>47</v>
      </c>
      <c r="Q1142" s="499"/>
      <c r="Y1142" s="535" t="str">
        <f t="shared" si="135"/>
        <v>2016agebwt20-242500-4499infant</v>
      </c>
      <c r="Z1142" s="604">
        <v>2016</v>
      </c>
      <c r="AA1142" s="604" t="s">
        <v>453</v>
      </c>
      <c r="AB1142" s="604" t="s">
        <v>447</v>
      </c>
      <c r="AC1142" s="604" t="s">
        <v>130</v>
      </c>
      <c r="AD1142" s="604" t="s">
        <v>431</v>
      </c>
      <c r="AE1142" s="604">
        <v>23</v>
      </c>
      <c r="AF1142" s="604">
        <v>9130</v>
      </c>
      <c r="AG1142" s="604">
        <v>2.5</v>
      </c>
      <c r="AH1142" s="604" t="s">
        <v>437</v>
      </c>
      <c r="AR1142" s="538" t="str">
        <f t="shared" si="137"/>
        <v>40+ageinfantCanterbury</v>
      </c>
      <c r="AS1142" s="604">
        <v>2016</v>
      </c>
      <c r="AT1142" s="604" t="s">
        <v>134</v>
      </c>
      <c r="AU1142" s="604" t="s">
        <v>453</v>
      </c>
      <c r="AV1142" s="604" t="s">
        <v>101</v>
      </c>
      <c r="AW1142" s="604">
        <v>0</v>
      </c>
      <c r="AX1142" s="604">
        <v>266</v>
      </c>
      <c r="AY1142" s="606">
        <v>0</v>
      </c>
      <c r="AZ1142" s="604" t="s">
        <v>437</v>
      </c>
      <c r="BY1142" s="553" t="str">
        <f t="shared" si="136"/>
        <v>20122500-4499bwtSUDI</v>
      </c>
      <c r="BZ1142" s="604">
        <v>2012</v>
      </c>
      <c r="CA1142" s="604" t="s">
        <v>431</v>
      </c>
      <c r="CB1142" s="604" t="s">
        <v>447</v>
      </c>
      <c r="CC1142" s="604">
        <v>31</v>
      </c>
      <c r="CD1142" s="604" t="s">
        <v>33</v>
      </c>
    </row>
    <row r="1143" spans="9:82">
      <c r="I1143" s="578" t="str">
        <f t="shared" si="133"/>
        <v>2016dhbBay of PlentyFetal</v>
      </c>
      <c r="J1143" s="604">
        <v>2016</v>
      </c>
      <c r="K1143" s="604" t="s">
        <v>448</v>
      </c>
      <c r="L1143" s="604" t="s">
        <v>91</v>
      </c>
      <c r="M1143" s="604">
        <v>19</v>
      </c>
      <c r="N1143" s="604">
        <v>2959</v>
      </c>
      <c r="O1143" s="604">
        <v>6.4</v>
      </c>
      <c r="P1143" s="604" t="s">
        <v>47</v>
      </c>
      <c r="Q1143" s="499"/>
      <c r="Y1143" s="535" t="str">
        <f t="shared" si="135"/>
        <v>2016agebwt25-292500-4499infant</v>
      </c>
      <c r="Z1143" s="604">
        <v>2016</v>
      </c>
      <c r="AA1143" s="604" t="s">
        <v>453</v>
      </c>
      <c r="AB1143" s="604" t="s">
        <v>447</v>
      </c>
      <c r="AC1143" s="604" t="s">
        <v>131</v>
      </c>
      <c r="AD1143" s="604" t="s">
        <v>431</v>
      </c>
      <c r="AE1143" s="604">
        <v>23</v>
      </c>
      <c r="AF1143" s="604">
        <v>15332</v>
      </c>
      <c r="AG1143" s="604">
        <v>1.5</v>
      </c>
      <c r="AH1143" s="604" t="s">
        <v>437</v>
      </c>
      <c r="AR1143" s="538" t="str">
        <f t="shared" si="137"/>
        <v>&lt;20ageinfantSouth Canterbury</v>
      </c>
      <c r="AS1143" s="604">
        <v>2016</v>
      </c>
      <c r="AT1143" s="604" t="s">
        <v>339</v>
      </c>
      <c r="AU1143" s="604" t="s">
        <v>453</v>
      </c>
      <c r="AV1143" s="604" t="s">
        <v>102</v>
      </c>
      <c r="AW1143" s="604">
        <v>0</v>
      </c>
      <c r="AX1143" s="604">
        <v>20</v>
      </c>
      <c r="AY1143" s="606">
        <v>0</v>
      </c>
      <c r="AZ1143" s="604" t="s">
        <v>437</v>
      </c>
      <c r="BY1143" s="553" t="str">
        <f t="shared" si="136"/>
        <v>20124500+bwtSUDI</v>
      </c>
      <c r="BZ1143" s="604">
        <v>2012</v>
      </c>
      <c r="CA1143" s="604" t="s">
        <v>432</v>
      </c>
      <c r="CB1143" s="604" t="s">
        <v>447</v>
      </c>
      <c r="CC1143" s="604">
        <v>0</v>
      </c>
      <c r="CD1143" s="604" t="s">
        <v>33</v>
      </c>
    </row>
    <row r="1144" spans="9:82">
      <c r="I1144" s="578" t="str">
        <f t="shared" si="133"/>
        <v>2016dhbTairawhitiFetal</v>
      </c>
      <c r="J1144" s="604">
        <v>2016</v>
      </c>
      <c r="K1144" s="604" t="s">
        <v>448</v>
      </c>
      <c r="L1144" s="604" t="s">
        <v>433</v>
      </c>
      <c r="M1144" s="604">
        <v>2</v>
      </c>
      <c r="N1144" s="604">
        <v>771</v>
      </c>
      <c r="O1144" s="604">
        <v>2.6</v>
      </c>
      <c r="P1144" s="604" t="s">
        <v>47</v>
      </c>
      <c r="Q1144" s="499"/>
      <c r="Y1144" s="535" t="str">
        <f t="shared" si="135"/>
        <v>2016agebwt30-342500-4499infant</v>
      </c>
      <c r="Z1144" s="604">
        <v>2016</v>
      </c>
      <c r="AA1144" s="604" t="s">
        <v>453</v>
      </c>
      <c r="AB1144" s="604" t="s">
        <v>447</v>
      </c>
      <c r="AC1144" s="604" t="s">
        <v>132</v>
      </c>
      <c r="AD1144" s="604" t="s">
        <v>431</v>
      </c>
      <c r="AE1144" s="604">
        <v>21</v>
      </c>
      <c r="AF1144" s="604">
        <v>17196</v>
      </c>
      <c r="AG1144" s="604">
        <v>1.2</v>
      </c>
      <c r="AH1144" s="604" t="s">
        <v>437</v>
      </c>
      <c r="AR1144" s="538" t="str">
        <f t="shared" si="137"/>
        <v>35-39ageinfantSouth Canterbury</v>
      </c>
      <c r="AS1144" s="604">
        <v>2016</v>
      </c>
      <c r="AT1144" s="604" t="s">
        <v>133</v>
      </c>
      <c r="AU1144" s="604" t="s">
        <v>453</v>
      </c>
      <c r="AV1144" s="604" t="s">
        <v>102</v>
      </c>
      <c r="AW1144" s="604">
        <v>0</v>
      </c>
      <c r="AX1144" s="604">
        <v>79</v>
      </c>
      <c r="AY1144" s="606">
        <v>0</v>
      </c>
      <c r="AZ1144" s="604" t="s">
        <v>437</v>
      </c>
      <c r="BY1144" s="553" t="str">
        <f t="shared" si="136"/>
        <v>2012UnknownbwtSUDI</v>
      </c>
      <c r="BZ1144" s="604">
        <v>2012</v>
      </c>
      <c r="CA1144" s="604" t="s">
        <v>63</v>
      </c>
      <c r="CB1144" s="604" t="s">
        <v>447</v>
      </c>
      <c r="CC1144" s="604">
        <v>1</v>
      </c>
      <c r="CD1144" s="604" t="s">
        <v>33</v>
      </c>
    </row>
    <row r="1145" spans="9:82">
      <c r="I1145" s="578" t="str">
        <f t="shared" si="133"/>
        <v>2016dhbHawke's BayFetal</v>
      </c>
      <c r="J1145" s="604">
        <v>2016</v>
      </c>
      <c r="K1145" s="604" t="s">
        <v>448</v>
      </c>
      <c r="L1145" s="604" t="s">
        <v>92</v>
      </c>
      <c r="M1145" s="604">
        <v>7</v>
      </c>
      <c r="N1145" s="604">
        <v>2105</v>
      </c>
      <c r="O1145" s="604">
        <v>3.3</v>
      </c>
      <c r="P1145" s="604" t="s">
        <v>47</v>
      </c>
      <c r="Q1145" s="499"/>
      <c r="Y1145" s="535" t="str">
        <f t="shared" si="135"/>
        <v>2016agebwt35-392500-4499infant</v>
      </c>
      <c r="Z1145" s="604">
        <v>2016</v>
      </c>
      <c r="AA1145" s="604" t="s">
        <v>453</v>
      </c>
      <c r="AB1145" s="604" t="s">
        <v>447</v>
      </c>
      <c r="AC1145" s="604" t="s">
        <v>133</v>
      </c>
      <c r="AD1145" s="604" t="s">
        <v>431</v>
      </c>
      <c r="AE1145" s="604">
        <v>12</v>
      </c>
      <c r="AF1145" s="604">
        <v>9239</v>
      </c>
      <c r="AG1145" s="604">
        <v>1.3</v>
      </c>
      <c r="AH1145" s="604" t="s">
        <v>437</v>
      </c>
      <c r="AR1145" s="538" t="str">
        <f t="shared" si="137"/>
        <v>40+ageinfantSouth Canterbury</v>
      </c>
      <c r="AS1145" s="604">
        <v>2016</v>
      </c>
      <c r="AT1145" s="604" t="s">
        <v>134</v>
      </c>
      <c r="AU1145" s="604" t="s">
        <v>453</v>
      </c>
      <c r="AV1145" s="604" t="s">
        <v>102</v>
      </c>
      <c r="AW1145" s="604">
        <v>0</v>
      </c>
      <c r="AX1145" s="604">
        <v>15</v>
      </c>
      <c r="AY1145" s="606">
        <v>0</v>
      </c>
      <c r="AZ1145" s="604" t="s">
        <v>437</v>
      </c>
      <c r="BY1145" s="553" t="str">
        <f t="shared" si="136"/>
        <v>2013&lt;500bwtSUDI</v>
      </c>
      <c r="BZ1145" s="604">
        <v>2013</v>
      </c>
      <c r="CA1145" s="604" t="s">
        <v>427</v>
      </c>
      <c r="CB1145" s="604" t="s">
        <v>447</v>
      </c>
      <c r="CC1145" s="604">
        <v>0</v>
      </c>
      <c r="CD1145" s="604" t="s">
        <v>33</v>
      </c>
    </row>
    <row r="1146" spans="9:82">
      <c r="I1146" s="578" t="str">
        <f t="shared" si="133"/>
        <v>2016dhbTaranakiFetal</v>
      </c>
      <c r="J1146" s="604">
        <v>2016</v>
      </c>
      <c r="K1146" s="604" t="s">
        <v>448</v>
      </c>
      <c r="L1146" s="604" t="s">
        <v>93</v>
      </c>
      <c r="M1146" s="604">
        <v>13</v>
      </c>
      <c r="N1146" s="604">
        <v>1504</v>
      </c>
      <c r="O1146" s="604">
        <v>8.6</v>
      </c>
      <c r="P1146" s="604" t="s">
        <v>47</v>
      </c>
      <c r="Q1146" s="499"/>
      <c r="Y1146" s="535" t="str">
        <f t="shared" si="135"/>
        <v>2016agebwt40+2500-4499infant</v>
      </c>
      <c r="Z1146" s="604">
        <v>2016</v>
      </c>
      <c r="AA1146" s="604" t="s">
        <v>453</v>
      </c>
      <c r="AB1146" s="604" t="s">
        <v>447</v>
      </c>
      <c r="AC1146" s="604" t="s">
        <v>134</v>
      </c>
      <c r="AD1146" s="604" t="s">
        <v>431</v>
      </c>
      <c r="AE1146" s="604">
        <v>4</v>
      </c>
      <c r="AF1146" s="604">
        <v>2190</v>
      </c>
      <c r="AG1146" s="604">
        <v>1.8</v>
      </c>
      <c r="AH1146" s="604" t="s">
        <v>437</v>
      </c>
      <c r="AR1146" s="538" t="str">
        <f t="shared" si="137"/>
        <v>&lt;20ageinfantSouthern</v>
      </c>
      <c r="AS1146" s="604">
        <v>2016</v>
      </c>
      <c r="AT1146" s="604" t="s">
        <v>339</v>
      </c>
      <c r="AU1146" s="604" t="s">
        <v>453</v>
      </c>
      <c r="AV1146" s="604" t="s">
        <v>103</v>
      </c>
      <c r="AW1146" s="604">
        <v>0</v>
      </c>
      <c r="AX1146" s="604">
        <v>115</v>
      </c>
      <c r="AY1146" s="606">
        <v>0</v>
      </c>
      <c r="AZ1146" s="604" t="s">
        <v>437</v>
      </c>
      <c r="BY1146" s="553" t="str">
        <f t="shared" si="136"/>
        <v>2013500-999bwtSUDI</v>
      </c>
      <c r="BZ1146" s="604">
        <v>2013</v>
      </c>
      <c r="CA1146" s="604" t="s">
        <v>428</v>
      </c>
      <c r="CB1146" s="604" t="s">
        <v>447</v>
      </c>
      <c r="CC1146" s="604">
        <v>0</v>
      </c>
      <c r="CD1146" s="604" t="s">
        <v>33</v>
      </c>
    </row>
    <row r="1147" spans="9:82">
      <c r="I1147" s="578" t="str">
        <f t="shared" si="133"/>
        <v>2016dhbMidCentralFetal</v>
      </c>
      <c r="J1147" s="604">
        <v>2016</v>
      </c>
      <c r="K1147" s="604" t="s">
        <v>448</v>
      </c>
      <c r="L1147" s="604" t="s">
        <v>94</v>
      </c>
      <c r="M1147" s="604">
        <v>11</v>
      </c>
      <c r="N1147" s="604">
        <v>2117</v>
      </c>
      <c r="O1147" s="604">
        <v>5.2</v>
      </c>
      <c r="P1147" s="604" t="s">
        <v>47</v>
      </c>
      <c r="Q1147" s="499"/>
      <c r="Y1147" s="535" t="str">
        <f t="shared" si="135"/>
        <v>2016agebwt&lt;204500+infant</v>
      </c>
      <c r="Z1147" s="604">
        <v>2016</v>
      </c>
      <c r="AA1147" s="604" t="s">
        <v>453</v>
      </c>
      <c r="AB1147" s="604" t="s">
        <v>447</v>
      </c>
      <c r="AC1147" s="604" t="s">
        <v>339</v>
      </c>
      <c r="AD1147" s="604" t="s">
        <v>432</v>
      </c>
      <c r="AE1147" s="604">
        <v>0</v>
      </c>
      <c r="AF1147" s="604">
        <v>31</v>
      </c>
      <c r="AG1147" s="604">
        <v>0</v>
      </c>
      <c r="AH1147" s="604" t="s">
        <v>437</v>
      </c>
      <c r="AR1147" s="538" t="str">
        <f t="shared" si="137"/>
        <v>40+ageinfantSouthern</v>
      </c>
      <c r="AS1147" s="604">
        <v>2016</v>
      </c>
      <c r="AT1147" s="604" t="s">
        <v>134</v>
      </c>
      <c r="AU1147" s="604" t="s">
        <v>453</v>
      </c>
      <c r="AV1147" s="604" t="s">
        <v>103</v>
      </c>
      <c r="AW1147" s="604">
        <v>0</v>
      </c>
      <c r="AX1147" s="604">
        <v>145</v>
      </c>
      <c r="AY1147" s="606">
        <v>0</v>
      </c>
      <c r="AZ1147" s="604" t="s">
        <v>437</v>
      </c>
      <c r="BY1147" s="553" t="str">
        <f t="shared" si="136"/>
        <v>20131000-1499bwtSUDI</v>
      </c>
      <c r="BZ1147" s="604">
        <v>2013</v>
      </c>
      <c r="CA1147" s="604" t="s">
        <v>429</v>
      </c>
      <c r="CB1147" s="604" t="s">
        <v>447</v>
      </c>
      <c r="CC1147" s="604">
        <v>1</v>
      </c>
      <c r="CD1147" s="604" t="s">
        <v>33</v>
      </c>
    </row>
    <row r="1148" spans="9:82">
      <c r="I1148" s="578" t="str">
        <f t="shared" si="133"/>
        <v>2016dhbWhanganuiFetal</v>
      </c>
      <c r="J1148" s="604">
        <v>2016</v>
      </c>
      <c r="K1148" s="604" t="s">
        <v>448</v>
      </c>
      <c r="L1148" s="604" t="s">
        <v>95</v>
      </c>
      <c r="M1148" s="604">
        <v>4</v>
      </c>
      <c r="N1148" s="604">
        <v>847</v>
      </c>
      <c r="O1148" s="604">
        <v>4.7</v>
      </c>
      <c r="P1148" s="604" t="s">
        <v>47</v>
      </c>
      <c r="Q1148" s="499"/>
      <c r="Y1148" s="535" t="str">
        <f t="shared" si="135"/>
        <v>2016agebwt20-244500+infant</v>
      </c>
      <c r="Z1148" s="604">
        <v>2016</v>
      </c>
      <c r="AA1148" s="604" t="s">
        <v>453</v>
      </c>
      <c r="AB1148" s="604" t="s">
        <v>447</v>
      </c>
      <c r="AC1148" s="604" t="s">
        <v>130</v>
      </c>
      <c r="AD1148" s="604" t="s">
        <v>432</v>
      </c>
      <c r="AE1148" s="604">
        <v>0</v>
      </c>
      <c r="AF1148" s="604">
        <v>208</v>
      </c>
      <c r="AG1148" s="604">
        <v>0</v>
      </c>
      <c r="AH1148" s="604" t="s">
        <v>437</v>
      </c>
      <c r="AR1148" s="538" t="str">
        <f t="shared" si="137"/>
        <v>&lt;20ageinfantUnknown</v>
      </c>
      <c r="AS1148" s="604">
        <v>2016</v>
      </c>
      <c r="AT1148" s="604" t="s">
        <v>339</v>
      </c>
      <c r="AU1148" s="604" t="s">
        <v>453</v>
      </c>
      <c r="AV1148" s="604" t="s">
        <v>63</v>
      </c>
      <c r="AW1148" s="604">
        <v>0</v>
      </c>
      <c r="AX1148" s="604">
        <v>2</v>
      </c>
      <c r="AY1148" s="606" t="s">
        <v>119</v>
      </c>
      <c r="AZ1148" s="604" t="s">
        <v>437</v>
      </c>
      <c r="BY1148" s="553" t="str">
        <f t="shared" si="136"/>
        <v>20131500-2499bwtSUDI</v>
      </c>
      <c r="BZ1148" s="604">
        <v>2013</v>
      </c>
      <c r="CA1148" s="604" t="s">
        <v>430</v>
      </c>
      <c r="CB1148" s="604" t="s">
        <v>447</v>
      </c>
      <c r="CC1148" s="604">
        <v>5</v>
      </c>
      <c r="CD1148" s="604" t="s">
        <v>33</v>
      </c>
    </row>
    <row r="1149" spans="9:82">
      <c r="I1149" s="578" t="str">
        <f t="shared" si="133"/>
        <v>2016dhbCapital &amp; CoastFetal</v>
      </c>
      <c r="J1149" s="604">
        <v>2016</v>
      </c>
      <c r="K1149" s="604" t="s">
        <v>448</v>
      </c>
      <c r="L1149" s="604" t="s">
        <v>96</v>
      </c>
      <c r="M1149" s="604">
        <v>18</v>
      </c>
      <c r="N1149" s="604">
        <v>3545</v>
      </c>
      <c r="O1149" s="604">
        <v>5.0999999999999996</v>
      </c>
      <c r="P1149" s="604" t="s">
        <v>47</v>
      </c>
      <c r="Q1149" s="499"/>
      <c r="Y1149" s="535" t="str">
        <f t="shared" si="135"/>
        <v>2016agebwt25-294500+infant</v>
      </c>
      <c r="Z1149" s="604">
        <v>2016</v>
      </c>
      <c r="AA1149" s="604" t="s">
        <v>453</v>
      </c>
      <c r="AB1149" s="604" t="s">
        <v>447</v>
      </c>
      <c r="AC1149" s="604" t="s">
        <v>131</v>
      </c>
      <c r="AD1149" s="604" t="s">
        <v>432</v>
      </c>
      <c r="AE1149" s="604">
        <v>0</v>
      </c>
      <c r="AF1149" s="604">
        <v>410</v>
      </c>
      <c r="AG1149" s="604">
        <v>0</v>
      </c>
      <c r="AH1149" s="604" t="s">
        <v>437</v>
      </c>
      <c r="AR1149" s="538" t="str">
        <f t="shared" si="137"/>
        <v>20-24ageinfantUnknown</v>
      </c>
      <c r="AS1149" s="604">
        <v>2016</v>
      </c>
      <c r="AT1149" s="604" t="s">
        <v>130</v>
      </c>
      <c r="AU1149" s="604" t="s">
        <v>453</v>
      </c>
      <c r="AV1149" s="604" t="s">
        <v>63</v>
      </c>
      <c r="AW1149" s="604">
        <v>0</v>
      </c>
      <c r="AX1149" s="604">
        <v>16</v>
      </c>
      <c r="AY1149" s="606" t="s">
        <v>119</v>
      </c>
      <c r="AZ1149" s="604" t="s">
        <v>437</v>
      </c>
      <c r="BY1149" s="553" t="str">
        <f t="shared" si="136"/>
        <v>20132500-4499bwtSUDI</v>
      </c>
      <c r="BZ1149" s="604">
        <v>2013</v>
      </c>
      <c r="CA1149" s="604" t="s">
        <v>431</v>
      </c>
      <c r="CB1149" s="604" t="s">
        <v>447</v>
      </c>
      <c r="CC1149" s="604">
        <v>31</v>
      </c>
      <c r="CD1149" s="604" t="s">
        <v>33</v>
      </c>
    </row>
    <row r="1150" spans="9:82">
      <c r="I1150" s="578" t="str">
        <f t="shared" si="133"/>
        <v>2016dhbHutt ValleyFetal</v>
      </c>
      <c r="J1150" s="604">
        <v>2016</v>
      </c>
      <c r="K1150" s="604" t="s">
        <v>448</v>
      </c>
      <c r="L1150" s="604" t="s">
        <v>97</v>
      </c>
      <c r="M1150" s="604">
        <v>7</v>
      </c>
      <c r="N1150" s="604">
        <v>2011</v>
      </c>
      <c r="O1150" s="604">
        <v>3.5</v>
      </c>
      <c r="P1150" s="604" t="s">
        <v>47</v>
      </c>
      <c r="Q1150" s="499"/>
      <c r="Y1150" s="535" t="str">
        <f t="shared" si="135"/>
        <v>2016agebwt30-344500+infant</v>
      </c>
      <c r="Z1150" s="604">
        <v>2016</v>
      </c>
      <c r="AA1150" s="604" t="s">
        <v>453</v>
      </c>
      <c r="AB1150" s="604" t="s">
        <v>447</v>
      </c>
      <c r="AC1150" s="604" t="s">
        <v>132</v>
      </c>
      <c r="AD1150" s="604" t="s">
        <v>432</v>
      </c>
      <c r="AE1150" s="604">
        <v>0</v>
      </c>
      <c r="AF1150" s="604">
        <v>449</v>
      </c>
      <c r="AG1150" s="604">
        <v>0</v>
      </c>
      <c r="AH1150" s="604" t="s">
        <v>437</v>
      </c>
      <c r="AR1150" s="538" t="str">
        <f t="shared" si="137"/>
        <v>25-29ageinfantUnknown</v>
      </c>
      <c r="AS1150" s="604">
        <v>2016</v>
      </c>
      <c r="AT1150" s="604" t="s">
        <v>131</v>
      </c>
      <c r="AU1150" s="604" t="s">
        <v>453</v>
      </c>
      <c r="AV1150" s="604" t="s">
        <v>63</v>
      </c>
      <c r="AW1150" s="604">
        <v>0</v>
      </c>
      <c r="AX1150" s="604">
        <v>42</v>
      </c>
      <c r="AY1150" s="606" t="s">
        <v>119</v>
      </c>
      <c r="AZ1150" s="604" t="s">
        <v>437</v>
      </c>
      <c r="BY1150" s="553" t="str">
        <f t="shared" si="136"/>
        <v>20134500+bwtSUDI</v>
      </c>
      <c r="BZ1150" s="604">
        <v>2013</v>
      </c>
      <c r="CA1150" s="604" t="s">
        <v>432</v>
      </c>
      <c r="CB1150" s="604" t="s">
        <v>447</v>
      </c>
      <c r="CC1150" s="604">
        <v>0</v>
      </c>
      <c r="CD1150" s="604" t="s">
        <v>33</v>
      </c>
    </row>
    <row r="1151" spans="9:82">
      <c r="I1151" s="578" t="str">
        <f t="shared" si="133"/>
        <v>2016dhbWairarapaFetal</v>
      </c>
      <c r="J1151" s="604">
        <v>2016</v>
      </c>
      <c r="K1151" s="604" t="s">
        <v>448</v>
      </c>
      <c r="L1151" s="604" t="s">
        <v>98</v>
      </c>
      <c r="M1151" s="604">
        <v>5</v>
      </c>
      <c r="N1151" s="604">
        <v>486</v>
      </c>
      <c r="O1151" s="604">
        <v>10.3</v>
      </c>
      <c r="P1151" s="604" t="s">
        <v>47</v>
      </c>
      <c r="Q1151" s="499"/>
      <c r="Y1151" s="535" t="str">
        <f t="shared" si="135"/>
        <v>2016agebwt35-394500+infant</v>
      </c>
      <c r="Z1151" s="604">
        <v>2016</v>
      </c>
      <c r="AA1151" s="604" t="s">
        <v>453</v>
      </c>
      <c r="AB1151" s="604" t="s">
        <v>447</v>
      </c>
      <c r="AC1151" s="604" t="s">
        <v>133</v>
      </c>
      <c r="AD1151" s="604" t="s">
        <v>432</v>
      </c>
      <c r="AE1151" s="604">
        <v>0</v>
      </c>
      <c r="AF1151" s="604">
        <v>260</v>
      </c>
      <c r="AG1151" s="604">
        <v>0</v>
      </c>
      <c r="AH1151" s="604" t="s">
        <v>437</v>
      </c>
      <c r="AR1151" s="538" t="str">
        <f t="shared" si="137"/>
        <v>30-34ageinfantUnknown</v>
      </c>
      <c r="AS1151" s="604">
        <v>2016</v>
      </c>
      <c r="AT1151" s="604" t="s">
        <v>132</v>
      </c>
      <c r="AU1151" s="604" t="s">
        <v>453</v>
      </c>
      <c r="AV1151" s="604" t="s">
        <v>63</v>
      </c>
      <c r="AW1151" s="604">
        <v>0</v>
      </c>
      <c r="AX1151" s="604">
        <v>43</v>
      </c>
      <c r="AY1151" s="606" t="s">
        <v>119</v>
      </c>
      <c r="AZ1151" s="604" t="s">
        <v>437</v>
      </c>
      <c r="BY1151" s="553" t="str">
        <f t="shared" si="136"/>
        <v>2013UnknownbwtSUDI</v>
      </c>
      <c r="BZ1151" s="604">
        <v>2013</v>
      </c>
      <c r="CA1151" s="604" t="s">
        <v>63</v>
      </c>
      <c r="CB1151" s="604" t="s">
        <v>447</v>
      </c>
      <c r="CC1151" s="604">
        <v>4</v>
      </c>
      <c r="CD1151" s="604" t="s">
        <v>33</v>
      </c>
    </row>
    <row r="1152" spans="9:82">
      <c r="I1152" s="578" t="str">
        <f t="shared" si="133"/>
        <v>2016dhbNelson MarlboroughFetal</v>
      </c>
      <c r="J1152" s="604">
        <v>2016</v>
      </c>
      <c r="K1152" s="604" t="s">
        <v>448</v>
      </c>
      <c r="L1152" s="604" t="s">
        <v>99</v>
      </c>
      <c r="M1152" s="604">
        <v>4</v>
      </c>
      <c r="N1152" s="604">
        <v>1543</v>
      </c>
      <c r="O1152" s="604">
        <v>2.6</v>
      </c>
      <c r="P1152" s="604" t="s">
        <v>47</v>
      </c>
      <c r="Q1152" s="499"/>
      <c r="Y1152" s="535" t="str">
        <f t="shared" si="135"/>
        <v>2016agebwt40+4500+infant</v>
      </c>
      <c r="Z1152" s="604">
        <v>2016</v>
      </c>
      <c r="AA1152" s="604" t="s">
        <v>453</v>
      </c>
      <c r="AB1152" s="604" t="s">
        <v>447</v>
      </c>
      <c r="AC1152" s="604" t="s">
        <v>134</v>
      </c>
      <c r="AD1152" s="604" t="s">
        <v>432</v>
      </c>
      <c r="AE1152" s="604">
        <v>0</v>
      </c>
      <c r="AF1152" s="604">
        <v>65</v>
      </c>
      <c r="AG1152" s="604">
        <v>0</v>
      </c>
      <c r="AH1152" s="604" t="s">
        <v>437</v>
      </c>
      <c r="AR1152" s="538" t="str">
        <f t="shared" si="137"/>
        <v>35-39ageinfantUnknown</v>
      </c>
      <c r="AS1152" s="604">
        <v>2016</v>
      </c>
      <c r="AT1152" s="604" t="s">
        <v>133</v>
      </c>
      <c r="AU1152" s="604" t="s">
        <v>453</v>
      </c>
      <c r="AV1152" s="604" t="s">
        <v>63</v>
      </c>
      <c r="AW1152" s="604">
        <v>0</v>
      </c>
      <c r="AX1152" s="604">
        <v>22</v>
      </c>
      <c r="AY1152" s="606" t="s">
        <v>119</v>
      </c>
      <c r="AZ1152" s="604" t="s">
        <v>437</v>
      </c>
      <c r="BY1152" s="553" t="str">
        <f t="shared" si="136"/>
        <v>2014&lt;500bwtSUDI</v>
      </c>
      <c r="BZ1152" s="604">
        <v>2014</v>
      </c>
      <c r="CA1152" s="604" t="s">
        <v>427</v>
      </c>
      <c r="CB1152" s="604" t="s">
        <v>447</v>
      </c>
      <c r="CC1152" s="604">
        <v>0</v>
      </c>
      <c r="CD1152" s="604" t="s">
        <v>33</v>
      </c>
    </row>
    <row r="1153" spans="9:82">
      <c r="I1153" s="578" t="str">
        <f t="shared" si="133"/>
        <v>2016dhbWest CoastFetal</v>
      </c>
      <c r="J1153" s="604">
        <v>2016</v>
      </c>
      <c r="K1153" s="604" t="s">
        <v>448</v>
      </c>
      <c r="L1153" s="604" t="s">
        <v>100</v>
      </c>
      <c r="M1153" s="604">
        <v>8</v>
      </c>
      <c r="N1153" s="604">
        <v>335</v>
      </c>
      <c r="O1153" s="604">
        <v>23.9</v>
      </c>
      <c r="P1153" s="604" t="s">
        <v>47</v>
      </c>
      <c r="Q1153" s="499"/>
      <c r="Y1153" s="535" t="str">
        <f t="shared" si="135"/>
        <v>2016agebwt&lt;20Unknowninfant</v>
      </c>
      <c r="Z1153" s="604">
        <v>2016</v>
      </c>
      <c r="AA1153" s="604" t="s">
        <v>453</v>
      </c>
      <c r="AB1153" s="604" t="s">
        <v>447</v>
      </c>
      <c r="AC1153" s="604" t="s">
        <v>339</v>
      </c>
      <c r="AD1153" s="604" t="s">
        <v>63</v>
      </c>
      <c r="AE1153" s="604">
        <v>1</v>
      </c>
      <c r="AF1153" s="604">
        <v>2</v>
      </c>
      <c r="AG1153" s="604" t="s">
        <v>119</v>
      </c>
      <c r="AH1153" s="604" t="s">
        <v>437</v>
      </c>
      <c r="AR1153" s="538" t="str">
        <f t="shared" si="137"/>
        <v>40+ageinfantUnknown</v>
      </c>
      <c r="AS1153" s="604">
        <v>2016</v>
      </c>
      <c r="AT1153" s="604" t="s">
        <v>134</v>
      </c>
      <c r="AU1153" s="604" t="s">
        <v>453</v>
      </c>
      <c r="AV1153" s="604" t="s">
        <v>63</v>
      </c>
      <c r="AW1153" s="604">
        <v>0</v>
      </c>
      <c r="AX1153" s="604">
        <v>5</v>
      </c>
      <c r="AY1153" s="606" t="s">
        <v>119</v>
      </c>
      <c r="AZ1153" s="604" t="s">
        <v>437</v>
      </c>
      <c r="BY1153" s="553" t="str">
        <f t="shared" si="136"/>
        <v>2014500-999bwtSUDI</v>
      </c>
      <c r="BZ1153" s="604">
        <v>2014</v>
      </c>
      <c r="CA1153" s="604" t="s">
        <v>428</v>
      </c>
      <c r="CB1153" s="604" t="s">
        <v>447</v>
      </c>
      <c r="CC1153" s="604">
        <v>0</v>
      </c>
      <c r="CD1153" s="604" t="s">
        <v>33</v>
      </c>
    </row>
    <row r="1154" spans="9:82">
      <c r="I1154" s="578" t="str">
        <f t="shared" si="133"/>
        <v>2016dhbCanterburyFetal</v>
      </c>
      <c r="J1154" s="604">
        <v>2016</v>
      </c>
      <c r="K1154" s="604" t="s">
        <v>448</v>
      </c>
      <c r="L1154" s="604" t="s">
        <v>101</v>
      </c>
      <c r="M1154" s="604">
        <v>44</v>
      </c>
      <c r="N1154" s="604">
        <v>6443</v>
      </c>
      <c r="O1154" s="604">
        <v>6.8</v>
      </c>
      <c r="P1154" s="604" t="s">
        <v>47</v>
      </c>
      <c r="Q1154" s="499"/>
      <c r="Y1154" s="535" t="str">
        <f t="shared" si="135"/>
        <v>2016agebwt20-24Unknowninfant</v>
      </c>
      <c r="Z1154" s="604">
        <v>2016</v>
      </c>
      <c r="AA1154" s="604" t="s">
        <v>453</v>
      </c>
      <c r="AB1154" s="604" t="s">
        <v>447</v>
      </c>
      <c r="AC1154" s="604" t="s">
        <v>130</v>
      </c>
      <c r="AD1154" s="604" t="s">
        <v>63</v>
      </c>
      <c r="AE1154" s="604">
        <v>3</v>
      </c>
      <c r="AF1154" s="604">
        <v>4</v>
      </c>
      <c r="AG1154" s="604" t="s">
        <v>119</v>
      </c>
      <c r="AH1154" s="604" t="s">
        <v>437</v>
      </c>
      <c r="AR1154" s="538" t="str">
        <f t="shared" si="137"/>
        <v>Pacific peoplesethinfantNorthland</v>
      </c>
      <c r="AS1154" s="604">
        <v>2016</v>
      </c>
      <c r="AT1154" s="604" t="s">
        <v>320</v>
      </c>
      <c r="AU1154" s="604" t="s">
        <v>449</v>
      </c>
      <c r="AV1154" s="604" t="s">
        <v>85</v>
      </c>
      <c r="AW1154" s="604">
        <v>0</v>
      </c>
      <c r="AX1154" s="604">
        <v>61</v>
      </c>
      <c r="AY1154" s="606">
        <v>0</v>
      </c>
      <c r="AZ1154" s="604" t="s">
        <v>437</v>
      </c>
      <c r="BY1154" s="553" t="str">
        <f t="shared" si="136"/>
        <v>20141000-1499bwtSUDI</v>
      </c>
      <c r="BZ1154" s="604">
        <v>2014</v>
      </c>
      <c r="CA1154" s="604" t="s">
        <v>429</v>
      </c>
      <c r="CB1154" s="604" t="s">
        <v>447</v>
      </c>
      <c r="CC1154" s="604">
        <v>0</v>
      </c>
      <c r="CD1154" s="604" t="s">
        <v>33</v>
      </c>
    </row>
    <row r="1155" spans="9:82">
      <c r="I1155" s="578" t="str">
        <f t="shared" si="133"/>
        <v>2016dhbSouth CanterburyFetal</v>
      </c>
      <c r="J1155" s="604">
        <v>2016</v>
      </c>
      <c r="K1155" s="604" t="s">
        <v>448</v>
      </c>
      <c r="L1155" s="604" t="s">
        <v>102</v>
      </c>
      <c r="M1155" s="604">
        <v>3</v>
      </c>
      <c r="N1155" s="604">
        <v>644</v>
      </c>
      <c r="O1155" s="604">
        <v>4.7</v>
      </c>
      <c r="P1155" s="604" t="s">
        <v>47</v>
      </c>
      <c r="Q1155" s="499"/>
      <c r="Y1155" s="535" t="str">
        <f t="shared" si="135"/>
        <v>2016agebwt25-29Unknowninfant</v>
      </c>
      <c r="Z1155" s="604">
        <v>2016</v>
      </c>
      <c r="AA1155" s="604" t="s">
        <v>453</v>
      </c>
      <c r="AB1155" s="604" t="s">
        <v>447</v>
      </c>
      <c r="AC1155" s="604" t="s">
        <v>131</v>
      </c>
      <c r="AD1155" s="604" t="s">
        <v>63</v>
      </c>
      <c r="AE1155" s="604">
        <v>1</v>
      </c>
      <c r="AF1155" s="604">
        <v>11</v>
      </c>
      <c r="AG1155" s="604" t="s">
        <v>119</v>
      </c>
      <c r="AH1155" s="604" t="s">
        <v>437</v>
      </c>
      <c r="AR1155" s="538" t="str">
        <f t="shared" si="137"/>
        <v>AsianethinfantWaikato</v>
      </c>
      <c r="AS1155" s="604">
        <v>2016</v>
      </c>
      <c r="AT1155" s="604" t="s">
        <v>355</v>
      </c>
      <c r="AU1155" s="604" t="s">
        <v>449</v>
      </c>
      <c r="AV1155" s="604" t="s">
        <v>89</v>
      </c>
      <c r="AW1155" s="604">
        <v>0</v>
      </c>
      <c r="AX1155" s="604">
        <v>669</v>
      </c>
      <c r="AY1155" s="606">
        <v>0</v>
      </c>
      <c r="AZ1155" s="604" t="s">
        <v>437</v>
      </c>
      <c r="BY1155" s="553" t="str">
        <f t="shared" si="136"/>
        <v>20141500-2499bwtSUDI</v>
      </c>
      <c r="BZ1155" s="604">
        <v>2014</v>
      </c>
      <c r="CA1155" s="604" t="s">
        <v>430</v>
      </c>
      <c r="CB1155" s="604" t="s">
        <v>447</v>
      </c>
      <c r="CC1155" s="604">
        <v>9</v>
      </c>
      <c r="CD1155" s="604" t="s">
        <v>33</v>
      </c>
    </row>
    <row r="1156" spans="9:82">
      <c r="I1156" s="578" t="str">
        <f t="shared" ref="I1156:I1219" si="138">J1156&amp;K1156&amp;L1156&amp;P1156</f>
        <v>2016dhbSouthernFetal</v>
      </c>
      <c r="J1156" s="604">
        <v>2016</v>
      </c>
      <c r="K1156" s="604" t="s">
        <v>448</v>
      </c>
      <c r="L1156" s="604" t="s">
        <v>103</v>
      </c>
      <c r="M1156" s="604">
        <v>28</v>
      </c>
      <c r="N1156" s="604">
        <v>3442</v>
      </c>
      <c r="O1156" s="604">
        <v>8.1</v>
      </c>
      <c r="P1156" s="604" t="s">
        <v>47</v>
      </c>
      <c r="Q1156" s="499"/>
      <c r="Y1156" s="535" t="str">
        <f t="shared" ref="Y1156:Y1219" si="139">Z1156&amp;AA1156&amp;AB1156&amp;AC1156&amp;AD1156&amp;AH1156</f>
        <v>2016agebwt30-34Unknowninfant</v>
      </c>
      <c r="Z1156" s="604">
        <v>2016</v>
      </c>
      <c r="AA1156" s="604" t="s">
        <v>453</v>
      </c>
      <c r="AB1156" s="604" t="s">
        <v>447</v>
      </c>
      <c r="AC1156" s="604" t="s">
        <v>132</v>
      </c>
      <c r="AD1156" s="604" t="s">
        <v>63</v>
      </c>
      <c r="AE1156" s="604">
        <v>2</v>
      </c>
      <c r="AF1156" s="604">
        <v>8</v>
      </c>
      <c r="AG1156" s="604" t="s">
        <v>119</v>
      </c>
      <c r="AH1156" s="604" t="s">
        <v>437</v>
      </c>
      <c r="AR1156" s="538" t="str">
        <f t="shared" si="137"/>
        <v>MaoriethinfantLakes</v>
      </c>
      <c r="AS1156" s="604">
        <v>2016</v>
      </c>
      <c r="AT1156" s="604" t="s">
        <v>129</v>
      </c>
      <c r="AU1156" s="604" t="s">
        <v>449</v>
      </c>
      <c r="AV1156" s="604" t="s">
        <v>90</v>
      </c>
      <c r="AW1156" s="604">
        <v>0</v>
      </c>
      <c r="AX1156" s="604">
        <v>858</v>
      </c>
      <c r="AY1156" s="606">
        <v>0</v>
      </c>
      <c r="AZ1156" s="604" t="s">
        <v>437</v>
      </c>
      <c r="BY1156" s="553" t="str">
        <f t="shared" ref="BY1156:BY1219" si="140">BZ1156&amp;CA1156&amp;CB1156&amp;CD1156</f>
        <v>20142500-4499bwtSUDI</v>
      </c>
      <c r="BZ1156" s="604">
        <v>2014</v>
      </c>
      <c r="CA1156" s="604" t="s">
        <v>431</v>
      </c>
      <c r="CB1156" s="604" t="s">
        <v>447</v>
      </c>
      <c r="CC1156" s="604">
        <v>34</v>
      </c>
      <c r="CD1156" s="604" t="s">
        <v>33</v>
      </c>
    </row>
    <row r="1157" spans="9:82">
      <c r="I1157" s="578" t="str">
        <f t="shared" si="138"/>
        <v>2016dhbUnknownFetal</v>
      </c>
      <c r="J1157" s="604">
        <v>2016</v>
      </c>
      <c r="K1157" s="604" t="s">
        <v>448</v>
      </c>
      <c r="L1157" s="604" t="s">
        <v>63</v>
      </c>
      <c r="M1157" s="604">
        <v>2</v>
      </c>
      <c r="N1157" s="604">
        <v>132</v>
      </c>
      <c r="O1157" s="604" t="s">
        <v>119</v>
      </c>
      <c r="P1157" s="604" t="s">
        <v>47</v>
      </c>
      <c r="Q1157" s="499"/>
      <c r="Y1157" s="535" t="str">
        <f t="shared" si="139"/>
        <v>2016agebwt35-39Unknowninfant</v>
      </c>
      <c r="Z1157" s="604">
        <v>2016</v>
      </c>
      <c r="AA1157" s="604" t="s">
        <v>453</v>
      </c>
      <c r="AB1157" s="604" t="s">
        <v>447</v>
      </c>
      <c r="AC1157" s="604" t="s">
        <v>133</v>
      </c>
      <c r="AD1157" s="604" t="s">
        <v>63</v>
      </c>
      <c r="AE1157" s="604">
        <v>0</v>
      </c>
      <c r="AF1157" s="604">
        <v>7</v>
      </c>
      <c r="AG1157" s="604" t="s">
        <v>119</v>
      </c>
      <c r="AH1157" s="604" t="s">
        <v>437</v>
      </c>
      <c r="AR1157" s="538" t="str">
        <f t="shared" si="137"/>
        <v>Pacific peoplesethinfantLakes</v>
      </c>
      <c r="AS1157" s="604">
        <v>2016</v>
      </c>
      <c r="AT1157" s="604" t="s">
        <v>320</v>
      </c>
      <c r="AU1157" s="604" t="s">
        <v>449</v>
      </c>
      <c r="AV1157" s="604" t="s">
        <v>90</v>
      </c>
      <c r="AW1157" s="604">
        <v>0</v>
      </c>
      <c r="AX1157" s="604">
        <v>63</v>
      </c>
      <c r="AY1157" s="606">
        <v>0</v>
      </c>
      <c r="AZ1157" s="604" t="s">
        <v>437</v>
      </c>
      <c r="BY1157" s="553" t="str">
        <f t="shared" si="140"/>
        <v>20144500+bwtSUDI</v>
      </c>
      <c r="BZ1157" s="604">
        <v>2014</v>
      </c>
      <c r="CA1157" s="604" t="s">
        <v>432</v>
      </c>
      <c r="CB1157" s="604" t="s">
        <v>447</v>
      </c>
      <c r="CC1157" s="604">
        <v>0</v>
      </c>
      <c r="CD1157" s="604" t="s">
        <v>33</v>
      </c>
    </row>
    <row r="1158" spans="9:82">
      <c r="I1158" s="578" t="str">
        <f t="shared" si="138"/>
        <v>1996OverallTotalPeri</v>
      </c>
      <c r="J1158" s="604">
        <v>1996</v>
      </c>
      <c r="K1158" s="604" t="s">
        <v>104</v>
      </c>
      <c r="L1158" s="604" t="s">
        <v>44</v>
      </c>
      <c r="M1158" s="604">
        <v>582</v>
      </c>
      <c r="N1158" s="604">
        <v>57843</v>
      </c>
      <c r="O1158" s="604">
        <v>10.1</v>
      </c>
      <c r="P1158" s="604" t="s">
        <v>483</v>
      </c>
      <c r="Q1158" s="499"/>
      <c r="Y1158" s="535" t="str">
        <f t="shared" si="139"/>
        <v>2016agebwt40+Unknowninfant</v>
      </c>
      <c r="Z1158" s="604">
        <v>2016</v>
      </c>
      <c r="AA1158" s="604" t="s">
        <v>453</v>
      </c>
      <c r="AB1158" s="604" t="s">
        <v>447</v>
      </c>
      <c r="AC1158" s="604" t="s">
        <v>134</v>
      </c>
      <c r="AD1158" s="604" t="s">
        <v>63</v>
      </c>
      <c r="AE1158" s="604">
        <v>1</v>
      </c>
      <c r="AF1158" s="604">
        <v>3</v>
      </c>
      <c r="AG1158" s="604" t="s">
        <v>119</v>
      </c>
      <c r="AH1158" s="604" t="s">
        <v>437</v>
      </c>
      <c r="AR1158" s="538" t="str">
        <f t="shared" si="137"/>
        <v>AsianethinfantLakes</v>
      </c>
      <c r="AS1158" s="604">
        <v>2016</v>
      </c>
      <c r="AT1158" s="604" t="s">
        <v>355</v>
      </c>
      <c r="AU1158" s="604" t="s">
        <v>449</v>
      </c>
      <c r="AV1158" s="604" t="s">
        <v>90</v>
      </c>
      <c r="AW1158" s="604">
        <v>0</v>
      </c>
      <c r="AX1158" s="604">
        <v>148</v>
      </c>
      <c r="AY1158" s="606">
        <v>0</v>
      </c>
      <c r="AZ1158" s="604" t="s">
        <v>437</v>
      </c>
      <c r="BY1158" s="553" t="str">
        <f t="shared" si="140"/>
        <v>2014UnknownbwtSUDI</v>
      </c>
      <c r="BZ1158" s="604">
        <v>2014</v>
      </c>
      <c r="CA1158" s="604" t="s">
        <v>63</v>
      </c>
      <c r="CB1158" s="604" t="s">
        <v>447</v>
      </c>
      <c r="CC1158" s="604">
        <v>2</v>
      </c>
      <c r="CD1158" s="604" t="s">
        <v>33</v>
      </c>
    </row>
    <row r="1159" spans="9:82">
      <c r="I1159" s="578" t="str">
        <f t="shared" si="138"/>
        <v>1997OverallTotalPeri</v>
      </c>
      <c r="J1159" s="604">
        <v>1997</v>
      </c>
      <c r="K1159" s="604" t="s">
        <v>104</v>
      </c>
      <c r="L1159" s="604" t="s">
        <v>44</v>
      </c>
      <c r="M1159" s="604">
        <v>588</v>
      </c>
      <c r="N1159" s="604">
        <v>58151</v>
      </c>
      <c r="O1159" s="604">
        <v>10.1</v>
      </c>
      <c r="P1159" s="604" t="s">
        <v>483</v>
      </c>
      <c r="Q1159" s="499"/>
      <c r="Y1159" s="535" t="str">
        <f t="shared" si="139"/>
        <v>2016depbwtQuin 1&lt;500infant</v>
      </c>
      <c r="Z1159" s="604">
        <v>2016</v>
      </c>
      <c r="AA1159" s="604" t="s">
        <v>454</v>
      </c>
      <c r="AB1159" s="604" t="s">
        <v>447</v>
      </c>
      <c r="AC1159" s="604" t="s">
        <v>421</v>
      </c>
      <c r="AD1159" s="604" t="s">
        <v>427</v>
      </c>
      <c r="AE1159" s="604">
        <v>4</v>
      </c>
      <c r="AF1159" s="604">
        <v>11</v>
      </c>
      <c r="AG1159" s="604">
        <v>363.6</v>
      </c>
      <c r="AH1159" s="604" t="s">
        <v>437</v>
      </c>
      <c r="AR1159" s="538" t="str">
        <f t="shared" si="137"/>
        <v>European or OtherethinfantLakes</v>
      </c>
      <c r="AS1159" s="604">
        <v>2016</v>
      </c>
      <c r="AT1159" s="604" t="s">
        <v>356</v>
      </c>
      <c r="AU1159" s="604" t="s">
        <v>449</v>
      </c>
      <c r="AV1159" s="604" t="s">
        <v>90</v>
      </c>
      <c r="AW1159" s="604">
        <v>0</v>
      </c>
      <c r="AX1159" s="604">
        <v>500</v>
      </c>
      <c r="AY1159" s="606">
        <v>0</v>
      </c>
      <c r="AZ1159" s="604" t="s">
        <v>437</v>
      </c>
      <c r="BY1159" s="553" t="str">
        <f t="shared" si="140"/>
        <v>2015&lt;500bwtSUDI</v>
      </c>
      <c r="BZ1159" s="604">
        <v>2015</v>
      </c>
      <c r="CA1159" s="604" t="s">
        <v>427</v>
      </c>
      <c r="CB1159" s="604" t="s">
        <v>447</v>
      </c>
      <c r="CC1159" s="604">
        <v>0</v>
      </c>
      <c r="CD1159" s="604" t="s">
        <v>33</v>
      </c>
    </row>
    <row r="1160" spans="9:82">
      <c r="I1160" s="578" t="str">
        <f t="shared" si="138"/>
        <v>1998OverallTotalPeri</v>
      </c>
      <c r="J1160" s="604">
        <v>1998</v>
      </c>
      <c r="K1160" s="604" t="s">
        <v>104</v>
      </c>
      <c r="L1160" s="604" t="s">
        <v>44</v>
      </c>
      <c r="M1160" s="604">
        <v>484</v>
      </c>
      <c r="N1160" s="604">
        <v>58082</v>
      </c>
      <c r="O1160" s="604">
        <v>8.3000000000000007</v>
      </c>
      <c r="P1160" s="604" t="s">
        <v>483</v>
      </c>
      <c r="Q1160" s="499"/>
      <c r="Y1160" s="535" t="str">
        <f t="shared" si="139"/>
        <v>2016depbwtQuin 2&lt;500infant</v>
      </c>
      <c r="Z1160" s="604">
        <v>2016</v>
      </c>
      <c r="AA1160" s="604" t="s">
        <v>454</v>
      </c>
      <c r="AB1160" s="604" t="s">
        <v>447</v>
      </c>
      <c r="AC1160" s="604" t="s">
        <v>422</v>
      </c>
      <c r="AD1160" s="604" t="s">
        <v>427</v>
      </c>
      <c r="AE1160" s="604">
        <v>5</v>
      </c>
      <c r="AF1160" s="604">
        <v>5</v>
      </c>
      <c r="AG1160" s="604">
        <v>1000</v>
      </c>
      <c r="AH1160" s="604" t="s">
        <v>437</v>
      </c>
      <c r="AR1160" s="538" t="str">
        <f t="shared" si="137"/>
        <v>Pacific peoplesethinfantTairawhiti</v>
      </c>
      <c r="AS1160" s="604">
        <v>2016</v>
      </c>
      <c r="AT1160" s="604" t="s">
        <v>320</v>
      </c>
      <c r="AU1160" s="604" t="s">
        <v>449</v>
      </c>
      <c r="AV1160" s="604" t="s">
        <v>433</v>
      </c>
      <c r="AW1160" s="604">
        <v>0</v>
      </c>
      <c r="AX1160" s="604">
        <v>26</v>
      </c>
      <c r="AY1160" s="606">
        <v>0</v>
      </c>
      <c r="AZ1160" s="604" t="s">
        <v>437</v>
      </c>
      <c r="BY1160" s="553" t="str">
        <f t="shared" si="140"/>
        <v>2015500-999bwtSUDI</v>
      </c>
      <c r="BZ1160" s="604">
        <v>2015</v>
      </c>
      <c r="CA1160" s="604" t="s">
        <v>428</v>
      </c>
      <c r="CB1160" s="604" t="s">
        <v>447</v>
      </c>
      <c r="CC1160" s="604">
        <v>0</v>
      </c>
      <c r="CD1160" s="604" t="s">
        <v>33</v>
      </c>
    </row>
    <row r="1161" spans="9:82">
      <c r="I1161" s="578" t="str">
        <f t="shared" si="138"/>
        <v>1999OverallTotalPeri</v>
      </c>
      <c r="J1161" s="604">
        <v>1999</v>
      </c>
      <c r="K1161" s="604" t="s">
        <v>104</v>
      </c>
      <c r="L1161" s="604" t="s">
        <v>44</v>
      </c>
      <c r="M1161" s="604">
        <v>582</v>
      </c>
      <c r="N1161" s="604">
        <v>57847</v>
      </c>
      <c r="O1161" s="604">
        <v>10.1</v>
      </c>
      <c r="P1161" s="604" t="s">
        <v>483</v>
      </c>
      <c r="Q1161" s="499"/>
      <c r="Y1161" s="535" t="str">
        <f t="shared" si="139"/>
        <v>2016depbwtQuin 3&lt;500infant</v>
      </c>
      <c r="Z1161" s="604">
        <v>2016</v>
      </c>
      <c r="AA1161" s="604" t="s">
        <v>454</v>
      </c>
      <c r="AB1161" s="604" t="s">
        <v>447</v>
      </c>
      <c r="AC1161" s="604" t="s">
        <v>423</v>
      </c>
      <c r="AD1161" s="604" t="s">
        <v>427</v>
      </c>
      <c r="AE1161" s="604">
        <v>7</v>
      </c>
      <c r="AF1161" s="604">
        <v>9</v>
      </c>
      <c r="AG1161" s="604">
        <v>777.8</v>
      </c>
      <c r="AH1161" s="604" t="s">
        <v>437</v>
      </c>
      <c r="AR1161" s="538" t="str">
        <f t="shared" si="137"/>
        <v>AsianethinfantTairawhiti</v>
      </c>
      <c r="AS1161" s="604">
        <v>2016</v>
      </c>
      <c r="AT1161" s="604" t="s">
        <v>355</v>
      </c>
      <c r="AU1161" s="604" t="s">
        <v>449</v>
      </c>
      <c r="AV1161" s="604" t="s">
        <v>433</v>
      </c>
      <c r="AW1161" s="604">
        <v>0</v>
      </c>
      <c r="AX1161" s="604">
        <v>14</v>
      </c>
      <c r="AY1161" s="606">
        <v>0</v>
      </c>
      <c r="AZ1161" s="604" t="s">
        <v>437</v>
      </c>
      <c r="BY1161" s="553" t="str">
        <f t="shared" si="140"/>
        <v>20151000-1499bwtSUDI</v>
      </c>
      <c r="BZ1161" s="604">
        <v>2015</v>
      </c>
      <c r="CA1161" s="604" t="s">
        <v>429</v>
      </c>
      <c r="CB1161" s="604" t="s">
        <v>447</v>
      </c>
      <c r="CC1161" s="604">
        <v>0</v>
      </c>
      <c r="CD1161" s="604" t="s">
        <v>33</v>
      </c>
    </row>
    <row r="1162" spans="9:82">
      <c r="I1162" s="578" t="str">
        <f t="shared" si="138"/>
        <v>2000OverallTotalPeri</v>
      </c>
      <c r="J1162" s="604">
        <v>2000</v>
      </c>
      <c r="K1162" s="604" t="s">
        <v>104</v>
      </c>
      <c r="L1162" s="604" t="s">
        <v>44</v>
      </c>
      <c r="M1162" s="604">
        <v>543</v>
      </c>
      <c r="N1162" s="604">
        <v>57363</v>
      </c>
      <c r="O1162" s="604">
        <v>9.5</v>
      </c>
      <c r="P1162" s="604" t="s">
        <v>483</v>
      </c>
      <c r="Q1162" s="499"/>
      <c r="Y1162" s="535" t="str">
        <f t="shared" si="139"/>
        <v>2016depbwtQuin 4&lt;500infant</v>
      </c>
      <c r="Z1162" s="604">
        <v>2016</v>
      </c>
      <c r="AA1162" s="604" t="s">
        <v>454</v>
      </c>
      <c r="AB1162" s="604" t="s">
        <v>447</v>
      </c>
      <c r="AC1162" s="604" t="s">
        <v>424</v>
      </c>
      <c r="AD1162" s="604" t="s">
        <v>427</v>
      </c>
      <c r="AE1162" s="604">
        <v>8</v>
      </c>
      <c r="AF1162" s="604">
        <v>11</v>
      </c>
      <c r="AG1162" s="604">
        <v>727.3</v>
      </c>
      <c r="AH1162" s="604" t="s">
        <v>437</v>
      </c>
      <c r="AR1162" s="538" t="str">
        <f t="shared" si="137"/>
        <v>European or OtherethinfantTairawhiti</v>
      </c>
      <c r="AS1162" s="604">
        <v>2016</v>
      </c>
      <c r="AT1162" s="604" t="s">
        <v>356</v>
      </c>
      <c r="AU1162" s="604" t="s">
        <v>449</v>
      </c>
      <c r="AV1162" s="604" t="s">
        <v>433</v>
      </c>
      <c r="AW1162" s="604">
        <v>0</v>
      </c>
      <c r="AX1162" s="604">
        <v>155</v>
      </c>
      <c r="AY1162" s="606">
        <v>0</v>
      </c>
      <c r="AZ1162" s="604" t="s">
        <v>437</v>
      </c>
      <c r="BY1162" s="553" t="str">
        <f t="shared" si="140"/>
        <v>20151500-2499bwtSUDI</v>
      </c>
      <c r="BZ1162" s="604">
        <v>2015</v>
      </c>
      <c r="CA1162" s="604" t="s">
        <v>430</v>
      </c>
      <c r="CB1162" s="604" t="s">
        <v>447</v>
      </c>
      <c r="CC1162" s="604">
        <v>5</v>
      </c>
      <c r="CD1162" s="604" t="s">
        <v>33</v>
      </c>
    </row>
    <row r="1163" spans="9:82">
      <c r="I1163" s="578" t="str">
        <f t="shared" si="138"/>
        <v>2001OverallTotalPeri</v>
      </c>
      <c r="J1163" s="604">
        <v>2001</v>
      </c>
      <c r="K1163" s="604" t="s">
        <v>104</v>
      </c>
      <c r="L1163" s="604" t="s">
        <v>44</v>
      </c>
      <c r="M1163" s="604">
        <v>529</v>
      </c>
      <c r="N1163" s="604">
        <v>56610</v>
      </c>
      <c r="O1163" s="604">
        <v>9.3000000000000007</v>
      </c>
      <c r="P1163" s="604" t="s">
        <v>483</v>
      </c>
      <c r="Q1163" s="499"/>
      <c r="Y1163" s="535" t="str">
        <f t="shared" si="139"/>
        <v>2016depbwtQuin 5&lt;500infant</v>
      </c>
      <c r="Z1163" s="604">
        <v>2016</v>
      </c>
      <c r="AA1163" s="604" t="s">
        <v>454</v>
      </c>
      <c r="AB1163" s="604" t="s">
        <v>447</v>
      </c>
      <c r="AC1163" s="604" t="s">
        <v>425</v>
      </c>
      <c r="AD1163" s="604" t="s">
        <v>427</v>
      </c>
      <c r="AE1163" s="604">
        <v>13</v>
      </c>
      <c r="AF1163" s="604">
        <v>17</v>
      </c>
      <c r="AG1163" s="604">
        <v>764.7</v>
      </c>
      <c r="AH1163" s="604" t="s">
        <v>437</v>
      </c>
      <c r="AR1163" s="538" t="str">
        <f t="shared" si="137"/>
        <v>European or OtherethinfantHawke's Bay</v>
      </c>
      <c r="AS1163" s="604">
        <v>2016</v>
      </c>
      <c r="AT1163" s="604" t="s">
        <v>356</v>
      </c>
      <c r="AU1163" s="604" t="s">
        <v>449</v>
      </c>
      <c r="AV1163" s="604" t="s">
        <v>92</v>
      </c>
      <c r="AW1163" s="604">
        <v>0</v>
      </c>
      <c r="AX1163" s="604">
        <v>833</v>
      </c>
      <c r="AY1163" s="606">
        <v>0</v>
      </c>
      <c r="AZ1163" s="604" t="s">
        <v>437</v>
      </c>
      <c r="BY1163" s="553" t="str">
        <f t="shared" si="140"/>
        <v>20152500-4499bwtSUDI</v>
      </c>
      <c r="BZ1163" s="604">
        <v>2015</v>
      </c>
      <c r="CA1163" s="604" t="s">
        <v>431</v>
      </c>
      <c r="CB1163" s="604" t="s">
        <v>447</v>
      </c>
      <c r="CC1163" s="604">
        <v>33</v>
      </c>
      <c r="CD1163" s="604" t="s">
        <v>33</v>
      </c>
    </row>
    <row r="1164" spans="9:82">
      <c r="I1164" s="578" t="str">
        <f t="shared" si="138"/>
        <v>2002OverallTotalPeri</v>
      </c>
      <c r="J1164" s="604">
        <v>2002</v>
      </c>
      <c r="K1164" s="604" t="s">
        <v>104</v>
      </c>
      <c r="L1164" s="604" t="s">
        <v>44</v>
      </c>
      <c r="M1164" s="604">
        <v>575</v>
      </c>
      <c r="N1164" s="604">
        <v>54905</v>
      </c>
      <c r="O1164" s="604">
        <v>10.5</v>
      </c>
      <c r="P1164" s="604" t="s">
        <v>483</v>
      </c>
      <c r="Q1164" s="499"/>
      <c r="Y1164" s="535" t="str">
        <f t="shared" si="139"/>
        <v>2016depbwtQuin 1500-999infant</v>
      </c>
      <c r="Z1164" s="604">
        <v>2016</v>
      </c>
      <c r="AA1164" s="604" t="s">
        <v>454</v>
      </c>
      <c r="AB1164" s="604" t="s">
        <v>447</v>
      </c>
      <c r="AC1164" s="604" t="s">
        <v>421</v>
      </c>
      <c r="AD1164" s="604" t="s">
        <v>428</v>
      </c>
      <c r="AE1164" s="604">
        <v>4</v>
      </c>
      <c r="AF1164" s="604">
        <v>17</v>
      </c>
      <c r="AG1164" s="604">
        <v>235.3</v>
      </c>
      <c r="AH1164" s="604" t="s">
        <v>437</v>
      </c>
      <c r="AR1164" s="538" t="str">
        <f t="shared" si="137"/>
        <v>Pacific peoplesethinfantTaranaki</v>
      </c>
      <c r="AS1164" s="604">
        <v>2016</v>
      </c>
      <c r="AT1164" s="604" t="s">
        <v>320</v>
      </c>
      <c r="AU1164" s="604" t="s">
        <v>449</v>
      </c>
      <c r="AV1164" s="604" t="s">
        <v>93</v>
      </c>
      <c r="AW1164" s="604">
        <v>0</v>
      </c>
      <c r="AX1164" s="604">
        <v>32</v>
      </c>
      <c r="AY1164" s="606">
        <v>0</v>
      </c>
      <c r="AZ1164" s="604" t="s">
        <v>437</v>
      </c>
      <c r="BY1164" s="553" t="str">
        <f t="shared" si="140"/>
        <v>20154500+bwtSUDI</v>
      </c>
      <c r="BZ1164" s="604">
        <v>2015</v>
      </c>
      <c r="CA1164" s="604" t="s">
        <v>432</v>
      </c>
      <c r="CB1164" s="604" t="s">
        <v>447</v>
      </c>
      <c r="CC1164" s="604">
        <v>1</v>
      </c>
      <c r="CD1164" s="604" t="s">
        <v>33</v>
      </c>
    </row>
    <row r="1165" spans="9:82">
      <c r="I1165" s="578" t="str">
        <f t="shared" si="138"/>
        <v>2003OverallTotalPeri</v>
      </c>
      <c r="J1165" s="604">
        <v>2003</v>
      </c>
      <c r="K1165" s="604" t="s">
        <v>104</v>
      </c>
      <c r="L1165" s="604" t="s">
        <v>44</v>
      </c>
      <c r="M1165" s="604">
        <v>534</v>
      </c>
      <c r="N1165" s="604">
        <v>56969</v>
      </c>
      <c r="O1165" s="604">
        <v>9.4</v>
      </c>
      <c r="P1165" s="604" t="s">
        <v>483</v>
      </c>
      <c r="Q1165" s="499"/>
      <c r="Y1165" s="535" t="str">
        <f t="shared" si="139"/>
        <v>2016depbwtQuin 2500-999infant</v>
      </c>
      <c r="Z1165" s="604">
        <v>2016</v>
      </c>
      <c r="AA1165" s="604" t="s">
        <v>454</v>
      </c>
      <c r="AB1165" s="604" t="s">
        <v>447</v>
      </c>
      <c r="AC1165" s="604" t="s">
        <v>422</v>
      </c>
      <c r="AD1165" s="604" t="s">
        <v>428</v>
      </c>
      <c r="AE1165" s="604">
        <v>3</v>
      </c>
      <c r="AF1165" s="604">
        <v>29</v>
      </c>
      <c r="AG1165" s="604">
        <v>103.4</v>
      </c>
      <c r="AH1165" s="604" t="s">
        <v>437</v>
      </c>
      <c r="AR1165" s="538" t="str">
        <f t="shared" si="137"/>
        <v>AsianethinfantTaranaki</v>
      </c>
      <c r="AS1165" s="604">
        <v>2016</v>
      </c>
      <c r="AT1165" s="604" t="s">
        <v>355</v>
      </c>
      <c r="AU1165" s="604" t="s">
        <v>449</v>
      </c>
      <c r="AV1165" s="604" t="s">
        <v>93</v>
      </c>
      <c r="AW1165" s="604">
        <v>0</v>
      </c>
      <c r="AX1165" s="604">
        <v>109</v>
      </c>
      <c r="AY1165" s="606">
        <v>0</v>
      </c>
      <c r="AZ1165" s="604" t="s">
        <v>437</v>
      </c>
      <c r="BY1165" s="553" t="str">
        <f t="shared" si="140"/>
        <v>2015UnknownbwtSUDI</v>
      </c>
      <c r="BZ1165" s="604">
        <v>2015</v>
      </c>
      <c r="CA1165" s="604" t="s">
        <v>63</v>
      </c>
      <c r="CB1165" s="604" t="s">
        <v>447</v>
      </c>
      <c r="CC1165" s="604">
        <v>5</v>
      </c>
      <c r="CD1165" s="604" t="s">
        <v>33</v>
      </c>
    </row>
    <row r="1166" spans="9:82">
      <c r="I1166" s="578" t="str">
        <f t="shared" si="138"/>
        <v>2004OverallTotalPeri</v>
      </c>
      <c r="J1166" s="604">
        <v>2004</v>
      </c>
      <c r="K1166" s="604" t="s">
        <v>104</v>
      </c>
      <c r="L1166" s="604" t="s">
        <v>44</v>
      </c>
      <c r="M1166" s="604">
        <v>666</v>
      </c>
      <c r="N1166" s="604">
        <v>59229</v>
      </c>
      <c r="O1166" s="604">
        <v>11.2</v>
      </c>
      <c r="P1166" s="604" t="s">
        <v>483</v>
      </c>
      <c r="Q1166" s="499"/>
      <c r="Y1166" s="535" t="str">
        <f t="shared" si="139"/>
        <v>2016depbwtQuin 3500-999infant</v>
      </c>
      <c r="Z1166" s="604">
        <v>2016</v>
      </c>
      <c r="AA1166" s="604" t="s">
        <v>454</v>
      </c>
      <c r="AB1166" s="604" t="s">
        <v>447</v>
      </c>
      <c r="AC1166" s="604" t="s">
        <v>423</v>
      </c>
      <c r="AD1166" s="604" t="s">
        <v>428</v>
      </c>
      <c r="AE1166" s="604">
        <v>10</v>
      </c>
      <c r="AF1166" s="604">
        <v>36</v>
      </c>
      <c r="AG1166" s="604">
        <v>277.8</v>
      </c>
      <c r="AH1166" s="604" t="s">
        <v>437</v>
      </c>
      <c r="AR1166" s="538" t="str">
        <f t="shared" si="137"/>
        <v>AsianethinfantMidCentral</v>
      </c>
      <c r="AS1166" s="604">
        <v>2016</v>
      </c>
      <c r="AT1166" s="604" t="s">
        <v>355</v>
      </c>
      <c r="AU1166" s="604" t="s">
        <v>449</v>
      </c>
      <c r="AV1166" s="604" t="s">
        <v>94</v>
      </c>
      <c r="AW1166" s="604">
        <v>0</v>
      </c>
      <c r="AX1166" s="604">
        <v>191</v>
      </c>
      <c r="AY1166" s="606">
        <v>0</v>
      </c>
      <c r="AZ1166" s="604" t="s">
        <v>437</v>
      </c>
      <c r="BY1166" s="553" t="str">
        <f t="shared" si="140"/>
        <v>2016&lt;500bwtSUDI</v>
      </c>
      <c r="BZ1166" s="604">
        <v>2016</v>
      </c>
      <c r="CA1166" s="604" t="s">
        <v>427</v>
      </c>
      <c r="CB1166" s="604" t="s">
        <v>447</v>
      </c>
      <c r="CC1166" s="604">
        <v>0</v>
      </c>
      <c r="CD1166" s="604" t="s">
        <v>33</v>
      </c>
    </row>
    <row r="1167" spans="9:82">
      <c r="I1167" s="578" t="str">
        <f t="shared" si="138"/>
        <v>2005OverallTotalPeri</v>
      </c>
      <c r="J1167" s="604">
        <v>2005</v>
      </c>
      <c r="K1167" s="604" t="s">
        <v>104</v>
      </c>
      <c r="L1167" s="604" t="s">
        <v>44</v>
      </c>
      <c r="M1167" s="604">
        <v>551</v>
      </c>
      <c r="N1167" s="604">
        <v>59130</v>
      </c>
      <c r="O1167" s="604">
        <v>9.3000000000000007</v>
      </c>
      <c r="P1167" s="604" t="s">
        <v>483</v>
      </c>
      <c r="Q1167" s="499"/>
      <c r="Y1167" s="535" t="str">
        <f t="shared" si="139"/>
        <v>2016depbwtQuin 4500-999infant</v>
      </c>
      <c r="Z1167" s="604">
        <v>2016</v>
      </c>
      <c r="AA1167" s="604" t="s">
        <v>454</v>
      </c>
      <c r="AB1167" s="604" t="s">
        <v>447</v>
      </c>
      <c r="AC1167" s="604" t="s">
        <v>424</v>
      </c>
      <c r="AD1167" s="604" t="s">
        <v>428</v>
      </c>
      <c r="AE1167" s="604">
        <v>15</v>
      </c>
      <c r="AF1167" s="604">
        <v>46</v>
      </c>
      <c r="AG1167" s="604">
        <v>326.10000000000002</v>
      </c>
      <c r="AH1167" s="604" t="s">
        <v>437</v>
      </c>
      <c r="AR1167" s="538" t="str">
        <f t="shared" si="137"/>
        <v>MaoriethinfantWhanganui</v>
      </c>
      <c r="AS1167" s="604">
        <v>2016</v>
      </c>
      <c r="AT1167" s="604" t="s">
        <v>129</v>
      </c>
      <c r="AU1167" s="604" t="s">
        <v>449</v>
      </c>
      <c r="AV1167" s="604" t="s">
        <v>95</v>
      </c>
      <c r="AW1167" s="604">
        <v>0</v>
      </c>
      <c r="AX1167" s="604">
        <v>403</v>
      </c>
      <c r="AY1167" s="606">
        <v>0</v>
      </c>
      <c r="AZ1167" s="604" t="s">
        <v>437</v>
      </c>
      <c r="BY1167" s="553" t="str">
        <f t="shared" si="140"/>
        <v>2016500-999bwtSUDI</v>
      </c>
      <c r="BZ1167" s="604">
        <v>2016</v>
      </c>
      <c r="CA1167" s="604" t="s">
        <v>428</v>
      </c>
      <c r="CB1167" s="604" t="s">
        <v>447</v>
      </c>
      <c r="CC1167" s="604">
        <v>0</v>
      </c>
      <c r="CD1167" s="604" t="s">
        <v>33</v>
      </c>
    </row>
    <row r="1168" spans="9:82">
      <c r="I1168" s="578" t="str">
        <f t="shared" si="138"/>
        <v>2006OverallTotalPeri</v>
      </c>
      <c r="J1168" s="604">
        <v>2006</v>
      </c>
      <c r="K1168" s="604" t="s">
        <v>104</v>
      </c>
      <c r="L1168" s="604" t="s">
        <v>44</v>
      </c>
      <c r="M1168" s="604">
        <v>546</v>
      </c>
      <c r="N1168" s="604">
        <v>60683</v>
      </c>
      <c r="O1168" s="604">
        <v>9</v>
      </c>
      <c r="P1168" s="604" t="s">
        <v>483</v>
      </c>
      <c r="Q1168" s="499"/>
      <c r="Y1168" s="535" t="str">
        <f t="shared" si="139"/>
        <v>2016depbwtQuin 5500-999infant</v>
      </c>
      <c r="Z1168" s="604">
        <v>2016</v>
      </c>
      <c r="AA1168" s="604" t="s">
        <v>454</v>
      </c>
      <c r="AB1168" s="604" t="s">
        <v>447</v>
      </c>
      <c r="AC1168" s="604" t="s">
        <v>425</v>
      </c>
      <c r="AD1168" s="604" t="s">
        <v>428</v>
      </c>
      <c r="AE1168" s="604">
        <v>24</v>
      </c>
      <c r="AF1168" s="604">
        <v>67</v>
      </c>
      <c r="AG1168" s="604">
        <v>358.2</v>
      </c>
      <c r="AH1168" s="604" t="s">
        <v>437</v>
      </c>
      <c r="AR1168" s="538" t="str">
        <f t="shared" si="137"/>
        <v>AsianethinfantWhanganui</v>
      </c>
      <c r="AS1168" s="604">
        <v>2016</v>
      </c>
      <c r="AT1168" s="604" t="s">
        <v>355</v>
      </c>
      <c r="AU1168" s="604" t="s">
        <v>449</v>
      </c>
      <c r="AV1168" s="604" t="s">
        <v>95</v>
      </c>
      <c r="AW1168" s="604">
        <v>0</v>
      </c>
      <c r="AX1168" s="604">
        <v>38</v>
      </c>
      <c r="AY1168" s="606">
        <v>0</v>
      </c>
      <c r="AZ1168" s="604" t="s">
        <v>437</v>
      </c>
      <c r="BY1168" s="553" t="str">
        <f t="shared" si="140"/>
        <v>20161000-1499bwtSUDI</v>
      </c>
      <c r="BZ1168" s="604">
        <v>2016</v>
      </c>
      <c r="CA1168" s="604" t="s">
        <v>429</v>
      </c>
      <c r="CB1168" s="604" t="s">
        <v>447</v>
      </c>
      <c r="CC1168" s="604">
        <v>0</v>
      </c>
      <c r="CD1168" s="604" t="s">
        <v>33</v>
      </c>
    </row>
    <row r="1169" spans="9:82">
      <c r="I1169" s="578" t="str">
        <f t="shared" si="138"/>
        <v>2007OverallTotalPeri</v>
      </c>
      <c r="J1169" s="604">
        <v>2007</v>
      </c>
      <c r="K1169" s="604" t="s">
        <v>104</v>
      </c>
      <c r="L1169" s="604" t="s">
        <v>44</v>
      </c>
      <c r="M1169" s="604">
        <v>604</v>
      </c>
      <c r="N1169" s="604">
        <v>65591</v>
      </c>
      <c r="O1169" s="604">
        <v>9.1999999999999993</v>
      </c>
      <c r="P1169" s="604" t="s">
        <v>483</v>
      </c>
      <c r="Q1169" s="499"/>
      <c r="Y1169" s="535" t="str">
        <f t="shared" si="139"/>
        <v>2016depbwtQuin 9500-999infant</v>
      </c>
      <c r="Z1169" s="604">
        <v>2016</v>
      </c>
      <c r="AA1169" s="604" t="s">
        <v>454</v>
      </c>
      <c r="AB1169" s="604" t="s">
        <v>447</v>
      </c>
      <c r="AC1169" s="604" t="s">
        <v>426</v>
      </c>
      <c r="AD1169" s="604" t="s">
        <v>428</v>
      </c>
      <c r="AE1169" s="604">
        <v>1</v>
      </c>
      <c r="AF1169" s="604">
        <v>1</v>
      </c>
      <c r="AG1169" s="604" t="s">
        <v>119</v>
      </c>
      <c r="AH1169" s="604" t="s">
        <v>437</v>
      </c>
      <c r="AR1169" s="538" t="str">
        <f t="shared" si="137"/>
        <v>Pacific peoplesethinfantCapital &amp; Coast</v>
      </c>
      <c r="AS1169" s="604">
        <v>2016</v>
      </c>
      <c r="AT1169" s="604" t="s">
        <v>320</v>
      </c>
      <c r="AU1169" s="604" t="s">
        <v>449</v>
      </c>
      <c r="AV1169" s="604" t="s">
        <v>96</v>
      </c>
      <c r="AW1169" s="604">
        <v>0</v>
      </c>
      <c r="AX1169" s="604">
        <v>358</v>
      </c>
      <c r="AY1169" s="606">
        <v>0</v>
      </c>
      <c r="AZ1169" s="604" t="s">
        <v>437</v>
      </c>
      <c r="BY1169" s="553" t="str">
        <f t="shared" si="140"/>
        <v>20161500-2499bwtSUDI</v>
      </c>
      <c r="BZ1169" s="604">
        <v>2016</v>
      </c>
      <c r="CA1169" s="604" t="s">
        <v>430</v>
      </c>
      <c r="CB1169" s="604" t="s">
        <v>447</v>
      </c>
      <c r="CC1169" s="604">
        <v>7</v>
      </c>
      <c r="CD1169" s="604" t="s">
        <v>33</v>
      </c>
    </row>
    <row r="1170" spans="9:82">
      <c r="I1170" s="578" t="str">
        <f t="shared" si="138"/>
        <v>2008OverallTotalPeri</v>
      </c>
      <c r="J1170" s="604">
        <v>2008</v>
      </c>
      <c r="K1170" s="604" t="s">
        <v>104</v>
      </c>
      <c r="L1170" s="604" t="s">
        <v>44</v>
      </c>
      <c r="M1170" s="604">
        <v>701</v>
      </c>
      <c r="N1170" s="604">
        <v>65889</v>
      </c>
      <c r="O1170" s="604">
        <v>10.6</v>
      </c>
      <c r="P1170" s="604" t="s">
        <v>483</v>
      </c>
      <c r="Q1170" s="499"/>
      <c r="Y1170" s="535" t="str">
        <f t="shared" si="139"/>
        <v>2016depbwtQuin 11000-1499infant</v>
      </c>
      <c r="Z1170" s="604">
        <v>2016</v>
      </c>
      <c r="AA1170" s="604" t="s">
        <v>454</v>
      </c>
      <c r="AB1170" s="604" t="s">
        <v>447</v>
      </c>
      <c r="AC1170" s="604" t="s">
        <v>421</v>
      </c>
      <c r="AD1170" s="604" t="s">
        <v>429</v>
      </c>
      <c r="AE1170" s="604">
        <v>1</v>
      </c>
      <c r="AF1170" s="604">
        <v>51</v>
      </c>
      <c r="AG1170" s="604">
        <v>19.600000000000001</v>
      </c>
      <c r="AH1170" s="604" t="s">
        <v>437</v>
      </c>
      <c r="AR1170" s="538" t="str">
        <f t="shared" si="137"/>
        <v>Pacific peoplesethinfantWairarapa</v>
      </c>
      <c r="AS1170" s="604">
        <v>2016</v>
      </c>
      <c r="AT1170" s="604" t="s">
        <v>320</v>
      </c>
      <c r="AU1170" s="604" t="s">
        <v>449</v>
      </c>
      <c r="AV1170" s="604" t="s">
        <v>98</v>
      </c>
      <c r="AW1170" s="604">
        <v>0</v>
      </c>
      <c r="AX1170" s="604">
        <v>20</v>
      </c>
      <c r="AY1170" s="606">
        <v>0</v>
      </c>
      <c r="AZ1170" s="604" t="s">
        <v>437</v>
      </c>
      <c r="BY1170" s="553" t="str">
        <f t="shared" si="140"/>
        <v>20162500-4499bwtSUDI</v>
      </c>
      <c r="BZ1170" s="604">
        <v>2016</v>
      </c>
      <c r="CA1170" s="604" t="s">
        <v>431</v>
      </c>
      <c r="CB1170" s="604" t="s">
        <v>447</v>
      </c>
      <c r="CC1170" s="604">
        <v>34</v>
      </c>
      <c r="CD1170" s="604" t="s">
        <v>33</v>
      </c>
    </row>
    <row r="1171" spans="9:82">
      <c r="I1171" s="578" t="str">
        <f t="shared" si="138"/>
        <v>2009OverallTotalPeri</v>
      </c>
      <c r="J1171" s="604">
        <v>2009</v>
      </c>
      <c r="K1171" s="604" t="s">
        <v>104</v>
      </c>
      <c r="L1171" s="604" t="s">
        <v>44</v>
      </c>
      <c r="M1171" s="604">
        <v>634</v>
      </c>
      <c r="N1171" s="604">
        <v>63767</v>
      </c>
      <c r="O1171" s="604">
        <v>9.9</v>
      </c>
      <c r="P1171" s="604" t="s">
        <v>483</v>
      </c>
      <c r="Q1171" s="499"/>
      <c r="Y1171" s="535" t="str">
        <f t="shared" si="139"/>
        <v>2016depbwtQuin 21000-1499infant</v>
      </c>
      <c r="Z1171" s="604">
        <v>2016</v>
      </c>
      <c r="AA1171" s="604" t="s">
        <v>454</v>
      </c>
      <c r="AB1171" s="604" t="s">
        <v>447</v>
      </c>
      <c r="AC1171" s="604" t="s">
        <v>422</v>
      </c>
      <c r="AD1171" s="604" t="s">
        <v>429</v>
      </c>
      <c r="AE1171" s="604">
        <v>1</v>
      </c>
      <c r="AF1171" s="604">
        <v>40</v>
      </c>
      <c r="AG1171" s="604">
        <v>25</v>
      </c>
      <c r="AH1171" s="604" t="s">
        <v>437</v>
      </c>
      <c r="AR1171" s="538" t="str">
        <f t="shared" si="137"/>
        <v>AsianethinfantWairarapa</v>
      </c>
      <c r="AS1171" s="604">
        <v>2016</v>
      </c>
      <c r="AT1171" s="604" t="s">
        <v>355</v>
      </c>
      <c r="AU1171" s="604" t="s">
        <v>449</v>
      </c>
      <c r="AV1171" s="604" t="s">
        <v>98</v>
      </c>
      <c r="AW1171" s="604">
        <v>0</v>
      </c>
      <c r="AX1171" s="604">
        <v>34</v>
      </c>
      <c r="AY1171" s="606">
        <v>0</v>
      </c>
      <c r="AZ1171" s="604" t="s">
        <v>437</v>
      </c>
      <c r="BY1171" s="553" t="str">
        <f t="shared" si="140"/>
        <v>20164500+bwtSUDI</v>
      </c>
      <c r="BZ1171" s="604">
        <v>2016</v>
      </c>
      <c r="CA1171" s="604" t="s">
        <v>432</v>
      </c>
      <c r="CB1171" s="604" t="s">
        <v>447</v>
      </c>
      <c r="CC1171" s="604">
        <v>0</v>
      </c>
      <c r="CD1171" s="604" t="s">
        <v>33</v>
      </c>
    </row>
    <row r="1172" spans="9:82">
      <c r="I1172" s="578" t="str">
        <f t="shared" si="138"/>
        <v>2010OverallTotalPeri</v>
      </c>
      <c r="J1172" s="604">
        <v>2010</v>
      </c>
      <c r="K1172" s="604" t="s">
        <v>104</v>
      </c>
      <c r="L1172" s="604" t="s">
        <v>44</v>
      </c>
      <c r="M1172" s="604">
        <v>661</v>
      </c>
      <c r="N1172" s="604">
        <v>65168</v>
      </c>
      <c r="O1172" s="604">
        <v>10.1</v>
      </c>
      <c r="P1172" s="604" t="s">
        <v>483</v>
      </c>
      <c r="Q1172" s="499"/>
      <c r="Y1172" s="535" t="str">
        <f t="shared" si="139"/>
        <v>2016depbwtQuin 31000-1499infant</v>
      </c>
      <c r="Z1172" s="604">
        <v>2016</v>
      </c>
      <c r="AA1172" s="604" t="s">
        <v>454</v>
      </c>
      <c r="AB1172" s="604" t="s">
        <v>447</v>
      </c>
      <c r="AC1172" s="604" t="s">
        <v>423</v>
      </c>
      <c r="AD1172" s="604" t="s">
        <v>429</v>
      </c>
      <c r="AE1172" s="604">
        <v>1</v>
      </c>
      <c r="AF1172" s="604">
        <v>62</v>
      </c>
      <c r="AG1172" s="604">
        <v>16.100000000000001</v>
      </c>
      <c r="AH1172" s="604" t="s">
        <v>437</v>
      </c>
      <c r="AR1172" s="538" t="str">
        <f t="shared" si="137"/>
        <v>European or OtherethinfantWairarapa</v>
      </c>
      <c r="AS1172" s="604">
        <v>2016</v>
      </c>
      <c r="AT1172" s="604" t="s">
        <v>356</v>
      </c>
      <c r="AU1172" s="604" t="s">
        <v>449</v>
      </c>
      <c r="AV1172" s="604" t="s">
        <v>98</v>
      </c>
      <c r="AW1172" s="604">
        <v>0</v>
      </c>
      <c r="AX1172" s="604">
        <v>254</v>
      </c>
      <c r="AY1172" s="606">
        <v>0</v>
      </c>
      <c r="AZ1172" s="604" t="s">
        <v>437</v>
      </c>
      <c r="BY1172" s="553" t="str">
        <f t="shared" si="140"/>
        <v>2016UnknownbwtSUDI</v>
      </c>
      <c r="BZ1172" s="604">
        <v>2016</v>
      </c>
      <c r="CA1172" s="604" t="s">
        <v>63</v>
      </c>
      <c r="CB1172" s="604" t="s">
        <v>447</v>
      </c>
      <c r="CC1172" s="604">
        <v>1</v>
      </c>
      <c r="CD1172" s="604" t="s">
        <v>33</v>
      </c>
    </row>
    <row r="1173" spans="9:82">
      <c r="I1173" s="578" t="str">
        <f t="shared" si="138"/>
        <v>2011OverallTotalPeri</v>
      </c>
      <c r="J1173" s="604">
        <v>2011</v>
      </c>
      <c r="K1173" s="604" t="s">
        <v>104</v>
      </c>
      <c r="L1173" s="604" t="s">
        <v>44</v>
      </c>
      <c r="M1173" s="604">
        <v>622</v>
      </c>
      <c r="N1173" s="604">
        <v>62625</v>
      </c>
      <c r="O1173" s="604">
        <v>9.9</v>
      </c>
      <c r="P1173" s="604" t="s">
        <v>483</v>
      </c>
      <c r="Q1173" s="499"/>
      <c r="Y1173" s="535" t="str">
        <f t="shared" si="139"/>
        <v>2016depbwtQuin 41000-1499infant</v>
      </c>
      <c r="Z1173" s="604">
        <v>2016</v>
      </c>
      <c r="AA1173" s="604" t="s">
        <v>454</v>
      </c>
      <c r="AB1173" s="604" t="s">
        <v>447</v>
      </c>
      <c r="AC1173" s="604" t="s">
        <v>424</v>
      </c>
      <c r="AD1173" s="604" t="s">
        <v>429</v>
      </c>
      <c r="AE1173" s="604">
        <v>2</v>
      </c>
      <c r="AF1173" s="604">
        <v>75</v>
      </c>
      <c r="AG1173" s="604">
        <v>26.7</v>
      </c>
      <c r="AH1173" s="604" t="s">
        <v>437</v>
      </c>
      <c r="AR1173" s="538" t="str">
        <f t="shared" si="137"/>
        <v>MaoriethinfantNelson Marlborough</v>
      </c>
      <c r="AS1173" s="604">
        <v>2016</v>
      </c>
      <c r="AT1173" s="604" t="s">
        <v>129</v>
      </c>
      <c r="AU1173" s="604" t="s">
        <v>449</v>
      </c>
      <c r="AV1173" s="604" t="s">
        <v>99</v>
      </c>
      <c r="AW1173" s="604">
        <v>0</v>
      </c>
      <c r="AX1173" s="604">
        <v>375</v>
      </c>
      <c r="AY1173" s="606">
        <v>0</v>
      </c>
      <c r="AZ1173" s="604" t="s">
        <v>437</v>
      </c>
      <c r="BY1173" s="553" t="str">
        <f t="shared" si="140"/>
        <v>2000Quin 1depSUDI</v>
      </c>
      <c r="BZ1173" s="604">
        <v>2000</v>
      </c>
      <c r="CA1173" s="604" t="s">
        <v>421</v>
      </c>
      <c r="CB1173" s="604" t="s">
        <v>454</v>
      </c>
      <c r="CC1173" s="604">
        <v>3</v>
      </c>
      <c r="CD1173" s="604" t="s">
        <v>33</v>
      </c>
    </row>
    <row r="1174" spans="9:82">
      <c r="I1174" s="578" t="str">
        <f t="shared" si="138"/>
        <v>2012OverallTotalPeri</v>
      </c>
      <c r="J1174" s="604">
        <v>2012</v>
      </c>
      <c r="K1174" s="604" t="s">
        <v>104</v>
      </c>
      <c r="L1174" s="604" t="s">
        <v>44</v>
      </c>
      <c r="M1174" s="604">
        <v>608</v>
      </c>
      <c r="N1174" s="604">
        <v>62483</v>
      </c>
      <c r="O1174" s="604">
        <v>9.6999999999999993</v>
      </c>
      <c r="P1174" s="604" t="s">
        <v>483</v>
      </c>
      <c r="Q1174" s="499"/>
      <c r="Y1174" s="535" t="str">
        <f t="shared" si="139"/>
        <v>2016depbwtQuin 51000-1499infant</v>
      </c>
      <c r="Z1174" s="604">
        <v>2016</v>
      </c>
      <c r="AA1174" s="604" t="s">
        <v>454</v>
      </c>
      <c r="AB1174" s="604" t="s">
        <v>447</v>
      </c>
      <c r="AC1174" s="604" t="s">
        <v>425</v>
      </c>
      <c r="AD1174" s="604" t="s">
        <v>429</v>
      </c>
      <c r="AE1174" s="604">
        <v>3</v>
      </c>
      <c r="AF1174" s="604">
        <v>103</v>
      </c>
      <c r="AG1174" s="604">
        <v>29.1</v>
      </c>
      <c r="AH1174" s="604" t="s">
        <v>437</v>
      </c>
      <c r="AR1174" s="538" t="str">
        <f t="shared" si="137"/>
        <v>Pacific peoplesethinfantNelson Marlborough</v>
      </c>
      <c r="AS1174" s="604">
        <v>2016</v>
      </c>
      <c r="AT1174" s="604" t="s">
        <v>320</v>
      </c>
      <c r="AU1174" s="604" t="s">
        <v>449</v>
      </c>
      <c r="AV1174" s="604" t="s">
        <v>99</v>
      </c>
      <c r="AW1174" s="604">
        <v>0</v>
      </c>
      <c r="AX1174" s="604">
        <v>50</v>
      </c>
      <c r="AY1174" s="606">
        <v>0</v>
      </c>
      <c r="AZ1174" s="604" t="s">
        <v>437</v>
      </c>
      <c r="BY1174" s="553" t="str">
        <f t="shared" si="140"/>
        <v>2000Quin 2depSUDI</v>
      </c>
      <c r="BZ1174" s="604">
        <v>2000</v>
      </c>
      <c r="CA1174" s="604" t="s">
        <v>422</v>
      </c>
      <c r="CB1174" s="604" t="s">
        <v>454</v>
      </c>
      <c r="CC1174" s="604">
        <v>7</v>
      </c>
      <c r="CD1174" s="604" t="s">
        <v>33</v>
      </c>
    </row>
    <row r="1175" spans="9:82">
      <c r="I1175" s="578" t="str">
        <f t="shared" si="138"/>
        <v>2013OverallTotalPeri</v>
      </c>
      <c r="J1175" s="604">
        <v>2013</v>
      </c>
      <c r="K1175" s="604" t="s">
        <v>104</v>
      </c>
      <c r="L1175" s="604" t="s">
        <v>44</v>
      </c>
      <c r="M1175" s="604">
        <v>559</v>
      </c>
      <c r="N1175" s="604">
        <v>60094</v>
      </c>
      <c r="O1175" s="604">
        <v>9.3000000000000007</v>
      </c>
      <c r="P1175" s="604" t="s">
        <v>483</v>
      </c>
      <c r="Q1175" s="499"/>
      <c r="Y1175" s="535" t="str">
        <f t="shared" si="139"/>
        <v>2016depbwtQuin 11500-2499infant</v>
      </c>
      <c r="Z1175" s="604">
        <v>2016</v>
      </c>
      <c r="AA1175" s="604" t="s">
        <v>454</v>
      </c>
      <c r="AB1175" s="604" t="s">
        <v>447</v>
      </c>
      <c r="AC1175" s="604" t="s">
        <v>421</v>
      </c>
      <c r="AD1175" s="604" t="s">
        <v>430</v>
      </c>
      <c r="AE1175" s="604">
        <v>2</v>
      </c>
      <c r="AF1175" s="604">
        <v>400</v>
      </c>
      <c r="AG1175" s="604">
        <v>5</v>
      </c>
      <c r="AH1175" s="604" t="s">
        <v>437</v>
      </c>
      <c r="AR1175" s="538" t="str">
        <f t="shared" si="137"/>
        <v>AsianethinfantNelson Marlborough</v>
      </c>
      <c r="AS1175" s="604">
        <v>2016</v>
      </c>
      <c r="AT1175" s="604" t="s">
        <v>355</v>
      </c>
      <c r="AU1175" s="604" t="s">
        <v>449</v>
      </c>
      <c r="AV1175" s="604" t="s">
        <v>99</v>
      </c>
      <c r="AW1175" s="604">
        <v>0</v>
      </c>
      <c r="AX1175" s="604">
        <v>135</v>
      </c>
      <c r="AY1175" s="606">
        <v>0</v>
      </c>
      <c r="AZ1175" s="604" t="s">
        <v>437</v>
      </c>
      <c r="BY1175" s="553" t="str">
        <f t="shared" si="140"/>
        <v>2000Quin 3depSUDI</v>
      </c>
      <c r="BZ1175" s="604">
        <v>2000</v>
      </c>
      <c r="CA1175" s="604" t="s">
        <v>423</v>
      </c>
      <c r="CB1175" s="604" t="s">
        <v>454</v>
      </c>
      <c r="CC1175" s="604">
        <v>6</v>
      </c>
      <c r="CD1175" s="604" t="s">
        <v>33</v>
      </c>
    </row>
    <row r="1176" spans="9:82">
      <c r="I1176" s="578" t="str">
        <f t="shared" si="138"/>
        <v>2014OverallTotalPeri</v>
      </c>
      <c r="J1176" s="604">
        <v>2014</v>
      </c>
      <c r="K1176" s="604" t="s">
        <v>104</v>
      </c>
      <c r="L1176" s="604" t="s">
        <v>44</v>
      </c>
      <c r="M1176" s="604">
        <v>655</v>
      </c>
      <c r="N1176" s="604">
        <v>58732</v>
      </c>
      <c r="O1176" s="604">
        <v>11.2</v>
      </c>
      <c r="P1176" s="604" t="s">
        <v>483</v>
      </c>
      <c r="Q1176" s="499"/>
      <c r="Y1176" s="535" t="str">
        <f t="shared" si="139"/>
        <v>2016depbwtQuin 21500-2499infant</v>
      </c>
      <c r="Z1176" s="604">
        <v>2016</v>
      </c>
      <c r="AA1176" s="604" t="s">
        <v>454</v>
      </c>
      <c r="AB1176" s="604" t="s">
        <v>447</v>
      </c>
      <c r="AC1176" s="604" t="s">
        <v>422</v>
      </c>
      <c r="AD1176" s="604" t="s">
        <v>430</v>
      </c>
      <c r="AE1176" s="604">
        <v>3</v>
      </c>
      <c r="AF1176" s="604">
        <v>438</v>
      </c>
      <c r="AG1176" s="604">
        <v>6.8</v>
      </c>
      <c r="AH1176" s="604" t="s">
        <v>437</v>
      </c>
      <c r="AR1176" s="538" t="str">
        <f t="shared" si="137"/>
        <v>Pacific peoplesethinfantWest Coast</v>
      </c>
      <c r="AS1176" s="604">
        <v>2016</v>
      </c>
      <c r="AT1176" s="604" t="s">
        <v>320</v>
      </c>
      <c r="AU1176" s="604" t="s">
        <v>449</v>
      </c>
      <c r="AV1176" s="604" t="s">
        <v>100</v>
      </c>
      <c r="AW1176" s="604">
        <v>0</v>
      </c>
      <c r="AX1176" s="604">
        <v>3</v>
      </c>
      <c r="AY1176" s="606">
        <v>0</v>
      </c>
      <c r="AZ1176" s="604" t="s">
        <v>437</v>
      </c>
      <c r="BY1176" s="553" t="str">
        <f t="shared" si="140"/>
        <v>2000Quin 4depSUDI</v>
      </c>
      <c r="BZ1176" s="604">
        <v>2000</v>
      </c>
      <c r="CA1176" s="604" t="s">
        <v>424</v>
      </c>
      <c r="CB1176" s="604" t="s">
        <v>454</v>
      </c>
      <c r="CC1176" s="604">
        <v>15</v>
      </c>
      <c r="CD1176" s="604" t="s">
        <v>33</v>
      </c>
    </row>
    <row r="1177" spans="9:82">
      <c r="I1177" s="578" t="str">
        <f t="shared" si="138"/>
        <v>2015OverallTotalPeri</v>
      </c>
      <c r="J1177" s="604">
        <v>2015</v>
      </c>
      <c r="K1177" s="604" t="s">
        <v>104</v>
      </c>
      <c r="L1177" s="604" t="s">
        <v>44</v>
      </c>
      <c r="M1177" s="604">
        <v>528</v>
      </c>
      <c r="N1177" s="604">
        <v>62506</v>
      </c>
      <c r="O1177" s="604">
        <v>8.4</v>
      </c>
      <c r="P1177" s="604" t="s">
        <v>483</v>
      </c>
      <c r="Q1177" s="499"/>
      <c r="Y1177" s="535" t="str">
        <f t="shared" si="139"/>
        <v>2016depbwtQuin 31500-2499infant</v>
      </c>
      <c r="Z1177" s="604">
        <v>2016</v>
      </c>
      <c r="AA1177" s="604" t="s">
        <v>454</v>
      </c>
      <c r="AB1177" s="604" t="s">
        <v>447</v>
      </c>
      <c r="AC1177" s="604" t="s">
        <v>423</v>
      </c>
      <c r="AD1177" s="604" t="s">
        <v>430</v>
      </c>
      <c r="AE1177" s="604">
        <v>5</v>
      </c>
      <c r="AF1177" s="604">
        <v>545</v>
      </c>
      <c r="AG1177" s="604">
        <v>9.1999999999999993</v>
      </c>
      <c r="AH1177" s="604" t="s">
        <v>437</v>
      </c>
      <c r="AR1177" s="538" t="str">
        <f t="shared" si="137"/>
        <v>AsianethinfantWest Coast</v>
      </c>
      <c r="AS1177" s="604">
        <v>2016</v>
      </c>
      <c r="AT1177" s="604" t="s">
        <v>355</v>
      </c>
      <c r="AU1177" s="604" t="s">
        <v>449</v>
      </c>
      <c r="AV1177" s="604" t="s">
        <v>100</v>
      </c>
      <c r="AW1177" s="604">
        <v>0</v>
      </c>
      <c r="AX1177" s="604">
        <v>12</v>
      </c>
      <c r="AY1177" s="606">
        <v>0</v>
      </c>
      <c r="AZ1177" s="604" t="s">
        <v>437</v>
      </c>
      <c r="BY1177" s="553" t="str">
        <f t="shared" si="140"/>
        <v>2000Quin 5depSUDI</v>
      </c>
      <c r="BZ1177" s="604">
        <v>2000</v>
      </c>
      <c r="CA1177" s="604" t="s">
        <v>425</v>
      </c>
      <c r="CB1177" s="604" t="s">
        <v>454</v>
      </c>
      <c r="CC1177" s="604">
        <v>47</v>
      </c>
      <c r="CD1177" s="604" t="s">
        <v>33</v>
      </c>
    </row>
    <row r="1178" spans="9:82">
      <c r="I1178" s="578" t="str">
        <f t="shared" si="138"/>
        <v>2016OverallTotalPeri</v>
      </c>
      <c r="J1178" s="604">
        <v>2016</v>
      </c>
      <c r="K1178" s="604" t="s">
        <v>104</v>
      </c>
      <c r="L1178" s="604" t="s">
        <v>44</v>
      </c>
      <c r="M1178" s="604">
        <v>546</v>
      </c>
      <c r="N1178" s="604">
        <v>60849</v>
      </c>
      <c r="O1178" s="604">
        <v>9</v>
      </c>
      <c r="P1178" s="604" t="s">
        <v>483</v>
      </c>
      <c r="Q1178" s="499"/>
      <c r="Y1178" s="535" t="str">
        <f t="shared" si="139"/>
        <v>2016depbwtQuin 41500-2499infant</v>
      </c>
      <c r="Z1178" s="604">
        <v>2016</v>
      </c>
      <c r="AA1178" s="604" t="s">
        <v>454</v>
      </c>
      <c r="AB1178" s="604" t="s">
        <v>447</v>
      </c>
      <c r="AC1178" s="604" t="s">
        <v>424</v>
      </c>
      <c r="AD1178" s="604" t="s">
        <v>430</v>
      </c>
      <c r="AE1178" s="604">
        <v>5</v>
      </c>
      <c r="AF1178" s="604">
        <v>684</v>
      </c>
      <c r="AG1178" s="604">
        <v>7.3</v>
      </c>
      <c r="AH1178" s="604" t="s">
        <v>437</v>
      </c>
      <c r="AR1178" s="538" t="str">
        <f t="shared" si="137"/>
        <v>European or OtherethinfantWest Coast</v>
      </c>
      <c r="AS1178" s="604">
        <v>2016</v>
      </c>
      <c r="AT1178" s="604" t="s">
        <v>356</v>
      </c>
      <c r="AU1178" s="604" t="s">
        <v>449</v>
      </c>
      <c r="AV1178" s="604" t="s">
        <v>100</v>
      </c>
      <c r="AW1178" s="604">
        <v>0</v>
      </c>
      <c r="AX1178" s="604">
        <v>229</v>
      </c>
      <c r="AY1178" s="606">
        <v>0</v>
      </c>
      <c r="AZ1178" s="604" t="s">
        <v>437</v>
      </c>
      <c r="BY1178" s="553" t="str">
        <f t="shared" si="140"/>
        <v>2000Quin 9depSUDI</v>
      </c>
      <c r="BZ1178" s="604">
        <v>2000</v>
      </c>
      <c r="CA1178" s="604" t="s">
        <v>426</v>
      </c>
      <c r="CB1178" s="604" t="s">
        <v>454</v>
      </c>
      <c r="CC1178" s="604">
        <v>4</v>
      </c>
      <c r="CD1178" s="604" t="s">
        <v>33</v>
      </c>
    </row>
    <row r="1179" spans="9:82">
      <c r="I1179" s="578" t="str">
        <f t="shared" si="138"/>
        <v>1996age&lt;20Peri</v>
      </c>
      <c r="J1179" s="604">
        <v>1996</v>
      </c>
      <c r="K1179" s="604" t="s">
        <v>453</v>
      </c>
      <c r="L1179" s="604" t="s">
        <v>339</v>
      </c>
      <c r="M1179" s="604">
        <v>49</v>
      </c>
      <c r="N1179" s="604">
        <v>4450</v>
      </c>
      <c r="O1179" s="604">
        <v>11</v>
      </c>
      <c r="P1179" s="604" t="s">
        <v>483</v>
      </c>
      <c r="Q1179" s="499"/>
      <c r="Y1179" s="535" t="str">
        <f t="shared" si="139"/>
        <v>2016depbwtQuin 51500-2499infant</v>
      </c>
      <c r="Z1179" s="604">
        <v>2016</v>
      </c>
      <c r="AA1179" s="604" t="s">
        <v>454</v>
      </c>
      <c r="AB1179" s="604" t="s">
        <v>447</v>
      </c>
      <c r="AC1179" s="604" t="s">
        <v>425</v>
      </c>
      <c r="AD1179" s="604" t="s">
        <v>430</v>
      </c>
      <c r="AE1179" s="604">
        <v>20</v>
      </c>
      <c r="AF1179" s="604">
        <v>920</v>
      </c>
      <c r="AG1179" s="604">
        <v>21.7</v>
      </c>
      <c r="AH1179" s="604" t="s">
        <v>437</v>
      </c>
      <c r="AR1179" s="538" t="str">
        <f t="shared" si="137"/>
        <v>Pacific peoplesethinfantCanterbury</v>
      </c>
      <c r="AS1179" s="604">
        <v>2016</v>
      </c>
      <c r="AT1179" s="604" t="s">
        <v>320</v>
      </c>
      <c r="AU1179" s="604" t="s">
        <v>449</v>
      </c>
      <c r="AV1179" s="604" t="s">
        <v>101</v>
      </c>
      <c r="AW1179" s="604">
        <v>0</v>
      </c>
      <c r="AX1179" s="604">
        <v>341</v>
      </c>
      <c r="AY1179" s="606">
        <v>0</v>
      </c>
      <c r="AZ1179" s="604" t="s">
        <v>437</v>
      </c>
      <c r="BY1179" s="553" t="str">
        <f t="shared" si="140"/>
        <v>2001Quin 1depSUDI</v>
      </c>
      <c r="BZ1179" s="604">
        <v>2001</v>
      </c>
      <c r="CA1179" s="604" t="s">
        <v>421</v>
      </c>
      <c r="CB1179" s="604" t="s">
        <v>454</v>
      </c>
      <c r="CC1179" s="604">
        <v>4</v>
      </c>
      <c r="CD1179" s="604" t="s">
        <v>33</v>
      </c>
    </row>
    <row r="1180" spans="9:82">
      <c r="I1180" s="578" t="str">
        <f t="shared" si="138"/>
        <v>1996age20-24Peri</v>
      </c>
      <c r="J1180" s="604">
        <v>1996</v>
      </c>
      <c r="K1180" s="604" t="s">
        <v>453</v>
      </c>
      <c r="L1180" s="604" t="s">
        <v>130</v>
      </c>
      <c r="M1180" s="604">
        <v>124</v>
      </c>
      <c r="N1180" s="604">
        <v>11504</v>
      </c>
      <c r="O1180" s="604">
        <v>10.8</v>
      </c>
      <c r="P1180" s="604" t="s">
        <v>483</v>
      </c>
      <c r="Q1180" s="499"/>
      <c r="Y1180" s="535" t="str">
        <f t="shared" si="139"/>
        <v>2016depbwtQuin 91500-2499infant</v>
      </c>
      <c r="Z1180" s="604">
        <v>2016</v>
      </c>
      <c r="AA1180" s="604" t="s">
        <v>454</v>
      </c>
      <c r="AB1180" s="604" t="s">
        <v>447</v>
      </c>
      <c r="AC1180" s="604" t="s">
        <v>426</v>
      </c>
      <c r="AD1180" s="604" t="s">
        <v>430</v>
      </c>
      <c r="AE1180" s="604">
        <v>0</v>
      </c>
      <c r="AF1180" s="604">
        <v>4</v>
      </c>
      <c r="AG1180" s="604" t="s">
        <v>119</v>
      </c>
      <c r="AH1180" s="604" t="s">
        <v>437</v>
      </c>
      <c r="AR1180" s="538" t="str">
        <f t="shared" ref="AR1180:AR1243" si="141">AT1180&amp;AU1180&amp;AZ1180&amp;AV1180</f>
        <v>Pacific peoplesethinfantSouth Canterbury</v>
      </c>
      <c r="AS1180" s="604">
        <v>2016</v>
      </c>
      <c r="AT1180" s="604" t="s">
        <v>320</v>
      </c>
      <c r="AU1180" s="604" t="s">
        <v>449</v>
      </c>
      <c r="AV1180" s="604" t="s">
        <v>102</v>
      </c>
      <c r="AW1180" s="604">
        <v>0</v>
      </c>
      <c r="AX1180" s="604">
        <v>19</v>
      </c>
      <c r="AY1180" s="606">
        <v>0</v>
      </c>
      <c r="AZ1180" s="604" t="s">
        <v>437</v>
      </c>
      <c r="BY1180" s="553" t="str">
        <f t="shared" si="140"/>
        <v>2001Quin 2depSUDI</v>
      </c>
      <c r="BZ1180" s="604">
        <v>2001</v>
      </c>
      <c r="CA1180" s="604" t="s">
        <v>422</v>
      </c>
      <c r="CB1180" s="604" t="s">
        <v>454</v>
      </c>
      <c r="CC1180" s="604">
        <v>5</v>
      </c>
      <c r="CD1180" s="604" t="s">
        <v>33</v>
      </c>
    </row>
    <row r="1181" spans="9:82">
      <c r="I1181" s="578" t="str">
        <f t="shared" si="138"/>
        <v>1996age25-29Peri</v>
      </c>
      <c r="J1181" s="604">
        <v>1996</v>
      </c>
      <c r="K1181" s="604" t="s">
        <v>453</v>
      </c>
      <c r="L1181" s="604" t="s">
        <v>131</v>
      </c>
      <c r="M1181" s="604">
        <v>171</v>
      </c>
      <c r="N1181" s="604">
        <v>17578</v>
      </c>
      <c r="O1181" s="604">
        <v>9.6999999999999993</v>
      </c>
      <c r="P1181" s="604" t="s">
        <v>483</v>
      </c>
      <c r="Q1181" s="499"/>
      <c r="Y1181" s="535" t="str">
        <f t="shared" si="139"/>
        <v>2016depbwtQuin 12500-4499infant</v>
      </c>
      <c r="Z1181" s="604">
        <v>2016</v>
      </c>
      <c r="AA1181" s="604" t="s">
        <v>454</v>
      </c>
      <c r="AB1181" s="604" t="s">
        <v>447</v>
      </c>
      <c r="AC1181" s="604" t="s">
        <v>421</v>
      </c>
      <c r="AD1181" s="604" t="s">
        <v>431</v>
      </c>
      <c r="AE1181" s="604">
        <v>11</v>
      </c>
      <c r="AF1181" s="604">
        <v>8513</v>
      </c>
      <c r="AG1181" s="604">
        <v>1.3</v>
      </c>
      <c r="AH1181" s="604" t="s">
        <v>437</v>
      </c>
      <c r="AR1181" s="538" t="str">
        <f t="shared" si="141"/>
        <v>AsianethinfantSouth Canterbury</v>
      </c>
      <c r="AS1181" s="604">
        <v>2016</v>
      </c>
      <c r="AT1181" s="604" t="s">
        <v>355</v>
      </c>
      <c r="AU1181" s="604" t="s">
        <v>449</v>
      </c>
      <c r="AV1181" s="604" t="s">
        <v>102</v>
      </c>
      <c r="AW1181" s="604">
        <v>0</v>
      </c>
      <c r="AX1181" s="604">
        <v>53</v>
      </c>
      <c r="AY1181" s="606">
        <v>0</v>
      </c>
      <c r="AZ1181" s="604" t="s">
        <v>437</v>
      </c>
      <c r="BY1181" s="553" t="str">
        <f t="shared" si="140"/>
        <v>2001Quin 3depSUDI</v>
      </c>
      <c r="BZ1181" s="604">
        <v>2001</v>
      </c>
      <c r="CA1181" s="604" t="s">
        <v>423</v>
      </c>
      <c r="CB1181" s="604" t="s">
        <v>454</v>
      </c>
      <c r="CC1181" s="604">
        <v>12</v>
      </c>
      <c r="CD1181" s="604" t="s">
        <v>33</v>
      </c>
    </row>
    <row r="1182" spans="9:82">
      <c r="I1182" s="578" t="str">
        <f t="shared" si="138"/>
        <v>1996age30-34Peri</v>
      </c>
      <c r="J1182" s="604">
        <v>1996</v>
      </c>
      <c r="K1182" s="604" t="s">
        <v>453</v>
      </c>
      <c r="L1182" s="604" t="s">
        <v>132</v>
      </c>
      <c r="M1182" s="604">
        <v>148</v>
      </c>
      <c r="N1182" s="604">
        <v>16399</v>
      </c>
      <c r="O1182" s="604">
        <v>9</v>
      </c>
      <c r="P1182" s="604" t="s">
        <v>483</v>
      </c>
      <c r="Q1182" s="499"/>
      <c r="Y1182" s="535" t="str">
        <f t="shared" si="139"/>
        <v>2016depbwtQuin 22500-4499infant</v>
      </c>
      <c r="Z1182" s="604">
        <v>2016</v>
      </c>
      <c r="AA1182" s="604" t="s">
        <v>454</v>
      </c>
      <c r="AB1182" s="604" t="s">
        <v>447</v>
      </c>
      <c r="AC1182" s="604" t="s">
        <v>422</v>
      </c>
      <c r="AD1182" s="604" t="s">
        <v>431</v>
      </c>
      <c r="AE1182" s="604">
        <v>10</v>
      </c>
      <c r="AF1182" s="604">
        <v>9383</v>
      </c>
      <c r="AG1182" s="604">
        <v>1.1000000000000001</v>
      </c>
      <c r="AH1182" s="604" t="s">
        <v>437</v>
      </c>
      <c r="AR1182" s="538" t="str">
        <f t="shared" si="141"/>
        <v>Pacific peoplesethinfantSouthern</v>
      </c>
      <c r="AS1182" s="604">
        <v>2016</v>
      </c>
      <c r="AT1182" s="604" t="s">
        <v>320</v>
      </c>
      <c r="AU1182" s="604" t="s">
        <v>449</v>
      </c>
      <c r="AV1182" s="604" t="s">
        <v>103</v>
      </c>
      <c r="AW1182" s="604">
        <v>0</v>
      </c>
      <c r="AX1182" s="604">
        <v>147</v>
      </c>
      <c r="AY1182" s="606">
        <v>0</v>
      </c>
      <c r="AZ1182" s="604" t="s">
        <v>437</v>
      </c>
      <c r="BY1182" s="553" t="str">
        <f t="shared" si="140"/>
        <v>2001Quin 4depSUDI</v>
      </c>
      <c r="BZ1182" s="604">
        <v>2001</v>
      </c>
      <c r="CA1182" s="604" t="s">
        <v>424</v>
      </c>
      <c r="CB1182" s="604" t="s">
        <v>454</v>
      </c>
      <c r="CC1182" s="604">
        <v>12</v>
      </c>
      <c r="CD1182" s="604" t="s">
        <v>33</v>
      </c>
    </row>
    <row r="1183" spans="9:82">
      <c r="I1183" s="578" t="str">
        <f t="shared" si="138"/>
        <v>1996age35-39Peri</v>
      </c>
      <c r="J1183" s="604">
        <v>1996</v>
      </c>
      <c r="K1183" s="604" t="s">
        <v>453</v>
      </c>
      <c r="L1183" s="604" t="s">
        <v>133</v>
      </c>
      <c r="M1183" s="604">
        <v>62</v>
      </c>
      <c r="N1183" s="604">
        <v>6768</v>
      </c>
      <c r="O1183" s="604">
        <v>9.1999999999999993</v>
      </c>
      <c r="P1183" s="604" t="s">
        <v>483</v>
      </c>
      <c r="Q1183" s="499"/>
      <c r="Y1183" s="535" t="str">
        <f t="shared" si="139"/>
        <v>2016depbwtQuin 32500-4499infant</v>
      </c>
      <c r="Z1183" s="604">
        <v>2016</v>
      </c>
      <c r="AA1183" s="604" t="s">
        <v>454</v>
      </c>
      <c r="AB1183" s="604" t="s">
        <v>447</v>
      </c>
      <c r="AC1183" s="604" t="s">
        <v>423</v>
      </c>
      <c r="AD1183" s="604" t="s">
        <v>431</v>
      </c>
      <c r="AE1183" s="604">
        <v>9</v>
      </c>
      <c r="AF1183" s="604">
        <v>10056</v>
      </c>
      <c r="AG1183" s="604">
        <v>0.9</v>
      </c>
      <c r="AH1183" s="604" t="s">
        <v>437</v>
      </c>
      <c r="AR1183" s="538" t="str">
        <f t="shared" si="141"/>
        <v>MaoriethinfantUnknown</v>
      </c>
      <c r="AS1183" s="604">
        <v>2016</v>
      </c>
      <c r="AT1183" s="604" t="s">
        <v>129</v>
      </c>
      <c r="AU1183" s="604" t="s">
        <v>449</v>
      </c>
      <c r="AV1183" s="604" t="s">
        <v>63</v>
      </c>
      <c r="AW1183" s="604">
        <v>0</v>
      </c>
      <c r="AX1183" s="604">
        <v>18</v>
      </c>
      <c r="AY1183" s="606" t="s">
        <v>119</v>
      </c>
      <c r="AZ1183" s="604" t="s">
        <v>437</v>
      </c>
      <c r="BY1183" s="553" t="str">
        <f t="shared" si="140"/>
        <v>2001Quin 5depSUDI</v>
      </c>
      <c r="BZ1183" s="604">
        <v>2001</v>
      </c>
      <c r="CA1183" s="604" t="s">
        <v>425</v>
      </c>
      <c r="CB1183" s="604" t="s">
        <v>454</v>
      </c>
      <c r="CC1183" s="604">
        <v>32</v>
      </c>
      <c r="CD1183" s="604" t="s">
        <v>33</v>
      </c>
    </row>
    <row r="1184" spans="9:82">
      <c r="I1184" s="578" t="str">
        <f t="shared" si="138"/>
        <v>1996age40+Peri</v>
      </c>
      <c r="J1184" s="604">
        <v>1996</v>
      </c>
      <c r="K1184" s="604" t="s">
        <v>453</v>
      </c>
      <c r="L1184" s="604" t="s">
        <v>134</v>
      </c>
      <c r="M1184" s="604">
        <v>26</v>
      </c>
      <c r="N1184" s="604">
        <v>1143</v>
      </c>
      <c r="O1184" s="604">
        <v>22.7</v>
      </c>
      <c r="P1184" s="604" t="s">
        <v>483</v>
      </c>
      <c r="Q1184" s="499"/>
      <c r="Y1184" s="535" t="str">
        <f t="shared" si="139"/>
        <v>2016depbwtQuin 42500-4499infant</v>
      </c>
      <c r="Z1184" s="604">
        <v>2016</v>
      </c>
      <c r="AA1184" s="604" t="s">
        <v>454</v>
      </c>
      <c r="AB1184" s="604" t="s">
        <v>447</v>
      </c>
      <c r="AC1184" s="604" t="s">
        <v>424</v>
      </c>
      <c r="AD1184" s="604" t="s">
        <v>431</v>
      </c>
      <c r="AE1184" s="604">
        <v>22</v>
      </c>
      <c r="AF1184" s="604">
        <v>12014</v>
      </c>
      <c r="AG1184" s="604">
        <v>1.8</v>
      </c>
      <c r="AH1184" s="604" t="s">
        <v>437</v>
      </c>
      <c r="AR1184" s="538" t="str">
        <f t="shared" si="141"/>
        <v>AsianethinfantUnknown</v>
      </c>
      <c r="AS1184" s="604">
        <v>2016</v>
      </c>
      <c r="AT1184" s="604" t="s">
        <v>355</v>
      </c>
      <c r="AU1184" s="604" t="s">
        <v>449</v>
      </c>
      <c r="AV1184" s="604" t="s">
        <v>63</v>
      </c>
      <c r="AW1184" s="604">
        <v>0</v>
      </c>
      <c r="AX1184" s="604">
        <v>52</v>
      </c>
      <c r="AY1184" s="606" t="s">
        <v>119</v>
      </c>
      <c r="AZ1184" s="604" t="s">
        <v>437</v>
      </c>
      <c r="BY1184" s="553" t="str">
        <f t="shared" si="140"/>
        <v>2001Quin 9depSUDI</v>
      </c>
      <c r="BZ1184" s="604">
        <v>2001</v>
      </c>
      <c r="CA1184" s="604" t="s">
        <v>426</v>
      </c>
      <c r="CB1184" s="604" t="s">
        <v>454</v>
      </c>
      <c r="CC1184" s="604">
        <v>6</v>
      </c>
      <c r="CD1184" s="604" t="s">
        <v>33</v>
      </c>
    </row>
    <row r="1185" spans="9:82">
      <c r="I1185" s="578" t="str">
        <f t="shared" si="138"/>
        <v>1996ageUnknownPeri</v>
      </c>
      <c r="J1185" s="604">
        <v>1996</v>
      </c>
      <c r="K1185" s="604" t="s">
        <v>453</v>
      </c>
      <c r="L1185" s="604" t="s">
        <v>63</v>
      </c>
      <c r="M1185" s="604">
        <v>2</v>
      </c>
      <c r="N1185" s="604">
        <v>1</v>
      </c>
      <c r="O1185" s="604" t="s">
        <v>119</v>
      </c>
      <c r="P1185" s="604" t="s">
        <v>483</v>
      </c>
      <c r="Q1185" s="499"/>
      <c r="Y1185" s="535" t="str">
        <f t="shared" si="139"/>
        <v>2016depbwtQuin 52500-4499infant</v>
      </c>
      <c r="Z1185" s="604">
        <v>2016</v>
      </c>
      <c r="AA1185" s="604" t="s">
        <v>454</v>
      </c>
      <c r="AB1185" s="604" t="s">
        <v>447</v>
      </c>
      <c r="AC1185" s="604" t="s">
        <v>425</v>
      </c>
      <c r="AD1185" s="604" t="s">
        <v>431</v>
      </c>
      <c r="AE1185" s="604">
        <v>43</v>
      </c>
      <c r="AF1185" s="604">
        <v>15318</v>
      </c>
      <c r="AG1185" s="604">
        <v>2.8</v>
      </c>
      <c r="AH1185" s="604" t="s">
        <v>437</v>
      </c>
      <c r="AR1185" s="538" t="str">
        <f t="shared" si="141"/>
        <v>European or OtherethinfantUnknown</v>
      </c>
      <c r="AS1185" s="604">
        <v>2016</v>
      </c>
      <c r="AT1185" s="604" t="s">
        <v>356</v>
      </c>
      <c r="AU1185" s="604" t="s">
        <v>449</v>
      </c>
      <c r="AV1185" s="604" t="s">
        <v>63</v>
      </c>
      <c r="AW1185" s="604">
        <v>0</v>
      </c>
      <c r="AX1185" s="604">
        <v>31</v>
      </c>
      <c r="AY1185" s="606" t="s">
        <v>119</v>
      </c>
      <c r="AZ1185" s="604" t="s">
        <v>437</v>
      </c>
      <c r="BY1185" s="553" t="str">
        <f t="shared" si="140"/>
        <v>2002Quin 1depSUDI</v>
      </c>
      <c r="BZ1185" s="604">
        <v>2002</v>
      </c>
      <c r="CA1185" s="604" t="s">
        <v>421</v>
      </c>
      <c r="CB1185" s="604" t="s">
        <v>454</v>
      </c>
      <c r="CC1185" s="604">
        <v>1</v>
      </c>
      <c r="CD1185" s="604" t="s">
        <v>33</v>
      </c>
    </row>
    <row r="1186" spans="9:82">
      <c r="I1186" s="578" t="str">
        <f t="shared" si="138"/>
        <v>1997age&lt;20Peri</v>
      </c>
      <c r="J1186" s="604">
        <v>1997</v>
      </c>
      <c r="K1186" s="604" t="s">
        <v>453</v>
      </c>
      <c r="L1186" s="604" t="s">
        <v>339</v>
      </c>
      <c r="M1186" s="604">
        <v>55</v>
      </c>
      <c r="N1186" s="604">
        <v>4439</v>
      </c>
      <c r="O1186" s="604">
        <v>12.4</v>
      </c>
      <c r="P1186" s="604" t="s">
        <v>483</v>
      </c>
      <c r="Q1186" s="499"/>
      <c r="Y1186" s="535" t="str">
        <f t="shared" si="139"/>
        <v>2016depbwtQuin 92500-4499infant</v>
      </c>
      <c r="Z1186" s="604">
        <v>2016</v>
      </c>
      <c r="AA1186" s="604" t="s">
        <v>454</v>
      </c>
      <c r="AB1186" s="604" t="s">
        <v>447</v>
      </c>
      <c r="AC1186" s="604" t="s">
        <v>426</v>
      </c>
      <c r="AD1186" s="604" t="s">
        <v>431</v>
      </c>
      <c r="AE1186" s="604">
        <v>0</v>
      </c>
      <c r="AF1186" s="604">
        <v>123</v>
      </c>
      <c r="AG1186" s="604" t="s">
        <v>119</v>
      </c>
      <c r="AH1186" s="604" t="s">
        <v>437</v>
      </c>
      <c r="AR1186" s="538" t="str">
        <f t="shared" si="141"/>
        <v>MalesexinfantLakes</v>
      </c>
      <c r="AS1186" s="604">
        <v>2016</v>
      </c>
      <c r="AT1186" s="604" t="s">
        <v>70</v>
      </c>
      <c r="AU1186" s="604" t="s">
        <v>451</v>
      </c>
      <c r="AV1186" s="604" t="s">
        <v>90</v>
      </c>
      <c r="AW1186" s="604">
        <v>0</v>
      </c>
      <c r="AX1186" s="604">
        <v>818</v>
      </c>
      <c r="AY1186" s="606">
        <v>0</v>
      </c>
      <c r="AZ1186" s="604" t="s">
        <v>437</v>
      </c>
      <c r="BY1186" s="553" t="str">
        <f t="shared" si="140"/>
        <v>2002Quin 2depSUDI</v>
      </c>
      <c r="BZ1186" s="604">
        <v>2002</v>
      </c>
      <c r="CA1186" s="604" t="s">
        <v>422</v>
      </c>
      <c r="CB1186" s="604" t="s">
        <v>454</v>
      </c>
      <c r="CC1186" s="604">
        <v>5</v>
      </c>
      <c r="CD1186" s="604" t="s">
        <v>33</v>
      </c>
    </row>
    <row r="1187" spans="9:82">
      <c r="I1187" s="578" t="str">
        <f t="shared" si="138"/>
        <v>1997age20-24Peri</v>
      </c>
      <c r="J1187" s="604">
        <v>1997</v>
      </c>
      <c r="K1187" s="604" t="s">
        <v>453</v>
      </c>
      <c r="L1187" s="604" t="s">
        <v>130</v>
      </c>
      <c r="M1187" s="604">
        <v>131</v>
      </c>
      <c r="N1187" s="604">
        <v>10924</v>
      </c>
      <c r="O1187" s="604">
        <v>12</v>
      </c>
      <c r="P1187" s="604" t="s">
        <v>483</v>
      </c>
      <c r="Q1187" s="499"/>
      <c r="Y1187" s="535" t="str">
        <f t="shared" si="139"/>
        <v>2016depbwtQuin 14500+infant</v>
      </c>
      <c r="Z1187" s="604">
        <v>2016</v>
      </c>
      <c r="AA1187" s="604" t="s">
        <v>454</v>
      </c>
      <c r="AB1187" s="604" t="s">
        <v>447</v>
      </c>
      <c r="AC1187" s="604" t="s">
        <v>421</v>
      </c>
      <c r="AD1187" s="604" t="s">
        <v>432</v>
      </c>
      <c r="AE1187" s="604">
        <v>0</v>
      </c>
      <c r="AF1187" s="604">
        <v>197</v>
      </c>
      <c r="AG1187" s="604">
        <v>0</v>
      </c>
      <c r="AH1187" s="604" t="s">
        <v>437</v>
      </c>
      <c r="AR1187" s="538" t="str">
        <f t="shared" si="141"/>
        <v>FemalesexinfantLakes</v>
      </c>
      <c r="AS1187" s="604">
        <v>2016</v>
      </c>
      <c r="AT1187" s="604" t="s">
        <v>71</v>
      </c>
      <c r="AU1187" s="604" t="s">
        <v>451</v>
      </c>
      <c r="AV1187" s="604" t="s">
        <v>90</v>
      </c>
      <c r="AW1187" s="604">
        <v>0</v>
      </c>
      <c r="AX1187" s="604">
        <v>751</v>
      </c>
      <c r="AY1187" s="606">
        <v>0</v>
      </c>
      <c r="AZ1187" s="604" t="s">
        <v>437</v>
      </c>
      <c r="BY1187" s="553" t="str">
        <f t="shared" si="140"/>
        <v>2002Quin 3depSUDI</v>
      </c>
      <c r="BZ1187" s="604">
        <v>2002</v>
      </c>
      <c r="CA1187" s="604" t="s">
        <v>423</v>
      </c>
      <c r="CB1187" s="604" t="s">
        <v>454</v>
      </c>
      <c r="CC1187" s="604">
        <v>3</v>
      </c>
      <c r="CD1187" s="604" t="s">
        <v>33</v>
      </c>
    </row>
    <row r="1188" spans="9:82">
      <c r="I1188" s="578" t="str">
        <f t="shared" si="138"/>
        <v>1997age25-29Peri</v>
      </c>
      <c r="J1188" s="604">
        <v>1997</v>
      </c>
      <c r="K1188" s="604" t="s">
        <v>453</v>
      </c>
      <c r="L1188" s="604" t="s">
        <v>131</v>
      </c>
      <c r="M1188" s="604">
        <v>152</v>
      </c>
      <c r="N1188" s="604">
        <v>17257</v>
      </c>
      <c r="O1188" s="604">
        <v>8.8000000000000007</v>
      </c>
      <c r="P1188" s="604" t="s">
        <v>483</v>
      </c>
      <c r="Q1188" s="499"/>
      <c r="Y1188" s="535" t="str">
        <f t="shared" si="139"/>
        <v>2016depbwtQuin 24500+infant</v>
      </c>
      <c r="Z1188" s="604">
        <v>2016</v>
      </c>
      <c r="AA1188" s="604" t="s">
        <v>454</v>
      </c>
      <c r="AB1188" s="604" t="s">
        <v>447</v>
      </c>
      <c r="AC1188" s="604" t="s">
        <v>422</v>
      </c>
      <c r="AD1188" s="604" t="s">
        <v>432</v>
      </c>
      <c r="AE1188" s="604">
        <v>0</v>
      </c>
      <c r="AF1188" s="604">
        <v>221</v>
      </c>
      <c r="AG1188" s="604">
        <v>0</v>
      </c>
      <c r="AH1188" s="604" t="s">
        <v>437</v>
      </c>
      <c r="AR1188" s="538" t="str">
        <f t="shared" si="141"/>
        <v>MalesexinfantWairarapa</v>
      </c>
      <c r="AS1188" s="604">
        <v>2016</v>
      </c>
      <c r="AT1188" s="604" t="s">
        <v>70</v>
      </c>
      <c r="AU1188" s="604" t="s">
        <v>451</v>
      </c>
      <c r="AV1188" s="604" t="s">
        <v>98</v>
      </c>
      <c r="AW1188" s="604">
        <v>0</v>
      </c>
      <c r="AX1188" s="604">
        <v>227</v>
      </c>
      <c r="AY1188" s="606">
        <v>0</v>
      </c>
      <c r="AZ1188" s="604" t="s">
        <v>437</v>
      </c>
      <c r="BY1188" s="553" t="str">
        <f t="shared" si="140"/>
        <v>2002Quin 4depSUDI</v>
      </c>
      <c r="BZ1188" s="604">
        <v>2002</v>
      </c>
      <c r="CA1188" s="604" t="s">
        <v>424</v>
      </c>
      <c r="CB1188" s="604" t="s">
        <v>454</v>
      </c>
      <c r="CC1188" s="604">
        <v>15</v>
      </c>
      <c r="CD1188" s="604" t="s">
        <v>33</v>
      </c>
    </row>
    <row r="1189" spans="9:82">
      <c r="I1189" s="578" t="str">
        <f t="shared" si="138"/>
        <v>1997age30-34Peri</v>
      </c>
      <c r="J1189" s="604">
        <v>1997</v>
      </c>
      <c r="K1189" s="604" t="s">
        <v>453</v>
      </c>
      <c r="L1189" s="604" t="s">
        <v>132</v>
      </c>
      <c r="M1189" s="604">
        <v>149</v>
      </c>
      <c r="N1189" s="604">
        <v>16797</v>
      </c>
      <c r="O1189" s="604">
        <v>8.9</v>
      </c>
      <c r="P1189" s="604" t="s">
        <v>483</v>
      </c>
      <c r="Q1189" s="499"/>
      <c r="Y1189" s="535" t="str">
        <f t="shared" si="139"/>
        <v>2016depbwtQuin 34500+infant</v>
      </c>
      <c r="Z1189" s="604">
        <v>2016</v>
      </c>
      <c r="AA1189" s="604" t="s">
        <v>454</v>
      </c>
      <c r="AB1189" s="604" t="s">
        <v>447</v>
      </c>
      <c r="AC1189" s="604" t="s">
        <v>423</v>
      </c>
      <c r="AD1189" s="604" t="s">
        <v>432</v>
      </c>
      <c r="AE1189" s="604">
        <v>0</v>
      </c>
      <c r="AF1189" s="604">
        <v>254</v>
      </c>
      <c r="AG1189" s="604">
        <v>0</v>
      </c>
      <c r="AH1189" s="604" t="s">
        <v>437</v>
      </c>
      <c r="AR1189" s="538" t="str">
        <f t="shared" si="141"/>
        <v>MalesexinfantWest Coast</v>
      </c>
      <c r="AS1189" s="604">
        <v>2016</v>
      </c>
      <c r="AT1189" s="604" t="s">
        <v>70</v>
      </c>
      <c r="AU1189" s="604" t="s">
        <v>451</v>
      </c>
      <c r="AV1189" s="604" t="s">
        <v>100</v>
      </c>
      <c r="AW1189" s="604">
        <v>0</v>
      </c>
      <c r="AX1189" s="604">
        <v>168</v>
      </c>
      <c r="AY1189" s="606">
        <v>0</v>
      </c>
      <c r="AZ1189" s="604" t="s">
        <v>437</v>
      </c>
      <c r="BY1189" s="553" t="str">
        <f t="shared" si="140"/>
        <v>2002Quin 5depSUDI</v>
      </c>
      <c r="BZ1189" s="604">
        <v>2002</v>
      </c>
      <c r="CA1189" s="604" t="s">
        <v>425</v>
      </c>
      <c r="CB1189" s="604" t="s">
        <v>454</v>
      </c>
      <c r="CC1189" s="604">
        <v>30</v>
      </c>
      <c r="CD1189" s="604" t="s">
        <v>33</v>
      </c>
    </row>
    <row r="1190" spans="9:82">
      <c r="I1190" s="578" t="str">
        <f t="shared" si="138"/>
        <v>1997age35-39Peri</v>
      </c>
      <c r="J1190" s="604">
        <v>1997</v>
      </c>
      <c r="K1190" s="604" t="s">
        <v>453</v>
      </c>
      <c r="L1190" s="604" t="s">
        <v>133</v>
      </c>
      <c r="M1190" s="604">
        <v>78</v>
      </c>
      <c r="N1190" s="604">
        <v>7460</v>
      </c>
      <c r="O1190" s="604">
        <v>10.5</v>
      </c>
      <c r="P1190" s="604" t="s">
        <v>483</v>
      </c>
      <c r="Q1190" s="499"/>
      <c r="Y1190" s="535" t="str">
        <f t="shared" si="139"/>
        <v>2016depbwtQuin 44500+infant</v>
      </c>
      <c r="Z1190" s="604">
        <v>2016</v>
      </c>
      <c r="AA1190" s="604" t="s">
        <v>454</v>
      </c>
      <c r="AB1190" s="604" t="s">
        <v>447</v>
      </c>
      <c r="AC1190" s="604" t="s">
        <v>424</v>
      </c>
      <c r="AD1190" s="604" t="s">
        <v>432</v>
      </c>
      <c r="AE1190" s="604">
        <v>0</v>
      </c>
      <c r="AF1190" s="604">
        <v>295</v>
      </c>
      <c r="AG1190" s="604">
        <v>0</v>
      </c>
      <c r="AH1190" s="604" t="s">
        <v>437</v>
      </c>
      <c r="AR1190" s="538" t="str">
        <f t="shared" si="141"/>
        <v>MalesexinfantUnknown</v>
      </c>
      <c r="AS1190" s="604">
        <v>2016</v>
      </c>
      <c r="AT1190" s="604" t="s">
        <v>70</v>
      </c>
      <c r="AU1190" s="604" t="s">
        <v>451</v>
      </c>
      <c r="AV1190" s="604" t="s">
        <v>63</v>
      </c>
      <c r="AW1190" s="604">
        <v>0</v>
      </c>
      <c r="AX1190" s="604">
        <v>63</v>
      </c>
      <c r="AY1190" s="606" t="s">
        <v>119</v>
      </c>
      <c r="AZ1190" s="604" t="s">
        <v>437</v>
      </c>
      <c r="BY1190" s="553" t="str">
        <f t="shared" si="140"/>
        <v>2002Quin 9depSUDI</v>
      </c>
      <c r="BZ1190" s="604">
        <v>2002</v>
      </c>
      <c r="CA1190" s="604" t="s">
        <v>426</v>
      </c>
      <c r="CB1190" s="604" t="s">
        <v>454</v>
      </c>
      <c r="CC1190" s="604">
        <v>4</v>
      </c>
      <c r="CD1190" s="604" t="s">
        <v>33</v>
      </c>
    </row>
    <row r="1191" spans="9:82">
      <c r="I1191" s="578" t="str">
        <f t="shared" si="138"/>
        <v>1997age40+Peri</v>
      </c>
      <c r="J1191" s="604">
        <v>1997</v>
      </c>
      <c r="K1191" s="604" t="s">
        <v>453</v>
      </c>
      <c r="L1191" s="604" t="s">
        <v>134</v>
      </c>
      <c r="M1191" s="604">
        <v>20</v>
      </c>
      <c r="N1191" s="604">
        <v>1271</v>
      </c>
      <c r="O1191" s="604">
        <v>15.7</v>
      </c>
      <c r="P1191" s="604" t="s">
        <v>483</v>
      </c>
      <c r="Q1191" s="499"/>
      <c r="Y1191" s="535" t="str">
        <f t="shared" si="139"/>
        <v>2016depbwtQuin 54500+infant</v>
      </c>
      <c r="Z1191" s="604">
        <v>2016</v>
      </c>
      <c r="AA1191" s="604" t="s">
        <v>454</v>
      </c>
      <c r="AB1191" s="604" t="s">
        <v>447</v>
      </c>
      <c r="AC1191" s="604" t="s">
        <v>425</v>
      </c>
      <c r="AD1191" s="604" t="s">
        <v>432</v>
      </c>
      <c r="AE1191" s="604">
        <v>0</v>
      </c>
      <c r="AF1191" s="604">
        <v>454</v>
      </c>
      <c r="AG1191" s="604">
        <v>0</v>
      </c>
      <c r="AH1191" s="604" t="s">
        <v>437</v>
      </c>
      <c r="AR1191" s="538" t="str">
        <f t="shared" si="141"/>
        <v>Quin 1depinfantNorthland</v>
      </c>
      <c r="AS1191" s="604">
        <v>2016</v>
      </c>
      <c r="AT1191" s="604" t="s">
        <v>421</v>
      </c>
      <c r="AU1191" s="604" t="s">
        <v>454</v>
      </c>
      <c r="AV1191" s="604" t="s">
        <v>85</v>
      </c>
      <c r="AW1191" s="604">
        <v>0</v>
      </c>
      <c r="AX1191" s="604">
        <v>14</v>
      </c>
      <c r="AY1191" s="606">
        <v>0</v>
      </c>
      <c r="AZ1191" s="604" t="s">
        <v>437</v>
      </c>
      <c r="BY1191" s="553" t="str">
        <f t="shared" si="140"/>
        <v>2003Quin 1depSUDI</v>
      </c>
      <c r="BZ1191" s="604">
        <v>2003</v>
      </c>
      <c r="CA1191" s="604" t="s">
        <v>421</v>
      </c>
      <c r="CB1191" s="604" t="s">
        <v>454</v>
      </c>
      <c r="CC1191" s="604">
        <v>3</v>
      </c>
      <c r="CD1191" s="604" t="s">
        <v>33</v>
      </c>
    </row>
    <row r="1192" spans="9:82">
      <c r="I1192" s="578" t="str">
        <f t="shared" si="138"/>
        <v>1997ageUnknownPeri</v>
      </c>
      <c r="J1192" s="604">
        <v>1997</v>
      </c>
      <c r="K1192" s="604" t="s">
        <v>453</v>
      </c>
      <c r="L1192" s="604" t="s">
        <v>63</v>
      </c>
      <c r="M1192" s="604">
        <v>3</v>
      </c>
      <c r="N1192" s="604">
        <v>3</v>
      </c>
      <c r="O1192" s="604" t="s">
        <v>119</v>
      </c>
      <c r="P1192" s="604" t="s">
        <v>483</v>
      </c>
      <c r="Q1192" s="499"/>
      <c r="Y1192" s="535" t="str">
        <f t="shared" si="139"/>
        <v>2016depbwtQuin 94500+infant</v>
      </c>
      <c r="Z1192" s="604">
        <v>2016</v>
      </c>
      <c r="AA1192" s="604" t="s">
        <v>454</v>
      </c>
      <c r="AB1192" s="604" t="s">
        <v>447</v>
      </c>
      <c r="AC1192" s="604" t="s">
        <v>426</v>
      </c>
      <c r="AD1192" s="604" t="s">
        <v>432</v>
      </c>
      <c r="AE1192" s="604">
        <v>0</v>
      </c>
      <c r="AF1192" s="604">
        <v>2</v>
      </c>
      <c r="AG1192" s="604" t="s">
        <v>119</v>
      </c>
      <c r="AH1192" s="604" t="s">
        <v>437</v>
      </c>
      <c r="AR1192" s="538" t="str">
        <f t="shared" si="141"/>
        <v>Quin 2depinfantNorthland</v>
      </c>
      <c r="AS1192" s="604">
        <v>2016</v>
      </c>
      <c r="AT1192" s="604" t="s">
        <v>422</v>
      </c>
      <c r="AU1192" s="604" t="s">
        <v>454</v>
      </c>
      <c r="AV1192" s="604" t="s">
        <v>85</v>
      </c>
      <c r="AW1192" s="604">
        <v>0</v>
      </c>
      <c r="AX1192" s="604">
        <v>197</v>
      </c>
      <c r="AY1192" s="606">
        <v>0</v>
      </c>
      <c r="AZ1192" s="604" t="s">
        <v>437</v>
      </c>
      <c r="BY1192" s="553" t="str">
        <f t="shared" si="140"/>
        <v>2003Quin 2depSUDI</v>
      </c>
      <c r="BZ1192" s="604">
        <v>2003</v>
      </c>
      <c r="CA1192" s="604" t="s">
        <v>422</v>
      </c>
      <c r="CB1192" s="604" t="s">
        <v>454</v>
      </c>
      <c r="CC1192" s="604">
        <v>4</v>
      </c>
      <c r="CD1192" s="604" t="s">
        <v>33</v>
      </c>
    </row>
    <row r="1193" spans="9:82">
      <c r="I1193" s="578" t="str">
        <f t="shared" si="138"/>
        <v>1998age&lt;20Peri</v>
      </c>
      <c r="J1193" s="604">
        <v>1998</v>
      </c>
      <c r="K1193" s="604" t="s">
        <v>453</v>
      </c>
      <c r="L1193" s="604" t="s">
        <v>339</v>
      </c>
      <c r="M1193" s="604">
        <v>36</v>
      </c>
      <c r="N1193" s="604">
        <v>4429</v>
      </c>
      <c r="O1193" s="604">
        <v>8.1</v>
      </c>
      <c r="P1193" s="604" t="s">
        <v>483</v>
      </c>
      <c r="Q1193" s="499"/>
      <c r="Y1193" s="535" t="str">
        <f t="shared" si="139"/>
        <v>2016depbwtQuin 1Unknowninfant</v>
      </c>
      <c r="Z1193" s="604">
        <v>2016</v>
      </c>
      <c r="AA1193" s="604" t="s">
        <v>454</v>
      </c>
      <c r="AB1193" s="604" t="s">
        <v>447</v>
      </c>
      <c r="AC1193" s="604" t="s">
        <v>421</v>
      </c>
      <c r="AD1193" s="604" t="s">
        <v>63</v>
      </c>
      <c r="AE1193" s="604">
        <v>2</v>
      </c>
      <c r="AF1193" s="604">
        <v>5</v>
      </c>
      <c r="AG1193" s="604" t="s">
        <v>119</v>
      </c>
      <c r="AH1193" s="604" t="s">
        <v>437</v>
      </c>
      <c r="AR1193" s="538" t="str">
        <f t="shared" si="141"/>
        <v>Quin 9depinfantAuckland</v>
      </c>
      <c r="AS1193" s="604">
        <v>2016</v>
      </c>
      <c r="AT1193" s="604" t="s">
        <v>426</v>
      </c>
      <c r="AU1193" s="604" t="s">
        <v>454</v>
      </c>
      <c r="AV1193" s="604" t="s">
        <v>87</v>
      </c>
      <c r="AW1193" s="604">
        <v>0</v>
      </c>
      <c r="AX1193" s="604">
        <v>1</v>
      </c>
      <c r="AY1193" s="606" t="s">
        <v>119</v>
      </c>
      <c r="AZ1193" s="604" t="s">
        <v>437</v>
      </c>
      <c r="BY1193" s="553" t="str">
        <f t="shared" si="140"/>
        <v>2003Quin 3depSUDI</v>
      </c>
      <c r="BZ1193" s="604">
        <v>2003</v>
      </c>
      <c r="CA1193" s="604" t="s">
        <v>423</v>
      </c>
      <c r="CB1193" s="604" t="s">
        <v>454</v>
      </c>
      <c r="CC1193" s="604">
        <v>10</v>
      </c>
      <c r="CD1193" s="604" t="s">
        <v>33</v>
      </c>
    </row>
    <row r="1194" spans="9:82">
      <c r="I1194" s="578" t="str">
        <f t="shared" si="138"/>
        <v>1998age20-24Peri</v>
      </c>
      <c r="J1194" s="604">
        <v>1998</v>
      </c>
      <c r="K1194" s="604" t="s">
        <v>453</v>
      </c>
      <c r="L1194" s="604" t="s">
        <v>130</v>
      </c>
      <c r="M1194" s="604">
        <v>104</v>
      </c>
      <c r="N1194" s="604">
        <v>10904</v>
      </c>
      <c r="O1194" s="604">
        <v>9.5</v>
      </c>
      <c r="P1194" s="604" t="s">
        <v>483</v>
      </c>
      <c r="Q1194" s="499"/>
      <c r="Y1194" s="535" t="str">
        <f t="shared" si="139"/>
        <v>2016depbwtQuin 2Unknowninfant</v>
      </c>
      <c r="Z1194" s="604">
        <v>2016</v>
      </c>
      <c r="AA1194" s="604" t="s">
        <v>454</v>
      </c>
      <c r="AB1194" s="604" t="s">
        <v>447</v>
      </c>
      <c r="AC1194" s="604" t="s">
        <v>422</v>
      </c>
      <c r="AD1194" s="604" t="s">
        <v>63</v>
      </c>
      <c r="AE1194" s="604">
        <v>2</v>
      </c>
      <c r="AF1194" s="604">
        <v>7</v>
      </c>
      <c r="AG1194" s="604" t="s">
        <v>119</v>
      </c>
      <c r="AH1194" s="604" t="s">
        <v>437</v>
      </c>
      <c r="AR1194" s="538" t="str">
        <f t="shared" si="141"/>
        <v>Quin 1depinfantLakes</v>
      </c>
      <c r="AS1194" s="604">
        <v>2016</v>
      </c>
      <c r="AT1194" s="604" t="s">
        <v>421</v>
      </c>
      <c r="AU1194" s="604" t="s">
        <v>454</v>
      </c>
      <c r="AV1194" s="604" t="s">
        <v>90</v>
      </c>
      <c r="AW1194" s="604">
        <v>0</v>
      </c>
      <c r="AX1194" s="604">
        <v>55</v>
      </c>
      <c r="AY1194" s="606">
        <v>0</v>
      </c>
      <c r="AZ1194" s="604" t="s">
        <v>437</v>
      </c>
      <c r="BY1194" s="553" t="str">
        <f t="shared" si="140"/>
        <v>2003Quin 4depSUDI</v>
      </c>
      <c r="BZ1194" s="604">
        <v>2003</v>
      </c>
      <c r="CA1194" s="604" t="s">
        <v>424</v>
      </c>
      <c r="CB1194" s="604" t="s">
        <v>454</v>
      </c>
      <c r="CC1194" s="604">
        <v>11</v>
      </c>
      <c r="CD1194" s="604" t="s">
        <v>33</v>
      </c>
    </row>
    <row r="1195" spans="9:82">
      <c r="I1195" s="578" t="str">
        <f t="shared" si="138"/>
        <v>1998age25-29Peri</v>
      </c>
      <c r="J1195" s="604">
        <v>1998</v>
      </c>
      <c r="K1195" s="604" t="s">
        <v>453</v>
      </c>
      <c r="L1195" s="604" t="s">
        <v>131</v>
      </c>
      <c r="M1195" s="604">
        <v>112</v>
      </c>
      <c r="N1195" s="604">
        <v>17241</v>
      </c>
      <c r="O1195" s="604">
        <v>6.5</v>
      </c>
      <c r="P1195" s="604" t="s">
        <v>483</v>
      </c>
      <c r="Q1195" s="499"/>
      <c r="Y1195" s="535" t="str">
        <f t="shared" si="139"/>
        <v>2016depbwtQuin 3Unknowninfant</v>
      </c>
      <c r="Z1195" s="604">
        <v>2016</v>
      </c>
      <c r="AA1195" s="604" t="s">
        <v>454</v>
      </c>
      <c r="AB1195" s="604" t="s">
        <v>447</v>
      </c>
      <c r="AC1195" s="604" t="s">
        <v>423</v>
      </c>
      <c r="AD1195" s="604" t="s">
        <v>63</v>
      </c>
      <c r="AE1195" s="604">
        <v>0</v>
      </c>
      <c r="AF1195" s="604">
        <v>9</v>
      </c>
      <c r="AG1195" s="604" t="s">
        <v>119</v>
      </c>
      <c r="AH1195" s="604" t="s">
        <v>437</v>
      </c>
      <c r="AR1195" s="538" t="str">
        <f t="shared" si="141"/>
        <v>Quin 2depinfantLakes</v>
      </c>
      <c r="AS1195" s="604">
        <v>2016</v>
      </c>
      <c r="AT1195" s="604" t="s">
        <v>422</v>
      </c>
      <c r="AU1195" s="604" t="s">
        <v>454</v>
      </c>
      <c r="AV1195" s="604" t="s">
        <v>90</v>
      </c>
      <c r="AW1195" s="604">
        <v>0</v>
      </c>
      <c r="AX1195" s="604">
        <v>205</v>
      </c>
      <c r="AY1195" s="606">
        <v>0</v>
      </c>
      <c r="AZ1195" s="604" t="s">
        <v>437</v>
      </c>
      <c r="BY1195" s="553" t="str">
        <f t="shared" si="140"/>
        <v>2003Quin 5depSUDI</v>
      </c>
      <c r="BZ1195" s="604">
        <v>2003</v>
      </c>
      <c r="CA1195" s="604" t="s">
        <v>425</v>
      </c>
      <c r="CB1195" s="604" t="s">
        <v>454</v>
      </c>
      <c r="CC1195" s="604">
        <v>27</v>
      </c>
      <c r="CD1195" s="604" t="s">
        <v>33</v>
      </c>
    </row>
    <row r="1196" spans="9:82">
      <c r="I1196" s="578" t="str">
        <f t="shared" si="138"/>
        <v>1998age30-34Peri</v>
      </c>
      <c r="J1196" s="604">
        <v>1998</v>
      </c>
      <c r="K1196" s="604" t="s">
        <v>453</v>
      </c>
      <c r="L1196" s="604" t="s">
        <v>132</v>
      </c>
      <c r="M1196" s="604">
        <v>138</v>
      </c>
      <c r="N1196" s="604">
        <v>16787</v>
      </c>
      <c r="O1196" s="604">
        <v>8.1999999999999993</v>
      </c>
      <c r="P1196" s="604" t="s">
        <v>483</v>
      </c>
      <c r="Q1196" s="499"/>
      <c r="Y1196" s="535" t="str">
        <f t="shared" si="139"/>
        <v>2016depbwtQuin 4Unknowninfant</v>
      </c>
      <c r="Z1196" s="604">
        <v>2016</v>
      </c>
      <c r="AA1196" s="604" t="s">
        <v>454</v>
      </c>
      <c r="AB1196" s="604" t="s">
        <v>447</v>
      </c>
      <c r="AC1196" s="604" t="s">
        <v>424</v>
      </c>
      <c r="AD1196" s="604" t="s">
        <v>63</v>
      </c>
      <c r="AE1196" s="604">
        <v>0</v>
      </c>
      <c r="AF1196" s="604">
        <v>6</v>
      </c>
      <c r="AG1196" s="604" t="s">
        <v>119</v>
      </c>
      <c r="AH1196" s="604" t="s">
        <v>437</v>
      </c>
      <c r="AR1196" s="538" t="str">
        <f t="shared" si="141"/>
        <v>Quin 3depinfantLakes</v>
      </c>
      <c r="AS1196" s="604">
        <v>2016</v>
      </c>
      <c r="AT1196" s="604" t="s">
        <v>423</v>
      </c>
      <c r="AU1196" s="604" t="s">
        <v>454</v>
      </c>
      <c r="AV1196" s="604" t="s">
        <v>90</v>
      </c>
      <c r="AW1196" s="604">
        <v>0</v>
      </c>
      <c r="AX1196" s="604">
        <v>197</v>
      </c>
      <c r="AY1196" s="606">
        <v>0</v>
      </c>
      <c r="AZ1196" s="604" t="s">
        <v>437</v>
      </c>
      <c r="BY1196" s="553" t="str">
        <f t="shared" si="140"/>
        <v>2003Quin 9depSUDI</v>
      </c>
      <c r="BZ1196" s="604">
        <v>2003</v>
      </c>
      <c r="CA1196" s="604" t="s">
        <v>426</v>
      </c>
      <c r="CB1196" s="604" t="s">
        <v>454</v>
      </c>
      <c r="CC1196" s="604">
        <v>6</v>
      </c>
      <c r="CD1196" s="604" t="s">
        <v>33</v>
      </c>
    </row>
    <row r="1197" spans="9:82">
      <c r="I1197" s="578" t="str">
        <f t="shared" si="138"/>
        <v>1998age35-39Peri</v>
      </c>
      <c r="J1197" s="604">
        <v>1998</v>
      </c>
      <c r="K1197" s="604" t="s">
        <v>453</v>
      </c>
      <c r="L1197" s="604" t="s">
        <v>133</v>
      </c>
      <c r="M1197" s="604">
        <v>65</v>
      </c>
      <c r="N1197" s="604">
        <v>7444</v>
      </c>
      <c r="O1197" s="604">
        <v>8.6999999999999993</v>
      </c>
      <c r="P1197" s="604" t="s">
        <v>483</v>
      </c>
      <c r="Q1197" s="499"/>
      <c r="Y1197" s="535" t="str">
        <f t="shared" si="139"/>
        <v>2016depbwtQuin 5Unknowninfant</v>
      </c>
      <c r="Z1197" s="604">
        <v>2016</v>
      </c>
      <c r="AA1197" s="604" t="s">
        <v>454</v>
      </c>
      <c r="AB1197" s="604" t="s">
        <v>447</v>
      </c>
      <c r="AC1197" s="604" t="s">
        <v>425</v>
      </c>
      <c r="AD1197" s="604" t="s">
        <v>63</v>
      </c>
      <c r="AE1197" s="604">
        <v>4</v>
      </c>
      <c r="AF1197" s="604">
        <v>7</v>
      </c>
      <c r="AG1197" s="604" t="s">
        <v>119</v>
      </c>
      <c r="AH1197" s="604" t="s">
        <v>437</v>
      </c>
      <c r="AR1197" s="538" t="str">
        <f t="shared" si="141"/>
        <v>Quin 4depinfantLakes</v>
      </c>
      <c r="AS1197" s="604">
        <v>2016</v>
      </c>
      <c r="AT1197" s="604" t="s">
        <v>424</v>
      </c>
      <c r="AU1197" s="604" t="s">
        <v>454</v>
      </c>
      <c r="AV1197" s="604" t="s">
        <v>90</v>
      </c>
      <c r="AW1197" s="604">
        <v>0</v>
      </c>
      <c r="AX1197" s="604">
        <v>320</v>
      </c>
      <c r="AY1197" s="606">
        <v>0</v>
      </c>
      <c r="AZ1197" s="604" t="s">
        <v>437</v>
      </c>
      <c r="BY1197" s="553" t="str">
        <f t="shared" si="140"/>
        <v>2004Quin 1depSUDI</v>
      </c>
      <c r="BZ1197" s="604">
        <v>2004</v>
      </c>
      <c r="CA1197" s="604" t="s">
        <v>421</v>
      </c>
      <c r="CB1197" s="604" t="s">
        <v>454</v>
      </c>
      <c r="CC1197" s="604">
        <v>3</v>
      </c>
      <c r="CD1197" s="604" t="s">
        <v>33</v>
      </c>
    </row>
    <row r="1198" spans="9:82">
      <c r="I1198" s="578" t="str">
        <f t="shared" si="138"/>
        <v>1998age40+Peri</v>
      </c>
      <c r="J1198" s="604">
        <v>1998</v>
      </c>
      <c r="K1198" s="604" t="s">
        <v>453</v>
      </c>
      <c r="L1198" s="604" t="s">
        <v>134</v>
      </c>
      <c r="M1198" s="604">
        <v>25</v>
      </c>
      <c r="N1198" s="604">
        <v>1277</v>
      </c>
      <c r="O1198" s="604">
        <v>19.600000000000001</v>
      </c>
      <c r="P1198" s="604" t="s">
        <v>483</v>
      </c>
      <c r="Q1198" s="499"/>
      <c r="Y1198" s="535" t="str">
        <f t="shared" si="139"/>
        <v>2016depbwtQuin 9Unknowninfant</v>
      </c>
      <c r="Z1198" s="604">
        <v>2016</v>
      </c>
      <c r="AA1198" s="604" t="s">
        <v>454</v>
      </c>
      <c r="AB1198" s="604" t="s">
        <v>447</v>
      </c>
      <c r="AC1198" s="604" t="s">
        <v>426</v>
      </c>
      <c r="AD1198" s="604" t="s">
        <v>63</v>
      </c>
      <c r="AE1198" s="604">
        <v>1</v>
      </c>
      <c r="AF1198" s="604">
        <v>1</v>
      </c>
      <c r="AG1198" s="604" t="s">
        <v>119</v>
      </c>
      <c r="AH1198" s="604" t="s">
        <v>437</v>
      </c>
      <c r="AR1198" s="538" t="str">
        <f t="shared" si="141"/>
        <v>Quin 5depinfantLakes</v>
      </c>
      <c r="AS1198" s="604">
        <v>2016</v>
      </c>
      <c r="AT1198" s="604" t="s">
        <v>425</v>
      </c>
      <c r="AU1198" s="604" t="s">
        <v>454</v>
      </c>
      <c r="AV1198" s="604" t="s">
        <v>90</v>
      </c>
      <c r="AW1198" s="604">
        <v>0</v>
      </c>
      <c r="AX1198" s="604">
        <v>792</v>
      </c>
      <c r="AY1198" s="606">
        <v>0</v>
      </c>
      <c r="AZ1198" s="604" t="s">
        <v>437</v>
      </c>
      <c r="BY1198" s="553" t="str">
        <f t="shared" si="140"/>
        <v>2004Quin 2depSUDI</v>
      </c>
      <c r="BZ1198" s="604">
        <v>2004</v>
      </c>
      <c r="CA1198" s="604" t="s">
        <v>422</v>
      </c>
      <c r="CB1198" s="604" t="s">
        <v>454</v>
      </c>
      <c r="CC1198" s="604">
        <v>6</v>
      </c>
      <c r="CD1198" s="604" t="s">
        <v>33</v>
      </c>
    </row>
    <row r="1199" spans="9:82">
      <c r="I1199" s="578" t="str">
        <f t="shared" si="138"/>
        <v>1998ageUnknownPeri</v>
      </c>
      <c r="J1199" s="604">
        <v>1998</v>
      </c>
      <c r="K1199" s="604" t="s">
        <v>453</v>
      </c>
      <c r="L1199" s="604" t="s">
        <v>63</v>
      </c>
      <c r="M1199" s="604">
        <v>4</v>
      </c>
      <c r="N1199" s="604">
        <v>0</v>
      </c>
      <c r="O1199" s="604" t="s">
        <v>119</v>
      </c>
      <c r="P1199" s="604" t="s">
        <v>483</v>
      </c>
      <c r="Q1199" s="499"/>
      <c r="Y1199" s="535" t="str">
        <f t="shared" si="139"/>
        <v>2016ethdepMaoriQuin 1infant</v>
      </c>
      <c r="Z1199" s="604">
        <v>2016</v>
      </c>
      <c r="AA1199" s="604" t="s">
        <v>449</v>
      </c>
      <c r="AB1199" s="604" t="s">
        <v>454</v>
      </c>
      <c r="AC1199" s="604" t="s">
        <v>129</v>
      </c>
      <c r="AD1199" s="604" t="s">
        <v>421</v>
      </c>
      <c r="AE1199" s="604">
        <v>4</v>
      </c>
      <c r="AF1199" s="604">
        <v>1159</v>
      </c>
      <c r="AG1199" s="604">
        <v>3.5</v>
      </c>
      <c r="AH1199" s="604" t="s">
        <v>437</v>
      </c>
      <c r="AR1199" s="538" t="str">
        <f t="shared" si="141"/>
        <v>Quin 3depinfantBay of Plenty</v>
      </c>
      <c r="AS1199" s="604">
        <v>2016</v>
      </c>
      <c r="AT1199" s="604" t="s">
        <v>423</v>
      </c>
      <c r="AU1199" s="604" t="s">
        <v>454</v>
      </c>
      <c r="AV1199" s="604" t="s">
        <v>91</v>
      </c>
      <c r="AW1199" s="604">
        <v>0</v>
      </c>
      <c r="AX1199" s="604">
        <v>670</v>
      </c>
      <c r="AY1199" s="606">
        <v>0</v>
      </c>
      <c r="AZ1199" s="604" t="s">
        <v>437</v>
      </c>
      <c r="BY1199" s="553" t="str">
        <f t="shared" si="140"/>
        <v>2004Quin 3depSUDI</v>
      </c>
      <c r="BZ1199" s="604">
        <v>2004</v>
      </c>
      <c r="CA1199" s="604" t="s">
        <v>423</v>
      </c>
      <c r="CB1199" s="604" t="s">
        <v>454</v>
      </c>
      <c r="CC1199" s="604">
        <v>6</v>
      </c>
      <c r="CD1199" s="604" t="s">
        <v>33</v>
      </c>
    </row>
    <row r="1200" spans="9:82">
      <c r="I1200" s="578" t="str">
        <f t="shared" si="138"/>
        <v>1999age&lt;20Peri</v>
      </c>
      <c r="J1200" s="604">
        <v>1999</v>
      </c>
      <c r="K1200" s="604" t="s">
        <v>453</v>
      </c>
      <c r="L1200" s="604" t="s">
        <v>339</v>
      </c>
      <c r="M1200" s="604">
        <v>54</v>
      </c>
      <c r="N1200" s="604">
        <v>3927</v>
      </c>
      <c r="O1200" s="604">
        <v>13.8</v>
      </c>
      <c r="P1200" s="604" t="s">
        <v>483</v>
      </c>
      <c r="Q1200" s="499"/>
      <c r="Y1200" s="535" t="str">
        <f t="shared" si="139"/>
        <v>2016ethdepPacific peoplesQuin 1infant</v>
      </c>
      <c r="Z1200" s="604">
        <v>2016</v>
      </c>
      <c r="AA1200" s="604" t="s">
        <v>449</v>
      </c>
      <c r="AB1200" s="604" t="s">
        <v>454</v>
      </c>
      <c r="AC1200" s="604" t="s">
        <v>320</v>
      </c>
      <c r="AD1200" s="604" t="s">
        <v>421</v>
      </c>
      <c r="AE1200" s="604">
        <v>0</v>
      </c>
      <c r="AF1200" s="604">
        <v>271</v>
      </c>
      <c r="AG1200" s="604">
        <v>0</v>
      </c>
      <c r="AH1200" s="604" t="s">
        <v>437</v>
      </c>
      <c r="AR1200" s="538" t="str">
        <f t="shared" si="141"/>
        <v>Quin 1depinfantTairawhiti</v>
      </c>
      <c r="AS1200" s="604">
        <v>2016</v>
      </c>
      <c r="AT1200" s="604" t="s">
        <v>421</v>
      </c>
      <c r="AU1200" s="604" t="s">
        <v>454</v>
      </c>
      <c r="AV1200" s="604" t="s">
        <v>433</v>
      </c>
      <c r="AW1200" s="604">
        <v>0</v>
      </c>
      <c r="AX1200" s="604">
        <v>25</v>
      </c>
      <c r="AY1200" s="606">
        <v>0</v>
      </c>
      <c r="AZ1200" s="604" t="s">
        <v>437</v>
      </c>
      <c r="BY1200" s="553" t="str">
        <f t="shared" si="140"/>
        <v>2004Quin 4depSUDI</v>
      </c>
      <c r="BZ1200" s="604">
        <v>2004</v>
      </c>
      <c r="CA1200" s="604" t="s">
        <v>424</v>
      </c>
      <c r="CB1200" s="604" t="s">
        <v>454</v>
      </c>
      <c r="CC1200" s="604">
        <v>16</v>
      </c>
      <c r="CD1200" s="604" t="s">
        <v>33</v>
      </c>
    </row>
    <row r="1201" spans="9:82">
      <c r="I1201" s="578" t="str">
        <f t="shared" si="138"/>
        <v>1999age20-24Peri</v>
      </c>
      <c r="J1201" s="604">
        <v>1999</v>
      </c>
      <c r="K1201" s="604" t="s">
        <v>453</v>
      </c>
      <c r="L1201" s="604" t="s">
        <v>130</v>
      </c>
      <c r="M1201" s="604">
        <v>106</v>
      </c>
      <c r="N1201" s="604">
        <v>10148</v>
      </c>
      <c r="O1201" s="604">
        <v>10.4</v>
      </c>
      <c r="P1201" s="604" t="s">
        <v>483</v>
      </c>
      <c r="Q1201" s="499"/>
      <c r="Y1201" s="535" t="str">
        <f t="shared" si="139"/>
        <v>2016ethdepAsianQuin 1infant</v>
      </c>
      <c r="Z1201" s="604">
        <v>2016</v>
      </c>
      <c r="AA1201" s="604" t="s">
        <v>449</v>
      </c>
      <c r="AB1201" s="604" t="s">
        <v>454</v>
      </c>
      <c r="AC1201" s="604" t="s">
        <v>355</v>
      </c>
      <c r="AD1201" s="604" t="s">
        <v>421</v>
      </c>
      <c r="AE1201" s="604">
        <v>6</v>
      </c>
      <c r="AF1201" s="604">
        <v>1910</v>
      </c>
      <c r="AG1201" s="604">
        <v>3.1</v>
      </c>
      <c r="AH1201" s="604" t="s">
        <v>437</v>
      </c>
      <c r="AR1201" s="538" t="str">
        <f t="shared" si="141"/>
        <v>Quin 2depinfantTairawhiti</v>
      </c>
      <c r="AS1201" s="604">
        <v>2016</v>
      </c>
      <c r="AT1201" s="604" t="s">
        <v>422</v>
      </c>
      <c r="AU1201" s="604" t="s">
        <v>454</v>
      </c>
      <c r="AV1201" s="604" t="s">
        <v>433</v>
      </c>
      <c r="AW1201" s="604">
        <v>0</v>
      </c>
      <c r="AX1201" s="604">
        <v>59</v>
      </c>
      <c r="AY1201" s="606">
        <v>0</v>
      </c>
      <c r="AZ1201" s="604" t="s">
        <v>437</v>
      </c>
      <c r="BY1201" s="553" t="str">
        <f t="shared" si="140"/>
        <v>2004Quin 5depSUDI</v>
      </c>
      <c r="BZ1201" s="604">
        <v>2004</v>
      </c>
      <c r="CA1201" s="604" t="s">
        <v>425</v>
      </c>
      <c r="CB1201" s="604" t="s">
        <v>454</v>
      </c>
      <c r="CC1201" s="604">
        <v>28</v>
      </c>
      <c r="CD1201" s="604" t="s">
        <v>33</v>
      </c>
    </row>
    <row r="1202" spans="9:82">
      <c r="I1202" s="578" t="str">
        <f t="shared" si="138"/>
        <v>1999age25-29Peri</v>
      </c>
      <c r="J1202" s="604">
        <v>1999</v>
      </c>
      <c r="K1202" s="604" t="s">
        <v>453</v>
      </c>
      <c r="L1202" s="604" t="s">
        <v>131</v>
      </c>
      <c r="M1202" s="604">
        <v>168</v>
      </c>
      <c r="N1202" s="604">
        <v>16669</v>
      </c>
      <c r="O1202" s="604">
        <v>10.1</v>
      </c>
      <c r="P1202" s="604" t="s">
        <v>483</v>
      </c>
      <c r="Q1202" s="499"/>
      <c r="Y1202" s="535" t="str">
        <f t="shared" si="139"/>
        <v>2016ethdepEuropean or OtherQuin 1infant</v>
      </c>
      <c r="Z1202" s="604">
        <v>2016</v>
      </c>
      <c r="AA1202" s="604" t="s">
        <v>449</v>
      </c>
      <c r="AB1202" s="604" t="s">
        <v>454</v>
      </c>
      <c r="AC1202" s="604" t="s">
        <v>356</v>
      </c>
      <c r="AD1202" s="604" t="s">
        <v>421</v>
      </c>
      <c r="AE1202" s="604">
        <v>14</v>
      </c>
      <c r="AF1202" s="604">
        <v>5854</v>
      </c>
      <c r="AG1202" s="604">
        <v>2.4</v>
      </c>
      <c r="AH1202" s="604" t="s">
        <v>437</v>
      </c>
      <c r="AR1202" s="538" t="str">
        <f t="shared" si="141"/>
        <v>Quin 3depinfantTairawhiti</v>
      </c>
      <c r="AS1202" s="604">
        <v>2016</v>
      </c>
      <c r="AT1202" s="604" t="s">
        <v>423</v>
      </c>
      <c r="AU1202" s="604" t="s">
        <v>454</v>
      </c>
      <c r="AV1202" s="604" t="s">
        <v>433</v>
      </c>
      <c r="AW1202" s="604">
        <v>0</v>
      </c>
      <c r="AX1202" s="604">
        <v>111</v>
      </c>
      <c r="AY1202" s="606">
        <v>0</v>
      </c>
      <c r="AZ1202" s="604" t="s">
        <v>437</v>
      </c>
      <c r="BY1202" s="553" t="str">
        <f t="shared" si="140"/>
        <v>2004Quin 9depSUDI</v>
      </c>
      <c r="BZ1202" s="604">
        <v>2004</v>
      </c>
      <c r="CA1202" s="604" t="s">
        <v>426</v>
      </c>
      <c r="CB1202" s="604" t="s">
        <v>454</v>
      </c>
      <c r="CC1202" s="604">
        <v>3</v>
      </c>
      <c r="CD1202" s="604" t="s">
        <v>33</v>
      </c>
    </row>
    <row r="1203" spans="9:82">
      <c r="I1203" s="578" t="str">
        <f t="shared" si="138"/>
        <v>1999age30-34Peri</v>
      </c>
      <c r="J1203" s="604">
        <v>1999</v>
      </c>
      <c r="K1203" s="604" t="s">
        <v>453</v>
      </c>
      <c r="L1203" s="604" t="s">
        <v>132</v>
      </c>
      <c r="M1203" s="604">
        <v>145</v>
      </c>
      <c r="N1203" s="604">
        <v>17294</v>
      </c>
      <c r="O1203" s="604">
        <v>8.4</v>
      </c>
      <c r="P1203" s="604" t="s">
        <v>483</v>
      </c>
      <c r="Q1203" s="499"/>
      <c r="Y1203" s="535" t="str">
        <f t="shared" si="139"/>
        <v>2016ethdepMaoriQuin 2infant</v>
      </c>
      <c r="Z1203" s="604">
        <v>2016</v>
      </c>
      <c r="AA1203" s="604" t="s">
        <v>449</v>
      </c>
      <c r="AB1203" s="604" t="s">
        <v>454</v>
      </c>
      <c r="AC1203" s="604" t="s">
        <v>129</v>
      </c>
      <c r="AD1203" s="604" t="s">
        <v>422</v>
      </c>
      <c r="AE1203" s="604">
        <v>5</v>
      </c>
      <c r="AF1203" s="604">
        <v>1788</v>
      </c>
      <c r="AG1203" s="604">
        <v>2.8</v>
      </c>
      <c r="AH1203" s="604" t="s">
        <v>437</v>
      </c>
      <c r="AR1203" s="538" t="str">
        <f t="shared" si="141"/>
        <v>Quin 4depinfantTairawhiti</v>
      </c>
      <c r="AS1203" s="604">
        <v>2016</v>
      </c>
      <c r="AT1203" s="604" t="s">
        <v>424</v>
      </c>
      <c r="AU1203" s="604" t="s">
        <v>454</v>
      </c>
      <c r="AV1203" s="604" t="s">
        <v>433</v>
      </c>
      <c r="AW1203" s="604">
        <v>0</v>
      </c>
      <c r="AX1203" s="604">
        <v>30</v>
      </c>
      <c r="AY1203" s="606">
        <v>0</v>
      </c>
      <c r="AZ1203" s="604" t="s">
        <v>437</v>
      </c>
      <c r="BY1203" s="553" t="str">
        <f t="shared" si="140"/>
        <v>2005Quin 1depSUDI</v>
      </c>
      <c r="BZ1203" s="604">
        <v>2005</v>
      </c>
      <c r="CA1203" s="604" t="s">
        <v>421</v>
      </c>
      <c r="CB1203" s="604" t="s">
        <v>454</v>
      </c>
      <c r="CC1203" s="604">
        <v>1</v>
      </c>
      <c r="CD1203" s="604" t="s">
        <v>33</v>
      </c>
    </row>
    <row r="1204" spans="9:82">
      <c r="I1204" s="578" t="str">
        <f t="shared" si="138"/>
        <v>1999age35-39Peri</v>
      </c>
      <c r="J1204" s="604">
        <v>1999</v>
      </c>
      <c r="K1204" s="604" t="s">
        <v>453</v>
      </c>
      <c r="L1204" s="604" t="s">
        <v>133</v>
      </c>
      <c r="M1204" s="604">
        <v>82</v>
      </c>
      <c r="N1204" s="604">
        <v>8327</v>
      </c>
      <c r="O1204" s="604">
        <v>9.8000000000000007</v>
      </c>
      <c r="P1204" s="604" t="s">
        <v>483</v>
      </c>
      <c r="Q1204" s="499"/>
      <c r="Y1204" s="535" t="str">
        <f t="shared" si="139"/>
        <v>2016ethdepPacific peoplesQuin 2infant</v>
      </c>
      <c r="Z1204" s="604">
        <v>2016</v>
      </c>
      <c r="AA1204" s="604" t="s">
        <v>449</v>
      </c>
      <c r="AB1204" s="604" t="s">
        <v>454</v>
      </c>
      <c r="AC1204" s="604" t="s">
        <v>320</v>
      </c>
      <c r="AD1204" s="604" t="s">
        <v>422</v>
      </c>
      <c r="AE1204" s="604">
        <v>0</v>
      </c>
      <c r="AF1204" s="604">
        <v>423</v>
      </c>
      <c r="AG1204" s="604">
        <v>0</v>
      </c>
      <c r="AH1204" s="604" t="s">
        <v>437</v>
      </c>
      <c r="AR1204" s="538" t="str">
        <f t="shared" si="141"/>
        <v>Quin 1depinfantHawke's Bay</v>
      </c>
      <c r="AS1204" s="604">
        <v>2016</v>
      </c>
      <c r="AT1204" s="604" t="s">
        <v>421</v>
      </c>
      <c r="AU1204" s="604" t="s">
        <v>454</v>
      </c>
      <c r="AV1204" s="604" t="s">
        <v>92</v>
      </c>
      <c r="AW1204" s="604">
        <v>0</v>
      </c>
      <c r="AX1204" s="604">
        <v>135</v>
      </c>
      <c r="AY1204" s="606">
        <v>0</v>
      </c>
      <c r="AZ1204" s="604" t="s">
        <v>437</v>
      </c>
      <c r="BY1204" s="553" t="str">
        <f t="shared" si="140"/>
        <v>2005Quin 2depSUDI</v>
      </c>
      <c r="BZ1204" s="604">
        <v>2005</v>
      </c>
      <c r="CA1204" s="604" t="s">
        <v>422</v>
      </c>
      <c r="CB1204" s="604" t="s">
        <v>454</v>
      </c>
      <c r="CC1204" s="604">
        <v>6</v>
      </c>
      <c r="CD1204" s="604" t="s">
        <v>33</v>
      </c>
    </row>
    <row r="1205" spans="9:82">
      <c r="I1205" s="578" t="str">
        <f t="shared" si="138"/>
        <v>1999age40+Peri</v>
      </c>
      <c r="J1205" s="604">
        <v>1999</v>
      </c>
      <c r="K1205" s="604" t="s">
        <v>453</v>
      </c>
      <c r="L1205" s="604" t="s">
        <v>134</v>
      </c>
      <c r="M1205" s="604">
        <v>26</v>
      </c>
      <c r="N1205" s="604">
        <v>1479</v>
      </c>
      <c r="O1205" s="604">
        <v>17.600000000000001</v>
      </c>
      <c r="P1205" s="604" t="s">
        <v>483</v>
      </c>
      <c r="Q1205" s="499"/>
      <c r="Y1205" s="535" t="str">
        <f t="shared" si="139"/>
        <v>2016ethdepAsianQuin 2infant</v>
      </c>
      <c r="Z1205" s="604">
        <v>2016</v>
      </c>
      <c r="AA1205" s="604" t="s">
        <v>449</v>
      </c>
      <c r="AB1205" s="604" t="s">
        <v>454</v>
      </c>
      <c r="AC1205" s="604" t="s">
        <v>355</v>
      </c>
      <c r="AD1205" s="604" t="s">
        <v>422</v>
      </c>
      <c r="AE1205" s="604">
        <v>4</v>
      </c>
      <c r="AF1205" s="604">
        <v>2186</v>
      </c>
      <c r="AG1205" s="604">
        <v>1.8</v>
      </c>
      <c r="AH1205" s="604" t="s">
        <v>437</v>
      </c>
      <c r="AR1205" s="538" t="str">
        <f t="shared" si="141"/>
        <v>Quin 2depinfantHawke's Bay</v>
      </c>
      <c r="AS1205" s="604">
        <v>2016</v>
      </c>
      <c r="AT1205" s="604" t="s">
        <v>422</v>
      </c>
      <c r="AU1205" s="604" t="s">
        <v>454</v>
      </c>
      <c r="AV1205" s="604" t="s">
        <v>92</v>
      </c>
      <c r="AW1205" s="604">
        <v>0</v>
      </c>
      <c r="AX1205" s="604">
        <v>364</v>
      </c>
      <c r="AY1205" s="606">
        <v>0</v>
      </c>
      <c r="AZ1205" s="604" t="s">
        <v>437</v>
      </c>
      <c r="BY1205" s="553" t="str">
        <f t="shared" si="140"/>
        <v>2005Quin 3depSUDI</v>
      </c>
      <c r="BZ1205" s="604">
        <v>2005</v>
      </c>
      <c r="CA1205" s="604" t="s">
        <v>423</v>
      </c>
      <c r="CB1205" s="604" t="s">
        <v>454</v>
      </c>
      <c r="CC1205" s="604">
        <v>9</v>
      </c>
      <c r="CD1205" s="604" t="s">
        <v>33</v>
      </c>
    </row>
    <row r="1206" spans="9:82">
      <c r="I1206" s="578" t="str">
        <f t="shared" si="138"/>
        <v>1999ageUnknownPeri</v>
      </c>
      <c r="J1206" s="604">
        <v>1999</v>
      </c>
      <c r="K1206" s="604" t="s">
        <v>453</v>
      </c>
      <c r="L1206" s="604" t="s">
        <v>63</v>
      </c>
      <c r="M1206" s="604">
        <v>1</v>
      </c>
      <c r="N1206" s="604">
        <v>3</v>
      </c>
      <c r="O1206" s="604" t="s">
        <v>119</v>
      </c>
      <c r="P1206" s="604" t="s">
        <v>483</v>
      </c>
      <c r="Q1206" s="499"/>
      <c r="Y1206" s="535" t="str">
        <f t="shared" si="139"/>
        <v>2016ethdepEuropean or OtherQuin 2infant</v>
      </c>
      <c r="Z1206" s="604">
        <v>2016</v>
      </c>
      <c r="AA1206" s="604" t="s">
        <v>449</v>
      </c>
      <c r="AB1206" s="604" t="s">
        <v>454</v>
      </c>
      <c r="AC1206" s="604" t="s">
        <v>356</v>
      </c>
      <c r="AD1206" s="604" t="s">
        <v>422</v>
      </c>
      <c r="AE1206" s="604">
        <v>15</v>
      </c>
      <c r="AF1206" s="604">
        <v>5726</v>
      </c>
      <c r="AG1206" s="604">
        <v>2.6</v>
      </c>
      <c r="AH1206" s="604" t="s">
        <v>437</v>
      </c>
      <c r="AR1206" s="538" t="str">
        <f t="shared" si="141"/>
        <v>Quin 3depinfantHawke's Bay</v>
      </c>
      <c r="AS1206" s="604">
        <v>2016</v>
      </c>
      <c r="AT1206" s="604" t="s">
        <v>423</v>
      </c>
      <c r="AU1206" s="604" t="s">
        <v>454</v>
      </c>
      <c r="AV1206" s="604" t="s">
        <v>92</v>
      </c>
      <c r="AW1206" s="604">
        <v>0</v>
      </c>
      <c r="AX1206" s="604">
        <v>201</v>
      </c>
      <c r="AY1206" s="606">
        <v>0</v>
      </c>
      <c r="AZ1206" s="604" t="s">
        <v>437</v>
      </c>
      <c r="BY1206" s="553" t="str">
        <f t="shared" si="140"/>
        <v>2005Quin 4depSUDI</v>
      </c>
      <c r="BZ1206" s="604">
        <v>2005</v>
      </c>
      <c r="CA1206" s="604" t="s">
        <v>424</v>
      </c>
      <c r="CB1206" s="604" t="s">
        <v>454</v>
      </c>
      <c r="CC1206" s="604">
        <v>7</v>
      </c>
      <c r="CD1206" s="604" t="s">
        <v>33</v>
      </c>
    </row>
    <row r="1207" spans="9:82">
      <c r="I1207" s="578" t="str">
        <f t="shared" si="138"/>
        <v>2000age&lt;20Peri</v>
      </c>
      <c r="J1207" s="604">
        <v>2000</v>
      </c>
      <c r="K1207" s="604" t="s">
        <v>453</v>
      </c>
      <c r="L1207" s="604" t="s">
        <v>339</v>
      </c>
      <c r="M1207" s="604">
        <v>43</v>
      </c>
      <c r="N1207" s="604">
        <v>3851</v>
      </c>
      <c r="O1207" s="604">
        <v>11.2</v>
      </c>
      <c r="P1207" s="604" t="s">
        <v>483</v>
      </c>
      <c r="Q1207" s="499"/>
      <c r="Y1207" s="535" t="str">
        <f t="shared" si="139"/>
        <v>2016ethdepMaoriQuin 3infant</v>
      </c>
      <c r="Z1207" s="604">
        <v>2016</v>
      </c>
      <c r="AA1207" s="604" t="s">
        <v>449</v>
      </c>
      <c r="AB1207" s="604" t="s">
        <v>454</v>
      </c>
      <c r="AC1207" s="604" t="s">
        <v>129</v>
      </c>
      <c r="AD1207" s="604" t="s">
        <v>423</v>
      </c>
      <c r="AE1207" s="604">
        <v>12</v>
      </c>
      <c r="AF1207" s="604">
        <v>2643</v>
      </c>
      <c r="AG1207" s="604">
        <v>4.5</v>
      </c>
      <c r="AH1207" s="604" t="s">
        <v>437</v>
      </c>
      <c r="AR1207" s="538" t="str">
        <f t="shared" si="141"/>
        <v>Quin 5depinfantTaranaki</v>
      </c>
      <c r="AS1207" s="604">
        <v>2016</v>
      </c>
      <c r="AT1207" s="604" t="s">
        <v>425</v>
      </c>
      <c r="AU1207" s="604" t="s">
        <v>454</v>
      </c>
      <c r="AV1207" s="604" t="s">
        <v>93</v>
      </c>
      <c r="AW1207" s="604">
        <v>0</v>
      </c>
      <c r="AX1207" s="604">
        <v>283</v>
      </c>
      <c r="AY1207" s="606">
        <v>0</v>
      </c>
      <c r="AZ1207" s="604" t="s">
        <v>437</v>
      </c>
      <c r="BY1207" s="553" t="str">
        <f t="shared" si="140"/>
        <v>2005Quin 5depSUDI</v>
      </c>
      <c r="BZ1207" s="604">
        <v>2005</v>
      </c>
      <c r="CA1207" s="604" t="s">
        <v>425</v>
      </c>
      <c r="CB1207" s="604" t="s">
        <v>454</v>
      </c>
      <c r="CC1207" s="604">
        <v>27</v>
      </c>
      <c r="CD1207" s="604" t="s">
        <v>33</v>
      </c>
    </row>
    <row r="1208" spans="9:82">
      <c r="I1208" s="578" t="str">
        <f t="shared" si="138"/>
        <v>2000age20-24Peri</v>
      </c>
      <c r="J1208" s="604">
        <v>2000</v>
      </c>
      <c r="K1208" s="604" t="s">
        <v>453</v>
      </c>
      <c r="L1208" s="604" t="s">
        <v>130</v>
      </c>
      <c r="M1208" s="604">
        <v>91</v>
      </c>
      <c r="N1208" s="604">
        <v>9995</v>
      </c>
      <c r="O1208" s="604">
        <v>9.1</v>
      </c>
      <c r="P1208" s="604" t="s">
        <v>483</v>
      </c>
      <c r="Q1208" s="499"/>
      <c r="Y1208" s="535" t="str">
        <f t="shared" si="139"/>
        <v>2016ethdepPacific peoplesQuin 3infant</v>
      </c>
      <c r="Z1208" s="604">
        <v>2016</v>
      </c>
      <c r="AA1208" s="604" t="s">
        <v>449</v>
      </c>
      <c r="AB1208" s="604" t="s">
        <v>454</v>
      </c>
      <c r="AC1208" s="604" t="s">
        <v>320</v>
      </c>
      <c r="AD1208" s="604" t="s">
        <v>423</v>
      </c>
      <c r="AE1208" s="604">
        <v>0</v>
      </c>
      <c r="AF1208" s="604">
        <v>564</v>
      </c>
      <c r="AG1208" s="604">
        <v>0</v>
      </c>
      <c r="AH1208" s="604" t="s">
        <v>437</v>
      </c>
      <c r="AR1208" s="538" t="str">
        <f t="shared" si="141"/>
        <v>Quin 1depinfantWhanganui</v>
      </c>
      <c r="AS1208" s="604">
        <v>2016</v>
      </c>
      <c r="AT1208" s="604" t="s">
        <v>421</v>
      </c>
      <c r="AU1208" s="604" t="s">
        <v>454</v>
      </c>
      <c r="AV1208" s="604" t="s">
        <v>95</v>
      </c>
      <c r="AW1208" s="604">
        <v>0</v>
      </c>
      <c r="AX1208" s="604">
        <v>8</v>
      </c>
      <c r="AY1208" s="606">
        <v>0</v>
      </c>
      <c r="AZ1208" s="604" t="s">
        <v>437</v>
      </c>
      <c r="BY1208" s="553" t="str">
        <f t="shared" si="140"/>
        <v>2005Quin 9depSUDI</v>
      </c>
      <c r="BZ1208" s="604">
        <v>2005</v>
      </c>
      <c r="CA1208" s="604" t="s">
        <v>426</v>
      </c>
      <c r="CB1208" s="604" t="s">
        <v>454</v>
      </c>
      <c r="CC1208" s="604">
        <v>3</v>
      </c>
      <c r="CD1208" s="604" t="s">
        <v>33</v>
      </c>
    </row>
    <row r="1209" spans="9:82">
      <c r="I1209" s="578" t="str">
        <f t="shared" si="138"/>
        <v>2000age25-29Peri</v>
      </c>
      <c r="J1209" s="604">
        <v>2000</v>
      </c>
      <c r="K1209" s="604" t="s">
        <v>453</v>
      </c>
      <c r="L1209" s="604" t="s">
        <v>131</v>
      </c>
      <c r="M1209" s="604">
        <v>134</v>
      </c>
      <c r="N1209" s="604">
        <v>15983</v>
      </c>
      <c r="O1209" s="604">
        <v>8.4</v>
      </c>
      <c r="P1209" s="604" t="s">
        <v>483</v>
      </c>
      <c r="Q1209" s="499"/>
      <c r="Y1209" s="535" t="str">
        <f t="shared" si="139"/>
        <v>2016ethdepAsianQuin 3infant</v>
      </c>
      <c r="Z1209" s="604">
        <v>2016</v>
      </c>
      <c r="AA1209" s="604" t="s">
        <v>449</v>
      </c>
      <c r="AB1209" s="604" t="s">
        <v>454</v>
      </c>
      <c r="AC1209" s="604" t="s">
        <v>355</v>
      </c>
      <c r="AD1209" s="604" t="s">
        <v>423</v>
      </c>
      <c r="AE1209" s="604">
        <v>4</v>
      </c>
      <c r="AF1209" s="604">
        <v>1969</v>
      </c>
      <c r="AG1209" s="604">
        <v>2</v>
      </c>
      <c r="AH1209" s="604" t="s">
        <v>437</v>
      </c>
      <c r="AR1209" s="538" t="str">
        <f t="shared" si="141"/>
        <v>Quin 3depinfantWhanganui</v>
      </c>
      <c r="AS1209" s="604">
        <v>2016</v>
      </c>
      <c r="AT1209" s="604" t="s">
        <v>423</v>
      </c>
      <c r="AU1209" s="604" t="s">
        <v>454</v>
      </c>
      <c r="AV1209" s="604" t="s">
        <v>95</v>
      </c>
      <c r="AW1209" s="604">
        <v>0</v>
      </c>
      <c r="AX1209" s="604">
        <v>125</v>
      </c>
      <c r="AY1209" s="606">
        <v>0</v>
      </c>
      <c r="AZ1209" s="604" t="s">
        <v>437</v>
      </c>
      <c r="BY1209" s="553" t="str">
        <f t="shared" si="140"/>
        <v>2006Quin 1depSUDI</v>
      </c>
      <c r="BZ1209" s="604">
        <v>2006</v>
      </c>
      <c r="CA1209" s="604" t="s">
        <v>421</v>
      </c>
      <c r="CB1209" s="604" t="s">
        <v>454</v>
      </c>
      <c r="CC1209" s="604">
        <v>4</v>
      </c>
      <c r="CD1209" s="604" t="s">
        <v>33</v>
      </c>
    </row>
    <row r="1210" spans="9:82">
      <c r="I1210" s="578" t="str">
        <f t="shared" si="138"/>
        <v>2000age30-34Peri</v>
      </c>
      <c r="J1210" s="604">
        <v>2000</v>
      </c>
      <c r="K1210" s="604" t="s">
        <v>453</v>
      </c>
      <c r="L1210" s="604" t="s">
        <v>132</v>
      </c>
      <c r="M1210" s="604">
        <v>161</v>
      </c>
      <c r="N1210" s="604">
        <v>17392</v>
      </c>
      <c r="O1210" s="604">
        <v>9.3000000000000007</v>
      </c>
      <c r="P1210" s="604" t="s">
        <v>483</v>
      </c>
      <c r="Q1210" s="499"/>
      <c r="Y1210" s="535" t="str">
        <f t="shared" si="139"/>
        <v>2016ethdepEuropean or OtherQuin 3infant</v>
      </c>
      <c r="Z1210" s="604">
        <v>2016</v>
      </c>
      <c r="AA1210" s="604" t="s">
        <v>449</v>
      </c>
      <c r="AB1210" s="604" t="s">
        <v>454</v>
      </c>
      <c r="AC1210" s="604" t="s">
        <v>356</v>
      </c>
      <c r="AD1210" s="604" t="s">
        <v>423</v>
      </c>
      <c r="AE1210" s="604">
        <v>16</v>
      </c>
      <c r="AF1210" s="604">
        <v>5795</v>
      </c>
      <c r="AG1210" s="604">
        <v>2.8</v>
      </c>
      <c r="AH1210" s="604" t="s">
        <v>437</v>
      </c>
      <c r="AR1210" s="538" t="str">
        <f t="shared" si="141"/>
        <v>Quin 4depinfantWhanganui</v>
      </c>
      <c r="AS1210" s="604">
        <v>2016</v>
      </c>
      <c r="AT1210" s="604" t="s">
        <v>424</v>
      </c>
      <c r="AU1210" s="604" t="s">
        <v>454</v>
      </c>
      <c r="AV1210" s="604" t="s">
        <v>95</v>
      </c>
      <c r="AW1210" s="604">
        <v>0</v>
      </c>
      <c r="AX1210" s="604">
        <v>266</v>
      </c>
      <c r="AY1210" s="606">
        <v>0</v>
      </c>
      <c r="AZ1210" s="604" t="s">
        <v>437</v>
      </c>
      <c r="BY1210" s="553" t="str">
        <f t="shared" si="140"/>
        <v>2006Quin 2depSUDI</v>
      </c>
      <c r="BZ1210" s="604">
        <v>2006</v>
      </c>
      <c r="CA1210" s="604" t="s">
        <v>422</v>
      </c>
      <c r="CB1210" s="604" t="s">
        <v>454</v>
      </c>
      <c r="CC1210" s="604">
        <v>6</v>
      </c>
      <c r="CD1210" s="604" t="s">
        <v>33</v>
      </c>
    </row>
    <row r="1211" spans="9:82">
      <c r="I1211" s="578" t="str">
        <f t="shared" si="138"/>
        <v>2000age35-39Peri</v>
      </c>
      <c r="J1211" s="604">
        <v>2000</v>
      </c>
      <c r="K1211" s="604" t="s">
        <v>453</v>
      </c>
      <c r="L1211" s="604" t="s">
        <v>133</v>
      </c>
      <c r="M1211" s="604">
        <v>95</v>
      </c>
      <c r="N1211" s="604">
        <v>8560</v>
      </c>
      <c r="O1211" s="604">
        <v>11.1</v>
      </c>
      <c r="P1211" s="604" t="s">
        <v>483</v>
      </c>
      <c r="Q1211" s="499"/>
      <c r="Y1211" s="535" t="str">
        <f t="shared" si="139"/>
        <v>2016ethdepMaoriQuin 4infant</v>
      </c>
      <c r="Z1211" s="604">
        <v>2016</v>
      </c>
      <c r="AA1211" s="604" t="s">
        <v>449</v>
      </c>
      <c r="AB1211" s="604" t="s">
        <v>454</v>
      </c>
      <c r="AC1211" s="604" t="s">
        <v>129</v>
      </c>
      <c r="AD1211" s="604" t="s">
        <v>424</v>
      </c>
      <c r="AE1211" s="604">
        <v>22</v>
      </c>
      <c r="AF1211" s="604">
        <v>4019</v>
      </c>
      <c r="AG1211" s="604">
        <v>5.5</v>
      </c>
      <c r="AH1211" s="604" t="s">
        <v>437</v>
      </c>
      <c r="AR1211" s="538" t="str">
        <f t="shared" si="141"/>
        <v>Quin 1depinfantWairarapa</v>
      </c>
      <c r="AS1211" s="604">
        <v>2016</v>
      </c>
      <c r="AT1211" s="604" t="s">
        <v>421</v>
      </c>
      <c r="AU1211" s="604" t="s">
        <v>454</v>
      </c>
      <c r="AV1211" s="604" t="s">
        <v>98</v>
      </c>
      <c r="AW1211" s="604">
        <v>0</v>
      </c>
      <c r="AX1211" s="604">
        <v>68</v>
      </c>
      <c r="AY1211" s="606">
        <v>0</v>
      </c>
      <c r="AZ1211" s="604" t="s">
        <v>437</v>
      </c>
      <c r="BY1211" s="553" t="str">
        <f t="shared" si="140"/>
        <v>2006Quin 3depSUDI</v>
      </c>
      <c r="BZ1211" s="604">
        <v>2006</v>
      </c>
      <c r="CA1211" s="604" t="s">
        <v>423</v>
      </c>
      <c r="CB1211" s="604" t="s">
        <v>454</v>
      </c>
      <c r="CC1211" s="604">
        <v>8</v>
      </c>
      <c r="CD1211" s="604" t="s">
        <v>33</v>
      </c>
    </row>
    <row r="1212" spans="9:82">
      <c r="I1212" s="578" t="str">
        <f t="shared" si="138"/>
        <v>2000age40+Peri</v>
      </c>
      <c r="J1212" s="604">
        <v>2000</v>
      </c>
      <c r="K1212" s="604" t="s">
        <v>453</v>
      </c>
      <c r="L1212" s="604" t="s">
        <v>134</v>
      </c>
      <c r="M1212" s="604">
        <v>19</v>
      </c>
      <c r="N1212" s="604">
        <v>1582</v>
      </c>
      <c r="O1212" s="604">
        <v>12</v>
      </c>
      <c r="P1212" s="604" t="s">
        <v>483</v>
      </c>
      <c r="Q1212" s="499"/>
      <c r="Y1212" s="535" t="str">
        <f t="shared" si="139"/>
        <v>2016ethdepPacific peoplesQuin 4infant</v>
      </c>
      <c r="Z1212" s="604">
        <v>2016</v>
      </c>
      <c r="AA1212" s="604" t="s">
        <v>449</v>
      </c>
      <c r="AB1212" s="604" t="s">
        <v>454</v>
      </c>
      <c r="AC1212" s="604" t="s">
        <v>320</v>
      </c>
      <c r="AD1212" s="604" t="s">
        <v>424</v>
      </c>
      <c r="AE1212" s="604">
        <v>8</v>
      </c>
      <c r="AF1212" s="604">
        <v>1186</v>
      </c>
      <c r="AG1212" s="604">
        <v>6.7</v>
      </c>
      <c r="AH1212" s="604" t="s">
        <v>437</v>
      </c>
      <c r="AR1212" s="538" t="str">
        <f t="shared" si="141"/>
        <v>Quin 2depinfantWairarapa</v>
      </c>
      <c r="AS1212" s="604">
        <v>2016</v>
      </c>
      <c r="AT1212" s="604" t="s">
        <v>422</v>
      </c>
      <c r="AU1212" s="604" t="s">
        <v>454</v>
      </c>
      <c r="AV1212" s="604" t="s">
        <v>98</v>
      </c>
      <c r="AW1212" s="604">
        <v>0</v>
      </c>
      <c r="AX1212" s="604">
        <v>56</v>
      </c>
      <c r="AY1212" s="606">
        <v>0</v>
      </c>
      <c r="AZ1212" s="604" t="s">
        <v>437</v>
      </c>
      <c r="BY1212" s="553" t="str">
        <f t="shared" si="140"/>
        <v>2006Quin 4depSUDI</v>
      </c>
      <c r="BZ1212" s="604">
        <v>2006</v>
      </c>
      <c r="CA1212" s="604" t="s">
        <v>424</v>
      </c>
      <c r="CB1212" s="604" t="s">
        <v>454</v>
      </c>
      <c r="CC1212" s="604">
        <v>10</v>
      </c>
      <c r="CD1212" s="604" t="s">
        <v>33</v>
      </c>
    </row>
    <row r="1213" spans="9:82">
      <c r="I1213" s="578" t="str">
        <f t="shared" si="138"/>
        <v>2000ageUnknownPeri</v>
      </c>
      <c r="J1213" s="604">
        <v>2000</v>
      </c>
      <c r="K1213" s="604" t="s">
        <v>453</v>
      </c>
      <c r="L1213" s="604" t="s">
        <v>63</v>
      </c>
      <c r="M1213" s="604">
        <v>0</v>
      </c>
      <c r="N1213" s="604">
        <v>0</v>
      </c>
      <c r="O1213" s="604" t="s">
        <v>119</v>
      </c>
      <c r="P1213" s="604" t="s">
        <v>483</v>
      </c>
      <c r="Q1213" s="499"/>
      <c r="Y1213" s="535" t="str">
        <f t="shared" si="139"/>
        <v>2016ethdepAsianQuin 4infant</v>
      </c>
      <c r="Z1213" s="604">
        <v>2016</v>
      </c>
      <c r="AA1213" s="604" t="s">
        <v>449</v>
      </c>
      <c r="AB1213" s="604" t="s">
        <v>454</v>
      </c>
      <c r="AC1213" s="604" t="s">
        <v>355</v>
      </c>
      <c r="AD1213" s="604" t="s">
        <v>424</v>
      </c>
      <c r="AE1213" s="604">
        <v>3</v>
      </c>
      <c r="AF1213" s="604">
        <v>2431</v>
      </c>
      <c r="AG1213" s="604">
        <v>1.2</v>
      </c>
      <c r="AH1213" s="604" t="s">
        <v>437</v>
      </c>
      <c r="AR1213" s="538" t="str">
        <f t="shared" si="141"/>
        <v>Quin 3depinfantWairarapa</v>
      </c>
      <c r="AS1213" s="604">
        <v>2016</v>
      </c>
      <c r="AT1213" s="604" t="s">
        <v>423</v>
      </c>
      <c r="AU1213" s="604" t="s">
        <v>454</v>
      </c>
      <c r="AV1213" s="604" t="s">
        <v>98</v>
      </c>
      <c r="AW1213" s="604">
        <v>0</v>
      </c>
      <c r="AX1213" s="604">
        <v>29</v>
      </c>
      <c r="AY1213" s="606">
        <v>0</v>
      </c>
      <c r="AZ1213" s="604" t="s">
        <v>437</v>
      </c>
      <c r="BY1213" s="553" t="str">
        <f t="shared" si="140"/>
        <v>2006Quin 5depSUDI</v>
      </c>
      <c r="BZ1213" s="604">
        <v>2006</v>
      </c>
      <c r="CA1213" s="604" t="s">
        <v>425</v>
      </c>
      <c r="CB1213" s="604" t="s">
        <v>454</v>
      </c>
      <c r="CC1213" s="604">
        <v>35</v>
      </c>
      <c r="CD1213" s="604" t="s">
        <v>33</v>
      </c>
    </row>
    <row r="1214" spans="9:82">
      <c r="I1214" s="578" t="str">
        <f t="shared" si="138"/>
        <v>2001age&lt;20Peri</v>
      </c>
      <c r="J1214" s="604">
        <v>2001</v>
      </c>
      <c r="K1214" s="604" t="s">
        <v>453</v>
      </c>
      <c r="L1214" s="604" t="s">
        <v>339</v>
      </c>
      <c r="M1214" s="604">
        <v>48</v>
      </c>
      <c r="N1214" s="604">
        <v>3812</v>
      </c>
      <c r="O1214" s="604">
        <v>12.6</v>
      </c>
      <c r="P1214" s="604" t="s">
        <v>483</v>
      </c>
      <c r="Q1214" s="499"/>
      <c r="Y1214" s="535" t="str">
        <f t="shared" si="139"/>
        <v>2016ethdepEuropean or OtherQuin 4infant</v>
      </c>
      <c r="Z1214" s="604">
        <v>2016</v>
      </c>
      <c r="AA1214" s="604" t="s">
        <v>449</v>
      </c>
      <c r="AB1214" s="604" t="s">
        <v>454</v>
      </c>
      <c r="AC1214" s="604" t="s">
        <v>356</v>
      </c>
      <c r="AD1214" s="604" t="s">
        <v>424</v>
      </c>
      <c r="AE1214" s="604">
        <v>19</v>
      </c>
      <c r="AF1214" s="604">
        <v>5495</v>
      </c>
      <c r="AG1214" s="604">
        <v>3.5</v>
      </c>
      <c r="AH1214" s="604" t="s">
        <v>437</v>
      </c>
      <c r="AR1214" s="538" t="str">
        <f t="shared" si="141"/>
        <v>Quin 4depinfantWairarapa</v>
      </c>
      <c r="AS1214" s="604">
        <v>2016</v>
      </c>
      <c r="AT1214" s="604" t="s">
        <v>424</v>
      </c>
      <c r="AU1214" s="604" t="s">
        <v>454</v>
      </c>
      <c r="AV1214" s="604" t="s">
        <v>98</v>
      </c>
      <c r="AW1214" s="604">
        <v>0</v>
      </c>
      <c r="AX1214" s="604">
        <v>233</v>
      </c>
      <c r="AY1214" s="606">
        <v>0</v>
      </c>
      <c r="AZ1214" s="604" t="s">
        <v>437</v>
      </c>
      <c r="BY1214" s="553" t="str">
        <f t="shared" si="140"/>
        <v>2006Quin 9depSUDI</v>
      </c>
      <c r="BZ1214" s="604">
        <v>2006</v>
      </c>
      <c r="CA1214" s="604" t="s">
        <v>426</v>
      </c>
      <c r="CB1214" s="604" t="s">
        <v>454</v>
      </c>
      <c r="CC1214" s="604">
        <v>3</v>
      </c>
      <c r="CD1214" s="604" t="s">
        <v>33</v>
      </c>
    </row>
    <row r="1215" spans="9:82">
      <c r="I1215" s="578" t="str">
        <f t="shared" si="138"/>
        <v>2001age20-24Peri</v>
      </c>
      <c r="J1215" s="604">
        <v>2001</v>
      </c>
      <c r="K1215" s="604" t="s">
        <v>453</v>
      </c>
      <c r="L1215" s="604" t="s">
        <v>130</v>
      </c>
      <c r="M1215" s="604">
        <v>100</v>
      </c>
      <c r="N1215" s="604">
        <v>9892</v>
      </c>
      <c r="O1215" s="604">
        <v>10.1</v>
      </c>
      <c r="P1215" s="604" t="s">
        <v>483</v>
      </c>
      <c r="Q1215" s="499"/>
      <c r="Y1215" s="535" t="str">
        <f t="shared" si="139"/>
        <v>2016ethdepMaoriQuin 5infant</v>
      </c>
      <c r="Z1215" s="604">
        <v>2016</v>
      </c>
      <c r="AA1215" s="604" t="s">
        <v>449</v>
      </c>
      <c r="AB1215" s="604" t="s">
        <v>454</v>
      </c>
      <c r="AC1215" s="604" t="s">
        <v>129</v>
      </c>
      <c r="AD1215" s="604" t="s">
        <v>425</v>
      </c>
      <c r="AE1215" s="604">
        <v>60</v>
      </c>
      <c r="AF1215" s="604">
        <v>7702</v>
      </c>
      <c r="AG1215" s="604">
        <v>7.8</v>
      </c>
      <c r="AH1215" s="604" t="s">
        <v>437</v>
      </c>
      <c r="AR1215" s="538" t="str">
        <f t="shared" si="141"/>
        <v>Quin 2depinfantNelson Marlborough</v>
      </c>
      <c r="AS1215" s="604">
        <v>2016</v>
      </c>
      <c r="AT1215" s="604" t="s">
        <v>422</v>
      </c>
      <c r="AU1215" s="604" t="s">
        <v>454</v>
      </c>
      <c r="AV1215" s="604" t="s">
        <v>99</v>
      </c>
      <c r="AW1215" s="604">
        <v>0</v>
      </c>
      <c r="AX1215" s="604">
        <v>417</v>
      </c>
      <c r="AY1215" s="606">
        <v>0</v>
      </c>
      <c r="AZ1215" s="604" t="s">
        <v>437</v>
      </c>
      <c r="BY1215" s="553" t="str">
        <f t="shared" si="140"/>
        <v>2007Quin 1depSUDI</v>
      </c>
      <c r="BZ1215" s="604">
        <v>2007</v>
      </c>
      <c r="CA1215" s="604" t="s">
        <v>421</v>
      </c>
      <c r="CB1215" s="604" t="s">
        <v>454</v>
      </c>
      <c r="CC1215" s="604">
        <v>5</v>
      </c>
      <c r="CD1215" s="604" t="s">
        <v>33</v>
      </c>
    </row>
    <row r="1216" spans="9:82">
      <c r="I1216" s="578" t="str">
        <f t="shared" si="138"/>
        <v>2001age25-29Peri</v>
      </c>
      <c r="J1216" s="604">
        <v>2001</v>
      </c>
      <c r="K1216" s="604" t="s">
        <v>453</v>
      </c>
      <c r="L1216" s="604" t="s">
        <v>131</v>
      </c>
      <c r="M1216" s="604">
        <v>138</v>
      </c>
      <c r="N1216" s="604">
        <v>15312</v>
      </c>
      <c r="O1216" s="604">
        <v>9</v>
      </c>
      <c r="P1216" s="604" t="s">
        <v>483</v>
      </c>
      <c r="Q1216" s="499"/>
      <c r="Y1216" s="535" t="str">
        <f t="shared" si="139"/>
        <v>2016ethdepPacific peoplesQuin 5infant</v>
      </c>
      <c r="Z1216" s="604">
        <v>2016</v>
      </c>
      <c r="AA1216" s="604" t="s">
        <v>449</v>
      </c>
      <c r="AB1216" s="604" t="s">
        <v>454</v>
      </c>
      <c r="AC1216" s="604" t="s">
        <v>320</v>
      </c>
      <c r="AD1216" s="604" t="s">
        <v>425</v>
      </c>
      <c r="AE1216" s="604">
        <v>28</v>
      </c>
      <c r="AF1216" s="604">
        <v>3503</v>
      </c>
      <c r="AG1216" s="604">
        <v>8</v>
      </c>
      <c r="AH1216" s="604" t="s">
        <v>437</v>
      </c>
      <c r="AR1216" s="538" t="str">
        <f t="shared" si="141"/>
        <v>Quin 4depinfantNelson Marlborough</v>
      </c>
      <c r="AS1216" s="604">
        <v>2016</v>
      </c>
      <c r="AT1216" s="604" t="s">
        <v>424</v>
      </c>
      <c r="AU1216" s="604" t="s">
        <v>454</v>
      </c>
      <c r="AV1216" s="604" t="s">
        <v>99</v>
      </c>
      <c r="AW1216" s="604">
        <v>0</v>
      </c>
      <c r="AX1216" s="604">
        <v>522</v>
      </c>
      <c r="AY1216" s="606">
        <v>0</v>
      </c>
      <c r="AZ1216" s="604" t="s">
        <v>437</v>
      </c>
      <c r="BY1216" s="553" t="str">
        <f t="shared" si="140"/>
        <v>2007Quin 2depSUDI</v>
      </c>
      <c r="BZ1216" s="604">
        <v>2007</v>
      </c>
      <c r="CA1216" s="604" t="s">
        <v>422</v>
      </c>
      <c r="CB1216" s="604" t="s">
        <v>454</v>
      </c>
      <c r="CC1216" s="604">
        <v>5</v>
      </c>
      <c r="CD1216" s="604" t="s">
        <v>33</v>
      </c>
    </row>
    <row r="1217" spans="9:82">
      <c r="I1217" s="578" t="str">
        <f t="shared" si="138"/>
        <v>2001age30-34Peri</v>
      </c>
      <c r="J1217" s="604">
        <v>2001</v>
      </c>
      <c r="K1217" s="604" t="s">
        <v>453</v>
      </c>
      <c r="L1217" s="604" t="s">
        <v>132</v>
      </c>
      <c r="M1217" s="604">
        <v>135</v>
      </c>
      <c r="N1217" s="604">
        <v>17255</v>
      </c>
      <c r="O1217" s="604">
        <v>7.8</v>
      </c>
      <c r="P1217" s="604" t="s">
        <v>483</v>
      </c>
      <c r="Q1217" s="499"/>
      <c r="Y1217" s="535" t="str">
        <f t="shared" si="139"/>
        <v>2016ethdepAsianQuin 5infant</v>
      </c>
      <c r="Z1217" s="604">
        <v>2016</v>
      </c>
      <c r="AA1217" s="604" t="s">
        <v>449</v>
      </c>
      <c r="AB1217" s="604" t="s">
        <v>454</v>
      </c>
      <c r="AC1217" s="604" t="s">
        <v>355</v>
      </c>
      <c r="AD1217" s="604" t="s">
        <v>425</v>
      </c>
      <c r="AE1217" s="604">
        <v>9</v>
      </c>
      <c r="AF1217" s="604">
        <v>2354</v>
      </c>
      <c r="AG1217" s="604">
        <v>3.8</v>
      </c>
      <c r="AH1217" s="604" t="s">
        <v>437</v>
      </c>
      <c r="AR1217" s="538" t="str">
        <f t="shared" si="141"/>
        <v>Quin 5depinfantNelson Marlborough</v>
      </c>
      <c r="AS1217" s="604">
        <v>2016</v>
      </c>
      <c r="AT1217" s="604" t="s">
        <v>425</v>
      </c>
      <c r="AU1217" s="604" t="s">
        <v>454</v>
      </c>
      <c r="AV1217" s="604" t="s">
        <v>99</v>
      </c>
      <c r="AW1217" s="604">
        <v>0</v>
      </c>
      <c r="AX1217" s="604">
        <v>102</v>
      </c>
      <c r="AY1217" s="606">
        <v>0</v>
      </c>
      <c r="AZ1217" s="604" t="s">
        <v>437</v>
      </c>
      <c r="BY1217" s="553" t="str">
        <f t="shared" si="140"/>
        <v>2007Quin 3depSUDI</v>
      </c>
      <c r="BZ1217" s="604">
        <v>2007</v>
      </c>
      <c r="CA1217" s="604" t="s">
        <v>423</v>
      </c>
      <c r="CB1217" s="604" t="s">
        <v>454</v>
      </c>
      <c r="CC1217" s="604">
        <v>8</v>
      </c>
      <c r="CD1217" s="604" t="s">
        <v>33</v>
      </c>
    </row>
    <row r="1218" spans="9:82">
      <c r="I1218" s="578" t="str">
        <f t="shared" si="138"/>
        <v>2001age35-39Peri</v>
      </c>
      <c r="J1218" s="604">
        <v>2001</v>
      </c>
      <c r="K1218" s="604" t="s">
        <v>453</v>
      </c>
      <c r="L1218" s="604" t="s">
        <v>133</v>
      </c>
      <c r="M1218" s="604">
        <v>85</v>
      </c>
      <c r="N1218" s="604">
        <v>8658</v>
      </c>
      <c r="O1218" s="604">
        <v>9.8000000000000007</v>
      </c>
      <c r="P1218" s="604" t="s">
        <v>483</v>
      </c>
      <c r="Q1218" s="499"/>
      <c r="Y1218" s="535" t="str">
        <f t="shared" si="139"/>
        <v>2016ethdepEuropean or OtherQuin 5infant</v>
      </c>
      <c r="Z1218" s="604">
        <v>2016</v>
      </c>
      <c r="AA1218" s="604" t="s">
        <v>449</v>
      </c>
      <c r="AB1218" s="604" t="s">
        <v>454</v>
      </c>
      <c r="AC1218" s="604" t="s">
        <v>356</v>
      </c>
      <c r="AD1218" s="604" t="s">
        <v>425</v>
      </c>
      <c r="AE1218" s="604">
        <v>10</v>
      </c>
      <c r="AF1218" s="604">
        <v>3327</v>
      </c>
      <c r="AG1218" s="604">
        <v>3</v>
      </c>
      <c r="AH1218" s="604" t="s">
        <v>437</v>
      </c>
      <c r="AR1218" s="538" t="str">
        <f t="shared" si="141"/>
        <v>Quin 2depinfantWest Coast</v>
      </c>
      <c r="AS1218" s="604">
        <v>2016</v>
      </c>
      <c r="AT1218" s="604" t="s">
        <v>422</v>
      </c>
      <c r="AU1218" s="604" t="s">
        <v>454</v>
      </c>
      <c r="AV1218" s="604" t="s">
        <v>100</v>
      </c>
      <c r="AW1218" s="604">
        <v>0</v>
      </c>
      <c r="AX1218" s="604">
        <v>65</v>
      </c>
      <c r="AY1218" s="606">
        <v>0</v>
      </c>
      <c r="AZ1218" s="604" t="s">
        <v>437</v>
      </c>
      <c r="BY1218" s="553" t="str">
        <f t="shared" si="140"/>
        <v>2007Quin 4depSUDI</v>
      </c>
      <c r="BZ1218" s="604">
        <v>2007</v>
      </c>
      <c r="CA1218" s="604" t="s">
        <v>424</v>
      </c>
      <c r="CB1218" s="604" t="s">
        <v>454</v>
      </c>
      <c r="CC1218" s="604">
        <v>9</v>
      </c>
      <c r="CD1218" s="604" t="s">
        <v>33</v>
      </c>
    </row>
    <row r="1219" spans="9:82">
      <c r="I1219" s="578" t="str">
        <f t="shared" si="138"/>
        <v>2001age40+Peri</v>
      </c>
      <c r="J1219" s="604">
        <v>2001</v>
      </c>
      <c r="K1219" s="604" t="s">
        <v>453</v>
      </c>
      <c r="L1219" s="604" t="s">
        <v>134</v>
      </c>
      <c r="M1219" s="604">
        <v>23</v>
      </c>
      <c r="N1219" s="604">
        <v>1681</v>
      </c>
      <c r="O1219" s="604">
        <v>13.7</v>
      </c>
      <c r="P1219" s="604" t="s">
        <v>483</v>
      </c>
      <c r="Q1219" s="499"/>
      <c r="Y1219" s="535" t="str">
        <f t="shared" si="139"/>
        <v>2016ethdepMaoriQuin 9infant</v>
      </c>
      <c r="Z1219" s="604">
        <v>2016</v>
      </c>
      <c r="AA1219" s="604" t="s">
        <v>449</v>
      </c>
      <c r="AB1219" s="604" t="s">
        <v>454</v>
      </c>
      <c r="AC1219" s="604" t="s">
        <v>129</v>
      </c>
      <c r="AD1219" s="604" t="s">
        <v>426</v>
      </c>
      <c r="AE1219" s="604">
        <v>0</v>
      </c>
      <c r="AF1219" s="604">
        <v>18</v>
      </c>
      <c r="AG1219" s="604" t="s">
        <v>119</v>
      </c>
      <c r="AH1219" s="604" t="s">
        <v>437</v>
      </c>
      <c r="AR1219" s="538" t="str">
        <f t="shared" si="141"/>
        <v>Quin 4depinfantWest Coast</v>
      </c>
      <c r="AS1219" s="604">
        <v>2016</v>
      </c>
      <c r="AT1219" s="604" t="s">
        <v>424</v>
      </c>
      <c r="AU1219" s="604" t="s">
        <v>454</v>
      </c>
      <c r="AV1219" s="604" t="s">
        <v>100</v>
      </c>
      <c r="AW1219" s="604">
        <v>0</v>
      </c>
      <c r="AX1219" s="604">
        <v>150</v>
      </c>
      <c r="AY1219" s="606">
        <v>0</v>
      </c>
      <c r="AZ1219" s="604" t="s">
        <v>437</v>
      </c>
      <c r="BY1219" s="553" t="str">
        <f t="shared" si="140"/>
        <v>2007Quin 5depSUDI</v>
      </c>
      <c r="BZ1219" s="604">
        <v>2007</v>
      </c>
      <c r="CA1219" s="604" t="s">
        <v>425</v>
      </c>
      <c r="CB1219" s="604" t="s">
        <v>454</v>
      </c>
      <c r="CC1219" s="604">
        <v>31</v>
      </c>
      <c r="CD1219" s="604" t="s">
        <v>33</v>
      </c>
    </row>
    <row r="1220" spans="9:82">
      <c r="I1220" s="578" t="str">
        <f t="shared" ref="I1220:I1283" si="142">J1220&amp;K1220&amp;L1220&amp;P1220</f>
        <v>2001ageUnknownPeri</v>
      </c>
      <c r="J1220" s="604">
        <v>2001</v>
      </c>
      <c r="K1220" s="604" t="s">
        <v>453</v>
      </c>
      <c r="L1220" s="604" t="s">
        <v>63</v>
      </c>
      <c r="M1220" s="604">
        <v>0</v>
      </c>
      <c r="N1220" s="604">
        <v>0</v>
      </c>
      <c r="O1220" s="604" t="s">
        <v>119</v>
      </c>
      <c r="P1220" s="604" t="s">
        <v>483</v>
      </c>
      <c r="Q1220" s="499"/>
      <c r="Y1220" s="535" t="str">
        <f t="shared" ref="Y1220:Y1283" si="143">Z1220&amp;AA1220&amp;AB1220&amp;AC1220&amp;AD1220&amp;AH1220</f>
        <v>2016ethdepPacific peoplesQuin 9infant</v>
      </c>
      <c r="Z1220" s="604">
        <v>2016</v>
      </c>
      <c r="AA1220" s="604" t="s">
        <v>449</v>
      </c>
      <c r="AB1220" s="604" t="s">
        <v>454</v>
      </c>
      <c r="AC1220" s="604" t="s">
        <v>320</v>
      </c>
      <c r="AD1220" s="604" t="s">
        <v>426</v>
      </c>
      <c r="AE1220" s="604">
        <v>1</v>
      </c>
      <c r="AF1220" s="604">
        <v>29</v>
      </c>
      <c r="AG1220" s="604" t="s">
        <v>119</v>
      </c>
      <c r="AH1220" s="604" t="s">
        <v>437</v>
      </c>
      <c r="AR1220" s="538" t="str">
        <f t="shared" si="141"/>
        <v>Quin 5depinfantWest Coast</v>
      </c>
      <c r="AS1220" s="604">
        <v>2016</v>
      </c>
      <c r="AT1220" s="604" t="s">
        <v>425</v>
      </c>
      <c r="AU1220" s="604" t="s">
        <v>454</v>
      </c>
      <c r="AV1220" s="604" t="s">
        <v>100</v>
      </c>
      <c r="AW1220" s="604">
        <v>0</v>
      </c>
      <c r="AX1220" s="604">
        <v>17</v>
      </c>
      <c r="AY1220" s="606">
        <v>0</v>
      </c>
      <c r="AZ1220" s="604" t="s">
        <v>437</v>
      </c>
      <c r="BY1220" s="553" t="str">
        <f t="shared" ref="BY1220:BY1283" si="144">BZ1220&amp;CA1220&amp;CB1220&amp;CD1220</f>
        <v>2007Quin 9depSUDI</v>
      </c>
      <c r="BZ1220" s="604">
        <v>2007</v>
      </c>
      <c r="CA1220" s="604" t="s">
        <v>426</v>
      </c>
      <c r="CB1220" s="604" t="s">
        <v>454</v>
      </c>
      <c r="CC1220" s="604">
        <v>6</v>
      </c>
      <c r="CD1220" s="604" t="s">
        <v>33</v>
      </c>
    </row>
    <row r="1221" spans="9:82">
      <c r="I1221" s="578" t="str">
        <f t="shared" si="142"/>
        <v>2002age&lt;20Peri</v>
      </c>
      <c r="J1221" s="604">
        <v>2002</v>
      </c>
      <c r="K1221" s="604" t="s">
        <v>453</v>
      </c>
      <c r="L1221" s="604" t="s">
        <v>339</v>
      </c>
      <c r="M1221" s="604">
        <v>48</v>
      </c>
      <c r="N1221" s="604">
        <v>3666</v>
      </c>
      <c r="O1221" s="604">
        <v>13.1</v>
      </c>
      <c r="P1221" s="604" t="s">
        <v>483</v>
      </c>
      <c r="Q1221" s="499"/>
      <c r="Y1221" s="535" t="str">
        <f t="shared" si="143"/>
        <v>2016ethdepAsianQuin 9infant</v>
      </c>
      <c r="Z1221" s="604">
        <v>2016</v>
      </c>
      <c r="AA1221" s="604" t="s">
        <v>449</v>
      </c>
      <c r="AB1221" s="604" t="s">
        <v>454</v>
      </c>
      <c r="AC1221" s="604" t="s">
        <v>355</v>
      </c>
      <c r="AD1221" s="604" t="s">
        <v>426</v>
      </c>
      <c r="AE1221" s="604">
        <v>1</v>
      </c>
      <c r="AF1221" s="604">
        <v>52</v>
      </c>
      <c r="AG1221" s="604" t="s">
        <v>119</v>
      </c>
      <c r="AH1221" s="604" t="s">
        <v>437</v>
      </c>
      <c r="AR1221" s="538" t="str">
        <f t="shared" si="141"/>
        <v>Quin 2depinfantSouth Canterbury</v>
      </c>
      <c r="AS1221" s="604">
        <v>2016</v>
      </c>
      <c r="AT1221" s="604" t="s">
        <v>422</v>
      </c>
      <c r="AU1221" s="604" t="s">
        <v>454</v>
      </c>
      <c r="AV1221" s="604" t="s">
        <v>102</v>
      </c>
      <c r="AW1221" s="604">
        <v>0</v>
      </c>
      <c r="AX1221" s="604">
        <v>185</v>
      </c>
      <c r="AY1221" s="606">
        <v>0</v>
      </c>
      <c r="AZ1221" s="604" t="s">
        <v>437</v>
      </c>
      <c r="BY1221" s="553" t="str">
        <f t="shared" si="144"/>
        <v>2008Quin 1depSUDI</v>
      </c>
      <c r="BZ1221" s="604">
        <v>2008</v>
      </c>
      <c r="CA1221" s="604" t="s">
        <v>421</v>
      </c>
      <c r="CB1221" s="604" t="s">
        <v>454</v>
      </c>
      <c r="CC1221" s="604">
        <v>1</v>
      </c>
      <c r="CD1221" s="604" t="s">
        <v>33</v>
      </c>
    </row>
    <row r="1222" spans="9:82">
      <c r="I1222" s="578" t="str">
        <f t="shared" si="142"/>
        <v>2002age20-24Peri</v>
      </c>
      <c r="J1222" s="604">
        <v>2002</v>
      </c>
      <c r="K1222" s="604" t="s">
        <v>453</v>
      </c>
      <c r="L1222" s="604" t="s">
        <v>130</v>
      </c>
      <c r="M1222" s="604">
        <v>92</v>
      </c>
      <c r="N1222" s="604">
        <v>9395</v>
      </c>
      <c r="O1222" s="604">
        <v>9.8000000000000007</v>
      </c>
      <c r="P1222" s="604" t="s">
        <v>483</v>
      </c>
      <c r="Q1222" s="499"/>
      <c r="Y1222" s="535" t="str">
        <f t="shared" si="143"/>
        <v>2016ethdepEuropean or OtherQuin 9infant</v>
      </c>
      <c r="Z1222" s="604">
        <v>2016</v>
      </c>
      <c r="AA1222" s="604" t="s">
        <v>449</v>
      </c>
      <c r="AB1222" s="604" t="s">
        <v>454</v>
      </c>
      <c r="AC1222" s="604" t="s">
        <v>356</v>
      </c>
      <c r="AD1222" s="604" t="s">
        <v>426</v>
      </c>
      <c r="AE1222" s="604">
        <v>0</v>
      </c>
      <c r="AF1222" s="604">
        <v>32</v>
      </c>
      <c r="AG1222" s="604" t="s">
        <v>119</v>
      </c>
      <c r="AH1222" s="604" t="s">
        <v>437</v>
      </c>
      <c r="AR1222" s="538" t="str">
        <f t="shared" si="141"/>
        <v>Quin 3depinfantSouth Canterbury</v>
      </c>
      <c r="AS1222" s="604">
        <v>2016</v>
      </c>
      <c r="AT1222" s="604" t="s">
        <v>423</v>
      </c>
      <c r="AU1222" s="604" t="s">
        <v>454</v>
      </c>
      <c r="AV1222" s="604" t="s">
        <v>102</v>
      </c>
      <c r="AW1222" s="604">
        <v>0</v>
      </c>
      <c r="AX1222" s="604">
        <v>176</v>
      </c>
      <c r="AY1222" s="606">
        <v>0</v>
      </c>
      <c r="AZ1222" s="604" t="s">
        <v>437</v>
      </c>
      <c r="BY1222" s="553" t="str">
        <f t="shared" si="144"/>
        <v>2008Quin 2depSUDI</v>
      </c>
      <c r="BZ1222" s="604">
        <v>2008</v>
      </c>
      <c r="CA1222" s="604" t="s">
        <v>422</v>
      </c>
      <c r="CB1222" s="604" t="s">
        <v>454</v>
      </c>
      <c r="CC1222" s="604">
        <v>3</v>
      </c>
      <c r="CD1222" s="604" t="s">
        <v>33</v>
      </c>
    </row>
    <row r="1223" spans="9:82">
      <c r="I1223" s="578" t="str">
        <f t="shared" si="142"/>
        <v>2002age25-29Peri</v>
      </c>
      <c r="J1223" s="604">
        <v>2002</v>
      </c>
      <c r="K1223" s="604" t="s">
        <v>453</v>
      </c>
      <c r="L1223" s="604" t="s">
        <v>131</v>
      </c>
      <c r="M1223" s="604">
        <v>128</v>
      </c>
      <c r="N1223" s="604">
        <v>13995</v>
      </c>
      <c r="O1223" s="604">
        <v>9.1</v>
      </c>
      <c r="P1223" s="604" t="s">
        <v>483</v>
      </c>
      <c r="Q1223" s="499"/>
      <c r="Y1223" s="535" t="str">
        <f t="shared" si="143"/>
        <v>2016sexdepMaleQuin 1infant</v>
      </c>
      <c r="Z1223" s="604">
        <v>2016</v>
      </c>
      <c r="AA1223" s="604" t="s">
        <v>451</v>
      </c>
      <c r="AB1223" s="604" t="s">
        <v>454</v>
      </c>
      <c r="AC1223" s="604" t="s">
        <v>70</v>
      </c>
      <c r="AD1223" s="604" t="s">
        <v>421</v>
      </c>
      <c r="AE1223" s="604">
        <v>10</v>
      </c>
      <c r="AF1223" s="604">
        <v>4809</v>
      </c>
      <c r="AG1223" s="604">
        <v>2.1</v>
      </c>
      <c r="AH1223" s="604" t="s">
        <v>437</v>
      </c>
      <c r="AR1223" s="538" t="str">
        <f t="shared" si="141"/>
        <v>Quin 5depinfantSouth Canterbury</v>
      </c>
      <c r="AS1223" s="604">
        <v>2016</v>
      </c>
      <c r="AT1223" s="604" t="s">
        <v>425</v>
      </c>
      <c r="AU1223" s="604" t="s">
        <v>454</v>
      </c>
      <c r="AV1223" s="604" t="s">
        <v>102</v>
      </c>
      <c r="AW1223" s="604">
        <v>0</v>
      </c>
      <c r="AX1223" s="604">
        <v>21</v>
      </c>
      <c r="AY1223" s="606">
        <v>0</v>
      </c>
      <c r="AZ1223" s="604" t="s">
        <v>437</v>
      </c>
      <c r="BY1223" s="553" t="str">
        <f t="shared" si="144"/>
        <v>2008Quin 3depSUDI</v>
      </c>
      <c r="BZ1223" s="604">
        <v>2008</v>
      </c>
      <c r="CA1223" s="604" t="s">
        <v>423</v>
      </c>
      <c r="CB1223" s="604" t="s">
        <v>454</v>
      </c>
      <c r="CC1223" s="604">
        <v>3</v>
      </c>
      <c r="CD1223" s="604" t="s">
        <v>33</v>
      </c>
    </row>
    <row r="1224" spans="9:82">
      <c r="I1224" s="578" t="str">
        <f t="shared" si="142"/>
        <v>2002age30-34Peri</v>
      </c>
      <c r="J1224" s="604">
        <v>2002</v>
      </c>
      <c r="K1224" s="604" t="s">
        <v>453</v>
      </c>
      <c r="L1224" s="604" t="s">
        <v>132</v>
      </c>
      <c r="M1224" s="604">
        <v>170</v>
      </c>
      <c r="N1224" s="604">
        <v>17180</v>
      </c>
      <c r="O1224" s="604">
        <v>9.9</v>
      </c>
      <c r="P1224" s="604" t="s">
        <v>483</v>
      </c>
      <c r="Q1224" s="499"/>
      <c r="Y1224" s="535" t="str">
        <f t="shared" si="143"/>
        <v>2016sexdepFemaleQuin 1infant</v>
      </c>
      <c r="Z1224" s="604">
        <v>2016</v>
      </c>
      <c r="AA1224" s="604" t="s">
        <v>451</v>
      </c>
      <c r="AB1224" s="604" t="s">
        <v>454</v>
      </c>
      <c r="AC1224" s="604" t="s">
        <v>71</v>
      </c>
      <c r="AD1224" s="604" t="s">
        <v>421</v>
      </c>
      <c r="AE1224" s="604">
        <v>14</v>
      </c>
      <c r="AF1224" s="604">
        <v>4385</v>
      </c>
      <c r="AG1224" s="604">
        <v>3.2</v>
      </c>
      <c r="AH1224" s="604" t="s">
        <v>437</v>
      </c>
      <c r="AR1224" s="538" t="str">
        <f t="shared" si="141"/>
        <v>42+gestinfantNorthland</v>
      </c>
      <c r="AS1224" s="604">
        <v>2016</v>
      </c>
      <c r="AT1224" s="604" t="s">
        <v>138</v>
      </c>
      <c r="AU1224" s="604" t="s">
        <v>450</v>
      </c>
      <c r="AV1224" s="604" t="s">
        <v>85</v>
      </c>
      <c r="AW1224" s="604">
        <v>0</v>
      </c>
      <c r="AX1224" s="604">
        <v>39</v>
      </c>
      <c r="AY1224" s="606">
        <v>0</v>
      </c>
      <c r="AZ1224" s="604" t="s">
        <v>437</v>
      </c>
      <c r="BY1224" s="553" t="str">
        <f t="shared" si="144"/>
        <v>2008Quin 4depSUDI</v>
      </c>
      <c r="BZ1224" s="604">
        <v>2008</v>
      </c>
      <c r="CA1224" s="604" t="s">
        <v>424</v>
      </c>
      <c r="CB1224" s="604" t="s">
        <v>454</v>
      </c>
      <c r="CC1224" s="604">
        <v>21</v>
      </c>
      <c r="CD1224" s="604" t="s">
        <v>33</v>
      </c>
    </row>
    <row r="1225" spans="9:82">
      <c r="I1225" s="578" t="str">
        <f t="shared" si="142"/>
        <v>2002age35-39Peri</v>
      </c>
      <c r="J1225" s="604">
        <v>2002</v>
      </c>
      <c r="K1225" s="604" t="s">
        <v>453</v>
      </c>
      <c r="L1225" s="604" t="s">
        <v>133</v>
      </c>
      <c r="M1225" s="604">
        <v>111</v>
      </c>
      <c r="N1225" s="604">
        <v>8819</v>
      </c>
      <c r="O1225" s="604">
        <v>12.6</v>
      </c>
      <c r="P1225" s="604" t="s">
        <v>483</v>
      </c>
      <c r="Q1225" s="499"/>
      <c r="Y1225" s="535" t="str">
        <f t="shared" si="143"/>
        <v>2016sexdepMaleQuin 2infant</v>
      </c>
      <c r="Z1225" s="604">
        <v>2016</v>
      </c>
      <c r="AA1225" s="604" t="s">
        <v>451</v>
      </c>
      <c r="AB1225" s="604" t="s">
        <v>454</v>
      </c>
      <c r="AC1225" s="604" t="s">
        <v>70</v>
      </c>
      <c r="AD1225" s="604" t="s">
        <v>422</v>
      </c>
      <c r="AE1225" s="604">
        <v>8</v>
      </c>
      <c r="AF1225" s="604">
        <v>5230</v>
      </c>
      <c r="AG1225" s="604">
        <v>1.5</v>
      </c>
      <c r="AH1225" s="604" t="s">
        <v>437</v>
      </c>
      <c r="AR1225" s="538" t="str">
        <f t="shared" si="141"/>
        <v>42+gestinfantWaitemata</v>
      </c>
      <c r="AS1225" s="604">
        <v>2016</v>
      </c>
      <c r="AT1225" s="604" t="s">
        <v>138</v>
      </c>
      <c r="AU1225" s="604" t="s">
        <v>450</v>
      </c>
      <c r="AV1225" s="604" t="s">
        <v>86</v>
      </c>
      <c r="AW1225" s="604">
        <v>0</v>
      </c>
      <c r="AX1225" s="604">
        <v>152</v>
      </c>
      <c r="AY1225" s="606">
        <v>0</v>
      </c>
      <c r="AZ1225" s="604" t="s">
        <v>437</v>
      </c>
      <c r="BY1225" s="553" t="str">
        <f t="shared" si="144"/>
        <v>2008Quin 5depSUDI</v>
      </c>
      <c r="BZ1225" s="604">
        <v>2008</v>
      </c>
      <c r="CA1225" s="604" t="s">
        <v>425</v>
      </c>
      <c r="CB1225" s="604" t="s">
        <v>454</v>
      </c>
      <c r="CC1225" s="604">
        <v>32</v>
      </c>
      <c r="CD1225" s="604" t="s">
        <v>33</v>
      </c>
    </row>
    <row r="1226" spans="9:82">
      <c r="I1226" s="578" t="str">
        <f t="shared" si="142"/>
        <v>2002age40+Peri</v>
      </c>
      <c r="J1226" s="604">
        <v>2002</v>
      </c>
      <c r="K1226" s="604" t="s">
        <v>453</v>
      </c>
      <c r="L1226" s="604" t="s">
        <v>134</v>
      </c>
      <c r="M1226" s="604">
        <v>26</v>
      </c>
      <c r="N1226" s="604">
        <v>1850</v>
      </c>
      <c r="O1226" s="604">
        <v>14.1</v>
      </c>
      <c r="P1226" s="604" t="s">
        <v>483</v>
      </c>
      <c r="Q1226" s="499"/>
      <c r="Y1226" s="535" t="str">
        <f t="shared" si="143"/>
        <v>2016sexdepFemaleQuin 2infant</v>
      </c>
      <c r="Z1226" s="604">
        <v>2016</v>
      </c>
      <c r="AA1226" s="604" t="s">
        <v>451</v>
      </c>
      <c r="AB1226" s="604" t="s">
        <v>454</v>
      </c>
      <c r="AC1226" s="604" t="s">
        <v>71</v>
      </c>
      <c r="AD1226" s="604" t="s">
        <v>422</v>
      </c>
      <c r="AE1226" s="604">
        <v>16</v>
      </c>
      <c r="AF1226" s="604">
        <v>4893</v>
      </c>
      <c r="AG1226" s="604">
        <v>3.3</v>
      </c>
      <c r="AH1226" s="604" t="s">
        <v>437</v>
      </c>
      <c r="AR1226" s="538" t="str">
        <f t="shared" si="141"/>
        <v>UnknowngestinfantWaitemata</v>
      </c>
      <c r="AS1226" s="604">
        <v>2016</v>
      </c>
      <c r="AT1226" s="604" t="s">
        <v>63</v>
      </c>
      <c r="AU1226" s="604" t="s">
        <v>450</v>
      </c>
      <c r="AV1226" s="604" t="s">
        <v>86</v>
      </c>
      <c r="AW1226" s="604">
        <v>0</v>
      </c>
      <c r="AX1226" s="604">
        <v>1</v>
      </c>
      <c r="AY1226" s="606" t="s">
        <v>119</v>
      </c>
      <c r="AZ1226" s="604" t="s">
        <v>437</v>
      </c>
      <c r="BY1226" s="553" t="str">
        <f t="shared" si="144"/>
        <v>2008Quin 9depSUDI</v>
      </c>
      <c r="BZ1226" s="604">
        <v>2008</v>
      </c>
      <c r="CA1226" s="604" t="s">
        <v>426</v>
      </c>
      <c r="CB1226" s="604" t="s">
        <v>454</v>
      </c>
      <c r="CC1226" s="604">
        <v>6</v>
      </c>
      <c r="CD1226" s="604" t="s">
        <v>33</v>
      </c>
    </row>
    <row r="1227" spans="9:82">
      <c r="I1227" s="578" t="str">
        <f t="shared" si="142"/>
        <v>2002ageUnknownPeri</v>
      </c>
      <c r="J1227" s="604">
        <v>2002</v>
      </c>
      <c r="K1227" s="604" t="s">
        <v>453</v>
      </c>
      <c r="L1227" s="604" t="s">
        <v>63</v>
      </c>
      <c r="M1227" s="604">
        <v>0</v>
      </c>
      <c r="N1227" s="604">
        <v>0</v>
      </c>
      <c r="O1227" s="604" t="s">
        <v>119</v>
      </c>
      <c r="P1227" s="604" t="s">
        <v>483</v>
      </c>
      <c r="Q1227" s="499"/>
      <c r="Y1227" s="535" t="str">
        <f t="shared" si="143"/>
        <v>2016sexdepMaleQuin 3infant</v>
      </c>
      <c r="Z1227" s="604">
        <v>2016</v>
      </c>
      <c r="AA1227" s="604" t="s">
        <v>451</v>
      </c>
      <c r="AB1227" s="604" t="s">
        <v>454</v>
      </c>
      <c r="AC1227" s="604" t="s">
        <v>70</v>
      </c>
      <c r="AD1227" s="604" t="s">
        <v>423</v>
      </c>
      <c r="AE1227" s="604">
        <v>12</v>
      </c>
      <c r="AF1227" s="604">
        <v>5582</v>
      </c>
      <c r="AG1227" s="604">
        <v>2.1</v>
      </c>
      <c r="AH1227" s="604" t="s">
        <v>437</v>
      </c>
      <c r="AR1227" s="538" t="str">
        <f t="shared" si="141"/>
        <v>32-36gestinfantAuckland</v>
      </c>
      <c r="AS1227" s="604">
        <v>2016</v>
      </c>
      <c r="AT1227" s="604" t="s">
        <v>136</v>
      </c>
      <c r="AU1227" s="604" t="s">
        <v>450</v>
      </c>
      <c r="AV1227" s="604" t="s">
        <v>87</v>
      </c>
      <c r="AW1227" s="604">
        <v>0</v>
      </c>
      <c r="AX1227" s="604">
        <v>320</v>
      </c>
      <c r="AY1227" s="606">
        <v>0</v>
      </c>
      <c r="AZ1227" s="604" t="s">
        <v>437</v>
      </c>
      <c r="BY1227" s="553" t="str">
        <f t="shared" si="144"/>
        <v>2009Quin 1depSUDI</v>
      </c>
      <c r="BZ1227" s="604">
        <v>2009</v>
      </c>
      <c r="CA1227" s="604" t="s">
        <v>421</v>
      </c>
      <c r="CB1227" s="604" t="s">
        <v>454</v>
      </c>
      <c r="CC1227" s="604">
        <v>6</v>
      </c>
      <c r="CD1227" s="604" t="s">
        <v>33</v>
      </c>
    </row>
    <row r="1228" spans="9:82">
      <c r="I1228" s="578" t="str">
        <f t="shared" si="142"/>
        <v>2003age&lt;20Peri</v>
      </c>
      <c r="J1228" s="604">
        <v>2003</v>
      </c>
      <c r="K1228" s="604" t="s">
        <v>453</v>
      </c>
      <c r="L1228" s="604" t="s">
        <v>339</v>
      </c>
      <c r="M1228" s="604">
        <v>50</v>
      </c>
      <c r="N1228" s="604">
        <v>3831</v>
      </c>
      <c r="O1228" s="604">
        <v>13.1</v>
      </c>
      <c r="P1228" s="604" t="s">
        <v>483</v>
      </c>
      <c r="Q1228" s="499"/>
      <c r="Y1228" s="535" t="str">
        <f t="shared" si="143"/>
        <v>2016sexdepFemaleQuin 3infant</v>
      </c>
      <c r="Z1228" s="604">
        <v>2016</v>
      </c>
      <c r="AA1228" s="604" t="s">
        <v>451</v>
      </c>
      <c r="AB1228" s="604" t="s">
        <v>454</v>
      </c>
      <c r="AC1228" s="604" t="s">
        <v>71</v>
      </c>
      <c r="AD1228" s="604" t="s">
        <v>423</v>
      </c>
      <c r="AE1228" s="604">
        <v>20</v>
      </c>
      <c r="AF1228" s="604">
        <v>5389</v>
      </c>
      <c r="AG1228" s="604">
        <v>3.7</v>
      </c>
      <c r="AH1228" s="604" t="s">
        <v>437</v>
      </c>
      <c r="AR1228" s="538" t="str">
        <f t="shared" si="141"/>
        <v>42+gestinfantAuckland</v>
      </c>
      <c r="AS1228" s="604">
        <v>2016</v>
      </c>
      <c r="AT1228" s="604" t="s">
        <v>138</v>
      </c>
      <c r="AU1228" s="604" t="s">
        <v>450</v>
      </c>
      <c r="AV1228" s="604" t="s">
        <v>87</v>
      </c>
      <c r="AW1228" s="604">
        <v>0</v>
      </c>
      <c r="AX1228" s="604">
        <v>78</v>
      </c>
      <c r="AY1228" s="606">
        <v>0</v>
      </c>
      <c r="AZ1228" s="604" t="s">
        <v>437</v>
      </c>
      <c r="BY1228" s="553" t="str">
        <f t="shared" si="144"/>
        <v>2009Quin 2depSUDI</v>
      </c>
      <c r="BZ1228" s="604">
        <v>2009</v>
      </c>
      <c r="CA1228" s="604" t="s">
        <v>422</v>
      </c>
      <c r="CB1228" s="604" t="s">
        <v>454</v>
      </c>
      <c r="CC1228" s="604">
        <v>3</v>
      </c>
      <c r="CD1228" s="604" t="s">
        <v>33</v>
      </c>
    </row>
    <row r="1229" spans="9:82">
      <c r="I1229" s="578" t="str">
        <f t="shared" si="142"/>
        <v>2003age20-24Peri</v>
      </c>
      <c r="J1229" s="604">
        <v>2003</v>
      </c>
      <c r="K1229" s="604" t="s">
        <v>453</v>
      </c>
      <c r="L1229" s="604" t="s">
        <v>130</v>
      </c>
      <c r="M1229" s="604">
        <v>113</v>
      </c>
      <c r="N1229" s="604">
        <v>9626</v>
      </c>
      <c r="O1229" s="604">
        <v>11.7</v>
      </c>
      <c r="P1229" s="604" t="s">
        <v>483</v>
      </c>
      <c r="Q1229" s="499"/>
      <c r="Y1229" s="535" t="str">
        <f t="shared" si="143"/>
        <v>2016sexdepMaleQuin 4infant</v>
      </c>
      <c r="Z1229" s="604">
        <v>2016</v>
      </c>
      <c r="AA1229" s="604" t="s">
        <v>451</v>
      </c>
      <c r="AB1229" s="604" t="s">
        <v>454</v>
      </c>
      <c r="AC1229" s="604" t="s">
        <v>70</v>
      </c>
      <c r="AD1229" s="604" t="s">
        <v>424</v>
      </c>
      <c r="AE1229" s="604">
        <v>28</v>
      </c>
      <c r="AF1229" s="604">
        <v>6703</v>
      </c>
      <c r="AG1229" s="604">
        <v>4.2</v>
      </c>
      <c r="AH1229" s="604" t="s">
        <v>437</v>
      </c>
      <c r="AR1229" s="538" t="str">
        <f t="shared" si="141"/>
        <v>UnknowngestinfantAuckland</v>
      </c>
      <c r="AS1229" s="604">
        <v>2016</v>
      </c>
      <c r="AT1229" s="604" t="s">
        <v>63</v>
      </c>
      <c r="AU1229" s="604" t="s">
        <v>450</v>
      </c>
      <c r="AV1229" s="604" t="s">
        <v>87</v>
      </c>
      <c r="AW1229" s="604">
        <v>0</v>
      </c>
      <c r="AX1229" s="604">
        <v>3</v>
      </c>
      <c r="AY1229" s="606" t="s">
        <v>119</v>
      </c>
      <c r="AZ1229" s="604" t="s">
        <v>437</v>
      </c>
      <c r="BY1229" s="553" t="str">
        <f t="shared" si="144"/>
        <v>2009Quin 3depSUDI</v>
      </c>
      <c r="BZ1229" s="604">
        <v>2009</v>
      </c>
      <c r="CA1229" s="604" t="s">
        <v>423</v>
      </c>
      <c r="CB1229" s="604" t="s">
        <v>454</v>
      </c>
      <c r="CC1229" s="604">
        <v>7</v>
      </c>
      <c r="CD1229" s="604" t="s">
        <v>33</v>
      </c>
    </row>
    <row r="1230" spans="9:82">
      <c r="I1230" s="578" t="str">
        <f t="shared" si="142"/>
        <v>2003age25-29Peri</v>
      </c>
      <c r="J1230" s="604">
        <v>2003</v>
      </c>
      <c r="K1230" s="604" t="s">
        <v>453</v>
      </c>
      <c r="L1230" s="604" t="s">
        <v>131</v>
      </c>
      <c r="M1230" s="604">
        <v>126</v>
      </c>
      <c r="N1230" s="604">
        <v>14199</v>
      </c>
      <c r="O1230" s="604">
        <v>8.9</v>
      </c>
      <c r="P1230" s="604" t="s">
        <v>483</v>
      </c>
      <c r="Q1230" s="499"/>
      <c r="Y1230" s="535" t="str">
        <f t="shared" si="143"/>
        <v>2016sexdepFemaleQuin 4infant</v>
      </c>
      <c r="Z1230" s="604">
        <v>2016</v>
      </c>
      <c r="AA1230" s="604" t="s">
        <v>451</v>
      </c>
      <c r="AB1230" s="604" t="s">
        <v>454</v>
      </c>
      <c r="AC1230" s="604" t="s">
        <v>71</v>
      </c>
      <c r="AD1230" s="604" t="s">
        <v>424</v>
      </c>
      <c r="AE1230" s="604">
        <v>24</v>
      </c>
      <c r="AF1230" s="604">
        <v>6428</v>
      </c>
      <c r="AG1230" s="604">
        <v>3.7</v>
      </c>
      <c r="AH1230" s="604" t="s">
        <v>437</v>
      </c>
      <c r="AR1230" s="538" t="str">
        <f t="shared" si="141"/>
        <v>&lt;28gestinfantLakes</v>
      </c>
      <c r="AS1230" s="604">
        <v>2016</v>
      </c>
      <c r="AT1230" s="604" t="s">
        <v>375</v>
      </c>
      <c r="AU1230" s="604" t="s">
        <v>450</v>
      </c>
      <c r="AV1230" s="604" t="s">
        <v>90</v>
      </c>
      <c r="AW1230" s="604">
        <v>0</v>
      </c>
      <c r="AX1230" s="604">
        <v>10</v>
      </c>
      <c r="AY1230" s="606">
        <v>0</v>
      </c>
      <c r="AZ1230" s="604" t="s">
        <v>437</v>
      </c>
      <c r="BY1230" s="553" t="str">
        <f t="shared" si="144"/>
        <v>2009Quin 4depSUDI</v>
      </c>
      <c r="BZ1230" s="604">
        <v>2009</v>
      </c>
      <c r="CA1230" s="604" t="s">
        <v>424</v>
      </c>
      <c r="CB1230" s="604" t="s">
        <v>454</v>
      </c>
      <c r="CC1230" s="604">
        <v>11</v>
      </c>
      <c r="CD1230" s="604" t="s">
        <v>33</v>
      </c>
    </row>
    <row r="1231" spans="9:82">
      <c r="I1231" s="578" t="str">
        <f t="shared" si="142"/>
        <v>2003age30-34Peri</v>
      </c>
      <c r="J1231" s="604">
        <v>2003</v>
      </c>
      <c r="K1231" s="604" t="s">
        <v>453</v>
      </c>
      <c r="L1231" s="604" t="s">
        <v>132</v>
      </c>
      <c r="M1231" s="604">
        <v>128</v>
      </c>
      <c r="N1231" s="604">
        <v>17761</v>
      </c>
      <c r="O1231" s="604">
        <v>7.2</v>
      </c>
      <c r="P1231" s="604" t="s">
        <v>483</v>
      </c>
      <c r="Q1231" s="499"/>
      <c r="Y1231" s="535" t="str">
        <f t="shared" si="143"/>
        <v>2016sexdepMaleQuin 5infant</v>
      </c>
      <c r="Z1231" s="604">
        <v>2016</v>
      </c>
      <c r="AA1231" s="604" t="s">
        <v>451</v>
      </c>
      <c r="AB1231" s="604" t="s">
        <v>454</v>
      </c>
      <c r="AC1231" s="604" t="s">
        <v>70</v>
      </c>
      <c r="AD1231" s="604" t="s">
        <v>425</v>
      </c>
      <c r="AE1231" s="604">
        <v>69</v>
      </c>
      <c r="AF1231" s="604">
        <v>8622</v>
      </c>
      <c r="AG1231" s="604">
        <v>8</v>
      </c>
      <c r="AH1231" s="604" t="s">
        <v>437</v>
      </c>
      <c r="AR1231" s="538" t="str">
        <f t="shared" si="141"/>
        <v>28-31gestinfantLakes</v>
      </c>
      <c r="AS1231" s="604">
        <v>2016</v>
      </c>
      <c r="AT1231" s="604" t="s">
        <v>395</v>
      </c>
      <c r="AU1231" s="604" t="s">
        <v>450</v>
      </c>
      <c r="AV1231" s="604" t="s">
        <v>90</v>
      </c>
      <c r="AW1231" s="604">
        <v>0</v>
      </c>
      <c r="AX1231" s="604">
        <v>8</v>
      </c>
      <c r="AY1231" s="606">
        <v>0</v>
      </c>
      <c r="AZ1231" s="604" t="s">
        <v>437</v>
      </c>
      <c r="BY1231" s="553" t="str">
        <f t="shared" si="144"/>
        <v>2009Quin 5depSUDI</v>
      </c>
      <c r="BZ1231" s="604">
        <v>2009</v>
      </c>
      <c r="CA1231" s="604" t="s">
        <v>425</v>
      </c>
      <c r="CB1231" s="604" t="s">
        <v>454</v>
      </c>
      <c r="CC1231" s="604">
        <v>37</v>
      </c>
      <c r="CD1231" s="604" t="s">
        <v>33</v>
      </c>
    </row>
    <row r="1232" spans="9:82">
      <c r="I1232" s="578" t="str">
        <f t="shared" si="142"/>
        <v>2003age35-39Peri</v>
      </c>
      <c r="J1232" s="604">
        <v>2003</v>
      </c>
      <c r="K1232" s="604" t="s">
        <v>453</v>
      </c>
      <c r="L1232" s="604" t="s">
        <v>133</v>
      </c>
      <c r="M1232" s="604">
        <v>89</v>
      </c>
      <c r="N1232" s="604">
        <v>9451</v>
      </c>
      <c r="O1232" s="604">
        <v>9.4</v>
      </c>
      <c r="P1232" s="604" t="s">
        <v>483</v>
      </c>
      <c r="Q1232" s="499"/>
      <c r="Y1232" s="535" t="str">
        <f t="shared" si="143"/>
        <v>2016sexdepFemaleQuin 5infant</v>
      </c>
      <c r="Z1232" s="604">
        <v>2016</v>
      </c>
      <c r="AA1232" s="604" t="s">
        <v>451</v>
      </c>
      <c r="AB1232" s="604" t="s">
        <v>454</v>
      </c>
      <c r="AC1232" s="604" t="s">
        <v>71</v>
      </c>
      <c r="AD1232" s="604" t="s">
        <v>425</v>
      </c>
      <c r="AE1232" s="604">
        <v>38</v>
      </c>
      <c r="AF1232" s="604">
        <v>8264</v>
      </c>
      <c r="AG1232" s="604">
        <v>4.5999999999999996</v>
      </c>
      <c r="AH1232" s="604" t="s">
        <v>437</v>
      </c>
      <c r="AR1232" s="538" t="str">
        <f t="shared" si="141"/>
        <v>32-36gestinfantLakes</v>
      </c>
      <c r="AS1232" s="604">
        <v>2016</v>
      </c>
      <c r="AT1232" s="604" t="s">
        <v>136</v>
      </c>
      <c r="AU1232" s="604" t="s">
        <v>450</v>
      </c>
      <c r="AV1232" s="604" t="s">
        <v>90</v>
      </c>
      <c r="AW1232" s="604">
        <v>0</v>
      </c>
      <c r="AX1232" s="604">
        <v>86</v>
      </c>
      <c r="AY1232" s="606">
        <v>0</v>
      </c>
      <c r="AZ1232" s="604" t="s">
        <v>437</v>
      </c>
      <c r="BY1232" s="553" t="str">
        <f t="shared" si="144"/>
        <v>2009Quin 9depSUDI</v>
      </c>
      <c r="BZ1232" s="604">
        <v>2009</v>
      </c>
      <c r="CA1232" s="604" t="s">
        <v>426</v>
      </c>
      <c r="CB1232" s="604" t="s">
        <v>454</v>
      </c>
      <c r="CC1232" s="604">
        <v>2</v>
      </c>
      <c r="CD1232" s="604" t="s">
        <v>33</v>
      </c>
    </row>
    <row r="1233" spans="9:82">
      <c r="I1233" s="578" t="str">
        <f t="shared" si="142"/>
        <v>2003age40+Peri</v>
      </c>
      <c r="J1233" s="604">
        <v>2003</v>
      </c>
      <c r="K1233" s="604" t="s">
        <v>453</v>
      </c>
      <c r="L1233" s="604" t="s">
        <v>134</v>
      </c>
      <c r="M1233" s="604">
        <v>28</v>
      </c>
      <c r="N1233" s="604">
        <v>2101</v>
      </c>
      <c r="O1233" s="604">
        <v>13.3</v>
      </c>
      <c r="P1233" s="604" t="s">
        <v>483</v>
      </c>
      <c r="Q1233" s="499"/>
      <c r="Y1233" s="535" t="str">
        <f t="shared" si="143"/>
        <v>2016sexdepMaleQuin 9infant</v>
      </c>
      <c r="Z1233" s="604">
        <v>2016</v>
      </c>
      <c r="AA1233" s="604" t="s">
        <v>451</v>
      </c>
      <c r="AB1233" s="604" t="s">
        <v>454</v>
      </c>
      <c r="AC1233" s="604" t="s">
        <v>70</v>
      </c>
      <c r="AD1233" s="604" t="s">
        <v>426</v>
      </c>
      <c r="AE1233" s="604">
        <v>0</v>
      </c>
      <c r="AF1233" s="604">
        <v>63</v>
      </c>
      <c r="AG1233" s="604" t="s">
        <v>119</v>
      </c>
      <c r="AH1233" s="604" t="s">
        <v>437</v>
      </c>
      <c r="AR1233" s="538" t="str">
        <f t="shared" si="141"/>
        <v>37-41gestinfantLakes</v>
      </c>
      <c r="AS1233" s="604">
        <v>2016</v>
      </c>
      <c r="AT1233" s="604" t="s">
        <v>137</v>
      </c>
      <c r="AU1233" s="604" t="s">
        <v>450</v>
      </c>
      <c r="AV1233" s="604" t="s">
        <v>90</v>
      </c>
      <c r="AW1233" s="604">
        <v>0</v>
      </c>
      <c r="AX1233" s="604">
        <v>1452</v>
      </c>
      <c r="AY1233" s="606">
        <v>0</v>
      </c>
      <c r="AZ1233" s="604" t="s">
        <v>437</v>
      </c>
      <c r="BY1233" s="553" t="str">
        <f t="shared" si="144"/>
        <v>2010Quin 1depSUDI</v>
      </c>
      <c r="BZ1233" s="604">
        <v>2010</v>
      </c>
      <c r="CA1233" s="604" t="s">
        <v>421</v>
      </c>
      <c r="CB1233" s="604" t="s">
        <v>454</v>
      </c>
      <c r="CC1233" s="604">
        <v>2</v>
      </c>
      <c r="CD1233" s="604" t="s">
        <v>33</v>
      </c>
    </row>
    <row r="1234" spans="9:82">
      <c r="I1234" s="578" t="str">
        <f t="shared" si="142"/>
        <v>2003ageUnknownPeri</v>
      </c>
      <c r="J1234" s="604">
        <v>2003</v>
      </c>
      <c r="K1234" s="604" t="s">
        <v>453</v>
      </c>
      <c r="L1234" s="604" t="s">
        <v>63</v>
      </c>
      <c r="M1234" s="604">
        <v>0</v>
      </c>
      <c r="N1234" s="604">
        <v>0</v>
      </c>
      <c r="O1234" s="604" t="s">
        <v>119</v>
      </c>
      <c r="P1234" s="604" t="s">
        <v>483</v>
      </c>
      <c r="Q1234" s="499"/>
      <c r="Y1234" s="535" t="str">
        <f t="shared" si="143"/>
        <v>2016sexdepFemaleQuin 9infant</v>
      </c>
      <c r="Z1234" s="604">
        <v>2016</v>
      </c>
      <c r="AA1234" s="604" t="s">
        <v>451</v>
      </c>
      <c r="AB1234" s="604" t="s">
        <v>454</v>
      </c>
      <c r="AC1234" s="604" t="s">
        <v>71</v>
      </c>
      <c r="AD1234" s="604" t="s">
        <v>426</v>
      </c>
      <c r="AE1234" s="604">
        <v>2</v>
      </c>
      <c r="AF1234" s="604">
        <v>68</v>
      </c>
      <c r="AG1234" s="604" t="s">
        <v>119</v>
      </c>
      <c r="AH1234" s="604" t="s">
        <v>437</v>
      </c>
      <c r="AR1234" s="538" t="str">
        <f t="shared" si="141"/>
        <v>42+gestinfantLakes</v>
      </c>
      <c r="AS1234" s="604">
        <v>2016</v>
      </c>
      <c r="AT1234" s="604" t="s">
        <v>138</v>
      </c>
      <c r="AU1234" s="604" t="s">
        <v>450</v>
      </c>
      <c r="AV1234" s="604" t="s">
        <v>90</v>
      </c>
      <c r="AW1234" s="604">
        <v>0</v>
      </c>
      <c r="AX1234" s="604">
        <v>12</v>
      </c>
      <c r="AY1234" s="606">
        <v>0</v>
      </c>
      <c r="AZ1234" s="604" t="s">
        <v>437</v>
      </c>
      <c r="BY1234" s="553" t="str">
        <f t="shared" si="144"/>
        <v>2010Quin 2depSUDI</v>
      </c>
      <c r="BZ1234" s="604">
        <v>2010</v>
      </c>
      <c r="CA1234" s="604" t="s">
        <v>422</v>
      </c>
      <c r="CB1234" s="604" t="s">
        <v>454</v>
      </c>
      <c r="CC1234" s="604">
        <v>6</v>
      </c>
      <c r="CD1234" s="604" t="s">
        <v>33</v>
      </c>
    </row>
    <row r="1235" spans="9:82">
      <c r="I1235" s="578" t="str">
        <f t="shared" si="142"/>
        <v>2004age&lt;20Peri</v>
      </c>
      <c r="J1235" s="604">
        <v>2004</v>
      </c>
      <c r="K1235" s="604" t="s">
        <v>453</v>
      </c>
      <c r="L1235" s="604" t="s">
        <v>339</v>
      </c>
      <c r="M1235" s="604">
        <v>72</v>
      </c>
      <c r="N1235" s="604">
        <v>4143</v>
      </c>
      <c r="O1235" s="604">
        <v>17.399999999999999</v>
      </c>
      <c r="P1235" s="604" t="s">
        <v>483</v>
      </c>
      <c r="Q1235" s="499"/>
      <c r="Y1235" s="535" t="str">
        <f t="shared" si="143"/>
        <v>2016bwtdep&lt;500Quin 1infant</v>
      </c>
      <c r="Z1235" s="604">
        <v>2016</v>
      </c>
      <c r="AA1235" s="604" t="s">
        <v>447</v>
      </c>
      <c r="AB1235" s="604" t="s">
        <v>454</v>
      </c>
      <c r="AC1235" s="604" t="s">
        <v>427</v>
      </c>
      <c r="AD1235" s="604" t="s">
        <v>421</v>
      </c>
      <c r="AE1235" s="604">
        <v>4</v>
      </c>
      <c r="AF1235" s="604">
        <v>11</v>
      </c>
      <c r="AG1235" s="604">
        <v>363.6</v>
      </c>
      <c r="AH1235" s="604" t="s">
        <v>437</v>
      </c>
      <c r="AR1235" s="538" t="str">
        <f t="shared" si="141"/>
        <v>UnknowngestinfantLakes</v>
      </c>
      <c r="AS1235" s="604">
        <v>2016</v>
      </c>
      <c r="AT1235" s="604" t="s">
        <v>63</v>
      </c>
      <c r="AU1235" s="604" t="s">
        <v>450</v>
      </c>
      <c r="AV1235" s="604" t="s">
        <v>90</v>
      </c>
      <c r="AW1235" s="604">
        <v>0</v>
      </c>
      <c r="AX1235" s="604">
        <v>1</v>
      </c>
      <c r="AY1235" s="606" t="s">
        <v>119</v>
      </c>
      <c r="AZ1235" s="604" t="s">
        <v>437</v>
      </c>
      <c r="BY1235" s="553" t="str">
        <f t="shared" si="144"/>
        <v>2010Quin 3depSUDI</v>
      </c>
      <c r="BZ1235" s="604">
        <v>2010</v>
      </c>
      <c r="CA1235" s="604" t="s">
        <v>423</v>
      </c>
      <c r="CB1235" s="604" t="s">
        <v>454</v>
      </c>
      <c r="CC1235" s="604">
        <v>5</v>
      </c>
      <c r="CD1235" s="604" t="s">
        <v>33</v>
      </c>
    </row>
    <row r="1236" spans="9:82">
      <c r="I1236" s="578" t="str">
        <f t="shared" si="142"/>
        <v>2004age20-24Peri</v>
      </c>
      <c r="J1236" s="604">
        <v>2004</v>
      </c>
      <c r="K1236" s="604" t="s">
        <v>453</v>
      </c>
      <c r="L1236" s="604" t="s">
        <v>130</v>
      </c>
      <c r="M1236" s="604">
        <v>118</v>
      </c>
      <c r="N1236" s="604">
        <v>10246</v>
      </c>
      <c r="O1236" s="604">
        <v>11.5</v>
      </c>
      <c r="P1236" s="604" t="s">
        <v>483</v>
      </c>
      <c r="Q1236" s="499"/>
      <c r="Y1236" s="535" t="str">
        <f t="shared" si="143"/>
        <v>2016bwtdep500-999Quin 1infant</v>
      </c>
      <c r="Z1236" s="604">
        <v>2016</v>
      </c>
      <c r="AA1236" s="604" t="s">
        <v>447</v>
      </c>
      <c r="AB1236" s="604" t="s">
        <v>454</v>
      </c>
      <c r="AC1236" s="604" t="s">
        <v>428</v>
      </c>
      <c r="AD1236" s="604" t="s">
        <v>421</v>
      </c>
      <c r="AE1236" s="604">
        <v>4</v>
      </c>
      <c r="AF1236" s="604">
        <v>17</v>
      </c>
      <c r="AG1236" s="604">
        <v>235.3</v>
      </c>
      <c r="AH1236" s="604" t="s">
        <v>437</v>
      </c>
      <c r="AR1236" s="538" t="str">
        <f t="shared" si="141"/>
        <v>&lt;28gestinfantTairawhiti</v>
      </c>
      <c r="AS1236" s="604">
        <v>2016</v>
      </c>
      <c r="AT1236" s="604" t="s">
        <v>375</v>
      </c>
      <c r="AU1236" s="604" t="s">
        <v>450</v>
      </c>
      <c r="AV1236" s="604" t="s">
        <v>433</v>
      </c>
      <c r="AW1236" s="604">
        <v>0</v>
      </c>
      <c r="AX1236" s="604">
        <v>3</v>
      </c>
      <c r="AY1236" s="606">
        <v>0</v>
      </c>
      <c r="AZ1236" s="604" t="s">
        <v>437</v>
      </c>
      <c r="BY1236" s="553" t="str">
        <f t="shared" si="144"/>
        <v>2010Quin 4depSUDI</v>
      </c>
      <c r="BZ1236" s="604">
        <v>2010</v>
      </c>
      <c r="CA1236" s="604" t="s">
        <v>424</v>
      </c>
      <c r="CB1236" s="604" t="s">
        <v>454</v>
      </c>
      <c r="CC1236" s="604">
        <v>14</v>
      </c>
      <c r="CD1236" s="604" t="s">
        <v>33</v>
      </c>
    </row>
    <row r="1237" spans="9:82">
      <c r="I1237" s="578" t="str">
        <f t="shared" si="142"/>
        <v>2004age25-29Peri</v>
      </c>
      <c r="J1237" s="604">
        <v>2004</v>
      </c>
      <c r="K1237" s="604" t="s">
        <v>453</v>
      </c>
      <c r="L1237" s="604" t="s">
        <v>131</v>
      </c>
      <c r="M1237" s="604">
        <v>136</v>
      </c>
      <c r="N1237" s="604">
        <v>14358</v>
      </c>
      <c r="O1237" s="604">
        <v>9.5</v>
      </c>
      <c r="P1237" s="604" t="s">
        <v>483</v>
      </c>
      <c r="Q1237" s="499"/>
      <c r="Y1237" s="535" t="str">
        <f t="shared" si="143"/>
        <v>2016bwtdep1000-1499Quin 1infant</v>
      </c>
      <c r="Z1237" s="604">
        <v>2016</v>
      </c>
      <c r="AA1237" s="604" t="s">
        <v>447</v>
      </c>
      <c r="AB1237" s="604" t="s">
        <v>454</v>
      </c>
      <c r="AC1237" s="604" t="s">
        <v>429</v>
      </c>
      <c r="AD1237" s="604" t="s">
        <v>421</v>
      </c>
      <c r="AE1237" s="604">
        <v>1</v>
      </c>
      <c r="AF1237" s="604">
        <v>51</v>
      </c>
      <c r="AG1237" s="604">
        <v>19.600000000000001</v>
      </c>
      <c r="AH1237" s="604" t="s">
        <v>437</v>
      </c>
      <c r="AR1237" s="538" t="str">
        <f t="shared" si="141"/>
        <v>28-31gestinfantTairawhiti</v>
      </c>
      <c r="AS1237" s="604">
        <v>2016</v>
      </c>
      <c r="AT1237" s="604" t="s">
        <v>395</v>
      </c>
      <c r="AU1237" s="604" t="s">
        <v>450</v>
      </c>
      <c r="AV1237" s="604" t="s">
        <v>433</v>
      </c>
      <c r="AW1237" s="604">
        <v>0</v>
      </c>
      <c r="AX1237" s="604">
        <v>4</v>
      </c>
      <c r="AY1237" s="606">
        <v>0</v>
      </c>
      <c r="AZ1237" s="604" t="s">
        <v>437</v>
      </c>
      <c r="BY1237" s="553" t="str">
        <f t="shared" si="144"/>
        <v>2010Quin 5depSUDI</v>
      </c>
      <c r="BZ1237" s="604">
        <v>2010</v>
      </c>
      <c r="CA1237" s="604" t="s">
        <v>425</v>
      </c>
      <c r="CB1237" s="604" t="s">
        <v>454</v>
      </c>
      <c r="CC1237" s="604">
        <v>32</v>
      </c>
      <c r="CD1237" s="604" t="s">
        <v>33</v>
      </c>
    </row>
    <row r="1238" spans="9:82">
      <c r="I1238" s="578" t="str">
        <f t="shared" si="142"/>
        <v>2004age30-34Peri</v>
      </c>
      <c r="J1238" s="604">
        <v>2004</v>
      </c>
      <c r="K1238" s="604" t="s">
        <v>453</v>
      </c>
      <c r="L1238" s="604" t="s">
        <v>132</v>
      </c>
      <c r="M1238" s="604">
        <v>186</v>
      </c>
      <c r="N1238" s="604">
        <v>18552</v>
      </c>
      <c r="O1238" s="604">
        <v>10</v>
      </c>
      <c r="P1238" s="604" t="s">
        <v>483</v>
      </c>
      <c r="Q1238" s="499"/>
      <c r="Y1238" s="535" t="str">
        <f t="shared" si="143"/>
        <v>2016bwtdep1500-2499Quin 1infant</v>
      </c>
      <c r="Z1238" s="604">
        <v>2016</v>
      </c>
      <c r="AA1238" s="604" t="s">
        <v>447</v>
      </c>
      <c r="AB1238" s="604" t="s">
        <v>454</v>
      </c>
      <c r="AC1238" s="604" t="s">
        <v>430</v>
      </c>
      <c r="AD1238" s="604" t="s">
        <v>421</v>
      </c>
      <c r="AE1238" s="604">
        <v>2</v>
      </c>
      <c r="AF1238" s="604">
        <v>400</v>
      </c>
      <c r="AG1238" s="604">
        <v>5</v>
      </c>
      <c r="AH1238" s="604" t="s">
        <v>437</v>
      </c>
      <c r="AR1238" s="538" t="str">
        <f t="shared" si="141"/>
        <v>42+gestinfantTairawhiti</v>
      </c>
      <c r="AS1238" s="604">
        <v>2016</v>
      </c>
      <c r="AT1238" s="604" t="s">
        <v>138</v>
      </c>
      <c r="AU1238" s="604" t="s">
        <v>450</v>
      </c>
      <c r="AV1238" s="604" t="s">
        <v>433</v>
      </c>
      <c r="AW1238" s="604">
        <v>0</v>
      </c>
      <c r="AX1238" s="604">
        <v>12</v>
      </c>
      <c r="AY1238" s="606">
        <v>0</v>
      </c>
      <c r="AZ1238" s="604" t="s">
        <v>437</v>
      </c>
      <c r="BY1238" s="553" t="str">
        <f t="shared" si="144"/>
        <v>2010Quin 9depSUDI</v>
      </c>
      <c r="BZ1238" s="604">
        <v>2010</v>
      </c>
      <c r="CA1238" s="604" t="s">
        <v>426</v>
      </c>
      <c r="CB1238" s="604" t="s">
        <v>454</v>
      </c>
      <c r="CC1238" s="604">
        <v>1</v>
      </c>
      <c r="CD1238" s="604" t="s">
        <v>33</v>
      </c>
    </row>
    <row r="1239" spans="9:82">
      <c r="I1239" s="578" t="str">
        <f t="shared" si="142"/>
        <v>2004age35-39Peri</v>
      </c>
      <c r="J1239" s="604">
        <v>2004</v>
      </c>
      <c r="K1239" s="604" t="s">
        <v>453</v>
      </c>
      <c r="L1239" s="604" t="s">
        <v>133</v>
      </c>
      <c r="M1239" s="604">
        <v>114</v>
      </c>
      <c r="N1239" s="604">
        <v>9768</v>
      </c>
      <c r="O1239" s="604">
        <v>11.7</v>
      </c>
      <c r="P1239" s="604" t="s">
        <v>483</v>
      </c>
      <c r="Q1239" s="499"/>
      <c r="Y1239" s="535" t="str">
        <f t="shared" si="143"/>
        <v>2016bwtdep2500-4499Quin 1infant</v>
      </c>
      <c r="Z1239" s="604">
        <v>2016</v>
      </c>
      <c r="AA1239" s="604" t="s">
        <v>447</v>
      </c>
      <c r="AB1239" s="604" t="s">
        <v>454</v>
      </c>
      <c r="AC1239" s="604" t="s">
        <v>431</v>
      </c>
      <c r="AD1239" s="604" t="s">
        <v>421</v>
      </c>
      <c r="AE1239" s="604">
        <v>11</v>
      </c>
      <c r="AF1239" s="604">
        <v>8513</v>
      </c>
      <c r="AG1239" s="604">
        <v>1.3</v>
      </c>
      <c r="AH1239" s="604" t="s">
        <v>437</v>
      </c>
      <c r="AR1239" s="538" t="str">
        <f t="shared" si="141"/>
        <v>32-36gestinfantHawke's Bay</v>
      </c>
      <c r="AS1239" s="604">
        <v>2016</v>
      </c>
      <c r="AT1239" s="604" t="s">
        <v>136</v>
      </c>
      <c r="AU1239" s="604" t="s">
        <v>450</v>
      </c>
      <c r="AV1239" s="604" t="s">
        <v>92</v>
      </c>
      <c r="AW1239" s="604">
        <v>0</v>
      </c>
      <c r="AX1239" s="604">
        <v>134</v>
      </c>
      <c r="AY1239" s="606">
        <v>0</v>
      </c>
      <c r="AZ1239" s="604" t="s">
        <v>437</v>
      </c>
      <c r="BY1239" s="553" t="str">
        <f t="shared" si="144"/>
        <v>2011Quin 1depSUDI</v>
      </c>
      <c r="BZ1239" s="604">
        <v>2011</v>
      </c>
      <c r="CA1239" s="604" t="s">
        <v>421</v>
      </c>
      <c r="CB1239" s="604" t="s">
        <v>454</v>
      </c>
      <c r="CC1239" s="604">
        <v>1</v>
      </c>
      <c r="CD1239" s="604" t="s">
        <v>33</v>
      </c>
    </row>
    <row r="1240" spans="9:82">
      <c r="I1240" s="578" t="str">
        <f t="shared" si="142"/>
        <v>2004age40+Peri</v>
      </c>
      <c r="J1240" s="604">
        <v>2004</v>
      </c>
      <c r="K1240" s="604" t="s">
        <v>453</v>
      </c>
      <c r="L1240" s="604" t="s">
        <v>134</v>
      </c>
      <c r="M1240" s="604">
        <v>39</v>
      </c>
      <c r="N1240" s="604">
        <v>2162</v>
      </c>
      <c r="O1240" s="604">
        <v>18</v>
      </c>
      <c r="P1240" s="604" t="s">
        <v>483</v>
      </c>
      <c r="Q1240" s="499"/>
      <c r="Y1240" s="535" t="str">
        <f t="shared" si="143"/>
        <v>2016bwtdep4500+Quin 1infant</v>
      </c>
      <c r="Z1240" s="604">
        <v>2016</v>
      </c>
      <c r="AA1240" s="604" t="s">
        <v>447</v>
      </c>
      <c r="AB1240" s="604" t="s">
        <v>454</v>
      </c>
      <c r="AC1240" s="604" t="s">
        <v>432</v>
      </c>
      <c r="AD1240" s="604" t="s">
        <v>421</v>
      </c>
      <c r="AE1240" s="604">
        <v>0</v>
      </c>
      <c r="AF1240" s="604">
        <v>197</v>
      </c>
      <c r="AG1240" s="604">
        <v>0</v>
      </c>
      <c r="AH1240" s="604" t="s">
        <v>437</v>
      </c>
      <c r="AR1240" s="538" t="str">
        <f t="shared" si="141"/>
        <v>42+gestinfantHawke's Bay</v>
      </c>
      <c r="AS1240" s="604">
        <v>2016</v>
      </c>
      <c r="AT1240" s="604" t="s">
        <v>138</v>
      </c>
      <c r="AU1240" s="604" t="s">
        <v>450</v>
      </c>
      <c r="AV1240" s="604" t="s">
        <v>92</v>
      </c>
      <c r="AW1240" s="604">
        <v>0</v>
      </c>
      <c r="AX1240" s="604">
        <v>59</v>
      </c>
      <c r="AY1240" s="606">
        <v>0</v>
      </c>
      <c r="AZ1240" s="604" t="s">
        <v>437</v>
      </c>
      <c r="BY1240" s="553" t="str">
        <f t="shared" si="144"/>
        <v>2011Quin 2depSUDI</v>
      </c>
      <c r="BZ1240" s="604">
        <v>2011</v>
      </c>
      <c r="CA1240" s="604" t="s">
        <v>422</v>
      </c>
      <c r="CB1240" s="604" t="s">
        <v>454</v>
      </c>
      <c r="CC1240" s="604">
        <v>3</v>
      </c>
      <c r="CD1240" s="604" t="s">
        <v>33</v>
      </c>
    </row>
    <row r="1241" spans="9:82">
      <c r="I1241" s="578" t="str">
        <f t="shared" si="142"/>
        <v>2004ageUnknownPeri</v>
      </c>
      <c r="J1241" s="604">
        <v>2004</v>
      </c>
      <c r="K1241" s="604" t="s">
        <v>453</v>
      </c>
      <c r="L1241" s="604" t="s">
        <v>63</v>
      </c>
      <c r="M1241" s="604">
        <v>1</v>
      </c>
      <c r="N1241" s="604">
        <v>0</v>
      </c>
      <c r="O1241" s="604" t="s">
        <v>119</v>
      </c>
      <c r="P1241" s="604" t="s">
        <v>483</v>
      </c>
      <c r="Q1241" s="499"/>
      <c r="Y1241" s="535" t="str">
        <f t="shared" si="143"/>
        <v>2016bwtdepUnknownQuin 1infant</v>
      </c>
      <c r="Z1241" s="604">
        <v>2016</v>
      </c>
      <c r="AA1241" s="604" t="s">
        <v>447</v>
      </c>
      <c r="AB1241" s="604" t="s">
        <v>454</v>
      </c>
      <c r="AC1241" s="604" t="s">
        <v>63</v>
      </c>
      <c r="AD1241" s="604" t="s">
        <v>421</v>
      </c>
      <c r="AE1241" s="604">
        <v>2</v>
      </c>
      <c r="AF1241" s="604">
        <v>5</v>
      </c>
      <c r="AG1241" s="604" t="s">
        <v>119</v>
      </c>
      <c r="AH1241" s="604" t="s">
        <v>437</v>
      </c>
      <c r="AR1241" s="538" t="str">
        <f t="shared" si="141"/>
        <v>28-31gestinfantTaranaki</v>
      </c>
      <c r="AS1241" s="604">
        <v>2016</v>
      </c>
      <c r="AT1241" s="604" t="s">
        <v>395</v>
      </c>
      <c r="AU1241" s="604" t="s">
        <v>450</v>
      </c>
      <c r="AV1241" s="604" t="s">
        <v>93</v>
      </c>
      <c r="AW1241" s="604">
        <v>0</v>
      </c>
      <c r="AX1241" s="604">
        <v>6</v>
      </c>
      <c r="AY1241" s="606">
        <v>0</v>
      </c>
      <c r="AZ1241" s="604" t="s">
        <v>437</v>
      </c>
      <c r="BY1241" s="553" t="str">
        <f t="shared" si="144"/>
        <v>2011Quin 3depSUDI</v>
      </c>
      <c r="BZ1241" s="604">
        <v>2011</v>
      </c>
      <c r="CA1241" s="604" t="s">
        <v>423</v>
      </c>
      <c r="CB1241" s="604" t="s">
        <v>454</v>
      </c>
      <c r="CC1241" s="604">
        <v>8</v>
      </c>
      <c r="CD1241" s="604" t="s">
        <v>33</v>
      </c>
    </row>
    <row r="1242" spans="9:82">
      <c r="I1242" s="578" t="str">
        <f t="shared" si="142"/>
        <v>2005age&lt;20Peri</v>
      </c>
      <c r="J1242" s="604">
        <v>2005</v>
      </c>
      <c r="K1242" s="604" t="s">
        <v>453</v>
      </c>
      <c r="L1242" s="604" t="s">
        <v>339</v>
      </c>
      <c r="M1242" s="604">
        <v>56</v>
      </c>
      <c r="N1242" s="604">
        <v>4282</v>
      </c>
      <c r="O1242" s="604">
        <v>13.1</v>
      </c>
      <c r="P1242" s="604" t="s">
        <v>483</v>
      </c>
      <c r="Q1242" s="499"/>
      <c r="Y1242" s="535" t="str">
        <f t="shared" si="143"/>
        <v>2016bwtdep&lt;500Quin 2infant</v>
      </c>
      <c r="Z1242" s="604">
        <v>2016</v>
      </c>
      <c r="AA1242" s="604" t="s">
        <v>447</v>
      </c>
      <c r="AB1242" s="604" t="s">
        <v>454</v>
      </c>
      <c r="AC1242" s="604" t="s">
        <v>427</v>
      </c>
      <c r="AD1242" s="604" t="s">
        <v>422</v>
      </c>
      <c r="AE1242" s="604">
        <v>5</v>
      </c>
      <c r="AF1242" s="604">
        <v>5</v>
      </c>
      <c r="AG1242" s="604">
        <v>1000</v>
      </c>
      <c r="AH1242" s="604" t="s">
        <v>437</v>
      </c>
      <c r="AR1242" s="538" t="str">
        <f t="shared" si="141"/>
        <v>42+gestinfantTaranaki</v>
      </c>
      <c r="AS1242" s="604">
        <v>2016</v>
      </c>
      <c r="AT1242" s="604" t="s">
        <v>138</v>
      </c>
      <c r="AU1242" s="604" t="s">
        <v>450</v>
      </c>
      <c r="AV1242" s="604" t="s">
        <v>93</v>
      </c>
      <c r="AW1242" s="604">
        <v>0</v>
      </c>
      <c r="AX1242" s="604">
        <v>21</v>
      </c>
      <c r="AY1242" s="606">
        <v>0</v>
      </c>
      <c r="AZ1242" s="604" t="s">
        <v>437</v>
      </c>
      <c r="BY1242" s="553" t="str">
        <f t="shared" si="144"/>
        <v>2011Quin 4depSUDI</v>
      </c>
      <c r="BZ1242" s="604">
        <v>2011</v>
      </c>
      <c r="CA1242" s="604" t="s">
        <v>424</v>
      </c>
      <c r="CB1242" s="604" t="s">
        <v>454</v>
      </c>
      <c r="CC1242" s="604">
        <v>13</v>
      </c>
      <c r="CD1242" s="604" t="s">
        <v>33</v>
      </c>
    </row>
    <row r="1243" spans="9:82">
      <c r="I1243" s="578" t="str">
        <f t="shared" si="142"/>
        <v>2005age20-24Peri</v>
      </c>
      <c r="J1243" s="604">
        <v>2005</v>
      </c>
      <c r="K1243" s="604" t="s">
        <v>453</v>
      </c>
      <c r="L1243" s="604" t="s">
        <v>130</v>
      </c>
      <c r="M1243" s="604">
        <v>91</v>
      </c>
      <c r="N1243" s="604">
        <v>10090</v>
      </c>
      <c r="O1243" s="604">
        <v>9</v>
      </c>
      <c r="P1243" s="604" t="s">
        <v>483</v>
      </c>
      <c r="Q1243" s="499"/>
      <c r="Y1243" s="535" t="str">
        <f t="shared" si="143"/>
        <v>2016bwtdep500-999Quin 2infant</v>
      </c>
      <c r="Z1243" s="604">
        <v>2016</v>
      </c>
      <c r="AA1243" s="604" t="s">
        <v>447</v>
      </c>
      <c r="AB1243" s="604" t="s">
        <v>454</v>
      </c>
      <c r="AC1243" s="604" t="s">
        <v>428</v>
      </c>
      <c r="AD1243" s="604" t="s">
        <v>422</v>
      </c>
      <c r="AE1243" s="604">
        <v>3</v>
      </c>
      <c r="AF1243" s="604">
        <v>29</v>
      </c>
      <c r="AG1243" s="604">
        <v>103.4</v>
      </c>
      <c r="AH1243" s="604" t="s">
        <v>437</v>
      </c>
      <c r="AR1243" s="538" t="str">
        <f t="shared" si="141"/>
        <v>32-36gestinfantMidCentral</v>
      </c>
      <c r="AS1243" s="604">
        <v>2016</v>
      </c>
      <c r="AT1243" s="604" t="s">
        <v>136</v>
      </c>
      <c r="AU1243" s="604" t="s">
        <v>450</v>
      </c>
      <c r="AV1243" s="604" t="s">
        <v>94</v>
      </c>
      <c r="AW1243" s="604">
        <v>0</v>
      </c>
      <c r="AX1243" s="604">
        <v>163</v>
      </c>
      <c r="AY1243" s="606">
        <v>0</v>
      </c>
      <c r="AZ1243" s="604" t="s">
        <v>437</v>
      </c>
      <c r="BY1243" s="553" t="str">
        <f t="shared" si="144"/>
        <v>2011Quin 5depSUDI</v>
      </c>
      <c r="BZ1243" s="604">
        <v>2011</v>
      </c>
      <c r="CA1243" s="604" t="s">
        <v>425</v>
      </c>
      <c r="CB1243" s="604" t="s">
        <v>454</v>
      </c>
      <c r="CC1243" s="604">
        <v>29</v>
      </c>
      <c r="CD1243" s="604" t="s">
        <v>33</v>
      </c>
    </row>
    <row r="1244" spans="9:82">
      <c r="I1244" s="578" t="str">
        <f t="shared" si="142"/>
        <v>2005age25-29Peri</v>
      </c>
      <c r="J1244" s="604">
        <v>2005</v>
      </c>
      <c r="K1244" s="604" t="s">
        <v>453</v>
      </c>
      <c r="L1244" s="604" t="s">
        <v>131</v>
      </c>
      <c r="M1244" s="604">
        <v>116</v>
      </c>
      <c r="N1244" s="604">
        <v>14138</v>
      </c>
      <c r="O1244" s="604">
        <v>8.1999999999999993</v>
      </c>
      <c r="P1244" s="604" t="s">
        <v>483</v>
      </c>
      <c r="Q1244" s="499"/>
      <c r="Y1244" s="535" t="str">
        <f t="shared" si="143"/>
        <v>2016bwtdep1000-1499Quin 2infant</v>
      </c>
      <c r="Z1244" s="604">
        <v>2016</v>
      </c>
      <c r="AA1244" s="604" t="s">
        <v>447</v>
      </c>
      <c r="AB1244" s="604" t="s">
        <v>454</v>
      </c>
      <c r="AC1244" s="604" t="s">
        <v>429</v>
      </c>
      <c r="AD1244" s="604" t="s">
        <v>422</v>
      </c>
      <c r="AE1244" s="604">
        <v>1</v>
      </c>
      <c r="AF1244" s="604">
        <v>40</v>
      </c>
      <c r="AG1244" s="604">
        <v>25</v>
      </c>
      <c r="AH1244" s="604" t="s">
        <v>437</v>
      </c>
      <c r="AR1244" s="538" t="str">
        <f t="shared" ref="AR1244:AR1307" si="145">AT1244&amp;AU1244&amp;AZ1244&amp;AV1244</f>
        <v>42+gestinfantMidCentral</v>
      </c>
      <c r="AS1244" s="604">
        <v>2016</v>
      </c>
      <c r="AT1244" s="604" t="s">
        <v>138</v>
      </c>
      <c r="AU1244" s="604" t="s">
        <v>450</v>
      </c>
      <c r="AV1244" s="604" t="s">
        <v>94</v>
      </c>
      <c r="AW1244" s="604">
        <v>0</v>
      </c>
      <c r="AX1244" s="604">
        <v>36</v>
      </c>
      <c r="AY1244" s="606">
        <v>0</v>
      </c>
      <c r="AZ1244" s="604" t="s">
        <v>437</v>
      </c>
      <c r="BY1244" s="553" t="str">
        <f t="shared" si="144"/>
        <v>2011Quin 9depSUDI</v>
      </c>
      <c r="BZ1244" s="604">
        <v>2011</v>
      </c>
      <c r="CA1244" s="604" t="s">
        <v>426</v>
      </c>
      <c r="CB1244" s="604" t="s">
        <v>454</v>
      </c>
      <c r="CC1244" s="604">
        <v>0</v>
      </c>
      <c r="CD1244" s="604" t="s">
        <v>33</v>
      </c>
    </row>
    <row r="1245" spans="9:82">
      <c r="I1245" s="578" t="str">
        <f t="shared" si="142"/>
        <v>2005age30-34Peri</v>
      </c>
      <c r="J1245" s="604">
        <v>2005</v>
      </c>
      <c r="K1245" s="604" t="s">
        <v>453</v>
      </c>
      <c r="L1245" s="604" t="s">
        <v>132</v>
      </c>
      <c r="M1245" s="604">
        <v>162</v>
      </c>
      <c r="N1245" s="604">
        <v>18277</v>
      </c>
      <c r="O1245" s="604">
        <v>8.9</v>
      </c>
      <c r="P1245" s="604" t="s">
        <v>483</v>
      </c>
      <c r="Q1245" s="499"/>
      <c r="Y1245" s="535" t="str">
        <f t="shared" si="143"/>
        <v>2016bwtdep1500-2499Quin 2infant</v>
      </c>
      <c r="Z1245" s="604">
        <v>2016</v>
      </c>
      <c r="AA1245" s="604" t="s">
        <v>447</v>
      </c>
      <c r="AB1245" s="604" t="s">
        <v>454</v>
      </c>
      <c r="AC1245" s="604" t="s">
        <v>430</v>
      </c>
      <c r="AD1245" s="604" t="s">
        <v>422</v>
      </c>
      <c r="AE1245" s="604">
        <v>3</v>
      </c>
      <c r="AF1245" s="604">
        <v>438</v>
      </c>
      <c r="AG1245" s="604">
        <v>6.8</v>
      </c>
      <c r="AH1245" s="604" t="s">
        <v>437</v>
      </c>
      <c r="AR1245" s="538" t="str">
        <f t="shared" si="145"/>
        <v>28-31gestinfantWhanganui</v>
      </c>
      <c r="AS1245" s="604">
        <v>2016</v>
      </c>
      <c r="AT1245" s="604" t="s">
        <v>395</v>
      </c>
      <c r="AU1245" s="604" t="s">
        <v>450</v>
      </c>
      <c r="AV1245" s="604" t="s">
        <v>95</v>
      </c>
      <c r="AW1245" s="604">
        <v>0</v>
      </c>
      <c r="AX1245" s="604">
        <v>7</v>
      </c>
      <c r="AY1245" s="606">
        <v>0</v>
      </c>
      <c r="AZ1245" s="604" t="s">
        <v>437</v>
      </c>
      <c r="BY1245" s="553" t="str">
        <f t="shared" si="144"/>
        <v>2012Quin 1depSUDI</v>
      </c>
      <c r="BZ1245" s="604">
        <v>2012</v>
      </c>
      <c r="CA1245" s="604" t="s">
        <v>421</v>
      </c>
      <c r="CB1245" s="604" t="s">
        <v>454</v>
      </c>
      <c r="CC1245" s="604">
        <v>3</v>
      </c>
      <c r="CD1245" s="604" t="s">
        <v>33</v>
      </c>
    </row>
    <row r="1246" spans="9:82">
      <c r="I1246" s="578" t="str">
        <f t="shared" si="142"/>
        <v>2005age35-39Peri</v>
      </c>
      <c r="J1246" s="604">
        <v>2005</v>
      </c>
      <c r="K1246" s="604" t="s">
        <v>453</v>
      </c>
      <c r="L1246" s="604" t="s">
        <v>133</v>
      </c>
      <c r="M1246" s="604">
        <v>90</v>
      </c>
      <c r="N1246" s="604">
        <v>10192</v>
      </c>
      <c r="O1246" s="604">
        <v>8.8000000000000007</v>
      </c>
      <c r="P1246" s="604" t="s">
        <v>483</v>
      </c>
      <c r="Q1246" s="499"/>
      <c r="Y1246" s="535" t="str">
        <f t="shared" si="143"/>
        <v>2016bwtdep2500-4499Quin 2infant</v>
      </c>
      <c r="Z1246" s="604">
        <v>2016</v>
      </c>
      <c r="AA1246" s="604" t="s">
        <v>447</v>
      </c>
      <c r="AB1246" s="604" t="s">
        <v>454</v>
      </c>
      <c r="AC1246" s="604" t="s">
        <v>431</v>
      </c>
      <c r="AD1246" s="604" t="s">
        <v>422</v>
      </c>
      <c r="AE1246" s="604">
        <v>10</v>
      </c>
      <c r="AF1246" s="604">
        <v>9383</v>
      </c>
      <c r="AG1246" s="604">
        <v>1.1000000000000001</v>
      </c>
      <c r="AH1246" s="604" t="s">
        <v>437</v>
      </c>
      <c r="AR1246" s="538" t="str">
        <f t="shared" si="145"/>
        <v>42+gestinfantWhanganui</v>
      </c>
      <c r="AS1246" s="604">
        <v>2016</v>
      </c>
      <c r="AT1246" s="604" t="s">
        <v>138</v>
      </c>
      <c r="AU1246" s="604" t="s">
        <v>450</v>
      </c>
      <c r="AV1246" s="604" t="s">
        <v>95</v>
      </c>
      <c r="AW1246" s="604">
        <v>0</v>
      </c>
      <c r="AX1246" s="604">
        <v>13</v>
      </c>
      <c r="AY1246" s="606">
        <v>0</v>
      </c>
      <c r="AZ1246" s="604" t="s">
        <v>437</v>
      </c>
      <c r="BY1246" s="553" t="str">
        <f t="shared" si="144"/>
        <v>2012Quin 2depSUDI</v>
      </c>
      <c r="BZ1246" s="604">
        <v>2012</v>
      </c>
      <c r="CA1246" s="604" t="s">
        <v>422</v>
      </c>
      <c r="CB1246" s="604" t="s">
        <v>454</v>
      </c>
      <c r="CC1246" s="604">
        <v>3</v>
      </c>
      <c r="CD1246" s="604" t="s">
        <v>33</v>
      </c>
    </row>
    <row r="1247" spans="9:82">
      <c r="I1247" s="578" t="str">
        <f t="shared" si="142"/>
        <v>2005age40+Peri</v>
      </c>
      <c r="J1247" s="604">
        <v>2005</v>
      </c>
      <c r="K1247" s="604" t="s">
        <v>453</v>
      </c>
      <c r="L1247" s="604" t="s">
        <v>134</v>
      </c>
      <c r="M1247" s="604">
        <v>35</v>
      </c>
      <c r="N1247" s="604">
        <v>2150</v>
      </c>
      <c r="O1247" s="604">
        <v>16.3</v>
      </c>
      <c r="P1247" s="604" t="s">
        <v>483</v>
      </c>
      <c r="Q1247" s="499"/>
      <c r="Y1247" s="535" t="str">
        <f t="shared" si="143"/>
        <v>2016bwtdep4500+Quin 2infant</v>
      </c>
      <c r="Z1247" s="604">
        <v>2016</v>
      </c>
      <c r="AA1247" s="604" t="s">
        <v>447</v>
      </c>
      <c r="AB1247" s="604" t="s">
        <v>454</v>
      </c>
      <c r="AC1247" s="604" t="s">
        <v>432</v>
      </c>
      <c r="AD1247" s="604" t="s">
        <v>422</v>
      </c>
      <c r="AE1247" s="604">
        <v>0</v>
      </c>
      <c r="AF1247" s="604">
        <v>221</v>
      </c>
      <c r="AG1247" s="604">
        <v>0</v>
      </c>
      <c r="AH1247" s="604" t="s">
        <v>437</v>
      </c>
      <c r="AR1247" s="538" t="str">
        <f t="shared" si="145"/>
        <v>28-31gestinfantCapital &amp; Coast</v>
      </c>
      <c r="AS1247" s="604">
        <v>2016</v>
      </c>
      <c r="AT1247" s="604" t="s">
        <v>395</v>
      </c>
      <c r="AU1247" s="604" t="s">
        <v>450</v>
      </c>
      <c r="AV1247" s="604" t="s">
        <v>96</v>
      </c>
      <c r="AW1247" s="604">
        <v>0</v>
      </c>
      <c r="AX1247" s="604">
        <v>24</v>
      </c>
      <c r="AY1247" s="606">
        <v>0</v>
      </c>
      <c r="AZ1247" s="604" t="s">
        <v>437</v>
      </c>
      <c r="BY1247" s="553" t="str">
        <f t="shared" si="144"/>
        <v>2012Quin 3depSUDI</v>
      </c>
      <c r="BZ1247" s="604">
        <v>2012</v>
      </c>
      <c r="CA1247" s="604" t="s">
        <v>423</v>
      </c>
      <c r="CB1247" s="604" t="s">
        <v>454</v>
      </c>
      <c r="CC1247" s="604">
        <v>1</v>
      </c>
      <c r="CD1247" s="604" t="s">
        <v>33</v>
      </c>
    </row>
    <row r="1248" spans="9:82">
      <c r="I1248" s="578" t="str">
        <f t="shared" si="142"/>
        <v>2005ageUnknownPeri</v>
      </c>
      <c r="J1248" s="604">
        <v>2005</v>
      </c>
      <c r="K1248" s="604" t="s">
        <v>453</v>
      </c>
      <c r="L1248" s="604" t="s">
        <v>63</v>
      </c>
      <c r="M1248" s="604">
        <v>1</v>
      </c>
      <c r="N1248" s="604">
        <v>1</v>
      </c>
      <c r="O1248" s="604" t="s">
        <v>119</v>
      </c>
      <c r="P1248" s="604" t="s">
        <v>483</v>
      </c>
      <c r="Q1248" s="499"/>
      <c r="Y1248" s="535" t="str">
        <f t="shared" si="143"/>
        <v>2016bwtdepUnknownQuin 2infant</v>
      </c>
      <c r="Z1248" s="604">
        <v>2016</v>
      </c>
      <c r="AA1248" s="604" t="s">
        <v>447</v>
      </c>
      <c r="AB1248" s="604" t="s">
        <v>454</v>
      </c>
      <c r="AC1248" s="604" t="s">
        <v>63</v>
      </c>
      <c r="AD1248" s="604" t="s">
        <v>422</v>
      </c>
      <c r="AE1248" s="604">
        <v>2</v>
      </c>
      <c r="AF1248" s="604">
        <v>7</v>
      </c>
      <c r="AG1248" s="604" t="s">
        <v>119</v>
      </c>
      <c r="AH1248" s="604" t="s">
        <v>437</v>
      </c>
      <c r="AR1248" s="538" t="str">
        <f t="shared" si="145"/>
        <v>42+gestinfantCapital &amp; Coast</v>
      </c>
      <c r="AS1248" s="604">
        <v>2016</v>
      </c>
      <c r="AT1248" s="604" t="s">
        <v>138</v>
      </c>
      <c r="AU1248" s="604" t="s">
        <v>450</v>
      </c>
      <c r="AV1248" s="604" t="s">
        <v>96</v>
      </c>
      <c r="AW1248" s="604">
        <v>0</v>
      </c>
      <c r="AX1248" s="604">
        <v>31</v>
      </c>
      <c r="AY1248" s="606">
        <v>0</v>
      </c>
      <c r="AZ1248" s="604" t="s">
        <v>437</v>
      </c>
      <c r="BY1248" s="553" t="str">
        <f t="shared" si="144"/>
        <v>2012Quin 4depSUDI</v>
      </c>
      <c r="BZ1248" s="604">
        <v>2012</v>
      </c>
      <c r="CA1248" s="604" t="s">
        <v>424</v>
      </c>
      <c r="CB1248" s="604" t="s">
        <v>454</v>
      </c>
      <c r="CC1248" s="604">
        <v>11</v>
      </c>
      <c r="CD1248" s="604" t="s">
        <v>33</v>
      </c>
    </row>
    <row r="1249" spans="9:82">
      <c r="I1249" s="578" t="str">
        <f t="shared" si="142"/>
        <v>2006age&lt;20Peri</v>
      </c>
      <c r="J1249" s="604">
        <v>2006</v>
      </c>
      <c r="K1249" s="604" t="s">
        <v>453</v>
      </c>
      <c r="L1249" s="604" t="s">
        <v>339</v>
      </c>
      <c r="M1249" s="604">
        <v>48</v>
      </c>
      <c r="N1249" s="604">
        <v>4483</v>
      </c>
      <c r="O1249" s="604">
        <v>10.7</v>
      </c>
      <c r="P1249" s="604" t="s">
        <v>483</v>
      </c>
      <c r="Q1249" s="499"/>
      <c r="Y1249" s="535" t="str">
        <f t="shared" si="143"/>
        <v>2016bwtdep&lt;500Quin 3infant</v>
      </c>
      <c r="Z1249" s="604">
        <v>2016</v>
      </c>
      <c r="AA1249" s="604" t="s">
        <v>447</v>
      </c>
      <c r="AB1249" s="604" t="s">
        <v>454</v>
      </c>
      <c r="AC1249" s="604" t="s">
        <v>427</v>
      </c>
      <c r="AD1249" s="604" t="s">
        <v>423</v>
      </c>
      <c r="AE1249" s="604">
        <v>7</v>
      </c>
      <c r="AF1249" s="604">
        <v>9</v>
      </c>
      <c r="AG1249" s="604">
        <v>777.8</v>
      </c>
      <c r="AH1249" s="604" t="s">
        <v>437</v>
      </c>
      <c r="AR1249" s="538" t="str">
        <f t="shared" si="145"/>
        <v>UnknowngestinfantCapital &amp; Coast</v>
      </c>
      <c r="AS1249" s="604">
        <v>2016</v>
      </c>
      <c r="AT1249" s="604" t="s">
        <v>63</v>
      </c>
      <c r="AU1249" s="604" t="s">
        <v>450</v>
      </c>
      <c r="AV1249" s="604" t="s">
        <v>96</v>
      </c>
      <c r="AW1249" s="604">
        <v>0</v>
      </c>
      <c r="AX1249" s="604">
        <v>1</v>
      </c>
      <c r="AY1249" s="606" t="s">
        <v>119</v>
      </c>
      <c r="AZ1249" s="604" t="s">
        <v>437</v>
      </c>
      <c r="BY1249" s="553" t="str">
        <f t="shared" si="144"/>
        <v>2012Quin 5depSUDI</v>
      </c>
      <c r="BZ1249" s="604">
        <v>2012</v>
      </c>
      <c r="CA1249" s="604" t="s">
        <v>425</v>
      </c>
      <c r="CB1249" s="604" t="s">
        <v>454</v>
      </c>
      <c r="CC1249" s="604">
        <v>18</v>
      </c>
      <c r="CD1249" s="604" t="s">
        <v>33</v>
      </c>
    </row>
    <row r="1250" spans="9:82">
      <c r="I1250" s="578" t="str">
        <f t="shared" si="142"/>
        <v>2006age20-24Peri</v>
      </c>
      <c r="J1250" s="604">
        <v>2006</v>
      </c>
      <c r="K1250" s="604" t="s">
        <v>453</v>
      </c>
      <c r="L1250" s="604" t="s">
        <v>130</v>
      </c>
      <c r="M1250" s="604">
        <v>101</v>
      </c>
      <c r="N1250" s="604">
        <v>10720</v>
      </c>
      <c r="O1250" s="604">
        <v>9.4</v>
      </c>
      <c r="P1250" s="604" t="s">
        <v>483</v>
      </c>
      <c r="Q1250" s="499"/>
      <c r="Y1250" s="535" t="str">
        <f t="shared" si="143"/>
        <v>2016bwtdep500-999Quin 3infant</v>
      </c>
      <c r="Z1250" s="604">
        <v>2016</v>
      </c>
      <c r="AA1250" s="604" t="s">
        <v>447</v>
      </c>
      <c r="AB1250" s="604" t="s">
        <v>454</v>
      </c>
      <c r="AC1250" s="604" t="s">
        <v>428</v>
      </c>
      <c r="AD1250" s="604" t="s">
        <v>423</v>
      </c>
      <c r="AE1250" s="604">
        <v>10</v>
      </c>
      <c r="AF1250" s="604">
        <v>36</v>
      </c>
      <c r="AG1250" s="604">
        <v>277.8</v>
      </c>
      <c r="AH1250" s="604" t="s">
        <v>437</v>
      </c>
      <c r="AR1250" s="538" t="str">
        <f t="shared" si="145"/>
        <v>28-31gestinfantHutt Valley</v>
      </c>
      <c r="AS1250" s="604">
        <v>2016</v>
      </c>
      <c r="AT1250" s="604" t="s">
        <v>395</v>
      </c>
      <c r="AU1250" s="604" t="s">
        <v>450</v>
      </c>
      <c r="AV1250" s="604" t="s">
        <v>97</v>
      </c>
      <c r="AW1250" s="604">
        <v>0</v>
      </c>
      <c r="AX1250" s="604">
        <v>18</v>
      </c>
      <c r="AY1250" s="606">
        <v>0</v>
      </c>
      <c r="AZ1250" s="604" t="s">
        <v>437</v>
      </c>
      <c r="BY1250" s="553" t="str">
        <f t="shared" si="144"/>
        <v>2012Quin 9depSUDI</v>
      </c>
      <c r="BZ1250" s="604">
        <v>2012</v>
      </c>
      <c r="CA1250" s="604" t="s">
        <v>426</v>
      </c>
      <c r="CB1250" s="604" t="s">
        <v>454</v>
      </c>
      <c r="CC1250" s="604">
        <v>1</v>
      </c>
      <c r="CD1250" s="604" t="s">
        <v>33</v>
      </c>
    </row>
    <row r="1251" spans="9:82">
      <c r="I1251" s="578" t="str">
        <f t="shared" si="142"/>
        <v>2006age25-29Peri</v>
      </c>
      <c r="J1251" s="604">
        <v>2006</v>
      </c>
      <c r="K1251" s="604" t="s">
        <v>453</v>
      </c>
      <c r="L1251" s="604" t="s">
        <v>131</v>
      </c>
      <c r="M1251" s="604">
        <v>132</v>
      </c>
      <c r="N1251" s="604">
        <v>14480</v>
      </c>
      <c r="O1251" s="604">
        <v>9.1</v>
      </c>
      <c r="P1251" s="604" t="s">
        <v>483</v>
      </c>
      <c r="Q1251" s="499"/>
      <c r="Y1251" s="535" t="str">
        <f t="shared" si="143"/>
        <v>2016bwtdep1000-1499Quin 3infant</v>
      </c>
      <c r="Z1251" s="604">
        <v>2016</v>
      </c>
      <c r="AA1251" s="604" t="s">
        <v>447</v>
      </c>
      <c r="AB1251" s="604" t="s">
        <v>454</v>
      </c>
      <c r="AC1251" s="604" t="s">
        <v>429</v>
      </c>
      <c r="AD1251" s="604" t="s">
        <v>423</v>
      </c>
      <c r="AE1251" s="604">
        <v>1</v>
      </c>
      <c r="AF1251" s="604">
        <v>62</v>
      </c>
      <c r="AG1251" s="604">
        <v>16.100000000000001</v>
      </c>
      <c r="AH1251" s="604" t="s">
        <v>437</v>
      </c>
      <c r="AR1251" s="538" t="str">
        <f t="shared" si="145"/>
        <v>42+gestinfantHutt Valley</v>
      </c>
      <c r="AS1251" s="604">
        <v>2016</v>
      </c>
      <c r="AT1251" s="604" t="s">
        <v>138</v>
      </c>
      <c r="AU1251" s="604" t="s">
        <v>450</v>
      </c>
      <c r="AV1251" s="604" t="s">
        <v>97</v>
      </c>
      <c r="AW1251" s="604">
        <v>0</v>
      </c>
      <c r="AX1251" s="604">
        <v>10</v>
      </c>
      <c r="AY1251" s="606">
        <v>0</v>
      </c>
      <c r="AZ1251" s="604" t="s">
        <v>437</v>
      </c>
      <c r="BY1251" s="553" t="str">
        <f t="shared" si="144"/>
        <v>2013Quin 1depSUDI</v>
      </c>
      <c r="BZ1251" s="604">
        <v>2013</v>
      </c>
      <c r="CA1251" s="604" t="s">
        <v>421</v>
      </c>
      <c r="CB1251" s="604" t="s">
        <v>454</v>
      </c>
      <c r="CC1251" s="604">
        <v>1</v>
      </c>
      <c r="CD1251" s="604" t="s">
        <v>33</v>
      </c>
    </row>
    <row r="1252" spans="9:82">
      <c r="I1252" s="578" t="str">
        <f t="shared" si="142"/>
        <v>2006age30-34Peri</v>
      </c>
      <c r="J1252" s="604">
        <v>2006</v>
      </c>
      <c r="K1252" s="604" t="s">
        <v>453</v>
      </c>
      <c r="L1252" s="604" t="s">
        <v>132</v>
      </c>
      <c r="M1252" s="604">
        <v>149</v>
      </c>
      <c r="N1252" s="604">
        <v>18206</v>
      </c>
      <c r="O1252" s="604">
        <v>8.1999999999999993</v>
      </c>
      <c r="P1252" s="604" t="s">
        <v>483</v>
      </c>
      <c r="Q1252" s="499"/>
      <c r="Y1252" s="535" t="str">
        <f t="shared" si="143"/>
        <v>2016bwtdep1500-2499Quin 3infant</v>
      </c>
      <c r="Z1252" s="604">
        <v>2016</v>
      </c>
      <c r="AA1252" s="604" t="s">
        <v>447</v>
      </c>
      <c r="AB1252" s="604" t="s">
        <v>454</v>
      </c>
      <c r="AC1252" s="604" t="s">
        <v>430</v>
      </c>
      <c r="AD1252" s="604" t="s">
        <v>423</v>
      </c>
      <c r="AE1252" s="604">
        <v>5</v>
      </c>
      <c r="AF1252" s="604">
        <v>545</v>
      </c>
      <c r="AG1252" s="604">
        <v>9.1999999999999993</v>
      </c>
      <c r="AH1252" s="604" t="s">
        <v>437</v>
      </c>
      <c r="AR1252" s="538" t="str">
        <f t="shared" si="145"/>
        <v>UnknowngestinfantHutt Valley</v>
      </c>
      <c r="AS1252" s="604">
        <v>2016</v>
      </c>
      <c r="AT1252" s="604" t="s">
        <v>63</v>
      </c>
      <c r="AU1252" s="604" t="s">
        <v>450</v>
      </c>
      <c r="AV1252" s="604" t="s">
        <v>97</v>
      </c>
      <c r="AW1252" s="604">
        <v>0</v>
      </c>
      <c r="AX1252" s="604">
        <v>1</v>
      </c>
      <c r="AY1252" s="606" t="s">
        <v>119</v>
      </c>
      <c r="AZ1252" s="604" t="s">
        <v>437</v>
      </c>
      <c r="BY1252" s="553" t="str">
        <f t="shared" si="144"/>
        <v>2013Quin 2depSUDI</v>
      </c>
      <c r="BZ1252" s="604">
        <v>2013</v>
      </c>
      <c r="CA1252" s="604" t="s">
        <v>422</v>
      </c>
      <c r="CB1252" s="604" t="s">
        <v>454</v>
      </c>
      <c r="CC1252" s="604">
        <v>4</v>
      </c>
      <c r="CD1252" s="604" t="s">
        <v>33</v>
      </c>
    </row>
    <row r="1253" spans="9:82">
      <c r="I1253" s="578" t="str">
        <f t="shared" si="142"/>
        <v>2006age35-39Peri</v>
      </c>
      <c r="J1253" s="604">
        <v>2006</v>
      </c>
      <c r="K1253" s="604" t="s">
        <v>453</v>
      </c>
      <c r="L1253" s="604" t="s">
        <v>133</v>
      </c>
      <c r="M1253" s="604">
        <v>85</v>
      </c>
      <c r="N1253" s="604">
        <v>10571</v>
      </c>
      <c r="O1253" s="604">
        <v>8</v>
      </c>
      <c r="P1253" s="604" t="s">
        <v>483</v>
      </c>
      <c r="Q1253" s="499"/>
      <c r="Y1253" s="535" t="str">
        <f t="shared" si="143"/>
        <v>2016bwtdep2500-4499Quin 3infant</v>
      </c>
      <c r="Z1253" s="604">
        <v>2016</v>
      </c>
      <c r="AA1253" s="604" t="s">
        <v>447</v>
      </c>
      <c r="AB1253" s="604" t="s">
        <v>454</v>
      </c>
      <c r="AC1253" s="604" t="s">
        <v>431</v>
      </c>
      <c r="AD1253" s="604" t="s">
        <v>423</v>
      </c>
      <c r="AE1253" s="604">
        <v>9</v>
      </c>
      <c r="AF1253" s="604">
        <v>10056</v>
      </c>
      <c r="AG1253" s="604">
        <v>0.9</v>
      </c>
      <c r="AH1253" s="604" t="s">
        <v>437</v>
      </c>
      <c r="AR1253" s="538" t="str">
        <f t="shared" si="145"/>
        <v>28-31gestinfantWairarapa</v>
      </c>
      <c r="AS1253" s="604">
        <v>2016</v>
      </c>
      <c r="AT1253" s="604" t="s">
        <v>395</v>
      </c>
      <c r="AU1253" s="604" t="s">
        <v>450</v>
      </c>
      <c r="AV1253" s="604" t="s">
        <v>98</v>
      </c>
      <c r="AW1253" s="604">
        <v>0</v>
      </c>
      <c r="AX1253" s="604">
        <v>3</v>
      </c>
      <c r="AY1253" s="606">
        <v>0</v>
      </c>
      <c r="AZ1253" s="604" t="s">
        <v>437</v>
      </c>
      <c r="BY1253" s="553" t="str">
        <f t="shared" si="144"/>
        <v>2013Quin 3depSUDI</v>
      </c>
      <c r="BZ1253" s="604">
        <v>2013</v>
      </c>
      <c r="CA1253" s="604" t="s">
        <v>423</v>
      </c>
      <c r="CB1253" s="604" t="s">
        <v>454</v>
      </c>
      <c r="CC1253" s="604">
        <v>6</v>
      </c>
      <c r="CD1253" s="604" t="s">
        <v>33</v>
      </c>
    </row>
    <row r="1254" spans="9:82">
      <c r="I1254" s="578" t="str">
        <f t="shared" si="142"/>
        <v>2006age40+Peri</v>
      </c>
      <c r="J1254" s="604">
        <v>2006</v>
      </c>
      <c r="K1254" s="604" t="s">
        <v>453</v>
      </c>
      <c r="L1254" s="604" t="s">
        <v>134</v>
      </c>
      <c r="M1254" s="604">
        <v>30</v>
      </c>
      <c r="N1254" s="604">
        <v>2223</v>
      </c>
      <c r="O1254" s="604">
        <v>13.5</v>
      </c>
      <c r="P1254" s="604" t="s">
        <v>483</v>
      </c>
      <c r="Q1254" s="499"/>
      <c r="Y1254" s="535" t="str">
        <f t="shared" si="143"/>
        <v>2016bwtdep4500+Quin 3infant</v>
      </c>
      <c r="Z1254" s="604">
        <v>2016</v>
      </c>
      <c r="AA1254" s="604" t="s">
        <v>447</v>
      </c>
      <c r="AB1254" s="604" t="s">
        <v>454</v>
      </c>
      <c r="AC1254" s="604" t="s">
        <v>432</v>
      </c>
      <c r="AD1254" s="604" t="s">
        <v>423</v>
      </c>
      <c r="AE1254" s="604">
        <v>0</v>
      </c>
      <c r="AF1254" s="604">
        <v>254</v>
      </c>
      <c r="AG1254" s="604">
        <v>0</v>
      </c>
      <c r="AH1254" s="604" t="s">
        <v>437</v>
      </c>
      <c r="AR1254" s="538" t="str">
        <f t="shared" si="145"/>
        <v>32-36gestinfantWairarapa</v>
      </c>
      <c r="AS1254" s="604">
        <v>2016</v>
      </c>
      <c r="AT1254" s="604" t="s">
        <v>136</v>
      </c>
      <c r="AU1254" s="604" t="s">
        <v>450</v>
      </c>
      <c r="AV1254" s="604" t="s">
        <v>98</v>
      </c>
      <c r="AW1254" s="604">
        <v>0</v>
      </c>
      <c r="AX1254" s="604">
        <v>27</v>
      </c>
      <c r="AY1254" s="606">
        <v>0</v>
      </c>
      <c r="AZ1254" s="604" t="s">
        <v>437</v>
      </c>
      <c r="BY1254" s="553" t="str">
        <f t="shared" si="144"/>
        <v>2013Quin 4depSUDI</v>
      </c>
      <c r="BZ1254" s="604">
        <v>2013</v>
      </c>
      <c r="CA1254" s="604" t="s">
        <v>424</v>
      </c>
      <c r="CB1254" s="604" t="s">
        <v>454</v>
      </c>
      <c r="CC1254" s="604">
        <v>5</v>
      </c>
      <c r="CD1254" s="604" t="s">
        <v>33</v>
      </c>
    </row>
    <row r="1255" spans="9:82">
      <c r="I1255" s="578" t="str">
        <f t="shared" si="142"/>
        <v>2006ageUnknownPeri</v>
      </c>
      <c r="J1255" s="604">
        <v>2006</v>
      </c>
      <c r="K1255" s="604" t="s">
        <v>453</v>
      </c>
      <c r="L1255" s="604" t="s">
        <v>63</v>
      </c>
      <c r="M1255" s="604">
        <v>1</v>
      </c>
      <c r="N1255" s="604">
        <v>0</v>
      </c>
      <c r="O1255" s="604" t="s">
        <v>119</v>
      </c>
      <c r="P1255" s="604" t="s">
        <v>483</v>
      </c>
      <c r="Q1255" s="499"/>
      <c r="Y1255" s="535" t="str">
        <f t="shared" si="143"/>
        <v>2016bwtdepUnknownQuin 3infant</v>
      </c>
      <c r="Z1255" s="604">
        <v>2016</v>
      </c>
      <c r="AA1255" s="604" t="s">
        <v>447</v>
      </c>
      <c r="AB1255" s="604" t="s">
        <v>454</v>
      </c>
      <c r="AC1255" s="604" t="s">
        <v>63</v>
      </c>
      <c r="AD1255" s="604" t="s">
        <v>423</v>
      </c>
      <c r="AE1255" s="604">
        <v>0</v>
      </c>
      <c r="AF1255" s="604">
        <v>9</v>
      </c>
      <c r="AG1255" s="604" t="s">
        <v>119</v>
      </c>
      <c r="AH1255" s="604" t="s">
        <v>437</v>
      </c>
      <c r="AR1255" s="538" t="str">
        <f t="shared" si="145"/>
        <v>37-41gestinfantWairarapa</v>
      </c>
      <c r="AS1255" s="604">
        <v>2016</v>
      </c>
      <c r="AT1255" s="604" t="s">
        <v>137</v>
      </c>
      <c r="AU1255" s="604" t="s">
        <v>450</v>
      </c>
      <c r="AV1255" s="604" t="s">
        <v>98</v>
      </c>
      <c r="AW1255" s="604">
        <v>0</v>
      </c>
      <c r="AX1255" s="604">
        <v>438</v>
      </c>
      <c r="AY1255" s="606">
        <v>0</v>
      </c>
      <c r="AZ1255" s="604" t="s">
        <v>437</v>
      </c>
      <c r="BY1255" s="553" t="str">
        <f t="shared" si="144"/>
        <v>2013Quin 5depSUDI</v>
      </c>
      <c r="BZ1255" s="604">
        <v>2013</v>
      </c>
      <c r="CA1255" s="604" t="s">
        <v>425</v>
      </c>
      <c r="CB1255" s="604" t="s">
        <v>454</v>
      </c>
      <c r="CC1255" s="604">
        <v>25</v>
      </c>
      <c r="CD1255" s="604" t="s">
        <v>33</v>
      </c>
    </row>
    <row r="1256" spans="9:82">
      <c r="I1256" s="578" t="str">
        <f t="shared" si="142"/>
        <v>2007age&lt;20Peri</v>
      </c>
      <c r="J1256" s="604">
        <v>2007</v>
      </c>
      <c r="K1256" s="604" t="s">
        <v>453</v>
      </c>
      <c r="L1256" s="604" t="s">
        <v>339</v>
      </c>
      <c r="M1256" s="604">
        <v>51</v>
      </c>
      <c r="N1256" s="604">
        <v>5089</v>
      </c>
      <c r="O1256" s="604">
        <v>10</v>
      </c>
      <c r="P1256" s="604" t="s">
        <v>483</v>
      </c>
      <c r="Q1256" s="499"/>
      <c r="Y1256" s="535" t="str">
        <f t="shared" si="143"/>
        <v>2016bwtdep&lt;500Quin 4infant</v>
      </c>
      <c r="Z1256" s="604">
        <v>2016</v>
      </c>
      <c r="AA1256" s="604" t="s">
        <v>447</v>
      </c>
      <c r="AB1256" s="604" t="s">
        <v>454</v>
      </c>
      <c r="AC1256" s="604" t="s">
        <v>427</v>
      </c>
      <c r="AD1256" s="604" t="s">
        <v>424</v>
      </c>
      <c r="AE1256" s="604">
        <v>8</v>
      </c>
      <c r="AF1256" s="604">
        <v>11</v>
      </c>
      <c r="AG1256" s="604">
        <v>727.3</v>
      </c>
      <c r="AH1256" s="604" t="s">
        <v>437</v>
      </c>
      <c r="AR1256" s="538" t="str">
        <f t="shared" si="145"/>
        <v>42+gestinfantWairarapa</v>
      </c>
      <c r="AS1256" s="604">
        <v>2016</v>
      </c>
      <c r="AT1256" s="604" t="s">
        <v>138</v>
      </c>
      <c r="AU1256" s="604" t="s">
        <v>450</v>
      </c>
      <c r="AV1256" s="604" t="s">
        <v>98</v>
      </c>
      <c r="AW1256" s="604">
        <v>0</v>
      </c>
      <c r="AX1256" s="604">
        <v>9</v>
      </c>
      <c r="AY1256" s="606">
        <v>0</v>
      </c>
      <c r="AZ1256" s="604" t="s">
        <v>437</v>
      </c>
      <c r="BY1256" s="553" t="str">
        <f t="shared" si="144"/>
        <v>2013Quin 9depSUDI</v>
      </c>
      <c r="BZ1256" s="604">
        <v>2013</v>
      </c>
      <c r="CA1256" s="604" t="s">
        <v>426</v>
      </c>
      <c r="CB1256" s="604" t="s">
        <v>454</v>
      </c>
      <c r="CC1256" s="604">
        <v>0</v>
      </c>
      <c r="CD1256" s="604" t="s">
        <v>33</v>
      </c>
    </row>
    <row r="1257" spans="9:82">
      <c r="I1257" s="578" t="str">
        <f t="shared" si="142"/>
        <v>2007age20-24Peri</v>
      </c>
      <c r="J1257" s="604">
        <v>2007</v>
      </c>
      <c r="K1257" s="604" t="s">
        <v>453</v>
      </c>
      <c r="L1257" s="604" t="s">
        <v>130</v>
      </c>
      <c r="M1257" s="604">
        <v>112</v>
      </c>
      <c r="N1257" s="604">
        <v>11510</v>
      </c>
      <c r="O1257" s="604">
        <v>9.6999999999999993</v>
      </c>
      <c r="P1257" s="604" t="s">
        <v>483</v>
      </c>
      <c r="Q1257" s="499"/>
      <c r="Y1257" s="535" t="str">
        <f t="shared" si="143"/>
        <v>2016bwtdep500-999Quin 4infant</v>
      </c>
      <c r="Z1257" s="604">
        <v>2016</v>
      </c>
      <c r="AA1257" s="604" t="s">
        <v>447</v>
      </c>
      <c r="AB1257" s="604" t="s">
        <v>454</v>
      </c>
      <c r="AC1257" s="604" t="s">
        <v>428</v>
      </c>
      <c r="AD1257" s="604" t="s">
        <v>424</v>
      </c>
      <c r="AE1257" s="604">
        <v>15</v>
      </c>
      <c r="AF1257" s="604">
        <v>46</v>
      </c>
      <c r="AG1257" s="604">
        <v>326.10000000000002</v>
      </c>
      <c r="AH1257" s="604" t="s">
        <v>437</v>
      </c>
      <c r="AR1257" s="538" t="str">
        <f t="shared" si="145"/>
        <v>28-31gestinfantNelson Marlborough</v>
      </c>
      <c r="AS1257" s="604">
        <v>2016</v>
      </c>
      <c r="AT1257" s="604" t="s">
        <v>395</v>
      </c>
      <c r="AU1257" s="604" t="s">
        <v>450</v>
      </c>
      <c r="AV1257" s="604" t="s">
        <v>99</v>
      </c>
      <c r="AW1257" s="604">
        <v>0</v>
      </c>
      <c r="AX1257" s="604">
        <v>10</v>
      </c>
      <c r="AY1257" s="606">
        <v>0</v>
      </c>
      <c r="AZ1257" s="604" t="s">
        <v>437</v>
      </c>
      <c r="BY1257" s="553" t="str">
        <f t="shared" si="144"/>
        <v>2014Quin 1depSUDI</v>
      </c>
      <c r="BZ1257" s="604">
        <v>2014</v>
      </c>
      <c r="CA1257" s="604" t="s">
        <v>421</v>
      </c>
      <c r="CB1257" s="604" t="s">
        <v>454</v>
      </c>
      <c r="CC1257" s="604">
        <v>1</v>
      </c>
      <c r="CD1257" s="604" t="s">
        <v>33</v>
      </c>
    </row>
    <row r="1258" spans="9:82">
      <c r="I1258" s="578" t="str">
        <f t="shared" si="142"/>
        <v>2007age25-29Peri</v>
      </c>
      <c r="J1258" s="604">
        <v>2007</v>
      </c>
      <c r="K1258" s="604" t="s">
        <v>453</v>
      </c>
      <c r="L1258" s="604" t="s">
        <v>131</v>
      </c>
      <c r="M1258" s="604">
        <v>147</v>
      </c>
      <c r="N1258" s="604">
        <v>15925</v>
      </c>
      <c r="O1258" s="604">
        <v>9.1999999999999993</v>
      </c>
      <c r="P1258" s="604" t="s">
        <v>483</v>
      </c>
      <c r="Q1258" s="499"/>
      <c r="Y1258" s="535" t="str">
        <f t="shared" si="143"/>
        <v>2016bwtdep1000-1499Quin 4infant</v>
      </c>
      <c r="Z1258" s="604">
        <v>2016</v>
      </c>
      <c r="AA1258" s="604" t="s">
        <v>447</v>
      </c>
      <c r="AB1258" s="604" t="s">
        <v>454</v>
      </c>
      <c r="AC1258" s="604" t="s">
        <v>429</v>
      </c>
      <c r="AD1258" s="604" t="s">
        <v>424</v>
      </c>
      <c r="AE1258" s="604">
        <v>2</v>
      </c>
      <c r="AF1258" s="604">
        <v>75</v>
      </c>
      <c r="AG1258" s="604">
        <v>26.7</v>
      </c>
      <c r="AH1258" s="604" t="s">
        <v>437</v>
      </c>
      <c r="AR1258" s="538" t="str">
        <f t="shared" si="145"/>
        <v>32-36gestinfantNelson Marlborough</v>
      </c>
      <c r="AS1258" s="604">
        <v>2016</v>
      </c>
      <c r="AT1258" s="604" t="s">
        <v>136</v>
      </c>
      <c r="AU1258" s="604" t="s">
        <v>450</v>
      </c>
      <c r="AV1258" s="604" t="s">
        <v>99</v>
      </c>
      <c r="AW1258" s="604">
        <v>0</v>
      </c>
      <c r="AX1258" s="604">
        <v>79</v>
      </c>
      <c r="AY1258" s="606">
        <v>0</v>
      </c>
      <c r="AZ1258" s="604" t="s">
        <v>437</v>
      </c>
      <c r="BY1258" s="553" t="str">
        <f t="shared" si="144"/>
        <v>2014Quin 2depSUDI</v>
      </c>
      <c r="BZ1258" s="604">
        <v>2014</v>
      </c>
      <c r="CA1258" s="604" t="s">
        <v>422</v>
      </c>
      <c r="CB1258" s="604" t="s">
        <v>454</v>
      </c>
      <c r="CC1258" s="604">
        <v>4</v>
      </c>
      <c r="CD1258" s="604" t="s">
        <v>33</v>
      </c>
    </row>
    <row r="1259" spans="9:82">
      <c r="I1259" s="578" t="str">
        <f t="shared" si="142"/>
        <v>2007age30-34Peri</v>
      </c>
      <c r="J1259" s="604">
        <v>2007</v>
      </c>
      <c r="K1259" s="604" t="s">
        <v>453</v>
      </c>
      <c r="L1259" s="604" t="s">
        <v>132</v>
      </c>
      <c r="M1259" s="604">
        <v>150</v>
      </c>
      <c r="N1259" s="604">
        <v>18834</v>
      </c>
      <c r="O1259" s="604">
        <v>8</v>
      </c>
      <c r="P1259" s="604" t="s">
        <v>483</v>
      </c>
      <c r="Q1259" s="499"/>
      <c r="Y1259" s="535" t="str">
        <f t="shared" si="143"/>
        <v>2016bwtdep1500-2499Quin 4infant</v>
      </c>
      <c r="Z1259" s="604">
        <v>2016</v>
      </c>
      <c r="AA1259" s="604" t="s">
        <v>447</v>
      </c>
      <c r="AB1259" s="604" t="s">
        <v>454</v>
      </c>
      <c r="AC1259" s="604" t="s">
        <v>430</v>
      </c>
      <c r="AD1259" s="604" t="s">
        <v>424</v>
      </c>
      <c r="AE1259" s="604">
        <v>5</v>
      </c>
      <c r="AF1259" s="604">
        <v>684</v>
      </c>
      <c r="AG1259" s="604">
        <v>7.3</v>
      </c>
      <c r="AH1259" s="604" t="s">
        <v>437</v>
      </c>
      <c r="AR1259" s="538" t="str">
        <f t="shared" si="145"/>
        <v>42+gestinfantNelson Marlborough</v>
      </c>
      <c r="AS1259" s="604">
        <v>2016</v>
      </c>
      <c r="AT1259" s="604" t="s">
        <v>138</v>
      </c>
      <c r="AU1259" s="604" t="s">
        <v>450</v>
      </c>
      <c r="AV1259" s="604" t="s">
        <v>99</v>
      </c>
      <c r="AW1259" s="604">
        <v>0</v>
      </c>
      <c r="AX1259" s="604">
        <v>19</v>
      </c>
      <c r="AY1259" s="606">
        <v>0</v>
      </c>
      <c r="AZ1259" s="604" t="s">
        <v>437</v>
      </c>
      <c r="BY1259" s="553" t="str">
        <f t="shared" si="144"/>
        <v>2014Quin 3depSUDI</v>
      </c>
      <c r="BZ1259" s="604">
        <v>2014</v>
      </c>
      <c r="CA1259" s="604" t="s">
        <v>423</v>
      </c>
      <c r="CB1259" s="604" t="s">
        <v>454</v>
      </c>
      <c r="CC1259" s="604">
        <v>4</v>
      </c>
      <c r="CD1259" s="604" t="s">
        <v>33</v>
      </c>
    </row>
    <row r="1260" spans="9:82">
      <c r="I1260" s="578" t="str">
        <f t="shared" si="142"/>
        <v>2007age35-39Peri</v>
      </c>
      <c r="J1260" s="604">
        <v>2007</v>
      </c>
      <c r="K1260" s="604" t="s">
        <v>453</v>
      </c>
      <c r="L1260" s="604" t="s">
        <v>133</v>
      </c>
      <c r="M1260" s="604">
        <v>113</v>
      </c>
      <c r="N1260" s="604">
        <v>11797</v>
      </c>
      <c r="O1260" s="604">
        <v>9.6</v>
      </c>
      <c r="P1260" s="604" t="s">
        <v>483</v>
      </c>
      <c r="Q1260" s="499"/>
      <c r="Y1260" s="535" t="str">
        <f t="shared" si="143"/>
        <v>2016bwtdep2500-4499Quin 4infant</v>
      </c>
      <c r="Z1260" s="604">
        <v>2016</v>
      </c>
      <c r="AA1260" s="604" t="s">
        <v>447</v>
      </c>
      <c r="AB1260" s="604" t="s">
        <v>454</v>
      </c>
      <c r="AC1260" s="604" t="s">
        <v>431</v>
      </c>
      <c r="AD1260" s="604" t="s">
        <v>424</v>
      </c>
      <c r="AE1260" s="604">
        <v>22</v>
      </c>
      <c r="AF1260" s="604">
        <v>12014</v>
      </c>
      <c r="AG1260" s="604">
        <v>1.8</v>
      </c>
      <c r="AH1260" s="604" t="s">
        <v>437</v>
      </c>
      <c r="AR1260" s="538" t="str">
        <f t="shared" si="145"/>
        <v>28-31gestinfantWest Coast</v>
      </c>
      <c r="AS1260" s="604">
        <v>2016</v>
      </c>
      <c r="AT1260" s="604" t="s">
        <v>395</v>
      </c>
      <c r="AU1260" s="604" t="s">
        <v>450</v>
      </c>
      <c r="AV1260" s="604" t="s">
        <v>100</v>
      </c>
      <c r="AW1260" s="604">
        <v>0</v>
      </c>
      <c r="AX1260" s="604">
        <v>2</v>
      </c>
      <c r="AY1260" s="606">
        <v>0</v>
      </c>
      <c r="AZ1260" s="604" t="s">
        <v>437</v>
      </c>
      <c r="BY1260" s="553" t="str">
        <f t="shared" si="144"/>
        <v>2014Quin 4depSUDI</v>
      </c>
      <c r="BZ1260" s="604">
        <v>2014</v>
      </c>
      <c r="CA1260" s="604" t="s">
        <v>424</v>
      </c>
      <c r="CB1260" s="604" t="s">
        <v>454</v>
      </c>
      <c r="CC1260" s="604">
        <v>10</v>
      </c>
      <c r="CD1260" s="604" t="s">
        <v>33</v>
      </c>
    </row>
    <row r="1261" spans="9:82">
      <c r="I1261" s="578" t="str">
        <f t="shared" si="142"/>
        <v>2007age40+Peri</v>
      </c>
      <c r="J1261" s="604">
        <v>2007</v>
      </c>
      <c r="K1261" s="604" t="s">
        <v>453</v>
      </c>
      <c r="L1261" s="604" t="s">
        <v>134</v>
      </c>
      <c r="M1261" s="604">
        <v>29</v>
      </c>
      <c r="N1261" s="604">
        <v>2436</v>
      </c>
      <c r="O1261" s="604">
        <v>11.9</v>
      </c>
      <c r="P1261" s="604" t="s">
        <v>483</v>
      </c>
      <c r="Q1261" s="499"/>
      <c r="Y1261" s="535" t="str">
        <f t="shared" si="143"/>
        <v>2016bwtdep4500+Quin 4infant</v>
      </c>
      <c r="Z1261" s="604">
        <v>2016</v>
      </c>
      <c r="AA1261" s="604" t="s">
        <v>447</v>
      </c>
      <c r="AB1261" s="604" t="s">
        <v>454</v>
      </c>
      <c r="AC1261" s="604" t="s">
        <v>432</v>
      </c>
      <c r="AD1261" s="604" t="s">
        <v>424</v>
      </c>
      <c r="AE1261" s="604">
        <v>0</v>
      </c>
      <c r="AF1261" s="604">
        <v>295</v>
      </c>
      <c r="AG1261" s="604">
        <v>0</v>
      </c>
      <c r="AH1261" s="604" t="s">
        <v>437</v>
      </c>
      <c r="AR1261" s="538" t="str">
        <f t="shared" si="145"/>
        <v>32-36gestinfantWest Coast</v>
      </c>
      <c r="AS1261" s="604">
        <v>2016</v>
      </c>
      <c r="AT1261" s="604" t="s">
        <v>136</v>
      </c>
      <c r="AU1261" s="604" t="s">
        <v>450</v>
      </c>
      <c r="AV1261" s="604" t="s">
        <v>100</v>
      </c>
      <c r="AW1261" s="604">
        <v>0</v>
      </c>
      <c r="AX1261" s="604">
        <v>12</v>
      </c>
      <c r="AY1261" s="606">
        <v>0</v>
      </c>
      <c r="AZ1261" s="604" t="s">
        <v>437</v>
      </c>
      <c r="BY1261" s="553" t="str">
        <f t="shared" si="144"/>
        <v>2014Quin 5depSUDI</v>
      </c>
      <c r="BZ1261" s="604">
        <v>2014</v>
      </c>
      <c r="CA1261" s="604" t="s">
        <v>425</v>
      </c>
      <c r="CB1261" s="604" t="s">
        <v>454</v>
      </c>
      <c r="CC1261" s="604">
        <v>25</v>
      </c>
      <c r="CD1261" s="604" t="s">
        <v>33</v>
      </c>
    </row>
    <row r="1262" spans="9:82">
      <c r="I1262" s="578" t="str">
        <f t="shared" si="142"/>
        <v>2007ageUnknownPeri</v>
      </c>
      <c r="J1262" s="604">
        <v>2007</v>
      </c>
      <c r="K1262" s="604" t="s">
        <v>453</v>
      </c>
      <c r="L1262" s="604" t="s">
        <v>63</v>
      </c>
      <c r="M1262" s="604">
        <v>2</v>
      </c>
      <c r="N1262" s="604">
        <v>0</v>
      </c>
      <c r="O1262" s="604" t="s">
        <v>119</v>
      </c>
      <c r="P1262" s="604" t="s">
        <v>483</v>
      </c>
      <c r="Q1262" s="499"/>
      <c r="Y1262" s="535" t="str">
        <f t="shared" si="143"/>
        <v>2016bwtdepUnknownQuin 4infant</v>
      </c>
      <c r="Z1262" s="604">
        <v>2016</v>
      </c>
      <c r="AA1262" s="604" t="s">
        <v>447</v>
      </c>
      <c r="AB1262" s="604" t="s">
        <v>454</v>
      </c>
      <c r="AC1262" s="604" t="s">
        <v>63</v>
      </c>
      <c r="AD1262" s="604" t="s">
        <v>424</v>
      </c>
      <c r="AE1262" s="604">
        <v>0</v>
      </c>
      <c r="AF1262" s="604">
        <v>6</v>
      </c>
      <c r="AG1262" s="604" t="s">
        <v>119</v>
      </c>
      <c r="AH1262" s="604" t="s">
        <v>437</v>
      </c>
      <c r="AR1262" s="538" t="str">
        <f t="shared" si="145"/>
        <v>37-41gestinfantWest Coast</v>
      </c>
      <c r="AS1262" s="604">
        <v>2016</v>
      </c>
      <c r="AT1262" s="604" t="s">
        <v>137</v>
      </c>
      <c r="AU1262" s="604" t="s">
        <v>450</v>
      </c>
      <c r="AV1262" s="604" t="s">
        <v>100</v>
      </c>
      <c r="AW1262" s="604">
        <v>0</v>
      </c>
      <c r="AX1262" s="604">
        <v>306</v>
      </c>
      <c r="AY1262" s="606">
        <v>0</v>
      </c>
      <c r="AZ1262" s="604" t="s">
        <v>437</v>
      </c>
      <c r="BY1262" s="553" t="str">
        <f t="shared" si="144"/>
        <v>2014Quin 9depSUDI</v>
      </c>
      <c r="BZ1262" s="604">
        <v>2014</v>
      </c>
      <c r="CA1262" s="604" t="s">
        <v>426</v>
      </c>
      <c r="CB1262" s="604" t="s">
        <v>454</v>
      </c>
      <c r="CC1262" s="604">
        <v>1</v>
      </c>
      <c r="CD1262" s="604" t="s">
        <v>33</v>
      </c>
    </row>
    <row r="1263" spans="9:82">
      <c r="I1263" s="578" t="str">
        <f t="shared" si="142"/>
        <v>2008age&lt;20Peri</v>
      </c>
      <c r="J1263" s="604">
        <v>2008</v>
      </c>
      <c r="K1263" s="604" t="s">
        <v>453</v>
      </c>
      <c r="L1263" s="604" t="s">
        <v>339</v>
      </c>
      <c r="M1263" s="604">
        <v>84</v>
      </c>
      <c r="N1263" s="604">
        <v>5372</v>
      </c>
      <c r="O1263" s="604">
        <v>15.6</v>
      </c>
      <c r="P1263" s="604" t="s">
        <v>483</v>
      </c>
      <c r="Q1263" s="499"/>
      <c r="Y1263" s="535" t="str">
        <f t="shared" si="143"/>
        <v>2016bwtdep&lt;500Quin 5infant</v>
      </c>
      <c r="Z1263" s="604">
        <v>2016</v>
      </c>
      <c r="AA1263" s="604" t="s">
        <v>447</v>
      </c>
      <c r="AB1263" s="604" t="s">
        <v>454</v>
      </c>
      <c r="AC1263" s="604" t="s">
        <v>427</v>
      </c>
      <c r="AD1263" s="604" t="s">
        <v>425</v>
      </c>
      <c r="AE1263" s="604">
        <v>13</v>
      </c>
      <c r="AF1263" s="604">
        <v>17</v>
      </c>
      <c r="AG1263" s="604">
        <v>764.7</v>
      </c>
      <c r="AH1263" s="604" t="s">
        <v>437</v>
      </c>
      <c r="AR1263" s="538" t="str">
        <f t="shared" si="145"/>
        <v>42+gestinfantWest Coast</v>
      </c>
      <c r="AS1263" s="604">
        <v>2016</v>
      </c>
      <c r="AT1263" s="604" t="s">
        <v>138</v>
      </c>
      <c r="AU1263" s="604" t="s">
        <v>450</v>
      </c>
      <c r="AV1263" s="604" t="s">
        <v>100</v>
      </c>
      <c r="AW1263" s="604">
        <v>0</v>
      </c>
      <c r="AX1263" s="604">
        <v>6</v>
      </c>
      <c r="AY1263" s="606">
        <v>0</v>
      </c>
      <c r="AZ1263" s="604" t="s">
        <v>437</v>
      </c>
      <c r="BY1263" s="553" t="str">
        <f t="shared" si="144"/>
        <v>2015Quin 1depSUDI</v>
      </c>
      <c r="BZ1263" s="604">
        <v>2015</v>
      </c>
      <c r="CA1263" s="604" t="s">
        <v>421</v>
      </c>
      <c r="CB1263" s="604" t="s">
        <v>454</v>
      </c>
      <c r="CC1263" s="604">
        <v>2</v>
      </c>
      <c r="CD1263" s="604" t="s">
        <v>33</v>
      </c>
    </row>
    <row r="1264" spans="9:82">
      <c r="I1264" s="578" t="str">
        <f t="shared" si="142"/>
        <v>2008age20-24Peri</v>
      </c>
      <c r="J1264" s="604">
        <v>2008</v>
      </c>
      <c r="K1264" s="604" t="s">
        <v>453</v>
      </c>
      <c r="L1264" s="604" t="s">
        <v>130</v>
      </c>
      <c r="M1264" s="604">
        <v>136</v>
      </c>
      <c r="N1264" s="604">
        <v>11898</v>
      </c>
      <c r="O1264" s="604">
        <v>11.4</v>
      </c>
      <c r="P1264" s="604" t="s">
        <v>483</v>
      </c>
      <c r="Q1264" s="499"/>
      <c r="Y1264" s="535" t="str">
        <f t="shared" si="143"/>
        <v>2016bwtdep500-999Quin 5infant</v>
      </c>
      <c r="Z1264" s="604">
        <v>2016</v>
      </c>
      <c r="AA1264" s="604" t="s">
        <v>447</v>
      </c>
      <c r="AB1264" s="604" t="s">
        <v>454</v>
      </c>
      <c r="AC1264" s="604" t="s">
        <v>428</v>
      </c>
      <c r="AD1264" s="604" t="s">
        <v>425</v>
      </c>
      <c r="AE1264" s="604">
        <v>24</v>
      </c>
      <c r="AF1264" s="604">
        <v>67</v>
      </c>
      <c r="AG1264" s="604">
        <v>358.2</v>
      </c>
      <c r="AH1264" s="604" t="s">
        <v>437</v>
      </c>
      <c r="AR1264" s="538" t="str">
        <f t="shared" si="145"/>
        <v>42+gestinfantCanterbury</v>
      </c>
      <c r="AS1264" s="604">
        <v>2016</v>
      </c>
      <c r="AT1264" s="604" t="s">
        <v>138</v>
      </c>
      <c r="AU1264" s="604" t="s">
        <v>450</v>
      </c>
      <c r="AV1264" s="604" t="s">
        <v>101</v>
      </c>
      <c r="AW1264" s="604">
        <v>0</v>
      </c>
      <c r="AX1264" s="604">
        <v>101</v>
      </c>
      <c r="AY1264" s="606">
        <v>0</v>
      </c>
      <c r="AZ1264" s="604" t="s">
        <v>437</v>
      </c>
      <c r="BY1264" s="553" t="str">
        <f t="shared" si="144"/>
        <v>2015Quin 2depSUDI</v>
      </c>
      <c r="BZ1264" s="604">
        <v>2015</v>
      </c>
      <c r="CA1264" s="604" t="s">
        <v>422</v>
      </c>
      <c r="CB1264" s="604" t="s">
        <v>454</v>
      </c>
      <c r="CC1264" s="604">
        <v>2</v>
      </c>
      <c r="CD1264" s="604" t="s">
        <v>33</v>
      </c>
    </row>
    <row r="1265" spans="9:82">
      <c r="I1265" s="578" t="str">
        <f t="shared" si="142"/>
        <v>2008age25-29Peri</v>
      </c>
      <c r="J1265" s="604">
        <v>2008</v>
      </c>
      <c r="K1265" s="604" t="s">
        <v>453</v>
      </c>
      <c r="L1265" s="604" t="s">
        <v>131</v>
      </c>
      <c r="M1265" s="604">
        <v>153</v>
      </c>
      <c r="N1265" s="604">
        <v>16021</v>
      </c>
      <c r="O1265" s="604">
        <v>9.5</v>
      </c>
      <c r="P1265" s="604" t="s">
        <v>483</v>
      </c>
      <c r="Q1265" s="499"/>
      <c r="Y1265" s="535" t="str">
        <f t="shared" si="143"/>
        <v>2016bwtdep1000-1499Quin 5infant</v>
      </c>
      <c r="Z1265" s="604">
        <v>2016</v>
      </c>
      <c r="AA1265" s="604" t="s">
        <v>447</v>
      </c>
      <c r="AB1265" s="604" t="s">
        <v>454</v>
      </c>
      <c r="AC1265" s="604" t="s">
        <v>429</v>
      </c>
      <c r="AD1265" s="604" t="s">
        <v>425</v>
      </c>
      <c r="AE1265" s="604">
        <v>3</v>
      </c>
      <c r="AF1265" s="604">
        <v>103</v>
      </c>
      <c r="AG1265" s="604">
        <v>29.1</v>
      </c>
      <c r="AH1265" s="604" t="s">
        <v>437</v>
      </c>
      <c r="AR1265" s="538" t="str">
        <f t="shared" si="145"/>
        <v>28-31gestinfantSouth Canterbury</v>
      </c>
      <c r="AS1265" s="604">
        <v>2016</v>
      </c>
      <c r="AT1265" s="604" t="s">
        <v>395</v>
      </c>
      <c r="AU1265" s="604" t="s">
        <v>450</v>
      </c>
      <c r="AV1265" s="604" t="s">
        <v>102</v>
      </c>
      <c r="AW1265" s="604">
        <v>0</v>
      </c>
      <c r="AX1265" s="604">
        <v>3</v>
      </c>
      <c r="AY1265" s="606">
        <v>0</v>
      </c>
      <c r="AZ1265" s="604" t="s">
        <v>437</v>
      </c>
      <c r="BY1265" s="553" t="str">
        <f t="shared" si="144"/>
        <v>2015Quin 3depSUDI</v>
      </c>
      <c r="BZ1265" s="604">
        <v>2015</v>
      </c>
      <c r="CA1265" s="604" t="s">
        <v>423</v>
      </c>
      <c r="CB1265" s="604" t="s">
        <v>454</v>
      </c>
      <c r="CC1265" s="604">
        <v>5</v>
      </c>
      <c r="CD1265" s="604" t="s">
        <v>33</v>
      </c>
    </row>
    <row r="1266" spans="9:82">
      <c r="I1266" s="578" t="str">
        <f t="shared" si="142"/>
        <v>2008age30-34Peri</v>
      </c>
      <c r="J1266" s="604">
        <v>2008</v>
      </c>
      <c r="K1266" s="604" t="s">
        <v>453</v>
      </c>
      <c r="L1266" s="604" t="s">
        <v>132</v>
      </c>
      <c r="M1266" s="604">
        <v>177</v>
      </c>
      <c r="N1266" s="604">
        <v>18153</v>
      </c>
      <c r="O1266" s="604">
        <v>9.8000000000000007</v>
      </c>
      <c r="P1266" s="604" t="s">
        <v>483</v>
      </c>
      <c r="Q1266" s="499"/>
      <c r="Y1266" s="535" t="str">
        <f t="shared" si="143"/>
        <v>2016bwtdep1500-2499Quin 5infant</v>
      </c>
      <c r="Z1266" s="604">
        <v>2016</v>
      </c>
      <c r="AA1266" s="604" t="s">
        <v>447</v>
      </c>
      <c r="AB1266" s="604" t="s">
        <v>454</v>
      </c>
      <c r="AC1266" s="604" t="s">
        <v>430</v>
      </c>
      <c r="AD1266" s="604" t="s">
        <v>425</v>
      </c>
      <c r="AE1266" s="604">
        <v>20</v>
      </c>
      <c r="AF1266" s="604">
        <v>920</v>
      </c>
      <c r="AG1266" s="604">
        <v>21.7</v>
      </c>
      <c r="AH1266" s="604" t="s">
        <v>437</v>
      </c>
      <c r="AR1266" s="538" t="str">
        <f t="shared" si="145"/>
        <v>32-36gestinfantSouth Canterbury</v>
      </c>
      <c r="AS1266" s="604">
        <v>2016</v>
      </c>
      <c r="AT1266" s="604" t="s">
        <v>136</v>
      </c>
      <c r="AU1266" s="604" t="s">
        <v>450</v>
      </c>
      <c r="AV1266" s="604" t="s">
        <v>102</v>
      </c>
      <c r="AW1266" s="604">
        <v>0</v>
      </c>
      <c r="AX1266" s="604">
        <v>48</v>
      </c>
      <c r="AY1266" s="606">
        <v>0</v>
      </c>
      <c r="AZ1266" s="604" t="s">
        <v>437</v>
      </c>
      <c r="BY1266" s="553" t="str">
        <f t="shared" si="144"/>
        <v>2015Quin 4depSUDI</v>
      </c>
      <c r="BZ1266" s="604">
        <v>2015</v>
      </c>
      <c r="CA1266" s="604" t="s">
        <v>424</v>
      </c>
      <c r="CB1266" s="604" t="s">
        <v>454</v>
      </c>
      <c r="CC1266" s="604">
        <v>10</v>
      </c>
      <c r="CD1266" s="604" t="s">
        <v>33</v>
      </c>
    </row>
    <row r="1267" spans="9:82">
      <c r="I1267" s="578" t="str">
        <f t="shared" si="142"/>
        <v>2008age35-39Peri</v>
      </c>
      <c r="J1267" s="604">
        <v>2008</v>
      </c>
      <c r="K1267" s="604" t="s">
        <v>453</v>
      </c>
      <c r="L1267" s="604" t="s">
        <v>133</v>
      </c>
      <c r="M1267" s="604">
        <v>116</v>
      </c>
      <c r="N1267" s="604">
        <v>11995</v>
      </c>
      <c r="O1267" s="604">
        <v>9.6999999999999993</v>
      </c>
      <c r="P1267" s="604" t="s">
        <v>483</v>
      </c>
      <c r="Q1267" s="499"/>
      <c r="Y1267" s="535" t="str">
        <f t="shared" si="143"/>
        <v>2016bwtdep2500-4499Quin 5infant</v>
      </c>
      <c r="Z1267" s="604">
        <v>2016</v>
      </c>
      <c r="AA1267" s="604" t="s">
        <v>447</v>
      </c>
      <c r="AB1267" s="604" t="s">
        <v>454</v>
      </c>
      <c r="AC1267" s="604" t="s">
        <v>431</v>
      </c>
      <c r="AD1267" s="604" t="s">
        <v>425</v>
      </c>
      <c r="AE1267" s="604">
        <v>43</v>
      </c>
      <c r="AF1267" s="604">
        <v>15318</v>
      </c>
      <c r="AG1267" s="604">
        <v>2.8</v>
      </c>
      <c r="AH1267" s="604" t="s">
        <v>437</v>
      </c>
      <c r="AR1267" s="538" t="str">
        <f t="shared" si="145"/>
        <v>42+gestinfantSouth Canterbury</v>
      </c>
      <c r="AS1267" s="604">
        <v>2016</v>
      </c>
      <c r="AT1267" s="604" t="s">
        <v>138</v>
      </c>
      <c r="AU1267" s="604" t="s">
        <v>450</v>
      </c>
      <c r="AV1267" s="604" t="s">
        <v>102</v>
      </c>
      <c r="AW1267" s="604">
        <v>0</v>
      </c>
      <c r="AX1267" s="604">
        <v>8</v>
      </c>
      <c r="AY1267" s="606">
        <v>0</v>
      </c>
      <c r="AZ1267" s="604" t="s">
        <v>437</v>
      </c>
      <c r="BY1267" s="553" t="str">
        <f t="shared" si="144"/>
        <v>2015Quin 5depSUDI</v>
      </c>
      <c r="BZ1267" s="604">
        <v>2015</v>
      </c>
      <c r="CA1267" s="604" t="s">
        <v>425</v>
      </c>
      <c r="CB1267" s="604" t="s">
        <v>454</v>
      </c>
      <c r="CC1267" s="604">
        <v>25</v>
      </c>
      <c r="CD1267" s="604" t="s">
        <v>33</v>
      </c>
    </row>
    <row r="1268" spans="9:82">
      <c r="I1268" s="578" t="str">
        <f t="shared" si="142"/>
        <v>2008age40+Peri</v>
      </c>
      <c r="J1268" s="604">
        <v>2008</v>
      </c>
      <c r="K1268" s="604" t="s">
        <v>453</v>
      </c>
      <c r="L1268" s="604" t="s">
        <v>134</v>
      </c>
      <c r="M1268" s="604">
        <v>34</v>
      </c>
      <c r="N1268" s="604">
        <v>2450</v>
      </c>
      <c r="O1268" s="604">
        <v>13.9</v>
      </c>
      <c r="P1268" s="604" t="s">
        <v>483</v>
      </c>
      <c r="Q1268" s="499"/>
      <c r="Y1268" s="535" t="str">
        <f t="shared" si="143"/>
        <v>2016bwtdep4500+Quin 5infant</v>
      </c>
      <c r="Z1268" s="604">
        <v>2016</v>
      </c>
      <c r="AA1268" s="604" t="s">
        <v>447</v>
      </c>
      <c r="AB1268" s="604" t="s">
        <v>454</v>
      </c>
      <c r="AC1268" s="604" t="s">
        <v>432</v>
      </c>
      <c r="AD1268" s="604" t="s">
        <v>425</v>
      </c>
      <c r="AE1268" s="604">
        <v>0</v>
      </c>
      <c r="AF1268" s="604">
        <v>454</v>
      </c>
      <c r="AG1268" s="604">
        <v>0</v>
      </c>
      <c r="AH1268" s="604" t="s">
        <v>437</v>
      </c>
      <c r="AR1268" s="538" t="str">
        <f t="shared" si="145"/>
        <v>32-36gestinfantSouthern</v>
      </c>
      <c r="AS1268" s="604">
        <v>2016</v>
      </c>
      <c r="AT1268" s="604" t="s">
        <v>136</v>
      </c>
      <c r="AU1268" s="604" t="s">
        <v>450</v>
      </c>
      <c r="AV1268" s="604" t="s">
        <v>103</v>
      </c>
      <c r="AW1268" s="604">
        <v>0</v>
      </c>
      <c r="AX1268" s="604">
        <v>251</v>
      </c>
      <c r="AY1268" s="606">
        <v>0</v>
      </c>
      <c r="AZ1268" s="604" t="s">
        <v>437</v>
      </c>
      <c r="BY1268" s="553" t="str">
        <f t="shared" si="144"/>
        <v>2015Quin 9depSUDI</v>
      </c>
      <c r="BZ1268" s="604">
        <v>2015</v>
      </c>
      <c r="CA1268" s="604" t="s">
        <v>426</v>
      </c>
      <c r="CB1268" s="604" t="s">
        <v>454</v>
      </c>
      <c r="CC1268" s="604">
        <v>0</v>
      </c>
      <c r="CD1268" s="604" t="s">
        <v>33</v>
      </c>
    </row>
    <row r="1269" spans="9:82">
      <c r="I1269" s="578" t="str">
        <f t="shared" si="142"/>
        <v>2008ageUnknownPeri</v>
      </c>
      <c r="J1269" s="604">
        <v>2008</v>
      </c>
      <c r="K1269" s="604" t="s">
        <v>453</v>
      </c>
      <c r="L1269" s="604" t="s">
        <v>63</v>
      </c>
      <c r="M1269" s="604">
        <v>1</v>
      </c>
      <c r="N1269" s="604">
        <v>0</v>
      </c>
      <c r="O1269" s="604" t="s">
        <v>119</v>
      </c>
      <c r="P1269" s="604" t="s">
        <v>483</v>
      </c>
      <c r="Q1269" s="499"/>
      <c r="Y1269" s="535" t="str">
        <f t="shared" si="143"/>
        <v>2016bwtdepUnknownQuin 5infant</v>
      </c>
      <c r="Z1269" s="604">
        <v>2016</v>
      </c>
      <c r="AA1269" s="604" t="s">
        <v>447</v>
      </c>
      <c r="AB1269" s="604" t="s">
        <v>454</v>
      </c>
      <c r="AC1269" s="604" t="s">
        <v>63</v>
      </c>
      <c r="AD1269" s="604" t="s">
        <v>425</v>
      </c>
      <c r="AE1269" s="604">
        <v>4</v>
      </c>
      <c r="AF1269" s="604">
        <v>7</v>
      </c>
      <c r="AG1269" s="604" t="s">
        <v>119</v>
      </c>
      <c r="AH1269" s="604" t="s">
        <v>437</v>
      </c>
      <c r="AR1269" s="538" t="str">
        <f t="shared" si="145"/>
        <v>42+gestinfantSouthern</v>
      </c>
      <c r="AS1269" s="604">
        <v>2016</v>
      </c>
      <c r="AT1269" s="604" t="s">
        <v>138</v>
      </c>
      <c r="AU1269" s="604" t="s">
        <v>450</v>
      </c>
      <c r="AV1269" s="604" t="s">
        <v>103</v>
      </c>
      <c r="AW1269" s="604">
        <v>0</v>
      </c>
      <c r="AX1269" s="604">
        <v>40</v>
      </c>
      <c r="AY1269" s="606">
        <v>0</v>
      </c>
      <c r="AZ1269" s="604" t="s">
        <v>437</v>
      </c>
      <c r="BY1269" s="553" t="str">
        <f t="shared" si="144"/>
        <v>2016Quin 1depSUDI</v>
      </c>
      <c r="BZ1269" s="604">
        <v>2016</v>
      </c>
      <c r="CA1269" s="604" t="s">
        <v>421</v>
      </c>
      <c r="CB1269" s="604" t="s">
        <v>454</v>
      </c>
      <c r="CC1269" s="604">
        <v>1</v>
      </c>
      <c r="CD1269" s="604" t="s">
        <v>33</v>
      </c>
    </row>
    <row r="1270" spans="9:82">
      <c r="I1270" s="578" t="str">
        <f t="shared" si="142"/>
        <v>2009age&lt;20Peri</v>
      </c>
      <c r="J1270" s="604">
        <v>2009</v>
      </c>
      <c r="K1270" s="604" t="s">
        <v>453</v>
      </c>
      <c r="L1270" s="604" t="s">
        <v>339</v>
      </c>
      <c r="M1270" s="604">
        <v>72</v>
      </c>
      <c r="N1270" s="604">
        <v>4787</v>
      </c>
      <c r="O1270" s="604">
        <v>15</v>
      </c>
      <c r="P1270" s="604" t="s">
        <v>483</v>
      </c>
      <c r="Q1270" s="499"/>
      <c r="Y1270" s="535" t="str">
        <f t="shared" si="143"/>
        <v>2016bwtdep500-999Quin 9infant</v>
      </c>
      <c r="Z1270" s="604">
        <v>2016</v>
      </c>
      <c r="AA1270" s="604" t="s">
        <v>447</v>
      </c>
      <c r="AB1270" s="604" t="s">
        <v>454</v>
      </c>
      <c r="AC1270" s="604" t="s">
        <v>428</v>
      </c>
      <c r="AD1270" s="604" t="s">
        <v>426</v>
      </c>
      <c r="AE1270" s="604">
        <v>1</v>
      </c>
      <c r="AF1270" s="604">
        <v>1</v>
      </c>
      <c r="AG1270" s="604" t="s">
        <v>119</v>
      </c>
      <c r="AH1270" s="604" t="s">
        <v>437</v>
      </c>
      <c r="AR1270" s="538" t="str">
        <f t="shared" si="145"/>
        <v>UnknowngestinfantSouthern</v>
      </c>
      <c r="AS1270" s="604">
        <v>2016</v>
      </c>
      <c r="AT1270" s="604" t="s">
        <v>63</v>
      </c>
      <c r="AU1270" s="604" t="s">
        <v>450</v>
      </c>
      <c r="AV1270" s="604" t="s">
        <v>103</v>
      </c>
      <c r="AW1270" s="604">
        <v>0</v>
      </c>
      <c r="AX1270" s="604">
        <v>1</v>
      </c>
      <c r="AY1270" s="606" t="s">
        <v>119</v>
      </c>
      <c r="AZ1270" s="604" t="s">
        <v>437</v>
      </c>
      <c r="BY1270" s="553" t="str">
        <f t="shared" si="144"/>
        <v>2016Quin 2depSUDI</v>
      </c>
      <c r="BZ1270" s="604">
        <v>2016</v>
      </c>
      <c r="CA1270" s="604" t="s">
        <v>422</v>
      </c>
      <c r="CB1270" s="604" t="s">
        <v>454</v>
      </c>
      <c r="CC1270" s="604">
        <v>4</v>
      </c>
      <c r="CD1270" s="604" t="s">
        <v>33</v>
      </c>
    </row>
    <row r="1271" spans="9:82">
      <c r="I1271" s="578" t="str">
        <f t="shared" si="142"/>
        <v>2009age20-24Peri</v>
      </c>
      <c r="J1271" s="604">
        <v>2009</v>
      </c>
      <c r="K1271" s="604" t="s">
        <v>453</v>
      </c>
      <c r="L1271" s="604" t="s">
        <v>130</v>
      </c>
      <c r="M1271" s="604">
        <v>125</v>
      </c>
      <c r="N1271" s="604">
        <v>11777</v>
      </c>
      <c r="O1271" s="604">
        <v>10.6</v>
      </c>
      <c r="P1271" s="604" t="s">
        <v>483</v>
      </c>
      <c r="Q1271" s="499"/>
      <c r="Y1271" s="535" t="str">
        <f t="shared" si="143"/>
        <v>2016bwtdep1500-2499Quin 9infant</v>
      </c>
      <c r="Z1271" s="604">
        <v>2016</v>
      </c>
      <c r="AA1271" s="604" t="s">
        <v>447</v>
      </c>
      <c r="AB1271" s="604" t="s">
        <v>454</v>
      </c>
      <c r="AC1271" s="604" t="s">
        <v>430</v>
      </c>
      <c r="AD1271" s="604" t="s">
        <v>426</v>
      </c>
      <c r="AE1271" s="604">
        <v>0</v>
      </c>
      <c r="AF1271" s="604">
        <v>4</v>
      </c>
      <c r="AG1271" s="604" t="s">
        <v>119</v>
      </c>
      <c r="AH1271" s="604" t="s">
        <v>437</v>
      </c>
      <c r="AR1271" s="538" t="str">
        <f t="shared" si="145"/>
        <v>&lt;28gestinfantUnknown</v>
      </c>
      <c r="AS1271" s="604">
        <v>2016</v>
      </c>
      <c r="AT1271" s="604" t="s">
        <v>375</v>
      </c>
      <c r="AU1271" s="604" t="s">
        <v>450</v>
      </c>
      <c r="AV1271" s="604" t="s">
        <v>63</v>
      </c>
      <c r="AW1271" s="604">
        <v>0</v>
      </c>
      <c r="AX1271" s="604">
        <v>1</v>
      </c>
      <c r="AY1271" s="606" t="s">
        <v>119</v>
      </c>
      <c r="AZ1271" s="604" t="s">
        <v>437</v>
      </c>
      <c r="BY1271" s="553" t="str">
        <f t="shared" si="144"/>
        <v>2016Quin 3depSUDI</v>
      </c>
      <c r="BZ1271" s="604">
        <v>2016</v>
      </c>
      <c r="CA1271" s="604" t="s">
        <v>423</v>
      </c>
      <c r="CB1271" s="604" t="s">
        <v>454</v>
      </c>
      <c r="CC1271" s="604">
        <v>5</v>
      </c>
      <c r="CD1271" s="604" t="s">
        <v>33</v>
      </c>
    </row>
    <row r="1272" spans="9:82">
      <c r="I1272" s="578" t="str">
        <f t="shared" si="142"/>
        <v>2009age25-29Peri</v>
      </c>
      <c r="J1272" s="604">
        <v>2009</v>
      </c>
      <c r="K1272" s="604" t="s">
        <v>453</v>
      </c>
      <c r="L1272" s="604" t="s">
        <v>131</v>
      </c>
      <c r="M1272" s="604">
        <v>136</v>
      </c>
      <c r="N1272" s="604">
        <v>15627</v>
      </c>
      <c r="O1272" s="604">
        <v>8.6999999999999993</v>
      </c>
      <c r="P1272" s="604" t="s">
        <v>483</v>
      </c>
      <c r="Q1272" s="499"/>
      <c r="Y1272" s="535" t="str">
        <f t="shared" si="143"/>
        <v>2016bwtdep2500-4499Quin 9infant</v>
      </c>
      <c r="Z1272" s="604">
        <v>2016</v>
      </c>
      <c r="AA1272" s="604" t="s">
        <v>447</v>
      </c>
      <c r="AB1272" s="604" t="s">
        <v>454</v>
      </c>
      <c r="AC1272" s="604" t="s">
        <v>431</v>
      </c>
      <c r="AD1272" s="604" t="s">
        <v>426</v>
      </c>
      <c r="AE1272" s="604">
        <v>0</v>
      </c>
      <c r="AF1272" s="604">
        <v>123</v>
      </c>
      <c r="AG1272" s="604" t="s">
        <v>119</v>
      </c>
      <c r="AH1272" s="604" t="s">
        <v>437</v>
      </c>
      <c r="AR1272" s="538" t="str">
        <f t="shared" si="145"/>
        <v>32-36gestinfantUnknown</v>
      </c>
      <c r="AS1272" s="604">
        <v>2016</v>
      </c>
      <c r="AT1272" s="604" t="s">
        <v>136</v>
      </c>
      <c r="AU1272" s="604" t="s">
        <v>450</v>
      </c>
      <c r="AV1272" s="604" t="s">
        <v>63</v>
      </c>
      <c r="AW1272" s="604">
        <v>0</v>
      </c>
      <c r="AX1272" s="604">
        <v>12</v>
      </c>
      <c r="AY1272" s="606" t="s">
        <v>119</v>
      </c>
      <c r="AZ1272" s="604" t="s">
        <v>437</v>
      </c>
      <c r="BY1272" s="553" t="str">
        <f t="shared" si="144"/>
        <v>2016Quin 4depSUDI</v>
      </c>
      <c r="BZ1272" s="604">
        <v>2016</v>
      </c>
      <c r="CA1272" s="604" t="s">
        <v>424</v>
      </c>
      <c r="CB1272" s="604" t="s">
        <v>454</v>
      </c>
      <c r="CC1272" s="604">
        <v>11</v>
      </c>
      <c r="CD1272" s="604" t="s">
        <v>33</v>
      </c>
    </row>
    <row r="1273" spans="9:82">
      <c r="I1273" s="578" t="str">
        <f t="shared" si="142"/>
        <v>2009age30-34Peri</v>
      </c>
      <c r="J1273" s="604">
        <v>2009</v>
      </c>
      <c r="K1273" s="604" t="s">
        <v>453</v>
      </c>
      <c r="L1273" s="604" t="s">
        <v>132</v>
      </c>
      <c r="M1273" s="604">
        <v>150</v>
      </c>
      <c r="N1273" s="604">
        <v>17581</v>
      </c>
      <c r="O1273" s="604">
        <v>8.5</v>
      </c>
      <c r="P1273" s="604" t="s">
        <v>483</v>
      </c>
      <c r="Q1273" s="499"/>
      <c r="Y1273" s="535" t="str">
        <f t="shared" si="143"/>
        <v>2016bwtdep4500+Quin 9infant</v>
      </c>
      <c r="Z1273" s="604">
        <v>2016</v>
      </c>
      <c r="AA1273" s="604" t="s">
        <v>447</v>
      </c>
      <c r="AB1273" s="604" t="s">
        <v>454</v>
      </c>
      <c r="AC1273" s="604" t="s">
        <v>432</v>
      </c>
      <c r="AD1273" s="604" t="s">
        <v>426</v>
      </c>
      <c r="AE1273" s="604">
        <v>0</v>
      </c>
      <c r="AF1273" s="604">
        <v>2</v>
      </c>
      <c r="AG1273" s="604" t="s">
        <v>119</v>
      </c>
      <c r="AH1273" s="604" t="s">
        <v>437</v>
      </c>
      <c r="AR1273" s="538" t="str">
        <f t="shared" si="145"/>
        <v>37-41gestinfantUnknown</v>
      </c>
      <c r="AS1273" s="604">
        <v>2016</v>
      </c>
      <c r="AT1273" s="604" t="s">
        <v>137</v>
      </c>
      <c r="AU1273" s="604" t="s">
        <v>450</v>
      </c>
      <c r="AV1273" s="604" t="s">
        <v>63</v>
      </c>
      <c r="AW1273" s="604">
        <v>0</v>
      </c>
      <c r="AX1273" s="604">
        <v>112</v>
      </c>
      <c r="AY1273" s="606" t="s">
        <v>119</v>
      </c>
      <c r="AZ1273" s="604" t="s">
        <v>437</v>
      </c>
      <c r="BY1273" s="553" t="str">
        <f t="shared" si="144"/>
        <v>2016Quin 5depSUDI</v>
      </c>
      <c r="BZ1273" s="604">
        <v>2016</v>
      </c>
      <c r="CA1273" s="604" t="s">
        <v>425</v>
      </c>
      <c r="CB1273" s="604" t="s">
        <v>454</v>
      </c>
      <c r="CC1273" s="604">
        <v>21</v>
      </c>
      <c r="CD1273" s="604" t="s">
        <v>33</v>
      </c>
    </row>
    <row r="1274" spans="9:82">
      <c r="I1274" s="578" t="str">
        <f t="shared" si="142"/>
        <v>2009age35-39Peri</v>
      </c>
      <c r="J1274" s="604">
        <v>2009</v>
      </c>
      <c r="K1274" s="604" t="s">
        <v>453</v>
      </c>
      <c r="L1274" s="604" t="s">
        <v>133</v>
      </c>
      <c r="M1274" s="604">
        <v>129</v>
      </c>
      <c r="N1274" s="604">
        <v>11497</v>
      </c>
      <c r="O1274" s="604">
        <v>11.2</v>
      </c>
      <c r="P1274" s="604" t="s">
        <v>483</v>
      </c>
      <c r="Q1274" s="499"/>
      <c r="Y1274" s="535" t="str">
        <f t="shared" si="143"/>
        <v>2016bwtdepUnknownQuin 9infant</v>
      </c>
      <c r="Z1274" s="604">
        <v>2016</v>
      </c>
      <c r="AA1274" s="604" t="s">
        <v>447</v>
      </c>
      <c r="AB1274" s="604" t="s">
        <v>454</v>
      </c>
      <c r="AC1274" s="604" t="s">
        <v>63</v>
      </c>
      <c r="AD1274" s="604" t="s">
        <v>426</v>
      </c>
      <c r="AE1274" s="604">
        <v>1</v>
      </c>
      <c r="AF1274" s="604">
        <v>1</v>
      </c>
      <c r="AG1274" s="604" t="s">
        <v>119</v>
      </c>
      <c r="AH1274" s="604" t="s">
        <v>437</v>
      </c>
      <c r="AR1274" s="538" t="str">
        <f t="shared" si="145"/>
        <v>42+gestinfantUnknown</v>
      </c>
      <c r="AS1274" s="604">
        <v>2016</v>
      </c>
      <c r="AT1274" s="604" t="s">
        <v>138</v>
      </c>
      <c r="AU1274" s="604" t="s">
        <v>450</v>
      </c>
      <c r="AV1274" s="604" t="s">
        <v>63</v>
      </c>
      <c r="AW1274" s="604">
        <v>0</v>
      </c>
      <c r="AX1274" s="604">
        <v>4</v>
      </c>
      <c r="AY1274" s="606" t="s">
        <v>119</v>
      </c>
      <c r="AZ1274" s="604" t="s">
        <v>437</v>
      </c>
      <c r="BY1274" s="553" t="str">
        <f t="shared" si="144"/>
        <v>2016Quin 9depSUDI</v>
      </c>
      <c r="BZ1274" s="604">
        <v>2016</v>
      </c>
      <c r="CA1274" s="604" t="s">
        <v>426</v>
      </c>
      <c r="CB1274" s="604" t="s">
        <v>454</v>
      </c>
      <c r="CC1274" s="604">
        <v>0</v>
      </c>
      <c r="CD1274" s="604" t="s">
        <v>33</v>
      </c>
    </row>
    <row r="1275" spans="9:82">
      <c r="I1275" s="578" t="str">
        <f t="shared" si="142"/>
        <v>2009age40+Peri</v>
      </c>
      <c r="J1275" s="604">
        <v>2009</v>
      </c>
      <c r="K1275" s="604" t="s">
        <v>453</v>
      </c>
      <c r="L1275" s="604" t="s">
        <v>134</v>
      </c>
      <c r="M1275" s="604">
        <v>21</v>
      </c>
      <c r="N1275" s="604">
        <v>2498</v>
      </c>
      <c r="O1275" s="604">
        <v>8.4</v>
      </c>
      <c r="P1275" s="604" t="s">
        <v>483</v>
      </c>
      <c r="Q1275" s="499"/>
      <c r="Y1275" s="535" t="str">
        <f t="shared" si="143"/>
        <v>2016agedep&lt;20Quin 1infant</v>
      </c>
      <c r="Z1275" s="604">
        <v>2016</v>
      </c>
      <c r="AA1275" s="604" t="s">
        <v>453</v>
      </c>
      <c r="AB1275" s="604" t="s">
        <v>454</v>
      </c>
      <c r="AC1275" s="604" t="s">
        <v>339</v>
      </c>
      <c r="AD1275" s="604" t="s">
        <v>421</v>
      </c>
      <c r="AE1275" s="604">
        <v>1</v>
      </c>
      <c r="AF1275" s="604">
        <v>118</v>
      </c>
      <c r="AG1275" s="604">
        <v>8.5</v>
      </c>
      <c r="AH1275" s="604" t="s">
        <v>437</v>
      </c>
      <c r="AR1275" s="538" t="str">
        <f t="shared" si="145"/>
        <v>4500+bwtinfantNorthland</v>
      </c>
      <c r="AS1275" s="604">
        <v>2016</v>
      </c>
      <c r="AT1275" s="604" t="s">
        <v>432</v>
      </c>
      <c r="AU1275" s="604" t="s">
        <v>447</v>
      </c>
      <c r="AV1275" s="604" t="s">
        <v>85</v>
      </c>
      <c r="AW1275" s="604">
        <v>0</v>
      </c>
      <c r="AX1275" s="604">
        <v>60</v>
      </c>
      <c r="AY1275" s="606">
        <v>0</v>
      </c>
      <c r="AZ1275" s="604" t="s">
        <v>437</v>
      </c>
      <c r="BY1275" s="553" t="str">
        <f t="shared" si="144"/>
        <v>2000NorthlanddhbSUDI</v>
      </c>
      <c r="BZ1275" s="604">
        <v>2000</v>
      </c>
      <c r="CA1275" s="604" t="s">
        <v>85</v>
      </c>
      <c r="CB1275" s="604" t="s">
        <v>448</v>
      </c>
      <c r="CC1275" s="604">
        <v>8</v>
      </c>
      <c r="CD1275" s="604" t="s">
        <v>33</v>
      </c>
    </row>
    <row r="1276" spans="9:82">
      <c r="I1276" s="578" t="str">
        <f t="shared" si="142"/>
        <v>2009ageUnknownPeri</v>
      </c>
      <c r="J1276" s="604">
        <v>2009</v>
      </c>
      <c r="K1276" s="604" t="s">
        <v>453</v>
      </c>
      <c r="L1276" s="604" t="s">
        <v>63</v>
      </c>
      <c r="M1276" s="604">
        <v>1</v>
      </c>
      <c r="N1276" s="604">
        <v>0</v>
      </c>
      <c r="O1276" s="604" t="s">
        <v>119</v>
      </c>
      <c r="P1276" s="604" t="s">
        <v>483</v>
      </c>
      <c r="Q1276" s="499"/>
      <c r="Y1276" s="535" t="str">
        <f t="shared" si="143"/>
        <v>2016agedep20-24Quin 1infant</v>
      </c>
      <c r="Z1276" s="604">
        <v>2016</v>
      </c>
      <c r="AA1276" s="604" t="s">
        <v>453</v>
      </c>
      <c r="AB1276" s="604" t="s">
        <v>454</v>
      </c>
      <c r="AC1276" s="604" t="s">
        <v>130</v>
      </c>
      <c r="AD1276" s="604" t="s">
        <v>421</v>
      </c>
      <c r="AE1276" s="604">
        <v>7</v>
      </c>
      <c r="AF1276" s="604">
        <v>662</v>
      </c>
      <c r="AG1276" s="604">
        <v>10.6</v>
      </c>
      <c r="AH1276" s="604" t="s">
        <v>437</v>
      </c>
      <c r="AR1276" s="538" t="str">
        <f t="shared" si="145"/>
        <v>UnknownbwtinfantNorthland</v>
      </c>
      <c r="AS1276" s="604">
        <v>2016</v>
      </c>
      <c r="AT1276" s="604" t="s">
        <v>63</v>
      </c>
      <c r="AU1276" s="604" t="s">
        <v>447</v>
      </c>
      <c r="AV1276" s="604" t="s">
        <v>85</v>
      </c>
      <c r="AW1276" s="604">
        <v>0</v>
      </c>
      <c r="AX1276" s="604">
        <v>1</v>
      </c>
      <c r="AY1276" s="606" t="s">
        <v>119</v>
      </c>
      <c r="AZ1276" s="604" t="s">
        <v>437</v>
      </c>
      <c r="BY1276" s="553" t="str">
        <f t="shared" si="144"/>
        <v>2000WaitematadhbSUDI</v>
      </c>
      <c r="BZ1276" s="604">
        <v>2000</v>
      </c>
      <c r="CA1276" s="604" t="s">
        <v>86</v>
      </c>
      <c r="CB1276" s="604" t="s">
        <v>448</v>
      </c>
      <c r="CC1276" s="604">
        <v>8</v>
      </c>
      <c r="CD1276" s="604" t="s">
        <v>33</v>
      </c>
    </row>
    <row r="1277" spans="9:82">
      <c r="I1277" s="578" t="str">
        <f t="shared" si="142"/>
        <v>2010age&lt;20Peri</v>
      </c>
      <c r="J1277" s="604">
        <v>2010</v>
      </c>
      <c r="K1277" s="604" t="s">
        <v>453</v>
      </c>
      <c r="L1277" s="604" t="s">
        <v>339</v>
      </c>
      <c r="M1277" s="604">
        <v>52</v>
      </c>
      <c r="N1277" s="604">
        <v>4633</v>
      </c>
      <c r="O1277" s="604">
        <v>11.2</v>
      </c>
      <c r="P1277" s="604" t="s">
        <v>483</v>
      </c>
      <c r="Q1277" s="499"/>
      <c r="Y1277" s="535" t="str">
        <f t="shared" si="143"/>
        <v>2016agedep25-29Quin 1infant</v>
      </c>
      <c r="Z1277" s="604">
        <v>2016</v>
      </c>
      <c r="AA1277" s="604" t="s">
        <v>453</v>
      </c>
      <c r="AB1277" s="604" t="s">
        <v>454</v>
      </c>
      <c r="AC1277" s="604" t="s">
        <v>131</v>
      </c>
      <c r="AD1277" s="604" t="s">
        <v>421</v>
      </c>
      <c r="AE1277" s="604">
        <v>4</v>
      </c>
      <c r="AF1277" s="604">
        <v>2066</v>
      </c>
      <c r="AG1277" s="604">
        <v>1.9</v>
      </c>
      <c r="AH1277" s="604" t="s">
        <v>437</v>
      </c>
      <c r="AR1277" s="538" t="str">
        <f t="shared" si="145"/>
        <v>1000-1499bwtinfantWaitemata</v>
      </c>
      <c r="AS1277" s="604">
        <v>2016</v>
      </c>
      <c r="AT1277" s="604" t="s">
        <v>429</v>
      </c>
      <c r="AU1277" s="604" t="s">
        <v>447</v>
      </c>
      <c r="AV1277" s="604" t="s">
        <v>86</v>
      </c>
      <c r="AW1277" s="604">
        <v>0</v>
      </c>
      <c r="AX1277" s="604">
        <v>40</v>
      </c>
      <c r="AY1277" s="606">
        <v>0</v>
      </c>
      <c r="AZ1277" s="604" t="s">
        <v>437</v>
      </c>
      <c r="BY1277" s="553" t="str">
        <f t="shared" si="144"/>
        <v>2000AucklanddhbSUDI</v>
      </c>
      <c r="BZ1277" s="604">
        <v>2000</v>
      </c>
      <c r="CA1277" s="604" t="s">
        <v>87</v>
      </c>
      <c r="CB1277" s="604" t="s">
        <v>448</v>
      </c>
      <c r="CC1277" s="604">
        <v>3</v>
      </c>
      <c r="CD1277" s="604" t="s">
        <v>33</v>
      </c>
    </row>
    <row r="1278" spans="9:82">
      <c r="I1278" s="578" t="str">
        <f t="shared" si="142"/>
        <v>2010age20-24Peri</v>
      </c>
      <c r="J1278" s="604">
        <v>2010</v>
      </c>
      <c r="K1278" s="604" t="s">
        <v>453</v>
      </c>
      <c r="L1278" s="604" t="s">
        <v>130</v>
      </c>
      <c r="M1278" s="604">
        <v>149</v>
      </c>
      <c r="N1278" s="604">
        <v>12147</v>
      </c>
      <c r="O1278" s="604">
        <v>12.3</v>
      </c>
      <c r="P1278" s="604" t="s">
        <v>483</v>
      </c>
      <c r="Q1278" s="499"/>
      <c r="Y1278" s="535" t="str">
        <f t="shared" si="143"/>
        <v>2016agedep30-34Quin 1infant</v>
      </c>
      <c r="Z1278" s="604">
        <v>2016</v>
      </c>
      <c r="AA1278" s="604" t="s">
        <v>453</v>
      </c>
      <c r="AB1278" s="604" t="s">
        <v>454</v>
      </c>
      <c r="AC1278" s="604" t="s">
        <v>132</v>
      </c>
      <c r="AD1278" s="604" t="s">
        <v>421</v>
      </c>
      <c r="AE1278" s="604">
        <v>6</v>
      </c>
      <c r="AF1278" s="604">
        <v>3536</v>
      </c>
      <c r="AG1278" s="604">
        <v>1.7</v>
      </c>
      <c r="AH1278" s="604" t="s">
        <v>437</v>
      </c>
      <c r="AR1278" s="538" t="str">
        <f t="shared" si="145"/>
        <v>4500+bwtinfantWaitemata</v>
      </c>
      <c r="AS1278" s="604">
        <v>2016</v>
      </c>
      <c r="AT1278" s="604" t="s">
        <v>432</v>
      </c>
      <c r="AU1278" s="604" t="s">
        <v>447</v>
      </c>
      <c r="AV1278" s="604" t="s">
        <v>86</v>
      </c>
      <c r="AW1278" s="604">
        <v>0</v>
      </c>
      <c r="AX1278" s="604">
        <v>158</v>
      </c>
      <c r="AY1278" s="606">
        <v>0</v>
      </c>
      <c r="AZ1278" s="604" t="s">
        <v>437</v>
      </c>
      <c r="BY1278" s="553" t="str">
        <f t="shared" si="144"/>
        <v>2000Counties ManukaudhbSUDI</v>
      </c>
      <c r="BZ1278" s="604">
        <v>2000</v>
      </c>
      <c r="CA1278" s="604" t="s">
        <v>88</v>
      </c>
      <c r="CB1278" s="604" t="s">
        <v>448</v>
      </c>
      <c r="CC1278" s="604">
        <v>14</v>
      </c>
      <c r="CD1278" s="604" t="s">
        <v>33</v>
      </c>
    </row>
    <row r="1279" spans="9:82">
      <c r="I1279" s="578" t="str">
        <f t="shared" si="142"/>
        <v>2010age25-29Peri</v>
      </c>
      <c r="J1279" s="604">
        <v>2010</v>
      </c>
      <c r="K1279" s="604" t="s">
        <v>453</v>
      </c>
      <c r="L1279" s="604" t="s">
        <v>131</v>
      </c>
      <c r="M1279" s="604">
        <v>146</v>
      </c>
      <c r="N1279" s="604">
        <v>16236</v>
      </c>
      <c r="O1279" s="604">
        <v>9</v>
      </c>
      <c r="P1279" s="604" t="s">
        <v>483</v>
      </c>
      <c r="Q1279" s="499"/>
      <c r="Y1279" s="535" t="str">
        <f t="shared" si="143"/>
        <v>2016agedep35-39Quin 1infant</v>
      </c>
      <c r="Z1279" s="604">
        <v>2016</v>
      </c>
      <c r="AA1279" s="604" t="s">
        <v>453</v>
      </c>
      <c r="AB1279" s="604" t="s">
        <v>454</v>
      </c>
      <c r="AC1279" s="604" t="s">
        <v>133</v>
      </c>
      <c r="AD1279" s="604" t="s">
        <v>421</v>
      </c>
      <c r="AE1279" s="604">
        <v>3</v>
      </c>
      <c r="AF1279" s="604">
        <v>2263</v>
      </c>
      <c r="AG1279" s="604">
        <v>1.3</v>
      </c>
      <c r="AH1279" s="604" t="s">
        <v>437</v>
      </c>
      <c r="AR1279" s="538" t="str">
        <f t="shared" si="145"/>
        <v>UnknownbwtinfantWaitemata</v>
      </c>
      <c r="AS1279" s="604">
        <v>2016</v>
      </c>
      <c r="AT1279" s="604" t="s">
        <v>63</v>
      </c>
      <c r="AU1279" s="604" t="s">
        <v>447</v>
      </c>
      <c r="AV1279" s="604" t="s">
        <v>86</v>
      </c>
      <c r="AW1279" s="604">
        <v>0</v>
      </c>
      <c r="AX1279" s="604">
        <v>5</v>
      </c>
      <c r="AY1279" s="606" t="s">
        <v>119</v>
      </c>
      <c r="AZ1279" s="604" t="s">
        <v>437</v>
      </c>
      <c r="BY1279" s="553" t="str">
        <f t="shared" si="144"/>
        <v>2000WaikatodhbSUDI</v>
      </c>
      <c r="BZ1279" s="604">
        <v>2000</v>
      </c>
      <c r="CA1279" s="604" t="s">
        <v>89</v>
      </c>
      <c r="CB1279" s="604" t="s">
        <v>448</v>
      </c>
      <c r="CC1279" s="604">
        <v>2</v>
      </c>
      <c r="CD1279" s="604" t="s">
        <v>33</v>
      </c>
    </row>
    <row r="1280" spans="9:82">
      <c r="I1280" s="578" t="str">
        <f t="shared" si="142"/>
        <v>2010age30-34Peri</v>
      </c>
      <c r="J1280" s="604">
        <v>2010</v>
      </c>
      <c r="K1280" s="604" t="s">
        <v>453</v>
      </c>
      <c r="L1280" s="604" t="s">
        <v>132</v>
      </c>
      <c r="M1280" s="604">
        <v>141</v>
      </c>
      <c r="N1280" s="604">
        <v>17976</v>
      </c>
      <c r="O1280" s="604">
        <v>7.8</v>
      </c>
      <c r="P1280" s="604" t="s">
        <v>483</v>
      </c>
      <c r="Q1280" s="499"/>
      <c r="Y1280" s="535" t="str">
        <f t="shared" si="143"/>
        <v>2016agedep40+Quin 1infant</v>
      </c>
      <c r="Z1280" s="604">
        <v>2016</v>
      </c>
      <c r="AA1280" s="604" t="s">
        <v>453</v>
      </c>
      <c r="AB1280" s="604" t="s">
        <v>454</v>
      </c>
      <c r="AC1280" s="604" t="s">
        <v>134</v>
      </c>
      <c r="AD1280" s="604" t="s">
        <v>421</v>
      </c>
      <c r="AE1280" s="604">
        <v>3</v>
      </c>
      <c r="AF1280" s="604">
        <v>549</v>
      </c>
      <c r="AG1280" s="604">
        <v>5.5</v>
      </c>
      <c r="AH1280" s="604" t="s">
        <v>437</v>
      </c>
      <c r="AR1280" s="538" t="str">
        <f t="shared" si="145"/>
        <v>1000-1499bwtinfantAuckland</v>
      </c>
      <c r="AS1280" s="604">
        <v>2016</v>
      </c>
      <c r="AT1280" s="604" t="s">
        <v>429</v>
      </c>
      <c r="AU1280" s="604" t="s">
        <v>447</v>
      </c>
      <c r="AV1280" s="604" t="s">
        <v>87</v>
      </c>
      <c r="AW1280" s="604">
        <v>0</v>
      </c>
      <c r="AX1280" s="604">
        <v>28</v>
      </c>
      <c r="AY1280" s="606">
        <v>0</v>
      </c>
      <c r="AZ1280" s="604" t="s">
        <v>437</v>
      </c>
      <c r="BY1280" s="553" t="str">
        <f t="shared" si="144"/>
        <v>2000LakesdhbSUDI</v>
      </c>
      <c r="BZ1280" s="604">
        <v>2000</v>
      </c>
      <c r="CA1280" s="604" t="s">
        <v>90</v>
      </c>
      <c r="CB1280" s="604" t="s">
        <v>448</v>
      </c>
      <c r="CC1280" s="604">
        <v>4</v>
      </c>
      <c r="CD1280" s="604" t="s">
        <v>33</v>
      </c>
    </row>
    <row r="1281" spans="9:82">
      <c r="I1281" s="578" t="str">
        <f t="shared" si="142"/>
        <v>2010age35-39Peri</v>
      </c>
      <c r="J1281" s="604">
        <v>2010</v>
      </c>
      <c r="K1281" s="604" t="s">
        <v>453</v>
      </c>
      <c r="L1281" s="604" t="s">
        <v>133</v>
      </c>
      <c r="M1281" s="604">
        <v>134</v>
      </c>
      <c r="N1281" s="604">
        <v>11501</v>
      </c>
      <c r="O1281" s="604">
        <v>11.7</v>
      </c>
      <c r="P1281" s="604" t="s">
        <v>483</v>
      </c>
      <c r="Q1281" s="499"/>
      <c r="Y1281" s="535" t="str">
        <f t="shared" si="143"/>
        <v>2016agedep&lt;20Quin 2infant</v>
      </c>
      <c r="Z1281" s="604">
        <v>2016</v>
      </c>
      <c r="AA1281" s="604" t="s">
        <v>453</v>
      </c>
      <c r="AB1281" s="604" t="s">
        <v>454</v>
      </c>
      <c r="AC1281" s="604" t="s">
        <v>339</v>
      </c>
      <c r="AD1281" s="604" t="s">
        <v>422</v>
      </c>
      <c r="AE1281" s="604">
        <v>2</v>
      </c>
      <c r="AF1281" s="604">
        <v>232</v>
      </c>
      <c r="AG1281" s="604">
        <v>8.6</v>
      </c>
      <c r="AH1281" s="604" t="s">
        <v>437</v>
      </c>
      <c r="AR1281" s="538" t="str">
        <f t="shared" si="145"/>
        <v>4500+bwtinfantAuckland</v>
      </c>
      <c r="AS1281" s="604">
        <v>2016</v>
      </c>
      <c r="AT1281" s="604" t="s">
        <v>432</v>
      </c>
      <c r="AU1281" s="604" t="s">
        <v>447</v>
      </c>
      <c r="AV1281" s="604" t="s">
        <v>87</v>
      </c>
      <c r="AW1281" s="604">
        <v>0</v>
      </c>
      <c r="AX1281" s="604">
        <v>96</v>
      </c>
      <c r="AY1281" s="606">
        <v>0</v>
      </c>
      <c r="AZ1281" s="604" t="s">
        <v>437</v>
      </c>
      <c r="BY1281" s="553" t="str">
        <f t="shared" si="144"/>
        <v>2000Bay of PlentydhbSUDI</v>
      </c>
      <c r="BZ1281" s="604">
        <v>2000</v>
      </c>
      <c r="CA1281" s="604" t="s">
        <v>91</v>
      </c>
      <c r="CB1281" s="604" t="s">
        <v>448</v>
      </c>
      <c r="CC1281" s="604">
        <v>7</v>
      </c>
      <c r="CD1281" s="604" t="s">
        <v>33</v>
      </c>
    </row>
    <row r="1282" spans="9:82">
      <c r="I1282" s="578" t="str">
        <f t="shared" si="142"/>
        <v>2010age40+Peri</v>
      </c>
      <c r="J1282" s="604">
        <v>2010</v>
      </c>
      <c r="K1282" s="604" t="s">
        <v>453</v>
      </c>
      <c r="L1282" s="604" t="s">
        <v>134</v>
      </c>
      <c r="M1282" s="604">
        <v>37</v>
      </c>
      <c r="N1282" s="604">
        <v>2675</v>
      </c>
      <c r="O1282" s="604">
        <v>13.8</v>
      </c>
      <c r="P1282" s="604" t="s">
        <v>483</v>
      </c>
      <c r="Q1282" s="499"/>
      <c r="Y1282" s="535" t="str">
        <f t="shared" si="143"/>
        <v>2016agedep20-24Quin 2infant</v>
      </c>
      <c r="Z1282" s="604">
        <v>2016</v>
      </c>
      <c r="AA1282" s="604" t="s">
        <v>453</v>
      </c>
      <c r="AB1282" s="604" t="s">
        <v>454</v>
      </c>
      <c r="AC1282" s="604" t="s">
        <v>130</v>
      </c>
      <c r="AD1282" s="604" t="s">
        <v>422</v>
      </c>
      <c r="AE1282" s="604">
        <v>4</v>
      </c>
      <c r="AF1282" s="604">
        <v>1044</v>
      </c>
      <c r="AG1282" s="604">
        <v>3.8</v>
      </c>
      <c r="AH1282" s="604" t="s">
        <v>437</v>
      </c>
      <c r="AR1282" s="538" t="str">
        <f t="shared" si="145"/>
        <v>UnknownbwtinfantAuckland</v>
      </c>
      <c r="AS1282" s="604">
        <v>2016</v>
      </c>
      <c r="AT1282" s="604" t="s">
        <v>63</v>
      </c>
      <c r="AU1282" s="604" t="s">
        <v>447</v>
      </c>
      <c r="AV1282" s="604" t="s">
        <v>87</v>
      </c>
      <c r="AW1282" s="604">
        <v>0</v>
      </c>
      <c r="AX1282" s="604">
        <v>5</v>
      </c>
      <c r="AY1282" s="606" t="s">
        <v>119</v>
      </c>
      <c r="AZ1282" s="604" t="s">
        <v>437</v>
      </c>
      <c r="BY1282" s="553" t="str">
        <f t="shared" si="144"/>
        <v>2000TairawhitidhbSUDI</v>
      </c>
      <c r="BZ1282" s="604">
        <v>2000</v>
      </c>
      <c r="CA1282" s="604" t="s">
        <v>433</v>
      </c>
      <c r="CB1282" s="604" t="s">
        <v>448</v>
      </c>
      <c r="CC1282" s="604">
        <v>3</v>
      </c>
      <c r="CD1282" s="604" t="s">
        <v>33</v>
      </c>
    </row>
    <row r="1283" spans="9:82">
      <c r="I1283" s="578" t="str">
        <f t="shared" si="142"/>
        <v>2010ageUnknownPeri</v>
      </c>
      <c r="J1283" s="604">
        <v>2010</v>
      </c>
      <c r="K1283" s="604" t="s">
        <v>453</v>
      </c>
      <c r="L1283" s="604" t="s">
        <v>63</v>
      </c>
      <c r="M1283" s="604">
        <v>2</v>
      </c>
      <c r="N1283" s="604">
        <v>0</v>
      </c>
      <c r="O1283" s="604" t="s">
        <v>119</v>
      </c>
      <c r="P1283" s="604" t="s">
        <v>483</v>
      </c>
      <c r="Q1283" s="499"/>
      <c r="Y1283" s="535" t="str">
        <f t="shared" si="143"/>
        <v>2016agedep25-29Quin 2infant</v>
      </c>
      <c r="Z1283" s="604">
        <v>2016</v>
      </c>
      <c r="AA1283" s="604" t="s">
        <v>453</v>
      </c>
      <c r="AB1283" s="604" t="s">
        <v>454</v>
      </c>
      <c r="AC1283" s="604" t="s">
        <v>131</v>
      </c>
      <c r="AD1283" s="604" t="s">
        <v>422</v>
      </c>
      <c r="AE1283" s="604">
        <v>6</v>
      </c>
      <c r="AF1283" s="604">
        <v>2592</v>
      </c>
      <c r="AG1283" s="604">
        <v>2.2999999999999998</v>
      </c>
      <c r="AH1283" s="604" t="s">
        <v>437</v>
      </c>
      <c r="AR1283" s="538" t="str">
        <f t="shared" si="145"/>
        <v>1000-1499bwtinfantCounties Manukau</v>
      </c>
      <c r="AS1283" s="604">
        <v>2016</v>
      </c>
      <c r="AT1283" s="604" t="s">
        <v>429</v>
      </c>
      <c r="AU1283" s="604" t="s">
        <v>447</v>
      </c>
      <c r="AV1283" s="604" t="s">
        <v>88</v>
      </c>
      <c r="AW1283" s="604">
        <v>0</v>
      </c>
      <c r="AX1283" s="604">
        <v>44</v>
      </c>
      <c r="AY1283" s="606">
        <v>0</v>
      </c>
      <c r="AZ1283" s="604" t="s">
        <v>437</v>
      </c>
      <c r="BY1283" s="553" t="str">
        <f t="shared" si="144"/>
        <v>2000Hawke's BaydhbSUDI</v>
      </c>
      <c r="BZ1283" s="604">
        <v>2000</v>
      </c>
      <c r="CA1283" s="604" t="s">
        <v>92</v>
      </c>
      <c r="CB1283" s="604" t="s">
        <v>448</v>
      </c>
      <c r="CC1283" s="604">
        <v>7</v>
      </c>
      <c r="CD1283" s="604" t="s">
        <v>33</v>
      </c>
    </row>
    <row r="1284" spans="9:82">
      <c r="I1284" s="578" t="str">
        <f t="shared" ref="I1284:I1347" si="146">J1284&amp;K1284&amp;L1284&amp;P1284</f>
        <v>2011age&lt;20Peri</v>
      </c>
      <c r="J1284" s="604">
        <v>2011</v>
      </c>
      <c r="K1284" s="604" t="s">
        <v>453</v>
      </c>
      <c r="L1284" s="604" t="s">
        <v>339</v>
      </c>
      <c r="M1284" s="604">
        <v>57</v>
      </c>
      <c r="N1284" s="604">
        <v>4099</v>
      </c>
      <c r="O1284" s="604">
        <v>13.9</v>
      </c>
      <c r="P1284" s="604" t="s">
        <v>483</v>
      </c>
      <c r="Q1284" s="499"/>
      <c r="Y1284" s="535" t="str">
        <f t="shared" ref="Y1284:Y1347" si="147">Z1284&amp;AA1284&amp;AB1284&amp;AC1284&amp;AD1284&amp;AH1284</f>
        <v>2016agedep30-34Quin 2infant</v>
      </c>
      <c r="Z1284" s="604">
        <v>2016</v>
      </c>
      <c r="AA1284" s="604" t="s">
        <v>453</v>
      </c>
      <c r="AB1284" s="604" t="s">
        <v>454</v>
      </c>
      <c r="AC1284" s="604" t="s">
        <v>132</v>
      </c>
      <c r="AD1284" s="604" t="s">
        <v>422</v>
      </c>
      <c r="AE1284" s="604">
        <v>10</v>
      </c>
      <c r="AF1284" s="604">
        <v>3702</v>
      </c>
      <c r="AG1284" s="604">
        <v>2.7</v>
      </c>
      <c r="AH1284" s="604" t="s">
        <v>437</v>
      </c>
      <c r="AR1284" s="538" t="str">
        <f t="shared" si="145"/>
        <v>4500+bwtinfantCounties Manukau</v>
      </c>
      <c r="AS1284" s="604">
        <v>2016</v>
      </c>
      <c r="AT1284" s="604" t="s">
        <v>432</v>
      </c>
      <c r="AU1284" s="604" t="s">
        <v>447</v>
      </c>
      <c r="AV1284" s="604" t="s">
        <v>88</v>
      </c>
      <c r="AW1284" s="604">
        <v>0</v>
      </c>
      <c r="AX1284" s="604">
        <v>196</v>
      </c>
      <c r="AY1284" s="606">
        <v>0</v>
      </c>
      <c r="AZ1284" s="604" t="s">
        <v>437</v>
      </c>
      <c r="BY1284" s="553" t="str">
        <f t="shared" ref="BY1284:BY1347" si="148">BZ1284&amp;CA1284&amp;CB1284&amp;CD1284</f>
        <v>2000TaranakidhbSUDI</v>
      </c>
      <c r="BZ1284" s="604">
        <v>2000</v>
      </c>
      <c r="CA1284" s="604" t="s">
        <v>93</v>
      </c>
      <c r="CB1284" s="604" t="s">
        <v>448</v>
      </c>
      <c r="CC1284" s="604">
        <v>2</v>
      </c>
      <c r="CD1284" s="604" t="s">
        <v>33</v>
      </c>
    </row>
    <row r="1285" spans="9:82">
      <c r="I1285" s="578" t="str">
        <f t="shared" si="146"/>
        <v>2011age20-24Peri</v>
      </c>
      <c r="J1285" s="604">
        <v>2011</v>
      </c>
      <c r="K1285" s="604" t="s">
        <v>453</v>
      </c>
      <c r="L1285" s="604" t="s">
        <v>130</v>
      </c>
      <c r="M1285" s="604">
        <v>119</v>
      </c>
      <c r="N1285" s="604">
        <v>11688</v>
      </c>
      <c r="O1285" s="604">
        <v>10.199999999999999</v>
      </c>
      <c r="P1285" s="604" t="s">
        <v>483</v>
      </c>
      <c r="Q1285" s="499"/>
      <c r="Y1285" s="535" t="str">
        <f t="shared" si="147"/>
        <v>2016agedep35-39Quin 2infant</v>
      </c>
      <c r="Z1285" s="604">
        <v>2016</v>
      </c>
      <c r="AA1285" s="604" t="s">
        <v>453</v>
      </c>
      <c r="AB1285" s="604" t="s">
        <v>454</v>
      </c>
      <c r="AC1285" s="604" t="s">
        <v>133</v>
      </c>
      <c r="AD1285" s="604" t="s">
        <v>422</v>
      </c>
      <c r="AE1285" s="604">
        <v>2</v>
      </c>
      <c r="AF1285" s="604">
        <v>2080</v>
      </c>
      <c r="AG1285" s="604">
        <v>1</v>
      </c>
      <c r="AH1285" s="604" t="s">
        <v>437</v>
      </c>
      <c r="AR1285" s="538" t="str">
        <f t="shared" si="145"/>
        <v>UnknownbwtinfantCounties Manukau</v>
      </c>
      <c r="AS1285" s="604">
        <v>2016</v>
      </c>
      <c r="AT1285" s="604" t="s">
        <v>63</v>
      </c>
      <c r="AU1285" s="604" t="s">
        <v>447</v>
      </c>
      <c r="AV1285" s="604" t="s">
        <v>88</v>
      </c>
      <c r="AW1285" s="604">
        <v>0</v>
      </c>
      <c r="AX1285" s="604">
        <v>4</v>
      </c>
      <c r="AY1285" s="606" t="s">
        <v>119</v>
      </c>
      <c r="AZ1285" s="604" t="s">
        <v>437</v>
      </c>
      <c r="BY1285" s="553" t="str">
        <f t="shared" si="148"/>
        <v>2000MidCentraldhbSUDI</v>
      </c>
      <c r="BZ1285" s="604">
        <v>2000</v>
      </c>
      <c r="CA1285" s="604" t="s">
        <v>94</v>
      </c>
      <c r="CB1285" s="604" t="s">
        <v>448</v>
      </c>
      <c r="CC1285" s="604">
        <v>5</v>
      </c>
      <c r="CD1285" s="604" t="s">
        <v>33</v>
      </c>
    </row>
    <row r="1286" spans="9:82">
      <c r="I1286" s="578" t="str">
        <f t="shared" si="146"/>
        <v>2011age25-29Peri</v>
      </c>
      <c r="J1286" s="604">
        <v>2011</v>
      </c>
      <c r="K1286" s="604" t="s">
        <v>453</v>
      </c>
      <c r="L1286" s="604" t="s">
        <v>131</v>
      </c>
      <c r="M1286" s="604">
        <v>137</v>
      </c>
      <c r="N1286" s="604">
        <v>15739</v>
      </c>
      <c r="O1286" s="604">
        <v>8.6999999999999993</v>
      </c>
      <c r="P1286" s="604" t="s">
        <v>483</v>
      </c>
      <c r="Q1286" s="499"/>
      <c r="Y1286" s="535" t="str">
        <f t="shared" si="147"/>
        <v>2016agedep40+Quin 2infant</v>
      </c>
      <c r="Z1286" s="604">
        <v>2016</v>
      </c>
      <c r="AA1286" s="604" t="s">
        <v>453</v>
      </c>
      <c r="AB1286" s="604" t="s">
        <v>454</v>
      </c>
      <c r="AC1286" s="604" t="s">
        <v>134</v>
      </c>
      <c r="AD1286" s="604" t="s">
        <v>422</v>
      </c>
      <c r="AE1286" s="604">
        <v>0</v>
      </c>
      <c r="AF1286" s="604">
        <v>473</v>
      </c>
      <c r="AG1286" s="604">
        <v>0</v>
      </c>
      <c r="AH1286" s="604" t="s">
        <v>437</v>
      </c>
      <c r="AR1286" s="538" t="str">
        <f t="shared" si="145"/>
        <v>1000-1499bwtinfantWaikato</v>
      </c>
      <c r="AS1286" s="604">
        <v>2016</v>
      </c>
      <c r="AT1286" s="604" t="s">
        <v>429</v>
      </c>
      <c r="AU1286" s="604" t="s">
        <v>447</v>
      </c>
      <c r="AV1286" s="604" t="s">
        <v>89</v>
      </c>
      <c r="AW1286" s="604">
        <v>0</v>
      </c>
      <c r="AX1286" s="604">
        <v>33</v>
      </c>
      <c r="AY1286" s="606">
        <v>0</v>
      </c>
      <c r="AZ1286" s="604" t="s">
        <v>437</v>
      </c>
      <c r="BY1286" s="553" t="str">
        <f t="shared" si="148"/>
        <v>2000WhanganuidhbSUDI</v>
      </c>
      <c r="BZ1286" s="604">
        <v>2000</v>
      </c>
      <c r="CA1286" s="604" t="s">
        <v>95</v>
      </c>
      <c r="CB1286" s="604" t="s">
        <v>448</v>
      </c>
      <c r="CC1286" s="604">
        <v>0</v>
      </c>
      <c r="CD1286" s="604" t="s">
        <v>33</v>
      </c>
    </row>
    <row r="1287" spans="9:82">
      <c r="I1287" s="578" t="str">
        <f t="shared" si="146"/>
        <v>2011age30-34Peri</v>
      </c>
      <c r="J1287" s="604">
        <v>2011</v>
      </c>
      <c r="K1287" s="604" t="s">
        <v>453</v>
      </c>
      <c r="L1287" s="604" t="s">
        <v>132</v>
      </c>
      <c r="M1287" s="604">
        <v>149</v>
      </c>
      <c r="N1287" s="604">
        <v>17469</v>
      </c>
      <c r="O1287" s="604">
        <v>8.5</v>
      </c>
      <c r="P1287" s="604" t="s">
        <v>483</v>
      </c>
      <c r="Q1287" s="499"/>
      <c r="Y1287" s="535" t="str">
        <f t="shared" si="147"/>
        <v>2016agedep&lt;20Quin 3infant</v>
      </c>
      <c r="Z1287" s="604">
        <v>2016</v>
      </c>
      <c r="AA1287" s="604" t="s">
        <v>453</v>
      </c>
      <c r="AB1287" s="604" t="s">
        <v>454</v>
      </c>
      <c r="AC1287" s="604" t="s">
        <v>339</v>
      </c>
      <c r="AD1287" s="604" t="s">
        <v>423</v>
      </c>
      <c r="AE1287" s="604">
        <v>2</v>
      </c>
      <c r="AF1287" s="604">
        <v>325</v>
      </c>
      <c r="AG1287" s="604">
        <v>6.2</v>
      </c>
      <c r="AH1287" s="604" t="s">
        <v>437</v>
      </c>
      <c r="AR1287" s="538" t="str">
        <f t="shared" si="145"/>
        <v>4500+bwtinfantWaikato</v>
      </c>
      <c r="AS1287" s="604">
        <v>2016</v>
      </c>
      <c r="AT1287" s="604" t="s">
        <v>432</v>
      </c>
      <c r="AU1287" s="604" t="s">
        <v>447</v>
      </c>
      <c r="AV1287" s="604" t="s">
        <v>89</v>
      </c>
      <c r="AW1287" s="604">
        <v>0</v>
      </c>
      <c r="AX1287" s="604">
        <v>158</v>
      </c>
      <c r="AY1287" s="606">
        <v>0</v>
      </c>
      <c r="AZ1287" s="604" t="s">
        <v>437</v>
      </c>
      <c r="BY1287" s="553" t="str">
        <f t="shared" si="148"/>
        <v>2000Capital &amp; CoastdhbSUDI</v>
      </c>
      <c r="BZ1287" s="604">
        <v>2000</v>
      </c>
      <c r="CA1287" s="604" t="s">
        <v>96</v>
      </c>
      <c r="CB1287" s="604" t="s">
        <v>448</v>
      </c>
      <c r="CC1287" s="604">
        <v>4</v>
      </c>
      <c r="CD1287" s="604" t="s">
        <v>33</v>
      </c>
    </row>
    <row r="1288" spans="9:82">
      <c r="I1288" s="578" t="str">
        <f t="shared" si="146"/>
        <v>2011age35-39Peri</v>
      </c>
      <c r="J1288" s="604">
        <v>2011</v>
      </c>
      <c r="K1288" s="604" t="s">
        <v>453</v>
      </c>
      <c r="L1288" s="604" t="s">
        <v>133</v>
      </c>
      <c r="M1288" s="604">
        <v>132</v>
      </c>
      <c r="N1288" s="604">
        <v>11040</v>
      </c>
      <c r="O1288" s="604">
        <v>12</v>
      </c>
      <c r="P1288" s="604" t="s">
        <v>483</v>
      </c>
      <c r="Q1288" s="499"/>
      <c r="Y1288" s="535" t="str">
        <f t="shared" si="147"/>
        <v>2016agedep20-24Quin 3infant</v>
      </c>
      <c r="Z1288" s="604">
        <v>2016</v>
      </c>
      <c r="AA1288" s="604" t="s">
        <v>453</v>
      </c>
      <c r="AB1288" s="604" t="s">
        <v>454</v>
      </c>
      <c r="AC1288" s="604" t="s">
        <v>130</v>
      </c>
      <c r="AD1288" s="604" t="s">
        <v>423</v>
      </c>
      <c r="AE1288" s="604">
        <v>8</v>
      </c>
      <c r="AF1288" s="604">
        <v>1564</v>
      </c>
      <c r="AG1288" s="604">
        <v>5.0999999999999996</v>
      </c>
      <c r="AH1288" s="604" t="s">
        <v>437</v>
      </c>
      <c r="AR1288" s="538" t="str">
        <f t="shared" si="145"/>
        <v>&lt;500bwtinfantLakes</v>
      </c>
      <c r="AS1288" s="604">
        <v>2016</v>
      </c>
      <c r="AT1288" s="604" t="s">
        <v>427</v>
      </c>
      <c r="AU1288" s="604" t="s">
        <v>447</v>
      </c>
      <c r="AV1288" s="604" t="s">
        <v>90</v>
      </c>
      <c r="AW1288" s="604">
        <v>0</v>
      </c>
      <c r="AX1288" s="604">
        <v>2</v>
      </c>
      <c r="AY1288" s="606">
        <v>0</v>
      </c>
      <c r="AZ1288" s="604" t="s">
        <v>437</v>
      </c>
      <c r="BY1288" s="553" t="str">
        <f t="shared" si="148"/>
        <v>2000Hutt ValleydhbSUDI</v>
      </c>
      <c r="BZ1288" s="604">
        <v>2000</v>
      </c>
      <c r="CA1288" s="604" t="s">
        <v>97</v>
      </c>
      <c r="CB1288" s="604" t="s">
        <v>448</v>
      </c>
      <c r="CC1288" s="604">
        <v>2</v>
      </c>
      <c r="CD1288" s="604" t="s">
        <v>33</v>
      </c>
    </row>
    <row r="1289" spans="9:82">
      <c r="I1289" s="578" t="str">
        <f t="shared" si="146"/>
        <v>2011age40+Peri</v>
      </c>
      <c r="J1289" s="604">
        <v>2011</v>
      </c>
      <c r="K1289" s="604" t="s">
        <v>453</v>
      </c>
      <c r="L1289" s="604" t="s">
        <v>134</v>
      </c>
      <c r="M1289" s="604">
        <v>27</v>
      </c>
      <c r="N1289" s="604">
        <v>2590</v>
      </c>
      <c r="O1289" s="604">
        <v>10.4</v>
      </c>
      <c r="P1289" s="604" t="s">
        <v>483</v>
      </c>
      <c r="Q1289" s="499"/>
      <c r="Y1289" s="535" t="str">
        <f t="shared" si="147"/>
        <v>2016agedep25-29Quin 3infant</v>
      </c>
      <c r="Z1289" s="604">
        <v>2016</v>
      </c>
      <c r="AA1289" s="604" t="s">
        <v>453</v>
      </c>
      <c r="AB1289" s="604" t="s">
        <v>454</v>
      </c>
      <c r="AC1289" s="604" t="s">
        <v>131</v>
      </c>
      <c r="AD1289" s="604" t="s">
        <v>423</v>
      </c>
      <c r="AE1289" s="604">
        <v>7</v>
      </c>
      <c r="AF1289" s="604">
        <v>3067</v>
      </c>
      <c r="AG1289" s="604">
        <v>2.2999999999999998</v>
      </c>
      <c r="AH1289" s="604" t="s">
        <v>437</v>
      </c>
      <c r="AR1289" s="538" t="str">
        <f t="shared" si="145"/>
        <v>500-999bwtinfantLakes</v>
      </c>
      <c r="AS1289" s="604">
        <v>2016</v>
      </c>
      <c r="AT1289" s="604" t="s">
        <v>428</v>
      </c>
      <c r="AU1289" s="604" t="s">
        <v>447</v>
      </c>
      <c r="AV1289" s="604" t="s">
        <v>90</v>
      </c>
      <c r="AW1289" s="604">
        <v>0</v>
      </c>
      <c r="AX1289" s="604">
        <v>7</v>
      </c>
      <c r="AY1289" s="606">
        <v>0</v>
      </c>
      <c r="AZ1289" s="604" t="s">
        <v>437</v>
      </c>
      <c r="BY1289" s="553" t="str">
        <f t="shared" si="148"/>
        <v>2000WairarapadhbSUDI</v>
      </c>
      <c r="BZ1289" s="604">
        <v>2000</v>
      </c>
      <c r="CA1289" s="604" t="s">
        <v>98</v>
      </c>
      <c r="CB1289" s="604" t="s">
        <v>448</v>
      </c>
      <c r="CC1289" s="604">
        <v>1</v>
      </c>
      <c r="CD1289" s="604" t="s">
        <v>33</v>
      </c>
    </row>
    <row r="1290" spans="9:82">
      <c r="I1290" s="578" t="str">
        <f t="shared" si="146"/>
        <v>2011ageUnknownPeri</v>
      </c>
      <c r="J1290" s="604">
        <v>2011</v>
      </c>
      <c r="K1290" s="604" t="s">
        <v>453</v>
      </c>
      <c r="L1290" s="604" t="s">
        <v>63</v>
      </c>
      <c r="M1290" s="604">
        <v>1</v>
      </c>
      <c r="N1290" s="604">
        <v>0</v>
      </c>
      <c r="O1290" s="604" t="s">
        <v>119</v>
      </c>
      <c r="P1290" s="604" t="s">
        <v>483</v>
      </c>
      <c r="Q1290" s="499"/>
      <c r="Y1290" s="535" t="str">
        <f t="shared" si="147"/>
        <v>2016agedep30-34Quin 3infant</v>
      </c>
      <c r="Z1290" s="604">
        <v>2016</v>
      </c>
      <c r="AA1290" s="604" t="s">
        <v>453</v>
      </c>
      <c r="AB1290" s="604" t="s">
        <v>454</v>
      </c>
      <c r="AC1290" s="604" t="s">
        <v>132</v>
      </c>
      <c r="AD1290" s="604" t="s">
        <v>423</v>
      </c>
      <c r="AE1290" s="604">
        <v>10</v>
      </c>
      <c r="AF1290" s="604">
        <v>3667</v>
      </c>
      <c r="AG1290" s="604">
        <v>2.7</v>
      </c>
      <c r="AH1290" s="604" t="s">
        <v>437</v>
      </c>
      <c r="AR1290" s="538" t="str">
        <f t="shared" si="145"/>
        <v>1000-1499bwtinfantLakes</v>
      </c>
      <c r="AS1290" s="604">
        <v>2016</v>
      </c>
      <c r="AT1290" s="604" t="s">
        <v>429</v>
      </c>
      <c r="AU1290" s="604" t="s">
        <v>447</v>
      </c>
      <c r="AV1290" s="604" t="s">
        <v>90</v>
      </c>
      <c r="AW1290" s="604">
        <v>0</v>
      </c>
      <c r="AX1290" s="604">
        <v>7</v>
      </c>
      <c r="AY1290" s="606">
        <v>0</v>
      </c>
      <c r="AZ1290" s="604" t="s">
        <v>437</v>
      </c>
      <c r="BY1290" s="553" t="str">
        <f t="shared" si="148"/>
        <v>2000Nelson MarlboroughdhbSUDI</v>
      </c>
      <c r="BZ1290" s="604">
        <v>2000</v>
      </c>
      <c r="CA1290" s="604" t="s">
        <v>99</v>
      </c>
      <c r="CB1290" s="604" t="s">
        <v>448</v>
      </c>
      <c r="CC1290" s="604">
        <v>2</v>
      </c>
      <c r="CD1290" s="604" t="s">
        <v>33</v>
      </c>
    </row>
    <row r="1291" spans="9:82">
      <c r="I1291" s="578" t="str">
        <f t="shared" si="146"/>
        <v>2012age&lt;20Peri</v>
      </c>
      <c r="J1291" s="604">
        <v>2012</v>
      </c>
      <c r="K1291" s="604" t="s">
        <v>453</v>
      </c>
      <c r="L1291" s="604" t="s">
        <v>339</v>
      </c>
      <c r="M1291" s="604">
        <v>54</v>
      </c>
      <c r="N1291" s="604">
        <v>3922</v>
      </c>
      <c r="O1291" s="604">
        <v>13.8</v>
      </c>
      <c r="P1291" s="604" t="s">
        <v>483</v>
      </c>
      <c r="Q1291" s="499"/>
      <c r="Y1291" s="535" t="str">
        <f t="shared" si="147"/>
        <v>2016agedep35-39Quin 3infant</v>
      </c>
      <c r="Z1291" s="604">
        <v>2016</v>
      </c>
      <c r="AA1291" s="604" t="s">
        <v>453</v>
      </c>
      <c r="AB1291" s="604" t="s">
        <v>454</v>
      </c>
      <c r="AC1291" s="604" t="s">
        <v>133</v>
      </c>
      <c r="AD1291" s="604" t="s">
        <v>423</v>
      </c>
      <c r="AE1291" s="604">
        <v>4</v>
      </c>
      <c r="AF1291" s="604">
        <v>1919</v>
      </c>
      <c r="AG1291" s="604">
        <v>2.1</v>
      </c>
      <c r="AH1291" s="604" t="s">
        <v>437</v>
      </c>
      <c r="AR1291" s="538" t="str">
        <f t="shared" si="145"/>
        <v>1500-2499bwtinfantLakes</v>
      </c>
      <c r="AS1291" s="604">
        <v>2016</v>
      </c>
      <c r="AT1291" s="604" t="s">
        <v>430</v>
      </c>
      <c r="AU1291" s="604" t="s">
        <v>447</v>
      </c>
      <c r="AV1291" s="604" t="s">
        <v>90</v>
      </c>
      <c r="AW1291" s="604">
        <v>0</v>
      </c>
      <c r="AX1291" s="604">
        <v>74</v>
      </c>
      <c r="AY1291" s="606">
        <v>0</v>
      </c>
      <c r="AZ1291" s="604" t="s">
        <v>437</v>
      </c>
      <c r="BY1291" s="553" t="str">
        <f t="shared" si="148"/>
        <v>2000West CoastdhbSUDI</v>
      </c>
      <c r="BZ1291" s="604">
        <v>2000</v>
      </c>
      <c r="CA1291" s="604" t="s">
        <v>100</v>
      </c>
      <c r="CB1291" s="604" t="s">
        <v>448</v>
      </c>
      <c r="CC1291" s="604">
        <v>0</v>
      </c>
      <c r="CD1291" s="604" t="s">
        <v>33</v>
      </c>
    </row>
    <row r="1292" spans="9:82">
      <c r="I1292" s="578" t="str">
        <f t="shared" si="146"/>
        <v>2012age20-24Peri</v>
      </c>
      <c r="J1292" s="604">
        <v>2012</v>
      </c>
      <c r="K1292" s="604" t="s">
        <v>453</v>
      </c>
      <c r="L1292" s="604" t="s">
        <v>130</v>
      </c>
      <c r="M1292" s="604">
        <v>116</v>
      </c>
      <c r="N1292" s="604">
        <v>11609</v>
      </c>
      <c r="O1292" s="604">
        <v>10</v>
      </c>
      <c r="P1292" s="604" t="s">
        <v>483</v>
      </c>
      <c r="Q1292" s="499"/>
      <c r="Y1292" s="535" t="str">
        <f t="shared" si="147"/>
        <v>2016agedep40+Quin 3infant</v>
      </c>
      <c r="Z1292" s="604">
        <v>2016</v>
      </c>
      <c r="AA1292" s="604" t="s">
        <v>453</v>
      </c>
      <c r="AB1292" s="604" t="s">
        <v>454</v>
      </c>
      <c r="AC1292" s="604" t="s">
        <v>134</v>
      </c>
      <c r="AD1292" s="604" t="s">
        <v>423</v>
      </c>
      <c r="AE1292" s="604">
        <v>1</v>
      </c>
      <c r="AF1292" s="604">
        <v>429</v>
      </c>
      <c r="AG1292" s="604">
        <v>2.2999999999999998</v>
      </c>
      <c r="AH1292" s="604" t="s">
        <v>437</v>
      </c>
      <c r="AR1292" s="538" t="str">
        <f t="shared" si="145"/>
        <v>2500-4499bwtinfantLakes</v>
      </c>
      <c r="AS1292" s="604">
        <v>2016</v>
      </c>
      <c r="AT1292" s="604" t="s">
        <v>431</v>
      </c>
      <c r="AU1292" s="604" t="s">
        <v>447</v>
      </c>
      <c r="AV1292" s="604" t="s">
        <v>90</v>
      </c>
      <c r="AW1292" s="604">
        <v>0</v>
      </c>
      <c r="AX1292" s="604">
        <v>1442</v>
      </c>
      <c r="AY1292" s="606">
        <v>0</v>
      </c>
      <c r="AZ1292" s="604" t="s">
        <v>437</v>
      </c>
      <c r="BY1292" s="553" t="str">
        <f t="shared" si="148"/>
        <v>2000CanterburydhbSUDI</v>
      </c>
      <c r="BZ1292" s="604">
        <v>2000</v>
      </c>
      <c r="CA1292" s="604" t="s">
        <v>101</v>
      </c>
      <c r="CB1292" s="604" t="s">
        <v>448</v>
      </c>
      <c r="CC1292" s="604">
        <v>2</v>
      </c>
      <c r="CD1292" s="604" t="s">
        <v>33</v>
      </c>
    </row>
    <row r="1293" spans="9:82">
      <c r="I1293" s="578" t="str">
        <f t="shared" si="146"/>
        <v>2012age25-29Peri</v>
      </c>
      <c r="J1293" s="604">
        <v>2012</v>
      </c>
      <c r="K1293" s="604" t="s">
        <v>453</v>
      </c>
      <c r="L1293" s="604" t="s">
        <v>131</v>
      </c>
      <c r="M1293" s="604">
        <v>129</v>
      </c>
      <c r="N1293" s="604">
        <v>15951</v>
      </c>
      <c r="O1293" s="604">
        <v>8.1</v>
      </c>
      <c r="P1293" s="604" t="s">
        <v>483</v>
      </c>
      <c r="Q1293" s="499"/>
      <c r="Y1293" s="535" t="str">
        <f t="shared" si="147"/>
        <v>2016agedep&lt;20Quin 4infant</v>
      </c>
      <c r="Z1293" s="604">
        <v>2016</v>
      </c>
      <c r="AA1293" s="604" t="s">
        <v>453</v>
      </c>
      <c r="AB1293" s="604" t="s">
        <v>454</v>
      </c>
      <c r="AC1293" s="604" t="s">
        <v>339</v>
      </c>
      <c r="AD1293" s="604" t="s">
        <v>424</v>
      </c>
      <c r="AE1293" s="604">
        <v>4</v>
      </c>
      <c r="AF1293" s="604">
        <v>591</v>
      </c>
      <c r="AG1293" s="604">
        <v>6.8</v>
      </c>
      <c r="AH1293" s="604" t="s">
        <v>437</v>
      </c>
      <c r="AR1293" s="538" t="str">
        <f t="shared" si="145"/>
        <v>4500+bwtinfantLakes</v>
      </c>
      <c r="AS1293" s="604">
        <v>2016</v>
      </c>
      <c r="AT1293" s="604" t="s">
        <v>432</v>
      </c>
      <c r="AU1293" s="604" t="s">
        <v>447</v>
      </c>
      <c r="AV1293" s="604" t="s">
        <v>90</v>
      </c>
      <c r="AW1293" s="604">
        <v>0</v>
      </c>
      <c r="AX1293" s="604">
        <v>36</v>
      </c>
      <c r="AY1293" s="606">
        <v>0</v>
      </c>
      <c r="AZ1293" s="604" t="s">
        <v>437</v>
      </c>
      <c r="BY1293" s="553" t="str">
        <f t="shared" si="148"/>
        <v>2000South CanterburydhbSUDI</v>
      </c>
      <c r="BZ1293" s="604">
        <v>2000</v>
      </c>
      <c r="CA1293" s="604" t="s">
        <v>102</v>
      </c>
      <c r="CB1293" s="604" t="s">
        <v>448</v>
      </c>
      <c r="CC1293" s="604">
        <v>1</v>
      </c>
      <c r="CD1293" s="604" t="s">
        <v>33</v>
      </c>
    </row>
    <row r="1294" spans="9:82">
      <c r="I1294" s="578" t="str">
        <f t="shared" si="146"/>
        <v>2012age30-34Peri</v>
      </c>
      <c r="J1294" s="604">
        <v>2012</v>
      </c>
      <c r="K1294" s="604" t="s">
        <v>453</v>
      </c>
      <c r="L1294" s="604" t="s">
        <v>132</v>
      </c>
      <c r="M1294" s="604">
        <v>149</v>
      </c>
      <c r="N1294" s="604">
        <v>17752</v>
      </c>
      <c r="O1294" s="604">
        <v>8.4</v>
      </c>
      <c r="P1294" s="604" t="s">
        <v>483</v>
      </c>
      <c r="Q1294" s="499"/>
      <c r="Y1294" s="535" t="str">
        <f t="shared" si="147"/>
        <v>2016agedep20-24Quin 4infant</v>
      </c>
      <c r="Z1294" s="604">
        <v>2016</v>
      </c>
      <c r="AA1294" s="604" t="s">
        <v>453</v>
      </c>
      <c r="AB1294" s="604" t="s">
        <v>454</v>
      </c>
      <c r="AC1294" s="604" t="s">
        <v>130</v>
      </c>
      <c r="AD1294" s="604" t="s">
        <v>424</v>
      </c>
      <c r="AE1294" s="604">
        <v>12</v>
      </c>
      <c r="AF1294" s="604">
        <v>2364</v>
      </c>
      <c r="AG1294" s="604">
        <v>5.0999999999999996</v>
      </c>
      <c r="AH1294" s="604" t="s">
        <v>437</v>
      </c>
      <c r="AR1294" s="538" t="str">
        <f t="shared" si="145"/>
        <v>UnknownbwtinfantLakes</v>
      </c>
      <c r="AS1294" s="604">
        <v>2016</v>
      </c>
      <c r="AT1294" s="604" t="s">
        <v>63</v>
      </c>
      <c r="AU1294" s="604" t="s">
        <v>447</v>
      </c>
      <c r="AV1294" s="604" t="s">
        <v>90</v>
      </c>
      <c r="AW1294" s="604">
        <v>0</v>
      </c>
      <c r="AX1294" s="604">
        <v>1</v>
      </c>
      <c r="AY1294" s="606" t="s">
        <v>119</v>
      </c>
      <c r="AZ1294" s="604" t="s">
        <v>437</v>
      </c>
      <c r="BY1294" s="553" t="str">
        <f t="shared" si="148"/>
        <v>2000SoutherndhbSUDI</v>
      </c>
      <c r="BZ1294" s="604">
        <v>2000</v>
      </c>
      <c r="CA1294" s="604" t="s">
        <v>103</v>
      </c>
      <c r="CB1294" s="604" t="s">
        <v>448</v>
      </c>
      <c r="CC1294" s="604">
        <v>7</v>
      </c>
      <c r="CD1294" s="604" t="s">
        <v>33</v>
      </c>
    </row>
    <row r="1295" spans="9:82">
      <c r="I1295" s="578" t="str">
        <f t="shared" si="146"/>
        <v>2012age35-39Peri</v>
      </c>
      <c r="J1295" s="604">
        <v>2012</v>
      </c>
      <c r="K1295" s="604" t="s">
        <v>453</v>
      </c>
      <c r="L1295" s="604" t="s">
        <v>133</v>
      </c>
      <c r="M1295" s="604">
        <v>120</v>
      </c>
      <c r="N1295" s="604">
        <v>10550</v>
      </c>
      <c r="O1295" s="604">
        <v>11.4</v>
      </c>
      <c r="P1295" s="604" t="s">
        <v>483</v>
      </c>
      <c r="Q1295" s="499"/>
      <c r="Y1295" s="535" t="str">
        <f t="shared" si="147"/>
        <v>2016agedep25-29Quin 4infant</v>
      </c>
      <c r="Z1295" s="604">
        <v>2016</v>
      </c>
      <c r="AA1295" s="604" t="s">
        <v>453</v>
      </c>
      <c r="AB1295" s="604" t="s">
        <v>454</v>
      </c>
      <c r="AC1295" s="604" t="s">
        <v>131</v>
      </c>
      <c r="AD1295" s="604" t="s">
        <v>424</v>
      </c>
      <c r="AE1295" s="604">
        <v>8</v>
      </c>
      <c r="AF1295" s="604">
        <v>3866</v>
      </c>
      <c r="AG1295" s="604">
        <v>2.1</v>
      </c>
      <c r="AH1295" s="604" t="s">
        <v>437</v>
      </c>
      <c r="AR1295" s="538" t="str">
        <f t="shared" si="145"/>
        <v>4500+bwtinfantBay of Plenty</v>
      </c>
      <c r="AS1295" s="604">
        <v>2016</v>
      </c>
      <c r="AT1295" s="604" t="s">
        <v>432</v>
      </c>
      <c r="AU1295" s="604" t="s">
        <v>447</v>
      </c>
      <c r="AV1295" s="604" t="s">
        <v>91</v>
      </c>
      <c r="AW1295" s="604">
        <v>0</v>
      </c>
      <c r="AX1295" s="604">
        <v>66</v>
      </c>
      <c r="AY1295" s="606">
        <v>0</v>
      </c>
      <c r="AZ1295" s="604" t="s">
        <v>437</v>
      </c>
      <c r="BY1295" s="553" t="str">
        <f t="shared" si="148"/>
        <v>2000UnknowndhbSUDI</v>
      </c>
      <c r="BZ1295" s="604">
        <v>2000</v>
      </c>
      <c r="CA1295" s="604" t="s">
        <v>63</v>
      </c>
      <c r="CB1295" s="604" t="s">
        <v>448</v>
      </c>
      <c r="CC1295" s="604">
        <v>0</v>
      </c>
      <c r="CD1295" s="604" t="s">
        <v>33</v>
      </c>
    </row>
    <row r="1296" spans="9:82">
      <c r="I1296" s="578" t="str">
        <f t="shared" si="146"/>
        <v>2012age40+Peri</v>
      </c>
      <c r="J1296" s="604">
        <v>2012</v>
      </c>
      <c r="K1296" s="604" t="s">
        <v>453</v>
      </c>
      <c r="L1296" s="604" t="s">
        <v>134</v>
      </c>
      <c r="M1296" s="604">
        <v>39</v>
      </c>
      <c r="N1296" s="604">
        <v>2699</v>
      </c>
      <c r="O1296" s="604">
        <v>14.4</v>
      </c>
      <c r="P1296" s="604" t="s">
        <v>483</v>
      </c>
      <c r="Q1296" s="499"/>
      <c r="Y1296" s="535" t="str">
        <f t="shared" si="147"/>
        <v>2016agedep30-34Quin 4infant</v>
      </c>
      <c r="Z1296" s="604">
        <v>2016</v>
      </c>
      <c r="AA1296" s="604" t="s">
        <v>453</v>
      </c>
      <c r="AB1296" s="604" t="s">
        <v>454</v>
      </c>
      <c r="AC1296" s="604" t="s">
        <v>132</v>
      </c>
      <c r="AD1296" s="604" t="s">
        <v>424</v>
      </c>
      <c r="AE1296" s="604">
        <v>14</v>
      </c>
      <c r="AF1296" s="604">
        <v>3942</v>
      </c>
      <c r="AG1296" s="604">
        <v>3.6</v>
      </c>
      <c r="AH1296" s="604" t="s">
        <v>437</v>
      </c>
      <c r="AR1296" s="538" t="str">
        <f t="shared" si="145"/>
        <v>500-999bwtinfantTairawhiti</v>
      </c>
      <c r="AS1296" s="604">
        <v>2016</v>
      </c>
      <c r="AT1296" s="604" t="s">
        <v>428</v>
      </c>
      <c r="AU1296" s="604" t="s">
        <v>447</v>
      </c>
      <c r="AV1296" s="604" t="s">
        <v>433</v>
      </c>
      <c r="AW1296" s="604">
        <v>0</v>
      </c>
      <c r="AX1296" s="604">
        <v>2</v>
      </c>
      <c r="AY1296" s="606">
        <v>0</v>
      </c>
      <c r="AZ1296" s="604" t="s">
        <v>437</v>
      </c>
      <c r="BY1296" s="553" t="str">
        <f t="shared" si="148"/>
        <v>2001NorthlanddhbSUDI</v>
      </c>
      <c r="BZ1296" s="604">
        <v>2001</v>
      </c>
      <c r="CA1296" s="604" t="s">
        <v>85</v>
      </c>
      <c r="CB1296" s="604" t="s">
        <v>448</v>
      </c>
      <c r="CC1296" s="604">
        <v>4</v>
      </c>
      <c r="CD1296" s="604" t="s">
        <v>33</v>
      </c>
    </row>
    <row r="1297" spans="9:82">
      <c r="I1297" s="578" t="str">
        <f t="shared" si="146"/>
        <v>2012ageUnknownPeri</v>
      </c>
      <c r="J1297" s="604">
        <v>2012</v>
      </c>
      <c r="K1297" s="604" t="s">
        <v>453</v>
      </c>
      <c r="L1297" s="604" t="s">
        <v>63</v>
      </c>
      <c r="M1297" s="604">
        <v>1</v>
      </c>
      <c r="N1297" s="604">
        <v>0</v>
      </c>
      <c r="O1297" s="604" t="s">
        <v>119</v>
      </c>
      <c r="P1297" s="604" t="s">
        <v>483</v>
      </c>
      <c r="Q1297" s="499"/>
      <c r="Y1297" s="535" t="str">
        <f t="shared" si="147"/>
        <v>2016agedep35-39Quin 4infant</v>
      </c>
      <c r="Z1297" s="604">
        <v>2016</v>
      </c>
      <c r="AA1297" s="604" t="s">
        <v>453</v>
      </c>
      <c r="AB1297" s="604" t="s">
        <v>454</v>
      </c>
      <c r="AC1297" s="604" t="s">
        <v>133</v>
      </c>
      <c r="AD1297" s="604" t="s">
        <v>424</v>
      </c>
      <c r="AE1297" s="604">
        <v>10</v>
      </c>
      <c r="AF1297" s="604">
        <v>1934</v>
      </c>
      <c r="AG1297" s="604">
        <v>5.2</v>
      </c>
      <c r="AH1297" s="604" t="s">
        <v>437</v>
      </c>
      <c r="AR1297" s="538" t="str">
        <f t="shared" si="145"/>
        <v>1000-1499bwtinfantTairawhiti</v>
      </c>
      <c r="AS1297" s="604">
        <v>2016</v>
      </c>
      <c r="AT1297" s="604" t="s">
        <v>429</v>
      </c>
      <c r="AU1297" s="604" t="s">
        <v>447</v>
      </c>
      <c r="AV1297" s="604" t="s">
        <v>433</v>
      </c>
      <c r="AW1297" s="604">
        <v>0</v>
      </c>
      <c r="AX1297" s="604">
        <v>5</v>
      </c>
      <c r="AY1297" s="606">
        <v>0</v>
      </c>
      <c r="AZ1297" s="604" t="s">
        <v>437</v>
      </c>
      <c r="BY1297" s="553" t="str">
        <f t="shared" si="148"/>
        <v>2001WaitematadhbSUDI</v>
      </c>
      <c r="BZ1297" s="604">
        <v>2001</v>
      </c>
      <c r="CA1297" s="604" t="s">
        <v>86</v>
      </c>
      <c r="CB1297" s="604" t="s">
        <v>448</v>
      </c>
      <c r="CC1297" s="604">
        <v>8</v>
      </c>
      <c r="CD1297" s="604" t="s">
        <v>33</v>
      </c>
    </row>
    <row r="1298" spans="9:82">
      <c r="I1298" s="578" t="str">
        <f t="shared" si="146"/>
        <v>2013age&lt;20Peri</v>
      </c>
      <c r="J1298" s="604">
        <v>2013</v>
      </c>
      <c r="K1298" s="604" t="s">
        <v>453</v>
      </c>
      <c r="L1298" s="604" t="s">
        <v>339</v>
      </c>
      <c r="M1298" s="604">
        <v>59</v>
      </c>
      <c r="N1298" s="604">
        <v>3443</v>
      </c>
      <c r="O1298" s="604">
        <v>17.100000000000001</v>
      </c>
      <c r="P1298" s="604" t="s">
        <v>483</v>
      </c>
      <c r="Q1298" s="499"/>
      <c r="Y1298" s="535" t="str">
        <f t="shared" si="147"/>
        <v>2016agedep40+Quin 4infant</v>
      </c>
      <c r="Z1298" s="604">
        <v>2016</v>
      </c>
      <c r="AA1298" s="604" t="s">
        <v>453</v>
      </c>
      <c r="AB1298" s="604" t="s">
        <v>454</v>
      </c>
      <c r="AC1298" s="604" t="s">
        <v>134</v>
      </c>
      <c r="AD1298" s="604" t="s">
        <v>424</v>
      </c>
      <c r="AE1298" s="604">
        <v>4</v>
      </c>
      <c r="AF1298" s="604">
        <v>434</v>
      </c>
      <c r="AG1298" s="604">
        <v>9.1999999999999993</v>
      </c>
      <c r="AH1298" s="604" t="s">
        <v>437</v>
      </c>
      <c r="AR1298" s="538" t="str">
        <f t="shared" si="145"/>
        <v>1500-2499bwtinfantTairawhiti</v>
      </c>
      <c r="AS1298" s="604">
        <v>2016</v>
      </c>
      <c r="AT1298" s="604" t="s">
        <v>430</v>
      </c>
      <c r="AU1298" s="604" t="s">
        <v>447</v>
      </c>
      <c r="AV1298" s="604" t="s">
        <v>433</v>
      </c>
      <c r="AW1298" s="604">
        <v>0</v>
      </c>
      <c r="AX1298" s="604">
        <v>52</v>
      </c>
      <c r="AY1298" s="606">
        <v>0</v>
      </c>
      <c r="AZ1298" s="604" t="s">
        <v>437</v>
      </c>
      <c r="BY1298" s="553" t="str">
        <f t="shared" si="148"/>
        <v>2001AucklanddhbSUDI</v>
      </c>
      <c r="BZ1298" s="604">
        <v>2001</v>
      </c>
      <c r="CA1298" s="604" t="s">
        <v>87</v>
      </c>
      <c r="CB1298" s="604" t="s">
        <v>448</v>
      </c>
      <c r="CC1298" s="604">
        <v>4</v>
      </c>
      <c r="CD1298" s="604" t="s">
        <v>33</v>
      </c>
    </row>
    <row r="1299" spans="9:82">
      <c r="I1299" s="578" t="str">
        <f t="shared" si="146"/>
        <v>2013age20-24Peri</v>
      </c>
      <c r="J1299" s="604">
        <v>2013</v>
      </c>
      <c r="K1299" s="604" t="s">
        <v>453</v>
      </c>
      <c r="L1299" s="604" t="s">
        <v>130</v>
      </c>
      <c r="M1299" s="604">
        <v>104</v>
      </c>
      <c r="N1299" s="604">
        <v>11047</v>
      </c>
      <c r="O1299" s="604">
        <v>9.4</v>
      </c>
      <c r="P1299" s="604" t="s">
        <v>483</v>
      </c>
      <c r="Q1299" s="499"/>
      <c r="Y1299" s="535" t="str">
        <f t="shared" si="147"/>
        <v>2016agedep&lt;20Quin 5infant</v>
      </c>
      <c r="Z1299" s="604">
        <v>2016</v>
      </c>
      <c r="AA1299" s="604" t="s">
        <v>453</v>
      </c>
      <c r="AB1299" s="604" t="s">
        <v>454</v>
      </c>
      <c r="AC1299" s="604" t="s">
        <v>339</v>
      </c>
      <c r="AD1299" s="604" t="s">
        <v>425</v>
      </c>
      <c r="AE1299" s="604">
        <v>18</v>
      </c>
      <c r="AF1299" s="604">
        <v>1291</v>
      </c>
      <c r="AG1299" s="604">
        <v>13.9</v>
      </c>
      <c r="AH1299" s="604" t="s">
        <v>437</v>
      </c>
      <c r="AR1299" s="538" t="str">
        <f t="shared" si="145"/>
        <v>4500+bwtinfantTairawhiti</v>
      </c>
      <c r="AS1299" s="604">
        <v>2016</v>
      </c>
      <c r="AT1299" s="604" t="s">
        <v>432</v>
      </c>
      <c r="AU1299" s="604" t="s">
        <v>447</v>
      </c>
      <c r="AV1299" s="604" t="s">
        <v>433</v>
      </c>
      <c r="AW1299" s="604">
        <v>0</v>
      </c>
      <c r="AX1299" s="604">
        <v>25</v>
      </c>
      <c r="AY1299" s="606">
        <v>0</v>
      </c>
      <c r="AZ1299" s="604" t="s">
        <v>437</v>
      </c>
      <c r="BY1299" s="553" t="str">
        <f t="shared" si="148"/>
        <v>2001Counties ManukaudhbSUDI</v>
      </c>
      <c r="BZ1299" s="604">
        <v>2001</v>
      </c>
      <c r="CA1299" s="604" t="s">
        <v>88</v>
      </c>
      <c r="CB1299" s="604" t="s">
        <v>448</v>
      </c>
      <c r="CC1299" s="604">
        <v>14</v>
      </c>
      <c r="CD1299" s="604" t="s">
        <v>33</v>
      </c>
    </row>
    <row r="1300" spans="9:82">
      <c r="I1300" s="578" t="str">
        <f t="shared" si="146"/>
        <v>2013age25-29Peri</v>
      </c>
      <c r="J1300" s="604">
        <v>2013</v>
      </c>
      <c r="K1300" s="604" t="s">
        <v>453</v>
      </c>
      <c r="L1300" s="604" t="s">
        <v>131</v>
      </c>
      <c r="M1300" s="604">
        <v>129</v>
      </c>
      <c r="N1300" s="604">
        <v>15574</v>
      </c>
      <c r="O1300" s="604">
        <v>8.3000000000000007</v>
      </c>
      <c r="P1300" s="604" t="s">
        <v>483</v>
      </c>
      <c r="Q1300" s="499"/>
      <c r="Y1300" s="535" t="str">
        <f t="shared" si="147"/>
        <v>2016agedep20-24Quin 5infant</v>
      </c>
      <c r="Z1300" s="604">
        <v>2016</v>
      </c>
      <c r="AA1300" s="604" t="s">
        <v>453</v>
      </c>
      <c r="AB1300" s="604" t="s">
        <v>454</v>
      </c>
      <c r="AC1300" s="604" t="s">
        <v>130</v>
      </c>
      <c r="AD1300" s="604" t="s">
        <v>425</v>
      </c>
      <c r="AE1300" s="604">
        <v>30</v>
      </c>
      <c r="AF1300" s="604">
        <v>4284</v>
      </c>
      <c r="AG1300" s="604">
        <v>7</v>
      </c>
      <c r="AH1300" s="604" t="s">
        <v>437</v>
      </c>
      <c r="AR1300" s="538" t="str">
        <f t="shared" si="145"/>
        <v>1500-2499bwtinfantHawke's Bay</v>
      </c>
      <c r="AS1300" s="604">
        <v>2016</v>
      </c>
      <c r="AT1300" s="604" t="s">
        <v>430</v>
      </c>
      <c r="AU1300" s="604" t="s">
        <v>447</v>
      </c>
      <c r="AV1300" s="604" t="s">
        <v>92</v>
      </c>
      <c r="AW1300" s="604">
        <v>0</v>
      </c>
      <c r="AX1300" s="604">
        <v>118</v>
      </c>
      <c r="AY1300" s="606">
        <v>0</v>
      </c>
      <c r="AZ1300" s="604" t="s">
        <v>437</v>
      </c>
      <c r="BY1300" s="553" t="str">
        <f t="shared" si="148"/>
        <v>2001WaikatodhbSUDI</v>
      </c>
      <c r="BZ1300" s="604">
        <v>2001</v>
      </c>
      <c r="CA1300" s="604" t="s">
        <v>89</v>
      </c>
      <c r="CB1300" s="604" t="s">
        <v>448</v>
      </c>
      <c r="CC1300" s="604">
        <v>7</v>
      </c>
      <c r="CD1300" s="604" t="s">
        <v>33</v>
      </c>
    </row>
    <row r="1301" spans="9:82">
      <c r="I1301" s="578" t="str">
        <f t="shared" si="146"/>
        <v>2013age30-34Peri</v>
      </c>
      <c r="J1301" s="604">
        <v>2013</v>
      </c>
      <c r="K1301" s="604" t="s">
        <v>453</v>
      </c>
      <c r="L1301" s="604" t="s">
        <v>132</v>
      </c>
      <c r="M1301" s="604">
        <v>135</v>
      </c>
      <c r="N1301" s="604">
        <v>17079</v>
      </c>
      <c r="O1301" s="604">
        <v>7.9</v>
      </c>
      <c r="P1301" s="604" t="s">
        <v>483</v>
      </c>
      <c r="Q1301" s="499"/>
      <c r="Y1301" s="535" t="str">
        <f t="shared" si="147"/>
        <v>2016agedep25-29Quin 5infant</v>
      </c>
      <c r="Z1301" s="604">
        <v>2016</v>
      </c>
      <c r="AA1301" s="604" t="s">
        <v>453</v>
      </c>
      <c r="AB1301" s="604" t="s">
        <v>454</v>
      </c>
      <c r="AC1301" s="604" t="s">
        <v>131</v>
      </c>
      <c r="AD1301" s="604" t="s">
        <v>425</v>
      </c>
      <c r="AE1301" s="604">
        <v>26</v>
      </c>
      <c r="AF1301" s="604">
        <v>5031</v>
      </c>
      <c r="AG1301" s="604">
        <v>5.2</v>
      </c>
      <c r="AH1301" s="604" t="s">
        <v>437</v>
      </c>
      <c r="AR1301" s="538" t="str">
        <f t="shared" si="145"/>
        <v>4500+bwtinfantHawke's Bay</v>
      </c>
      <c r="AS1301" s="604">
        <v>2016</v>
      </c>
      <c r="AT1301" s="604" t="s">
        <v>432</v>
      </c>
      <c r="AU1301" s="604" t="s">
        <v>447</v>
      </c>
      <c r="AV1301" s="604" t="s">
        <v>92</v>
      </c>
      <c r="AW1301" s="604">
        <v>0</v>
      </c>
      <c r="AX1301" s="604">
        <v>50</v>
      </c>
      <c r="AY1301" s="606">
        <v>0</v>
      </c>
      <c r="AZ1301" s="604" t="s">
        <v>437</v>
      </c>
      <c r="BY1301" s="553" t="str">
        <f t="shared" si="148"/>
        <v>2001LakesdhbSUDI</v>
      </c>
      <c r="BZ1301" s="604">
        <v>2001</v>
      </c>
      <c r="CA1301" s="604" t="s">
        <v>90</v>
      </c>
      <c r="CB1301" s="604" t="s">
        <v>448</v>
      </c>
      <c r="CC1301" s="604">
        <v>3</v>
      </c>
      <c r="CD1301" s="604" t="s">
        <v>33</v>
      </c>
    </row>
    <row r="1302" spans="9:82">
      <c r="I1302" s="578" t="str">
        <f t="shared" si="146"/>
        <v>2013age35-39Peri</v>
      </c>
      <c r="J1302" s="604">
        <v>2013</v>
      </c>
      <c r="K1302" s="604" t="s">
        <v>453</v>
      </c>
      <c r="L1302" s="604" t="s">
        <v>133</v>
      </c>
      <c r="M1302" s="604">
        <v>85</v>
      </c>
      <c r="N1302" s="604">
        <v>10299</v>
      </c>
      <c r="O1302" s="604">
        <v>8.3000000000000007</v>
      </c>
      <c r="P1302" s="604" t="s">
        <v>483</v>
      </c>
      <c r="Q1302" s="499"/>
      <c r="Y1302" s="535" t="str">
        <f t="shared" si="147"/>
        <v>2016agedep30-34Quin 5infant</v>
      </c>
      <c r="Z1302" s="604">
        <v>2016</v>
      </c>
      <c r="AA1302" s="604" t="s">
        <v>453</v>
      </c>
      <c r="AB1302" s="604" t="s">
        <v>454</v>
      </c>
      <c r="AC1302" s="604" t="s">
        <v>132</v>
      </c>
      <c r="AD1302" s="604" t="s">
        <v>425</v>
      </c>
      <c r="AE1302" s="604">
        <v>19</v>
      </c>
      <c r="AF1302" s="604">
        <v>3829</v>
      </c>
      <c r="AG1302" s="604">
        <v>5</v>
      </c>
      <c r="AH1302" s="604" t="s">
        <v>437</v>
      </c>
      <c r="AR1302" s="538" t="str">
        <f t="shared" si="145"/>
        <v>&lt;500bwtinfantTaranaki</v>
      </c>
      <c r="AS1302" s="604">
        <v>2016</v>
      </c>
      <c r="AT1302" s="604" t="s">
        <v>427</v>
      </c>
      <c r="AU1302" s="604" t="s">
        <v>447</v>
      </c>
      <c r="AV1302" s="604" t="s">
        <v>93</v>
      </c>
      <c r="AW1302" s="604">
        <v>0</v>
      </c>
      <c r="AX1302" s="604">
        <v>2</v>
      </c>
      <c r="AY1302" s="606">
        <v>0</v>
      </c>
      <c r="AZ1302" s="604" t="s">
        <v>437</v>
      </c>
      <c r="BY1302" s="553" t="str">
        <f t="shared" si="148"/>
        <v>2001Bay of PlentydhbSUDI</v>
      </c>
      <c r="BZ1302" s="604">
        <v>2001</v>
      </c>
      <c r="CA1302" s="604" t="s">
        <v>91</v>
      </c>
      <c r="CB1302" s="604" t="s">
        <v>448</v>
      </c>
      <c r="CC1302" s="604">
        <v>3</v>
      </c>
      <c r="CD1302" s="604" t="s">
        <v>33</v>
      </c>
    </row>
    <row r="1303" spans="9:82">
      <c r="I1303" s="578" t="str">
        <f t="shared" si="146"/>
        <v>2013age40+Peri</v>
      </c>
      <c r="J1303" s="604">
        <v>2013</v>
      </c>
      <c r="K1303" s="604" t="s">
        <v>453</v>
      </c>
      <c r="L1303" s="604" t="s">
        <v>134</v>
      </c>
      <c r="M1303" s="604">
        <v>47</v>
      </c>
      <c r="N1303" s="604">
        <v>2652</v>
      </c>
      <c r="O1303" s="604">
        <v>17.7</v>
      </c>
      <c r="P1303" s="604" t="s">
        <v>483</v>
      </c>
      <c r="Q1303" s="499"/>
      <c r="Y1303" s="535" t="str">
        <f t="shared" si="147"/>
        <v>2016agedep35-39Quin 5infant</v>
      </c>
      <c r="Z1303" s="604">
        <v>2016</v>
      </c>
      <c r="AA1303" s="604" t="s">
        <v>453</v>
      </c>
      <c r="AB1303" s="604" t="s">
        <v>454</v>
      </c>
      <c r="AC1303" s="604" t="s">
        <v>133</v>
      </c>
      <c r="AD1303" s="604" t="s">
        <v>425</v>
      </c>
      <c r="AE1303" s="604">
        <v>7</v>
      </c>
      <c r="AF1303" s="604">
        <v>1887</v>
      </c>
      <c r="AG1303" s="604">
        <v>3.7</v>
      </c>
      <c r="AH1303" s="604" t="s">
        <v>437</v>
      </c>
      <c r="AR1303" s="538" t="str">
        <f t="shared" si="145"/>
        <v>1000-1499bwtinfantTaranaki</v>
      </c>
      <c r="AS1303" s="604">
        <v>2016</v>
      </c>
      <c r="AT1303" s="604" t="s">
        <v>429</v>
      </c>
      <c r="AU1303" s="604" t="s">
        <v>447</v>
      </c>
      <c r="AV1303" s="604" t="s">
        <v>93</v>
      </c>
      <c r="AW1303" s="604">
        <v>0</v>
      </c>
      <c r="AX1303" s="604">
        <v>6</v>
      </c>
      <c r="AY1303" s="606">
        <v>0</v>
      </c>
      <c r="AZ1303" s="604" t="s">
        <v>437</v>
      </c>
      <c r="BY1303" s="553" t="str">
        <f t="shared" si="148"/>
        <v>2001TairawhitidhbSUDI</v>
      </c>
      <c r="BZ1303" s="604">
        <v>2001</v>
      </c>
      <c r="CA1303" s="604" t="s">
        <v>433</v>
      </c>
      <c r="CB1303" s="604" t="s">
        <v>448</v>
      </c>
      <c r="CC1303" s="604">
        <v>0</v>
      </c>
      <c r="CD1303" s="604" t="s">
        <v>33</v>
      </c>
    </row>
    <row r="1304" spans="9:82">
      <c r="I1304" s="578" t="str">
        <f t="shared" si="146"/>
        <v>2013ageUnknownPeri</v>
      </c>
      <c r="J1304" s="604">
        <v>2013</v>
      </c>
      <c r="K1304" s="604" t="s">
        <v>453</v>
      </c>
      <c r="L1304" s="604" t="s">
        <v>63</v>
      </c>
      <c r="M1304" s="604">
        <v>0</v>
      </c>
      <c r="N1304" s="604">
        <v>0</v>
      </c>
      <c r="O1304" s="604" t="s">
        <v>119</v>
      </c>
      <c r="P1304" s="604" t="s">
        <v>483</v>
      </c>
      <c r="Q1304" s="499"/>
      <c r="Y1304" s="535" t="str">
        <f t="shared" si="147"/>
        <v>2016agedep40+Quin 5infant</v>
      </c>
      <c r="Z1304" s="604">
        <v>2016</v>
      </c>
      <c r="AA1304" s="604" t="s">
        <v>453</v>
      </c>
      <c r="AB1304" s="604" t="s">
        <v>454</v>
      </c>
      <c r="AC1304" s="604" t="s">
        <v>134</v>
      </c>
      <c r="AD1304" s="604" t="s">
        <v>425</v>
      </c>
      <c r="AE1304" s="604">
        <v>7</v>
      </c>
      <c r="AF1304" s="604">
        <v>564</v>
      </c>
      <c r="AG1304" s="604">
        <v>12.4</v>
      </c>
      <c r="AH1304" s="604" t="s">
        <v>437</v>
      </c>
      <c r="AR1304" s="538" t="str">
        <f t="shared" si="145"/>
        <v>4500+bwtinfantTaranaki</v>
      </c>
      <c r="AS1304" s="604">
        <v>2016</v>
      </c>
      <c r="AT1304" s="604" t="s">
        <v>432</v>
      </c>
      <c r="AU1304" s="604" t="s">
        <v>447</v>
      </c>
      <c r="AV1304" s="604" t="s">
        <v>93</v>
      </c>
      <c r="AW1304" s="604">
        <v>0</v>
      </c>
      <c r="AX1304" s="604">
        <v>26</v>
      </c>
      <c r="AY1304" s="606">
        <v>0</v>
      </c>
      <c r="AZ1304" s="604" t="s">
        <v>437</v>
      </c>
      <c r="BY1304" s="553" t="str">
        <f t="shared" si="148"/>
        <v>2001Hawke's BaydhbSUDI</v>
      </c>
      <c r="BZ1304" s="604">
        <v>2001</v>
      </c>
      <c r="CA1304" s="604" t="s">
        <v>92</v>
      </c>
      <c r="CB1304" s="604" t="s">
        <v>448</v>
      </c>
      <c r="CC1304" s="604">
        <v>3</v>
      </c>
      <c r="CD1304" s="604" t="s">
        <v>33</v>
      </c>
    </row>
    <row r="1305" spans="9:82">
      <c r="I1305" s="578" t="str">
        <f t="shared" si="146"/>
        <v>2014age&lt;20Peri</v>
      </c>
      <c r="J1305" s="604">
        <v>2014</v>
      </c>
      <c r="K1305" s="604" t="s">
        <v>453</v>
      </c>
      <c r="L1305" s="604" t="s">
        <v>339</v>
      </c>
      <c r="M1305" s="604">
        <v>48</v>
      </c>
      <c r="N1305" s="604">
        <v>3049</v>
      </c>
      <c r="O1305" s="604">
        <v>15.7</v>
      </c>
      <c r="P1305" s="604" t="s">
        <v>483</v>
      </c>
      <c r="Q1305" s="499"/>
      <c r="Y1305" s="535" t="str">
        <f t="shared" si="147"/>
        <v>2016agedep&lt;20Quin 9infant</v>
      </c>
      <c r="Z1305" s="604">
        <v>2016</v>
      </c>
      <c r="AA1305" s="604" t="s">
        <v>453</v>
      </c>
      <c r="AB1305" s="604" t="s">
        <v>454</v>
      </c>
      <c r="AC1305" s="604" t="s">
        <v>339</v>
      </c>
      <c r="AD1305" s="604" t="s">
        <v>426</v>
      </c>
      <c r="AE1305" s="604">
        <v>0</v>
      </c>
      <c r="AF1305" s="604">
        <v>2</v>
      </c>
      <c r="AG1305" s="604" t="s">
        <v>119</v>
      </c>
      <c r="AH1305" s="604" t="s">
        <v>437</v>
      </c>
      <c r="AR1305" s="538" t="str">
        <f t="shared" si="145"/>
        <v>UnknownbwtinfantTaranaki</v>
      </c>
      <c r="AS1305" s="604">
        <v>2016</v>
      </c>
      <c r="AT1305" s="604" t="s">
        <v>63</v>
      </c>
      <c r="AU1305" s="604" t="s">
        <v>447</v>
      </c>
      <c r="AV1305" s="604" t="s">
        <v>93</v>
      </c>
      <c r="AW1305" s="604">
        <v>0</v>
      </c>
      <c r="AX1305" s="604">
        <v>1</v>
      </c>
      <c r="AY1305" s="606" t="s">
        <v>119</v>
      </c>
      <c r="AZ1305" s="604" t="s">
        <v>437</v>
      </c>
      <c r="BY1305" s="553" t="str">
        <f t="shared" si="148"/>
        <v>2001TaranakidhbSUDI</v>
      </c>
      <c r="BZ1305" s="604">
        <v>2001</v>
      </c>
      <c r="CA1305" s="604" t="s">
        <v>93</v>
      </c>
      <c r="CB1305" s="604" t="s">
        <v>448</v>
      </c>
      <c r="CC1305" s="604">
        <v>1</v>
      </c>
      <c r="CD1305" s="604" t="s">
        <v>33</v>
      </c>
    </row>
    <row r="1306" spans="9:82">
      <c r="I1306" s="578" t="str">
        <f t="shared" si="146"/>
        <v>2014age20-24Peri</v>
      </c>
      <c r="J1306" s="604">
        <v>2014</v>
      </c>
      <c r="K1306" s="604" t="s">
        <v>453</v>
      </c>
      <c r="L1306" s="604" t="s">
        <v>130</v>
      </c>
      <c r="M1306" s="604">
        <v>115</v>
      </c>
      <c r="N1306" s="604">
        <v>10317</v>
      </c>
      <c r="O1306" s="604">
        <v>11.1</v>
      </c>
      <c r="P1306" s="604" t="s">
        <v>483</v>
      </c>
      <c r="Q1306" s="499"/>
      <c r="Y1306" s="535" t="str">
        <f t="shared" si="147"/>
        <v>2016agedep20-24Quin 9infant</v>
      </c>
      <c r="Z1306" s="604">
        <v>2016</v>
      </c>
      <c r="AA1306" s="604" t="s">
        <v>453</v>
      </c>
      <c r="AB1306" s="604" t="s">
        <v>454</v>
      </c>
      <c r="AC1306" s="604" t="s">
        <v>130</v>
      </c>
      <c r="AD1306" s="604" t="s">
        <v>426</v>
      </c>
      <c r="AE1306" s="604">
        <v>0</v>
      </c>
      <c r="AF1306" s="604">
        <v>16</v>
      </c>
      <c r="AG1306" s="604" t="s">
        <v>119</v>
      </c>
      <c r="AH1306" s="604" t="s">
        <v>437</v>
      </c>
      <c r="AR1306" s="538" t="str">
        <f t="shared" si="145"/>
        <v>500-999bwtinfantMidCentral</v>
      </c>
      <c r="AS1306" s="604">
        <v>2016</v>
      </c>
      <c r="AT1306" s="604" t="s">
        <v>428</v>
      </c>
      <c r="AU1306" s="604" t="s">
        <v>447</v>
      </c>
      <c r="AV1306" s="604" t="s">
        <v>94</v>
      </c>
      <c r="AW1306" s="604">
        <v>0</v>
      </c>
      <c r="AX1306" s="604">
        <v>10</v>
      </c>
      <c r="AY1306" s="606">
        <v>0</v>
      </c>
      <c r="AZ1306" s="604" t="s">
        <v>437</v>
      </c>
      <c r="BY1306" s="553" t="str">
        <f t="shared" si="148"/>
        <v>2001MidCentraldhbSUDI</v>
      </c>
      <c r="BZ1306" s="604">
        <v>2001</v>
      </c>
      <c r="CA1306" s="604" t="s">
        <v>94</v>
      </c>
      <c r="CB1306" s="604" t="s">
        <v>448</v>
      </c>
      <c r="CC1306" s="604">
        <v>3</v>
      </c>
      <c r="CD1306" s="604" t="s">
        <v>33</v>
      </c>
    </row>
    <row r="1307" spans="9:82">
      <c r="I1307" s="578" t="str">
        <f t="shared" si="146"/>
        <v>2014age25-29Peri</v>
      </c>
      <c r="J1307" s="604">
        <v>2014</v>
      </c>
      <c r="K1307" s="604" t="s">
        <v>453</v>
      </c>
      <c r="L1307" s="604" t="s">
        <v>131</v>
      </c>
      <c r="M1307" s="604">
        <v>163</v>
      </c>
      <c r="N1307" s="604">
        <v>15625</v>
      </c>
      <c r="O1307" s="604">
        <v>10.4</v>
      </c>
      <c r="P1307" s="604" t="s">
        <v>483</v>
      </c>
      <c r="Q1307" s="499"/>
      <c r="Y1307" s="535" t="str">
        <f t="shared" si="147"/>
        <v>2016agedep25-29Quin 9infant</v>
      </c>
      <c r="Z1307" s="604">
        <v>2016</v>
      </c>
      <c r="AA1307" s="604" t="s">
        <v>453</v>
      </c>
      <c r="AB1307" s="604" t="s">
        <v>454</v>
      </c>
      <c r="AC1307" s="604" t="s">
        <v>131</v>
      </c>
      <c r="AD1307" s="604" t="s">
        <v>426</v>
      </c>
      <c r="AE1307" s="604">
        <v>1</v>
      </c>
      <c r="AF1307" s="604">
        <v>42</v>
      </c>
      <c r="AG1307" s="604" t="s">
        <v>119</v>
      </c>
      <c r="AH1307" s="604" t="s">
        <v>437</v>
      </c>
      <c r="AR1307" s="538" t="str">
        <f t="shared" si="145"/>
        <v>4500+bwtinfantMidCentral</v>
      </c>
      <c r="AS1307" s="604">
        <v>2016</v>
      </c>
      <c r="AT1307" s="604" t="s">
        <v>432</v>
      </c>
      <c r="AU1307" s="604" t="s">
        <v>447</v>
      </c>
      <c r="AV1307" s="604" t="s">
        <v>94</v>
      </c>
      <c r="AW1307" s="604">
        <v>0</v>
      </c>
      <c r="AX1307" s="604">
        <v>54</v>
      </c>
      <c r="AY1307" s="606">
        <v>0</v>
      </c>
      <c r="AZ1307" s="604" t="s">
        <v>437</v>
      </c>
      <c r="BY1307" s="553" t="str">
        <f t="shared" si="148"/>
        <v>2001WhanganuidhbSUDI</v>
      </c>
      <c r="BZ1307" s="604">
        <v>2001</v>
      </c>
      <c r="CA1307" s="604" t="s">
        <v>95</v>
      </c>
      <c r="CB1307" s="604" t="s">
        <v>448</v>
      </c>
      <c r="CC1307" s="604">
        <v>5</v>
      </c>
      <c r="CD1307" s="604" t="s">
        <v>33</v>
      </c>
    </row>
    <row r="1308" spans="9:82">
      <c r="I1308" s="578" t="str">
        <f t="shared" si="146"/>
        <v>2014age30-34Peri</v>
      </c>
      <c r="J1308" s="604">
        <v>2014</v>
      </c>
      <c r="K1308" s="604" t="s">
        <v>453</v>
      </c>
      <c r="L1308" s="604" t="s">
        <v>132</v>
      </c>
      <c r="M1308" s="604">
        <v>184</v>
      </c>
      <c r="N1308" s="604">
        <v>17497</v>
      </c>
      <c r="O1308" s="604">
        <v>10.5</v>
      </c>
      <c r="P1308" s="604" t="s">
        <v>483</v>
      </c>
      <c r="Q1308" s="499"/>
      <c r="Y1308" s="535" t="str">
        <f t="shared" si="147"/>
        <v>2016agedep30-34Quin 9infant</v>
      </c>
      <c r="Z1308" s="604">
        <v>2016</v>
      </c>
      <c r="AA1308" s="604" t="s">
        <v>453</v>
      </c>
      <c r="AB1308" s="604" t="s">
        <v>454</v>
      </c>
      <c r="AC1308" s="604" t="s">
        <v>132</v>
      </c>
      <c r="AD1308" s="604" t="s">
        <v>426</v>
      </c>
      <c r="AE1308" s="604">
        <v>0</v>
      </c>
      <c r="AF1308" s="604">
        <v>44</v>
      </c>
      <c r="AG1308" s="604" t="s">
        <v>119</v>
      </c>
      <c r="AH1308" s="604" t="s">
        <v>437</v>
      </c>
      <c r="AR1308" s="538" t="str">
        <f t="shared" ref="AR1308:AR1349" si="149">AT1308&amp;AU1308&amp;AZ1308&amp;AV1308</f>
        <v>500-999bwtinfantWhanganui</v>
      </c>
      <c r="AS1308" s="604">
        <v>2016</v>
      </c>
      <c r="AT1308" s="604" t="s">
        <v>428</v>
      </c>
      <c r="AU1308" s="604" t="s">
        <v>447</v>
      </c>
      <c r="AV1308" s="604" t="s">
        <v>95</v>
      </c>
      <c r="AW1308" s="604">
        <v>0</v>
      </c>
      <c r="AX1308" s="604">
        <v>1</v>
      </c>
      <c r="AY1308" s="606">
        <v>0</v>
      </c>
      <c r="AZ1308" s="604" t="s">
        <v>437</v>
      </c>
      <c r="BY1308" s="553" t="str">
        <f t="shared" si="148"/>
        <v>2001Capital &amp; CoastdhbSUDI</v>
      </c>
      <c r="BZ1308" s="604">
        <v>2001</v>
      </c>
      <c r="CA1308" s="604" t="s">
        <v>96</v>
      </c>
      <c r="CB1308" s="604" t="s">
        <v>448</v>
      </c>
      <c r="CC1308" s="604">
        <v>3</v>
      </c>
      <c r="CD1308" s="604" t="s">
        <v>33</v>
      </c>
    </row>
    <row r="1309" spans="9:82">
      <c r="I1309" s="578" t="str">
        <f t="shared" si="146"/>
        <v>2014age35-39Peri</v>
      </c>
      <c r="J1309" s="604">
        <v>2014</v>
      </c>
      <c r="K1309" s="604" t="s">
        <v>453</v>
      </c>
      <c r="L1309" s="604" t="s">
        <v>133</v>
      </c>
      <c r="M1309" s="604">
        <v>106</v>
      </c>
      <c r="N1309" s="604">
        <v>9718</v>
      </c>
      <c r="O1309" s="604">
        <v>10.9</v>
      </c>
      <c r="P1309" s="604" t="s">
        <v>483</v>
      </c>
      <c r="Q1309" s="499"/>
      <c r="Y1309" s="535" t="str">
        <f t="shared" si="147"/>
        <v>2016agedep35-39Quin 9infant</v>
      </c>
      <c r="Z1309" s="604">
        <v>2016</v>
      </c>
      <c r="AA1309" s="604" t="s">
        <v>453</v>
      </c>
      <c r="AB1309" s="604" t="s">
        <v>454</v>
      </c>
      <c r="AC1309" s="604" t="s">
        <v>133</v>
      </c>
      <c r="AD1309" s="604" t="s">
        <v>426</v>
      </c>
      <c r="AE1309" s="604">
        <v>0</v>
      </c>
      <c r="AF1309" s="604">
        <v>22</v>
      </c>
      <c r="AG1309" s="604" t="s">
        <v>119</v>
      </c>
      <c r="AH1309" s="604" t="s">
        <v>437</v>
      </c>
      <c r="AR1309" s="538" t="str">
        <f t="shared" si="149"/>
        <v>1000-1499bwtinfantWhanganui</v>
      </c>
      <c r="AS1309" s="604">
        <v>2016</v>
      </c>
      <c r="AT1309" s="604" t="s">
        <v>429</v>
      </c>
      <c r="AU1309" s="604" t="s">
        <v>447</v>
      </c>
      <c r="AV1309" s="604" t="s">
        <v>95</v>
      </c>
      <c r="AW1309" s="604">
        <v>0</v>
      </c>
      <c r="AX1309" s="604">
        <v>4</v>
      </c>
      <c r="AY1309" s="606">
        <v>0</v>
      </c>
      <c r="AZ1309" s="604" t="s">
        <v>437</v>
      </c>
      <c r="BY1309" s="553" t="str">
        <f t="shared" si="148"/>
        <v>2001Hutt ValleydhbSUDI</v>
      </c>
      <c r="BZ1309" s="604">
        <v>2001</v>
      </c>
      <c r="CA1309" s="604" t="s">
        <v>97</v>
      </c>
      <c r="CB1309" s="604" t="s">
        <v>448</v>
      </c>
      <c r="CC1309" s="604">
        <v>3</v>
      </c>
      <c r="CD1309" s="604" t="s">
        <v>33</v>
      </c>
    </row>
    <row r="1310" spans="9:82">
      <c r="I1310" s="578" t="str">
        <f t="shared" si="146"/>
        <v>2014age40+Peri</v>
      </c>
      <c r="J1310" s="604">
        <v>2014</v>
      </c>
      <c r="K1310" s="604" t="s">
        <v>453</v>
      </c>
      <c r="L1310" s="604" t="s">
        <v>134</v>
      </c>
      <c r="M1310" s="604">
        <v>34</v>
      </c>
      <c r="N1310" s="604">
        <v>2526</v>
      </c>
      <c r="O1310" s="604">
        <v>13.5</v>
      </c>
      <c r="P1310" s="604" t="s">
        <v>483</v>
      </c>
      <c r="Q1310" s="499"/>
      <c r="Y1310" s="535" t="str">
        <f t="shared" si="147"/>
        <v>2016agedep40+Quin 9infant</v>
      </c>
      <c r="Z1310" s="604">
        <v>2016</v>
      </c>
      <c r="AA1310" s="604" t="s">
        <v>453</v>
      </c>
      <c r="AB1310" s="604" t="s">
        <v>454</v>
      </c>
      <c r="AC1310" s="604" t="s">
        <v>134</v>
      </c>
      <c r="AD1310" s="604" t="s">
        <v>426</v>
      </c>
      <c r="AE1310" s="604">
        <v>0</v>
      </c>
      <c r="AF1310" s="604">
        <v>5</v>
      </c>
      <c r="AG1310" s="604" t="s">
        <v>119</v>
      </c>
      <c r="AH1310" s="604" t="s">
        <v>437</v>
      </c>
      <c r="AR1310" s="538" t="str">
        <f t="shared" si="149"/>
        <v>4500+bwtinfantWhanganui</v>
      </c>
      <c r="AS1310" s="604">
        <v>2016</v>
      </c>
      <c r="AT1310" s="604" t="s">
        <v>432</v>
      </c>
      <c r="AU1310" s="604" t="s">
        <v>447</v>
      </c>
      <c r="AV1310" s="604" t="s">
        <v>95</v>
      </c>
      <c r="AW1310" s="604">
        <v>0</v>
      </c>
      <c r="AX1310" s="604">
        <v>19</v>
      </c>
      <c r="AY1310" s="606">
        <v>0</v>
      </c>
      <c r="AZ1310" s="604" t="s">
        <v>437</v>
      </c>
      <c r="BY1310" s="553" t="str">
        <f t="shared" si="148"/>
        <v>2001WairarapadhbSUDI</v>
      </c>
      <c r="BZ1310" s="604">
        <v>2001</v>
      </c>
      <c r="CA1310" s="604" t="s">
        <v>98</v>
      </c>
      <c r="CB1310" s="604" t="s">
        <v>448</v>
      </c>
      <c r="CC1310" s="604">
        <v>1</v>
      </c>
      <c r="CD1310" s="604" t="s">
        <v>33</v>
      </c>
    </row>
    <row r="1311" spans="9:82">
      <c r="I1311" s="578" t="str">
        <f t="shared" si="146"/>
        <v>2014ageUnknownPeri</v>
      </c>
      <c r="J1311" s="604">
        <v>2014</v>
      </c>
      <c r="K1311" s="604" t="s">
        <v>453</v>
      </c>
      <c r="L1311" s="604" t="s">
        <v>63</v>
      </c>
      <c r="M1311" s="604">
        <v>5</v>
      </c>
      <c r="N1311" s="604">
        <v>0</v>
      </c>
      <c r="O1311" s="604" t="s">
        <v>119</v>
      </c>
      <c r="P1311" s="604" t="s">
        <v>483</v>
      </c>
      <c r="Q1311" s="499"/>
      <c r="Y1311" s="535" t="str">
        <f t="shared" si="147"/>
        <v>2016gestdep&lt;28Quin 1infant</v>
      </c>
      <c r="Z1311" s="604">
        <v>2016</v>
      </c>
      <c r="AA1311" s="604" t="s">
        <v>450</v>
      </c>
      <c r="AB1311" s="604" t="s">
        <v>454</v>
      </c>
      <c r="AC1311" s="604" t="s">
        <v>375</v>
      </c>
      <c r="AD1311" s="604" t="s">
        <v>421</v>
      </c>
      <c r="AE1311" s="604">
        <v>9</v>
      </c>
      <c r="AF1311" s="604">
        <v>36</v>
      </c>
      <c r="AG1311" s="604">
        <v>250</v>
      </c>
      <c r="AH1311" s="604" t="s">
        <v>437</v>
      </c>
      <c r="AR1311" s="538" t="str">
        <f t="shared" si="149"/>
        <v>&lt;500bwtinfantCapital &amp; Coast</v>
      </c>
      <c r="AS1311" s="604">
        <v>2016</v>
      </c>
      <c r="AT1311" s="604" t="s">
        <v>427</v>
      </c>
      <c r="AU1311" s="604" t="s">
        <v>447</v>
      </c>
      <c r="AV1311" s="604" t="s">
        <v>96</v>
      </c>
      <c r="AW1311" s="604">
        <v>0</v>
      </c>
      <c r="AX1311" s="604">
        <v>1</v>
      </c>
      <c r="AY1311" s="606">
        <v>0</v>
      </c>
      <c r="AZ1311" s="604" t="s">
        <v>437</v>
      </c>
      <c r="BY1311" s="553" t="str">
        <f t="shared" si="148"/>
        <v>2001Nelson MarlboroughdhbSUDI</v>
      </c>
      <c r="BZ1311" s="604">
        <v>2001</v>
      </c>
      <c r="CA1311" s="604" t="s">
        <v>99</v>
      </c>
      <c r="CB1311" s="604" t="s">
        <v>448</v>
      </c>
      <c r="CC1311" s="604">
        <v>0</v>
      </c>
      <c r="CD1311" s="604" t="s">
        <v>33</v>
      </c>
    </row>
    <row r="1312" spans="9:82">
      <c r="I1312" s="578" t="str">
        <f t="shared" si="146"/>
        <v>2015age&lt;20Peri</v>
      </c>
      <c r="J1312" s="604">
        <v>2015</v>
      </c>
      <c r="K1312" s="604" t="s">
        <v>453</v>
      </c>
      <c r="L1312" s="604" t="s">
        <v>339</v>
      </c>
      <c r="M1312" s="604">
        <v>37</v>
      </c>
      <c r="N1312" s="604">
        <v>3004</v>
      </c>
      <c r="O1312" s="604">
        <v>12.3</v>
      </c>
      <c r="P1312" s="604" t="s">
        <v>483</v>
      </c>
      <c r="Q1312" s="499"/>
      <c r="Y1312" s="535" t="str">
        <f t="shared" si="147"/>
        <v>2016gestdep28-31Quin 1infant</v>
      </c>
      <c r="Z1312" s="604">
        <v>2016</v>
      </c>
      <c r="AA1312" s="604" t="s">
        <v>450</v>
      </c>
      <c r="AB1312" s="604" t="s">
        <v>454</v>
      </c>
      <c r="AC1312" s="604" t="s">
        <v>395</v>
      </c>
      <c r="AD1312" s="604" t="s">
        <v>421</v>
      </c>
      <c r="AE1312" s="604">
        <v>2</v>
      </c>
      <c r="AF1312" s="604">
        <v>60</v>
      </c>
      <c r="AG1312" s="604">
        <v>33.299999999999997</v>
      </c>
      <c r="AH1312" s="604" t="s">
        <v>437</v>
      </c>
      <c r="AR1312" s="538" t="str">
        <f t="shared" si="149"/>
        <v>4500+bwtinfantCapital &amp; Coast</v>
      </c>
      <c r="AS1312" s="604">
        <v>2016</v>
      </c>
      <c r="AT1312" s="604" t="s">
        <v>432</v>
      </c>
      <c r="AU1312" s="604" t="s">
        <v>447</v>
      </c>
      <c r="AV1312" s="604" t="s">
        <v>96</v>
      </c>
      <c r="AW1312" s="604">
        <v>0</v>
      </c>
      <c r="AX1312" s="604">
        <v>73</v>
      </c>
      <c r="AY1312" s="606">
        <v>0</v>
      </c>
      <c r="AZ1312" s="604" t="s">
        <v>437</v>
      </c>
      <c r="BY1312" s="553" t="str">
        <f t="shared" si="148"/>
        <v>2001West CoastdhbSUDI</v>
      </c>
      <c r="BZ1312" s="604">
        <v>2001</v>
      </c>
      <c r="CA1312" s="604" t="s">
        <v>100</v>
      </c>
      <c r="CB1312" s="604" t="s">
        <v>448</v>
      </c>
      <c r="CC1312" s="604">
        <v>0</v>
      </c>
      <c r="CD1312" s="604" t="s">
        <v>33</v>
      </c>
    </row>
    <row r="1313" spans="9:82">
      <c r="I1313" s="578" t="str">
        <f t="shared" si="146"/>
        <v>2015age20-24Peri</v>
      </c>
      <c r="J1313" s="604">
        <v>2015</v>
      </c>
      <c r="K1313" s="604" t="s">
        <v>453</v>
      </c>
      <c r="L1313" s="604" t="s">
        <v>130</v>
      </c>
      <c r="M1313" s="604">
        <v>74</v>
      </c>
      <c r="N1313" s="604">
        <v>10848</v>
      </c>
      <c r="O1313" s="604">
        <v>6.8</v>
      </c>
      <c r="P1313" s="604" t="s">
        <v>483</v>
      </c>
      <c r="Q1313" s="499"/>
      <c r="Y1313" s="535" t="str">
        <f t="shared" si="147"/>
        <v>2016gestdep32-36Quin 1infant</v>
      </c>
      <c r="Z1313" s="604">
        <v>2016</v>
      </c>
      <c r="AA1313" s="604" t="s">
        <v>450</v>
      </c>
      <c r="AB1313" s="604" t="s">
        <v>454</v>
      </c>
      <c r="AC1313" s="604" t="s">
        <v>136</v>
      </c>
      <c r="AD1313" s="604" t="s">
        <v>421</v>
      </c>
      <c r="AE1313" s="604">
        <v>1</v>
      </c>
      <c r="AF1313" s="604">
        <v>574</v>
      </c>
      <c r="AG1313" s="604">
        <v>1.7</v>
      </c>
      <c r="AH1313" s="604" t="s">
        <v>437</v>
      </c>
      <c r="AR1313" s="538" t="str">
        <f t="shared" si="149"/>
        <v>UnknownbwtinfantCapital &amp; Coast</v>
      </c>
      <c r="AS1313" s="604">
        <v>2016</v>
      </c>
      <c r="AT1313" s="604" t="s">
        <v>63</v>
      </c>
      <c r="AU1313" s="604" t="s">
        <v>447</v>
      </c>
      <c r="AV1313" s="604" t="s">
        <v>96</v>
      </c>
      <c r="AW1313" s="604">
        <v>0</v>
      </c>
      <c r="AX1313" s="604">
        <v>1</v>
      </c>
      <c r="AY1313" s="606" t="s">
        <v>119</v>
      </c>
      <c r="AZ1313" s="604" t="s">
        <v>437</v>
      </c>
      <c r="BY1313" s="553" t="str">
        <f t="shared" si="148"/>
        <v>2001CanterburydhbSUDI</v>
      </c>
      <c r="BZ1313" s="604">
        <v>2001</v>
      </c>
      <c r="CA1313" s="604" t="s">
        <v>101</v>
      </c>
      <c r="CB1313" s="604" t="s">
        <v>448</v>
      </c>
      <c r="CC1313" s="604">
        <v>7</v>
      </c>
      <c r="CD1313" s="604" t="s">
        <v>33</v>
      </c>
    </row>
    <row r="1314" spans="9:82">
      <c r="I1314" s="578" t="str">
        <f t="shared" si="146"/>
        <v>2015age25-29Peri</v>
      </c>
      <c r="J1314" s="604">
        <v>2015</v>
      </c>
      <c r="K1314" s="604" t="s">
        <v>453</v>
      </c>
      <c r="L1314" s="604" t="s">
        <v>131</v>
      </c>
      <c r="M1314" s="604">
        <v>142</v>
      </c>
      <c r="N1314" s="604">
        <v>16769</v>
      </c>
      <c r="O1314" s="604">
        <v>8.5</v>
      </c>
      <c r="P1314" s="604" t="s">
        <v>483</v>
      </c>
      <c r="Q1314" s="499"/>
      <c r="Y1314" s="535" t="str">
        <f t="shared" si="147"/>
        <v>2016gestdep37-41Quin 1infant</v>
      </c>
      <c r="Z1314" s="604">
        <v>2016</v>
      </c>
      <c r="AA1314" s="604" t="s">
        <v>450</v>
      </c>
      <c r="AB1314" s="604" t="s">
        <v>454</v>
      </c>
      <c r="AC1314" s="604" t="s">
        <v>137</v>
      </c>
      <c r="AD1314" s="604" t="s">
        <v>421</v>
      </c>
      <c r="AE1314" s="604">
        <v>10</v>
      </c>
      <c r="AF1314" s="604">
        <v>8377</v>
      </c>
      <c r="AG1314" s="604">
        <v>1.2</v>
      </c>
      <c r="AH1314" s="604" t="s">
        <v>437</v>
      </c>
      <c r="AR1314" s="538" t="str">
        <f t="shared" si="149"/>
        <v>1000-1499bwtinfantHutt Valley</v>
      </c>
      <c r="AS1314" s="604">
        <v>2016</v>
      </c>
      <c r="AT1314" s="604" t="s">
        <v>429</v>
      </c>
      <c r="AU1314" s="604" t="s">
        <v>447</v>
      </c>
      <c r="AV1314" s="604" t="s">
        <v>97</v>
      </c>
      <c r="AW1314" s="604">
        <v>0</v>
      </c>
      <c r="AX1314" s="604">
        <v>12</v>
      </c>
      <c r="AY1314" s="606">
        <v>0</v>
      </c>
      <c r="AZ1314" s="604" t="s">
        <v>437</v>
      </c>
      <c r="BY1314" s="553" t="str">
        <f t="shared" si="148"/>
        <v>2001South CanterburydhbSUDI</v>
      </c>
      <c r="BZ1314" s="604">
        <v>2001</v>
      </c>
      <c r="CA1314" s="604" t="s">
        <v>102</v>
      </c>
      <c r="CB1314" s="604" t="s">
        <v>448</v>
      </c>
      <c r="CC1314" s="604">
        <v>1</v>
      </c>
      <c r="CD1314" s="604" t="s">
        <v>33</v>
      </c>
    </row>
    <row r="1315" spans="9:82">
      <c r="I1315" s="578" t="str">
        <f t="shared" si="146"/>
        <v>2015age30-34Peri</v>
      </c>
      <c r="J1315" s="604">
        <v>2015</v>
      </c>
      <c r="K1315" s="604" t="s">
        <v>453</v>
      </c>
      <c r="L1315" s="604" t="s">
        <v>132</v>
      </c>
      <c r="M1315" s="604">
        <v>148</v>
      </c>
      <c r="N1315" s="604">
        <v>18897</v>
      </c>
      <c r="O1315" s="604">
        <v>7.8</v>
      </c>
      <c r="P1315" s="604" t="s">
        <v>483</v>
      </c>
      <c r="Q1315" s="499"/>
      <c r="Y1315" s="535" t="str">
        <f t="shared" si="147"/>
        <v>2016gestdep42+Quin 1infant</v>
      </c>
      <c r="Z1315" s="604">
        <v>2016</v>
      </c>
      <c r="AA1315" s="604" t="s">
        <v>450</v>
      </c>
      <c r="AB1315" s="604" t="s">
        <v>454</v>
      </c>
      <c r="AC1315" s="604" t="s">
        <v>138</v>
      </c>
      <c r="AD1315" s="604" t="s">
        <v>421</v>
      </c>
      <c r="AE1315" s="604">
        <v>1</v>
      </c>
      <c r="AF1315" s="604">
        <v>144</v>
      </c>
      <c r="AG1315" s="604">
        <v>6.9</v>
      </c>
      <c r="AH1315" s="604" t="s">
        <v>437</v>
      </c>
      <c r="AR1315" s="538" t="str">
        <f t="shared" si="149"/>
        <v>4500+bwtinfantHutt Valley</v>
      </c>
      <c r="AS1315" s="604">
        <v>2016</v>
      </c>
      <c r="AT1315" s="604" t="s">
        <v>432</v>
      </c>
      <c r="AU1315" s="604" t="s">
        <v>447</v>
      </c>
      <c r="AV1315" s="604" t="s">
        <v>97</v>
      </c>
      <c r="AW1315" s="604">
        <v>0</v>
      </c>
      <c r="AX1315" s="604">
        <v>52</v>
      </c>
      <c r="AY1315" s="606">
        <v>0</v>
      </c>
      <c r="AZ1315" s="604" t="s">
        <v>437</v>
      </c>
      <c r="BY1315" s="553" t="str">
        <f t="shared" si="148"/>
        <v>2001SoutherndhbSUDI</v>
      </c>
      <c r="BZ1315" s="604">
        <v>2001</v>
      </c>
      <c r="CA1315" s="604" t="s">
        <v>103</v>
      </c>
      <c r="CB1315" s="604" t="s">
        <v>448</v>
      </c>
      <c r="CC1315" s="604">
        <v>1</v>
      </c>
      <c r="CD1315" s="604" t="s">
        <v>33</v>
      </c>
    </row>
    <row r="1316" spans="9:82">
      <c r="I1316" s="578" t="str">
        <f t="shared" si="146"/>
        <v>2015age35-39Peri</v>
      </c>
      <c r="J1316" s="604">
        <v>2015</v>
      </c>
      <c r="K1316" s="604" t="s">
        <v>453</v>
      </c>
      <c r="L1316" s="604" t="s">
        <v>133</v>
      </c>
      <c r="M1316" s="604">
        <v>95</v>
      </c>
      <c r="N1316" s="604">
        <v>10389</v>
      </c>
      <c r="O1316" s="604">
        <v>9.1</v>
      </c>
      <c r="P1316" s="604" t="s">
        <v>483</v>
      </c>
      <c r="Q1316" s="499"/>
      <c r="Y1316" s="535" t="str">
        <f t="shared" si="147"/>
        <v>2016gestdepUnknownQuin 1infant</v>
      </c>
      <c r="Z1316" s="604">
        <v>2016</v>
      </c>
      <c r="AA1316" s="604" t="s">
        <v>450</v>
      </c>
      <c r="AB1316" s="604" t="s">
        <v>454</v>
      </c>
      <c r="AC1316" s="604" t="s">
        <v>63</v>
      </c>
      <c r="AD1316" s="604" t="s">
        <v>421</v>
      </c>
      <c r="AE1316" s="604">
        <v>1</v>
      </c>
      <c r="AF1316" s="604">
        <v>3</v>
      </c>
      <c r="AG1316" s="604" t="s">
        <v>119</v>
      </c>
      <c r="AH1316" s="604" t="s">
        <v>437</v>
      </c>
      <c r="AR1316" s="538" t="str">
        <f t="shared" si="149"/>
        <v>UnknownbwtinfantHutt Valley</v>
      </c>
      <c r="AS1316" s="604">
        <v>2016</v>
      </c>
      <c r="AT1316" s="604" t="s">
        <v>63</v>
      </c>
      <c r="AU1316" s="604" t="s">
        <v>447</v>
      </c>
      <c r="AV1316" s="604" t="s">
        <v>97</v>
      </c>
      <c r="AW1316" s="604">
        <v>0</v>
      </c>
      <c r="AX1316" s="604">
        <v>1</v>
      </c>
      <c r="AY1316" s="606" t="s">
        <v>119</v>
      </c>
      <c r="AZ1316" s="604" t="s">
        <v>437</v>
      </c>
      <c r="BY1316" s="553" t="str">
        <f t="shared" si="148"/>
        <v>2001UnknowndhbSUDI</v>
      </c>
      <c r="BZ1316" s="604">
        <v>2001</v>
      </c>
      <c r="CA1316" s="604" t="s">
        <v>63</v>
      </c>
      <c r="CB1316" s="604" t="s">
        <v>448</v>
      </c>
      <c r="CC1316" s="604">
        <v>0</v>
      </c>
      <c r="CD1316" s="604" t="s">
        <v>33</v>
      </c>
    </row>
    <row r="1317" spans="9:82">
      <c r="I1317" s="578" t="str">
        <f t="shared" si="146"/>
        <v>2015age40+Peri</v>
      </c>
      <c r="J1317" s="604">
        <v>2015</v>
      </c>
      <c r="K1317" s="604" t="s">
        <v>453</v>
      </c>
      <c r="L1317" s="604" t="s">
        <v>134</v>
      </c>
      <c r="M1317" s="604">
        <v>31</v>
      </c>
      <c r="N1317" s="604">
        <v>2599</v>
      </c>
      <c r="O1317" s="604">
        <v>11.9</v>
      </c>
      <c r="P1317" s="604" t="s">
        <v>483</v>
      </c>
      <c r="Q1317" s="499"/>
      <c r="Y1317" s="535" t="str">
        <f t="shared" si="147"/>
        <v>2016gestdep&lt;28Quin 2infant</v>
      </c>
      <c r="Z1317" s="604">
        <v>2016</v>
      </c>
      <c r="AA1317" s="604" t="s">
        <v>450</v>
      </c>
      <c r="AB1317" s="604" t="s">
        <v>454</v>
      </c>
      <c r="AC1317" s="604" t="s">
        <v>375</v>
      </c>
      <c r="AD1317" s="604" t="s">
        <v>422</v>
      </c>
      <c r="AE1317" s="604">
        <v>9</v>
      </c>
      <c r="AF1317" s="604">
        <v>30</v>
      </c>
      <c r="AG1317" s="604">
        <v>300</v>
      </c>
      <c r="AH1317" s="604" t="s">
        <v>437</v>
      </c>
      <c r="AR1317" s="575" t="str">
        <f t="shared" si="149"/>
        <v>500-999bwtinfantWairarapa</v>
      </c>
      <c r="AS1317" s="604">
        <v>2016</v>
      </c>
      <c r="AT1317" s="604" t="s">
        <v>428</v>
      </c>
      <c r="AU1317" s="604" t="s">
        <v>447</v>
      </c>
      <c r="AV1317" s="604" t="s">
        <v>98</v>
      </c>
      <c r="AW1317" s="604">
        <v>0</v>
      </c>
      <c r="AX1317" s="604">
        <v>3</v>
      </c>
      <c r="AY1317" s="606">
        <v>0</v>
      </c>
      <c r="AZ1317" s="604" t="s">
        <v>437</v>
      </c>
      <c r="BY1317" s="553" t="str">
        <f t="shared" si="148"/>
        <v>2002NorthlanddhbSUDI</v>
      </c>
      <c r="BZ1317" s="604">
        <v>2002</v>
      </c>
      <c r="CA1317" s="604" t="s">
        <v>85</v>
      </c>
      <c r="CB1317" s="604" t="s">
        <v>448</v>
      </c>
      <c r="CC1317" s="604">
        <v>3</v>
      </c>
      <c r="CD1317" s="604" t="s">
        <v>33</v>
      </c>
    </row>
    <row r="1318" spans="9:82">
      <c r="I1318" s="578" t="str">
        <f t="shared" si="146"/>
        <v>2015ageUnknownPeri</v>
      </c>
      <c r="J1318" s="604">
        <v>2015</v>
      </c>
      <c r="K1318" s="604" t="s">
        <v>453</v>
      </c>
      <c r="L1318" s="604" t="s">
        <v>63</v>
      </c>
      <c r="M1318" s="604">
        <v>1</v>
      </c>
      <c r="N1318" s="604">
        <v>0</v>
      </c>
      <c r="O1318" s="604" t="s">
        <v>119</v>
      </c>
      <c r="P1318" s="604" t="s">
        <v>483</v>
      </c>
      <c r="Q1318" s="499"/>
      <c r="Y1318" s="535" t="str">
        <f t="shared" si="147"/>
        <v>2016gestdep28-31Quin 2infant</v>
      </c>
      <c r="Z1318" s="604">
        <v>2016</v>
      </c>
      <c r="AA1318" s="604" t="s">
        <v>450</v>
      </c>
      <c r="AB1318" s="604" t="s">
        <v>454</v>
      </c>
      <c r="AC1318" s="604" t="s">
        <v>395</v>
      </c>
      <c r="AD1318" s="604" t="s">
        <v>422</v>
      </c>
      <c r="AE1318" s="604">
        <v>0</v>
      </c>
      <c r="AF1318" s="604">
        <v>65</v>
      </c>
      <c r="AG1318" s="604">
        <v>0</v>
      </c>
      <c r="AH1318" s="604" t="s">
        <v>437</v>
      </c>
      <c r="AR1318" s="575" t="str">
        <f t="shared" si="149"/>
        <v>1000-1499bwtinfantWairarapa</v>
      </c>
      <c r="AS1318" s="604">
        <v>2016</v>
      </c>
      <c r="AT1318" s="604" t="s">
        <v>429</v>
      </c>
      <c r="AU1318" s="604" t="s">
        <v>447</v>
      </c>
      <c r="AV1318" s="604" t="s">
        <v>98</v>
      </c>
      <c r="AW1318" s="604">
        <v>0</v>
      </c>
      <c r="AX1318" s="604">
        <v>2</v>
      </c>
      <c r="AY1318" s="606">
        <v>0</v>
      </c>
      <c r="AZ1318" s="604" t="s">
        <v>437</v>
      </c>
      <c r="BY1318" s="553" t="str">
        <f t="shared" si="148"/>
        <v>2002WaitematadhbSUDI</v>
      </c>
      <c r="BZ1318" s="604">
        <v>2002</v>
      </c>
      <c r="CA1318" s="604" t="s">
        <v>86</v>
      </c>
      <c r="CB1318" s="604" t="s">
        <v>448</v>
      </c>
      <c r="CC1318" s="604">
        <v>9</v>
      </c>
      <c r="CD1318" s="604" t="s">
        <v>33</v>
      </c>
    </row>
    <row r="1319" spans="9:82">
      <c r="I1319" s="578" t="str">
        <f t="shared" si="146"/>
        <v>2016age&lt;20Peri</v>
      </c>
      <c r="J1319" s="604">
        <v>2016</v>
      </c>
      <c r="K1319" s="604" t="s">
        <v>453</v>
      </c>
      <c r="L1319" s="604" t="s">
        <v>339</v>
      </c>
      <c r="M1319" s="604">
        <v>48</v>
      </c>
      <c r="N1319" s="604">
        <v>2595</v>
      </c>
      <c r="O1319" s="604">
        <v>18.5</v>
      </c>
      <c r="P1319" s="604" t="s">
        <v>483</v>
      </c>
      <c r="Q1319" s="499"/>
      <c r="Y1319" s="535" t="str">
        <f t="shared" si="147"/>
        <v>2016gestdep32-36Quin 2infant</v>
      </c>
      <c r="Z1319" s="604">
        <v>2016</v>
      </c>
      <c r="AA1319" s="604" t="s">
        <v>450</v>
      </c>
      <c r="AB1319" s="604" t="s">
        <v>454</v>
      </c>
      <c r="AC1319" s="604" t="s">
        <v>136</v>
      </c>
      <c r="AD1319" s="604" t="s">
        <v>422</v>
      </c>
      <c r="AE1319" s="604">
        <v>2</v>
      </c>
      <c r="AF1319" s="604">
        <v>580</v>
      </c>
      <c r="AG1319" s="604">
        <v>3.4</v>
      </c>
      <c r="AH1319" s="604" t="s">
        <v>437</v>
      </c>
      <c r="AR1319" s="575" t="str">
        <f t="shared" si="149"/>
        <v>1500-2499bwtinfantWairarapa</v>
      </c>
      <c r="AS1319" s="604">
        <v>2016</v>
      </c>
      <c r="AT1319" s="604" t="s">
        <v>430</v>
      </c>
      <c r="AU1319" s="604" t="s">
        <v>447</v>
      </c>
      <c r="AV1319" s="604" t="s">
        <v>98</v>
      </c>
      <c r="AW1319" s="604">
        <v>0</v>
      </c>
      <c r="AX1319" s="604">
        <v>30</v>
      </c>
      <c r="AY1319" s="606">
        <v>0</v>
      </c>
      <c r="AZ1319" s="604" t="s">
        <v>437</v>
      </c>
      <c r="BY1319" s="553" t="str">
        <f t="shared" si="148"/>
        <v>2002AucklanddhbSUDI</v>
      </c>
      <c r="BZ1319" s="604">
        <v>2002</v>
      </c>
      <c r="CA1319" s="604" t="s">
        <v>87</v>
      </c>
      <c r="CB1319" s="604" t="s">
        <v>448</v>
      </c>
      <c r="CC1319" s="604">
        <v>3</v>
      </c>
      <c r="CD1319" s="604" t="s">
        <v>33</v>
      </c>
    </row>
    <row r="1320" spans="9:82">
      <c r="I1320" s="578" t="str">
        <f t="shared" si="146"/>
        <v>2016age20-24Peri</v>
      </c>
      <c r="J1320" s="604">
        <v>2016</v>
      </c>
      <c r="K1320" s="604" t="s">
        <v>453</v>
      </c>
      <c r="L1320" s="604" t="s">
        <v>130</v>
      </c>
      <c r="M1320" s="604">
        <v>111</v>
      </c>
      <c r="N1320" s="604">
        <v>10007</v>
      </c>
      <c r="O1320" s="604">
        <v>11.1</v>
      </c>
      <c r="P1320" s="604" t="s">
        <v>483</v>
      </c>
      <c r="Q1320" s="499"/>
      <c r="Y1320" s="535" t="str">
        <f t="shared" si="147"/>
        <v>2016gestdep37-41Quin 2infant</v>
      </c>
      <c r="Z1320" s="604">
        <v>2016</v>
      </c>
      <c r="AA1320" s="604" t="s">
        <v>450</v>
      </c>
      <c r="AB1320" s="604" t="s">
        <v>454</v>
      </c>
      <c r="AC1320" s="604" t="s">
        <v>137</v>
      </c>
      <c r="AD1320" s="604" t="s">
        <v>422</v>
      </c>
      <c r="AE1320" s="604">
        <v>11</v>
      </c>
      <c r="AF1320" s="604">
        <v>9282</v>
      </c>
      <c r="AG1320" s="604">
        <v>1.2</v>
      </c>
      <c r="AH1320" s="604" t="s">
        <v>437</v>
      </c>
      <c r="AR1320" s="575" t="str">
        <f t="shared" si="149"/>
        <v>2500-4499bwtinfantWairarapa</v>
      </c>
      <c r="AS1320" s="604">
        <v>2016</v>
      </c>
      <c r="AT1320" s="604" t="s">
        <v>431</v>
      </c>
      <c r="AU1320" s="604" t="s">
        <v>447</v>
      </c>
      <c r="AV1320" s="604" t="s">
        <v>98</v>
      </c>
      <c r="AW1320" s="604">
        <v>0</v>
      </c>
      <c r="AX1320" s="604">
        <v>428</v>
      </c>
      <c r="AY1320" s="606">
        <v>0</v>
      </c>
      <c r="AZ1320" s="604" t="s">
        <v>437</v>
      </c>
      <c r="BY1320" s="553" t="str">
        <f t="shared" si="148"/>
        <v>2002Counties ManukaudhbSUDI</v>
      </c>
      <c r="BZ1320" s="604">
        <v>2002</v>
      </c>
      <c r="CA1320" s="604" t="s">
        <v>88</v>
      </c>
      <c r="CB1320" s="604" t="s">
        <v>448</v>
      </c>
      <c r="CC1320" s="604">
        <v>11</v>
      </c>
      <c r="CD1320" s="604" t="s">
        <v>33</v>
      </c>
    </row>
    <row r="1321" spans="9:82">
      <c r="I1321" s="578" t="str">
        <f t="shared" si="146"/>
        <v>2016age25-29Peri</v>
      </c>
      <c r="J1321" s="604">
        <v>2016</v>
      </c>
      <c r="K1321" s="604" t="s">
        <v>453</v>
      </c>
      <c r="L1321" s="604" t="s">
        <v>131</v>
      </c>
      <c r="M1321" s="604">
        <v>127</v>
      </c>
      <c r="N1321" s="604">
        <v>16767</v>
      </c>
      <c r="O1321" s="604">
        <v>7.6</v>
      </c>
      <c r="P1321" s="604" t="s">
        <v>483</v>
      </c>
      <c r="Q1321" s="499"/>
      <c r="Y1321" s="535" t="str">
        <f t="shared" si="147"/>
        <v>2016gestdep42+Quin 2infant</v>
      </c>
      <c r="Z1321" s="604">
        <v>2016</v>
      </c>
      <c r="AA1321" s="604" t="s">
        <v>450</v>
      </c>
      <c r="AB1321" s="604" t="s">
        <v>454</v>
      </c>
      <c r="AC1321" s="604" t="s">
        <v>138</v>
      </c>
      <c r="AD1321" s="604" t="s">
        <v>422</v>
      </c>
      <c r="AE1321" s="604">
        <v>0</v>
      </c>
      <c r="AF1321" s="604">
        <v>165</v>
      </c>
      <c r="AG1321" s="604">
        <v>0</v>
      </c>
      <c r="AH1321" s="604" t="s">
        <v>437</v>
      </c>
      <c r="AR1321" s="575" t="str">
        <f t="shared" si="149"/>
        <v>4500+bwtinfantWairarapa</v>
      </c>
      <c r="AS1321" s="604">
        <v>2016</v>
      </c>
      <c r="AT1321" s="604" t="s">
        <v>432</v>
      </c>
      <c r="AU1321" s="604" t="s">
        <v>447</v>
      </c>
      <c r="AV1321" s="604" t="s">
        <v>98</v>
      </c>
      <c r="AW1321" s="604">
        <v>0</v>
      </c>
      <c r="AX1321" s="604">
        <v>16</v>
      </c>
      <c r="AY1321" s="606">
        <v>0</v>
      </c>
      <c r="AZ1321" s="604" t="s">
        <v>437</v>
      </c>
      <c r="BY1321" s="553" t="str">
        <f t="shared" si="148"/>
        <v>2002WaikatodhbSUDI</v>
      </c>
      <c r="BZ1321" s="604">
        <v>2002</v>
      </c>
      <c r="CA1321" s="604" t="s">
        <v>89</v>
      </c>
      <c r="CB1321" s="604" t="s">
        <v>448</v>
      </c>
      <c r="CC1321" s="604">
        <v>9</v>
      </c>
      <c r="CD1321" s="604" t="s">
        <v>33</v>
      </c>
    </row>
    <row r="1322" spans="9:82">
      <c r="I1322" s="578" t="str">
        <f t="shared" si="146"/>
        <v>2016age30-34Peri</v>
      </c>
      <c r="J1322" s="604">
        <v>2016</v>
      </c>
      <c r="K1322" s="604" t="s">
        <v>453</v>
      </c>
      <c r="L1322" s="604" t="s">
        <v>132</v>
      </c>
      <c r="M1322" s="604">
        <v>148</v>
      </c>
      <c r="N1322" s="604">
        <v>18835</v>
      </c>
      <c r="O1322" s="604">
        <v>7.9</v>
      </c>
      <c r="P1322" s="604" t="s">
        <v>483</v>
      </c>
      <c r="Q1322" s="499"/>
      <c r="Y1322" s="535" t="str">
        <f t="shared" si="147"/>
        <v>2016gestdepUnknownQuin 2infant</v>
      </c>
      <c r="Z1322" s="604">
        <v>2016</v>
      </c>
      <c r="AA1322" s="604" t="s">
        <v>450</v>
      </c>
      <c r="AB1322" s="604" t="s">
        <v>454</v>
      </c>
      <c r="AC1322" s="604" t="s">
        <v>63</v>
      </c>
      <c r="AD1322" s="604" t="s">
        <v>422</v>
      </c>
      <c r="AE1322" s="604">
        <v>2</v>
      </c>
      <c r="AF1322" s="604">
        <v>1</v>
      </c>
      <c r="AG1322" s="604" t="s">
        <v>119</v>
      </c>
      <c r="AH1322" s="604" t="s">
        <v>437</v>
      </c>
      <c r="AR1322" s="575" t="str">
        <f t="shared" si="149"/>
        <v>UnknownbwtinfantWairarapa</v>
      </c>
      <c r="AS1322" s="604">
        <v>2016</v>
      </c>
      <c r="AT1322" s="604" t="s">
        <v>63</v>
      </c>
      <c r="AU1322" s="604" t="s">
        <v>447</v>
      </c>
      <c r="AV1322" s="604" t="s">
        <v>98</v>
      </c>
      <c r="AW1322" s="604">
        <v>0</v>
      </c>
      <c r="AX1322" s="604">
        <v>1</v>
      </c>
      <c r="AY1322" s="606" t="s">
        <v>119</v>
      </c>
      <c r="AZ1322" s="604" t="s">
        <v>437</v>
      </c>
      <c r="BY1322" s="553" t="str">
        <f t="shared" si="148"/>
        <v>2002LakesdhbSUDI</v>
      </c>
      <c r="BZ1322" s="604">
        <v>2002</v>
      </c>
      <c r="CA1322" s="604" t="s">
        <v>90</v>
      </c>
      <c r="CB1322" s="604" t="s">
        <v>448</v>
      </c>
      <c r="CC1322" s="604">
        <v>1</v>
      </c>
      <c r="CD1322" s="604" t="s">
        <v>33</v>
      </c>
    </row>
    <row r="1323" spans="9:82">
      <c r="I1323" s="578" t="str">
        <f t="shared" si="146"/>
        <v>2016age35-39Peri</v>
      </c>
      <c r="J1323" s="604">
        <v>2016</v>
      </c>
      <c r="K1323" s="604" t="s">
        <v>453</v>
      </c>
      <c r="L1323" s="604" t="s">
        <v>133</v>
      </c>
      <c r="M1323" s="604">
        <v>86</v>
      </c>
      <c r="N1323" s="604">
        <v>10175</v>
      </c>
      <c r="O1323" s="604">
        <v>8.5</v>
      </c>
      <c r="P1323" s="604" t="s">
        <v>483</v>
      </c>
      <c r="Q1323" s="499"/>
      <c r="Y1323" s="535" t="str">
        <f t="shared" si="147"/>
        <v>2016gestdep&lt;28Quin 3infant</v>
      </c>
      <c r="Z1323" s="604">
        <v>2016</v>
      </c>
      <c r="AA1323" s="604" t="s">
        <v>450</v>
      </c>
      <c r="AB1323" s="604" t="s">
        <v>454</v>
      </c>
      <c r="AC1323" s="604" t="s">
        <v>375</v>
      </c>
      <c r="AD1323" s="604" t="s">
        <v>423</v>
      </c>
      <c r="AE1323" s="604">
        <v>17</v>
      </c>
      <c r="AF1323" s="604">
        <v>44</v>
      </c>
      <c r="AG1323" s="604">
        <v>386.4</v>
      </c>
      <c r="AH1323" s="604" t="s">
        <v>437</v>
      </c>
      <c r="AR1323" s="575" t="str">
        <f t="shared" si="149"/>
        <v>1000-1499bwtinfantNelson Marlborough</v>
      </c>
      <c r="AS1323" s="604">
        <v>2016</v>
      </c>
      <c r="AT1323" s="604" t="s">
        <v>429</v>
      </c>
      <c r="AU1323" s="604" t="s">
        <v>447</v>
      </c>
      <c r="AV1323" s="604" t="s">
        <v>99</v>
      </c>
      <c r="AW1323" s="604">
        <v>0</v>
      </c>
      <c r="AX1323" s="604">
        <v>5</v>
      </c>
      <c r="AY1323" s="606">
        <v>0</v>
      </c>
      <c r="AZ1323" s="604" t="s">
        <v>437</v>
      </c>
      <c r="BY1323" s="553" t="str">
        <f t="shared" si="148"/>
        <v>2002Bay of PlentydhbSUDI</v>
      </c>
      <c r="BZ1323" s="604">
        <v>2002</v>
      </c>
      <c r="CA1323" s="604" t="s">
        <v>91</v>
      </c>
      <c r="CB1323" s="604" t="s">
        <v>448</v>
      </c>
      <c r="CC1323" s="604">
        <v>3</v>
      </c>
      <c r="CD1323" s="604" t="s">
        <v>33</v>
      </c>
    </row>
    <row r="1324" spans="9:82">
      <c r="I1324" s="578" t="str">
        <f t="shared" si="146"/>
        <v>2016age40+Peri</v>
      </c>
      <c r="J1324" s="604">
        <v>2016</v>
      </c>
      <c r="K1324" s="604" t="s">
        <v>453</v>
      </c>
      <c r="L1324" s="604" t="s">
        <v>134</v>
      </c>
      <c r="M1324" s="604">
        <v>26</v>
      </c>
      <c r="N1324" s="604">
        <v>2470</v>
      </c>
      <c r="O1324" s="604">
        <v>10.5</v>
      </c>
      <c r="P1324" s="604" t="s">
        <v>483</v>
      </c>
      <c r="Q1324" s="499"/>
      <c r="Y1324" s="535" t="str">
        <f t="shared" si="147"/>
        <v>2016gestdep28-31Quin 3infant</v>
      </c>
      <c r="Z1324" s="604">
        <v>2016</v>
      </c>
      <c r="AA1324" s="604" t="s">
        <v>450</v>
      </c>
      <c r="AB1324" s="604" t="s">
        <v>454</v>
      </c>
      <c r="AC1324" s="604" t="s">
        <v>395</v>
      </c>
      <c r="AD1324" s="604" t="s">
        <v>423</v>
      </c>
      <c r="AE1324" s="604">
        <v>3</v>
      </c>
      <c r="AF1324" s="604">
        <v>75</v>
      </c>
      <c r="AG1324" s="604">
        <v>40</v>
      </c>
      <c r="AH1324" s="604" t="s">
        <v>437</v>
      </c>
      <c r="AR1324" s="575" t="str">
        <f t="shared" si="149"/>
        <v>1500-2499bwtinfantNelson Marlborough</v>
      </c>
      <c r="AS1324" s="604">
        <v>2016</v>
      </c>
      <c r="AT1324" s="604" t="s">
        <v>430</v>
      </c>
      <c r="AU1324" s="604" t="s">
        <v>447</v>
      </c>
      <c r="AV1324" s="604" t="s">
        <v>99</v>
      </c>
      <c r="AW1324" s="604">
        <v>0</v>
      </c>
      <c r="AX1324" s="604">
        <v>58</v>
      </c>
      <c r="AY1324" s="606">
        <v>0</v>
      </c>
      <c r="AZ1324" s="604" t="s">
        <v>437</v>
      </c>
      <c r="BY1324" s="553" t="str">
        <f t="shared" si="148"/>
        <v>2002TairawhitidhbSUDI</v>
      </c>
      <c r="BZ1324" s="604">
        <v>2002</v>
      </c>
      <c r="CA1324" s="604" t="s">
        <v>433</v>
      </c>
      <c r="CB1324" s="604" t="s">
        <v>448</v>
      </c>
      <c r="CC1324" s="604">
        <v>0</v>
      </c>
      <c r="CD1324" s="604" t="s">
        <v>33</v>
      </c>
    </row>
    <row r="1325" spans="9:82">
      <c r="I1325" s="578" t="str">
        <f t="shared" si="146"/>
        <v>2016ageUnknownPeri</v>
      </c>
      <c r="J1325" s="604">
        <v>2016</v>
      </c>
      <c r="K1325" s="604" t="s">
        <v>453</v>
      </c>
      <c r="L1325" s="604" t="s">
        <v>63</v>
      </c>
      <c r="M1325" s="604">
        <v>0</v>
      </c>
      <c r="N1325" s="604">
        <v>0</v>
      </c>
      <c r="O1325" s="604" t="s">
        <v>119</v>
      </c>
      <c r="P1325" s="604" t="s">
        <v>483</v>
      </c>
      <c r="Q1325" s="499"/>
      <c r="Y1325" s="535" t="str">
        <f t="shared" si="147"/>
        <v>2016gestdep32-36Quin 3infant</v>
      </c>
      <c r="Z1325" s="604">
        <v>2016</v>
      </c>
      <c r="AA1325" s="604" t="s">
        <v>450</v>
      </c>
      <c r="AB1325" s="604" t="s">
        <v>454</v>
      </c>
      <c r="AC1325" s="604" t="s">
        <v>136</v>
      </c>
      <c r="AD1325" s="604" t="s">
        <v>423</v>
      </c>
      <c r="AE1325" s="604">
        <v>1</v>
      </c>
      <c r="AF1325" s="604">
        <v>676</v>
      </c>
      <c r="AG1325" s="604">
        <v>1.5</v>
      </c>
      <c r="AH1325" s="604" t="s">
        <v>437</v>
      </c>
      <c r="AR1325" s="575" t="str">
        <f t="shared" si="149"/>
        <v>4500+bwtinfantNelson Marlborough</v>
      </c>
      <c r="AS1325" s="604">
        <v>2016</v>
      </c>
      <c r="AT1325" s="604" t="s">
        <v>432</v>
      </c>
      <c r="AU1325" s="604" t="s">
        <v>447</v>
      </c>
      <c r="AV1325" s="604" t="s">
        <v>99</v>
      </c>
      <c r="AW1325" s="604">
        <v>0</v>
      </c>
      <c r="AX1325" s="604">
        <v>53</v>
      </c>
      <c r="AY1325" s="606">
        <v>0</v>
      </c>
      <c r="AZ1325" s="604" t="s">
        <v>437</v>
      </c>
      <c r="BY1325" s="553" t="str">
        <f t="shared" si="148"/>
        <v>2002Hawke's BaydhbSUDI</v>
      </c>
      <c r="BZ1325" s="604">
        <v>2002</v>
      </c>
      <c r="CA1325" s="604" t="s">
        <v>92</v>
      </c>
      <c r="CB1325" s="604" t="s">
        <v>448</v>
      </c>
      <c r="CC1325" s="604">
        <v>0</v>
      </c>
      <c r="CD1325" s="604" t="s">
        <v>33</v>
      </c>
    </row>
    <row r="1326" spans="9:82">
      <c r="I1326" s="578" t="str">
        <f t="shared" si="146"/>
        <v>1996sexMalePeri</v>
      </c>
      <c r="J1326" s="604">
        <v>1996</v>
      </c>
      <c r="K1326" s="604" t="s">
        <v>451</v>
      </c>
      <c r="L1326" s="604" t="s">
        <v>70</v>
      </c>
      <c r="M1326" s="604">
        <v>310</v>
      </c>
      <c r="N1326" s="604">
        <v>29762</v>
      </c>
      <c r="O1326" s="604">
        <v>10.4</v>
      </c>
      <c r="P1326" s="604" t="s">
        <v>483</v>
      </c>
      <c r="Q1326" s="499"/>
      <c r="Y1326" s="535" t="str">
        <f t="shared" si="147"/>
        <v>2016gestdep37-41Quin 3infant</v>
      </c>
      <c r="Z1326" s="604">
        <v>2016</v>
      </c>
      <c r="AA1326" s="604" t="s">
        <v>450</v>
      </c>
      <c r="AB1326" s="604" t="s">
        <v>454</v>
      </c>
      <c r="AC1326" s="604" t="s">
        <v>137</v>
      </c>
      <c r="AD1326" s="604" t="s">
        <v>423</v>
      </c>
      <c r="AE1326" s="604">
        <v>10</v>
      </c>
      <c r="AF1326" s="604">
        <v>9986</v>
      </c>
      <c r="AG1326" s="604">
        <v>1</v>
      </c>
      <c r="AH1326" s="604" t="s">
        <v>437</v>
      </c>
      <c r="AR1326" s="575" t="str">
        <f t="shared" si="149"/>
        <v>1500-2499bwtinfantWest Coast</v>
      </c>
      <c r="AS1326" s="604">
        <v>2016</v>
      </c>
      <c r="AT1326" s="604" t="s">
        <v>430</v>
      </c>
      <c r="AU1326" s="604" t="s">
        <v>447</v>
      </c>
      <c r="AV1326" s="604" t="s">
        <v>100</v>
      </c>
      <c r="AW1326" s="604">
        <v>0</v>
      </c>
      <c r="AX1326" s="604">
        <v>10</v>
      </c>
      <c r="AY1326" s="606">
        <v>0</v>
      </c>
      <c r="AZ1326" s="604" t="s">
        <v>437</v>
      </c>
      <c r="BY1326" s="553" t="str">
        <f t="shared" si="148"/>
        <v>2002TaranakidhbSUDI</v>
      </c>
      <c r="BZ1326" s="604">
        <v>2002</v>
      </c>
      <c r="CA1326" s="604" t="s">
        <v>93</v>
      </c>
      <c r="CB1326" s="604" t="s">
        <v>448</v>
      </c>
      <c r="CC1326" s="604">
        <v>2</v>
      </c>
      <c r="CD1326" s="604" t="s">
        <v>33</v>
      </c>
    </row>
    <row r="1327" spans="9:82">
      <c r="I1327" s="578" t="str">
        <f t="shared" si="146"/>
        <v>1996sexFemalePeri</v>
      </c>
      <c r="J1327" s="604">
        <v>1996</v>
      </c>
      <c r="K1327" s="604" t="s">
        <v>451</v>
      </c>
      <c r="L1327" s="604" t="s">
        <v>71</v>
      </c>
      <c r="M1327" s="604">
        <v>272</v>
      </c>
      <c r="N1327" s="604">
        <v>28081</v>
      </c>
      <c r="O1327" s="604">
        <v>9.6999999999999993</v>
      </c>
      <c r="P1327" s="604" t="s">
        <v>483</v>
      </c>
      <c r="Q1327" s="499"/>
      <c r="Y1327" s="535" t="str">
        <f t="shared" si="147"/>
        <v>2016gestdep42+Quin 3infant</v>
      </c>
      <c r="Z1327" s="604">
        <v>2016</v>
      </c>
      <c r="AA1327" s="604" t="s">
        <v>450</v>
      </c>
      <c r="AB1327" s="604" t="s">
        <v>454</v>
      </c>
      <c r="AC1327" s="604" t="s">
        <v>138</v>
      </c>
      <c r="AD1327" s="604" t="s">
        <v>423</v>
      </c>
      <c r="AE1327" s="604">
        <v>1</v>
      </c>
      <c r="AF1327" s="604">
        <v>181</v>
      </c>
      <c r="AG1327" s="604">
        <v>5.5</v>
      </c>
      <c r="AH1327" s="604" t="s">
        <v>437</v>
      </c>
      <c r="AR1327" s="575" t="str">
        <f t="shared" si="149"/>
        <v>2500-4499bwtinfantWest Coast</v>
      </c>
      <c r="AS1327" s="604">
        <v>2016</v>
      </c>
      <c r="AT1327" s="604" t="s">
        <v>431</v>
      </c>
      <c r="AU1327" s="604" t="s">
        <v>447</v>
      </c>
      <c r="AV1327" s="604" t="s">
        <v>100</v>
      </c>
      <c r="AW1327" s="604">
        <v>0</v>
      </c>
      <c r="AX1327" s="604">
        <v>306</v>
      </c>
      <c r="AY1327" s="606">
        <v>0</v>
      </c>
      <c r="AZ1327" s="604" t="s">
        <v>437</v>
      </c>
      <c r="BY1327" s="553" t="str">
        <f t="shared" si="148"/>
        <v>2002MidCentraldhbSUDI</v>
      </c>
      <c r="BZ1327" s="604">
        <v>2002</v>
      </c>
      <c r="CA1327" s="604" t="s">
        <v>94</v>
      </c>
      <c r="CB1327" s="604" t="s">
        <v>448</v>
      </c>
      <c r="CC1327" s="604">
        <v>2</v>
      </c>
      <c r="CD1327" s="604" t="s">
        <v>33</v>
      </c>
    </row>
    <row r="1328" spans="9:82">
      <c r="I1328" s="578" t="str">
        <f t="shared" si="146"/>
        <v>1996sexInd/UnkPeri</v>
      </c>
      <c r="J1328" s="604">
        <v>1996</v>
      </c>
      <c r="K1328" s="604" t="s">
        <v>451</v>
      </c>
      <c r="L1328" s="604" t="s">
        <v>458</v>
      </c>
      <c r="M1328" s="604">
        <v>0</v>
      </c>
      <c r="N1328" s="604">
        <v>0</v>
      </c>
      <c r="O1328" s="604" t="s">
        <v>119</v>
      </c>
      <c r="P1328" s="604" t="s">
        <v>483</v>
      </c>
      <c r="Q1328" s="499"/>
      <c r="Y1328" s="535" t="str">
        <f t="shared" si="147"/>
        <v>2016gestdepUnknownQuin 3infant</v>
      </c>
      <c r="Z1328" s="604">
        <v>2016</v>
      </c>
      <c r="AA1328" s="604" t="s">
        <v>450</v>
      </c>
      <c r="AB1328" s="604" t="s">
        <v>454</v>
      </c>
      <c r="AC1328" s="604" t="s">
        <v>63</v>
      </c>
      <c r="AD1328" s="604" t="s">
        <v>423</v>
      </c>
      <c r="AE1328" s="604">
        <v>0</v>
      </c>
      <c r="AF1328" s="604">
        <v>9</v>
      </c>
      <c r="AG1328" s="604" t="s">
        <v>119</v>
      </c>
      <c r="AH1328" s="604" t="s">
        <v>437</v>
      </c>
      <c r="AR1328" s="575" t="str">
        <f t="shared" si="149"/>
        <v>4500+bwtinfantWest Coast</v>
      </c>
      <c r="AS1328" s="604">
        <v>2016</v>
      </c>
      <c r="AT1328" s="604" t="s">
        <v>432</v>
      </c>
      <c r="AU1328" s="604" t="s">
        <v>447</v>
      </c>
      <c r="AV1328" s="604" t="s">
        <v>100</v>
      </c>
      <c r="AW1328" s="604">
        <v>0</v>
      </c>
      <c r="AX1328" s="604">
        <v>10</v>
      </c>
      <c r="AY1328" s="606">
        <v>0</v>
      </c>
      <c r="AZ1328" s="604" t="s">
        <v>437</v>
      </c>
      <c r="BY1328" s="553" t="str">
        <f t="shared" si="148"/>
        <v>2002WhanganuidhbSUDI</v>
      </c>
      <c r="BZ1328" s="604">
        <v>2002</v>
      </c>
      <c r="CA1328" s="604" t="s">
        <v>95</v>
      </c>
      <c r="CB1328" s="604" t="s">
        <v>448</v>
      </c>
      <c r="CC1328" s="604">
        <v>1</v>
      </c>
      <c r="CD1328" s="604" t="s">
        <v>33</v>
      </c>
    </row>
    <row r="1329" spans="9:82">
      <c r="I1329" s="578" t="str">
        <f t="shared" si="146"/>
        <v>1997sexMalePeri</v>
      </c>
      <c r="J1329" s="604">
        <v>1997</v>
      </c>
      <c r="K1329" s="604" t="s">
        <v>451</v>
      </c>
      <c r="L1329" s="604" t="s">
        <v>70</v>
      </c>
      <c r="M1329" s="604">
        <v>305</v>
      </c>
      <c r="N1329" s="604">
        <v>29711</v>
      </c>
      <c r="O1329" s="604">
        <v>10.3</v>
      </c>
      <c r="P1329" s="604" t="s">
        <v>483</v>
      </c>
      <c r="Q1329" s="499"/>
      <c r="Y1329" s="535" t="str">
        <f t="shared" si="147"/>
        <v>2016gestdep&lt;28Quin 4infant</v>
      </c>
      <c r="Z1329" s="604">
        <v>2016</v>
      </c>
      <c r="AA1329" s="604" t="s">
        <v>450</v>
      </c>
      <c r="AB1329" s="604" t="s">
        <v>454</v>
      </c>
      <c r="AC1329" s="604" t="s">
        <v>375</v>
      </c>
      <c r="AD1329" s="604" t="s">
        <v>424</v>
      </c>
      <c r="AE1329" s="604">
        <v>22</v>
      </c>
      <c r="AF1329" s="604">
        <v>65</v>
      </c>
      <c r="AG1329" s="604">
        <v>338.5</v>
      </c>
      <c r="AH1329" s="604" t="s">
        <v>437</v>
      </c>
      <c r="AR1329" s="575" t="str">
        <f t="shared" si="149"/>
        <v>4500+bwtinfantCanterbury</v>
      </c>
      <c r="AS1329" s="604">
        <v>2016</v>
      </c>
      <c r="AT1329" s="604" t="s">
        <v>432</v>
      </c>
      <c r="AU1329" s="604" t="s">
        <v>447</v>
      </c>
      <c r="AV1329" s="604" t="s">
        <v>101</v>
      </c>
      <c r="AW1329" s="604">
        <v>0</v>
      </c>
      <c r="AX1329" s="604">
        <v>163</v>
      </c>
      <c r="AY1329" s="606">
        <v>0</v>
      </c>
      <c r="AZ1329" s="604" t="s">
        <v>437</v>
      </c>
      <c r="BY1329" s="553" t="str">
        <f t="shared" si="148"/>
        <v>2002Capital &amp; CoastdhbSUDI</v>
      </c>
      <c r="BZ1329" s="604">
        <v>2002</v>
      </c>
      <c r="CA1329" s="604" t="s">
        <v>96</v>
      </c>
      <c r="CB1329" s="604" t="s">
        <v>448</v>
      </c>
      <c r="CC1329" s="604">
        <v>1</v>
      </c>
      <c r="CD1329" s="604" t="s">
        <v>33</v>
      </c>
    </row>
    <row r="1330" spans="9:82">
      <c r="I1330" s="578" t="str">
        <f t="shared" si="146"/>
        <v>1997sexFemalePeri</v>
      </c>
      <c r="J1330" s="604">
        <v>1997</v>
      </c>
      <c r="K1330" s="604" t="s">
        <v>451</v>
      </c>
      <c r="L1330" s="604" t="s">
        <v>71</v>
      </c>
      <c r="M1330" s="604">
        <v>283</v>
      </c>
      <c r="N1330" s="604">
        <v>28440</v>
      </c>
      <c r="O1330" s="604">
        <v>10</v>
      </c>
      <c r="P1330" s="604" t="s">
        <v>483</v>
      </c>
      <c r="Q1330" s="499"/>
      <c r="Y1330" s="535" t="str">
        <f t="shared" si="147"/>
        <v>2016gestdep28-31Quin 4infant</v>
      </c>
      <c r="Z1330" s="604">
        <v>2016</v>
      </c>
      <c r="AA1330" s="604" t="s">
        <v>450</v>
      </c>
      <c r="AB1330" s="604" t="s">
        <v>454</v>
      </c>
      <c r="AC1330" s="604" t="s">
        <v>395</v>
      </c>
      <c r="AD1330" s="604" t="s">
        <v>424</v>
      </c>
      <c r="AE1330" s="604">
        <v>3</v>
      </c>
      <c r="AF1330" s="604">
        <v>96</v>
      </c>
      <c r="AG1330" s="604">
        <v>31.2</v>
      </c>
      <c r="AH1330" s="604" t="s">
        <v>437</v>
      </c>
      <c r="AR1330" s="575" t="str">
        <f t="shared" si="149"/>
        <v>1000-1499bwtinfantSouth Canterbury</v>
      </c>
      <c r="AS1330" s="604">
        <v>2016</v>
      </c>
      <c r="AT1330" s="604" t="s">
        <v>429</v>
      </c>
      <c r="AU1330" s="604" t="s">
        <v>447</v>
      </c>
      <c r="AV1330" s="604" t="s">
        <v>102</v>
      </c>
      <c r="AW1330" s="604">
        <v>0</v>
      </c>
      <c r="AX1330" s="604">
        <v>5</v>
      </c>
      <c r="AY1330" s="606">
        <v>0</v>
      </c>
      <c r="AZ1330" s="604" t="s">
        <v>437</v>
      </c>
      <c r="BY1330" s="553" t="str">
        <f t="shared" si="148"/>
        <v>2002Hutt ValleydhbSUDI</v>
      </c>
      <c r="BZ1330" s="604">
        <v>2002</v>
      </c>
      <c r="CA1330" s="604" t="s">
        <v>97</v>
      </c>
      <c r="CB1330" s="604" t="s">
        <v>448</v>
      </c>
      <c r="CC1330" s="604">
        <v>5</v>
      </c>
      <c r="CD1330" s="604" t="s">
        <v>33</v>
      </c>
    </row>
    <row r="1331" spans="9:82">
      <c r="I1331" s="578" t="str">
        <f t="shared" si="146"/>
        <v>1997sexInd/UnkPeri</v>
      </c>
      <c r="J1331" s="604">
        <v>1997</v>
      </c>
      <c r="K1331" s="604" t="s">
        <v>451</v>
      </c>
      <c r="L1331" s="604" t="s">
        <v>458</v>
      </c>
      <c r="M1331" s="604">
        <v>0</v>
      </c>
      <c r="N1331" s="604">
        <v>0</v>
      </c>
      <c r="O1331" s="604" t="s">
        <v>119</v>
      </c>
      <c r="P1331" s="604" t="s">
        <v>483</v>
      </c>
      <c r="Q1331" s="499"/>
      <c r="Y1331" s="535" t="str">
        <f t="shared" si="147"/>
        <v>2016gestdep32-36Quin 4infant</v>
      </c>
      <c r="Z1331" s="604">
        <v>2016</v>
      </c>
      <c r="AA1331" s="604" t="s">
        <v>450</v>
      </c>
      <c r="AB1331" s="604" t="s">
        <v>454</v>
      </c>
      <c r="AC1331" s="604" t="s">
        <v>136</v>
      </c>
      <c r="AD1331" s="604" t="s">
        <v>424</v>
      </c>
      <c r="AE1331" s="604">
        <v>4</v>
      </c>
      <c r="AF1331" s="604">
        <v>835</v>
      </c>
      <c r="AG1331" s="604">
        <v>4.8</v>
      </c>
      <c r="AH1331" s="604" t="s">
        <v>437</v>
      </c>
      <c r="AR1331" s="575" t="str">
        <f t="shared" si="149"/>
        <v>2500-4499bwtinfantSouth Canterbury</v>
      </c>
      <c r="AS1331" s="604">
        <v>2016</v>
      </c>
      <c r="AT1331" s="604" t="s">
        <v>431</v>
      </c>
      <c r="AU1331" s="604" t="s">
        <v>447</v>
      </c>
      <c r="AV1331" s="604" t="s">
        <v>102</v>
      </c>
      <c r="AW1331" s="604">
        <v>0</v>
      </c>
      <c r="AX1331" s="604">
        <v>588</v>
      </c>
      <c r="AY1331" s="606">
        <v>0</v>
      </c>
      <c r="AZ1331" s="604" t="s">
        <v>437</v>
      </c>
      <c r="BY1331" s="553" t="str">
        <f t="shared" si="148"/>
        <v>2002WairarapadhbSUDI</v>
      </c>
      <c r="BZ1331" s="604">
        <v>2002</v>
      </c>
      <c r="CA1331" s="604" t="s">
        <v>98</v>
      </c>
      <c r="CB1331" s="604" t="s">
        <v>448</v>
      </c>
      <c r="CC1331" s="604">
        <v>1</v>
      </c>
      <c r="CD1331" s="604" t="s">
        <v>33</v>
      </c>
    </row>
    <row r="1332" spans="9:82">
      <c r="I1332" s="578" t="str">
        <f t="shared" si="146"/>
        <v>1998sexMalePeri</v>
      </c>
      <c r="J1332" s="604">
        <v>1998</v>
      </c>
      <c r="K1332" s="604" t="s">
        <v>451</v>
      </c>
      <c r="L1332" s="604" t="s">
        <v>70</v>
      </c>
      <c r="M1332" s="604">
        <v>251</v>
      </c>
      <c r="N1332" s="604">
        <v>29669</v>
      </c>
      <c r="O1332" s="604">
        <v>8.5</v>
      </c>
      <c r="P1332" s="604" t="s">
        <v>483</v>
      </c>
      <c r="Q1332" s="499"/>
      <c r="Y1332" s="535" t="str">
        <f t="shared" si="147"/>
        <v>2016gestdep37-41Quin 4infant</v>
      </c>
      <c r="Z1332" s="604">
        <v>2016</v>
      </c>
      <c r="AA1332" s="604" t="s">
        <v>450</v>
      </c>
      <c r="AB1332" s="604" t="s">
        <v>454</v>
      </c>
      <c r="AC1332" s="604" t="s">
        <v>137</v>
      </c>
      <c r="AD1332" s="604" t="s">
        <v>424</v>
      </c>
      <c r="AE1332" s="604">
        <v>21</v>
      </c>
      <c r="AF1332" s="604">
        <v>11898</v>
      </c>
      <c r="AG1332" s="604">
        <v>1.8</v>
      </c>
      <c r="AH1332" s="604" t="s">
        <v>437</v>
      </c>
      <c r="AR1332" s="575" t="str">
        <f t="shared" si="149"/>
        <v>4500+bwtinfantSouth Canterbury</v>
      </c>
      <c r="AS1332" s="604">
        <v>2016</v>
      </c>
      <c r="AT1332" s="604" t="s">
        <v>432</v>
      </c>
      <c r="AU1332" s="604" t="s">
        <v>447</v>
      </c>
      <c r="AV1332" s="604" t="s">
        <v>102</v>
      </c>
      <c r="AW1332" s="604">
        <v>0</v>
      </c>
      <c r="AX1332" s="604">
        <v>18</v>
      </c>
      <c r="AY1332" s="606">
        <v>0</v>
      </c>
      <c r="AZ1332" s="604" t="s">
        <v>437</v>
      </c>
      <c r="BY1332" s="553" t="str">
        <f t="shared" si="148"/>
        <v>2002Nelson MarlboroughdhbSUDI</v>
      </c>
      <c r="BZ1332" s="604">
        <v>2002</v>
      </c>
      <c r="CA1332" s="604" t="s">
        <v>99</v>
      </c>
      <c r="CB1332" s="604" t="s">
        <v>448</v>
      </c>
      <c r="CC1332" s="604">
        <v>1</v>
      </c>
      <c r="CD1332" s="604" t="s">
        <v>33</v>
      </c>
    </row>
    <row r="1333" spans="9:82">
      <c r="I1333" s="578" t="str">
        <f t="shared" si="146"/>
        <v>1998sexFemalePeri</v>
      </c>
      <c r="J1333" s="604">
        <v>1998</v>
      </c>
      <c r="K1333" s="604" t="s">
        <v>451</v>
      </c>
      <c r="L1333" s="604" t="s">
        <v>71</v>
      </c>
      <c r="M1333" s="604">
        <v>228</v>
      </c>
      <c r="N1333" s="604">
        <v>28408</v>
      </c>
      <c r="O1333" s="604">
        <v>8</v>
      </c>
      <c r="P1333" s="604" t="s">
        <v>483</v>
      </c>
      <c r="Q1333" s="499"/>
      <c r="Y1333" s="535" t="str">
        <f t="shared" si="147"/>
        <v>2016gestdep42+Quin 4infant</v>
      </c>
      <c r="Z1333" s="604">
        <v>2016</v>
      </c>
      <c r="AA1333" s="604" t="s">
        <v>450</v>
      </c>
      <c r="AB1333" s="604" t="s">
        <v>454</v>
      </c>
      <c r="AC1333" s="604" t="s">
        <v>138</v>
      </c>
      <c r="AD1333" s="604" t="s">
        <v>424</v>
      </c>
      <c r="AE1333" s="604">
        <v>0</v>
      </c>
      <c r="AF1333" s="604">
        <v>232</v>
      </c>
      <c r="AG1333" s="604">
        <v>0</v>
      </c>
      <c r="AH1333" s="604" t="s">
        <v>437</v>
      </c>
      <c r="AR1333" s="575" t="str">
        <f t="shared" si="149"/>
        <v>1500-2499bwtinfantSouthern</v>
      </c>
      <c r="AS1333" s="604">
        <v>2016</v>
      </c>
      <c r="AT1333" s="604" t="s">
        <v>430</v>
      </c>
      <c r="AU1333" s="604" t="s">
        <v>447</v>
      </c>
      <c r="AV1333" s="604" t="s">
        <v>103</v>
      </c>
      <c r="AW1333" s="604">
        <v>0</v>
      </c>
      <c r="AX1333" s="604">
        <v>167</v>
      </c>
      <c r="AY1333" s="606">
        <v>0</v>
      </c>
      <c r="AZ1333" s="604" t="s">
        <v>437</v>
      </c>
      <c r="BY1333" s="553" t="str">
        <f t="shared" si="148"/>
        <v>2002West CoastdhbSUDI</v>
      </c>
      <c r="BZ1333" s="604">
        <v>2002</v>
      </c>
      <c r="CA1333" s="604" t="s">
        <v>100</v>
      </c>
      <c r="CB1333" s="604" t="s">
        <v>448</v>
      </c>
      <c r="CC1333" s="604">
        <v>1</v>
      </c>
      <c r="CD1333" s="604" t="s">
        <v>33</v>
      </c>
    </row>
    <row r="1334" spans="9:82">
      <c r="I1334" s="578" t="str">
        <f t="shared" si="146"/>
        <v>1998sexInd/UnkPeri</v>
      </c>
      <c r="J1334" s="604">
        <v>1998</v>
      </c>
      <c r="K1334" s="604" t="s">
        <v>451</v>
      </c>
      <c r="L1334" s="604" t="s">
        <v>458</v>
      </c>
      <c r="M1334" s="604">
        <v>5</v>
      </c>
      <c r="N1334" s="604">
        <v>5</v>
      </c>
      <c r="O1334" s="604" t="s">
        <v>119</v>
      </c>
      <c r="P1334" s="604" t="s">
        <v>483</v>
      </c>
      <c r="Q1334" s="499"/>
      <c r="Y1334" s="535" t="str">
        <f t="shared" si="147"/>
        <v>2016gestdepUnknownQuin 4infant</v>
      </c>
      <c r="Z1334" s="604">
        <v>2016</v>
      </c>
      <c r="AA1334" s="604" t="s">
        <v>450</v>
      </c>
      <c r="AB1334" s="604" t="s">
        <v>454</v>
      </c>
      <c r="AC1334" s="604" t="s">
        <v>63</v>
      </c>
      <c r="AD1334" s="604" t="s">
        <v>424</v>
      </c>
      <c r="AE1334" s="604">
        <v>2</v>
      </c>
      <c r="AF1334" s="604">
        <v>5</v>
      </c>
      <c r="AG1334" s="604" t="s">
        <v>119</v>
      </c>
      <c r="AH1334" s="604" t="s">
        <v>437</v>
      </c>
      <c r="AR1334" s="575" t="str">
        <f t="shared" si="149"/>
        <v>4500+bwtinfantSouthern</v>
      </c>
      <c r="AS1334" s="604">
        <v>2016</v>
      </c>
      <c r="AT1334" s="604" t="s">
        <v>432</v>
      </c>
      <c r="AU1334" s="604" t="s">
        <v>447</v>
      </c>
      <c r="AV1334" s="604" t="s">
        <v>103</v>
      </c>
      <c r="AW1334" s="604">
        <v>0</v>
      </c>
      <c r="AX1334" s="604">
        <v>92</v>
      </c>
      <c r="AY1334" s="606">
        <v>0</v>
      </c>
      <c r="AZ1334" s="604" t="s">
        <v>437</v>
      </c>
      <c r="BY1334" s="553" t="str">
        <f t="shared" si="148"/>
        <v>2002CanterburydhbSUDI</v>
      </c>
      <c r="BZ1334" s="604">
        <v>2002</v>
      </c>
      <c r="CA1334" s="604" t="s">
        <v>101</v>
      </c>
      <c r="CB1334" s="604" t="s">
        <v>448</v>
      </c>
      <c r="CC1334" s="604">
        <v>3</v>
      </c>
      <c r="CD1334" s="604" t="s">
        <v>33</v>
      </c>
    </row>
    <row r="1335" spans="9:82">
      <c r="I1335" s="578" t="str">
        <f t="shared" si="146"/>
        <v>1999sexMalePeri</v>
      </c>
      <c r="J1335" s="604">
        <v>1999</v>
      </c>
      <c r="K1335" s="604" t="s">
        <v>451</v>
      </c>
      <c r="L1335" s="604" t="s">
        <v>70</v>
      </c>
      <c r="M1335" s="604">
        <v>299</v>
      </c>
      <c r="N1335" s="604">
        <v>29585</v>
      </c>
      <c r="O1335" s="604">
        <v>10.1</v>
      </c>
      <c r="P1335" s="604" t="s">
        <v>483</v>
      </c>
      <c r="Q1335" s="499"/>
      <c r="Y1335" s="535" t="str">
        <f t="shared" si="147"/>
        <v>2016gestdep&lt;28Quin 5infant</v>
      </c>
      <c r="Z1335" s="604">
        <v>2016</v>
      </c>
      <c r="AA1335" s="604" t="s">
        <v>450</v>
      </c>
      <c r="AB1335" s="604" t="s">
        <v>454</v>
      </c>
      <c r="AC1335" s="604" t="s">
        <v>375</v>
      </c>
      <c r="AD1335" s="604" t="s">
        <v>425</v>
      </c>
      <c r="AE1335" s="604">
        <v>38</v>
      </c>
      <c r="AF1335" s="604">
        <v>84</v>
      </c>
      <c r="AG1335" s="604">
        <v>452.4</v>
      </c>
      <c r="AH1335" s="604" t="s">
        <v>437</v>
      </c>
      <c r="AR1335" s="575" t="str">
        <f t="shared" si="149"/>
        <v>500-999bwtinfantUnknown</v>
      </c>
      <c r="AS1335" s="604">
        <v>2016</v>
      </c>
      <c r="AT1335" s="604" t="s">
        <v>428</v>
      </c>
      <c r="AU1335" s="604" t="s">
        <v>447</v>
      </c>
      <c r="AV1335" s="604" t="s">
        <v>63</v>
      </c>
      <c r="AW1335" s="604">
        <v>0</v>
      </c>
      <c r="AX1335" s="604">
        <v>1</v>
      </c>
      <c r="AY1335" s="606" t="s">
        <v>119</v>
      </c>
      <c r="AZ1335" s="604" t="s">
        <v>437</v>
      </c>
      <c r="BY1335" s="553" t="str">
        <f t="shared" si="148"/>
        <v>2002South CanterburydhbSUDI</v>
      </c>
      <c r="BZ1335" s="604">
        <v>2002</v>
      </c>
      <c r="CA1335" s="604" t="s">
        <v>102</v>
      </c>
      <c r="CB1335" s="604" t="s">
        <v>448</v>
      </c>
      <c r="CC1335" s="604">
        <v>0</v>
      </c>
      <c r="CD1335" s="604" t="s">
        <v>33</v>
      </c>
    </row>
    <row r="1336" spans="9:82">
      <c r="I1336" s="578" t="str">
        <f t="shared" si="146"/>
        <v>1999sexFemalePeri</v>
      </c>
      <c r="J1336" s="604">
        <v>1999</v>
      </c>
      <c r="K1336" s="604" t="s">
        <v>451</v>
      </c>
      <c r="L1336" s="604" t="s">
        <v>71</v>
      </c>
      <c r="M1336" s="604">
        <v>277</v>
      </c>
      <c r="N1336" s="604">
        <v>28256</v>
      </c>
      <c r="O1336" s="604">
        <v>9.8000000000000007</v>
      </c>
      <c r="P1336" s="604" t="s">
        <v>483</v>
      </c>
      <c r="Q1336" s="499"/>
      <c r="Y1336" s="535" t="str">
        <f t="shared" si="147"/>
        <v>2016gestdep28-31Quin 5infant</v>
      </c>
      <c r="Z1336" s="604">
        <v>2016</v>
      </c>
      <c r="AA1336" s="604" t="s">
        <v>450</v>
      </c>
      <c r="AB1336" s="604" t="s">
        <v>454</v>
      </c>
      <c r="AC1336" s="604" t="s">
        <v>395</v>
      </c>
      <c r="AD1336" s="604" t="s">
        <v>425</v>
      </c>
      <c r="AE1336" s="604">
        <v>6</v>
      </c>
      <c r="AF1336" s="604">
        <v>121</v>
      </c>
      <c r="AG1336" s="604">
        <v>49.6</v>
      </c>
      <c r="AH1336" s="604" t="s">
        <v>437</v>
      </c>
      <c r="AR1336" s="575" t="str">
        <f t="shared" si="149"/>
        <v>1500-2499bwtinfantUnknown</v>
      </c>
      <c r="AS1336" s="604">
        <v>2016</v>
      </c>
      <c r="AT1336" s="604" t="s">
        <v>430</v>
      </c>
      <c r="AU1336" s="604" t="s">
        <v>447</v>
      </c>
      <c r="AV1336" s="604" t="s">
        <v>63</v>
      </c>
      <c r="AW1336" s="604">
        <v>0</v>
      </c>
      <c r="AX1336" s="604">
        <v>4</v>
      </c>
      <c r="AY1336" s="606" t="s">
        <v>119</v>
      </c>
      <c r="AZ1336" s="604" t="s">
        <v>437</v>
      </c>
      <c r="BY1336" s="553" t="str">
        <f t="shared" si="148"/>
        <v>2002SoutherndhbSUDI</v>
      </c>
      <c r="BZ1336" s="604">
        <v>2002</v>
      </c>
      <c r="CA1336" s="604" t="s">
        <v>103</v>
      </c>
      <c r="CB1336" s="604" t="s">
        <v>448</v>
      </c>
      <c r="CC1336" s="604">
        <v>2</v>
      </c>
      <c r="CD1336" s="604" t="s">
        <v>33</v>
      </c>
    </row>
    <row r="1337" spans="9:82">
      <c r="I1337" s="578" t="str">
        <f t="shared" si="146"/>
        <v>1999sexInd/UnkPeri</v>
      </c>
      <c r="J1337" s="604">
        <v>1999</v>
      </c>
      <c r="K1337" s="604" t="s">
        <v>451</v>
      </c>
      <c r="L1337" s="604" t="s">
        <v>458</v>
      </c>
      <c r="M1337" s="604">
        <v>6</v>
      </c>
      <c r="N1337" s="604">
        <v>6</v>
      </c>
      <c r="O1337" s="604" t="s">
        <v>119</v>
      </c>
      <c r="P1337" s="604" t="s">
        <v>483</v>
      </c>
      <c r="Q1337" s="499"/>
      <c r="Y1337" s="535" t="str">
        <f t="shared" si="147"/>
        <v>2016gestdep32-36Quin 5infant</v>
      </c>
      <c r="Z1337" s="604">
        <v>2016</v>
      </c>
      <c r="AA1337" s="604" t="s">
        <v>450</v>
      </c>
      <c r="AB1337" s="604" t="s">
        <v>454</v>
      </c>
      <c r="AC1337" s="604" t="s">
        <v>136</v>
      </c>
      <c r="AD1337" s="604" t="s">
        <v>425</v>
      </c>
      <c r="AE1337" s="604">
        <v>15</v>
      </c>
      <c r="AF1337" s="604">
        <v>1137</v>
      </c>
      <c r="AG1337" s="604">
        <v>13.2</v>
      </c>
      <c r="AH1337" s="604" t="s">
        <v>437</v>
      </c>
      <c r="AR1337" s="575" t="str">
        <f t="shared" si="149"/>
        <v>2500-4499bwtinfantUnknown</v>
      </c>
      <c r="AS1337" s="604">
        <v>2016</v>
      </c>
      <c r="AT1337" s="604" t="s">
        <v>431</v>
      </c>
      <c r="AU1337" s="604" t="s">
        <v>447</v>
      </c>
      <c r="AV1337" s="604" t="s">
        <v>63</v>
      </c>
      <c r="AW1337" s="604">
        <v>0</v>
      </c>
      <c r="AX1337" s="604">
        <v>122</v>
      </c>
      <c r="AY1337" s="606" t="s">
        <v>119</v>
      </c>
      <c r="AZ1337" s="604" t="s">
        <v>437</v>
      </c>
      <c r="BY1337" s="553" t="str">
        <f t="shared" si="148"/>
        <v>2002UnknowndhbSUDI</v>
      </c>
      <c r="BZ1337" s="604">
        <v>2002</v>
      </c>
      <c r="CA1337" s="604" t="s">
        <v>63</v>
      </c>
      <c r="CB1337" s="604" t="s">
        <v>448</v>
      </c>
      <c r="CC1337" s="604">
        <v>0</v>
      </c>
      <c r="CD1337" s="604" t="s">
        <v>33</v>
      </c>
    </row>
    <row r="1338" spans="9:82">
      <c r="I1338" s="578" t="str">
        <f t="shared" si="146"/>
        <v>2000sexMalePeri</v>
      </c>
      <c r="J1338" s="604">
        <v>2000</v>
      </c>
      <c r="K1338" s="604" t="s">
        <v>451</v>
      </c>
      <c r="L1338" s="604" t="s">
        <v>70</v>
      </c>
      <c r="M1338" s="604">
        <v>287</v>
      </c>
      <c r="N1338" s="604">
        <v>29539</v>
      </c>
      <c r="O1338" s="604">
        <v>9.6999999999999993</v>
      </c>
      <c r="P1338" s="604" t="s">
        <v>483</v>
      </c>
      <c r="Q1338" s="499"/>
      <c r="Y1338" s="535" t="str">
        <f t="shared" si="147"/>
        <v>2016gestdep37-41Quin 5infant</v>
      </c>
      <c r="Z1338" s="604">
        <v>2016</v>
      </c>
      <c r="AA1338" s="604" t="s">
        <v>450</v>
      </c>
      <c r="AB1338" s="604" t="s">
        <v>454</v>
      </c>
      <c r="AC1338" s="604" t="s">
        <v>137</v>
      </c>
      <c r="AD1338" s="604" t="s">
        <v>425</v>
      </c>
      <c r="AE1338" s="604">
        <v>39</v>
      </c>
      <c r="AF1338" s="604">
        <v>15244</v>
      </c>
      <c r="AG1338" s="604">
        <v>2.6</v>
      </c>
      <c r="AH1338" s="604" t="s">
        <v>437</v>
      </c>
      <c r="AR1338" s="575" t="str">
        <f t="shared" si="149"/>
        <v>4500+bwtinfantUnknown</v>
      </c>
      <c r="AS1338" s="604">
        <v>2016</v>
      </c>
      <c r="AT1338" s="604" t="s">
        <v>432</v>
      </c>
      <c r="AU1338" s="604" t="s">
        <v>447</v>
      </c>
      <c r="AV1338" s="604" t="s">
        <v>63</v>
      </c>
      <c r="AW1338" s="604">
        <v>0</v>
      </c>
      <c r="AX1338" s="604">
        <v>2</v>
      </c>
      <c r="AY1338" s="606" t="s">
        <v>119</v>
      </c>
      <c r="AZ1338" s="604" t="s">
        <v>437</v>
      </c>
      <c r="BY1338" s="553" t="str">
        <f t="shared" si="148"/>
        <v>2003NorthlanddhbSUDI</v>
      </c>
      <c r="BZ1338" s="604">
        <v>2003</v>
      </c>
      <c r="CA1338" s="604" t="s">
        <v>85</v>
      </c>
      <c r="CB1338" s="604" t="s">
        <v>448</v>
      </c>
      <c r="CC1338" s="604">
        <v>5</v>
      </c>
      <c r="CD1338" s="604" t="s">
        <v>33</v>
      </c>
    </row>
    <row r="1339" spans="9:82">
      <c r="I1339" s="578" t="str">
        <f t="shared" si="146"/>
        <v>2000sexFemalePeri</v>
      </c>
      <c r="J1339" s="604">
        <v>2000</v>
      </c>
      <c r="K1339" s="604" t="s">
        <v>451</v>
      </c>
      <c r="L1339" s="604" t="s">
        <v>71</v>
      </c>
      <c r="M1339" s="604">
        <v>256</v>
      </c>
      <c r="N1339" s="604">
        <v>27824</v>
      </c>
      <c r="O1339" s="604">
        <v>9.1999999999999993</v>
      </c>
      <c r="P1339" s="604" t="s">
        <v>483</v>
      </c>
      <c r="Q1339" s="499"/>
      <c r="Y1339" s="535" t="str">
        <f t="shared" si="147"/>
        <v>2016gestdep42+Quin 5infant</v>
      </c>
      <c r="Z1339" s="604">
        <v>2016</v>
      </c>
      <c r="AA1339" s="604" t="s">
        <v>450</v>
      </c>
      <c r="AB1339" s="604" t="s">
        <v>454</v>
      </c>
      <c r="AC1339" s="604" t="s">
        <v>138</v>
      </c>
      <c r="AD1339" s="604" t="s">
        <v>425</v>
      </c>
      <c r="AE1339" s="604">
        <v>2</v>
      </c>
      <c r="AF1339" s="604">
        <v>290</v>
      </c>
      <c r="AG1339" s="604">
        <v>6.9</v>
      </c>
      <c r="AH1339" s="604" t="s">
        <v>437</v>
      </c>
      <c r="AR1339" s="575" t="str">
        <f t="shared" si="149"/>
        <v>4500+bwtinfantNew Zealand</v>
      </c>
      <c r="AS1339" s="604">
        <v>2016</v>
      </c>
      <c r="AT1339" s="604" t="s">
        <v>432</v>
      </c>
      <c r="AU1339" s="604" t="s">
        <v>447</v>
      </c>
      <c r="AV1339" s="604" t="s">
        <v>16</v>
      </c>
      <c r="AW1339" s="604">
        <v>0</v>
      </c>
      <c r="AX1339" s="604">
        <v>1423</v>
      </c>
      <c r="AY1339" s="606">
        <v>0</v>
      </c>
      <c r="AZ1339" s="604" t="s">
        <v>437</v>
      </c>
      <c r="BY1339" s="553" t="str">
        <f t="shared" si="148"/>
        <v>2003WaitematadhbSUDI</v>
      </c>
      <c r="BZ1339" s="604">
        <v>2003</v>
      </c>
      <c r="CA1339" s="604" t="s">
        <v>86</v>
      </c>
      <c r="CB1339" s="604" t="s">
        <v>448</v>
      </c>
      <c r="CC1339" s="604">
        <v>6</v>
      </c>
      <c r="CD1339" s="604" t="s">
        <v>33</v>
      </c>
    </row>
    <row r="1340" spans="9:82">
      <c r="I1340" s="578" t="str">
        <f t="shared" si="146"/>
        <v>2000sexInd/UnkPeri</v>
      </c>
      <c r="J1340" s="604">
        <v>2000</v>
      </c>
      <c r="K1340" s="604" t="s">
        <v>451</v>
      </c>
      <c r="L1340" s="604" t="s">
        <v>458</v>
      </c>
      <c r="M1340" s="604">
        <v>0</v>
      </c>
      <c r="N1340" s="604">
        <v>0</v>
      </c>
      <c r="O1340" s="604" t="s">
        <v>119</v>
      </c>
      <c r="P1340" s="604" t="s">
        <v>483</v>
      </c>
      <c r="Q1340" s="499"/>
      <c r="Y1340" s="535" t="str">
        <f t="shared" si="147"/>
        <v>2016gestdepUnknownQuin 5infant</v>
      </c>
      <c r="Z1340" s="604">
        <v>2016</v>
      </c>
      <c r="AA1340" s="604" t="s">
        <v>450</v>
      </c>
      <c r="AB1340" s="604" t="s">
        <v>454</v>
      </c>
      <c r="AC1340" s="604" t="s">
        <v>63</v>
      </c>
      <c r="AD1340" s="604" t="s">
        <v>425</v>
      </c>
      <c r="AE1340" s="604">
        <v>7</v>
      </c>
      <c r="AF1340" s="604">
        <v>10</v>
      </c>
      <c r="AG1340" s="604" t="s">
        <v>119</v>
      </c>
      <c r="AH1340" s="604" t="s">
        <v>437</v>
      </c>
      <c r="AR1340" s="575" t="str">
        <f t="shared" si="149"/>
        <v/>
      </c>
      <c r="BY1340" s="553" t="str">
        <f t="shared" si="148"/>
        <v>2003AucklanddhbSUDI</v>
      </c>
      <c r="BZ1340" s="604">
        <v>2003</v>
      </c>
      <c r="CA1340" s="604" t="s">
        <v>87</v>
      </c>
      <c r="CB1340" s="604" t="s">
        <v>448</v>
      </c>
      <c r="CC1340" s="604">
        <v>3</v>
      </c>
      <c r="CD1340" s="604" t="s">
        <v>33</v>
      </c>
    </row>
    <row r="1341" spans="9:82">
      <c r="I1341" s="578" t="str">
        <f t="shared" si="146"/>
        <v>2001sexMalePeri</v>
      </c>
      <c r="J1341" s="604">
        <v>2001</v>
      </c>
      <c r="K1341" s="604" t="s">
        <v>451</v>
      </c>
      <c r="L1341" s="604" t="s">
        <v>70</v>
      </c>
      <c r="M1341" s="604">
        <v>281</v>
      </c>
      <c r="N1341" s="604">
        <v>28779</v>
      </c>
      <c r="O1341" s="604">
        <v>9.8000000000000007</v>
      </c>
      <c r="P1341" s="604" t="s">
        <v>483</v>
      </c>
      <c r="Q1341" s="499"/>
      <c r="Y1341" s="535" t="str">
        <f t="shared" si="147"/>
        <v>2016gestdep&lt;28Quin 9infant</v>
      </c>
      <c r="Z1341" s="604">
        <v>2016</v>
      </c>
      <c r="AA1341" s="604" t="s">
        <v>450</v>
      </c>
      <c r="AB1341" s="604" t="s">
        <v>454</v>
      </c>
      <c r="AC1341" s="604" t="s">
        <v>375</v>
      </c>
      <c r="AD1341" s="604" t="s">
        <v>426</v>
      </c>
      <c r="AE1341" s="604">
        <v>1</v>
      </c>
      <c r="AF1341" s="604">
        <v>1</v>
      </c>
      <c r="AG1341" s="604" t="s">
        <v>119</v>
      </c>
      <c r="AH1341" s="604" t="s">
        <v>437</v>
      </c>
      <c r="AR1341" s="575" t="str">
        <f t="shared" si="149"/>
        <v/>
      </c>
      <c r="BY1341" s="553" t="str">
        <f t="shared" si="148"/>
        <v>2003Counties ManukaudhbSUDI</v>
      </c>
      <c r="BZ1341" s="604">
        <v>2003</v>
      </c>
      <c r="CA1341" s="604" t="s">
        <v>88</v>
      </c>
      <c r="CB1341" s="604" t="s">
        <v>448</v>
      </c>
      <c r="CC1341" s="604">
        <v>12</v>
      </c>
      <c r="CD1341" s="604" t="s">
        <v>33</v>
      </c>
    </row>
    <row r="1342" spans="9:82">
      <c r="I1342" s="578" t="str">
        <f t="shared" si="146"/>
        <v>2001sexFemalePeri</v>
      </c>
      <c r="J1342" s="604">
        <v>2001</v>
      </c>
      <c r="K1342" s="604" t="s">
        <v>451</v>
      </c>
      <c r="L1342" s="604" t="s">
        <v>71</v>
      </c>
      <c r="M1342" s="604">
        <v>247</v>
      </c>
      <c r="N1342" s="604">
        <v>27830</v>
      </c>
      <c r="O1342" s="604">
        <v>8.9</v>
      </c>
      <c r="P1342" s="604" t="s">
        <v>483</v>
      </c>
      <c r="Q1342" s="499"/>
      <c r="Y1342" s="535" t="str">
        <f t="shared" si="147"/>
        <v>2016gestdep32-36Quin 9infant</v>
      </c>
      <c r="Z1342" s="604">
        <v>2016</v>
      </c>
      <c r="AA1342" s="604" t="s">
        <v>450</v>
      </c>
      <c r="AB1342" s="604" t="s">
        <v>454</v>
      </c>
      <c r="AC1342" s="604" t="s">
        <v>136</v>
      </c>
      <c r="AD1342" s="604" t="s">
        <v>426</v>
      </c>
      <c r="AE1342" s="604">
        <v>0</v>
      </c>
      <c r="AF1342" s="604">
        <v>12</v>
      </c>
      <c r="AG1342" s="604" t="s">
        <v>119</v>
      </c>
      <c r="AH1342" s="604" t="s">
        <v>437</v>
      </c>
      <c r="AR1342" s="575" t="str">
        <f t="shared" si="149"/>
        <v/>
      </c>
      <c r="BY1342" s="553" t="str">
        <f t="shared" si="148"/>
        <v>2003WaikatodhbSUDI</v>
      </c>
      <c r="BZ1342" s="604">
        <v>2003</v>
      </c>
      <c r="CA1342" s="604" t="s">
        <v>89</v>
      </c>
      <c r="CB1342" s="604" t="s">
        <v>448</v>
      </c>
      <c r="CC1342" s="604">
        <v>8</v>
      </c>
      <c r="CD1342" s="604" t="s">
        <v>33</v>
      </c>
    </row>
    <row r="1343" spans="9:82">
      <c r="I1343" s="578" t="str">
        <f t="shared" si="146"/>
        <v>2001sexInd/UnkPeri</v>
      </c>
      <c r="J1343" s="604">
        <v>2001</v>
      </c>
      <c r="K1343" s="604" t="s">
        <v>451</v>
      </c>
      <c r="L1343" s="604" t="s">
        <v>458</v>
      </c>
      <c r="M1343" s="604">
        <v>1</v>
      </c>
      <c r="N1343" s="604">
        <v>1</v>
      </c>
      <c r="O1343" s="604" t="s">
        <v>119</v>
      </c>
      <c r="P1343" s="604" t="s">
        <v>483</v>
      </c>
      <c r="Q1343" s="499"/>
      <c r="Y1343" s="535" t="str">
        <f t="shared" si="147"/>
        <v>2016gestdep37-41Quin 9infant</v>
      </c>
      <c r="Z1343" s="604">
        <v>2016</v>
      </c>
      <c r="AA1343" s="604" t="s">
        <v>450</v>
      </c>
      <c r="AB1343" s="604" t="s">
        <v>454</v>
      </c>
      <c r="AC1343" s="604" t="s">
        <v>137</v>
      </c>
      <c r="AD1343" s="604" t="s">
        <v>426</v>
      </c>
      <c r="AE1343" s="604">
        <v>0</v>
      </c>
      <c r="AF1343" s="604">
        <v>112</v>
      </c>
      <c r="AG1343" s="604" t="s">
        <v>119</v>
      </c>
      <c r="AH1343" s="604" t="s">
        <v>437</v>
      </c>
      <c r="AR1343" s="575" t="str">
        <f t="shared" si="149"/>
        <v/>
      </c>
      <c r="BY1343" s="553" t="str">
        <f t="shared" si="148"/>
        <v>2003LakesdhbSUDI</v>
      </c>
      <c r="BZ1343" s="604">
        <v>2003</v>
      </c>
      <c r="CA1343" s="604" t="s">
        <v>90</v>
      </c>
      <c r="CB1343" s="604" t="s">
        <v>448</v>
      </c>
      <c r="CC1343" s="604">
        <v>3</v>
      </c>
      <c r="CD1343" s="604" t="s">
        <v>33</v>
      </c>
    </row>
    <row r="1344" spans="9:82">
      <c r="I1344" s="578" t="str">
        <f t="shared" si="146"/>
        <v>2002sexMalePeri</v>
      </c>
      <c r="J1344" s="604">
        <v>2002</v>
      </c>
      <c r="K1344" s="604" t="s">
        <v>451</v>
      </c>
      <c r="L1344" s="604" t="s">
        <v>70</v>
      </c>
      <c r="M1344" s="604">
        <v>295</v>
      </c>
      <c r="N1344" s="604">
        <v>28015</v>
      </c>
      <c r="O1344" s="604">
        <v>10.5</v>
      </c>
      <c r="P1344" s="604" t="s">
        <v>483</v>
      </c>
      <c r="Q1344" s="499"/>
      <c r="Y1344" s="535" t="str">
        <f t="shared" si="147"/>
        <v>2016gestdep42+Quin 9infant</v>
      </c>
      <c r="Z1344" s="604">
        <v>2016</v>
      </c>
      <c r="AA1344" s="604" t="s">
        <v>450</v>
      </c>
      <c r="AB1344" s="604" t="s">
        <v>454</v>
      </c>
      <c r="AC1344" s="604" t="s">
        <v>138</v>
      </c>
      <c r="AD1344" s="604" t="s">
        <v>426</v>
      </c>
      <c r="AE1344" s="604">
        <v>0</v>
      </c>
      <c r="AF1344" s="604">
        <v>5</v>
      </c>
      <c r="AG1344" s="604" t="s">
        <v>119</v>
      </c>
      <c r="AH1344" s="604" t="s">
        <v>437</v>
      </c>
      <c r="AR1344" s="575" t="str">
        <f t="shared" si="149"/>
        <v/>
      </c>
      <c r="BY1344" s="553" t="str">
        <f t="shared" si="148"/>
        <v>2003Bay of PlentydhbSUDI</v>
      </c>
      <c r="BZ1344" s="604">
        <v>2003</v>
      </c>
      <c r="CA1344" s="604" t="s">
        <v>91</v>
      </c>
      <c r="CB1344" s="604" t="s">
        <v>448</v>
      </c>
      <c r="CC1344" s="604">
        <v>5</v>
      </c>
      <c r="CD1344" s="604" t="s">
        <v>33</v>
      </c>
    </row>
    <row r="1345" spans="9:82">
      <c r="I1345" s="578" t="str">
        <f t="shared" si="146"/>
        <v>2002sexFemalePeri</v>
      </c>
      <c r="J1345" s="604">
        <v>2002</v>
      </c>
      <c r="K1345" s="604" t="s">
        <v>451</v>
      </c>
      <c r="L1345" s="604" t="s">
        <v>71</v>
      </c>
      <c r="M1345" s="604">
        <v>279</v>
      </c>
      <c r="N1345" s="604">
        <v>26889</v>
      </c>
      <c r="O1345" s="604">
        <v>10.4</v>
      </c>
      <c r="P1345" s="604" t="s">
        <v>483</v>
      </c>
      <c r="Q1345" s="499"/>
      <c r="Y1345" s="535" t="str">
        <f t="shared" si="147"/>
        <v>2016gestdepUnknownQuin 9infant</v>
      </c>
      <c r="Z1345" s="604">
        <v>2016</v>
      </c>
      <c r="AA1345" s="604" t="s">
        <v>450</v>
      </c>
      <c r="AB1345" s="604" t="s">
        <v>454</v>
      </c>
      <c r="AC1345" s="604" t="s">
        <v>63</v>
      </c>
      <c r="AD1345" s="604" t="s">
        <v>426</v>
      </c>
      <c r="AE1345" s="604">
        <v>1</v>
      </c>
      <c r="AF1345" s="604">
        <v>1</v>
      </c>
      <c r="AG1345" s="604" t="s">
        <v>119</v>
      </c>
      <c r="AH1345" s="604" t="s">
        <v>437</v>
      </c>
      <c r="AR1345" s="575" t="str">
        <f t="shared" si="149"/>
        <v/>
      </c>
      <c r="BY1345" s="553" t="str">
        <f t="shared" si="148"/>
        <v>2003TairawhitidhbSUDI</v>
      </c>
      <c r="BZ1345" s="604">
        <v>2003</v>
      </c>
      <c r="CA1345" s="604" t="s">
        <v>433</v>
      </c>
      <c r="CB1345" s="604" t="s">
        <v>448</v>
      </c>
      <c r="CC1345" s="604">
        <v>3</v>
      </c>
      <c r="CD1345" s="604" t="s">
        <v>33</v>
      </c>
    </row>
    <row r="1346" spans="9:82">
      <c r="I1346" s="578" t="str">
        <f t="shared" si="146"/>
        <v>2002sexInd/UnkPeri</v>
      </c>
      <c r="J1346" s="604">
        <v>2002</v>
      </c>
      <c r="K1346" s="604" t="s">
        <v>451</v>
      </c>
      <c r="L1346" s="604" t="s">
        <v>458</v>
      </c>
      <c r="M1346" s="604">
        <v>1</v>
      </c>
      <c r="N1346" s="604">
        <v>1</v>
      </c>
      <c r="O1346" s="604" t="s">
        <v>119</v>
      </c>
      <c r="P1346" s="604" t="s">
        <v>483</v>
      </c>
      <c r="Q1346" s="499"/>
      <c r="Y1346" s="535" t="str">
        <f t="shared" si="147"/>
        <v>2016ageeth&lt;20Maoriinfant</v>
      </c>
      <c r="Z1346" s="604">
        <v>2016</v>
      </c>
      <c r="AA1346" s="604" t="s">
        <v>453</v>
      </c>
      <c r="AB1346" s="604" t="s">
        <v>449</v>
      </c>
      <c r="AC1346" s="604" t="s">
        <v>339</v>
      </c>
      <c r="AD1346" s="604" t="s">
        <v>129</v>
      </c>
      <c r="AE1346" s="604">
        <v>20</v>
      </c>
      <c r="AF1346" s="604">
        <v>1613</v>
      </c>
      <c r="AG1346" s="604">
        <v>12.4</v>
      </c>
      <c r="AH1346" s="604" t="s">
        <v>437</v>
      </c>
      <c r="AR1346" s="575" t="str">
        <f t="shared" si="149"/>
        <v/>
      </c>
      <c r="BY1346" s="553" t="str">
        <f t="shared" si="148"/>
        <v>2003Hawke's BaydhbSUDI</v>
      </c>
      <c r="BZ1346" s="604">
        <v>2003</v>
      </c>
      <c r="CA1346" s="604" t="s">
        <v>92</v>
      </c>
      <c r="CB1346" s="604" t="s">
        <v>448</v>
      </c>
      <c r="CC1346" s="604">
        <v>0</v>
      </c>
      <c r="CD1346" s="604" t="s">
        <v>33</v>
      </c>
    </row>
    <row r="1347" spans="9:82">
      <c r="I1347" s="578" t="str">
        <f t="shared" si="146"/>
        <v>2003sexMalePeri</v>
      </c>
      <c r="J1347" s="604">
        <v>2003</v>
      </c>
      <c r="K1347" s="604" t="s">
        <v>451</v>
      </c>
      <c r="L1347" s="604" t="s">
        <v>70</v>
      </c>
      <c r="M1347" s="604">
        <v>270</v>
      </c>
      <c r="N1347" s="604">
        <v>29241</v>
      </c>
      <c r="O1347" s="604">
        <v>9.1999999999999993</v>
      </c>
      <c r="P1347" s="604" t="s">
        <v>483</v>
      </c>
      <c r="Q1347" s="499"/>
      <c r="Y1347" s="535" t="str">
        <f t="shared" si="147"/>
        <v>2016ageeth20-24Maoriinfant</v>
      </c>
      <c r="Z1347" s="604">
        <v>2016</v>
      </c>
      <c r="AA1347" s="604" t="s">
        <v>453</v>
      </c>
      <c r="AB1347" s="604" t="s">
        <v>449</v>
      </c>
      <c r="AC1347" s="604" t="s">
        <v>130</v>
      </c>
      <c r="AD1347" s="604" t="s">
        <v>129</v>
      </c>
      <c r="AE1347" s="604">
        <v>31</v>
      </c>
      <c r="AF1347" s="604">
        <v>4901</v>
      </c>
      <c r="AG1347" s="604">
        <v>6.3</v>
      </c>
      <c r="AH1347" s="604" t="s">
        <v>437</v>
      </c>
      <c r="AR1347" s="575" t="str">
        <f t="shared" si="149"/>
        <v/>
      </c>
      <c r="BY1347" s="553" t="str">
        <f t="shared" si="148"/>
        <v>2003TaranakidhbSUDI</v>
      </c>
      <c r="BZ1347" s="604">
        <v>2003</v>
      </c>
      <c r="CA1347" s="604" t="s">
        <v>93</v>
      </c>
      <c r="CB1347" s="604" t="s">
        <v>448</v>
      </c>
      <c r="CC1347" s="604">
        <v>4</v>
      </c>
      <c r="CD1347" s="604" t="s">
        <v>33</v>
      </c>
    </row>
    <row r="1348" spans="9:82">
      <c r="I1348" s="578" t="str">
        <f t="shared" ref="I1348:I1411" si="150">J1348&amp;K1348&amp;L1348&amp;P1348</f>
        <v>2003sexFemalePeri</v>
      </c>
      <c r="J1348" s="604">
        <v>2003</v>
      </c>
      <c r="K1348" s="604" t="s">
        <v>451</v>
      </c>
      <c r="L1348" s="604" t="s">
        <v>71</v>
      </c>
      <c r="M1348" s="604">
        <v>259</v>
      </c>
      <c r="N1348" s="604">
        <v>27723</v>
      </c>
      <c r="O1348" s="604">
        <v>9.3000000000000007</v>
      </c>
      <c r="P1348" s="604" t="s">
        <v>483</v>
      </c>
      <c r="Q1348" s="499"/>
      <c r="Y1348" s="535" t="str">
        <f t="shared" ref="Y1348:Y1411" si="151">Z1348&amp;AA1348&amp;AB1348&amp;AC1348&amp;AD1348&amp;AH1348</f>
        <v>2016ageeth25-29Maoriinfant</v>
      </c>
      <c r="Z1348" s="604">
        <v>2016</v>
      </c>
      <c r="AA1348" s="604" t="s">
        <v>453</v>
      </c>
      <c r="AB1348" s="604" t="s">
        <v>449</v>
      </c>
      <c r="AC1348" s="604" t="s">
        <v>131</v>
      </c>
      <c r="AD1348" s="604" t="s">
        <v>129</v>
      </c>
      <c r="AE1348" s="604">
        <v>27</v>
      </c>
      <c r="AF1348" s="604">
        <v>4991</v>
      </c>
      <c r="AG1348" s="604">
        <v>5.4</v>
      </c>
      <c r="AH1348" s="604" t="s">
        <v>437</v>
      </c>
      <c r="AR1348" s="575" t="str">
        <f t="shared" si="149"/>
        <v/>
      </c>
      <c r="BY1348" s="553" t="str">
        <f t="shared" ref="BY1348:BY1411" si="152">BZ1348&amp;CA1348&amp;CB1348&amp;CD1348</f>
        <v>2003MidCentraldhbSUDI</v>
      </c>
      <c r="BZ1348" s="604">
        <v>2003</v>
      </c>
      <c r="CA1348" s="604" t="s">
        <v>94</v>
      </c>
      <c r="CB1348" s="604" t="s">
        <v>448</v>
      </c>
      <c r="CC1348" s="604">
        <v>3</v>
      </c>
      <c r="CD1348" s="604" t="s">
        <v>33</v>
      </c>
    </row>
    <row r="1349" spans="9:82">
      <c r="I1349" s="578" t="str">
        <f t="shared" si="150"/>
        <v>2003sexInd/UnkPeri</v>
      </c>
      <c r="J1349" s="604">
        <v>2003</v>
      </c>
      <c r="K1349" s="604" t="s">
        <v>451</v>
      </c>
      <c r="L1349" s="604" t="s">
        <v>458</v>
      </c>
      <c r="M1349" s="604">
        <v>5</v>
      </c>
      <c r="N1349" s="604">
        <v>5</v>
      </c>
      <c r="O1349" s="604" t="s">
        <v>119</v>
      </c>
      <c r="P1349" s="604" t="s">
        <v>483</v>
      </c>
      <c r="Q1349" s="499"/>
      <c r="Y1349" s="535" t="str">
        <f t="shared" si="151"/>
        <v>2016ageeth30-34Maoriinfant</v>
      </c>
      <c r="Z1349" s="604">
        <v>2016</v>
      </c>
      <c r="AA1349" s="604" t="s">
        <v>453</v>
      </c>
      <c r="AB1349" s="604" t="s">
        <v>449</v>
      </c>
      <c r="AC1349" s="604" t="s">
        <v>132</v>
      </c>
      <c r="AD1349" s="604" t="s">
        <v>129</v>
      </c>
      <c r="AE1349" s="604">
        <v>14</v>
      </c>
      <c r="AF1349" s="604">
        <v>3514</v>
      </c>
      <c r="AG1349" s="604">
        <v>4</v>
      </c>
      <c r="AH1349" s="604" t="s">
        <v>437</v>
      </c>
      <c r="AR1349" s="575" t="str">
        <f t="shared" si="149"/>
        <v/>
      </c>
      <c r="BY1349" s="553" t="str">
        <f t="shared" si="152"/>
        <v>2003WhanganuidhbSUDI</v>
      </c>
      <c r="BZ1349" s="604">
        <v>2003</v>
      </c>
      <c r="CA1349" s="604" t="s">
        <v>95</v>
      </c>
      <c r="CB1349" s="604" t="s">
        <v>448</v>
      </c>
      <c r="CC1349" s="604">
        <v>1</v>
      </c>
      <c r="CD1349" s="604" t="s">
        <v>33</v>
      </c>
    </row>
    <row r="1350" spans="9:82">
      <c r="I1350" s="578" t="str">
        <f t="shared" si="150"/>
        <v>2004sexMalePeri</v>
      </c>
      <c r="J1350" s="604">
        <v>2004</v>
      </c>
      <c r="K1350" s="604" t="s">
        <v>451</v>
      </c>
      <c r="L1350" s="604" t="s">
        <v>70</v>
      </c>
      <c r="M1350" s="604">
        <v>356</v>
      </c>
      <c r="N1350" s="604">
        <v>30371</v>
      </c>
      <c r="O1350" s="604">
        <v>11.7</v>
      </c>
      <c r="P1350" s="604" t="s">
        <v>483</v>
      </c>
      <c r="Q1350" s="499"/>
      <c r="Y1350" s="535" t="str">
        <f t="shared" si="151"/>
        <v>2016ageeth35-39Maoriinfant</v>
      </c>
      <c r="Z1350" s="604">
        <v>2016</v>
      </c>
      <c r="AA1350" s="604" t="s">
        <v>453</v>
      </c>
      <c r="AB1350" s="604" t="s">
        <v>449</v>
      </c>
      <c r="AC1350" s="604" t="s">
        <v>133</v>
      </c>
      <c r="AD1350" s="604" t="s">
        <v>129</v>
      </c>
      <c r="AE1350" s="604">
        <v>8</v>
      </c>
      <c r="AF1350" s="604">
        <v>1805</v>
      </c>
      <c r="AG1350" s="604">
        <v>4.4000000000000004</v>
      </c>
      <c r="AH1350" s="604" t="s">
        <v>437</v>
      </c>
      <c r="BY1350" s="553" t="str">
        <f t="shared" si="152"/>
        <v>2003Capital &amp; CoastdhbSUDI</v>
      </c>
      <c r="BZ1350" s="604">
        <v>2003</v>
      </c>
      <c r="CA1350" s="604" t="s">
        <v>96</v>
      </c>
      <c r="CB1350" s="604" t="s">
        <v>448</v>
      </c>
      <c r="CC1350" s="604">
        <v>1</v>
      </c>
      <c r="CD1350" s="604" t="s">
        <v>33</v>
      </c>
    </row>
    <row r="1351" spans="9:82">
      <c r="I1351" s="578" t="str">
        <f t="shared" si="150"/>
        <v>2004sexFemalePeri</v>
      </c>
      <c r="J1351" s="604">
        <v>2004</v>
      </c>
      <c r="K1351" s="604" t="s">
        <v>451</v>
      </c>
      <c r="L1351" s="604" t="s">
        <v>71</v>
      </c>
      <c r="M1351" s="604">
        <v>307</v>
      </c>
      <c r="N1351" s="604">
        <v>28855</v>
      </c>
      <c r="O1351" s="604">
        <v>10.6</v>
      </c>
      <c r="P1351" s="604" t="s">
        <v>483</v>
      </c>
      <c r="Q1351" s="499"/>
      <c r="Y1351" s="535" t="str">
        <f t="shared" si="151"/>
        <v>2016ageeth40+Maoriinfant</v>
      </c>
      <c r="Z1351" s="604">
        <v>2016</v>
      </c>
      <c r="AA1351" s="604" t="s">
        <v>453</v>
      </c>
      <c r="AB1351" s="604" t="s">
        <v>449</v>
      </c>
      <c r="AC1351" s="604" t="s">
        <v>134</v>
      </c>
      <c r="AD1351" s="604" t="s">
        <v>129</v>
      </c>
      <c r="AE1351" s="604">
        <v>3</v>
      </c>
      <c r="AF1351" s="604">
        <v>505</v>
      </c>
      <c r="AG1351" s="604">
        <v>5.9</v>
      </c>
      <c r="AH1351" s="604" t="s">
        <v>437</v>
      </c>
      <c r="BY1351" s="553" t="str">
        <f t="shared" si="152"/>
        <v>2003Hutt ValleydhbSUDI</v>
      </c>
      <c r="BZ1351" s="604">
        <v>2003</v>
      </c>
      <c r="CA1351" s="604" t="s">
        <v>97</v>
      </c>
      <c r="CB1351" s="604" t="s">
        <v>448</v>
      </c>
      <c r="CC1351" s="604">
        <v>3</v>
      </c>
      <c r="CD1351" s="604" t="s">
        <v>33</v>
      </c>
    </row>
    <row r="1352" spans="9:82">
      <c r="I1352" s="578" t="str">
        <f t="shared" si="150"/>
        <v>2004sexInd/UnkPeri</v>
      </c>
      <c r="J1352" s="604">
        <v>2004</v>
      </c>
      <c r="K1352" s="604" t="s">
        <v>451</v>
      </c>
      <c r="L1352" s="604" t="s">
        <v>458</v>
      </c>
      <c r="M1352" s="604">
        <v>3</v>
      </c>
      <c r="N1352" s="604">
        <v>3</v>
      </c>
      <c r="O1352" s="604" t="s">
        <v>119</v>
      </c>
      <c r="P1352" s="604" t="s">
        <v>483</v>
      </c>
      <c r="Q1352" s="499"/>
      <c r="Y1352" s="535" t="str">
        <f t="shared" si="151"/>
        <v>2016ageeth&lt;20Pacific peoplesinfant</v>
      </c>
      <c r="Z1352" s="604">
        <v>2016</v>
      </c>
      <c r="AA1352" s="604" t="s">
        <v>453</v>
      </c>
      <c r="AB1352" s="604" t="s">
        <v>449</v>
      </c>
      <c r="AC1352" s="604" t="s">
        <v>339</v>
      </c>
      <c r="AD1352" s="604" t="s">
        <v>320</v>
      </c>
      <c r="AE1352" s="604">
        <v>7</v>
      </c>
      <c r="AF1352" s="604">
        <v>380</v>
      </c>
      <c r="AG1352" s="604">
        <v>18.399999999999999</v>
      </c>
      <c r="AH1352" s="604" t="s">
        <v>437</v>
      </c>
      <c r="BY1352" s="553" t="str">
        <f t="shared" si="152"/>
        <v>2003WairarapadhbSUDI</v>
      </c>
      <c r="BZ1352" s="604">
        <v>2003</v>
      </c>
      <c r="CA1352" s="604" t="s">
        <v>98</v>
      </c>
      <c r="CB1352" s="604" t="s">
        <v>448</v>
      </c>
      <c r="CC1352" s="604">
        <v>0</v>
      </c>
      <c r="CD1352" s="604" t="s">
        <v>33</v>
      </c>
    </row>
    <row r="1353" spans="9:82">
      <c r="I1353" s="578" t="str">
        <f t="shared" si="150"/>
        <v>2005sexMalePeri</v>
      </c>
      <c r="J1353" s="604">
        <v>2005</v>
      </c>
      <c r="K1353" s="604" t="s">
        <v>451</v>
      </c>
      <c r="L1353" s="604" t="s">
        <v>70</v>
      </c>
      <c r="M1353" s="604">
        <v>303</v>
      </c>
      <c r="N1353" s="604">
        <v>30279</v>
      </c>
      <c r="O1353" s="604">
        <v>10</v>
      </c>
      <c r="P1353" s="604" t="s">
        <v>483</v>
      </c>
      <c r="Q1353" s="499"/>
      <c r="Y1353" s="535" t="str">
        <f t="shared" si="151"/>
        <v>2016ageeth20-24Pacific peoplesinfant</v>
      </c>
      <c r="Z1353" s="604">
        <v>2016</v>
      </c>
      <c r="AA1353" s="604" t="s">
        <v>453</v>
      </c>
      <c r="AB1353" s="604" t="s">
        <v>449</v>
      </c>
      <c r="AC1353" s="604" t="s">
        <v>130</v>
      </c>
      <c r="AD1353" s="604" t="s">
        <v>320</v>
      </c>
      <c r="AE1353" s="604">
        <v>12</v>
      </c>
      <c r="AF1353" s="604">
        <v>1509</v>
      </c>
      <c r="AG1353" s="604">
        <v>8</v>
      </c>
      <c r="AH1353" s="604" t="s">
        <v>437</v>
      </c>
      <c r="BY1353" s="553" t="str">
        <f t="shared" si="152"/>
        <v>2003Nelson MarlboroughdhbSUDI</v>
      </c>
      <c r="BZ1353" s="604">
        <v>2003</v>
      </c>
      <c r="CA1353" s="604" t="s">
        <v>99</v>
      </c>
      <c r="CB1353" s="604" t="s">
        <v>448</v>
      </c>
      <c r="CC1353" s="604">
        <v>1</v>
      </c>
      <c r="CD1353" s="604" t="s">
        <v>33</v>
      </c>
    </row>
    <row r="1354" spans="9:82">
      <c r="I1354" s="578" t="str">
        <f t="shared" si="150"/>
        <v>2005sexFemalePeri</v>
      </c>
      <c r="J1354" s="604">
        <v>2005</v>
      </c>
      <c r="K1354" s="604" t="s">
        <v>451</v>
      </c>
      <c r="L1354" s="604" t="s">
        <v>71</v>
      </c>
      <c r="M1354" s="604">
        <v>248</v>
      </c>
      <c r="N1354" s="604">
        <v>28851</v>
      </c>
      <c r="O1354" s="604">
        <v>8.6</v>
      </c>
      <c r="P1354" s="604" t="s">
        <v>483</v>
      </c>
      <c r="Q1354" s="499"/>
      <c r="Y1354" s="535" t="str">
        <f t="shared" si="151"/>
        <v>2016ageeth25-29Pacific peoplesinfant</v>
      </c>
      <c r="Z1354" s="604">
        <v>2016</v>
      </c>
      <c r="AA1354" s="604" t="s">
        <v>453</v>
      </c>
      <c r="AB1354" s="604" t="s">
        <v>449</v>
      </c>
      <c r="AC1354" s="604" t="s">
        <v>131</v>
      </c>
      <c r="AD1354" s="604" t="s">
        <v>320</v>
      </c>
      <c r="AE1354" s="604">
        <v>3</v>
      </c>
      <c r="AF1354" s="604">
        <v>1704</v>
      </c>
      <c r="AG1354" s="604">
        <v>1.8</v>
      </c>
      <c r="AH1354" s="604" t="s">
        <v>437</v>
      </c>
      <c r="BY1354" s="553" t="str">
        <f t="shared" si="152"/>
        <v>2003West CoastdhbSUDI</v>
      </c>
      <c r="BZ1354" s="604">
        <v>2003</v>
      </c>
      <c r="CA1354" s="604" t="s">
        <v>100</v>
      </c>
      <c r="CB1354" s="604" t="s">
        <v>448</v>
      </c>
      <c r="CC1354" s="604">
        <v>0</v>
      </c>
      <c r="CD1354" s="604" t="s">
        <v>33</v>
      </c>
    </row>
    <row r="1355" spans="9:82">
      <c r="I1355" s="578" t="str">
        <f t="shared" si="150"/>
        <v>2005sexInd/UnkPeri</v>
      </c>
      <c r="J1355" s="604">
        <v>2005</v>
      </c>
      <c r="K1355" s="604" t="s">
        <v>451</v>
      </c>
      <c r="L1355" s="604" t="s">
        <v>458</v>
      </c>
      <c r="M1355" s="604">
        <v>0</v>
      </c>
      <c r="N1355" s="604">
        <v>0</v>
      </c>
      <c r="O1355" s="604" t="s">
        <v>119</v>
      </c>
      <c r="P1355" s="604" t="s">
        <v>483</v>
      </c>
      <c r="Q1355" s="499"/>
      <c r="Y1355" s="535" t="str">
        <f t="shared" si="151"/>
        <v>2016ageeth30-34Pacific peoplesinfant</v>
      </c>
      <c r="Z1355" s="604">
        <v>2016</v>
      </c>
      <c r="AA1355" s="604" t="s">
        <v>453</v>
      </c>
      <c r="AB1355" s="604" t="s">
        <v>449</v>
      </c>
      <c r="AC1355" s="604" t="s">
        <v>132</v>
      </c>
      <c r="AD1355" s="604" t="s">
        <v>320</v>
      </c>
      <c r="AE1355" s="604">
        <v>7</v>
      </c>
      <c r="AF1355" s="604">
        <v>1354</v>
      </c>
      <c r="AG1355" s="604">
        <v>5.2</v>
      </c>
      <c r="AH1355" s="604" t="s">
        <v>437</v>
      </c>
      <c r="BY1355" s="553" t="str">
        <f t="shared" si="152"/>
        <v>2003CanterburydhbSUDI</v>
      </c>
      <c r="BZ1355" s="604">
        <v>2003</v>
      </c>
      <c r="CA1355" s="604" t="s">
        <v>101</v>
      </c>
      <c r="CB1355" s="604" t="s">
        <v>448</v>
      </c>
      <c r="CC1355" s="604">
        <v>0</v>
      </c>
      <c r="CD1355" s="604" t="s">
        <v>33</v>
      </c>
    </row>
    <row r="1356" spans="9:82">
      <c r="I1356" s="578" t="str">
        <f t="shared" si="150"/>
        <v>2006sexMalePeri</v>
      </c>
      <c r="J1356" s="604">
        <v>2006</v>
      </c>
      <c r="K1356" s="604" t="s">
        <v>451</v>
      </c>
      <c r="L1356" s="604" t="s">
        <v>70</v>
      </c>
      <c r="M1356" s="604">
        <v>284</v>
      </c>
      <c r="N1356" s="604">
        <v>31024</v>
      </c>
      <c r="O1356" s="604">
        <v>9.1999999999999993</v>
      </c>
      <c r="P1356" s="604" t="s">
        <v>483</v>
      </c>
      <c r="Q1356" s="499"/>
      <c r="Y1356" s="535" t="str">
        <f t="shared" si="151"/>
        <v>2016ageeth35-39Pacific peoplesinfant</v>
      </c>
      <c r="Z1356" s="604">
        <v>2016</v>
      </c>
      <c r="AA1356" s="604" t="s">
        <v>453</v>
      </c>
      <c r="AB1356" s="604" t="s">
        <v>449</v>
      </c>
      <c r="AC1356" s="604" t="s">
        <v>133</v>
      </c>
      <c r="AD1356" s="604" t="s">
        <v>320</v>
      </c>
      <c r="AE1356" s="604">
        <v>4</v>
      </c>
      <c r="AF1356" s="604">
        <v>795</v>
      </c>
      <c r="AG1356" s="604">
        <v>5</v>
      </c>
      <c r="AH1356" s="604" t="s">
        <v>437</v>
      </c>
      <c r="BY1356" s="553" t="str">
        <f t="shared" si="152"/>
        <v>2003South CanterburydhbSUDI</v>
      </c>
      <c r="BZ1356" s="604">
        <v>2003</v>
      </c>
      <c r="CA1356" s="604" t="s">
        <v>102</v>
      </c>
      <c r="CB1356" s="604" t="s">
        <v>448</v>
      </c>
      <c r="CC1356" s="604">
        <v>0</v>
      </c>
      <c r="CD1356" s="604" t="s">
        <v>33</v>
      </c>
    </row>
    <row r="1357" spans="9:82">
      <c r="I1357" s="578" t="str">
        <f t="shared" si="150"/>
        <v>2006sexFemalePeri</v>
      </c>
      <c r="J1357" s="604">
        <v>2006</v>
      </c>
      <c r="K1357" s="604" t="s">
        <v>451</v>
      </c>
      <c r="L1357" s="604" t="s">
        <v>71</v>
      </c>
      <c r="M1357" s="604">
        <v>262</v>
      </c>
      <c r="N1357" s="604">
        <v>29659</v>
      </c>
      <c r="O1357" s="604">
        <v>8.8000000000000007</v>
      </c>
      <c r="P1357" s="604" t="s">
        <v>483</v>
      </c>
      <c r="Q1357" s="499"/>
      <c r="Y1357" s="535" t="str">
        <f t="shared" si="151"/>
        <v>2016ageeth40+Pacific peoplesinfant</v>
      </c>
      <c r="Z1357" s="604">
        <v>2016</v>
      </c>
      <c r="AA1357" s="604" t="s">
        <v>453</v>
      </c>
      <c r="AB1357" s="604" t="s">
        <v>449</v>
      </c>
      <c r="AC1357" s="604" t="s">
        <v>134</v>
      </c>
      <c r="AD1357" s="604" t="s">
        <v>320</v>
      </c>
      <c r="AE1357" s="604">
        <v>3</v>
      </c>
      <c r="AF1357" s="604">
        <v>234</v>
      </c>
      <c r="AG1357" s="604">
        <v>12.8</v>
      </c>
      <c r="AH1357" s="604" t="s">
        <v>437</v>
      </c>
      <c r="BY1357" s="553" t="str">
        <f t="shared" si="152"/>
        <v>2003SoutherndhbSUDI</v>
      </c>
      <c r="BZ1357" s="604">
        <v>2003</v>
      </c>
      <c r="CA1357" s="604" t="s">
        <v>103</v>
      </c>
      <c r="CB1357" s="604" t="s">
        <v>448</v>
      </c>
      <c r="CC1357" s="604">
        <v>3</v>
      </c>
      <c r="CD1357" s="604" t="s">
        <v>33</v>
      </c>
    </row>
    <row r="1358" spans="9:82">
      <c r="I1358" s="578" t="str">
        <f t="shared" si="150"/>
        <v>2006sexInd/UnkPeri</v>
      </c>
      <c r="J1358" s="604">
        <v>2006</v>
      </c>
      <c r="K1358" s="604" t="s">
        <v>451</v>
      </c>
      <c r="L1358" s="604" t="s">
        <v>458</v>
      </c>
      <c r="M1358" s="604">
        <v>0</v>
      </c>
      <c r="N1358" s="604">
        <v>0</v>
      </c>
      <c r="O1358" s="604" t="s">
        <v>119</v>
      </c>
      <c r="P1358" s="604" t="s">
        <v>483</v>
      </c>
      <c r="Q1358" s="499"/>
      <c r="Y1358" s="535" t="str">
        <f t="shared" si="151"/>
        <v>2016ageeth&lt;20Asianinfant</v>
      </c>
      <c r="Z1358" s="604">
        <v>2016</v>
      </c>
      <c r="AA1358" s="604" t="s">
        <v>453</v>
      </c>
      <c r="AB1358" s="604" t="s">
        <v>449</v>
      </c>
      <c r="AC1358" s="604" t="s">
        <v>339</v>
      </c>
      <c r="AD1358" s="604" t="s">
        <v>355</v>
      </c>
      <c r="AE1358" s="604">
        <v>0</v>
      </c>
      <c r="AF1358" s="604">
        <v>45</v>
      </c>
      <c r="AG1358" s="604">
        <v>0</v>
      </c>
      <c r="AH1358" s="604" t="s">
        <v>437</v>
      </c>
      <c r="BY1358" s="553" t="str">
        <f t="shared" si="152"/>
        <v>2003UnknowndhbSUDI</v>
      </c>
      <c r="BZ1358" s="604">
        <v>2003</v>
      </c>
      <c r="CA1358" s="604" t="s">
        <v>63</v>
      </c>
      <c r="CB1358" s="604" t="s">
        <v>448</v>
      </c>
      <c r="CC1358" s="604">
        <v>0</v>
      </c>
      <c r="CD1358" s="604" t="s">
        <v>33</v>
      </c>
    </row>
    <row r="1359" spans="9:82">
      <c r="I1359" s="578" t="str">
        <f t="shared" si="150"/>
        <v>2007sexMalePeri</v>
      </c>
      <c r="J1359" s="604">
        <v>2007</v>
      </c>
      <c r="K1359" s="604" t="s">
        <v>451</v>
      </c>
      <c r="L1359" s="604" t="s">
        <v>70</v>
      </c>
      <c r="M1359" s="604">
        <v>306</v>
      </c>
      <c r="N1359" s="604">
        <v>33802</v>
      </c>
      <c r="O1359" s="604">
        <v>9.1</v>
      </c>
      <c r="P1359" s="604" t="s">
        <v>483</v>
      </c>
      <c r="Q1359" s="499"/>
      <c r="Y1359" s="535" t="str">
        <f t="shared" si="151"/>
        <v>2016ageeth20-24Asianinfant</v>
      </c>
      <c r="Z1359" s="604">
        <v>2016</v>
      </c>
      <c r="AA1359" s="604" t="s">
        <v>453</v>
      </c>
      <c r="AB1359" s="604" t="s">
        <v>449</v>
      </c>
      <c r="AC1359" s="604" t="s">
        <v>130</v>
      </c>
      <c r="AD1359" s="604" t="s">
        <v>355</v>
      </c>
      <c r="AE1359" s="604">
        <v>6</v>
      </c>
      <c r="AF1359" s="604">
        <v>790</v>
      </c>
      <c r="AG1359" s="604">
        <v>7.6</v>
      </c>
      <c r="AH1359" s="604" t="s">
        <v>437</v>
      </c>
      <c r="BY1359" s="553" t="str">
        <f t="shared" si="152"/>
        <v>2004NorthlanddhbSUDI</v>
      </c>
      <c r="BZ1359" s="604">
        <v>2004</v>
      </c>
      <c r="CA1359" s="604" t="s">
        <v>85</v>
      </c>
      <c r="CB1359" s="604" t="s">
        <v>448</v>
      </c>
      <c r="CC1359" s="604">
        <v>8</v>
      </c>
      <c r="CD1359" s="604" t="s">
        <v>33</v>
      </c>
    </row>
    <row r="1360" spans="9:82">
      <c r="I1360" s="578" t="str">
        <f t="shared" si="150"/>
        <v>2007sexFemalePeri</v>
      </c>
      <c r="J1360" s="604">
        <v>2007</v>
      </c>
      <c r="K1360" s="604" t="s">
        <v>451</v>
      </c>
      <c r="L1360" s="604" t="s">
        <v>71</v>
      </c>
      <c r="M1360" s="604">
        <v>297</v>
      </c>
      <c r="N1360" s="604">
        <v>31788</v>
      </c>
      <c r="O1360" s="604">
        <v>9.3000000000000007</v>
      </c>
      <c r="P1360" s="604" t="s">
        <v>483</v>
      </c>
      <c r="Q1360" s="499"/>
      <c r="Y1360" s="535" t="str">
        <f t="shared" si="151"/>
        <v>2016ageeth25-29Asianinfant</v>
      </c>
      <c r="Z1360" s="604">
        <v>2016</v>
      </c>
      <c r="AA1360" s="604" t="s">
        <v>453</v>
      </c>
      <c r="AB1360" s="604" t="s">
        <v>449</v>
      </c>
      <c r="AC1360" s="604" t="s">
        <v>131</v>
      </c>
      <c r="AD1360" s="604" t="s">
        <v>355</v>
      </c>
      <c r="AE1360" s="604">
        <v>5</v>
      </c>
      <c r="AF1360" s="604">
        <v>3248</v>
      </c>
      <c r="AG1360" s="604">
        <v>1.5</v>
      </c>
      <c r="AH1360" s="604" t="s">
        <v>437</v>
      </c>
      <c r="BY1360" s="553" t="str">
        <f t="shared" si="152"/>
        <v>2004WaitematadhbSUDI</v>
      </c>
      <c r="BZ1360" s="604">
        <v>2004</v>
      </c>
      <c r="CA1360" s="604" t="s">
        <v>86</v>
      </c>
      <c r="CB1360" s="604" t="s">
        <v>448</v>
      </c>
      <c r="CC1360" s="604">
        <v>7</v>
      </c>
      <c r="CD1360" s="604" t="s">
        <v>33</v>
      </c>
    </row>
    <row r="1361" spans="9:82">
      <c r="I1361" s="578" t="str">
        <f t="shared" si="150"/>
        <v>2007sexInd/UnkPeri</v>
      </c>
      <c r="J1361" s="604">
        <v>2007</v>
      </c>
      <c r="K1361" s="604" t="s">
        <v>451</v>
      </c>
      <c r="L1361" s="604" t="s">
        <v>458</v>
      </c>
      <c r="M1361" s="604">
        <v>1</v>
      </c>
      <c r="N1361" s="604">
        <v>1</v>
      </c>
      <c r="O1361" s="604" t="s">
        <v>119</v>
      </c>
      <c r="P1361" s="604" t="s">
        <v>483</v>
      </c>
      <c r="Q1361" s="499"/>
      <c r="Y1361" s="535" t="str">
        <f t="shared" si="151"/>
        <v>2016ageeth30-34Asianinfant</v>
      </c>
      <c r="Z1361" s="604">
        <v>2016</v>
      </c>
      <c r="AA1361" s="604" t="s">
        <v>453</v>
      </c>
      <c r="AB1361" s="604" t="s">
        <v>449</v>
      </c>
      <c r="AC1361" s="604" t="s">
        <v>132</v>
      </c>
      <c r="AD1361" s="604" t="s">
        <v>355</v>
      </c>
      <c r="AE1361" s="604">
        <v>10</v>
      </c>
      <c r="AF1361" s="604">
        <v>4523</v>
      </c>
      <c r="AG1361" s="604">
        <v>2.2000000000000002</v>
      </c>
      <c r="AH1361" s="604" t="s">
        <v>437</v>
      </c>
      <c r="BY1361" s="553" t="str">
        <f t="shared" si="152"/>
        <v>2004AucklanddhbSUDI</v>
      </c>
      <c r="BZ1361" s="604">
        <v>2004</v>
      </c>
      <c r="CA1361" s="604" t="s">
        <v>87</v>
      </c>
      <c r="CB1361" s="604" t="s">
        <v>448</v>
      </c>
      <c r="CC1361" s="604">
        <v>4</v>
      </c>
      <c r="CD1361" s="604" t="s">
        <v>33</v>
      </c>
    </row>
    <row r="1362" spans="9:82">
      <c r="I1362" s="578" t="str">
        <f t="shared" si="150"/>
        <v>2008sexMalePeri</v>
      </c>
      <c r="J1362" s="604">
        <v>2008</v>
      </c>
      <c r="K1362" s="604" t="s">
        <v>451</v>
      </c>
      <c r="L1362" s="604" t="s">
        <v>70</v>
      </c>
      <c r="M1362" s="604">
        <v>374</v>
      </c>
      <c r="N1362" s="604">
        <v>33908</v>
      </c>
      <c r="O1362" s="604">
        <v>11</v>
      </c>
      <c r="P1362" s="604" t="s">
        <v>483</v>
      </c>
      <c r="Q1362" s="499"/>
      <c r="Y1362" s="535" t="str">
        <f t="shared" si="151"/>
        <v>2016ageeth35-39Asianinfant</v>
      </c>
      <c r="Z1362" s="604">
        <v>2016</v>
      </c>
      <c r="AA1362" s="604" t="s">
        <v>453</v>
      </c>
      <c r="AB1362" s="604" t="s">
        <v>449</v>
      </c>
      <c r="AC1362" s="604" t="s">
        <v>133</v>
      </c>
      <c r="AD1362" s="604" t="s">
        <v>355</v>
      </c>
      <c r="AE1362" s="604">
        <v>5</v>
      </c>
      <c r="AF1362" s="604">
        <v>1938</v>
      </c>
      <c r="AG1362" s="604">
        <v>2.6</v>
      </c>
      <c r="AH1362" s="604" t="s">
        <v>437</v>
      </c>
      <c r="BY1362" s="553" t="str">
        <f t="shared" si="152"/>
        <v>2004Counties ManukaudhbSUDI</v>
      </c>
      <c r="BZ1362" s="604">
        <v>2004</v>
      </c>
      <c r="CA1362" s="604" t="s">
        <v>88</v>
      </c>
      <c r="CB1362" s="604" t="s">
        <v>448</v>
      </c>
      <c r="CC1362" s="604">
        <v>14</v>
      </c>
      <c r="CD1362" s="604" t="s">
        <v>33</v>
      </c>
    </row>
    <row r="1363" spans="9:82">
      <c r="I1363" s="578" t="str">
        <f t="shared" si="150"/>
        <v>2008sexFemalePeri</v>
      </c>
      <c r="J1363" s="604">
        <v>2008</v>
      </c>
      <c r="K1363" s="604" t="s">
        <v>451</v>
      </c>
      <c r="L1363" s="604" t="s">
        <v>71</v>
      </c>
      <c r="M1363" s="604">
        <v>323</v>
      </c>
      <c r="N1363" s="604">
        <v>31977</v>
      </c>
      <c r="O1363" s="604">
        <v>10.1</v>
      </c>
      <c r="P1363" s="604" t="s">
        <v>483</v>
      </c>
      <c r="Q1363" s="499"/>
      <c r="Y1363" s="535" t="str">
        <f t="shared" si="151"/>
        <v>2016ageeth40+Asianinfant</v>
      </c>
      <c r="Z1363" s="604">
        <v>2016</v>
      </c>
      <c r="AA1363" s="604" t="s">
        <v>453</v>
      </c>
      <c r="AB1363" s="604" t="s">
        <v>449</v>
      </c>
      <c r="AC1363" s="604" t="s">
        <v>134</v>
      </c>
      <c r="AD1363" s="604" t="s">
        <v>355</v>
      </c>
      <c r="AE1363" s="604">
        <v>1</v>
      </c>
      <c r="AF1363" s="604">
        <v>358</v>
      </c>
      <c r="AG1363" s="604">
        <v>2.8</v>
      </c>
      <c r="AH1363" s="604" t="s">
        <v>437</v>
      </c>
      <c r="BY1363" s="553" t="str">
        <f t="shared" si="152"/>
        <v>2004WaikatodhbSUDI</v>
      </c>
      <c r="BZ1363" s="604">
        <v>2004</v>
      </c>
      <c r="CA1363" s="604" t="s">
        <v>89</v>
      </c>
      <c r="CB1363" s="604" t="s">
        <v>448</v>
      </c>
      <c r="CC1363" s="604">
        <v>4</v>
      </c>
      <c r="CD1363" s="604" t="s">
        <v>33</v>
      </c>
    </row>
    <row r="1364" spans="9:82">
      <c r="I1364" s="578" t="str">
        <f t="shared" si="150"/>
        <v>2008sexInd/UnkPeri</v>
      </c>
      <c r="J1364" s="604">
        <v>2008</v>
      </c>
      <c r="K1364" s="604" t="s">
        <v>451</v>
      </c>
      <c r="L1364" s="604" t="s">
        <v>458</v>
      </c>
      <c r="M1364" s="604">
        <v>4</v>
      </c>
      <c r="N1364" s="604">
        <v>4</v>
      </c>
      <c r="O1364" s="604" t="s">
        <v>119</v>
      </c>
      <c r="P1364" s="604" t="s">
        <v>483</v>
      </c>
      <c r="Q1364" s="499"/>
      <c r="Y1364" s="535" t="str">
        <f t="shared" si="151"/>
        <v>2016ageeth&lt;20European or Otherinfant</v>
      </c>
      <c r="Z1364" s="604">
        <v>2016</v>
      </c>
      <c r="AA1364" s="604" t="s">
        <v>453</v>
      </c>
      <c r="AB1364" s="604" t="s">
        <v>449</v>
      </c>
      <c r="AC1364" s="604" t="s">
        <v>339</v>
      </c>
      <c r="AD1364" s="604" t="s">
        <v>356</v>
      </c>
      <c r="AE1364" s="604">
        <v>0</v>
      </c>
      <c r="AF1364" s="604">
        <v>521</v>
      </c>
      <c r="AG1364" s="604">
        <v>0</v>
      </c>
      <c r="AH1364" s="604" t="s">
        <v>437</v>
      </c>
      <c r="BY1364" s="553" t="str">
        <f t="shared" si="152"/>
        <v>2004LakesdhbSUDI</v>
      </c>
      <c r="BZ1364" s="604">
        <v>2004</v>
      </c>
      <c r="CA1364" s="604" t="s">
        <v>90</v>
      </c>
      <c r="CB1364" s="604" t="s">
        <v>448</v>
      </c>
      <c r="CC1364" s="604">
        <v>1</v>
      </c>
      <c r="CD1364" s="604" t="s">
        <v>33</v>
      </c>
    </row>
    <row r="1365" spans="9:82">
      <c r="I1365" s="578" t="str">
        <f t="shared" si="150"/>
        <v>2009sexMalePeri</v>
      </c>
      <c r="J1365" s="604">
        <v>2009</v>
      </c>
      <c r="K1365" s="604" t="s">
        <v>451</v>
      </c>
      <c r="L1365" s="604" t="s">
        <v>70</v>
      </c>
      <c r="M1365" s="604">
        <v>326</v>
      </c>
      <c r="N1365" s="604">
        <v>32727</v>
      </c>
      <c r="O1365" s="604">
        <v>10</v>
      </c>
      <c r="P1365" s="604" t="s">
        <v>483</v>
      </c>
      <c r="Q1365" s="499"/>
      <c r="Y1365" s="535" t="str">
        <f t="shared" si="151"/>
        <v>2016ageeth20-24European or Otherinfant</v>
      </c>
      <c r="Z1365" s="604">
        <v>2016</v>
      </c>
      <c r="AA1365" s="604" t="s">
        <v>453</v>
      </c>
      <c r="AB1365" s="604" t="s">
        <v>449</v>
      </c>
      <c r="AC1365" s="604" t="s">
        <v>130</v>
      </c>
      <c r="AD1365" s="604" t="s">
        <v>356</v>
      </c>
      <c r="AE1365" s="604">
        <v>12</v>
      </c>
      <c r="AF1365" s="604">
        <v>2734</v>
      </c>
      <c r="AG1365" s="604">
        <v>4.4000000000000004</v>
      </c>
      <c r="AH1365" s="604" t="s">
        <v>437</v>
      </c>
      <c r="BY1365" s="553" t="str">
        <f t="shared" si="152"/>
        <v>2004Bay of PlentydhbSUDI</v>
      </c>
      <c r="BZ1365" s="604">
        <v>2004</v>
      </c>
      <c r="CA1365" s="604" t="s">
        <v>91</v>
      </c>
      <c r="CB1365" s="604" t="s">
        <v>448</v>
      </c>
      <c r="CC1365" s="604">
        <v>5</v>
      </c>
      <c r="CD1365" s="604" t="s">
        <v>33</v>
      </c>
    </row>
    <row r="1366" spans="9:82">
      <c r="I1366" s="578" t="str">
        <f t="shared" si="150"/>
        <v>2009sexFemalePeri</v>
      </c>
      <c r="J1366" s="604">
        <v>2009</v>
      </c>
      <c r="K1366" s="604" t="s">
        <v>451</v>
      </c>
      <c r="L1366" s="604" t="s">
        <v>71</v>
      </c>
      <c r="M1366" s="604">
        <v>303</v>
      </c>
      <c r="N1366" s="604">
        <v>31035</v>
      </c>
      <c r="O1366" s="604">
        <v>9.8000000000000007</v>
      </c>
      <c r="P1366" s="604" t="s">
        <v>483</v>
      </c>
      <c r="Q1366" s="499"/>
      <c r="Y1366" s="535" t="str">
        <f t="shared" si="151"/>
        <v>2016ageeth25-29European or Otherinfant</v>
      </c>
      <c r="Z1366" s="604">
        <v>2016</v>
      </c>
      <c r="AA1366" s="604" t="s">
        <v>453</v>
      </c>
      <c r="AB1366" s="604" t="s">
        <v>449</v>
      </c>
      <c r="AC1366" s="604" t="s">
        <v>131</v>
      </c>
      <c r="AD1366" s="604" t="s">
        <v>356</v>
      </c>
      <c r="AE1366" s="604">
        <v>17</v>
      </c>
      <c r="AF1366" s="604">
        <v>6721</v>
      </c>
      <c r="AG1366" s="604">
        <v>2.5</v>
      </c>
      <c r="AH1366" s="604" t="s">
        <v>437</v>
      </c>
      <c r="BY1366" s="553" t="str">
        <f t="shared" si="152"/>
        <v>2004TairawhitidhbSUDI</v>
      </c>
      <c r="BZ1366" s="604">
        <v>2004</v>
      </c>
      <c r="CA1366" s="604" t="s">
        <v>433</v>
      </c>
      <c r="CB1366" s="604" t="s">
        <v>448</v>
      </c>
      <c r="CC1366" s="604">
        <v>1</v>
      </c>
      <c r="CD1366" s="604" t="s">
        <v>33</v>
      </c>
    </row>
    <row r="1367" spans="9:82">
      <c r="I1367" s="578" t="str">
        <f t="shared" si="150"/>
        <v>2009sexInd/UnkPeri</v>
      </c>
      <c r="J1367" s="604">
        <v>2009</v>
      </c>
      <c r="K1367" s="604" t="s">
        <v>451</v>
      </c>
      <c r="L1367" s="604" t="s">
        <v>458</v>
      </c>
      <c r="M1367" s="604">
        <v>5</v>
      </c>
      <c r="N1367" s="604">
        <v>5</v>
      </c>
      <c r="O1367" s="604" t="s">
        <v>119</v>
      </c>
      <c r="P1367" s="604" t="s">
        <v>483</v>
      </c>
      <c r="Q1367" s="499"/>
      <c r="Y1367" s="535" t="str">
        <f t="shared" si="151"/>
        <v>2016ageeth30-34European or Otherinfant</v>
      </c>
      <c r="Z1367" s="604">
        <v>2016</v>
      </c>
      <c r="AA1367" s="604" t="s">
        <v>453</v>
      </c>
      <c r="AB1367" s="604" t="s">
        <v>449</v>
      </c>
      <c r="AC1367" s="604" t="s">
        <v>132</v>
      </c>
      <c r="AD1367" s="604" t="s">
        <v>356</v>
      </c>
      <c r="AE1367" s="604">
        <v>28</v>
      </c>
      <c r="AF1367" s="604">
        <v>9329</v>
      </c>
      <c r="AG1367" s="604">
        <v>3</v>
      </c>
      <c r="AH1367" s="604" t="s">
        <v>437</v>
      </c>
      <c r="BY1367" s="553" t="str">
        <f t="shared" si="152"/>
        <v>2004Hawke's BaydhbSUDI</v>
      </c>
      <c r="BZ1367" s="604">
        <v>2004</v>
      </c>
      <c r="CA1367" s="604" t="s">
        <v>92</v>
      </c>
      <c r="CB1367" s="604" t="s">
        <v>448</v>
      </c>
      <c r="CC1367" s="604">
        <v>1</v>
      </c>
      <c r="CD1367" s="604" t="s">
        <v>33</v>
      </c>
    </row>
    <row r="1368" spans="9:82">
      <c r="I1368" s="578" t="str">
        <f t="shared" si="150"/>
        <v>2010sexMalePeri</v>
      </c>
      <c r="J1368" s="604">
        <v>2010</v>
      </c>
      <c r="K1368" s="604" t="s">
        <v>451</v>
      </c>
      <c r="L1368" s="604" t="s">
        <v>70</v>
      </c>
      <c r="M1368" s="604">
        <v>346</v>
      </c>
      <c r="N1368" s="604">
        <v>33553</v>
      </c>
      <c r="O1368" s="604">
        <v>10.3</v>
      </c>
      <c r="P1368" s="604" t="s">
        <v>483</v>
      </c>
      <c r="Q1368" s="499"/>
      <c r="Y1368" s="535" t="str">
        <f t="shared" si="151"/>
        <v>2016ageeth35-39European or Otherinfant</v>
      </c>
      <c r="Z1368" s="604">
        <v>2016</v>
      </c>
      <c r="AA1368" s="604" t="s">
        <v>453</v>
      </c>
      <c r="AB1368" s="604" t="s">
        <v>449</v>
      </c>
      <c r="AC1368" s="604" t="s">
        <v>133</v>
      </c>
      <c r="AD1368" s="604" t="s">
        <v>356</v>
      </c>
      <c r="AE1368" s="604">
        <v>9</v>
      </c>
      <c r="AF1368" s="604">
        <v>5567</v>
      </c>
      <c r="AG1368" s="604">
        <v>1.6</v>
      </c>
      <c r="AH1368" s="604" t="s">
        <v>437</v>
      </c>
      <c r="BY1368" s="553" t="str">
        <f t="shared" si="152"/>
        <v>2004TaranakidhbSUDI</v>
      </c>
      <c r="BZ1368" s="604">
        <v>2004</v>
      </c>
      <c r="CA1368" s="604" t="s">
        <v>93</v>
      </c>
      <c r="CB1368" s="604" t="s">
        <v>448</v>
      </c>
      <c r="CC1368" s="604">
        <v>2</v>
      </c>
      <c r="CD1368" s="604" t="s">
        <v>33</v>
      </c>
    </row>
    <row r="1369" spans="9:82">
      <c r="I1369" s="578" t="str">
        <f t="shared" si="150"/>
        <v>2010sexFemalePeri</v>
      </c>
      <c r="J1369" s="604">
        <v>2010</v>
      </c>
      <c r="K1369" s="604" t="s">
        <v>451</v>
      </c>
      <c r="L1369" s="604" t="s">
        <v>71</v>
      </c>
      <c r="M1369" s="604">
        <v>312</v>
      </c>
      <c r="N1369" s="604">
        <v>31612</v>
      </c>
      <c r="O1369" s="604">
        <v>9.9</v>
      </c>
      <c r="P1369" s="604" t="s">
        <v>483</v>
      </c>
      <c r="Q1369" s="499"/>
      <c r="Y1369" s="535" t="str">
        <f t="shared" si="151"/>
        <v>2016ageeth40+European or Otherinfant</v>
      </c>
      <c r="Z1369" s="604">
        <v>2016</v>
      </c>
      <c r="AA1369" s="604" t="s">
        <v>453</v>
      </c>
      <c r="AB1369" s="604" t="s">
        <v>449</v>
      </c>
      <c r="AC1369" s="604" t="s">
        <v>134</v>
      </c>
      <c r="AD1369" s="604" t="s">
        <v>356</v>
      </c>
      <c r="AE1369" s="604">
        <v>8</v>
      </c>
      <c r="AF1369" s="604">
        <v>1357</v>
      </c>
      <c r="AG1369" s="604">
        <v>5.9</v>
      </c>
      <c r="AH1369" s="604" t="s">
        <v>437</v>
      </c>
      <c r="BY1369" s="553" t="str">
        <f t="shared" si="152"/>
        <v>2004MidCentraldhbSUDI</v>
      </c>
      <c r="BZ1369" s="604">
        <v>2004</v>
      </c>
      <c r="CA1369" s="604" t="s">
        <v>94</v>
      </c>
      <c r="CB1369" s="604" t="s">
        <v>448</v>
      </c>
      <c r="CC1369" s="604">
        <v>2</v>
      </c>
      <c r="CD1369" s="604" t="s">
        <v>33</v>
      </c>
    </row>
    <row r="1370" spans="9:82">
      <c r="I1370" s="578" t="str">
        <f t="shared" si="150"/>
        <v>2010sexInd/UnkPeri</v>
      </c>
      <c r="J1370" s="604">
        <v>2010</v>
      </c>
      <c r="K1370" s="604" t="s">
        <v>451</v>
      </c>
      <c r="L1370" s="604" t="s">
        <v>458</v>
      </c>
      <c r="M1370" s="604">
        <v>3</v>
      </c>
      <c r="N1370" s="604">
        <v>3</v>
      </c>
      <c r="O1370" s="604" t="s">
        <v>119</v>
      </c>
      <c r="P1370" s="604" t="s">
        <v>483</v>
      </c>
      <c r="Q1370" s="499"/>
      <c r="Y1370" s="535" t="str">
        <f t="shared" si="151"/>
        <v>2016sexethMaleMaoriinfant</v>
      </c>
      <c r="Z1370" s="604">
        <v>2016</v>
      </c>
      <c r="AA1370" s="604" t="s">
        <v>451</v>
      </c>
      <c r="AB1370" s="604" t="s">
        <v>449</v>
      </c>
      <c r="AC1370" s="604" t="s">
        <v>70</v>
      </c>
      <c r="AD1370" s="604" t="s">
        <v>129</v>
      </c>
      <c r="AE1370" s="604">
        <v>53</v>
      </c>
      <c r="AF1370" s="604">
        <v>8885</v>
      </c>
      <c r="AG1370" s="604">
        <v>6</v>
      </c>
      <c r="AH1370" s="604" t="s">
        <v>437</v>
      </c>
      <c r="BY1370" s="553" t="str">
        <f t="shared" si="152"/>
        <v>2004WhanganuidhbSUDI</v>
      </c>
      <c r="BZ1370" s="604">
        <v>2004</v>
      </c>
      <c r="CA1370" s="604" t="s">
        <v>95</v>
      </c>
      <c r="CB1370" s="604" t="s">
        <v>448</v>
      </c>
      <c r="CC1370" s="604">
        <v>1</v>
      </c>
      <c r="CD1370" s="604" t="s">
        <v>33</v>
      </c>
    </row>
    <row r="1371" spans="9:82">
      <c r="I1371" s="578" t="str">
        <f t="shared" si="150"/>
        <v>2011sexMalePeri</v>
      </c>
      <c r="J1371" s="604">
        <v>2011</v>
      </c>
      <c r="K1371" s="604" t="s">
        <v>451</v>
      </c>
      <c r="L1371" s="604" t="s">
        <v>70</v>
      </c>
      <c r="M1371" s="604">
        <v>318</v>
      </c>
      <c r="N1371" s="604">
        <v>32124</v>
      </c>
      <c r="O1371" s="604">
        <v>9.9</v>
      </c>
      <c r="P1371" s="604" t="s">
        <v>483</v>
      </c>
      <c r="Q1371" s="499"/>
      <c r="Y1371" s="535" t="str">
        <f t="shared" si="151"/>
        <v>2016sexethFemaleMaoriinfant</v>
      </c>
      <c r="Z1371" s="604">
        <v>2016</v>
      </c>
      <c r="AA1371" s="604" t="s">
        <v>451</v>
      </c>
      <c r="AB1371" s="604" t="s">
        <v>449</v>
      </c>
      <c r="AC1371" s="604" t="s">
        <v>71</v>
      </c>
      <c r="AD1371" s="604" t="s">
        <v>129</v>
      </c>
      <c r="AE1371" s="604">
        <v>50</v>
      </c>
      <c r="AF1371" s="604">
        <v>8444</v>
      </c>
      <c r="AG1371" s="604">
        <v>5.9</v>
      </c>
      <c r="AH1371" s="604" t="s">
        <v>437</v>
      </c>
      <c r="BY1371" s="553" t="str">
        <f t="shared" si="152"/>
        <v>2004Capital &amp; CoastdhbSUDI</v>
      </c>
      <c r="BZ1371" s="604">
        <v>2004</v>
      </c>
      <c r="CA1371" s="604" t="s">
        <v>96</v>
      </c>
      <c r="CB1371" s="604" t="s">
        <v>448</v>
      </c>
      <c r="CC1371" s="604">
        <v>5</v>
      </c>
      <c r="CD1371" s="604" t="s">
        <v>33</v>
      </c>
    </row>
    <row r="1372" spans="9:82">
      <c r="I1372" s="578" t="str">
        <f t="shared" si="150"/>
        <v>2011sexFemalePeri</v>
      </c>
      <c r="J1372" s="604">
        <v>2011</v>
      </c>
      <c r="K1372" s="604" t="s">
        <v>451</v>
      </c>
      <c r="L1372" s="604" t="s">
        <v>71</v>
      </c>
      <c r="M1372" s="604">
        <v>300</v>
      </c>
      <c r="N1372" s="604">
        <v>30497</v>
      </c>
      <c r="O1372" s="604">
        <v>9.8000000000000007</v>
      </c>
      <c r="P1372" s="604" t="s">
        <v>483</v>
      </c>
      <c r="Q1372" s="499"/>
      <c r="Y1372" s="535" t="str">
        <f t="shared" si="151"/>
        <v>2016sexethMalePacific peoplesinfant</v>
      </c>
      <c r="Z1372" s="604">
        <v>2016</v>
      </c>
      <c r="AA1372" s="604" t="s">
        <v>451</v>
      </c>
      <c r="AB1372" s="604" t="s">
        <v>449</v>
      </c>
      <c r="AC1372" s="604" t="s">
        <v>70</v>
      </c>
      <c r="AD1372" s="604" t="s">
        <v>320</v>
      </c>
      <c r="AE1372" s="604">
        <v>22</v>
      </c>
      <c r="AF1372" s="604">
        <v>3092</v>
      </c>
      <c r="AG1372" s="604">
        <v>7.1</v>
      </c>
      <c r="AH1372" s="604" t="s">
        <v>437</v>
      </c>
      <c r="BY1372" s="553" t="str">
        <f t="shared" si="152"/>
        <v>2004Hutt ValleydhbSUDI</v>
      </c>
      <c r="BZ1372" s="604">
        <v>2004</v>
      </c>
      <c r="CA1372" s="604" t="s">
        <v>97</v>
      </c>
      <c r="CB1372" s="604" t="s">
        <v>448</v>
      </c>
      <c r="CC1372" s="604">
        <v>3</v>
      </c>
      <c r="CD1372" s="604" t="s">
        <v>33</v>
      </c>
    </row>
    <row r="1373" spans="9:82">
      <c r="I1373" s="578" t="str">
        <f t="shared" si="150"/>
        <v>2011sexInd/UnkPeri</v>
      </c>
      <c r="J1373" s="604">
        <v>2011</v>
      </c>
      <c r="K1373" s="604" t="s">
        <v>451</v>
      </c>
      <c r="L1373" s="604" t="s">
        <v>458</v>
      </c>
      <c r="M1373" s="604">
        <v>4</v>
      </c>
      <c r="N1373" s="604">
        <v>4</v>
      </c>
      <c r="O1373" s="604" t="s">
        <v>119</v>
      </c>
      <c r="P1373" s="604" t="s">
        <v>483</v>
      </c>
      <c r="Q1373" s="499"/>
      <c r="Y1373" s="535" t="str">
        <f t="shared" si="151"/>
        <v>2016sexethFemalePacific peoplesinfant</v>
      </c>
      <c r="Z1373" s="604">
        <v>2016</v>
      </c>
      <c r="AA1373" s="604" t="s">
        <v>451</v>
      </c>
      <c r="AB1373" s="604" t="s">
        <v>449</v>
      </c>
      <c r="AC1373" s="604" t="s">
        <v>71</v>
      </c>
      <c r="AD1373" s="604" t="s">
        <v>320</v>
      </c>
      <c r="AE1373" s="604">
        <v>15</v>
      </c>
      <c r="AF1373" s="604">
        <v>2884</v>
      </c>
      <c r="AG1373" s="604">
        <v>5.2</v>
      </c>
      <c r="AH1373" s="604" t="s">
        <v>437</v>
      </c>
      <c r="BY1373" s="553" t="str">
        <f t="shared" si="152"/>
        <v>2004WairarapadhbSUDI</v>
      </c>
      <c r="BZ1373" s="604">
        <v>2004</v>
      </c>
      <c r="CA1373" s="604" t="s">
        <v>98</v>
      </c>
      <c r="CB1373" s="604" t="s">
        <v>448</v>
      </c>
      <c r="CC1373" s="604">
        <v>0</v>
      </c>
      <c r="CD1373" s="604" t="s">
        <v>33</v>
      </c>
    </row>
    <row r="1374" spans="9:82">
      <c r="I1374" s="578" t="str">
        <f t="shared" si="150"/>
        <v>2012sexMalePeri</v>
      </c>
      <c r="J1374" s="604">
        <v>2012</v>
      </c>
      <c r="K1374" s="604" t="s">
        <v>451</v>
      </c>
      <c r="L1374" s="604" t="s">
        <v>70</v>
      </c>
      <c r="M1374" s="604">
        <v>311</v>
      </c>
      <c r="N1374" s="604">
        <v>31922</v>
      </c>
      <c r="O1374" s="604">
        <v>9.6999999999999993</v>
      </c>
      <c r="P1374" s="604" t="s">
        <v>483</v>
      </c>
      <c r="Q1374" s="499"/>
      <c r="Y1374" s="535" t="str">
        <f t="shared" si="151"/>
        <v>2016sexethMaleAsianinfant</v>
      </c>
      <c r="Z1374" s="604">
        <v>2016</v>
      </c>
      <c r="AA1374" s="604" t="s">
        <v>451</v>
      </c>
      <c r="AB1374" s="604" t="s">
        <v>449</v>
      </c>
      <c r="AC1374" s="604" t="s">
        <v>70</v>
      </c>
      <c r="AD1374" s="604" t="s">
        <v>355</v>
      </c>
      <c r="AE1374" s="604">
        <v>12</v>
      </c>
      <c r="AF1374" s="604">
        <v>5588</v>
      </c>
      <c r="AG1374" s="604">
        <v>2.1</v>
      </c>
      <c r="AH1374" s="604" t="s">
        <v>437</v>
      </c>
      <c r="BY1374" s="553" t="str">
        <f t="shared" si="152"/>
        <v>2004Nelson MarlboroughdhbSUDI</v>
      </c>
      <c r="BZ1374" s="604">
        <v>2004</v>
      </c>
      <c r="CA1374" s="604" t="s">
        <v>99</v>
      </c>
      <c r="CB1374" s="604" t="s">
        <v>448</v>
      </c>
      <c r="CC1374" s="604">
        <v>0</v>
      </c>
      <c r="CD1374" s="604" t="s">
        <v>33</v>
      </c>
    </row>
    <row r="1375" spans="9:82">
      <c r="I1375" s="578" t="str">
        <f t="shared" si="150"/>
        <v>2012sexFemalePeri</v>
      </c>
      <c r="J1375" s="604">
        <v>2012</v>
      </c>
      <c r="K1375" s="604" t="s">
        <v>451</v>
      </c>
      <c r="L1375" s="604" t="s">
        <v>71</v>
      </c>
      <c r="M1375" s="604">
        <v>288</v>
      </c>
      <c r="N1375" s="604">
        <v>30552</v>
      </c>
      <c r="O1375" s="604">
        <v>9.4</v>
      </c>
      <c r="P1375" s="604" t="s">
        <v>483</v>
      </c>
      <c r="Q1375" s="499"/>
      <c r="Y1375" s="535" t="str">
        <f t="shared" si="151"/>
        <v>2016sexethFemaleAsianinfant</v>
      </c>
      <c r="Z1375" s="604">
        <v>2016</v>
      </c>
      <c r="AA1375" s="604" t="s">
        <v>451</v>
      </c>
      <c r="AB1375" s="604" t="s">
        <v>449</v>
      </c>
      <c r="AC1375" s="604" t="s">
        <v>71</v>
      </c>
      <c r="AD1375" s="604" t="s">
        <v>355</v>
      </c>
      <c r="AE1375" s="604">
        <v>15</v>
      </c>
      <c r="AF1375" s="604">
        <v>5314</v>
      </c>
      <c r="AG1375" s="604">
        <v>2.8</v>
      </c>
      <c r="AH1375" s="604" t="s">
        <v>437</v>
      </c>
      <c r="BY1375" s="553" t="str">
        <f t="shared" si="152"/>
        <v>2004West CoastdhbSUDI</v>
      </c>
      <c r="BZ1375" s="604">
        <v>2004</v>
      </c>
      <c r="CA1375" s="604" t="s">
        <v>100</v>
      </c>
      <c r="CB1375" s="604" t="s">
        <v>448</v>
      </c>
      <c r="CC1375" s="604">
        <v>0</v>
      </c>
      <c r="CD1375" s="604" t="s">
        <v>33</v>
      </c>
    </row>
    <row r="1376" spans="9:82">
      <c r="I1376" s="578" t="str">
        <f t="shared" si="150"/>
        <v>2012sexInd/UnkPeri</v>
      </c>
      <c r="J1376" s="604">
        <v>2012</v>
      </c>
      <c r="K1376" s="604" t="s">
        <v>451</v>
      </c>
      <c r="L1376" s="604" t="s">
        <v>458</v>
      </c>
      <c r="M1376" s="604">
        <v>9</v>
      </c>
      <c r="N1376" s="604">
        <v>9</v>
      </c>
      <c r="O1376" s="604" t="s">
        <v>119</v>
      </c>
      <c r="P1376" s="604" t="s">
        <v>483</v>
      </c>
      <c r="Q1376" s="499"/>
      <c r="Y1376" s="535" t="str">
        <f t="shared" si="151"/>
        <v>2016sexethMaleEuropean or Otherinfant</v>
      </c>
      <c r="Z1376" s="604">
        <v>2016</v>
      </c>
      <c r="AA1376" s="604" t="s">
        <v>451</v>
      </c>
      <c r="AB1376" s="604" t="s">
        <v>449</v>
      </c>
      <c r="AC1376" s="604" t="s">
        <v>70</v>
      </c>
      <c r="AD1376" s="604" t="s">
        <v>356</v>
      </c>
      <c r="AE1376" s="604">
        <v>40</v>
      </c>
      <c r="AF1376" s="604">
        <v>13444</v>
      </c>
      <c r="AG1376" s="604">
        <v>3</v>
      </c>
      <c r="AH1376" s="604" t="s">
        <v>437</v>
      </c>
      <c r="BY1376" s="553" t="str">
        <f t="shared" si="152"/>
        <v>2004CanterburydhbSUDI</v>
      </c>
      <c r="BZ1376" s="604">
        <v>2004</v>
      </c>
      <c r="CA1376" s="604" t="s">
        <v>101</v>
      </c>
      <c r="CB1376" s="604" t="s">
        <v>448</v>
      </c>
      <c r="CC1376" s="604">
        <v>1</v>
      </c>
      <c r="CD1376" s="604" t="s">
        <v>33</v>
      </c>
    </row>
    <row r="1377" spans="9:82">
      <c r="I1377" s="578" t="str">
        <f t="shared" si="150"/>
        <v>2013sexMalePeri</v>
      </c>
      <c r="J1377" s="604">
        <v>2013</v>
      </c>
      <c r="K1377" s="604" t="s">
        <v>451</v>
      </c>
      <c r="L1377" s="604" t="s">
        <v>70</v>
      </c>
      <c r="M1377" s="604">
        <v>299</v>
      </c>
      <c r="N1377" s="604">
        <v>30826</v>
      </c>
      <c r="O1377" s="604">
        <v>9.6999999999999993</v>
      </c>
      <c r="P1377" s="604" t="s">
        <v>483</v>
      </c>
      <c r="Q1377" s="499"/>
      <c r="Y1377" s="535" t="str">
        <f t="shared" si="151"/>
        <v>2016sexethFemaleEuropean or Otherinfant</v>
      </c>
      <c r="Z1377" s="604">
        <v>2016</v>
      </c>
      <c r="AA1377" s="604" t="s">
        <v>451</v>
      </c>
      <c r="AB1377" s="604" t="s">
        <v>449</v>
      </c>
      <c r="AC1377" s="604" t="s">
        <v>71</v>
      </c>
      <c r="AD1377" s="604" t="s">
        <v>356</v>
      </c>
      <c r="AE1377" s="604">
        <v>34</v>
      </c>
      <c r="AF1377" s="604">
        <v>12785</v>
      </c>
      <c r="AG1377" s="604">
        <v>2.7</v>
      </c>
      <c r="AH1377" s="604" t="s">
        <v>437</v>
      </c>
      <c r="BY1377" s="553" t="str">
        <f t="shared" si="152"/>
        <v>2004South CanterburydhbSUDI</v>
      </c>
      <c r="BZ1377" s="604">
        <v>2004</v>
      </c>
      <c r="CA1377" s="604" t="s">
        <v>102</v>
      </c>
      <c r="CB1377" s="604" t="s">
        <v>448</v>
      </c>
      <c r="CC1377" s="604">
        <v>0</v>
      </c>
      <c r="CD1377" s="604" t="s">
        <v>33</v>
      </c>
    </row>
    <row r="1378" spans="9:82">
      <c r="I1378" s="578" t="str">
        <f t="shared" si="150"/>
        <v>2013sexFemalePeri</v>
      </c>
      <c r="J1378" s="604">
        <v>2013</v>
      </c>
      <c r="K1378" s="604" t="s">
        <v>451</v>
      </c>
      <c r="L1378" s="604" t="s">
        <v>71</v>
      </c>
      <c r="M1378" s="604">
        <v>253</v>
      </c>
      <c r="N1378" s="604">
        <v>29261</v>
      </c>
      <c r="O1378" s="604">
        <v>8.6</v>
      </c>
      <c r="P1378" s="604" t="s">
        <v>483</v>
      </c>
      <c r="Q1378" s="499"/>
      <c r="Y1378" s="535" t="str">
        <f t="shared" si="151"/>
        <v>2016bwteth&lt;500Maoriinfant</v>
      </c>
      <c r="Z1378" s="604">
        <v>2016</v>
      </c>
      <c r="AA1378" s="604" t="s">
        <v>447</v>
      </c>
      <c r="AB1378" s="604" t="s">
        <v>449</v>
      </c>
      <c r="AC1378" s="604" t="s">
        <v>427</v>
      </c>
      <c r="AD1378" s="604" t="s">
        <v>129</v>
      </c>
      <c r="AE1378" s="604">
        <v>13</v>
      </c>
      <c r="AF1378" s="604">
        <v>14</v>
      </c>
      <c r="AG1378" s="604">
        <v>928.6</v>
      </c>
      <c r="AH1378" s="604" t="s">
        <v>437</v>
      </c>
      <c r="BY1378" s="553" t="str">
        <f t="shared" si="152"/>
        <v>2004SoutherndhbSUDI</v>
      </c>
      <c r="BZ1378" s="604">
        <v>2004</v>
      </c>
      <c r="CA1378" s="604" t="s">
        <v>103</v>
      </c>
      <c r="CB1378" s="604" t="s">
        <v>448</v>
      </c>
      <c r="CC1378" s="604">
        <v>3</v>
      </c>
      <c r="CD1378" s="604" t="s">
        <v>33</v>
      </c>
    </row>
    <row r="1379" spans="9:82">
      <c r="I1379" s="578" t="str">
        <f t="shared" si="150"/>
        <v>2013sexInd/UnkPeri</v>
      </c>
      <c r="J1379" s="604">
        <v>2013</v>
      </c>
      <c r="K1379" s="604" t="s">
        <v>451</v>
      </c>
      <c r="L1379" s="604" t="s">
        <v>458</v>
      </c>
      <c r="M1379" s="604">
        <v>7</v>
      </c>
      <c r="N1379" s="604">
        <v>7</v>
      </c>
      <c r="O1379" s="604" t="s">
        <v>119</v>
      </c>
      <c r="P1379" s="604" t="s">
        <v>483</v>
      </c>
      <c r="Q1379" s="499"/>
      <c r="Y1379" s="535" t="str">
        <f t="shared" si="151"/>
        <v>2016bwteth500-999Maoriinfant</v>
      </c>
      <c r="Z1379" s="604">
        <v>2016</v>
      </c>
      <c r="AA1379" s="604" t="s">
        <v>447</v>
      </c>
      <c r="AB1379" s="604" t="s">
        <v>449</v>
      </c>
      <c r="AC1379" s="604" t="s">
        <v>428</v>
      </c>
      <c r="AD1379" s="604" t="s">
        <v>129</v>
      </c>
      <c r="AE1379" s="604">
        <v>20</v>
      </c>
      <c r="AF1379" s="604">
        <v>65</v>
      </c>
      <c r="AG1379" s="604">
        <v>307.7</v>
      </c>
      <c r="AH1379" s="604" t="s">
        <v>437</v>
      </c>
      <c r="BY1379" s="553" t="str">
        <f t="shared" si="152"/>
        <v>2004UnknowndhbSUDI</v>
      </c>
      <c r="BZ1379" s="604">
        <v>2004</v>
      </c>
      <c r="CA1379" s="604" t="s">
        <v>63</v>
      </c>
      <c r="CB1379" s="604" t="s">
        <v>448</v>
      </c>
      <c r="CC1379" s="604">
        <v>0</v>
      </c>
      <c r="CD1379" s="604" t="s">
        <v>33</v>
      </c>
    </row>
    <row r="1380" spans="9:82">
      <c r="I1380" s="578" t="str">
        <f t="shared" si="150"/>
        <v>2014sexMalePeri</v>
      </c>
      <c r="J1380" s="604">
        <v>2014</v>
      </c>
      <c r="K1380" s="604" t="s">
        <v>451</v>
      </c>
      <c r="L1380" s="604" t="s">
        <v>70</v>
      </c>
      <c r="M1380" s="604">
        <v>350</v>
      </c>
      <c r="N1380" s="604">
        <v>30378</v>
      </c>
      <c r="O1380" s="604">
        <v>11.5</v>
      </c>
      <c r="P1380" s="604" t="s">
        <v>483</v>
      </c>
      <c r="Q1380" s="499"/>
      <c r="Y1380" s="535" t="str">
        <f t="shared" si="151"/>
        <v>2016bwteth1000-1499Maoriinfant</v>
      </c>
      <c r="Z1380" s="604">
        <v>2016</v>
      </c>
      <c r="AA1380" s="604" t="s">
        <v>447</v>
      </c>
      <c r="AB1380" s="604" t="s">
        <v>449</v>
      </c>
      <c r="AC1380" s="604" t="s">
        <v>429</v>
      </c>
      <c r="AD1380" s="604" t="s">
        <v>129</v>
      </c>
      <c r="AE1380" s="604">
        <v>4</v>
      </c>
      <c r="AF1380" s="604">
        <v>119</v>
      </c>
      <c r="AG1380" s="604">
        <v>33.6</v>
      </c>
      <c r="AH1380" s="604" t="s">
        <v>437</v>
      </c>
      <c r="BY1380" s="553" t="str">
        <f t="shared" si="152"/>
        <v>2005NorthlanddhbSUDI</v>
      </c>
      <c r="BZ1380" s="604">
        <v>2005</v>
      </c>
      <c r="CA1380" s="604" t="s">
        <v>85</v>
      </c>
      <c r="CB1380" s="604" t="s">
        <v>448</v>
      </c>
      <c r="CC1380" s="604">
        <v>5</v>
      </c>
      <c r="CD1380" s="604" t="s">
        <v>33</v>
      </c>
    </row>
    <row r="1381" spans="9:82">
      <c r="I1381" s="578" t="str">
        <f t="shared" si="150"/>
        <v>2014sexFemalePeri</v>
      </c>
      <c r="J1381" s="604">
        <v>2014</v>
      </c>
      <c r="K1381" s="604" t="s">
        <v>451</v>
      </c>
      <c r="L1381" s="604" t="s">
        <v>71</v>
      </c>
      <c r="M1381" s="604">
        <v>292</v>
      </c>
      <c r="N1381" s="604">
        <v>28341</v>
      </c>
      <c r="O1381" s="604">
        <v>10.3</v>
      </c>
      <c r="P1381" s="604" t="s">
        <v>483</v>
      </c>
      <c r="Q1381" s="499"/>
      <c r="Y1381" s="535" t="str">
        <f t="shared" si="151"/>
        <v>2016bwteth1500-2499Maoriinfant</v>
      </c>
      <c r="Z1381" s="604">
        <v>2016</v>
      </c>
      <c r="AA1381" s="604" t="s">
        <v>447</v>
      </c>
      <c r="AB1381" s="604" t="s">
        <v>449</v>
      </c>
      <c r="AC1381" s="604" t="s">
        <v>430</v>
      </c>
      <c r="AD1381" s="604" t="s">
        <v>129</v>
      </c>
      <c r="AE1381" s="604">
        <v>15</v>
      </c>
      <c r="AF1381" s="604">
        <v>933</v>
      </c>
      <c r="AG1381" s="604">
        <v>16.100000000000001</v>
      </c>
      <c r="AH1381" s="604" t="s">
        <v>437</v>
      </c>
      <c r="BY1381" s="553" t="str">
        <f t="shared" si="152"/>
        <v>2005WaitematadhbSUDI</v>
      </c>
      <c r="BZ1381" s="604">
        <v>2005</v>
      </c>
      <c r="CA1381" s="604" t="s">
        <v>86</v>
      </c>
      <c r="CB1381" s="604" t="s">
        <v>448</v>
      </c>
      <c r="CC1381" s="604">
        <v>6</v>
      </c>
      <c r="CD1381" s="604" t="s">
        <v>33</v>
      </c>
    </row>
    <row r="1382" spans="9:82">
      <c r="I1382" s="578" t="str">
        <f t="shared" si="150"/>
        <v>2014sexInd/UnkPeri</v>
      </c>
      <c r="J1382" s="604">
        <v>2014</v>
      </c>
      <c r="K1382" s="604" t="s">
        <v>451</v>
      </c>
      <c r="L1382" s="604" t="s">
        <v>458</v>
      </c>
      <c r="M1382" s="604">
        <v>13</v>
      </c>
      <c r="N1382" s="604">
        <v>13</v>
      </c>
      <c r="O1382" s="604" t="s">
        <v>119</v>
      </c>
      <c r="P1382" s="604" t="s">
        <v>483</v>
      </c>
      <c r="Q1382" s="499"/>
      <c r="Y1382" s="535" t="str">
        <f t="shared" si="151"/>
        <v>2016bwteth2500-4499Maoriinfant</v>
      </c>
      <c r="Z1382" s="604">
        <v>2016</v>
      </c>
      <c r="AA1382" s="604" t="s">
        <v>447</v>
      </c>
      <c r="AB1382" s="604" t="s">
        <v>449</v>
      </c>
      <c r="AC1382" s="604" t="s">
        <v>431</v>
      </c>
      <c r="AD1382" s="604" t="s">
        <v>129</v>
      </c>
      <c r="AE1382" s="604">
        <v>47</v>
      </c>
      <c r="AF1382" s="604">
        <v>15761</v>
      </c>
      <c r="AG1382" s="604">
        <v>3</v>
      </c>
      <c r="AH1382" s="604" t="s">
        <v>437</v>
      </c>
      <c r="BY1382" s="553" t="str">
        <f t="shared" si="152"/>
        <v>2005AucklanddhbSUDI</v>
      </c>
      <c r="BZ1382" s="604">
        <v>2005</v>
      </c>
      <c r="CA1382" s="604" t="s">
        <v>87</v>
      </c>
      <c r="CB1382" s="604" t="s">
        <v>448</v>
      </c>
      <c r="CC1382" s="604">
        <v>3</v>
      </c>
      <c r="CD1382" s="604" t="s">
        <v>33</v>
      </c>
    </row>
    <row r="1383" spans="9:82">
      <c r="I1383" s="578" t="str">
        <f t="shared" si="150"/>
        <v>2015sexMalePeri</v>
      </c>
      <c r="J1383" s="604">
        <v>2015</v>
      </c>
      <c r="K1383" s="604" t="s">
        <v>451</v>
      </c>
      <c r="L1383" s="604" t="s">
        <v>70</v>
      </c>
      <c r="M1383" s="604">
        <v>261</v>
      </c>
      <c r="N1383" s="604">
        <v>32106</v>
      </c>
      <c r="O1383" s="604">
        <v>8.1</v>
      </c>
      <c r="P1383" s="604" t="s">
        <v>483</v>
      </c>
      <c r="Q1383" s="499"/>
      <c r="Y1383" s="535" t="str">
        <f t="shared" si="151"/>
        <v>2016bwteth4500+Maoriinfant</v>
      </c>
      <c r="Z1383" s="604">
        <v>2016</v>
      </c>
      <c r="AA1383" s="604" t="s">
        <v>447</v>
      </c>
      <c r="AB1383" s="604" t="s">
        <v>449</v>
      </c>
      <c r="AC1383" s="604" t="s">
        <v>432</v>
      </c>
      <c r="AD1383" s="604" t="s">
        <v>129</v>
      </c>
      <c r="AE1383" s="604">
        <v>0</v>
      </c>
      <c r="AF1383" s="604">
        <v>426</v>
      </c>
      <c r="AG1383" s="604">
        <v>0</v>
      </c>
      <c r="AH1383" s="604" t="s">
        <v>437</v>
      </c>
      <c r="BY1383" s="553" t="str">
        <f t="shared" si="152"/>
        <v>2005Counties ManukaudhbSUDI</v>
      </c>
      <c r="BZ1383" s="604">
        <v>2005</v>
      </c>
      <c r="CA1383" s="604" t="s">
        <v>88</v>
      </c>
      <c r="CB1383" s="604" t="s">
        <v>448</v>
      </c>
      <c r="CC1383" s="604">
        <v>11</v>
      </c>
      <c r="CD1383" s="604" t="s">
        <v>33</v>
      </c>
    </row>
    <row r="1384" spans="9:82">
      <c r="I1384" s="578" t="str">
        <f t="shared" si="150"/>
        <v>2015sexFemalePeri</v>
      </c>
      <c r="J1384" s="604">
        <v>2015</v>
      </c>
      <c r="K1384" s="604" t="s">
        <v>451</v>
      </c>
      <c r="L1384" s="604" t="s">
        <v>71</v>
      </c>
      <c r="M1384" s="604">
        <v>258</v>
      </c>
      <c r="N1384" s="604">
        <v>30391</v>
      </c>
      <c r="O1384" s="604">
        <v>8.5</v>
      </c>
      <c r="P1384" s="604" t="s">
        <v>483</v>
      </c>
      <c r="Q1384" s="499"/>
      <c r="Y1384" s="535" t="str">
        <f t="shared" si="151"/>
        <v>2016bwtethUnknownMaoriinfant</v>
      </c>
      <c r="Z1384" s="604">
        <v>2016</v>
      </c>
      <c r="AA1384" s="604" t="s">
        <v>447</v>
      </c>
      <c r="AB1384" s="604" t="s">
        <v>449</v>
      </c>
      <c r="AC1384" s="604" t="s">
        <v>63</v>
      </c>
      <c r="AD1384" s="604" t="s">
        <v>129</v>
      </c>
      <c r="AE1384" s="604">
        <v>4</v>
      </c>
      <c r="AF1384" s="604">
        <v>11</v>
      </c>
      <c r="AG1384" s="604" t="s">
        <v>119</v>
      </c>
      <c r="AH1384" s="604" t="s">
        <v>437</v>
      </c>
      <c r="BY1384" s="553" t="str">
        <f t="shared" si="152"/>
        <v>2005WaikatodhbSUDI</v>
      </c>
      <c r="BZ1384" s="604">
        <v>2005</v>
      </c>
      <c r="CA1384" s="604" t="s">
        <v>89</v>
      </c>
      <c r="CB1384" s="604" t="s">
        <v>448</v>
      </c>
      <c r="CC1384" s="604">
        <v>4</v>
      </c>
      <c r="CD1384" s="604" t="s">
        <v>33</v>
      </c>
    </row>
    <row r="1385" spans="9:82">
      <c r="I1385" s="578" t="str">
        <f t="shared" si="150"/>
        <v>2015sexInd/UnkPeri</v>
      </c>
      <c r="J1385" s="604">
        <v>2015</v>
      </c>
      <c r="K1385" s="604" t="s">
        <v>451</v>
      </c>
      <c r="L1385" s="604" t="s">
        <v>458</v>
      </c>
      <c r="M1385" s="604">
        <v>9</v>
      </c>
      <c r="N1385" s="604">
        <v>9</v>
      </c>
      <c r="O1385" s="604" t="s">
        <v>119</v>
      </c>
      <c r="P1385" s="604" t="s">
        <v>483</v>
      </c>
      <c r="Q1385" s="499"/>
      <c r="Y1385" s="535" t="str">
        <f t="shared" si="151"/>
        <v>2016bwteth&lt;500Pacific peoplesinfant</v>
      </c>
      <c r="Z1385" s="604">
        <v>2016</v>
      </c>
      <c r="AA1385" s="604" t="s">
        <v>447</v>
      </c>
      <c r="AB1385" s="604" t="s">
        <v>449</v>
      </c>
      <c r="AC1385" s="604" t="s">
        <v>427</v>
      </c>
      <c r="AD1385" s="604" t="s">
        <v>320</v>
      </c>
      <c r="AE1385" s="604">
        <v>6</v>
      </c>
      <c r="AF1385" s="604">
        <v>5</v>
      </c>
      <c r="AG1385" s="604" t="s">
        <v>119</v>
      </c>
      <c r="AH1385" s="604" t="s">
        <v>437</v>
      </c>
      <c r="BY1385" s="553" t="str">
        <f t="shared" si="152"/>
        <v>2005LakesdhbSUDI</v>
      </c>
      <c r="BZ1385" s="604">
        <v>2005</v>
      </c>
      <c r="CA1385" s="604" t="s">
        <v>90</v>
      </c>
      <c r="CB1385" s="604" t="s">
        <v>448</v>
      </c>
      <c r="CC1385" s="604">
        <v>1</v>
      </c>
      <c r="CD1385" s="604" t="s">
        <v>33</v>
      </c>
    </row>
    <row r="1386" spans="9:82">
      <c r="I1386" s="578" t="str">
        <f t="shared" si="150"/>
        <v>2016sexMalePeri</v>
      </c>
      <c r="J1386" s="604">
        <v>2016</v>
      </c>
      <c r="K1386" s="604" t="s">
        <v>451</v>
      </c>
      <c r="L1386" s="604" t="s">
        <v>70</v>
      </c>
      <c r="M1386" s="604">
        <v>283</v>
      </c>
      <c r="N1386" s="604">
        <v>31225</v>
      </c>
      <c r="O1386" s="604">
        <v>9.1</v>
      </c>
      <c r="P1386" s="604" t="s">
        <v>483</v>
      </c>
      <c r="Q1386" s="499"/>
      <c r="Y1386" s="535" t="str">
        <f t="shared" si="151"/>
        <v>2016bwteth500-999Pacific peoplesinfant</v>
      </c>
      <c r="Z1386" s="604">
        <v>2016</v>
      </c>
      <c r="AA1386" s="604" t="s">
        <v>447</v>
      </c>
      <c r="AB1386" s="604" t="s">
        <v>449</v>
      </c>
      <c r="AC1386" s="604" t="s">
        <v>428</v>
      </c>
      <c r="AD1386" s="604" t="s">
        <v>320</v>
      </c>
      <c r="AE1386" s="604">
        <v>9</v>
      </c>
      <c r="AF1386" s="604">
        <v>27</v>
      </c>
      <c r="AG1386" s="604">
        <v>333.3</v>
      </c>
      <c r="AH1386" s="604" t="s">
        <v>437</v>
      </c>
      <c r="BY1386" s="553" t="str">
        <f t="shared" si="152"/>
        <v>2005Bay of PlentydhbSUDI</v>
      </c>
      <c r="BZ1386" s="604">
        <v>2005</v>
      </c>
      <c r="CA1386" s="604" t="s">
        <v>91</v>
      </c>
      <c r="CB1386" s="604" t="s">
        <v>448</v>
      </c>
      <c r="CC1386" s="604">
        <v>2</v>
      </c>
      <c r="CD1386" s="604" t="s">
        <v>33</v>
      </c>
    </row>
    <row r="1387" spans="9:82">
      <c r="I1387" s="578" t="str">
        <f t="shared" si="150"/>
        <v>2016sexFemalePeri</v>
      </c>
      <c r="J1387" s="604">
        <v>2016</v>
      </c>
      <c r="K1387" s="604" t="s">
        <v>451</v>
      </c>
      <c r="L1387" s="604" t="s">
        <v>71</v>
      </c>
      <c r="M1387" s="604">
        <v>255</v>
      </c>
      <c r="N1387" s="604">
        <v>29616</v>
      </c>
      <c r="O1387" s="604">
        <v>8.6</v>
      </c>
      <c r="P1387" s="604" t="s">
        <v>483</v>
      </c>
      <c r="Q1387" s="499"/>
      <c r="Y1387" s="535" t="str">
        <f t="shared" si="151"/>
        <v>2016bwteth1000-1499Pacific peoplesinfant</v>
      </c>
      <c r="Z1387" s="604">
        <v>2016</v>
      </c>
      <c r="AA1387" s="604" t="s">
        <v>447</v>
      </c>
      <c r="AB1387" s="604" t="s">
        <v>449</v>
      </c>
      <c r="AC1387" s="604" t="s">
        <v>429</v>
      </c>
      <c r="AD1387" s="604" t="s">
        <v>320</v>
      </c>
      <c r="AE1387" s="604">
        <v>0</v>
      </c>
      <c r="AF1387" s="604">
        <v>22</v>
      </c>
      <c r="AG1387" s="604">
        <v>0</v>
      </c>
      <c r="AH1387" s="604" t="s">
        <v>437</v>
      </c>
      <c r="BY1387" s="553" t="str">
        <f t="shared" si="152"/>
        <v>2005TairawhitidhbSUDI</v>
      </c>
      <c r="BZ1387" s="604">
        <v>2005</v>
      </c>
      <c r="CA1387" s="604" t="s">
        <v>433</v>
      </c>
      <c r="CB1387" s="604" t="s">
        <v>448</v>
      </c>
      <c r="CC1387" s="604">
        <v>2</v>
      </c>
      <c r="CD1387" s="604" t="s">
        <v>33</v>
      </c>
    </row>
    <row r="1388" spans="9:82">
      <c r="I1388" s="578" t="str">
        <f t="shared" si="150"/>
        <v>2016sexInd/UnkPeri</v>
      </c>
      <c r="J1388" s="604">
        <v>2016</v>
      </c>
      <c r="K1388" s="604" t="s">
        <v>451</v>
      </c>
      <c r="L1388" s="604" t="s">
        <v>458</v>
      </c>
      <c r="M1388" s="604">
        <v>8</v>
      </c>
      <c r="N1388" s="604">
        <v>8</v>
      </c>
      <c r="O1388" s="604" t="s">
        <v>119</v>
      </c>
      <c r="P1388" s="604" t="s">
        <v>483</v>
      </c>
      <c r="Q1388" s="499"/>
      <c r="Y1388" s="535" t="str">
        <f t="shared" si="151"/>
        <v>2016bwteth1500-2499Pacific peoplesinfant</v>
      </c>
      <c r="Z1388" s="604">
        <v>2016</v>
      </c>
      <c r="AA1388" s="604" t="s">
        <v>447</v>
      </c>
      <c r="AB1388" s="604" t="s">
        <v>449</v>
      </c>
      <c r="AC1388" s="604" t="s">
        <v>430</v>
      </c>
      <c r="AD1388" s="604" t="s">
        <v>320</v>
      </c>
      <c r="AE1388" s="604">
        <v>9</v>
      </c>
      <c r="AF1388" s="604">
        <v>211</v>
      </c>
      <c r="AG1388" s="604">
        <v>42.7</v>
      </c>
      <c r="AH1388" s="604" t="s">
        <v>437</v>
      </c>
      <c r="BY1388" s="553" t="str">
        <f t="shared" si="152"/>
        <v>2005Hawke's BaydhbSUDI</v>
      </c>
      <c r="BZ1388" s="604">
        <v>2005</v>
      </c>
      <c r="CA1388" s="604" t="s">
        <v>92</v>
      </c>
      <c r="CB1388" s="604" t="s">
        <v>448</v>
      </c>
      <c r="CC1388" s="604">
        <v>2</v>
      </c>
      <c r="CD1388" s="604" t="s">
        <v>33</v>
      </c>
    </row>
    <row r="1389" spans="9:82">
      <c r="I1389" s="578" t="str">
        <f t="shared" si="150"/>
        <v>1996ethMaoriPeri</v>
      </c>
      <c r="J1389" s="604">
        <v>1996</v>
      </c>
      <c r="K1389" s="604" t="s">
        <v>449</v>
      </c>
      <c r="L1389" s="604" t="s">
        <v>129</v>
      </c>
      <c r="M1389" s="604">
        <v>167</v>
      </c>
      <c r="N1389" s="604">
        <v>16123</v>
      </c>
      <c r="O1389" s="604">
        <v>10.4</v>
      </c>
      <c r="P1389" s="604" t="s">
        <v>483</v>
      </c>
      <c r="Q1389" s="499"/>
      <c r="Y1389" s="535" t="str">
        <f t="shared" si="151"/>
        <v>2016bwteth2500-4499Pacific peoplesinfant</v>
      </c>
      <c r="Z1389" s="604">
        <v>2016</v>
      </c>
      <c r="AA1389" s="604" t="s">
        <v>447</v>
      </c>
      <c r="AB1389" s="604" t="s">
        <v>449</v>
      </c>
      <c r="AC1389" s="604" t="s">
        <v>431</v>
      </c>
      <c r="AD1389" s="604" t="s">
        <v>320</v>
      </c>
      <c r="AE1389" s="604">
        <v>12</v>
      </c>
      <c r="AF1389" s="604">
        <v>5449</v>
      </c>
      <c r="AG1389" s="604">
        <v>2.2000000000000002</v>
      </c>
      <c r="AH1389" s="604" t="s">
        <v>437</v>
      </c>
      <c r="BY1389" s="553" t="str">
        <f t="shared" si="152"/>
        <v>2005TaranakidhbSUDI</v>
      </c>
      <c r="BZ1389" s="604">
        <v>2005</v>
      </c>
      <c r="CA1389" s="604" t="s">
        <v>93</v>
      </c>
      <c r="CB1389" s="604" t="s">
        <v>448</v>
      </c>
      <c r="CC1389" s="604">
        <v>2</v>
      </c>
      <c r="CD1389" s="604" t="s">
        <v>33</v>
      </c>
    </row>
    <row r="1390" spans="9:82">
      <c r="I1390" s="578" t="str">
        <f t="shared" si="150"/>
        <v>1996ethPacific peoplesPeri</v>
      </c>
      <c r="J1390" s="604">
        <v>1996</v>
      </c>
      <c r="K1390" s="604" t="s">
        <v>449</v>
      </c>
      <c r="L1390" s="604" t="s">
        <v>320</v>
      </c>
      <c r="M1390" s="604">
        <v>59</v>
      </c>
      <c r="N1390" s="604">
        <v>5771</v>
      </c>
      <c r="O1390" s="604">
        <v>10.199999999999999</v>
      </c>
      <c r="P1390" s="604" t="s">
        <v>483</v>
      </c>
      <c r="Q1390" s="499"/>
      <c r="Y1390" s="535" t="str">
        <f t="shared" si="151"/>
        <v>2016bwteth4500+Pacific peoplesinfant</v>
      </c>
      <c r="Z1390" s="604">
        <v>2016</v>
      </c>
      <c r="AA1390" s="604" t="s">
        <v>447</v>
      </c>
      <c r="AB1390" s="604" t="s">
        <v>449</v>
      </c>
      <c r="AC1390" s="604" t="s">
        <v>432</v>
      </c>
      <c r="AD1390" s="604" t="s">
        <v>320</v>
      </c>
      <c r="AE1390" s="604">
        <v>0</v>
      </c>
      <c r="AF1390" s="604">
        <v>261</v>
      </c>
      <c r="AG1390" s="604">
        <v>0</v>
      </c>
      <c r="AH1390" s="604" t="s">
        <v>437</v>
      </c>
      <c r="BY1390" s="553" t="str">
        <f t="shared" si="152"/>
        <v>2005MidCentraldhbSUDI</v>
      </c>
      <c r="BZ1390" s="604">
        <v>2005</v>
      </c>
      <c r="CA1390" s="604" t="s">
        <v>94</v>
      </c>
      <c r="CB1390" s="604" t="s">
        <v>448</v>
      </c>
      <c r="CC1390" s="604">
        <v>4</v>
      </c>
      <c r="CD1390" s="604" t="s">
        <v>33</v>
      </c>
    </row>
    <row r="1391" spans="9:82">
      <c r="I1391" s="578" t="str">
        <f t="shared" si="150"/>
        <v>1996ethAsianPeri</v>
      </c>
      <c r="J1391" s="604">
        <v>1996</v>
      </c>
      <c r="K1391" s="604" t="s">
        <v>449</v>
      </c>
      <c r="L1391" s="604" t="s">
        <v>355</v>
      </c>
      <c r="M1391" s="604">
        <v>24</v>
      </c>
      <c r="N1391" s="604">
        <v>3412</v>
      </c>
      <c r="O1391" s="604">
        <v>7</v>
      </c>
      <c r="P1391" s="604" t="s">
        <v>483</v>
      </c>
      <c r="Q1391" s="499"/>
      <c r="Y1391" s="535" t="str">
        <f t="shared" si="151"/>
        <v>2016bwtethUnknownPacific peoplesinfant</v>
      </c>
      <c r="Z1391" s="604">
        <v>2016</v>
      </c>
      <c r="AA1391" s="604" t="s">
        <v>447</v>
      </c>
      <c r="AB1391" s="604" t="s">
        <v>449</v>
      </c>
      <c r="AC1391" s="604" t="s">
        <v>63</v>
      </c>
      <c r="AD1391" s="604" t="s">
        <v>320</v>
      </c>
      <c r="AE1391" s="604">
        <v>1</v>
      </c>
      <c r="AF1391" s="604">
        <v>1</v>
      </c>
      <c r="AG1391" s="604" t="s">
        <v>119</v>
      </c>
      <c r="AH1391" s="604" t="s">
        <v>437</v>
      </c>
      <c r="BY1391" s="553" t="str">
        <f t="shared" si="152"/>
        <v>2005WhanganuidhbSUDI</v>
      </c>
      <c r="BZ1391" s="604">
        <v>2005</v>
      </c>
      <c r="CA1391" s="604" t="s">
        <v>95</v>
      </c>
      <c r="CB1391" s="604" t="s">
        <v>448</v>
      </c>
      <c r="CC1391" s="604">
        <v>2</v>
      </c>
      <c r="CD1391" s="604" t="s">
        <v>33</v>
      </c>
    </row>
    <row r="1392" spans="9:82">
      <c r="I1392" s="578" t="str">
        <f t="shared" si="150"/>
        <v>1996ethEuropean or OtherPeri</v>
      </c>
      <c r="J1392" s="604">
        <v>1996</v>
      </c>
      <c r="K1392" s="604" t="s">
        <v>449</v>
      </c>
      <c r="L1392" s="604" t="s">
        <v>356</v>
      </c>
      <c r="M1392" s="604">
        <v>332</v>
      </c>
      <c r="N1392" s="604">
        <v>32537</v>
      </c>
      <c r="O1392" s="604">
        <v>10.199999999999999</v>
      </c>
      <c r="P1392" s="604" t="s">
        <v>483</v>
      </c>
      <c r="Q1392" s="499"/>
      <c r="Y1392" s="535" t="str">
        <f t="shared" si="151"/>
        <v>2016bwteth&lt;500Asianinfant</v>
      </c>
      <c r="Z1392" s="604">
        <v>2016</v>
      </c>
      <c r="AA1392" s="604" t="s">
        <v>447</v>
      </c>
      <c r="AB1392" s="604" t="s">
        <v>449</v>
      </c>
      <c r="AC1392" s="604" t="s">
        <v>427</v>
      </c>
      <c r="AD1392" s="604" t="s">
        <v>355</v>
      </c>
      <c r="AE1392" s="604">
        <v>9</v>
      </c>
      <c r="AF1392" s="604">
        <v>19</v>
      </c>
      <c r="AG1392" s="604">
        <v>473.7</v>
      </c>
      <c r="AH1392" s="604" t="s">
        <v>437</v>
      </c>
      <c r="BY1392" s="553" t="str">
        <f t="shared" si="152"/>
        <v>2005Capital &amp; CoastdhbSUDI</v>
      </c>
      <c r="BZ1392" s="604">
        <v>2005</v>
      </c>
      <c r="CA1392" s="604" t="s">
        <v>96</v>
      </c>
      <c r="CB1392" s="604" t="s">
        <v>448</v>
      </c>
      <c r="CC1392" s="604">
        <v>1</v>
      </c>
      <c r="CD1392" s="604" t="s">
        <v>33</v>
      </c>
    </row>
    <row r="1393" spans="9:82">
      <c r="I1393" s="578" t="str">
        <f t="shared" si="150"/>
        <v>1997ethMaoriPeri</v>
      </c>
      <c r="J1393" s="604">
        <v>1997</v>
      </c>
      <c r="K1393" s="604" t="s">
        <v>449</v>
      </c>
      <c r="L1393" s="604" t="s">
        <v>129</v>
      </c>
      <c r="M1393" s="604">
        <v>180</v>
      </c>
      <c r="N1393" s="604">
        <v>16426</v>
      </c>
      <c r="O1393" s="604">
        <v>11</v>
      </c>
      <c r="P1393" s="604" t="s">
        <v>483</v>
      </c>
      <c r="Q1393" s="499"/>
      <c r="Y1393" s="535" t="str">
        <f t="shared" si="151"/>
        <v>2016bwteth500-999Asianinfant</v>
      </c>
      <c r="Z1393" s="604">
        <v>2016</v>
      </c>
      <c r="AA1393" s="604" t="s">
        <v>447</v>
      </c>
      <c r="AB1393" s="604" t="s">
        <v>449</v>
      </c>
      <c r="AC1393" s="604" t="s">
        <v>428</v>
      </c>
      <c r="AD1393" s="604" t="s">
        <v>355</v>
      </c>
      <c r="AE1393" s="604">
        <v>7</v>
      </c>
      <c r="AF1393" s="604">
        <v>40</v>
      </c>
      <c r="AG1393" s="604">
        <v>175</v>
      </c>
      <c r="AH1393" s="604" t="s">
        <v>437</v>
      </c>
      <c r="BY1393" s="553" t="str">
        <f t="shared" si="152"/>
        <v>2005Hutt ValleydhbSUDI</v>
      </c>
      <c r="BZ1393" s="604">
        <v>2005</v>
      </c>
      <c r="CA1393" s="604" t="s">
        <v>97</v>
      </c>
      <c r="CB1393" s="604" t="s">
        <v>448</v>
      </c>
      <c r="CC1393" s="604">
        <v>0</v>
      </c>
      <c r="CD1393" s="604" t="s">
        <v>33</v>
      </c>
    </row>
    <row r="1394" spans="9:82">
      <c r="I1394" s="578" t="str">
        <f t="shared" si="150"/>
        <v>1997ethPacific peoplesPeri</v>
      </c>
      <c r="J1394" s="604">
        <v>1997</v>
      </c>
      <c r="K1394" s="604" t="s">
        <v>449</v>
      </c>
      <c r="L1394" s="604" t="s">
        <v>320</v>
      </c>
      <c r="M1394" s="604">
        <v>70</v>
      </c>
      <c r="N1394" s="604">
        <v>5742</v>
      </c>
      <c r="O1394" s="604">
        <v>12.2</v>
      </c>
      <c r="P1394" s="604" t="s">
        <v>483</v>
      </c>
      <c r="Q1394" s="499"/>
      <c r="Y1394" s="535" t="str">
        <f t="shared" si="151"/>
        <v>2016bwteth1000-1499Asianinfant</v>
      </c>
      <c r="Z1394" s="604">
        <v>2016</v>
      </c>
      <c r="AA1394" s="604" t="s">
        <v>447</v>
      </c>
      <c r="AB1394" s="604" t="s">
        <v>449</v>
      </c>
      <c r="AC1394" s="604" t="s">
        <v>429</v>
      </c>
      <c r="AD1394" s="604" t="s">
        <v>355</v>
      </c>
      <c r="AE1394" s="604">
        <v>1</v>
      </c>
      <c r="AF1394" s="604">
        <v>59</v>
      </c>
      <c r="AG1394" s="604">
        <v>16.899999999999999</v>
      </c>
      <c r="AH1394" s="604" t="s">
        <v>437</v>
      </c>
      <c r="BY1394" s="553" t="str">
        <f t="shared" si="152"/>
        <v>2005WairarapadhbSUDI</v>
      </c>
      <c r="BZ1394" s="604">
        <v>2005</v>
      </c>
      <c r="CA1394" s="604" t="s">
        <v>98</v>
      </c>
      <c r="CB1394" s="604" t="s">
        <v>448</v>
      </c>
      <c r="CC1394" s="604">
        <v>1</v>
      </c>
      <c r="CD1394" s="604" t="s">
        <v>33</v>
      </c>
    </row>
    <row r="1395" spans="9:82">
      <c r="I1395" s="578" t="str">
        <f t="shared" si="150"/>
        <v>1997ethAsianPeri</v>
      </c>
      <c r="J1395" s="604">
        <v>1997</v>
      </c>
      <c r="K1395" s="604" t="s">
        <v>449</v>
      </c>
      <c r="L1395" s="604" t="s">
        <v>355</v>
      </c>
      <c r="M1395" s="604">
        <v>28</v>
      </c>
      <c r="N1395" s="604">
        <v>3825</v>
      </c>
      <c r="O1395" s="604">
        <v>7.3</v>
      </c>
      <c r="P1395" s="604" t="s">
        <v>483</v>
      </c>
      <c r="Q1395" s="499"/>
      <c r="Y1395" s="535" t="str">
        <f t="shared" si="151"/>
        <v>2016bwteth1500-2499Asianinfant</v>
      </c>
      <c r="Z1395" s="604">
        <v>2016</v>
      </c>
      <c r="AA1395" s="604" t="s">
        <v>447</v>
      </c>
      <c r="AB1395" s="604" t="s">
        <v>449</v>
      </c>
      <c r="AC1395" s="604" t="s">
        <v>430</v>
      </c>
      <c r="AD1395" s="604" t="s">
        <v>355</v>
      </c>
      <c r="AE1395" s="604">
        <v>2</v>
      </c>
      <c r="AF1395" s="604">
        <v>684</v>
      </c>
      <c r="AG1395" s="604">
        <v>2.9</v>
      </c>
      <c r="AH1395" s="604" t="s">
        <v>437</v>
      </c>
      <c r="BY1395" s="553" t="str">
        <f t="shared" si="152"/>
        <v>2005Nelson MarlboroughdhbSUDI</v>
      </c>
      <c r="BZ1395" s="604">
        <v>2005</v>
      </c>
      <c r="CA1395" s="604" t="s">
        <v>99</v>
      </c>
      <c r="CB1395" s="604" t="s">
        <v>448</v>
      </c>
      <c r="CC1395" s="604">
        <v>0</v>
      </c>
      <c r="CD1395" s="604" t="s">
        <v>33</v>
      </c>
    </row>
    <row r="1396" spans="9:82">
      <c r="I1396" s="578" t="str">
        <f t="shared" si="150"/>
        <v>1997ethEuropean or OtherPeri</v>
      </c>
      <c r="J1396" s="604">
        <v>1997</v>
      </c>
      <c r="K1396" s="604" t="s">
        <v>449</v>
      </c>
      <c r="L1396" s="604" t="s">
        <v>356</v>
      </c>
      <c r="M1396" s="604">
        <v>310</v>
      </c>
      <c r="N1396" s="604">
        <v>32158</v>
      </c>
      <c r="O1396" s="604">
        <v>9.6</v>
      </c>
      <c r="P1396" s="604" t="s">
        <v>483</v>
      </c>
      <c r="Q1396" s="499"/>
      <c r="Y1396" s="535" t="str">
        <f t="shared" si="151"/>
        <v>2016bwteth2500-4499Asianinfant</v>
      </c>
      <c r="Z1396" s="604">
        <v>2016</v>
      </c>
      <c r="AA1396" s="604" t="s">
        <v>447</v>
      </c>
      <c r="AB1396" s="604" t="s">
        <v>449</v>
      </c>
      <c r="AC1396" s="604" t="s">
        <v>431</v>
      </c>
      <c r="AD1396" s="604" t="s">
        <v>355</v>
      </c>
      <c r="AE1396" s="604">
        <v>7</v>
      </c>
      <c r="AF1396" s="604">
        <v>10050</v>
      </c>
      <c r="AG1396" s="604">
        <v>0.7</v>
      </c>
      <c r="AH1396" s="604" t="s">
        <v>437</v>
      </c>
      <c r="BY1396" s="553" t="str">
        <f t="shared" si="152"/>
        <v>2005West CoastdhbSUDI</v>
      </c>
      <c r="BZ1396" s="604">
        <v>2005</v>
      </c>
      <c r="CA1396" s="604" t="s">
        <v>100</v>
      </c>
      <c r="CB1396" s="604" t="s">
        <v>448</v>
      </c>
      <c r="CC1396" s="604">
        <v>0</v>
      </c>
      <c r="CD1396" s="604" t="s">
        <v>33</v>
      </c>
    </row>
    <row r="1397" spans="9:82">
      <c r="I1397" s="578" t="str">
        <f t="shared" si="150"/>
        <v>1998ethMaoriPeri</v>
      </c>
      <c r="J1397" s="604">
        <v>1998</v>
      </c>
      <c r="K1397" s="604" t="s">
        <v>449</v>
      </c>
      <c r="L1397" s="604" t="s">
        <v>129</v>
      </c>
      <c r="M1397" s="604">
        <v>134</v>
      </c>
      <c r="N1397" s="604">
        <v>16398</v>
      </c>
      <c r="O1397" s="604">
        <v>8.1999999999999993</v>
      </c>
      <c r="P1397" s="604" t="s">
        <v>483</v>
      </c>
      <c r="Q1397" s="499"/>
      <c r="Y1397" s="535" t="str">
        <f t="shared" si="151"/>
        <v>2016bwteth4500+Asianinfant</v>
      </c>
      <c r="Z1397" s="604">
        <v>2016</v>
      </c>
      <c r="AA1397" s="604" t="s">
        <v>447</v>
      </c>
      <c r="AB1397" s="604" t="s">
        <v>449</v>
      </c>
      <c r="AC1397" s="604" t="s">
        <v>432</v>
      </c>
      <c r="AD1397" s="604" t="s">
        <v>355</v>
      </c>
      <c r="AE1397" s="604">
        <v>0</v>
      </c>
      <c r="AF1397" s="604">
        <v>44</v>
      </c>
      <c r="AG1397" s="604">
        <v>0</v>
      </c>
      <c r="AH1397" s="604" t="s">
        <v>437</v>
      </c>
      <c r="BY1397" s="553" t="str">
        <f t="shared" si="152"/>
        <v>2005CanterburydhbSUDI</v>
      </c>
      <c r="BZ1397" s="604">
        <v>2005</v>
      </c>
      <c r="CA1397" s="604" t="s">
        <v>101</v>
      </c>
      <c r="CB1397" s="604" t="s">
        <v>448</v>
      </c>
      <c r="CC1397" s="604">
        <v>3</v>
      </c>
      <c r="CD1397" s="604" t="s">
        <v>33</v>
      </c>
    </row>
    <row r="1398" spans="9:82">
      <c r="I1398" s="578" t="str">
        <f t="shared" si="150"/>
        <v>1998ethPacific peoplesPeri</v>
      </c>
      <c r="J1398" s="604">
        <v>1998</v>
      </c>
      <c r="K1398" s="604" t="s">
        <v>449</v>
      </c>
      <c r="L1398" s="604" t="s">
        <v>320</v>
      </c>
      <c r="M1398" s="604">
        <v>72</v>
      </c>
      <c r="N1398" s="604">
        <v>5751</v>
      </c>
      <c r="O1398" s="604">
        <v>12.5</v>
      </c>
      <c r="P1398" s="604" t="s">
        <v>483</v>
      </c>
      <c r="Q1398" s="499"/>
      <c r="Y1398" s="535" t="str">
        <f t="shared" si="151"/>
        <v>2016bwtethUnknownAsianinfant</v>
      </c>
      <c r="Z1398" s="604">
        <v>2016</v>
      </c>
      <c r="AA1398" s="604" t="s">
        <v>447</v>
      </c>
      <c r="AB1398" s="604" t="s">
        <v>449</v>
      </c>
      <c r="AC1398" s="604" t="s">
        <v>63</v>
      </c>
      <c r="AD1398" s="604" t="s">
        <v>355</v>
      </c>
      <c r="AE1398" s="604">
        <v>1</v>
      </c>
      <c r="AF1398" s="604">
        <v>6</v>
      </c>
      <c r="AG1398" s="604" t="s">
        <v>119</v>
      </c>
      <c r="AH1398" s="604" t="s">
        <v>437</v>
      </c>
      <c r="BY1398" s="553" t="str">
        <f t="shared" si="152"/>
        <v>2005South CanterburydhbSUDI</v>
      </c>
      <c r="BZ1398" s="604">
        <v>2005</v>
      </c>
      <c r="CA1398" s="604" t="s">
        <v>102</v>
      </c>
      <c r="CB1398" s="604" t="s">
        <v>448</v>
      </c>
      <c r="CC1398" s="604">
        <v>0</v>
      </c>
      <c r="CD1398" s="604" t="s">
        <v>33</v>
      </c>
    </row>
    <row r="1399" spans="9:82">
      <c r="I1399" s="578" t="str">
        <f t="shared" si="150"/>
        <v>1998ethAsianPeri</v>
      </c>
      <c r="J1399" s="604">
        <v>1998</v>
      </c>
      <c r="K1399" s="604" t="s">
        <v>449</v>
      </c>
      <c r="L1399" s="604" t="s">
        <v>355</v>
      </c>
      <c r="M1399" s="604">
        <v>31</v>
      </c>
      <c r="N1399" s="604">
        <v>3828</v>
      </c>
      <c r="O1399" s="604">
        <v>8.1</v>
      </c>
      <c r="P1399" s="604" t="s">
        <v>483</v>
      </c>
      <c r="Q1399" s="499"/>
      <c r="Y1399" s="535" t="str">
        <f t="shared" si="151"/>
        <v>2016bwteth&lt;500European or Otherinfant</v>
      </c>
      <c r="Z1399" s="604">
        <v>2016</v>
      </c>
      <c r="AA1399" s="604" t="s">
        <v>447</v>
      </c>
      <c r="AB1399" s="604" t="s">
        <v>449</v>
      </c>
      <c r="AC1399" s="604" t="s">
        <v>427</v>
      </c>
      <c r="AD1399" s="604" t="s">
        <v>356</v>
      </c>
      <c r="AE1399" s="604">
        <v>9</v>
      </c>
      <c r="AF1399" s="604">
        <v>15</v>
      </c>
      <c r="AG1399" s="604">
        <v>600</v>
      </c>
      <c r="AH1399" s="604" t="s">
        <v>437</v>
      </c>
      <c r="BY1399" s="553" t="str">
        <f t="shared" si="152"/>
        <v>2005SoutherndhbSUDI</v>
      </c>
      <c r="BZ1399" s="604">
        <v>2005</v>
      </c>
      <c r="CA1399" s="604" t="s">
        <v>103</v>
      </c>
      <c r="CB1399" s="604" t="s">
        <v>448</v>
      </c>
      <c r="CC1399" s="604">
        <v>4</v>
      </c>
      <c r="CD1399" s="604" t="s">
        <v>33</v>
      </c>
    </row>
    <row r="1400" spans="9:82">
      <c r="I1400" s="578" t="str">
        <f t="shared" si="150"/>
        <v>1998ethEuropean or OtherPeri</v>
      </c>
      <c r="J1400" s="604">
        <v>1998</v>
      </c>
      <c r="K1400" s="604" t="s">
        <v>449</v>
      </c>
      <c r="L1400" s="604" t="s">
        <v>356</v>
      </c>
      <c r="M1400" s="604">
        <v>247</v>
      </c>
      <c r="N1400" s="604">
        <v>32105</v>
      </c>
      <c r="O1400" s="604">
        <v>7.7</v>
      </c>
      <c r="P1400" s="604" t="s">
        <v>483</v>
      </c>
      <c r="Q1400" s="499"/>
      <c r="Y1400" s="535" t="str">
        <f t="shared" si="151"/>
        <v>2016bwteth500-999European or Otherinfant</v>
      </c>
      <c r="Z1400" s="604">
        <v>2016</v>
      </c>
      <c r="AA1400" s="604" t="s">
        <v>447</v>
      </c>
      <c r="AB1400" s="604" t="s">
        <v>449</v>
      </c>
      <c r="AC1400" s="604" t="s">
        <v>428</v>
      </c>
      <c r="AD1400" s="604" t="s">
        <v>356</v>
      </c>
      <c r="AE1400" s="604">
        <v>21</v>
      </c>
      <c r="AF1400" s="604">
        <v>64</v>
      </c>
      <c r="AG1400" s="604">
        <v>328.1</v>
      </c>
      <c r="AH1400" s="604" t="s">
        <v>437</v>
      </c>
      <c r="BY1400" s="553" t="str">
        <f t="shared" si="152"/>
        <v>2005UnknowndhbSUDI</v>
      </c>
      <c r="BZ1400" s="604">
        <v>2005</v>
      </c>
      <c r="CA1400" s="604" t="s">
        <v>63</v>
      </c>
      <c r="CB1400" s="604" t="s">
        <v>448</v>
      </c>
      <c r="CC1400" s="604">
        <v>0</v>
      </c>
      <c r="CD1400" s="604" t="s">
        <v>33</v>
      </c>
    </row>
    <row r="1401" spans="9:82">
      <c r="I1401" s="578" t="str">
        <f t="shared" si="150"/>
        <v>1999ethMaoriPeri</v>
      </c>
      <c r="J1401" s="604">
        <v>1999</v>
      </c>
      <c r="K1401" s="604" t="s">
        <v>449</v>
      </c>
      <c r="L1401" s="604" t="s">
        <v>129</v>
      </c>
      <c r="M1401" s="604">
        <v>161</v>
      </c>
      <c r="N1401" s="604">
        <v>16137</v>
      </c>
      <c r="O1401" s="604">
        <v>10</v>
      </c>
      <c r="P1401" s="604" t="s">
        <v>483</v>
      </c>
      <c r="Q1401" s="499"/>
      <c r="Y1401" s="535" t="str">
        <f t="shared" si="151"/>
        <v>2016bwteth1000-1499European or Otherinfant</v>
      </c>
      <c r="Z1401" s="604">
        <v>2016</v>
      </c>
      <c r="AA1401" s="604" t="s">
        <v>447</v>
      </c>
      <c r="AB1401" s="604" t="s">
        <v>449</v>
      </c>
      <c r="AC1401" s="604" t="s">
        <v>429</v>
      </c>
      <c r="AD1401" s="604" t="s">
        <v>356</v>
      </c>
      <c r="AE1401" s="604">
        <v>3</v>
      </c>
      <c r="AF1401" s="604">
        <v>131</v>
      </c>
      <c r="AG1401" s="604">
        <v>22.9</v>
      </c>
      <c r="AH1401" s="604" t="s">
        <v>437</v>
      </c>
      <c r="BY1401" s="553" t="str">
        <f t="shared" si="152"/>
        <v>2006NorthlanddhbSUDI</v>
      </c>
      <c r="BZ1401" s="604">
        <v>2006</v>
      </c>
      <c r="CA1401" s="604" t="s">
        <v>85</v>
      </c>
      <c r="CB1401" s="604" t="s">
        <v>448</v>
      </c>
      <c r="CC1401" s="604">
        <v>4</v>
      </c>
      <c r="CD1401" s="604" t="s">
        <v>33</v>
      </c>
    </row>
    <row r="1402" spans="9:82">
      <c r="I1402" s="578" t="str">
        <f t="shared" si="150"/>
        <v>1999ethPacific peoplesPeri</v>
      </c>
      <c r="J1402" s="604">
        <v>1999</v>
      </c>
      <c r="K1402" s="604" t="s">
        <v>449</v>
      </c>
      <c r="L1402" s="604" t="s">
        <v>320</v>
      </c>
      <c r="M1402" s="604">
        <v>75</v>
      </c>
      <c r="N1402" s="604">
        <v>6284</v>
      </c>
      <c r="O1402" s="604">
        <v>11.9</v>
      </c>
      <c r="P1402" s="604" t="s">
        <v>483</v>
      </c>
      <c r="Q1402" s="499"/>
      <c r="Y1402" s="535" t="str">
        <f t="shared" si="151"/>
        <v>2016bwteth1500-2499European or Otherinfant</v>
      </c>
      <c r="Z1402" s="604">
        <v>2016</v>
      </c>
      <c r="AA1402" s="604" t="s">
        <v>447</v>
      </c>
      <c r="AB1402" s="604" t="s">
        <v>449</v>
      </c>
      <c r="AC1402" s="604" t="s">
        <v>430</v>
      </c>
      <c r="AD1402" s="604" t="s">
        <v>356</v>
      </c>
      <c r="AE1402" s="604">
        <v>9</v>
      </c>
      <c r="AF1402" s="604">
        <v>1163</v>
      </c>
      <c r="AG1402" s="604">
        <v>7.7</v>
      </c>
      <c r="AH1402" s="604" t="s">
        <v>437</v>
      </c>
      <c r="BY1402" s="553" t="str">
        <f t="shared" si="152"/>
        <v>2006WaitematadhbSUDI</v>
      </c>
      <c r="BZ1402" s="604">
        <v>2006</v>
      </c>
      <c r="CA1402" s="604" t="s">
        <v>86</v>
      </c>
      <c r="CB1402" s="604" t="s">
        <v>448</v>
      </c>
      <c r="CC1402" s="604">
        <v>3</v>
      </c>
      <c r="CD1402" s="604" t="s">
        <v>33</v>
      </c>
    </row>
    <row r="1403" spans="9:82">
      <c r="I1403" s="578" t="str">
        <f t="shared" si="150"/>
        <v>1999ethAsianPeri</v>
      </c>
      <c r="J1403" s="604">
        <v>1999</v>
      </c>
      <c r="K1403" s="604" t="s">
        <v>449</v>
      </c>
      <c r="L1403" s="604" t="s">
        <v>355</v>
      </c>
      <c r="M1403" s="604">
        <v>37</v>
      </c>
      <c r="N1403" s="604">
        <v>4007</v>
      </c>
      <c r="O1403" s="604">
        <v>9.1999999999999993</v>
      </c>
      <c r="P1403" s="604" t="s">
        <v>483</v>
      </c>
      <c r="Q1403" s="499"/>
      <c r="Y1403" s="535" t="str">
        <f t="shared" si="151"/>
        <v>2016bwteth2500-4499European or Otherinfant</v>
      </c>
      <c r="Z1403" s="604">
        <v>2016</v>
      </c>
      <c r="AA1403" s="604" t="s">
        <v>447</v>
      </c>
      <c r="AB1403" s="604" t="s">
        <v>449</v>
      </c>
      <c r="AC1403" s="604" t="s">
        <v>431</v>
      </c>
      <c r="AD1403" s="604" t="s">
        <v>356</v>
      </c>
      <c r="AE1403" s="604">
        <v>29</v>
      </c>
      <c r="AF1403" s="604">
        <v>24147</v>
      </c>
      <c r="AG1403" s="604">
        <v>1.2</v>
      </c>
      <c r="AH1403" s="604" t="s">
        <v>437</v>
      </c>
      <c r="BY1403" s="553" t="str">
        <f t="shared" si="152"/>
        <v>2006AucklanddhbSUDI</v>
      </c>
      <c r="BZ1403" s="604">
        <v>2006</v>
      </c>
      <c r="CA1403" s="604" t="s">
        <v>87</v>
      </c>
      <c r="CB1403" s="604" t="s">
        <v>448</v>
      </c>
      <c r="CC1403" s="604">
        <v>1</v>
      </c>
      <c r="CD1403" s="604" t="s">
        <v>33</v>
      </c>
    </row>
    <row r="1404" spans="9:82">
      <c r="I1404" s="578" t="str">
        <f t="shared" si="150"/>
        <v>1999ethEuropean or OtherPeri</v>
      </c>
      <c r="J1404" s="604">
        <v>1999</v>
      </c>
      <c r="K1404" s="604" t="s">
        <v>449</v>
      </c>
      <c r="L1404" s="604" t="s">
        <v>356</v>
      </c>
      <c r="M1404" s="604">
        <v>309</v>
      </c>
      <c r="N1404" s="604">
        <v>31419</v>
      </c>
      <c r="O1404" s="604">
        <v>9.8000000000000007</v>
      </c>
      <c r="P1404" s="604" t="s">
        <v>483</v>
      </c>
      <c r="Q1404" s="499"/>
      <c r="Y1404" s="535" t="str">
        <f t="shared" si="151"/>
        <v>2016bwteth4500+European or Otherinfant</v>
      </c>
      <c r="Z1404" s="604">
        <v>2016</v>
      </c>
      <c r="AA1404" s="604" t="s">
        <v>447</v>
      </c>
      <c r="AB1404" s="604" t="s">
        <v>449</v>
      </c>
      <c r="AC1404" s="604" t="s">
        <v>432</v>
      </c>
      <c r="AD1404" s="604" t="s">
        <v>356</v>
      </c>
      <c r="AE1404" s="604">
        <v>0</v>
      </c>
      <c r="AF1404" s="604">
        <v>692</v>
      </c>
      <c r="AG1404" s="604">
        <v>0</v>
      </c>
      <c r="AH1404" s="604" t="s">
        <v>437</v>
      </c>
      <c r="BY1404" s="553" t="str">
        <f t="shared" si="152"/>
        <v>2006Counties ManukaudhbSUDI</v>
      </c>
      <c r="BZ1404" s="604">
        <v>2006</v>
      </c>
      <c r="CA1404" s="604" t="s">
        <v>88</v>
      </c>
      <c r="CB1404" s="604" t="s">
        <v>448</v>
      </c>
      <c r="CC1404" s="604">
        <v>14</v>
      </c>
      <c r="CD1404" s="604" t="s">
        <v>33</v>
      </c>
    </row>
    <row r="1405" spans="9:82">
      <c r="I1405" s="578" t="str">
        <f t="shared" si="150"/>
        <v>2000ethMaoriPeri</v>
      </c>
      <c r="J1405" s="604">
        <v>2000</v>
      </c>
      <c r="K1405" s="604" t="s">
        <v>449</v>
      </c>
      <c r="L1405" s="604" t="s">
        <v>129</v>
      </c>
      <c r="M1405" s="604">
        <v>141</v>
      </c>
      <c r="N1405" s="604">
        <v>15960</v>
      </c>
      <c r="O1405" s="604">
        <v>8.8000000000000007</v>
      </c>
      <c r="P1405" s="604" t="s">
        <v>483</v>
      </c>
      <c r="Q1405" s="499"/>
      <c r="Y1405" s="535" t="str">
        <f t="shared" si="151"/>
        <v>2016bwtethUnknownEuropean or Otherinfant</v>
      </c>
      <c r="Z1405" s="604">
        <v>2016</v>
      </c>
      <c r="AA1405" s="604" t="s">
        <v>447</v>
      </c>
      <c r="AB1405" s="604" t="s">
        <v>449</v>
      </c>
      <c r="AC1405" s="604" t="s">
        <v>63</v>
      </c>
      <c r="AD1405" s="604" t="s">
        <v>356</v>
      </c>
      <c r="AE1405" s="604">
        <v>3</v>
      </c>
      <c r="AF1405" s="604">
        <v>17</v>
      </c>
      <c r="AG1405" s="604" t="s">
        <v>119</v>
      </c>
      <c r="AH1405" s="604" t="s">
        <v>437</v>
      </c>
      <c r="BY1405" s="553" t="str">
        <f t="shared" si="152"/>
        <v>2006WaikatodhbSUDI</v>
      </c>
      <c r="BZ1405" s="604">
        <v>2006</v>
      </c>
      <c r="CA1405" s="604" t="s">
        <v>89</v>
      </c>
      <c r="CB1405" s="604" t="s">
        <v>448</v>
      </c>
      <c r="CC1405" s="604">
        <v>11</v>
      </c>
      <c r="CD1405" s="604" t="s">
        <v>33</v>
      </c>
    </row>
    <row r="1406" spans="9:82">
      <c r="I1406" s="578" t="str">
        <f t="shared" si="150"/>
        <v>2000ethPacific peoplesPeri</v>
      </c>
      <c r="J1406" s="604">
        <v>2000</v>
      </c>
      <c r="K1406" s="604" t="s">
        <v>449</v>
      </c>
      <c r="L1406" s="604" t="s">
        <v>320</v>
      </c>
      <c r="M1406" s="604">
        <v>72</v>
      </c>
      <c r="N1406" s="604">
        <v>6190</v>
      </c>
      <c r="O1406" s="604">
        <v>11.6</v>
      </c>
      <c r="P1406" s="604" t="s">
        <v>483</v>
      </c>
      <c r="Q1406" s="499"/>
      <c r="Y1406" s="535" t="str">
        <f t="shared" si="151"/>
        <v>2016depethQuin 1Maoriinfant</v>
      </c>
      <c r="Z1406" s="604">
        <v>2016</v>
      </c>
      <c r="AA1406" s="604" t="s">
        <v>454</v>
      </c>
      <c r="AB1406" s="604" t="s">
        <v>449</v>
      </c>
      <c r="AC1406" s="604" t="s">
        <v>421</v>
      </c>
      <c r="AD1406" s="604" t="s">
        <v>129</v>
      </c>
      <c r="AE1406" s="604">
        <v>4</v>
      </c>
      <c r="AF1406" s="604">
        <v>1159</v>
      </c>
      <c r="AG1406" s="604">
        <v>3.5</v>
      </c>
      <c r="AH1406" s="604" t="s">
        <v>437</v>
      </c>
      <c r="BY1406" s="553" t="str">
        <f t="shared" si="152"/>
        <v>2006LakesdhbSUDI</v>
      </c>
      <c r="BZ1406" s="604">
        <v>2006</v>
      </c>
      <c r="CA1406" s="604" t="s">
        <v>90</v>
      </c>
      <c r="CB1406" s="604" t="s">
        <v>448</v>
      </c>
      <c r="CC1406" s="604">
        <v>2</v>
      </c>
      <c r="CD1406" s="604" t="s">
        <v>33</v>
      </c>
    </row>
    <row r="1407" spans="9:82">
      <c r="I1407" s="578" t="str">
        <f t="shared" si="150"/>
        <v>2000ethAsianPeri</v>
      </c>
      <c r="J1407" s="604">
        <v>2000</v>
      </c>
      <c r="K1407" s="604" t="s">
        <v>449</v>
      </c>
      <c r="L1407" s="604" t="s">
        <v>355</v>
      </c>
      <c r="M1407" s="604">
        <v>35</v>
      </c>
      <c r="N1407" s="604">
        <v>4254</v>
      </c>
      <c r="O1407" s="604">
        <v>8.1999999999999993</v>
      </c>
      <c r="P1407" s="604" t="s">
        <v>483</v>
      </c>
      <c r="Q1407" s="499"/>
      <c r="Y1407" s="535" t="str">
        <f t="shared" si="151"/>
        <v>2016depethQuin 2Maoriinfant</v>
      </c>
      <c r="Z1407" s="604">
        <v>2016</v>
      </c>
      <c r="AA1407" s="604" t="s">
        <v>454</v>
      </c>
      <c r="AB1407" s="604" t="s">
        <v>449</v>
      </c>
      <c r="AC1407" s="604" t="s">
        <v>422</v>
      </c>
      <c r="AD1407" s="604" t="s">
        <v>129</v>
      </c>
      <c r="AE1407" s="604">
        <v>5</v>
      </c>
      <c r="AF1407" s="604">
        <v>1788</v>
      </c>
      <c r="AG1407" s="604">
        <v>2.8</v>
      </c>
      <c r="AH1407" s="604" t="s">
        <v>437</v>
      </c>
      <c r="BY1407" s="553" t="str">
        <f t="shared" si="152"/>
        <v>2006Bay of PlentydhbSUDI</v>
      </c>
      <c r="BZ1407" s="604">
        <v>2006</v>
      </c>
      <c r="CA1407" s="604" t="s">
        <v>91</v>
      </c>
      <c r="CB1407" s="604" t="s">
        <v>448</v>
      </c>
      <c r="CC1407" s="604">
        <v>2</v>
      </c>
      <c r="CD1407" s="604" t="s">
        <v>33</v>
      </c>
    </row>
    <row r="1408" spans="9:82">
      <c r="I1408" s="578" t="str">
        <f t="shared" si="150"/>
        <v>2000ethEuropean or OtherPeri</v>
      </c>
      <c r="J1408" s="604">
        <v>2000</v>
      </c>
      <c r="K1408" s="604" t="s">
        <v>449</v>
      </c>
      <c r="L1408" s="604" t="s">
        <v>356</v>
      </c>
      <c r="M1408" s="604">
        <v>295</v>
      </c>
      <c r="N1408" s="604">
        <v>30959</v>
      </c>
      <c r="O1408" s="604">
        <v>9.5</v>
      </c>
      <c r="P1408" s="604" t="s">
        <v>483</v>
      </c>
      <c r="Q1408" s="499"/>
      <c r="Y1408" s="535" t="str">
        <f t="shared" si="151"/>
        <v>2016depethQuin 3Maoriinfant</v>
      </c>
      <c r="Z1408" s="604">
        <v>2016</v>
      </c>
      <c r="AA1408" s="604" t="s">
        <v>454</v>
      </c>
      <c r="AB1408" s="604" t="s">
        <v>449</v>
      </c>
      <c r="AC1408" s="604" t="s">
        <v>423</v>
      </c>
      <c r="AD1408" s="604" t="s">
        <v>129</v>
      </c>
      <c r="AE1408" s="604">
        <v>12</v>
      </c>
      <c r="AF1408" s="604">
        <v>2643</v>
      </c>
      <c r="AG1408" s="604">
        <v>4.5</v>
      </c>
      <c r="AH1408" s="604" t="s">
        <v>437</v>
      </c>
      <c r="BY1408" s="553" t="str">
        <f t="shared" si="152"/>
        <v>2006TairawhitidhbSUDI</v>
      </c>
      <c r="BZ1408" s="604">
        <v>2006</v>
      </c>
      <c r="CA1408" s="604" t="s">
        <v>433</v>
      </c>
      <c r="CB1408" s="604" t="s">
        <v>448</v>
      </c>
      <c r="CC1408" s="604">
        <v>2</v>
      </c>
      <c r="CD1408" s="604" t="s">
        <v>33</v>
      </c>
    </row>
    <row r="1409" spans="9:82">
      <c r="I1409" s="578" t="str">
        <f t="shared" si="150"/>
        <v>2001ethMaoriPeri</v>
      </c>
      <c r="J1409" s="604">
        <v>2001</v>
      </c>
      <c r="K1409" s="604" t="s">
        <v>449</v>
      </c>
      <c r="L1409" s="604" t="s">
        <v>129</v>
      </c>
      <c r="M1409" s="604">
        <v>159</v>
      </c>
      <c r="N1409" s="604">
        <v>15977</v>
      </c>
      <c r="O1409" s="604">
        <v>10</v>
      </c>
      <c r="P1409" s="604" t="s">
        <v>483</v>
      </c>
      <c r="Q1409" s="499"/>
      <c r="Y1409" s="535" t="str">
        <f t="shared" si="151"/>
        <v>2016depethQuin 4Maoriinfant</v>
      </c>
      <c r="Z1409" s="604">
        <v>2016</v>
      </c>
      <c r="AA1409" s="604" t="s">
        <v>454</v>
      </c>
      <c r="AB1409" s="604" t="s">
        <v>449</v>
      </c>
      <c r="AC1409" s="604" t="s">
        <v>424</v>
      </c>
      <c r="AD1409" s="604" t="s">
        <v>129</v>
      </c>
      <c r="AE1409" s="604">
        <v>22</v>
      </c>
      <c r="AF1409" s="604">
        <v>4019</v>
      </c>
      <c r="AG1409" s="604">
        <v>5.5</v>
      </c>
      <c r="AH1409" s="604" t="s">
        <v>437</v>
      </c>
      <c r="BY1409" s="553" t="str">
        <f t="shared" si="152"/>
        <v>2006Hawke's BaydhbSUDI</v>
      </c>
      <c r="BZ1409" s="604">
        <v>2006</v>
      </c>
      <c r="CA1409" s="604" t="s">
        <v>92</v>
      </c>
      <c r="CB1409" s="604" t="s">
        <v>448</v>
      </c>
      <c r="CC1409" s="604">
        <v>4</v>
      </c>
      <c r="CD1409" s="604" t="s">
        <v>33</v>
      </c>
    </row>
    <row r="1410" spans="9:82">
      <c r="I1410" s="578" t="str">
        <f t="shared" si="150"/>
        <v>2001ethPacific peoplesPeri</v>
      </c>
      <c r="J1410" s="604">
        <v>2001</v>
      </c>
      <c r="K1410" s="604" t="s">
        <v>449</v>
      </c>
      <c r="L1410" s="604" t="s">
        <v>320</v>
      </c>
      <c r="M1410" s="604">
        <v>60</v>
      </c>
      <c r="N1410" s="604">
        <v>6182</v>
      </c>
      <c r="O1410" s="604">
        <v>9.6999999999999993</v>
      </c>
      <c r="P1410" s="604" t="s">
        <v>483</v>
      </c>
      <c r="Q1410" s="499"/>
      <c r="Y1410" s="535" t="str">
        <f t="shared" si="151"/>
        <v>2016depethQuin 5Maoriinfant</v>
      </c>
      <c r="Z1410" s="604">
        <v>2016</v>
      </c>
      <c r="AA1410" s="604" t="s">
        <v>454</v>
      </c>
      <c r="AB1410" s="604" t="s">
        <v>449</v>
      </c>
      <c r="AC1410" s="604" t="s">
        <v>425</v>
      </c>
      <c r="AD1410" s="604" t="s">
        <v>129</v>
      </c>
      <c r="AE1410" s="604">
        <v>60</v>
      </c>
      <c r="AF1410" s="604">
        <v>7702</v>
      </c>
      <c r="AG1410" s="604">
        <v>7.8</v>
      </c>
      <c r="AH1410" s="604" t="s">
        <v>437</v>
      </c>
      <c r="BY1410" s="553" t="str">
        <f t="shared" si="152"/>
        <v>2006TaranakidhbSUDI</v>
      </c>
      <c r="BZ1410" s="604">
        <v>2006</v>
      </c>
      <c r="CA1410" s="604" t="s">
        <v>93</v>
      </c>
      <c r="CB1410" s="604" t="s">
        <v>448</v>
      </c>
      <c r="CC1410" s="604">
        <v>2</v>
      </c>
      <c r="CD1410" s="604" t="s">
        <v>33</v>
      </c>
    </row>
    <row r="1411" spans="9:82">
      <c r="I1411" s="578" t="str">
        <f t="shared" si="150"/>
        <v>2001ethAsianPeri</v>
      </c>
      <c r="J1411" s="604">
        <v>2001</v>
      </c>
      <c r="K1411" s="604" t="s">
        <v>449</v>
      </c>
      <c r="L1411" s="604" t="s">
        <v>355</v>
      </c>
      <c r="M1411" s="604">
        <v>42</v>
      </c>
      <c r="N1411" s="604">
        <v>4074</v>
      </c>
      <c r="O1411" s="604">
        <v>10.3</v>
      </c>
      <c r="P1411" s="604" t="s">
        <v>483</v>
      </c>
      <c r="Q1411" s="499"/>
      <c r="Y1411" s="535" t="str">
        <f t="shared" si="151"/>
        <v>2016depethQuin 9Maoriinfant</v>
      </c>
      <c r="Z1411" s="604">
        <v>2016</v>
      </c>
      <c r="AA1411" s="604" t="s">
        <v>454</v>
      </c>
      <c r="AB1411" s="604" t="s">
        <v>449</v>
      </c>
      <c r="AC1411" s="604" t="s">
        <v>426</v>
      </c>
      <c r="AD1411" s="604" t="s">
        <v>129</v>
      </c>
      <c r="AE1411" s="604">
        <v>0</v>
      </c>
      <c r="AF1411" s="604">
        <v>18</v>
      </c>
      <c r="AG1411" s="604" t="s">
        <v>119</v>
      </c>
      <c r="AH1411" s="604" t="s">
        <v>437</v>
      </c>
      <c r="BY1411" s="553" t="str">
        <f t="shared" si="152"/>
        <v>2006MidCentraldhbSUDI</v>
      </c>
      <c r="BZ1411" s="604">
        <v>2006</v>
      </c>
      <c r="CA1411" s="604" t="s">
        <v>94</v>
      </c>
      <c r="CB1411" s="604" t="s">
        <v>448</v>
      </c>
      <c r="CC1411" s="604">
        <v>4</v>
      </c>
      <c r="CD1411" s="604" t="s">
        <v>33</v>
      </c>
    </row>
    <row r="1412" spans="9:82">
      <c r="I1412" s="578" t="str">
        <f t="shared" ref="I1412:I1475" si="153">J1412&amp;K1412&amp;L1412&amp;P1412</f>
        <v>2001ethEuropean or OtherPeri</v>
      </c>
      <c r="J1412" s="604">
        <v>2001</v>
      </c>
      <c r="K1412" s="604" t="s">
        <v>449</v>
      </c>
      <c r="L1412" s="604" t="s">
        <v>356</v>
      </c>
      <c r="M1412" s="604">
        <v>268</v>
      </c>
      <c r="N1412" s="604">
        <v>30377</v>
      </c>
      <c r="O1412" s="604">
        <v>8.8000000000000007</v>
      </c>
      <c r="P1412" s="604" t="s">
        <v>483</v>
      </c>
      <c r="Q1412" s="499"/>
      <c r="Y1412" s="535" t="str">
        <f t="shared" ref="Y1412:Y1475" si="154">Z1412&amp;AA1412&amp;AB1412&amp;AC1412&amp;AD1412&amp;AH1412</f>
        <v>2016depethQuin 1Pacific peoplesinfant</v>
      </c>
      <c r="Z1412" s="604">
        <v>2016</v>
      </c>
      <c r="AA1412" s="604" t="s">
        <v>454</v>
      </c>
      <c r="AB1412" s="604" t="s">
        <v>449</v>
      </c>
      <c r="AC1412" s="604" t="s">
        <v>421</v>
      </c>
      <c r="AD1412" s="604" t="s">
        <v>320</v>
      </c>
      <c r="AE1412" s="604">
        <v>0</v>
      </c>
      <c r="AF1412" s="604">
        <v>271</v>
      </c>
      <c r="AG1412" s="604">
        <v>0</v>
      </c>
      <c r="AH1412" s="604" t="s">
        <v>437</v>
      </c>
      <c r="BY1412" s="553" t="str">
        <f t="shared" ref="BY1412:BY1475" si="155">BZ1412&amp;CA1412&amp;CB1412&amp;CD1412</f>
        <v>2006WhanganuidhbSUDI</v>
      </c>
      <c r="BZ1412" s="604">
        <v>2006</v>
      </c>
      <c r="CA1412" s="604" t="s">
        <v>95</v>
      </c>
      <c r="CB1412" s="604" t="s">
        <v>448</v>
      </c>
      <c r="CC1412" s="604">
        <v>0</v>
      </c>
      <c r="CD1412" s="604" t="s">
        <v>33</v>
      </c>
    </row>
    <row r="1413" spans="9:82">
      <c r="I1413" s="578" t="str">
        <f t="shared" si="153"/>
        <v>2002ethMaoriPeri</v>
      </c>
      <c r="J1413" s="604">
        <v>2002</v>
      </c>
      <c r="K1413" s="604" t="s">
        <v>449</v>
      </c>
      <c r="L1413" s="604" t="s">
        <v>129</v>
      </c>
      <c r="M1413" s="604">
        <v>165</v>
      </c>
      <c r="N1413" s="604">
        <v>15005</v>
      </c>
      <c r="O1413" s="604">
        <v>11</v>
      </c>
      <c r="P1413" s="604" t="s">
        <v>483</v>
      </c>
      <c r="Q1413" s="499"/>
      <c r="Y1413" s="535" t="str">
        <f t="shared" si="154"/>
        <v>2016depethQuin 2Pacific peoplesinfant</v>
      </c>
      <c r="Z1413" s="604">
        <v>2016</v>
      </c>
      <c r="AA1413" s="604" t="s">
        <v>454</v>
      </c>
      <c r="AB1413" s="604" t="s">
        <v>449</v>
      </c>
      <c r="AC1413" s="604" t="s">
        <v>422</v>
      </c>
      <c r="AD1413" s="604" t="s">
        <v>320</v>
      </c>
      <c r="AE1413" s="604">
        <v>0</v>
      </c>
      <c r="AF1413" s="604">
        <v>423</v>
      </c>
      <c r="AG1413" s="604">
        <v>0</v>
      </c>
      <c r="AH1413" s="604" t="s">
        <v>437</v>
      </c>
      <c r="BY1413" s="553" t="str">
        <f t="shared" si="155"/>
        <v>2006Capital &amp; CoastdhbSUDI</v>
      </c>
      <c r="BZ1413" s="604">
        <v>2006</v>
      </c>
      <c r="CA1413" s="604" t="s">
        <v>96</v>
      </c>
      <c r="CB1413" s="604" t="s">
        <v>448</v>
      </c>
      <c r="CC1413" s="604">
        <v>3</v>
      </c>
      <c r="CD1413" s="604" t="s">
        <v>33</v>
      </c>
    </row>
    <row r="1414" spans="9:82">
      <c r="I1414" s="578" t="str">
        <f t="shared" si="153"/>
        <v>2002ethPacific peoplesPeri</v>
      </c>
      <c r="J1414" s="604">
        <v>2002</v>
      </c>
      <c r="K1414" s="604" t="s">
        <v>449</v>
      </c>
      <c r="L1414" s="604" t="s">
        <v>320</v>
      </c>
      <c r="M1414" s="604">
        <v>76</v>
      </c>
      <c r="N1414" s="604">
        <v>6032</v>
      </c>
      <c r="O1414" s="604">
        <v>12.6</v>
      </c>
      <c r="P1414" s="604" t="s">
        <v>483</v>
      </c>
      <c r="Q1414" s="499"/>
      <c r="Y1414" s="535" t="str">
        <f t="shared" si="154"/>
        <v>2016depethQuin 3Pacific peoplesinfant</v>
      </c>
      <c r="Z1414" s="604">
        <v>2016</v>
      </c>
      <c r="AA1414" s="604" t="s">
        <v>454</v>
      </c>
      <c r="AB1414" s="604" t="s">
        <v>449</v>
      </c>
      <c r="AC1414" s="604" t="s">
        <v>423</v>
      </c>
      <c r="AD1414" s="604" t="s">
        <v>320</v>
      </c>
      <c r="AE1414" s="604">
        <v>0</v>
      </c>
      <c r="AF1414" s="604">
        <v>564</v>
      </c>
      <c r="AG1414" s="604">
        <v>0</v>
      </c>
      <c r="AH1414" s="604" t="s">
        <v>437</v>
      </c>
      <c r="BY1414" s="553" t="str">
        <f t="shared" si="155"/>
        <v>2006Hutt ValleydhbSUDI</v>
      </c>
      <c r="BZ1414" s="604">
        <v>2006</v>
      </c>
      <c r="CA1414" s="604" t="s">
        <v>97</v>
      </c>
      <c r="CB1414" s="604" t="s">
        <v>448</v>
      </c>
      <c r="CC1414" s="604">
        <v>5</v>
      </c>
      <c r="CD1414" s="604" t="s">
        <v>33</v>
      </c>
    </row>
    <row r="1415" spans="9:82">
      <c r="I1415" s="578" t="str">
        <f t="shared" si="153"/>
        <v>2002ethAsianPeri</v>
      </c>
      <c r="J1415" s="604">
        <v>2002</v>
      </c>
      <c r="K1415" s="604" t="s">
        <v>449</v>
      </c>
      <c r="L1415" s="604" t="s">
        <v>355</v>
      </c>
      <c r="M1415" s="604">
        <v>37</v>
      </c>
      <c r="N1415" s="604">
        <v>4626</v>
      </c>
      <c r="O1415" s="604">
        <v>8</v>
      </c>
      <c r="P1415" s="604" t="s">
        <v>483</v>
      </c>
      <c r="Q1415" s="499"/>
      <c r="Y1415" s="535" t="str">
        <f t="shared" si="154"/>
        <v>2016depethQuin 4Pacific peoplesinfant</v>
      </c>
      <c r="Z1415" s="604">
        <v>2016</v>
      </c>
      <c r="AA1415" s="604" t="s">
        <v>454</v>
      </c>
      <c r="AB1415" s="604" t="s">
        <v>449</v>
      </c>
      <c r="AC1415" s="604" t="s">
        <v>424</v>
      </c>
      <c r="AD1415" s="604" t="s">
        <v>320</v>
      </c>
      <c r="AE1415" s="604">
        <v>8</v>
      </c>
      <c r="AF1415" s="604">
        <v>1186</v>
      </c>
      <c r="AG1415" s="604">
        <v>6.7</v>
      </c>
      <c r="AH1415" s="604" t="s">
        <v>437</v>
      </c>
      <c r="BY1415" s="553" t="str">
        <f t="shared" si="155"/>
        <v>2006WairarapadhbSUDI</v>
      </c>
      <c r="BZ1415" s="604">
        <v>2006</v>
      </c>
      <c r="CA1415" s="604" t="s">
        <v>98</v>
      </c>
      <c r="CB1415" s="604" t="s">
        <v>448</v>
      </c>
      <c r="CC1415" s="604">
        <v>0</v>
      </c>
      <c r="CD1415" s="604" t="s">
        <v>33</v>
      </c>
    </row>
    <row r="1416" spans="9:82">
      <c r="I1416" s="578" t="str">
        <f t="shared" si="153"/>
        <v>2002ethEuropean or OtherPeri</v>
      </c>
      <c r="J1416" s="604">
        <v>2002</v>
      </c>
      <c r="K1416" s="604" t="s">
        <v>449</v>
      </c>
      <c r="L1416" s="604" t="s">
        <v>356</v>
      </c>
      <c r="M1416" s="604">
        <v>297</v>
      </c>
      <c r="N1416" s="604">
        <v>29242</v>
      </c>
      <c r="O1416" s="604">
        <v>10.199999999999999</v>
      </c>
      <c r="P1416" s="604" t="s">
        <v>483</v>
      </c>
      <c r="Q1416" s="499"/>
      <c r="Y1416" s="535" t="str">
        <f t="shared" si="154"/>
        <v>2016depethQuin 5Pacific peoplesinfant</v>
      </c>
      <c r="Z1416" s="604">
        <v>2016</v>
      </c>
      <c r="AA1416" s="604" t="s">
        <v>454</v>
      </c>
      <c r="AB1416" s="604" t="s">
        <v>449</v>
      </c>
      <c r="AC1416" s="604" t="s">
        <v>425</v>
      </c>
      <c r="AD1416" s="604" t="s">
        <v>320</v>
      </c>
      <c r="AE1416" s="604">
        <v>28</v>
      </c>
      <c r="AF1416" s="604">
        <v>3503</v>
      </c>
      <c r="AG1416" s="604">
        <v>8</v>
      </c>
      <c r="AH1416" s="604" t="s">
        <v>437</v>
      </c>
      <c r="BY1416" s="553" t="str">
        <f t="shared" si="155"/>
        <v>2006Nelson MarlboroughdhbSUDI</v>
      </c>
      <c r="BZ1416" s="604">
        <v>2006</v>
      </c>
      <c r="CA1416" s="604" t="s">
        <v>99</v>
      </c>
      <c r="CB1416" s="604" t="s">
        <v>448</v>
      </c>
      <c r="CC1416" s="604">
        <v>1</v>
      </c>
      <c r="CD1416" s="604" t="s">
        <v>33</v>
      </c>
    </row>
    <row r="1417" spans="9:82">
      <c r="I1417" s="578" t="str">
        <f t="shared" si="153"/>
        <v>2003ethMaoriPeri</v>
      </c>
      <c r="J1417" s="604">
        <v>2003</v>
      </c>
      <c r="K1417" s="604" t="s">
        <v>449</v>
      </c>
      <c r="L1417" s="604" t="s">
        <v>129</v>
      </c>
      <c r="M1417" s="604">
        <v>144</v>
      </c>
      <c r="N1417" s="604">
        <v>15785</v>
      </c>
      <c r="O1417" s="604">
        <v>9.1</v>
      </c>
      <c r="P1417" s="604" t="s">
        <v>483</v>
      </c>
      <c r="Q1417" s="499"/>
      <c r="Y1417" s="535" t="str">
        <f t="shared" si="154"/>
        <v>2016depethQuin 9Pacific peoplesinfant</v>
      </c>
      <c r="Z1417" s="604">
        <v>2016</v>
      </c>
      <c r="AA1417" s="604" t="s">
        <v>454</v>
      </c>
      <c r="AB1417" s="604" t="s">
        <v>449</v>
      </c>
      <c r="AC1417" s="604" t="s">
        <v>426</v>
      </c>
      <c r="AD1417" s="604" t="s">
        <v>320</v>
      </c>
      <c r="AE1417" s="604">
        <v>1</v>
      </c>
      <c r="AF1417" s="604">
        <v>29</v>
      </c>
      <c r="AG1417" s="604" t="s">
        <v>119</v>
      </c>
      <c r="AH1417" s="604" t="s">
        <v>437</v>
      </c>
      <c r="BY1417" s="553" t="str">
        <f t="shared" si="155"/>
        <v>2006West CoastdhbSUDI</v>
      </c>
      <c r="BZ1417" s="604">
        <v>2006</v>
      </c>
      <c r="CA1417" s="604" t="s">
        <v>100</v>
      </c>
      <c r="CB1417" s="604" t="s">
        <v>448</v>
      </c>
      <c r="CC1417" s="604">
        <v>0</v>
      </c>
      <c r="CD1417" s="604" t="s">
        <v>33</v>
      </c>
    </row>
    <row r="1418" spans="9:82">
      <c r="I1418" s="578" t="str">
        <f t="shared" si="153"/>
        <v>2003ethPacific peoplesPeri</v>
      </c>
      <c r="J1418" s="604">
        <v>2003</v>
      </c>
      <c r="K1418" s="604" t="s">
        <v>449</v>
      </c>
      <c r="L1418" s="604" t="s">
        <v>320</v>
      </c>
      <c r="M1418" s="604">
        <v>75</v>
      </c>
      <c r="N1418" s="604">
        <v>6195</v>
      </c>
      <c r="O1418" s="604">
        <v>12.1</v>
      </c>
      <c r="P1418" s="604" t="s">
        <v>483</v>
      </c>
      <c r="Q1418" s="499"/>
      <c r="Y1418" s="535" t="str">
        <f t="shared" si="154"/>
        <v>2016depethQuin 1Asianinfant</v>
      </c>
      <c r="Z1418" s="604">
        <v>2016</v>
      </c>
      <c r="AA1418" s="604" t="s">
        <v>454</v>
      </c>
      <c r="AB1418" s="604" t="s">
        <v>449</v>
      </c>
      <c r="AC1418" s="604" t="s">
        <v>421</v>
      </c>
      <c r="AD1418" s="604" t="s">
        <v>355</v>
      </c>
      <c r="AE1418" s="604">
        <v>6</v>
      </c>
      <c r="AF1418" s="604">
        <v>1910</v>
      </c>
      <c r="AG1418" s="604">
        <v>3.1</v>
      </c>
      <c r="AH1418" s="604" t="s">
        <v>437</v>
      </c>
      <c r="BY1418" s="553" t="str">
        <f t="shared" si="155"/>
        <v>2006CanterburydhbSUDI</v>
      </c>
      <c r="BZ1418" s="604">
        <v>2006</v>
      </c>
      <c r="CA1418" s="604" t="s">
        <v>101</v>
      </c>
      <c r="CB1418" s="604" t="s">
        <v>448</v>
      </c>
      <c r="CC1418" s="604">
        <v>6</v>
      </c>
      <c r="CD1418" s="604" t="s">
        <v>33</v>
      </c>
    </row>
    <row r="1419" spans="9:82">
      <c r="I1419" s="578" t="str">
        <f t="shared" si="153"/>
        <v>2003ethAsianPeri</v>
      </c>
      <c r="J1419" s="604">
        <v>2003</v>
      </c>
      <c r="K1419" s="604" t="s">
        <v>449</v>
      </c>
      <c r="L1419" s="604" t="s">
        <v>355</v>
      </c>
      <c r="M1419" s="604">
        <v>64</v>
      </c>
      <c r="N1419" s="604">
        <v>5272</v>
      </c>
      <c r="O1419" s="604">
        <v>12.1</v>
      </c>
      <c r="P1419" s="604" t="s">
        <v>483</v>
      </c>
      <c r="Q1419" s="499"/>
      <c r="Y1419" s="535" t="str">
        <f t="shared" si="154"/>
        <v>2016depethQuin 2Asianinfant</v>
      </c>
      <c r="Z1419" s="604">
        <v>2016</v>
      </c>
      <c r="AA1419" s="604" t="s">
        <v>454</v>
      </c>
      <c r="AB1419" s="604" t="s">
        <v>449</v>
      </c>
      <c r="AC1419" s="604" t="s">
        <v>422</v>
      </c>
      <c r="AD1419" s="604" t="s">
        <v>355</v>
      </c>
      <c r="AE1419" s="604">
        <v>4</v>
      </c>
      <c r="AF1419" s="604">
        <v>2186</v>
      </c>
      <c r="AG1419" s="604">
        <v>1.8</v>
      </c>
      <c r="AH1419" s="604" t="s">
        <v>437</v>
      </c>
      <c r="BY1419" s="553" t="str">
        <f t="shared" si="155"/>
        <v>2006South CanterburydhbSUDI</v>
      </c>
      <c r="BZ1419" s="604">
        <v>2006</v>
      </c>
      <c r="CA1419" s="604" t="s">
        <v>102</v>
      </c>
      <c r="CB1419" s="604" t="s">
        <v>448</v>
      </c>
      <c r="CC1419" s="604">
        <v>0</v>
      </c>
      <c r="CD1419" s="604" t="s">
        <v>33</v>
      </c>
    </row>
    <row r="1420" spans="9:82">
      <c r="I1420" s="578" t="str">
        <f t="shared" si="153"/>
        <v>2003ethEuropean or OtherPeri</v>
      </c>
      <c r="J1420" s="604">
        <v>2003</v>
      </c>
      <c r="K1420" s="604" t="s">
        <v>449</v>
      </c>
      <c r="L1420" s="604" t="s">
        <v>356</v>
      </c>
      <c r="M1420" s="604">
        <v>251</v>
      </c>
      <c r="N1420" s="604">
        <v>29717</v>
      </c>
      <c r="O1420" s="604">
        <v>8.4</v>
      </c>
      <c r="P1420" s="604" t="s">
        <v>483</v>
      </c>
      <c r="Q1420" s="499"/>
      <c r="Y1420" s="535" t="str">
        <f t="shared" si="154"/>
        <v>2016depethQuin 3Asianinfant</v>
      </c>
      <c r="Z1420" s="604">
        <v>2016</v>
      </c>
      <c r="AA1420" s="604" t="s">
        <v>454</v>
      </c>
      <c r="AB1420" s="604" t="s">
        <v>449</v>
      </c>
      <c r="AC1420" s="604" t="s">
        <v>423</v>
      </c>
      <c r="AD1420" s="604" t="s">
        <v>355</v>
      </c>
      <c r="AE1420" s="604">
        <v>4</v>
      </c>
      <c r="AF1420" s="604">
        <v>1969</v>
      </c>
      <c r="AG1420" s="604">
        <v>2</v>
      </c>
      <c r="AH1420" s="604" t="s">
        <v>437</v>
      </c>
      <c r="BY1420" s="553" t="str">
        <f t="shared" si="155"/>
        <v>2006SoutherndhbSUDI</v>
      </c>
      <c r="BZ1420" s="604">
        <v>2006</v>
      </c>
      <c r="CA1420" s="604" t="s">
        <v>103</v>
      </c>
      <c r="CB1420" s="604" t="s">
        <v>448</v>
      </c>
      <c r="CC1420" s="604">
        <v>2</v>
      </c>
      <c r="CD1420" s="604" t="s">
        <v>33</v>
      </c>
    </row>
    <row r="1421" spans="9:82">
      <c r="I1421" s="578" t="str">
        <f t="shared" si="153"/>
        <v>2004ethMaoriPeri</v>
      </c>
      <c r="J1421" s="604">
        <v>2004</v>
      </c>
      <c r="K1421" s="604" t="s">
        <v>449</v>
      </c>
      <c r="L1421" s="604" t="s">
        <v>129</v>
      </c>
      <c r="M1421" s="604">
        <v>177</v>
      </c>
      <c r="N1421" s="604">
        <v>16661</v>
      </c>
      <c r="O1421" s="604">
        <v>10.6</v>
      </c>
      <c r="P1421" s="604" t="s">
        <v>483</v>
      </c>
      <c r="Q1421" s="499"/>
      <c r="Y1421" s="535" t="str">
        <f t="shared" si="154"/>
        <v>2016depethQuin 4Asianinfant</v>
      </c>
      <c r="Z1421" s="604">
        <v>2016</v>
      </c>
      <c r="AA1421" s="604" t="s">
        <v>454</v>
      </c>
      <c r="AB1421" s="604" t="s">
        <v>449</v>
      </c>
      <c r="AC1421" s="604" t="s">
        <v>424</v>
      </c>
      <c r="AD1421" s="604" t="s">
        <v>355</v>
      </c>
      <c r="AE1421" s="604">
        <v>3</v>
      </c>
      <c r="AF1421" s="604">
        <v>2431</v>
      </c>
      <c r="AG1421" s="604">
        <v>1.2</v>
      </c>
      <c r="AH1421" s="604" t="s">
        <v>437</v>
      </c>
      <c r="BY1421" s="553" t="str">
        <f t="shared" si="155"/>
        <v>2006UnknowndhbSUDI</v>
      </c>
      <c r="BZ1421" s="604">
        <v>2006</v>
      </c>
      <c r="CA1421" s="604" t="s">
        <v>63</v>
      </c>
      <c r="CB1421" s="604" t="s">
        <v>448</v>
      </c>
      <c r="CC1421" s="604">
        <v>0</v>
      </c>
      <c r="CD1421" s="604" t="s">
        <v>33</v>
      </c>
    </row>
    <row r="1422" spans="9:82">
      <c r="I1422" s="578" t="str">
        <f t="shared" si="153"/>
        <v>2004ethPacific peoplesPeri</v>
      </c>
      <c r="J1422" s="604">
        <v>2004</v>
      </c>
      <c r="K1422" s="604" t="s">
        <v>449</v>
      </c>
      <c r="L1422" s="604" t="s">
        <v>320</v>
      </c>
      <c r="M1422" s="604">
        <v>90</v>
      </c>
      <c r="N1422" s="604">
        <v>6410</v>
      </c>
      <c r="O1422" s="604">
        <v>14</v>
      </c>
      <c r="P1422" s="604" t="s">
        <v>483</v>
      </c>
      <c r="Q1422" s="499"/>
      <c r="Y1422" s="535" t="str">
        <f t="shared" si="154"/>
        <v>2016depethQuin 5Asianinfant</v>
      </c>
      <c r="Z1422" s="604">
        <v>2016</v>
      </c>
      <c r="AA1422" s="604" t="s">
        <v>454</v>
      </c>
      <c r="AB1422" s="604" t="s">
        <v>449</v>
      </c>
      <c r="AC1422" s="604" t="s">
        <v>425</v>
      </c>
      <c r="AD1422" s="604" t="s">
        <v>355</v>
      </c>
      <c r="AE1422" s="604">
        <v>9</v>
      </c>
      <c r="AF1422" s="604">
        <v>2354</v>
      </c>
      <c r="AG1422" s="604">
        <v>3.8</v>
      </c>
      <c r="AH1422" s="604" t="s">
        <v>437</v>
      </c>
      <c r="BY1422" s="553" t="str">
        <f t="shared" si="155"/>
        <v>2007NorthlanddhbSUDI</v>
      </c>
      <c r="BZ1422" s="604">
        <v>2007</v>
      </c>
      <c r="CA1422" s="604" t="s">
        <v>85</v>
      </c>
      <c r="CB1422" s="604" t="s">
        <v>448</v>
      </c>
      <c r="CC1422" s="604">
        <v>3</v>
      </c>
      <c r="CD1422" s="604" t="s">
        <v>33</v>
      </c>
    </row>
    <row r="1423" spans="9:82">
      <c r="I1423" s="578" t="str">
        <f t="shared" si="153"/>
        <v>2004ethAsianPeri</v>
      </c>
      <c r="J1423" s="604">
        <v>2004</v>
      </c>
      <c r="K1423" s="604" t="s">
        <v>449</v>
      </c>
      <c r="L1423" s="604" t="s">
        <v>355</v>
      </c>
      <c r="M1423" s="604">
        <v>73</v>
      </c>
      <c r="N1423" s="604">
        <v>5704</v>
      </c>
      <c r="O1423" s="604">
        <v>12.8</v>
      </c>
      <c r="P1423" s="604" t="s">
        <v>483</v>
      </c>
      <c r="Q1423" s="499"/>
      <c r="Y1423" s="535" t="str">
        <f t="shared" si="154"/>
        <v>2016depethQuin 9Asianinfant</v>
      </c>
      <c r="Z1423" s="604">
        <v>2016</v>
      </c>
      <c r="AA1423" s="604" t="s">
        <v>454</v>
      </c>
      <c r="AB1423" s="604" t="s">
        <v>449</v>
      </c>
      <c r="AC1423" s="604" t="s">
        <v>426</v>
      </c>
      <c r="AD1423" s="604" t="s">
        <v>355</v>
      </c>
      <c r="AE1423" s="604">
        <v>1</v>
      </c>
      <c r="AF1423" s="604">
        <v>52</v>
      </c>
      <c r="AG1423" s="604" t="s">
        <v>119</v>
      </c>
      <c r="AH1423" s="604" t="s">
        <v>437</v>
      </c>
      <c r="BY1423" s="553" t="str">
        <f t="shared" si="155"/>
        <v>2007WaitematadhbSUDI</v>
      </c>
      <c r="BZ1423" s="604">
        <v>2007</v>
      </c>
      <c r="CA1423" s="604" t="s">
        <v>86</v>
      </c>
      <c r="CB1423" s="604" t="s">
        <v>448</v>
      </c>
      <c r="CC1423" s="604">
        <v>6</v>
      </c>
      <c r="CD1423" s="604" t="s">
        <v>33</v>
      </c>
    </row>
    <row r="1424" spans="9:82">
      <c r="I1424" s="578" t="str">
        <f t="shared" si="153"/>
        <v>2004ethEuropean or OtherPeri</v>
      </c>
      <c r="J1424" s="604">
        <v>2004</v>
      </c>
      <c r="K1424" s="604" t="s">
        <v>449</v>
      </c>
      <c r="L1424" s="604" t="s">
        <v>356</v>
      </c>
      <c r="M1424" s="604">
        <v>326</v>
      </c>
      <c r="N1424" s="604">
        <v>30454</v>
      </c>
      <c r="O1424" s="604">
        <v>10.7</v>
      </c>
      <c r="P1424" s="604" t="s">
        <v>483</v>
      </c>
      <c r="Q1424" s="499"/>
      <c r="Y1424" s="535" t="str">
        <f t="shared" si="154"/>
        <v>2016depethQuin 1European or Otherinfant</v>
      </c>
      <c r="Z1424" s="604">
        <v>2016</v>
      </c>
      <c r="AA1424" s="604" t="s">
        <v>454</v>
      </c>
      <c r="AB1424" s="604" t="s">
        <v>449</v>
      </c>
      <c r="AC1424" s="604" t="s">
        <v>421</v>
      </c>
      <c r="AD1424" s="604" t="s">
        <v>356</v>
      </c>
      <c r="AE1424" s="604">
        <v>14</v>
      </c>
      <c r="AF1424" s="604">
        <v>5854</v>
      </c>
      <c r="AG1424" s="604">
        <v>2.4</v>
      </c>
      <c r="AH1424" s="604" t="s">
        <v>437</v>
      </c>
      <c r="BY1424" s="553" t="str">
        <f t="shared" si="155"/>
        <v>2007AucklanddhbSUDI</v>
      </c>
      <c r="BZ1424" s="604">
        <v>2007</v>
      </c>
      <c r="CA1424" s="604" t="s">
        <v>87</v>
      </c>
      <c r="CB1424" s="604" t="s">
        <v>448</v>
      </c>
      <c r="CC1424" s="604">
        <v>6</v>
      </c>
      <c r="CD1424" s="604" t="s">
        <v>33</v>
      </c>
    </row>
    <row r="1425" spans="9:82">
      <c r="I1425" s="578" t="str">
        <f t="shared" si="153"/>
        <v>2005ethMaoriPeri</v>
      </c>
      <c r="J1425" s="604">
        <v>2005</v>
      </c>
      <c r="K1425" s="604" t="s">
        <v>449</v>
      </c>
      <c r="L1425" s="604" t="s">
        <v>129</v>
      </c>
      <c r="M1425" s="604">
        <v>161</v>
      </c>
      <c r="N1425" s="604">
        <v>17118</v>
      </c>
      <c r="O1425" s="604">
        <v>9.4</v>
      </c>
      <c r="P1425" s="604" t="s">
        <v>483</v>
      </c>
      <c r="Q1425" s="499"/>
      <c r="Y1425" s="535" t="str">
        <f t="shared" si="154"/>
        <v>2016depethQuin 2European or Otherinfant</v>
      </c>
      <c r="Z1425" s="604">
        <v>2016</v>
      </c>
      <c r="AA1425" s="604" t="s">
        <v>454</v>
      </c>
      <c r="AB1425" s="604" t="s">
        <v>449</v>
      </c>
      <c r="AC1425" s="604" t="s">
        <v>422</v>
      </c>
      <c r="AD1425" s="604" t="s">
        <v>356</v>
      </c>
      <c r="AE1425" s="604">
        <v>15</v>
      </c>
      <c r="AF1425" s="604">
        <v>5726</v>
      </c>
      <c r="AG1425" s="604">
        <v>2.6</v>
      </c>
      <c r="AH1425" s="604" t="s">
        <v>437</v>
      </c>
      <c r="BY1425" s="553" t="str">
        <f t="shared" si="155"/>
        <v>2007Counties ManukaudhbSUDI</v>
      </c>
      <c r="BZ1425" s="604">
        <v>2007</v>
      </c>
      <c r="CA1425" s="604" t="s">
        <v>88</v>
      </c>
      <c r="CB1425" s="604" t="s">
        <v>448</v>
      </c>
      <c r="CC1425" s="604">
        <v>12</v>
      </c>
      <c r="CD1425" s="604" t="s">
        <v>33</v>
      </c>
    </row>
    <row r="1426" spans="9:82">
      <c r="I1426" s="578" t="str">
        <f t="shared" si="153"/>
        <v>2005ethPacific peoplesPeri</v>
      </c>
      <c r="J1426" s="604">
        <v>2005</v>
      </c>
      <c r="K1426" s="604" t="s">
        <v>449</v>
      </c>
      <c r="L1426" s="604" t="s">
        <v>320</v>
      </c>
      <c r="M1426" s="604">
        <v>67</v>
      </c>
      <c r="N1426" s="604">
        <v>6281</v>
      </c>
      <c r="O1426" s="604">
        <v>10.7</v>
      </c>
      <c r="P1426" s="604" t="s">
        <v>483</v>
      </c>
      <c r="Q1426" s="499"/>
      <c r="Y1426" s="535" t="str">
        <f t="shared" si="154"/>
        <v>2016depethQuin 3European or Otherinfant</v>
      </c>
      <c r="Z1426" s="604">
        <v>2016</v>
      </c>
      <c r="AA1426" s="604" t="s">
        <v>454</v>
      </c>
      <c r="AB1426" s="604" t="s">
        <v>449</v>
      </c>
      <c r="AC1426" s="604" t="s">
        <v>423</v>
      </c>
      <c r="AD1426" s="604" t="s">
        <v>356</v>
      </c>
      <c r="AE1426" s="604">
        <v>16</v>
      </c>
      <c r="AF1426" s="604">
        <v>5795</v>
      </c>
      <c r="AG1426" s="604">
        <v>2.8</v>
      </c>
      <c r="AH1426" s="604" t="s">
        <v>437</v>
      </c>
      <c r="BY1426" s="553" t="str">
        <f t="shared" si="155"/>
        <v>2007WaikatodhbSUDI</v>
      </c>
      <c r="BZ1426" s="604">
        <v>2007</v>
      </c>
      <c r="CA1426" s="604" t="s">
        <v>89</v>
      </c>
      <c r="CB1426" s="604" t="s">
        <v>448</v>
      </c>
      <c r="CC1426" s="604">
        <v>10</v>
      </c>
      <c r="CD1426" s="604" t="s">
        <v>33</v>
      </c>
    </row>
    <row r="1427" spans="9:82">
      <c r="I1427" s="578" t="str">
        <f t="shared" si="153"/>
        <v>2005ethAsianPeri</v>
      </c>
      <c r="J1427" s="604">
        <v>2005</v>
      </c>
      <c r="K1427" s="604" t="s">
        <v>449</v>
      </c>
      <c r="L1427" s="604" t="s">
        <v>355</v>
      </c>
      <c r="M1427" s="604">
        <v>56</v>
      </c>
      <c r="N1427" s="604">
        <v>5538</v>
      </c>
      <c r="O1427" s="604">
        <v>10.1</v>
      </c>
      <c r="P1427" s="604" t="s">
        <v>483</v>
      </c>
      <c r="Q1427" s="499"/>
      <c r="Y1427" s="535" t="str">
        <f t="shared" si="154"/>
        <v>2016depethQuin 4European or Otherinfant</v>
      </c>
      <c r="Z1427" s="604">
        <v>2016</v>
      </c>
      <c r="AA1427" s="604" t="s">
        <v>454</v>
      </c>
      <c r="AB1427" s="604" t="s">
        <v>449</v>
      </c>
      <c r="AC1427" s="604" t="s">
        <v>424</v>
      </c>
      <c r="AD1427" s="604" t="s">
        <v>356</v>
      </c>
      <c r="AE1427" s="604">
        <v>19</v>
      </c>
      <c r="AF1427" s="604">
        <v>5495</v>
      </c>
      <c r="AG1427" s="604">
        <v>3.5</v>
      </c>
      <c r="AH1427" s="604" t="s">
        <v>437</v>
      </c>
      <c r="BY1427" s="553" t="str">
        <f t="shared" si="155"/>
        <v>2007LakesdhbSUDI</v>
      </c>
      <c r="BZ1427" s="604">
        <v>2007</v>
      </c>
      <c r="CA1427" s="604" t="s">
        <v>90</v>
      </c>
      <c r="CB1427" s="604" t="s">
        <v>448</v>
      </c>
      <c r="CC1427" s="604">
        <v>5</v>
      </c>
      <c r="CD1427" s="604" t="s">
        <v>33</v>
      </c>
    </row>
    <row r="1428" spans="9:82">
      <c r="I1428" s="578" t="str">
        <f t="shared" si="153"/>
        <v>2005ethEuropean or OtherPeri</v>
      </c>
      <c r="J1428" s="604">
        <v>2005</v>
      </c>
      <c r="K1428" s="604" t="s">
        <v>449</v>
      </c>
      <c r="L1428" s="604" t="s">
        <v>356</v>
      </c>
      <c r="M1428" s="604">
        <v>267</v>
      </c>
      <c r="N1428" s="604">
        <v>30193</v>
      </c>
      <c r="O1428" s="604">
        <v>8.8000000000000007</v>
      </c>
      <c r="P1428" s="604" t="s">
        <v>483</v>
      </c>
      <c r="Q1428" s="499"/>
      <c r="Y1428" s="535" t="str">
        <f t="shared" si="154"/>
        <v>2016depethQuin 5European or Otherinfant</v>
      </c>
      <c r="Z1428" s="604">
        <v>2016</v>
      </c>
      <c r="AA1428" s="604" t="s">
        <v>454</v>
      </c>
      <c r="AB1428" s="604" t="s">
        <v>449</v>
      </c>
      <c r="AC1428" s="604" t="s">
        <v>425</v>
      </c>
      <c r="AD1428" s="604" t="s">
        <v>356</v>
      </c>
      <c r="AE1428" s="604">
        <v>10</v>
      </c>
      <c r="AF1428" s="604">
        <v>3327</v>
      </c>
      <c r="AG1428" s="604">
        <v>3</v>
      </c>
      <c r="AH1428" s="604" t="s">
        <v>437</v>
      </c>
      <c r="BY1428" s="553" t="str">
        <f t="shared" si="155"/>
        <v>2007Bay of PlentydhbSUDI</v>
      </c>
      <c r="BZ1428" s="604">
        <v>2007</v>
      </c>
      <c r="CA1428" s="604" t="s">
        <v>91</v>
      </c>
      <c r="CB1428" s="604" t="s">
        <v>448</v>
      </c>
      <c r="CC1428" s="604">
        <v>3</v>
      </c>
      <c r="CD1428" s="604" t="s">
        <v>33</v>
      </c>
    </row>
    <row r="1429" spans="9:82">
      <c r="I1429" s="578" t="str">
        <f t="shared" si="153"/>
        <v>2006ethMaoriPeri</v>
      </c>
      <c r="J1429" s="604">
        <v>2006</v>
      </c>
      <c r="K1429" s="604" t="s">
        <v>449</v>
      </c>
      <c r="L1429" s="604" t="s">
        <v>129</v>
      </c>
      <c r="M1429" s="604">
        <v>151</v>
      </c>
      <c r="N1429" s="604">
        <v>18034</v>
      </c>
      <c r="O1429" s="604">
        <v>8.4</v>
      </c>
      <c r="P1429" s="604" t="s">
        <v>483</v>
      </c>
      <c r="Q1429" s="499"/>
      <c r="Y1429" s="535" t="str">
        <f t="shared" si="154"/>
        <v>2016depethQuin 9European or Otherinfant</v>
      </c>
      <c r="Z1429" s="604">
        <v>2016</v>
      </c>
      <c r="AA1429" s="604" t="s">
        <v>454</v>
      </c>
      <c r="AB1429" s="604" t="s">
        <v>449</v>
      </c>
      <c r="AC1429" s="604" t="s">
        <v>426</v>
      </c>
      <c r="AD1429" s="604" t="s">
        <v>356</v>
      </c>
      <c r="AE1429" s="604">
        <v>0</v>
      </c>
      <c r="AF1429" s="604">
        <v>32</v>
      </c>
      <c r="AG1429" s="604" t="s">
        <v>119</v>
      </c>
      <c r="AH1429" s="604" t="s">
        <v>437</v>
      </c>
      <c r="BY1429" s="553" t="str">
        <f t="shared" si="155"/>
        <v>2007TairawhitidhbSUDI</v>
      </c>
      <c r="BZ1429" s="604">
        <v>2007</v>
      </c>
      <c r="CA1429" s="604" t="s">
        <v>433</v>
      </c>
      <c r="CB1429" s="604" t="s">
        <v>448</v>
      </c>
      <c r="CC1429" s="604">
        <v>1</v>
      </c>
      <c r="CD1429" s="604" t="s">
        <v>33</v>
      </c>
    </row>
    <row r="1430" spans="9:82">
      <c r="I1430" s="578" t="str">
        <f t="shared" si="153"/>
        <v>2006ethPacific peoplesPeri</v>
      </c>
      <c r="J1430" s="604">
        <v>2006</v>
      </c>
      <c r="K1430" s="604" t="s">
        <v>449</v>
      </c>
      <c r="L1430" s="604" t="s">
        <v>320</v>
      </c>
      <c r="M1430" s="604">
        <v>72</v>
      </c>
      <c r="N1430" s="604">
        <v>6464</v>
      </c>
      <c r="O1430" s="604">
        <v>11.1</v>
      </c>
      <c r="P1430" s="604" t="s">
        <v>483</v>
      </c>
      <c r="Q1430" s="499"/>
      <c r="Y1430" s="535" t="str">
        <f t="shared" si="154"/>
        <v>2016gesteth&lt;28Maoriinfant</v>
      </c>
      <c r="Z1430" s="604">
        <v>2016</v>
      </c>
      <c r="AA1430" s="604" t="s">
        <v>450</v>
      </c>
      <c r="AB1430" s="604" t="s">
        <v>449</v>
      </c>
      <c r="AC1430" s="604" t="s">
        <v>375</v>
      </c>
      <c r="AD1430" s="604" t="s">
        <v>129</v>
      </c>
      <c r="AE1430" s="604">
        <v>35</v>
      </c>
      <c r="AF1430" s="604">
        <v>92</v>
      </c>
      <c r="AG1430" s="604">
        <v>380.4</v>
      </c>
      <c r="AH1430" s="604" t="s">
        <v>437</v>
      </c>
      <c r="BY1430" s="553" t="str">
        <f t="shared" si="155"/>
        <v>2007Hawke's BaydhbSUDI</v>
      </c>
      <c r="BZ1430" s="604">
        <v>2007</v>
      </c>
      <c r="CA1430" s="604" t="s">
        <v>92</v>
      </c>
      <c r="CB1430" s="604" t="s">
        <v>448</v>
      </c>
      <c r="CC1430" s="604">
        <v>2</v>
      </c>
      <c r="CD1430" s="604" t="s">
        <v>33</v>
      </c>
    </row>
    <row r="1431" spans="9:82">
      <c r="I1431" s="578" t="str">
        <f t="shared" si="153"/>
        <v>2006ethAsianPeri</v>
      </c>
      <c r="J1431" s="604">
        <v>2006</v>
      </c>
      <c r="K1431" s="604" t="s">
        <v>449</v>
      </c>
      <c r="L1431" s="604" t="s">
        <v>355</v>
      </c>
      <c r="M1431" s="604">
        <v>59</v>
      </c>
      <c r="N1431" s="604">
        <v>5436</v>
      </c>
      <c r="O1431" s="604">
        <v>10.9</v>
      </c>
      <c r="P1431" s="604" t="s">
        <v>483</v>
      </c>
      <c r="Q1431" s="499"/>
      <c r="Y1431" s="535" t="str">
        <f t="shared" si="154"/>
        <v>2016gesteth28-31Maoriinfant</v>
      </c>
      <c r="Z1431" s="604">
        <v>2016</v>
      </c>
      <c r="AA1431" s="604" t="s">
        <v>450</v>
      </c>
      <c r="AB1431" s="604" t="s">
        <v>449</v>
      </c>
      <c r="AC1431" s="604" t="s">
        <v>395</v>
      </c>
      <c r="AD1431" s="604" t="s">
        <v>129</v>
      </c>
      <c r="AE1431" s="604">
        <v>6</v>
      </c>
      <c r="AF1431" s="604">
        <v>139</v>
      </c>
      <c r="AG1431" s="604">
        <v>43.2</v>
      </c>
      <c r="AH1431" s="604" t="s">
        <v>437</v>
      </c>
      <c r="BY1431" s="553" t="str">
        <f t="shared" si="155"/>
        <v>2007TaranakidhbSUDI</v>
      </c>
      <c r="BZ1431" s="604">
        <v>2007</v>
      </c>
      <c r="CA1431" s="604" t="s">
        <v>93</v>
      </c>
      <c r="CB1431" s="604" t="s">
        <v>448</v>
      </c>
      <c r="CC1431" s="604">
        <v>1</v>
      </c>
      <c r="CD1431" s="604" t="s">
        <v>33</v>
      </c>
    </row>
    <row r="1432" spans="9:82">
      <c r="I1432" s="578" t="str">
        <f t="shared" si="153"/>
        <v>2006ethEuropean or OtherPeri</v>
      </c>
      <c r="J1432" s="604">
        <v>2006</v>
      </c>
      <c r="K1432" s="604" t="s">
        <v>449</v>
      </c>
      <c r="L1432" s="604" t="s">
        <v>356</v>
      </c>
      <c r="M1432" s="604">
        <v>264</v>
      </c>
      <c r="N1432" s="604">
        <v>30749</v>
      </c>
      <c r="O1432" s="604">
        <v>8.6</v>
      </c>
      <c r="P1432" s="604" t="s">
        <v>483</v>
      </c>
      <c r="Q1432" s="499"/>
      <c r="Y1432" s="535" t="str">
        <f t="shared" si="154"/>
        <v>2016gesteth32-36Maoriinfant</v>
      </c>
      <c r="Z1432" s="604">
        <v>2016</v>
      </c>
      <c r="AA1432" s="604" t="s">
        <v>450</v>
      </c>
      <c r="AB1432" s="604" t="s">
        <v>449</v>
      </c>
      <c r="AC1432" s="604" t="s">
        <v>136</v>
      </c>
      <c r="AD1432" s="604" t="s">
        <v>129</v>
      </c>
      <c r="AE1432" s="604">
        <v>8</v>
      </c>
      <c r="AF1432" s="604">
        <v>1193</v>
      </c>
      <c r="AG1432" s="604">
        <v>6.7</v>
      </c>
      <c r="AH1432" s="604" t="s">
        <v>437</v>
      </c>
      <c r="BY1432" s="553" t="str">
        <f t="shared" si="155"/>
        <v>2007MidCentraldhbSUDI</v>
      </c>
      <c r="BZ1432" s="604">
        <v>2007</v>
      </c>
      <c r="CA1432" s="604" t="s">
        <v>94</v>
      </c>
      <c r="CB1432" s="604" t="s">
        <v>448</v>
      </c>
      <c r="CC1432" s="604">
        <v>2</v>
      </c>
      <c r="CD1432" s="604" t="s">
        <v>33</v>
      </c>
    </row>
    <row r="1433" spans="9:82">
      <c r="I1433" s="578" t="str">
        <f t="shared" si="153"/>
        <v>2007ethMaoriPeri</v>
      </c>
      <c r="J1433" s="604">
        <v>2007</v>
      </c>
      <c r="K1433" s="604" t="s">
        <v>449</v>
      </c>
      <c r="L1433" s="604" t="s">
        <v>129</v>
      </c>
      <c r="M1433" s="604">
        <v>167</v>
      </c>
      <c r="N1433" s="604">
        <v>19464</v>
      </c>
      <c r="O1433" s="604">
        <v>8.6</v>
      </c>
      <c r="P1433" s="604" t="s">
        <v>483</v>
      </c>
      <c r="Q1433" s="499"/>
      <c r="Y1433" s="535" t="str">
        <f t="shared" si="154"/>
        <v>2016gesteth37-41Maoriinfant</v>
      </c>
      <c r="Z1433" s="604">
        <v>2016</v>
      </c>
      <c r="AA1433" s="604" t="s">
        <v>450</v>
      </c>
      <c r="AB1433" s="604" t="s">
        <v>449</v>
      </c>
      <c r="AC1433" s="604" t="s">
        <v>137</v>
      </c>
      <c r="AD1433" s="604" t="s">
        <v>129</v>
      </c>
      <c r="AE1433" s="604">
        <v>44</v>
      </c>
      <c r="AF1433" s="604">
        <v>15611</v>
      </c>
      <c r="AG1433" s="604">
        <v>2.8</v>
      </c>
      <c r="AH1433" s="604" t="s">
        <v>437</v>
      </c>
      <c r="BY1433" s="553" t="str">
        <f t="shared" si="155"/>
        <v>2007WhanganuidhbSUDI</v>
      </c>
      <c r="BZ1433" s="604">
        <v>2007</v>
      </c>
      <c r="CA1433" s="604" t="s">
        <v>95</v>
      </c>
      <c r="CB1433" s="604" t="s">
        <v>448</v>
      </c>
      <c r="CC1433" s="604">
        <v>2</v>
      </c>
      <c r="CD1433" s="604" t="s">
        <v>33</v>
      </c>
    </row>
    <row r="1434" spans="9:82">
      <c r="I1434" s="578" t="str">
        <f t="shared" si="153"/>
        <v>2007ethPacific peoplesPeri</v>
      </c>
      <c r="J1434" s="604">
        <v>2007</v>
      </c>
      <c r="K1434" s="604" t="s">
        <v>449</v>
      </c>
      <c r="L1434" s="604" t="s">
        <v>320</v>
      </c>
      <c r="M1434" s="604">
        <v>74</v>
      </c>
      <c r="N1434" s="604">
        <v>7063</v>
      </c>
      <c r="O1434" s="604">
        <v>10.5</v>
      </c>
      <c r="P1434" s="604" t="s">
        <v>483</v>
      </c>
      <c r="Q1434" s="499"/>
      <c r="Y1434" s="535" t="str">
        <f t="shared" si="154"/>
        <v>2016gesteth42+Maoriinfant</v>
      </c>
      <c r="Z1434" s="604">
        <v>2016</v>
      </c>
      <c r="AA1434" s="604" t="s">
        <v>450</v>
      </c>
      <c r="AB1434" s="604" t="s">
        <v>449</v>
      </c>
      <c r="AC1434" s="604" t="s">
        <v>138</v>
      </c>
      <c r="AD1434" s="604" t="s">
        <v>129</v>
      </c>
      <c r="AE1434" s="604">
        <v>3</v>
      </c>
      <c r="AF1434" s="604">
        <v>281</v>
      </c>
      <c r="AG1434" s="604">
        <v>10.7</v>
      </c>
      <c r="AH1434" s="604" t="s">
        <v>437</v>
      </c>
      <c r="BY1434" s="553" t="str">
        <f t="shared" si="155"/>
        <v>2007Capital &amp; CoastdhbSUDI</v>
      </c>
      <c r="BZ1434" s="604">
        <v>2007</v>
      </c>
      <c r="CA1434" s="604" t="s">
        <v>96</v>
      </c>
      <c r="CB1434" s="604" t="s">
        <v>448</v>
      </c>
      <c r="CC1434" s="604">
        <v>0</v>
      </c>
      <c r="CD1434" s="604" t="s">
        <v>33</v>
      </c>
    </row>
    <row r="1435" spans="9:82">
      <c r="I1435" s="578" t="str">
        <f t="shared" si="153"/>
        <v>2007ethAsianPeri</v>
      </c>
      <c r="J1435" s="604">
        <v>2007</v>
      </c>
      <c r="K1435" s="604" t="s">
        <v>449</v>
      </c>
      <c r="L1435" s="604" t="s">
        <v>355</v>
      </c>
      <c r="M1435" s="604">
        <v>52</v>
      </c>
      <c r="N1435" s="604">
        <v>6430</v>
      </c>
      <c r="O1435" s="604">
        <v>8.1</v>
      </c>
      <c r="P1435" s="604" t="s">
        <v>483</v>
      </c>
      <c r="Q1435" s="499"/>
      <c r="Y1435" s="535" t="str">
        <f t="shared" si="154"/>
        <v>2016gestethUnknownMaoriinfant</v>
      </c>
      <c r="Z1435" s="604">
        <v>2016</v>
      </c>
      <c r="AA1435" s="604" t="s">
        <v>450</v>
      </c>
      <c r="AB1435" s="604" t="s">
        <v>449</v>
      </c>
      <c r="AC1435" s="604" t="s">
        <v>63</v>
      </c>
      <c r="AD1435" s="604" t="s">
        <v>129</v>
      </c>
      <c r="AE1435" s="604">
        <v>7</v>
      </c>
      <c r="AF1435" s="604">
        <v>13</v>
      </c>
      <c r="AG1435" s="604" t="s">
        <v>119</v>
      </c>
      <c r="AH1435" s="604" t="s">
        <v>437</v>
      </c>
      <c r="BY1435" s="553" t="str">
        <f t="shared" si="155"/>
        <v>2007Hutt ValleydhbSUDI</v>
      </c>
      <c r="BZ1435" s="604">
        <v>2007</v>
      </c>
      <c r="CA1435" s="604" t="s">
        <v>97</v>
      </c>
      <c r="CB1435" s="604" t="s">
        <v>448</v>
      </c>
      <c r="CC1435" s="604">
        <v>3</v>
      </c>
      <c r="CD1435" s="604" t="s">
        <v>33</v>
      </c>
    </row>
    <row r="1436" spans="9:82">
      <c r="I1436" s="578" t="str">
        <f t="shared" si="153"/>
        <v>2007ethEuropean or OtherPeri</v>
      </c>
      <c r="J1436" s="604">
        <v>2007</v>
      </c>
      <c r="K1436" s="604" t="s">
        <v>449</v>
      </c>
      <c r="L1436" s="604" t="s">
        <v>356</v>
      </c>
      <c r="M1436" s="604">
        <v>311</v>
      </c>
      <c r="N1436" s="604">
        <v>32634</v>
      </c>
      <c r="O1436" s="604">
        <v>9.5</v>
      </c>
      <c r="P1436" s="604" t="s">
        <v>483</v>
      </c>
      <c r="Q1436" s="499"/>
      <c r="Y1436" s="535" t="str">
        <f t="shared" si="154"/>
        <v>2016gesteth&lt;28Pacific peoplesinfant</v>
      </c>
      <c r="Z1436" s="604">
        <v>2016</v>
      </c>
      <c r="AA1436" s="604" t="s">
        <v>450</v>
      </c>
      <c r="AB1436" s="604" t="s">
        <v>449</v>
      </c>
      <c r="AC1436" s="604" t="s">
        <v>375</v>
      </c>
      <c r="AD1436" s="604" t="s">
        <v>320</v>
      </c>
      <c r="AE1436" s="604">
        <v>14</v>
      </c>
      <c r="AF1436" s="604">
        <v>36</v>
      </c>
      <c r="AG1436" s="604">
        <v>388.9</v>
      </c>
      <c r="AH1436" s="604" t="s">
        <v>437</v>
      </c>
      <c r="BY1436" s="553" t="str">
        <f t="shared" si="155"/>
        <v>2007WairarapadhbSUDI</v>
      </c>
      <c r="BZ1436" s="604">
        <v>2007</v>
      </c>
      <c r="CA1436" s="604" t="s">
        <v>98</v>
      </c>
      <c r="CB1436" s="604" t="s">
        <v>448</v>
      </c>
      <c r="CC1436" s="604">
        <v>0</v>
      </c>
      <c r="CD1436" s="604" t="s">
        <v>33</v>
      </c>
    </row>
    <row r="1437" spans="9:82">
      <c r="I1437" s="578" t="str">
        <f t="shared" si="153"/>
        <v>2008ethMaoriPeri</v>
      </c>
      <c r="J1437" s="604">
        <v>2008</v>
      </c>
      <c r="K1437" s="604" t="s">
        <v>449</v>
      </c>
      <c r="L1437" s="604" t="s">
        <v>129</v>
      </c>
      <c r="M1437" s="604">
        <v>227</v>
      </c>
      <c r="N1437" s="604">
        <v>19623</v>
      </c>
      <c r="O1437" s="604">
        <v>11.6</v>
      </c>
      <c r="P1437" s="604" t="s">
        <v>483</v>
      </c>
      <c r="Q1437" s="499"/>
      <c r="Y1437" s="535" t="str">
        <f t="shared" si="154"/>
        <v>2016gesteth28-31Pacific peoplesinfant</v>
      </c>
      <c r="Z1437" s="604">
        <v>2016</v>
      </c>
      <c r="AA1437" s="604" t="s">
        <v>450</v>
      </c>
      <c r="AB1437" s="604" t="s">
        <v>449</v>
      </c>
      <c r="AC1437" s="604" t="s">
        <v>395</v>
      </c>
      <c r="AD1437" s="604" t="s">
        <v>320</v>
      </c>
      <c r="AE1437" s="604">
        <v>3</v>
      </c>
      <c r="AF1437" s="604">
        <v>29</v>
      </c>
      <c r="AG1437" s="604">
        <v>103.4</v>
      </c>
      <c r="AH1437" s="604" t="s">
        <v>437</v>
      </c>
      <c r="BY1437" s="553" t="str">
        <f t="shared" si="155"/>
        <v>2007Nelson MarlboroughdhbSUDI</v>
      </c>
      <c r="BZ1437" s="604">
        <v>2007</v>
      </c>
      <c r="CA1437" s="604" t="s">
        <v>99</v>
      </c>
      <c r="CB1437" s="604" t="s">
        <v>448</v>
      </c>
      <c r="CC1437" s="604">
        <v>1</v>
      </c>
      <c r="CD1437" s="604" t="s">
        <v>33</v>
      </c>
    </row>
    <row r="1438" spans="9:82">
      <c r="I1438" s="578" t="str">
        <f t="shared" si="153"/>
        <v>2008ethPacific peoplesPeri</v>
      </c>
      <c r="J1438" s="604">
        <v>2008</v>
      </c>
      <c r="K1438" s="604" t="s">
        <v>449</v>
      </c>
      <c r="L1438" s="604" t="s">
        <v>320</v>
      </c>
      <c r="M1438" s="604">
        <v>99</v>
      </c>
      <c r="N1438" s="604">
        <v>7301</v>
      </c>
      <c r="O1438" s="604">
        <v>13.6</v>
      </c>
      <c r="P1438" s="604" t="s">
        <v>483</v>
      </c>
      <c r="Q1438" s="499"/>
      <c r="Y1438" s="535" t="str">
        <f t="shared" si="154"/>
        <v>2016gesteth32-36Pacific peoplesinfant</v>
      </c>
      <c r="Z1438" s="604">
        <v>2016</v>
      </c>
      <c r="AA1438" s="604" t="s">
        <v>450</v>
      </c>
      <c r="AB1438" s="604" t="s">
        <v>449</v>
      </c>
      <c r="AC1438" s="604" t="s">
        <v>136</v>
      </c>
      <c r="AD1438" s="604" t="s">
        <v>320</v>
      </c>
      <c r="AE1438" s="604">
        <v>8</v>
      </c>
      <c r="AF1438" s="604">
        <v>376</v>
      </c>
      <c r="AG1438" s="604">
        <v>21.3</v>
      </c>
      <c r="AH1438" s="604" t="s">
        <v>437</v>
      </c>
      <c r="BY1438" s="553" t="str">
        <f t="shared" si="155"/>
        <v>2007West CoastdhbSUDI</v>
      </c>
      <c r="BZ1438" s="604">
        <v>2007</v>
      </c>
      <c r="CA1438" s="604" t="s">
        <v>100</v>
      </c>
      <c r="CB1438" s="604" t="s">
        <v>448</v>
      </c>
      <c r="CC1438" s="604">
        <v>0</v>
      </c>
      <c r="CD1438" s="604" t="s">
        <v>33</v>
      </c>
    </row>
    <row r="1439" spans="9:82">
      <c r="I1439" s="578" t="str">
        <f t="shared" si="153"/>
        <v>2008ethAsianPeri</v>
      </c>
      <c r="J1439" s="604">
        <v>2008</v>
      </c>
      <c r="K1439" s="604" t="s">
        <v>449</v>
      </c>
      <c r="L1439" s="604" t="s">
        <v>355</v>
      </c>
      <c r="M1439" s="604">
        <v>71</v>
      </c>
      <c r="N1439" s="604">
        <v>6618</v>
      </c>
      <c r="O1439" s="604">
        <v>10.7</v>
      </c>
      <c r="P1439" s="604" t="s">
        <v>483</v>
      </c>
      <c r="Q1439" s="499"/>
      <c r="Y1439" s="535" t="str">
        <f t="shared" si="154"/>
        <v>2016gesteth37-41Pacific peoplesinfant</v>
      </c>
      <c r="Z1439" s="604">
        <v>2016</v>
      </c>
      <c r="AA1439" s="604" t="s">
        <v>450</v>
      </c>
      <c r="AB1439" s="604" t="s">
        <v>449</v>
      </c>
      <c r="AC1439" s="604" t="s">
        <v>137</v>
      </c>
      <c r="AD1439" s="604" t="s">
        <v>320</v>
      </c>
      <c r="AE1439" s="604">
        <v>10</v>
      </c>
      <c r="AF1439" s="604">
        <v>5433</v>
      </c>
      <c r="AG1439" s="604">
        <v>1.8</v>
      </c>
      <c r="AH1439" s="604" t="s">
        <v>437</v>
      </c>
      <c r="BY1439" s="553" t="str">
        <f t="shared" si="155"/>
        <v>2007CanterburydhbSUDI</v>
      </c>
      <c r="BZ1439" s="604">
        <v>2007</v>
      </c>
      <c r="CA1439" s="604" t="s">
        <v>101</v>
      </c>
      <c r="CB1439" s="604" t="s">
        <v>448</v>
      </c>
      <c r="CC1439" s="604">
        <v>4</v>
      </c>
      <c r="CD1439" s="604" t="s">
        <v>33</v>
      </c>
    </row>
    <row r="1440" spans="9:82">
      <c r="I1440" s="578" t="str">
        <f t="shared" si="153"/>
        <v>2008ethEuropean or OtherPeri</v>
      </c>
      <c r="J1440" s="604">
        <v>2008</v>
      </c>
      <c r="K1440" s="604" t="s">
        <v>449</v>
      </c>
      <c r="L1440" s="604" t="s">
        <v>356</v>
      </c>
      <c r="M1440" s="604">
        <v>304</v>
      </c>
      <c r="N1440" s="604">
        <v>32347</v>
      </c>
      <c r="O1440" s="604">
        <v>9.4</v>
      </c>
      <c r="P1440" s="604" t="s">
        <v>483</v>
      </c>
      <c r="Q1440" s="499"/>
      <c r="Y1440" s="535" t="str">
        <f t="shared" si="154"/>
        <v>2016gesteth42+Pacific peoplesinfant</v>
      </c>
      <c r="Z1440" s="604">
        <v>2016</v>
      </c>
      <c r="AA1440" s="604" t="s">
        <v>450</v>
      </c>
      <c r="AB1440" s="604" t="s">
        <v>449</v>
      </c>
      <c r="AC1440" s="604" t="s">
        <v>138</v>
      </c>
      <c r="AD1440" s="604" t="s">
        <v>320</v>
      </c>
      <c r="AE1440" s="604">
        <v>0</v>
      </c>
      <c r="AF1440" s="604">
        <v>101</v>
      </c>
      <c r="AG1440" s="604">
        <v>0</v>
      </c>
      <c r="AH1440" s="604" t="s">
        <v>437</v>
      </c>
      <c r="BY1440" s="553" t="str">
        <f t="shared" si="155"/>
        <v>2007South CanterburydhbSUDI</v>
      </c>
      <c r="BZ1440" s="604">
        <v>2007</v>
      </c>
      <c r="CA1440" s="604" t="s">
        <v>102</v>
      </c>
      <c r="CB1440" s="604" t="s">
        <v>448</v>
      </c>
      <c r="CC1440" s="604">
        <v>1</v>
      </c>
      <c r="CD1440" s="604" t="s">
        <v>33</v>
      </c>
    </row>
    <row r="1441" spans="9:82">
      <c r="I1441" s="578" t="str">
        <f t="shared" si="153"/>
        <v>2009ethMaoriPeri</v>
      </c>
      <c r="J1441" s="604">
        <v>2009</v>
      </c>
      <c r="K1441" s="604" t="s">
        <v>449</v>
      </c>
      <c r="L1441" s="604" t="s">
        <v>129</v>
      </c>
      <c r="M1441" s="604">
        <v>202</v>
      </c>
      <c r="N1441" s="604">
        <v>18620</v>
      </c>
      <c r="O1441" s="604">
        <v>10.8</v>
      </c>
      <c r="P1441" s="604" t="s">
        <v>483</v>
      </c>
      <c r="Q1441" s="499"/>
      <c r="Y1441" s="535" t="str">
        <f t="shared" si="154"/>
        <v>2016gestethUnknownPacific peoplesinfant</v>
      </c>
      <c r="Z1441" s="604">
        <v>2016</v>
      </c>
      <c r="AA1441" s="604" t="s">
        <v>450</v>
      </c>
      <c r="AB1441" s="604" t="s">
        <v>449</v>
      </c>
      <c r="AC1441" s="604" t="s">
        <v>63</v>
      </c>
      <c r="AD1441" s="604" t="s">
        <v>320</v>
      </c>
      <c r="AE1441" s="604">
        <v>2</v>
      </c>
      <c r="AF1441" s="604">
        <v>1</v>
      </c>
      <c r="AG1441" s="604" t="s">
        <v>119</v>
      </c>
      <c r="AH1441" s="604" t="s">
        <v>437</v>
      </c>
      <c r="BY1441" s="553" t="str">
        <f t="shared" si="155"/>
        <v>2007SoutherndhbSUDI</v>
      </c>
      <c r="BZ1441" s="604">
        <v>2007</v>
      </c>
      <c r="CA1441" s="604" t="s">
        <v>103</v>
      </c>
      <c r="CB1441" s="604" t="s">
        <v>448</v>
      </c>
      <c r="CC1441" s="604">
        <v>2</v>
      </c>
      <c r="CD1441" s="604" t="s">
        <v>33</v>
      </c>
    </row>
    <row r="1442" spans="9:82">
      <c r="I1442" s="578" t="str">
        <f t="shared" si="153"/>
        <v>2009ethPacific peoplesPeri</v>
      </c>
      <c r="J1442" s="604">
        <v>2009</v>
      </c>
      <c r="K1442" s="604" t="s">
        <v>449</v>
      </c>
      <c r="L1442" s="604" t="s">
        <v>320</v>
      </c>
      <c r="M1442" s="604">
        <v>84</v>
      </c>
      <c r="N1442" s="604">
        <v>7190</v>
      </c>
      <c r="O1442" s="604">
        <v>11.7</v>
      </c>
      <c r="P1442" s="604" t="s">
        <v>483</v>
      </c>
      <c r="Q1442" s="499"/>
      <c r="Y1442" s="535" t="str">
        <f t="shared" si="154"/>
        <v>2016gesteth&lt;28Asianinfant</v>
      </c>
      <c r="Z1442" s="604">
        <v>2016</v>
      </c>
      <c r="AA1442" s="604" t="s">
        <v>450</v>
      </c>
      <c r="AB1442" s="604" t="s">
        <v>449</v>
      </c>
      <c r="AC1442" s="604" t="s">
        <v>375</v>
      </c>
      <c r="AD1442" s="604" t="s">
        <v>355</v>
      </c>
      <c r="AE1442" s="604">
        <v>16</v>
      </c>
      <c r="AF1442" s="604">
        <v>52</v>
      </c>
      <c r="AG1442" s="604">
        <v>307.7</v>
      </c>
      <c r="AH1442" s="604" t="s">
        <v>437</v>
      </c>
      <c r="BY1442" s="553" t="str">
        <f t="shared" si="155"/>
        <v>2007UnknowndhbSUDI</v>
      </c>
      <c r="BZ1442" s="604">
        <v>2007</v>
      </c>
      <c r="CA1442" s="604" t="s">
        <v>63</v>
      </c>
      <c r="CB1442" s="604" t="s">
        <v>448</v>
      </c>
      <c r="CC1442" s="604">
        <v>0</v>
      </c>
      <c r="CD1442" s="604" t="s">
        <v>33</v>
      </c>
    </row>
    <row r="1443" spans="9:82">
      <c r="I1443" s="578" t="str">
        <f t="shared" si="153"/>
        <v>2009ethAsianPeri</v>
      </c>
      <c r="J1443" s="604">
        <v>2009</v>
      </c>
      <c r="K1443" s="604" t="s">
        <v>449</v>
      </c>
      <c r="L1443" s="604" t="s">
        <v>355</v>
      </c>
      <c r="M1443" s="604">
        <v>63</v>
      </c>
      <c r="N1443" s="604">
        <v>6810</v>
      </c>
      <c r="O1443" s="604">
        <v>9.3000000000000007</v>
      </c>
      <c r="P1443" s="604" t="s">
        <v>483</v>
      </c>
      <c r="Q1443" s="499"/>
      <c r="Y1443" s="535" t="str">
        <f t="shared" si="154"/>
        <v>2016gesteth28-31Asianinfant</v>
      </c>
      <c r="Z1443" s="604">
        <v>2016</v>
      </c>
      <c r="AA1443" s="604" t="s">
        <v>450</v>
      </c>
      <c r="AB1443" s="604" t="s">
        <v>449</v>
      </c>
      <c r="AC1443" s="604" t="s">
        <v>395</v>
      </c>
      <c r="AD1443" s="604" t="s">
        <v>355</v>
      </c>
      <c r="AE1443" s="604">
        <v>2</v>
      </c>
      <c r="AF1443" s="604">
        <v>71</v>
      </c>
      <c r="AG1443" s="604">
        <v>28.2</v>
      </c>
      <c r="AH1443" s="604" t="s">
        <v>437</v>
      </c>
      <c r="BY1443" s="553" t="str">
        <f t="shared" si="155"/>
        <v>2008NorthlanddhbSUDI</v>
      </c>
      <c r="BZ1443" s="604">
        <v>2008</v>
      </c>
      <c r="CA1443" s="604" t="s">
        <v>85</v>
      </c>
      <c r="CB1443" s="604" t="s">
        <v>448</v>
      </c>
      <c r="CC1443" s="604">
        <v>5</v>
      </c>
      <c r="CD1443" s="604" t="s">
        <v>33</v>
      </c>
    </row>
    <row r="1444" spans="9:82">
      <c r="I1444" s="578" t="str">
        <f t="shared" si="153"/>
        <v>2009ethEuropean or OtherPeri</v>
      </c>
      <c r="J1444" s="604">
        <v>2009</v>
      </c>
      <c r="K1444" s="604" t="s">
        <v>449</v>
      </c>
      <c r="L1444" s="604" t="s">
        <v>356</v>
      </c>
      <c r="M1444" s="604">
        <v>285</v>
      </c>
      <c r="N1444" s="604">
        <v>31147</v>
      </c>
      <c r="O1444" s="604">
        <v>9.1999999999999993</v>
      </c>
      <c r="P1444" s="604" t="s">
        <v>483</v>
      </c>
      <c r="Q1444" s="499"/>
      <c r="Y1444" s="535" t="str">
        <f t="shared" si="154"/>
        <v>2016gesteth32-36Asianinfant</v>
      </c>
      <c r="Z1444" s="604">
        <v>2016</v>
      </c>
      <c r="AA1444" s="604" t="s">
        <v>450</v>
      </c>
      <c r="AB1444" s="604" t="s">
        <v>449</v>
      </c>
      <c r="AC1444" s="604" t="s">
        <v>136</v>
      </c>
      <c r="AD1444" s="604" t="s">
        <v>355</v>
      </c>
      <c r="AE1444" s="604">
        <v>1</v>
      </c>
      <c r="AF1444" s="604">
        <v>611</v>
      </c>
      <c r="AG1444" s="604">
        <v>1.6</v>
      </c>
      <c r="AH1444" s="604" t="s">
        <v>437</v>
      </c>
      <c r="BY1444" s="553" t="str">
        <f t="shared" si="155"/>
        <v>2008WaitematadhbSUDI</v>
      </c>
      <c r="BZ1444" s="604">
        <v>2008</v>
      </c>
      <c r="CA1444" s="604" t="s">
        <v>86</v>
      </c>
      <c r="CB1444" s="604" t="s">
        <v>448</v>
      </c>
      <c r="CC1444" s="604">
        <v>5</v>
      </c>
      <c r="CD1444" s="604" t="s">
        <v>33</v>
      </c>
    </row>
    <row r="1445" spans="9:82">
      <c r="I1445" s="578" t="str">
        <f t="shared" si="153"/>
        <v>2010ethMaoriPeri</v>
      </c>
      <c r="J1445" s="604">
        <v>2010</v>
      </c>
      <c r="K1445" s="604" t="s">
        <v>449</v>
      </c>
      <c r="L1445" s="604" t="s">
        <v>129</v>
      </c>
      <c r="M1445" s="604">
        <v>205</v>
      </c>
      <c r="N1445" s="604">
        <v>19044</v>
      </c>
      <c r="O1445" s="604">
        <v>10.8</v>
      </c>
      <c r="P1445" s="604" t="s">
        <v>483</v>
      </c>
      <c r="Q1445" s="499"/>
      <c r="Y1445" s="535" t="str">
        <f t="shared" si="154"/>
        <v>2016gesteth37-41Asianinfant</v>
      </c>
      <c r="Z1445" s="604">
        <v>2016</v>
      </c>
      <c r="AA1445" s="604" t="s">
        <v>450</v>
      </c>
      <c r="AB1445" s="604" t="s">
        <v>449</v>
      </c>
      <c r="AC1445" s="604" t="s">
        <v>137</v>
      </c>
      <c r="AD1445" s="604" t="s">
        <v>355</v>
      </c>
      <c r="AE1445" s="604">
        <v>7</v>
      </c>
      <c r="AF1445" s="604">
        <v>10044</v>
      </c>
      <c r="AG1445" s="604">
        <v>0.7</v>
      </c>
      <c r="AH1445" s="604" t="s">
        <v>437</v>
      </c>
      <c r="BY1445" s="553" t="str">
        <f t="shared" si="155"/>
        <v>2008AucklanddhbSUDI</v>
      </c>
      <c r="BZ1445" s="604">
        <v>2008</v>
      </c>
      <c r="CA1445" s="604" t="s">
        <v>87</v>
      </c>
      <c r="CB1445" s="604" t="s">
        <v>448</v>
      </c>
      <c r="CC1445" s="604">
        <v>8</v>
      </c>
      <c r="CD1445" s="604" t="s">
        <v>33</v>
      </c>
    </row>
    <row r="1446" spans="9:82">
      <c r="I1446" s="578" t="str">
        <f t="shared" si="153"/>
        <v>2010ethPacific peoplesPeri</v>
      </c>
      <c r="J1446" s="604">
        <v>2010</v>
      </c>
      <c r="K1446" s="604" t="s">
        <v>449</v>
      </c>
      <c r="L1446" s="604" t="s">
        <v>320</v>
      </c>
      <c r="M1446" s="604">
        <v>107</v>
      </c>
      <c r="N1446" s="604">
        <v>7332</v>
      </c>
      <c r="O1446" s="604">
        <v>14.6</v>
      </c>
      <c r="P1446" s="604" t="s">
        <v>483</v>
      </c>
      <c r="Q1446" s="499"/>
      <c r="Y1446" s="535" t="str">
        <f t="shared" si="154"/>
        <v>2016gesteth42+Asianinfant</v>
      </c>
      <c r="Z1446" s="604">
        <v>2016</v>
      </c>
      <c r="AA1446" s="604" t="s">
        <v>450</v>
      </c>
      <c r="AB1446" s="604" t="s">
        <v>449</v>
      </c>
      <c r="AC1446" s="604" t="s">
        <v>138</v>
      </c>
      <c r="AD1446" s="604" t="s">
        <v>355</v>
      </c>
      <c r="AE1446" s="604">
        <v>1</v>
      </c>
      <c r="AF1446" s="604">
        <v>119</v>
      </c>
      <c r="AG1446" s="604">
        <v>8.4</v>
      </c>
      <c r="AH1446" s="604" t="s">
        <v>437</v>
      </c>
      <c r="BY1446" s="553" t="str">
        <f t="shared" si="155"/>
        <v>2008Counties ManukaudhbSUDI</v>
      </c>
      <c r="BZ1446" s="604">
        <v>2008</v>
      </c>
      <c r="CA1446" s="604" t="s">
        <v>88</v>
      </c>
      <c r="CB1446" s="604" t="s">
        <v>448</v>
      </c>
      <c r="CC1446" s="604">
        <v>8</v>
      </c>
      <c r="CD1446" s="604" t="s">
        <v>33</v>
      </c>
    </row>
    <row r="1447" spans="9:82">
      <c r="I1447" s="578" t="str">
        <f t="shared" si="153"/>
        <v>2010ethAsianPeri</v>
      </c>
      <c r="J1447" s="604">
        <v>2010</v>
      </c>
      <c r="K1447" s="604" t="s">
        <v>449</v>
      </c>
      <c r="L1447" s="604" t="s">
        <v>355</v>
      </c>
      <c r="M1447" s="604">
        <v>73</v>
      </c>
      <c r="N1447" s="604">
        <v>7507</v>
      </c>
      <c r="O1447" s="604">
        <v>9.6999999999999993</v>
      </c>
      <c r="P1447" s="604" t="s">
        <v>483</v>
      </c>
      <c r="Q1447" s="499"/>
      <c r="Y1447" s="535" t="str">
        <f t="shared" si="154"/>
        <v>2016gestethUnknownAsianinfant</v>
      </c>
      <c r="Z1447" s="604">
        <v>2016</v>
      </c>
      <c r="AA1447" s="604" t="s">
        <v>450</v>
      </c>
      <c r="AB1447" s="604" t="s">
        <v>449</v>
      </c>
      <c r="AC1447" s="604" t="s">
        <v>63</v>
      </c>
      <c r="AD1447" s="604" t="s">
        <v>355</v>
      </c>
      <c r="AE1447" s="604">
        <v>0</v>
      </c>
      <c r="AF1447" s="604">
        <v>5</v>
      </c>
      <c r="AG1447" s="604" t="s">
        <v>119</v>
      </c>
      <c r="AH1447" s="604" t="s">
        <v>437</v>
      </c>
      <c r="BY1447" s="553" t="str">
        <f t="shared" si="155"/>
        <v>2008WaikatodhbSUDI</v>
      </c>
      <c r="BZ1447" s="604">
        <v>2008</v>
      </c>
      <c r="CA1447" s="604" t="s">
        <v>89</v>
      </c>
      <c r="CB1447" s="604" t="s">
        <v>448</v>
      </c>
      <c r="CC1447" s="604">
        <v>6</v>
      </c>
      <c r="CD1447" s="604" t="s">
        <v>33</v>
      </c>
    </row>
    <row r="1448" spans="9:82">
      <c r="I1448" s="578" t="str">
        <f t="shared" si="153"/>
        <v>2010ethEuropean or OtherPeri</v>
      </c>
      <c r="J1448" s="604">
        <v>2010</v>
      </c>
      <c r="K1448" s="604" t="s">
        <v>449</v>
      </c>
      <c r="L1448" s="604" t="s">
        <v>356</v>
      </c>
      <c r="M1448" s="604">
        <v>276</v>
      </c>
      <c r="N1448" s="604">
        <v>31285</v>
      </c>
      <c r="O1448" s="604">
        <v>8.8000000000000007</v>
      </c>
      <c r="P1448" s="604" t="s">
        <v>483</v>
      </c>
      <c r="Q1448" s="499"/>
      <c r="Y1448" s="535" t="str">
        <f t="shared" si="154"/>
        <v>2016gesteth&lt;28European or Otherinfant</v>
      </c>
      <c r="Z1448" s="604">
        <v>2016</v>
      </c>
      <c r="AA1448" s="604" t="s">
        <v>450</v>
      </c>
      <c r="AB1448" s="604" t="s">
        <v>449</v>
      </c>
      <c r="AC1448" s="604" t="s">
        <v>375</v>
      </c>
      <c r="AD1448" s="604" t="s">
        <v>356</v>
      </c>
      <c r="AE1448" s="604">
        <v>31</v>
      </c>
      <c r="AF1448" s="604">
        <v>80</v>
      </c>
      <c r="AG1448" s="604">
        <v>387.5</v>
      </c>
      <c r="AH1448" s="604" t="s">
        <v>437</v>
      </c>
      <c r="BY1448" s="553" t="str">
        <f t="shared" si="155"/>
        <v>2008LakesdhbSUDI</v>
      </c>
      <c r="BZ1448" s="604">
        <v>2008</v>
      </c>
      <c r="CA1448" s="604" t="s">
        <v>90</v>
      </c>
      <c r="CB1448" s="604" t="s">
        <v>448</v>
      </c>
      <c r="CC1448" s="604">
        <v>4</v>
      </c>
      <c r="CD1448" s="604" t="s">
        <v>33</v>
      </c>
    </row>
    <row r="1449" spans="9:82">
      <c r="I1449" s="578" t="str">
        <f t="shared" si="153"/>
        <v>2011ethMaoriPeri</v>
      </c>
      <c r="J1449" s="604">
        <v>2011</v>
      </c>
      <c r="K1449" s="604" t="s">
        <v>449</v>
      </c>
      <c r="L1449" s="604" t="s">
        <v>129</v>
      </c>
      <c r="M1449" s="604">
        <v>192</v>
      </c>
      <c r="N1449" s="604">
        <v>18167</v>
      </c>
      <c r="O1449" s="604">
        <v>10.6</v>
      </c>
      <c r="P1449" s="604" t="s">
        <v>483</v>
      </c>
      <c r="Q1449" s="499"/>
      <c r="Y1449" s="535" t="str">
        <f t="shared" si="154"/>
        <v>2016gesteth28-31European or Otherinfant</v>
      </c>
      <c r="Z1449" s="604">
        <v>2016</v>
      </c>
      <c r="AA1449" s="604" t="s">
        <v>450</v>
      </c>
      <c r="AB1449" s="604" t="s">
        <v>449</v>
      </c>
      <c r="AC1449" s="604" t="s">
        <v>395</v>
      </c>
      <c r="AD1449" s="604" t="s">
        <v>356</v>
      </c>
      <c r="AE1449" s="604">
        <v>3</v>
      </c>
      <c r="AF1449" s="604">
        <v>178</v>
      </c>
      <c r="AG1449" s="604">
        <v>16.899999999999999</v>
      </c>
      <c r="AH1449" s="604" t="s">
        <v>437</v>
      </c>
      <c r="BY1449" s="553" t="str">
        <f t="shared" si="155"/>
        <v>2008Bay of PlentydhbSUDI</v>
      </c>
      <c r="BZ1449" s="604">
        <v>2008</v>
      </c>
      <c r="CA1449" s="604" t="s">
        <v>91</v>
      </c>
      <c r="CB1449" s="604" t="s">
        <v>448</v>
      </c>
      <c r="CC1449" s="604">
        <v>2</v>
      </c>
      <c r="CD1449" s="604" t="s">
        <v>33</v>
      </c>
    </row>
    <row r="1450" spans="9:82">
      <c r="I1450" s="578" t="str">
        <f t="shared" si="153"/>
        <v>2011ethPacific peoplesPeri</v>
      </c>
      <c r="J1450" s="604">
        <v>2011</v>
      </c>
      <c r="K1450" s="604" t="s">
        <v>449</v>
      </c>
      <c r="L1450" s="604" t="s">
        <v>320</v>
      </c>
      <c r="M1450" s="604">
        <v>72</v>
      </c>
      <c r="N1450" s="604">
        <v>7192</v>
      </c>
      <c r="O1450" s="604">
        <v>10</v>
      </c>
      <c r="P1450" s="604" t="s">
        <v>483</v>
      </c>
      <c r="Q1450" s="499"/>
      <c r="Y1450" s="535" t="str">
        <f t="shared" si="154"/>
        <v>2016gesteth32-36European or Otherinfant</v>
      </c>
      <c r="Z1450" s="604">
        <v>2016</v>
      </c>
      <c r="AA1450" s="604" t="s">
        <v>450</v>
      </c>
      <c r="AB1450" s="604" t="s">
        <v>449</v>
      </c>
      <c r="AC1450" s="604" t="s">
        <v>136</v>
      </c>
      <c r="AD1450" s="604" t="s">
        <v>356</v>
      </c>
      <c r="AE1450" s="604">
        <v>6</v>
      </c>
      <c r="AF1450" s="604">
        <v>1634</v>
      </c>
      <c r="AG1450" s="604">
        <v>3.7</v>
      </c>
      <c r="AH1450" s="604" t="s">
        <v>437</v>
      </c>
      <c r="BY1450" s="553" t="str">
        <f t="shared" si="155"/>
        <v>2008TairawhitidhbSUDI</v>
      </c>
      <c r="BZ1450" s="604">
        <v>2008</v>
      </c>
      <c r="CA1450" s="604" t="s">
        <v>433</v>
      </c>
      <c r="CB1450" s="604" t="s">
        <v>448</v>
      </c>
      <c r="CC1450" s="604">
        <v>1</v>
      </c>
      <c r="CD1450" s="604" t="s">
        <v>33</v>
      </c>
    </row>
    <row r="1451" spans="9:82">
      <c r="I1451" s="578" t="str">
        <f t="shared" si="153"/>
        <v>2011ethAsianPeri</v>
      </c>
      <c r="J1451" s="604">
        <v>2011</v>
      </c>
      <c r="K1451" s="604" t="s">
        <v>449</v>
      </c>
      <c r="L1451" s="604" t="s">
        <v>355</v>
      </c>
      <c r="M1451" s="604">
        <v>76</v>
      </c>
      <c r="N1451" s="604">
        <v>7578</v>
      </c>
      <c r="O1451" s="604">
        <v>10</v>
      </c>
      <c r="P1451" s="604" t="s">
        <v>483</v>
      </c>
      <c r="Q1451" s="499"/>
      <c r="Y1451" s="535" t="str">
        <f t="shared" si="154"/>
        <v>2016gesteth37-41European or Otherinfant</v>
      </c>
      <c r="Z1451" s="604">
        <v>2016</v>
      </c>
      <c r="AA1451" s="604" t="s">
        <v>450</v>
      </c>
      <c r="AB1451" s="604" t="s">
        <v>449</v>
      </c>
      <c r="AC1451" s="604" t="s">
        <v>137</v>
      </c>
      <c r="AD1451" s="604" t="s">
        <v>356</v>
      </c>
      <c r="AE1451" s="604">
        <v>30</v>
      </c>
      <c r="AF1451" s="604">
        <v>23811</v>
      </c>
      <c r="AG1451" s="604">
        <v>1.3</v>
      </c>
      <c r="AH1451" s="604" t="s">
        <v>437</v>
      </c>
      <c r="BY1451" s="553" t="str">
        <f t="shared" si="155"/>
        <v>2008Hawke's BaydhbSUDI</v>
      </c>
      <c r="BZ1451" s="604">
        <v>2008</v>
      </c>
      <c r="CA1451" s="604" t="s">
        <v>92</v>
      </c>
      <c r="CB1451" s="604" t="s">
        <v>448</v>
      </c>
      <c r="CC1451" s="604">
        <v>3</v>
      </c>
      <c r="CD1451" s="604" t="s">
        <v>33</v>
      </c>
    </row>
    <row r="1452" spans="9:82">
      <c r="I1452" s="578" t="str">
        <f t="shared" si="153"/>
        <v>2011ethEuropean or OtherPeri</v>
      </c>
      <c r="J1452" s="604">
        <v>2011</v>
      </c>
      <c r="K1452" s="604" t="s">
        <v>449</v>
      </c>
      <c r="L1452" s="604" t="s">
        <v>356</v>
      </c>
      <c r="M1452" s="604">
        <v>282</v>
      </c>
      <c r="N1452" s="604">
        <v>29688</v>
      </c>
      <c r="O1452" s="604">
        <v>9.5</v>
      </c>
      <c r="P1452" s="604" t="s">
        <v>483</v>
      </c>
      <c r="Q1452" s="499"/>
      <c r="Y1452" s="535" t="str">
        <f t="shared" si="154"/>
        <v>2016gesteth42+European or Otherinfant</v>
      </c>
      <c r="Z1452" s="604">
        <v>2016</v>
      </c>
      <c r="AA1452" s="604" t="s">
        <v>450</v>
      </c>
      <c r="AB1452" s="604" t="s">
        <v>449</v>
      </c>
      <c r="AC1452" s="604" t="s">
        <v>138</v>
      </c>
      <c r="AD1452" s="604" t="s">
        <v>356</v>
      </c>
      <c r="AE1452" s="604">
        <v>0</v>
      </c>
      <c r="AF1452" s="604">
        <v>516</v>
      </c>
      <c r="AG1452" s="604">
        <v>0</v>
      </c>
      <c r="AH1452" s="604" t="s">
        <v>437</v>
      </c>
      <c r="BY1452" s="553" t="str">
        <f t="shared" si="155"/>
        <v>2008TaranakidhbSUDI</v>
      </c>
      <c r="BZ1452" s="604">
        <v>2008</v>
      </c>
      <c r="CA1452" s="604" t="s">
        <v>93</v>
      </c>
      <c r="CB1452" s="604" t="s">
        <v>448</v>
      </c>
      <c r="CC1452" s="604">
        <v>1</v>
      </c>
      <c r="CD1452" s="604" t="s">
        <v>33</v>
      </c>
    </row>
    <row r="1453" spans="9:82">
      <c r="I1453" s="578" t="str">
        <f t="shared" si="153"/>
        <v>2012ethMaoriPeri</v>
      </c>
      <c r="J1453" s="604">
        <v>2012</v>
      </c>
      <c r="K1453" s="604" t="s">
        <v>449</v>
      </c>
      <c r="L1453" s="604" t="s">
        <v>129</v>
      </c>
      <c r="M1453" s="604">
        <v>178</v>
      </c>
      <c r="N1453" s="604">
        <v>18075</v>
      </c>
      <c r="O1453" s="604">
        <v>9.8000000000000007</v>
      </c>
      <c r="P1453" s="604" t="s">
        <v>483</v>
      </c>
      <c r="Q1453" s="499"/>
      <c r="Y1453" s="535" t="str">
        <f t="shared" si="154"/>
        <v>2016gestethUnknownEuropean or Otherinfant</v>
      </c>
      <c r="Z1453" s="604">
        <v>2016</v>
      </c>
      <c r="AA1453" s="604" t="s">
        <v>450</v>
      </c>
      <c r="AB1453" s="604" t="s">
        <v>449</v>
      </c>
      <c r="AC1453" s="604" t="s">
        <v>63</v>
      </c>
      <c r="AD1453" s="604" t="s">
        <v>356</v>
      </c>
      <c r="AE1453" s="604">
        <v>4</v>
      </c>
      <c r="AF1453" s="604">
        <v>10</v>
      </c>
      <c r="AG1453" s="604" t="s">
        <v>119</v>
      </c>
      <c r="AH1453" s="604" t="s">
        <v>437</v>
      </c>
      <c r="BY1453" s="553" t="str">
        <f t="shared" si="155"/>
        <v>2008MidCentraldhbSUDI</v>
      </c>
      <c r="BZ1453" s="604">
        <v>2008</v>
      </c>
      <c r="CA1453" s="604" t="s">
        <v>94</v>
      </c>
      <c r="CB1453" s="604" t="s">
        <v>448</v>
      </c>
      <c r="CC1453" s="604">
        <v>5</v>
      </c>
      <c r="CD1453" s="604" t="s">
        <v>33</v>
      </c>
    </row>
    <row r="1454" spans="9:82">
      <c r="I1454" s="578" t="str">
        <f t="shared" si="153"/>
        <v>2012ethPacific peoplesPeri</v>
      </c>
      <c r="J1454" s="604">
        <v>2012</v>
      </c>
      <c r="K1454" s="604" t="s">
        <v>449</v>
      </c>
      <c r="L1454" s="604" t="s">
        <v>320</v>
      </c>
      <c r="M1454" s="604">
        <v>77</v>
      </c>
      <c r="N1454" s="604">
        <v>7005</v>
      </c>
      <c r="O1454" s="604">
        <v>11</v>
      </c>
      <c r="P1454" s="604" t="s">
        <v>483</v>
      </c>
      <c r="Q1454" s="499"/>
      <c r="Y1454" s="535" t="str">
        <f t="shared" si="154"/>
        <v>2016ethgestMaori&lt;28infant</v>
      </c>
      <c r="Z1454" s="604">
        <v>2016</v>
      </c>
      <c r="AA1454" s="604" t="s">
        <v>449</v>
      </c>
      <c r="AB1454" s="604" t="s">
        <v>450</v>
      </c>
      <c r="AC1454" s="604" t="s">
        <v>129</v>
      </c>
      <c r="AD1454" s="604" t="s">
        <v>375</v>
      </c>
      <c r="AE1454" s="604">
        <v>35</v>
      </c>
      <c r="AF1454" s="604">
        <v>92</v>
      </c>
      <c r="AG1454" s="604">
        <v>380.4</v>
      </c>
      <c r="AH1454" s="604" t="s">
        <v>437</v>
      </c>
      <c r="BY1454" s="553" t="str">
        <f t="shared" si="155"/>
        <v>2008WhanganuidhbSUDI</v>
      </c>
      <c r="BZ1454" s="604">
        <v>2008</v>
      </c>
      <c r="CA1454" s="604" t="s">
        <v>95</v>
      </c>
      <c r="CB1454" s="604" t="s">
        <v>448</v>
      </c>
      <c r="CC1454" s="604">
        <v>3</v>
      </c>
      <c r="CD1454" s="604" t="s">
        <v>33</v>
      </c>
    </row>
    <row r="1455" spans="9:82">
      <c r="I1455" s="578" t="str">
        <f t="shared" si="153"/>
        <v>2012ethAsianPeri</v>
      </c>
      <c r="J1455" s="604">
        <v>2012</v>
      </c>
      <c r="K1455" s="604" t="s">
        <v>449</v>
      </c>
      <c r="L1455" s="604" t="s">
        <v>355</v>
      </c>
      <c r="M1455" s="604">
        <v>96</v>
      </c>
      <c r="N1455" s="604">
        <v>8689</v>
      </c>
      <c r="O1455" s="604">
        <v>11</v>
      </c>
      <c r="P1455" s="604" t="s">
        <v>483</v>
      </c>
      <c r="Q1455" s="499"/>
      <c r="Y1455" s="535" t="str">
        <f t="shared" si="154"/>
        <v>2016ethgestPacific peoples&lt;28infant</v>
      </c>
      <c r="Z1455" s="604">
        <v>2016</v>
      </c>
      <c r="AA1455" s="604" t="s">
        <v>449</v>
      </c>
      <c r="AB1455" s="604" t="s">
        <v>450</v>
      </c>
      <c r="AC1455" s="604" t="s">
        <v>320</v>
      </c>
      <c r="AD1455" s="604" t="s">
        <v>375</v>
      </c>
      <c r="AE1455" s="604">
        <v>14</v>
      </c>
      <c r="AF1455" s="604">
        <v>36</v>
      </c>
      <c r="AG1455" s="604">
        <v>388.9</v>
      </c>
      <c r="AH1455" s="604" t="s">
        <v>437</v>
      </c>
      <c r="BY1455" s="553" t="str">
        <f t="shared" si="155"/>
        <v>2008Capital &amp; CoastdhbSUDI</v>
      </c>
      <c r="BZ1455" s="604">
        <v>2008</v>
      </c>
      <c r="CA1455" s="604" t="s">
        <v>96</v>
      </c>
      <c r="CB1455" s="604" t="s">
        <v>448</v>
      </c>
      <c r="CC1455" s="604">
        <v>2</v>
      </c>
      <c r="CD1455" s="604" t="s">
        <v>33</v>
      </c>
    </row>
    <row r="1456" spans="9:82">
      <c r="I1456" s="578" t="str">
        <f t="shared" si="153"/>
        <v>2012ethEuropean or OtherPeri</v>
      </c>
      <c r="J1456" s="604">
        <v>2012</v>
      </c>
      <c r="K1456" s="604" t="s">
        <v>449</v>
      </c>
      <c r="L1456" s="604" t="s">
        <v>356</v>
      </c>
      <c r="M1456" s="604">
        <v>257</v>
      </c>
      <c r="N1456" s="604">
        <v>28714</v>
      </c>
      <c r="O1456" s="604">
        <v>9</v>
      </c>
      <c r="P1456" s="604" t="s">
        <v>483</v>
      </c>
      <c r="Q1456" s="499"/>
      <c r="Y1456" s="535" t="str">
        <f t="shared" si="154"/>
        <v>2016ethgestAsian&lt;28infant</v>
      </c>
      <c r="Z1456" s="604">
        <v>2016</v>
      </c>
      <c r="AA1456" s="604" t="s">
        <v>449</v>
      </c>
      <c r="AB1456" s="604" t="s">
        <v>450</v>
      </c>
      <c r="AC1456" s="604" t="s">
        <v>355</v>
      </c>
      <c r="AD1456" s="604" t="s">
        <v>375</v>
      </c>
      <c r="AE1456" s="604">
        <v>16</v>
      </c>
      <c r="AF1456" s="604">
        <v>52</v>
      </c>
      <c r="AG1456" s="604">
        <v>307.7</v>
      </c>
      <c r="AH1456" s="604" t="s">
        <v>437</v>
      </c>
      <c r="BY1456" s="553" t="str">
        <f t="shared" si="155"/>
        <v>2008Hutt ValleydhbSUDI</v>
      </c>
      <c r="BZ1456" s="604">
        <v>2008</v>
      </c>
      <c r="CA1456" s="604" t="s">
        <v>97</v>
      </c>
      <c r="CB1456" s="604" t="s">
        <v>448</v>
      </c>
      <c r="CC1456" s="604">
        <v>6</v>
      </c>
      <c r="CD1456" s="604" t="s">
        <v>33</v>
      </c>
    </row>
    <row r="1457" spans="9:82">
      <c r="I1457" s="578" t="str">
        <f t="shared" si="153"/>
        <v>2013ethMaoriPeri</v>
      </c>
      <c r="J1457" s="604">
        <v>2013</v>
      </c>
      <c r="K1457" s="604" t="s">
        <v>449</v>
      </c>
      <c r="L1457" s="604" t="s">
        <v>129</v>
      </c>
      <c r="M1457" s="604">
        <v>166</v>
      </c>
      <c r="N1457" s="604">
        <v>17266</v>
      </c>
      <c r="O1457" s="604">
        <v>9.6</v>
      </c>
      <c r="P1457" s="604" t="s">
        <v>483</v>
      </c>
      <c r="Q1457" s="499"/>
      <c r="Y1457" s="535" t="str">
        <f t="shared" si="154"/>
        <v>2016ethgestEuropean or Other&lt;28infant</v>
      </c>
      <c r="Z1457" s="604">
        <v>2016</v>
      </c>
      <c r="AA1457" s="604" t="s">
        <v>449</v>
      </c>
      <c r="AB1457" s="604" t="s">
        <v>450</v>
      </c>
      <c r="AC1457" s="604" t="s">
        <v>356</v>
      </c>
      <c r="AD1457" s="604" t="s">
        <v>375</v>
      </c>
      <c r="AE1457" s="604">
        <v>31</v>
      </c>
      <c r="AF1457" s="604">
        <v>80</v>
      </c>
      <c r="AG1457" s="604">
        <v>387.5</v>
      </c>
      <c r="AH1457" s="604" t="s">
        <v>437</v>
      </c>
      <c r="BY1457" s="553" t="str">
        <f t="shared" si="155"/>
        <v>2008WairarapadhbSUDI</v>
      </c>
      <c r="BZ1457" s="604">
        <v>2008</v>
      </c>
      <c r="CA1457" s="604" t="s">
        <v>98</v>
      </c>
      <c r="CB1457" s="604" t="s">
        <v>448</v>
      </c>
      <c r="CC1457" s="604">
        <v>1</v>
      </c>
      <c r="CD1457" s="604" t="s">
        <v>33</v>
      </c>
    </row>
    <row r="1458" spans="9:82">
      <c r="I1458" s="578" t="str">
        <f t="shared" si="153"/>
        <v>2013ethPacific peoplesPeri</v>
      </c>
      <c r="J1458" s="604">
        <v>2013</v>
      </c>
      <c r="K1458" s="604" t="s">
        <v>449</v>
      </c>
      <c r="L1458" s="604" t="s">
        <v>320</v>
      </c>
      <c r="M1458" s="604">
        <v>76</v>
      </c>
      <c r="N1458" s="604">
        <v>6487</v>
      </c>
      <c r="O1458" s="604">
        <v>11.7</v>
      </c>
      <c r="P1458" s="604" t="s">
        <v>483</v>
      </c>
      <c r="Q1458" s="499"/>
      <c r="Y1458" s="535" t="str">
        <f t="shared" si="154"/>
        <v>2016ethgestMaori28-31infant</v>
      </c>
      <c r="Z1458" s="604">
        <v>2016</v>
      </c>
      <c r="AA1458" s="604" t="s">
        <v>449</v>
      </c>
      <c r="AB1458" s="604" t="s">
        <v>450</v>
      </c>
      <c r="AC1458" s="604" t="s">
        <v>129</v>
      </c>
      <c r="AD1458" s="604" t="s">
        <v>395</v>
      </c>
      <c r="AE1458" s="604">
        <v>6</v>
      </c>
      <c r="AF1458" s="604">
        <v>139</v>
      </c>
      <c r="AG1458" s="604">
        <v>43.2</v>
      </c>
      <c r="AH1458" s="604" t="s">
        <v>437</v>
      </c>
      <c r="BY1458" s="553" t="str">
        <f t="shared" si="155"/>
        <v>2008Nelson MarlboroughdhbSUDI</v>
      </c>
      <c r="BZ1458" s="604">
        <v>2008</v>
      </c>
      <c r="CA1458" s="604" t="s">
        <v>99</v>
      </c>
      <c r="CB1458" s="604" t="s">
        <v>448</v>
      </c>
      <c r="CC1458" s="604">
        <v>0</v>
      </c>
      <c r="CD1458" s="604" t="s">
        <v>33</v>
      </c>
    </row>
    <row r="1459" spans="9:82">
      <c r="I1459" s="578" t="str">
        <f t="shared" si="153"/>
        <v>2013ethAsianPeri</v>
      </c>
      <c r="J1459" s="604">
        <v>2013</v>
      </c>
      <c r="K1459" s="604" t="s">
        <v>449</v>
      </c>
      <c r="L1459" s="604" t="s">
        <v>355</v>
      </c>
      <c r="M1459" s="604">
        <v>82</v>
      </c>
      <c r="N1459" s="604">
        <v>8768</v>
      </c>
      <c r="O1459" s="604">
        <v>9.4</v>
      </c>
      <c r="P1459" s="604" t="s">
        <v>483</v>
      </c>
      <c r="Q1459" s="499"/>
      <c r="Y1459" s="535" t="str">
        <f t="shared" si="154"/>
        <v>2016ethgestPacific peoples28-31infant</v>
      </c>
      <c r="Z1459" s="604">
        <v>2016</v>
      </c>
      <c r="AA1459" s="604" t="s">
        <v>449</v>
      </c>
      <c r="AB1459" s="604" t="s">
        <v>450</v>
      </c>
      <c r="AC1459" s="604" t="s">
        <v>320</v>
      </c>
      <c r="AD1459" s="604" t="s">
        <v>395</v>
      </c>
      <c r="AE1459" s="604">
        <v>3</v>
      </c>
      <c r="AF1459" s="604">
        <v>29</v>
      </c>
      <c r="AG1459" s="604">
        <v>103.4</v>
      </c>
      <c r="AH1459" s="604" t="s">
        <v>437</v>
      </c>
      <c r="BY1459" s="553" t="str">
        <f t="shared" si="155"/>
        <v>2008West CoastdhbSUDI</v>
      </c>
      <c r="BZ1459" s="604">
        <v>2008</v>
      </c>
      <c r="CA1459" s="604" t="s">
        <v>100</v>
      </c>
      <c r="CB1459" s="604" t="s">
        <v>448</v>
      </c>
      <c r="CC1459" s="604">
        <v>0</v>
      </c>
      <c r="CD1459" s="604" t="s">
        <v>33</v>
      </c>
    </row>
    <row r="1460" spans="9:82">
      <c r="I1460" s="578" t="str">
        <f t="shared" si="153"/>
        <v>2013ethEuropean or OtherPeri</v>
      </c>
      <c r="J1460" s="604">
        <v>2013</v>
      </c>
      <c r="K1460" s="604" t="s">
        <v>449</v>
      </c>
      <c r="L1460" s="604" t="s">
        <v>356</v>
      </c>
      <c r="M1460" s="604">
        <v>235</v>
      </c>
      <c r="N1460" s="604">
        <v>27573</v>
      </c>
      <c r="O1460" s="604">
        <v>8.5</v>
      </c>
      <c r="P1460" s="604" t="s">
        <v>483</v>
      </c>
      <c r="Q1460" s="499"/>
      <c r="Y1460" s="535" t="str">
        <f t="shared" si="154"/>
        <v>2016ethgestAsian28-31infant</v>
      </c>
      <c r="Z1460" s="604">
        <v>2016</v>
      </c>
      <c r="AA1460" s="604" t="s">
        <v>449</v>
      </c>
      <c r="AB1460" s="604" t="s">
        <v>450</v>
      </c>
      <c r="AC1460" s="604" t="s">
        <v>355</v>
      </c>
      <c r="AD1460" s="604" t="s">
        <v>395</v>
      </c>
      <c r="AE1460" s="604">
        <v>2</v>
      </c>
      <c r="AF1460" s="604">
        <v>71</v>
      </c>
      <c r="AG1460" s="604">
        <v>28.2</v>
      </c>
      <c r="AH1460" s="604" t="s">
        <v>437</v>
      </c>
      <c r="BY1460" s="553" t="str">
        <f t="shared" si="155"/>
        <v>2008CanterburydhbSUDI</v>
      </c>
      <c r="BZ1460" s="604">
        <v>2008</v>
      </c>
      <c r="CA1460" s="604" t="s">
        <v>101</v>
      </c>
      <c r="CB1460" s="604" t="s">
        <v>448</v>
      </c>
      <c r="CC1460" s="604">
        <v>2</v>
      </c>
      <c r="CD1460" s="604" t="s">
        <v>33</v>
      </c>
    </row>
    <row r="1461" spans="9:82">
      <c r="I1461" s="578" t="str">
        <f t="shared" si="153"/>
        <v>2014ethMaoriPeri</v>
      </c>
      <c r="J1461" s="604">
        <v>2014</v>
      </c>
      <c r="K1461" s="604" t="s">
        <v>449</v>
      </c>
      <c r="L1461" s="604" t="s">
        <v>129</v>
      </c>
      <c r="M1461" s="604">
        <v>181</v>
      </c>
      <c r="N1461" s="604">
        <v>16603</v>
      </c>
      <c r="O1461" s="604">
        <v>10.9</v>
      </c>
      <c r="P1461" s="604" t="s">
        <v>483</v>
      </c>
      <c r="Q1461" s="499"/>
      <c r="Y1461" s="535" t="str">
        <f t="shared" si="154"/>
        <v>2016ethgestEuropean or Other28-31infant</v>
      </c>
      <c r="Z1461" s="604">
        <v>2016</v>
      </c>
      <c r="AA1461" s="604" t="s">
        <v>449</v>
      </c>
      <c r="AB1461" s="604" t="s">
        <v>450</v>
      </c>
      <c r="AC1461" s="604" t="s">
        <v>356</v>
      </c>
      <c r="AD1461" s="604" t="s">
        <v>395</v>
      </c>
      <c r="AE1461" s="604">
        <v>3</v>
      </c>
      <c r="AF1461" s="604">
        <v>178</v>
      </c>
      <c r="AG1461" s="604">
        <v>16.899999999999999</v>
      </c>
      <c r="AH1461" s="604" t="s">
        <v>437</v>
      </c>
      <c r="BY1461" s="553" t="str">
        <f t="shared" si="155"/>
        <v>2008South CanterburydhbSUDI</v>
      </c>
      <c r="BZ1461" s="604">
        <v>2008</v>
      </c>
      <c r="CA1461" s="604" t="s">
        <v>102</v>
      </c>
      <c r="CB1461" s="604" t="s">
        <v>448</v>
      </c>
      <c r="CC1461" s="604">
        <v>1</v>
      </c>
      <c r="CD1461" s="604" t="s">
        <v>33</v>
      </c>
    </row>
    <row r="1462" spans="9:82">
      <c r="I1462" s="578" t="str">
        <f t="shared" si="153"/>
        <v>2014ethPacific peoplesPeri</v>
      </c>
      <c r="J1462" s="604">
        <v>2014</v>
      </c>
      <c r="K1462" s="604" t="s">
        <v>449</v>
      </c>
      <c r="L1462" s="604" t="s">
        <v>320</v>
      </c>
      <c r="M1462" s="604">
        <v>72</v>
      </c>
      <c r="N1462" s="604">
        <v>6244</v>
      </c>
      <c r="O1462" s="604">
        <v>11.5</v>
      </c>
      <c r="P1462" s="604" t="s">
        <v>483</v>
      </c>
      <c r="Q1462" s="499"/>
      <c r="Y1462" s="535" t="str">
        <f t="shared" si="154"/>
        <v>2016ethgestMaori32-36infant</v>
      </c>
      <c r="Z1462" s="604">
        <v>2016</v>
      </c>
      <c r="AA1462" s="604" t="s">
        <v>449</v>
      </c>
      <c r="AB1462" s="604" t="s">
        <v>450</v>
      </c>
      <c r="AC1462" s="604" t="s">
        <v>129</v>
      </c>
      <c r="AD1462" s="604" t="s">
        <v>136</v>
      </c>
      <c r="AE1462" s="604">
        <v>8</v>
      </c>
      <c r="AF1462" s="604">
        <v>1193</v>
      </c>
      <c r="AG1462" s="604">
        <v>6.7</v>
      </c>
      <c r="AH1462" s="604" t="s">
        <v>437</v>
      </c>
      <c r="BY1462" s="553" t="str">
        <f t="shared" si="155"/>
        <v>2008SoutherndhbSUDI</v>
      </c>
      <c r="BZ1462" s="604">
        <v>2008</v>
      </c>
      <c r="CA1462" s="604" t="s">
        <v>103</v>
      </c>
      <c r="CB1462" s="604" t="s">
        <v>448</v>
      </c>
      <c r="CC1462" s="604">
        <v>3</v>
      </c>
      <c r="CD1462" s="604" t="s">
        <v>33</v>
      </c>
    </row>
    <row r="1463" spans="9:82">
      <c r="I1463" s="578" t="str">
        <f t="shared" si="153"/>
        <v>2014ethAsianPeri</v>
      </c>
      <c r="J1463" s="604">
        <v>2014</v>
      </c>
      <c r="K1463" s="604" t="s">
        <v>449</v>
      </c>
      <c r="L1463" s="604" t="s">
        <v>355</v>
      </c>
      <c r="M1463" s="604">
        <v>91</v>
      </c>
      <c r="N1463" s="604">
        <v>9377</v>
      </c>
      <c r="O1463" s="604">
        <v>9.6999999999999993</v>
      </c>
      <c r="P1463" s="604" t="s">
        <v>483</v>
      </c>
      <c r="Q1463" s="499"/>
      <c r="Y1463" s="535" t="str">
        <f t="shared" si="154"/>
        <v>2016ethgestPacific peoples32-36infant</v>
      </c>
      <c r="Z1463" s="604">
        <v>2016</v>
      </c>
      <c r="AA1463" s="604" t="s">
        <v>449</v>
      </c>
      <c r="AB1463" s="604" t="s">
        <v>450</v>
      </c>
      <c r="AC1463" s="604" t="s">
        <v>320</v>
      </c>
      <c r="AD1463" s="604" t="s">
        <v>136</v>
      </c>
      <c r="AE1463" s="604">
        <v>8</v>
      </c>
      <c r="AF1463" s="604">
        <v>376</v>
      </c>
      <c r="AG1463" s="604">
        <v>21.3</v>
      </c>
      <c r="AH1463" s="604" t="s">
        <v>437</v>
      </c>
      <c r="BY1463" s="553" t="str">
        <f t="shared" si="155"/>
        <v>2008UnknowndhbSUDI</v>
      </c>
      <c r="BZ1463" s="604">
        <v>2008</v>
      </c>
      <c r="CA1463" s="604" t="s">
        <v>63</v>
      </c>
      <c r="CB1463" s="604" t="s">
        <v>448</v>
      </c>
      <c r="CC1463" s="604">
        <v>0</v>
      </c>
      <c r="CD1463" s="604" t="s">
        <v>33</v>
      </c>
    </row>
    <row r="1464" spans="9:82">
      <c r="I1464" s="578" t="str">
        <f t="shared" si="153"/>
        <v>2014ethEuropean or OtherPeri</v>
      </c>
      <c r="J1464" s="604">
        <v>2014</v>
      </c>
      <c r="K1464" s="604" t="s">
        <v>449</v>
      </c>
      <c r="L1464" s="604" t="s">
        <v>356</v>
      </c>
      <c r="M1464" s="604">
        <v>311</v>
      </c>
      <c r="N1464" s="604">
        <v>26508</v>
      </c>
      <c r="O1464" s="604">
        <v>11.7</v>
      </c>
      <c r="P1464" s="604" t="s">
        <v>483</v>
      </c>
      <c r="Q1464" s="499"/>
      <c r="Y1464" s="535" t="str">
        <f t="shared" si="154"/>
        <v>2016ethgestAsian32-36infant</v>
      </c>
      <c r="Z1464" s="604">
        <v>2016</v>
      </c>
      <c r="AA1464" s="604" t="s">
        <v>449</v>
      </c>
      <c r="AB1464" s="604" t="s">
        <v>450</v>
      </c>
      <c r="AC1464" s="604" t="s">
        <v>355</v>
      </c>
      <c r="AD1464" s="604" t="s">
        <v>136</v>
      </c>
      <c r="AE1464" s="604">
        <v>1</v>
      </c>
      <c r="AF1464" s="604">
        <v>611</v>
      </c>
      <c r="AG1464" s="604">
        <v>1.6</v>
      </c>
      <c r="AH1464" s="604" t="s">
        <v>437</v>
      </c>
      <c r="BY1464" s="553" t="str">
        <f t="shared" si="155"/>
        <v>2009NorthlanddhbSUDI</v>
      </c>
      <c r="BZ1464" s="604">
        <v>2009</v>
      </c>
      <c r="CA1464" s="604" t="s">
        <v>85</v>
      </c>
      <c r="CB1464" s="604" t="s">
        <v>448</v>
      </c>
      <c r="CC1464" s="604">
        <v>9</v>
      </c>
      <c r="CD1464" s="604" t="s">
        <v>33</v>
      </c>
    </row>
    <row r="1465" spans="9:82">
      <c r="I1465" s="578" t="str">
        <f t="shared" si="153"/>
        <v>2015ethMaoriPeri</v>
      </c>
      <c r="J1465" s="604">
        <v>2015</v>
      </c>
      <c r="K1465" s="604" t="s">
        <v>449</v>
      </c>
      <c r="L1465" s="604" t="s">
        <v>129</v>
      </c>
      <c r="M1465" s="604">
        <v>142</v>
      </c>
      <c r="N1465" s="604">
        <v>17881</v>
      </c>
      <c r="O1465" s="604">
        <v>7.9</v>
      </c>
      <c r="P1465" s="604" t="s">
        <v>483</v>
      </c>
      <c r="Q1465" s="499"/>
      <c r="Y1465" s="535" t="str">
        <f t="shared" si="154"/>
        <v>2016ethgestEuropean or Other32-36infant</v>
      </c>
      <c r="Z1465" s="604">
        <v>2016</v>
      </c>
      <c r="AA1465" s="604" t="s">
        <v>449</v>
      </c>
      <c r="AB1465" s="604" t="s">
        <v>450</v>
      </c>
      <c r="AC1465" s="604" t="s">
        <v>356</v>
      </c>
      <c r="AD1465" s="604" t="s">
        <v>136</v>
      </c>
      <c r="AE1465" s="604">
        <v>6</v>
      </c>
      <c r="AF1465" s="604">
        <v>1634</v>
      </c>
      <c r="AG1465" s="604">
        <v>3.7</v>
      </c>
      <c r="AH1465" s="604" t="s">
        <v>437</v>
      </c>
      <c r="BY1465" s="553" t="str">
        <f t="shared" si="155"/>
        <v>2009WaitematadhbSUDI</v>
      </c>
      <c r="BZ1465" s="604">
        <v>2009</v>
      </c>
      <c r="CA1465" s="604" t="s">
        <v>86</v>
      </c>
      <c r="CB1465" s="604" t="s">
        <v>448</v>
      </c>
      <c r="CC1465" s="604">
        <v>2</v>
      </c>
      <c r="CD1465" s="604" t="s">
        <v>33</v>
      </c>
    </row>
    <row r="1466" spans="9:82">
      <c r="I1466" s="578" t="str">
        <f t="shared" si="153"/>
        <v>2015ethPacific peoplesPeri</v>
      </c>
      <c r="J1466" s="604">
        <v>2015</v>
      </c>
      <c r="K1466" s="604" t="s">
        <v>449</v>
      </c>
      <c r="L1466" s="604" t="s">
        <v>320</v>
      </c>
      <c r="M1466" s="604">
        <v>63</v>
      </c>
      <c r="N1466" s="604">
        <v>6416</v>
      </c>
      <c r="O1466" s="604">
        <v>9.8000000000000007</v>
      </c>
      <c r="P1466" s="604" t="s">
        <v>483</v>
      </c>
      <c r="Q1466" s="499"/>
      <c r="Y1466" s="535" t="str">
        <f t="shared" si="154"/>
        <v>2016ethgestMaori37-41infant</v>
      </c>
      <c r="Z1466" s="604">
        <v>2016</v>
      </c>
      <c r="AA1466" s="604" t="s">
        <v>449</v>
      </c>
      <c r="AB1466" s="604" t="s">
        <v>450</v>
      </c>
      <c r="AC1466" s="604" t="s">
        <v>129</v>
      </c>
      <c r="AD1466" s="604" t="s">
        <v>137</v>
      </c>
      <c r="AE1466" s="604">
        <v>44</v>
      </c>
      <c r="AF1466" s="604">
        <v>15611</v>
      </c>
      <c r="AG1466" s="604">
        <v>2.8</v>
      </c>
      <c r="AH1466" s="604" t="s">
        <v>437</v>
      </c>
      <c r="BY1466" s="553" t="str">
        <f t="shared" si="155"/>
        <v>2009AucklanddhbSUDI</v>
      </c>
      <c r="BZ1466" s="604">
        <v>2009</v>
      </c>
      <c r="CA1466" s="604" t="s">
        <v>87</v>
      </c>
      <c r="CB1466" s="604" t="s">
        <v>448</v>
      </c>
      <c r="CC1466" s="604">
        <v>5</v>
      </c>
      <c r="CD1466" s="604" t="s">
        <v>33</v>
      </c>
    </row>
    <row r="1467" spans="9:82">
      <c r="I1467" s="578" t="str">
        <f t="shared" si="153"/>
        <v>2015ethAsianPeri</v>
      </c>
      <c r="J1467" s="604">
        <v>2015</v>
      </c>
      <c r="K1467" s="604" t="s">
        <v>449</v>
      </c>
      <c r="L1467" s="604" t="s">
        <v>355</v>
      </c>
      <c r="M1467" s="604">
        <v>89</v>
      </c>
      <c r="N1467" s="604">
        <v>10252</v>
      </c>
      <c r="O1467" s="604">
        <v>8.6999999999999993</v>
      </c>
      <c r="P1467" s="604" t="s">
        <v>483</v>
      </c>
      <c r="Q1467" s="499"/>
      <c r="Y1467" s="535" t="str">
        <f t="shared" si="154"/>
        <v>2016ethgestPacific peoples37-41infant</v>
      </c>
      <c r="Z1467" s="604">
        <v>2016</v>
      </c>
      <c r="AA1467" s="604" t="s">
        <v>449</v>
      </c>
      <c r="AB1467" s="604" t="s">
        <v>450</v>
      </c>
      <c r="AC1467" s="604" t="s">
        <v>320</v>
      </c>
      <c r="AD1467" s="604" t="s">
        <v>137</v>
      </c>
      <c r="AE1467" s="604">
        <v>10</v>
      </c>
      <c r="AF1467" s="604">
        <v>5433</v>
      </c>
      <c r="AG1467" s="604">
        <v>1.8</v>
      </c>
      <c r="AH1467" s="604" t="s">
        <v>437</v>
      </c>
      <c r="BY1467" s="553" t="str">
        <f t="shared" si="155"/>
        <v>2009Counties ManukaudhbSUDI</v>
      </c>
      <c r="BZ1467" s="604">
        <v>2009</v>
      </c>
      <c r="CA1467" s="604" t="s">
        <v>88</v>
      </c>
      <c r="CB1467" s="604" t="s">
        <v>448</v>
      </c>
      <c r="CC1467" s="604">
        <v>17</v>
      </c>
      <c r="CD1467" s="604" t="s">
        <v>33</v>
      </c>
    </row>
    <row r="1468" spans="9:82">
      <c r="I1468" s="578" t="str">
        <f t="shared" si="153"/>
        <v>2015ethEuropean or OtherPeri</v>
      </c>
      <c r="J1468" s="604">
        <v>2015</v>
      </c>
      <c r="K1468" s="604" t="s">
        <v>449</v>
      </c>
      <c r="L1468" s="604" t="s">
        <v>356</v>
      </c>
      <c r="M1468" s="604">
        <v>234</v>
      </c>
      <c r="N1468" s="604">
        <v>27957</v>
      </c>
      <c r="O1468" s="604">
        <v>8.4</v>
      </c>
      <c r="P1468" s="604" t="s">
        <v>483</v>
      </c>
      <c r="Q1468" s="499"/>
      <c r="Y1468" s="535" t="str">
        <f t="shared" si="154"/>
        <v>2016ethgestAsian37-41infant</v>
      </c>
      <c r="Z1468" s="604">
        <v>2016</v>
      </c>
      <c r="AA1468" s="604" t="s">
        <v>449</v>
      </c>
      <c r="AB1468" s="604" t="s">
        <v>450</v>
      </c>
      <c r="AC1468" s="604" t="s">
        <v>355</v>
      </c>
      <c r="AD1468" s="604" t="s">
        <v>137</v>
      </c>
      <c r="AE1468" s="604">
        <v>7</v>
      </c>
      <c r="AF1468" s="604">
        <v>10044</v>
      </c>
      <c r="AG1468" s="604">
        <v>0.7</v>
      </c>
      <c r="AH1468" s="604" t="s">
        <v>437</v>
      </c>
      <c r="BY1468" s="553" t="str">
        <f t="shared" si="155"/>
        <v>2009WaikatodhbSUDI</v>
      </c>
      <c r="BZ1468" s="604">
        <v>2009</v>
      </c>
      <c r="CA1468" s="604" t="s">
        <v>89</v>
      </c>
      <c r="CB1468" s="604" t="s">
        <v>448</v>
      </c>
      <c r="CC1468" s="604">
        <v>7</v>
      </c>
      <c r="CD1468" s="604" t="s">
        <v>33</v>
      </c>
    </row>
    <row r="1469" spans="9:82">
      <c r="I1469" s="578" t="str">
        <f t="shared" si="153"/>
        <v>2016ethMaoriPeri</v>
      </c>
      <c r="J1469" s="604">
        <v>2016</v>
      </c>
      <c r="K1469" s="604" t="s">
        <v>449</v>
      </c>
      <c r="L1469" s="604" t="s">
        <v>129</v>
      </c>
      <c r="M1469" s="604">
        <v>174</v>
      </c>
      <c r="N1469" s="604">
        <v>17451</v>
      </c>
      <c r="O1469" s="604">
        <v>10</v>
      </c>
      <c r="P1469" s="604" t="s">
        <v>483</v>
      </c>
      <c r="Q1469" s="499"/>
      <c r="Y1469" s="535" t="str">
        <f t="shared" si="154"/>
        <v>2016ethgestEuropean or Other37-41infant</v>
      </c>
      <c r="Z1469" s="604">
        <v>2016</v>
      </c>
      <c r="AA1469" s="604" t="s">
        <v>449</v>
      </c>
      <c r="AB1469" s="604" t="s">
        <v>450</v>
      </c>
      <c r="AC1469" s="604" t="s">
        <v>356</v>
      </c>
      <c r="AD1469" s="604" t="s">
        <v>137</v>
      </c>
      <c r="AE1469" s="604">
        <v>30</v>
      </c>
      <c r="AF1469" s="604">
        <v>23811</v>
      </c>
      <c r="AG1469" s="604">
        <v>1.3</v>
      </c>
      <c r="AH1469" s="604" t="s">
        <v>437</v>
      </c>
      <c r="BY1469" s="553" t="str">
        <f t="shared" si="155"/>
        <v>2009LakesdhbSUDI</v>
      </c>
      <c r="BZ1469" s="604">
        <v>2009</v>
      </c>
      <c r="CA1469" s="604" t="s">
        <v>90</v>
      </c>
      <c r="CB1469" s="604" t="s">
        <v>448</v>
      </c>
      <c r="CC1469" s="604">
        <v>0</v>
      </c>
      <c r="CD1469" s="604" t="s">
        <v>33</v>
      </c>
    </row>
    <row r="1470" spans="9:82">
      <c r="I1470" s="578" t="str">
        <f t="shared" si="153"/>
        <v>2016ethPacific peoplesPeri</v>
      </c>
      <c r="J1470" s="604">
        <v>2016</v>
      </c>
      <c r="K1470" s="604" t="s">
        <v>449</v>
      </c>
      <c r="L1470" s="604" t="s">
        <v>320</v>
      </c>
      <c r="M1470" s="604">
        <v>62</v>
      </c>
      <c r="N1470" s="604">
        <v>6021</v>
      </c>
      <c r="O1470" s="604">
        <v>10.3</v>
      </c>
      <c r="P1470" s="604" t="s">
        <v>483</v>
      </c>
      <c r="Q1470" s="499"/>
      <c r="Y1470" s="535" t="str">
        <f t="shared" si="154"/>
        <v>2016ethgestMaori42+infant</v>
      </c>
      <c r="Z1470" s="604">
        <v>2016</v>
      </c>
      <c r="AA1470" s="604" t="s">
        <v>449</v>
      </c>
      <c r="AB1470" s="604" t="s">
        <v>450</v>
      </c>
      <c r="AC1470" s="604" t="s">
        <v>129</v>
      </c>
      <c r="AD1470" s="604" t="s">
        <v>138</v>
      </c>
      <c r="AE1470" s="604">
        <v>3</v>
      </c>
      <c r="AF1470" s="604">
        <v>281</v>
      </c>
      <c r="AG1470" s="604">
        <v>10.7</v>
      </c>
      <c r="AH1470" s="604" t="s">
        <v>437</v>
      </c>
      <c r="BY1470" s="553" t="str">
        <f t="shared" si="155"/>
        <v>2009Bay of PlentydhbSUDI</v>
      </c>
      <c r="BZ1470" s="604">
        <v>2009</v>
      </c>
      <c r="CA1470" s="604" t="s">
        <v>91</v>
      </c>
      <c r="CB1470" s="604" t="s">
        <v>448</v>
      </c>
      <c r="CC1470" s="604">
        <v>3</v>
      </c>
      <c r="CD1470" s="604" t="s">
        <v>33</v>
      </c>
    </row>
    <row r="1471" spans="9:82">
      <c r="I1471" s="578" t="str">
        <f t="shared" si="153"/>
        <v>2016ethAsianPeri</v>
      </c>
      <c r="J1471" s="604">
        <v>2016</v>
      </c>
      <c r="K1471" s="604" t="s">
        <v>449</v>
      </c>
      <c r="L1471" s="604" t="s">
        <v>355</v>
      </c>
      <c r="M1471" s="604">
        <v>94</v>
      </c>
      <c r="N1471" s="604">
        <v>10975</v>
      </c>
      <c r="O1471" s="604">
        <v>8.6</v>
      </c>
      <c r="P1471" s="604" t="s">
        <v>483</v>
      </c>
      <c r="Q1471" s="499"/>
      <c r="Y1471" s="535" t="str">
        <f t="shared" si="154"/>
        <v>2016ethgestPacific peoples42+infant</v>
      </c>
      <c r="Z1471" s="604">
        <v>2016</v>
      </c>
      <c r="AA1471" s="604" t="s">
        <v>449</v>
      </c>
      <c r="AB1471" s="604" t="s">
        <v>450</v>
      </c>
      <c r="AC1471" s="604" t="s">
        <v>320</v>
      </c>
      <c r="AD1471" s="604" t="s">
        <v>138</v>
      </c>
      <c r="AE1471" s="604">
        <v>0</v>
      </c>
      <c r="AF1471" s="604">
        <v>101</v>
      </c>
      <c r="AG1471" s="604">
        <v>0</v>
      </c>
      <c r="AH1471" s="604" t="s">
        <v>437</v>
      </c>
      <c r="BY1471" s="553" t="str">
        <f t="shared" si="155"/>
        <v>2009TairawhitidhbSUDI</v>
      </c>
      <c r="BZ1471" s="604">
        <v>2009</v>
      </c>
      <c r="CA1471" s="604" t="s">
        <v>433</v>
      </c>
      <c r="CB1471" s="604" t="s">
        <v>448</v>
      </c>
      <c r="CC1471" s="604">
        <v>1</v>
      </c>
      <c r="CD1471" s="604" t="s">
        <v>33</v>
      </c>
    </row>
    <row r="1472" spans="9:82">
      <c r="I1472" s="578" t="str">
        <f t="shared" si="153"/>
        <v>2016ethEuropean or OtherPeri</v>
      </c>
      <c r="J1472" s="604">
        <v>2016</v>
      </c>
      <c r="K1472" s="604" t="s">
        <v>449</v>
      </c>
      <c r="L1472" s="604" t="s">
        <v>356</v>
      </c>
      <c r="M1472" s="604">
        <v>216</v>
      </c>
      <c r="N1472" s="604">
        <v>26402</v>
      </c>
      <c r="O1472" s="604">
        <v>8.1999999999999993</v>
      </c>
      <c r="P1472" s="604" t="s">
        <v>483</v>
      </c>
      <c r="Q1472" s="499"/>
      <c r="Y1472" s="535" t="str">
        <f t="shared" si="154"/>
        <v>2016ethgestAsian42+infant</v>
      </c>
      <c r="Z1472" s="604">
        <v>2016</v>
      </c>
      <c r="AA1472" s="604" t="s">
        <v>449</v>
      </c>
      <c r="AB1472" s="604" t="s">
        <v>450</v>
      </c>
      <c r="AC1472" s="604" t="s">
        <v>355</v>
      </c>
      <c r="AD1472" s="604" t="s">
        <v>138</v>
      </c>
      <c r="AE1472" s="604">
        <v>1</v>
      </c>
      <c r="AF1472" s="604">
        <v>119</v>
      </c>
      <c r="AG1472" s="604">
        <v>8.4</v>
      </c>
      <c r="AH1472" s="604" t="s">
        <v>437</v>
      </c>
      <c r="BY1472" s="553" t="str">
        <f t="shared" si="155"/>
        <v>2009Hawke's BaydhbSUDI</v>
      </c>
      <c r="BZ1472" s="604">
        <v>2009</v>
      </c>
      <c r="CA1472" s="604" t="s">
        <v>92</v>
      </c>
      <c r="CB1472" s="604" t="s">
        <v>448</v>
      </c>
      <c r="CC1472" s="604">
        <v>3</v>
      </c>
      <c r="CD1472" s="604" t="s">
        <v>33</v>
      </c>
    </row>
    <row r="1473" spans="9:82">
      <c r="I1473" s="578" t="str">
        <f t="shared" si="153"/>
        <v>1996depQuin 1Peri</v>
      </c>
      <c r="J1473" s="604">
        <v>1996</v>
      </c>
      <c r="K1473" s="604" t="s">
        <v>454</v>
      </c>
      <c r="L1473" s="604" t="s">
        <v>421</v>
      </c>
      <c r="M1473" s="604">
        <v>51</v>
      </c>
      <c r="N1473" s="604">
        <v>6262</v>
      </c>
      <c r="O1473" s="604">
        <v>8.1</v>
      </c>
      <c r="P1473" s="604" t="s">
        <v>483</v>
      </c>
      <c r="Q1473" s="499"/>
      <c r="Y1473" s="535" t="str">
        <f t="shared" si="154"/>
        <v>2016ethgestEuropean or Other42+infant</v>
      </c>
      <c r="Z1473" s="604">
        <v>2016</v>
      </c>
      <c r="AA1473" s="604" t="s">
        <v>449</v>
      </c>
      <c r="AB1473" s="604" t="s">
        <v>450</v>
      </c>
      <c r="AC1473" s="604" t="s">
        <v>356</v>
      </c>
      <c r="AD1473" s="604" t="s">
        <v>138</v>
      </c>
      <c r="AE1473" s="604">
        <v>0</v>
      </c>
      <c r="AF1473" s="604">
        <v>516</v>
      </c>
      <c r="AG1473" s="604">
        <v>0</v>
      </c>
      <c r="AH1473" s="604" t="s">
        <v>437</v>
      </c>
      <c r="BY1473" s="553" t="str">
        <f t="shared" si="155"/>
        <v>2009TaranakidhbSUDI</v>
      </c>
      <c r="BZ1473" s="604">
        <v>2009</v>
      </c>
      <c r="CA1473" s="604" t="s">
        <v>93</v>
      </c>
      <c r="CB1473" s="604" t="s">
        <v>448</v>
      </c>
      <c r="CC1473" s="604">
        <v>2</v>
      </c>
      <c r="CD1473" s="604" t="s">
        <v>33</v>
      </c>
    </row>
    <row r="1474" spans="9:82">
      <c r="I1474" s="578" t="str">
        <f t="shared" si="153"/>
        <v>1996depQuin 2Peri</v>
      </c>
      <c r="J1474" s="604">
        <v>1996</v>
      </c>
      <c r="K1474" s="604" t="s">
        <v>454</v>
      </c>
      <c r="L1474" s="604" t="s">
        <v>422</v>
      </c>
      <c r="M1474" s="604">
        <v>75</v>
      </c>
      <c r="N1474" s="604">
        <v>7259</v>
      </c>
      <c r="O1474" s="604">
        <v>10.3</v>
      </c>
      <c r="P1474" s="604" t="s">
        <v>483</v>
      </c>
      <c r="Q1474" s="499"/>
      <c r="Y1474" s="535" t="str">
        <f t="shared" si="154"/>
        <v>2016ethgestMaoriUnknowninfant</v>
      </c>
      <c r="Z1474" s="604">
        <v>2016</v>
      </c>
      <c r="AA1474" s="604" t="s">
        <v>449</v>
      </c>
      <c r="AB1474" s="604" t="s">
        <v>450</v>
      </c>
      <c r="AC1474" s="604" t="s">
        <v>129</v>
      </c>
      <c r="AD1474" s="604" t="s">
        <v>63</v>
      </c>
      <c r="AE1474" s="604">
        <v>7</v>
      </c>
      <c r="AF1474" s="604">
        <v>13</v>
      </c>
      <c r="AG1474" s="604" t="s">
        <v>119</v>
      </c>
      <c r="AH1474" s="604" t="s">
        <v>437</v>
      </c>
      <c r="BY1474" s="553" t="str">
        <f t="shared" si="155"/>
        <v>2009MidCentraldhbSUDI</v>
      </c>
      <c r="BZ1474" s="604">
        <v>2009</v>
      </c>
      <c r="CA1474" s="604" t="s">
        <v>94</v>
      </c>
      <c r="CB1474" s="604" t="s">
        <v>448</v>
      </c>
      <c r="CC1474" s="604">
        <v>1</v>
      </c>
      <c r="CD1474" s="604" t="s">
        <v>33</v>
      </c>
    </row>
    <row r="1475" spans="9:82">
      <c r="I1475" s="578" t="str">
        <f t="shared" si="153"/>
        <v>1996depQuin 3Peri</v>
      </c>
      <c r="J1475" s="604">
        <v>1996</v>
      </c>
      <c r="K1475" s="604" t="s">
        <v>454</v>
      </c>
      <c r="L1475" s="604" t="s">
        <v>423</v>
      </c>
      <c r="M1475" s="604">
        <v>73</v>
      </c>
      <c r="N1475" s="604">
        <v>9081</v>
      </c>
      <c r="O1475" s="604">
        <v>8</v>
      </c>
      <c r="P1475" s="604" t="s">
        <v>483</v>
      </c>
      <c r="Q1475" s="499"/>
      <c r="Y1475" s="535" t="str">
        <f t="shared" si="154"/>
        <v>2016ethgestPacific peoplesUnknowninfant</v>
      </c>
      <c r="Z1475" s="604">
        <v>2016</v>
      </c>
      <c r="AA1475" s="604" t="s">
        <v>449</v>
      </c>
      <c r="AB1475" s="604" t="s">
        <v>450</v>
      </c>
      <c r="AC1475" s="604" t="s">
        <v>320</v>
      </c>
      <c r="AD1475" s="604" t="s">
        <v>63</v>
      </c>
      <c r="AE1475" s="604">
        <v>2</v>
      </c>
      <c r="AF1475" s="604">
        <v>1</v>
      </c>
      <c r="AG1475" s="604" t="s">
        <v>119</v>
      </c>
      <c r="AH1475" s="604" t="s">
        <v>437</v>
      </c>
      <c r="BY1475" s="553" t="str">
        <f t="shared" si="155"/>
        <v>2009WhanganuidhbSUDI</v>
      </c>
      <c r="BZ1475" s="604">
        <v>2009</v>
      </c>
      <c r="CA1475" s="604" t="s">
        <v>95</v>
      </c>
      <c r="CB1475" s="604" t="s">
        <v>448</v>
      </c>
      <c r="CC1475" s="604">
        <v>2</v>
      </c>
      <c r="CD1475" s="604" t="s">
        <v>33</v>
      </c>
    </row>
    <row r="1476" spans="9:82">
      <c r="I1476" s="578" t="str">
        <f t="shared" ref="I1476:I1539" si="156">J1476&amp;K1476&amp;L1476&amp;P1476</f>
        <v>1996depQuin 4Peri</v>
      </c>
      <c r="J1476" s="604">
        <v>1996</v>
      </c>
      <c r="K1476" s="604" t="s">
        <v>454</v>
      </c>
      <c r="L1476" s="604" t="s">
        <v>424</v>
      </c>
      <c r="M1476" s="604">
        <v>141</v>
      </c>
      <c r="N1476" s="604">
        <v>11650</v>
      </c>
      <c r="O1476" s="604">
        <v>12.1</v>
      </c>
      <c r="P1476" s="604" t="s">
        <v>483</v>
      </c>
      <c r="Q1476" s="499"/>
      <c r="Y1476" s="535" t="str">
        <f t="shared" ref="Y1476:Y1539" si="157">Z1476&amp;AA1476&amp;AB1476&amp;AC1476&amp;AD1476&amp;AH1476</f>
        <v>2016ethgestAsianUnknowninfant</v>
      </c>
      <c r="Z1476" s="604">
        <v>2016</v>
      </c>
      <c r="AA1476" s="604" t="s">
        <v>449</v>
      </c>
      <c r="AB1476" s="604" t="s">
        <v>450</v>
      </c>
      <c r="AC1476" s="604" t="s">
        <v>355</v>
      </c>
      <c r="AD1476" s="604" t="s">
        <v>63</v>
      </c>
      <c r="AE1476" s="604">
        <v>0</v>
      </c>
      <c r="AF1476" s="604">
        <v>5</v>
      </c>
      <c r="AG1476" s="604" t="s">
        <v>119</v>
      </c>
      <c r="AH1476" s="604" t="s">
        <v>437</v>
      </c>
      <c r="BY1476" s="553" t="str">
        <f t="shared" ref="BY1476:BY1539" si="158">BZ1476&amp;CA1476&amp;CB1476&amp;CD1476</f>
        <v>2009Capital &amp; CoastdhbSUDI</v>
      </c>
      <c r="BZ1476" s="604">
        <v>2009</v>
      </c>
      <c r="CA1476" s="604" t="s">
        <v>96</v>
      </c>
      <c r="CB1476" s="604" t="s">
        <v>448</v>
      </c>
      <c r="CC1476" s="604">
        <v>2</v>
      </c>
      <c r="CD1476" s="604" t="s">
        <v>33</v>
      </c>
    </row>
    <row r="1477" spans="9:82">
      <c r="I1477" s="578" t="str">
        <f t="shared" si="156"/>
        <v>1996depQuin 5Peri</v>
      </c>
      <c r="J1477" s="604">
        <v>1996</v>
      </c>
      <c r="K1477" s="604" t="s">
        <v>454</v>
      </c>
      <c r="L1477" s="604" t="s">
        <v>425</v>
      </c>
      <c r="M1477" s="604">
        <v>167</v>
      </c>
      <c r="N1477" s="604">
        <v>15278</v>
      </c>
      <c r="O1477" s="604">
        <v>10.9</v>
      </c>
      <c r="P1477" s="604" t="s">
        <v>483</v>
      </c>
      <c r="Q1477" s="499"/>
      <c r="Y1477" s="535" t="str">
        <f t="shared" si="157"/>
        <v>2016ethgestEuropean or OtherUnknowninfant</v>
      </c>
      <c r="Z1477" s="604">
        <v>2016</v>
      </c>
      <c r="AA1477" s="604" t="s">
        <v>449</v>
      </c>
      <c r="AB1477" s="604" t="s">
        <v>450</v>
      </c>
      <c r="AC1477" s="604" t="s">
        <v>356</v>
      </c>
      <c r="AD1477" s="604" t="s">
        <v>63</v>
      </c>
      <c r="AE1477" s="604">
        <v>4</v>
      </c>
      <c r="AF1477" s="604">
        <v>10</v>
      </c>
      <c r="AG1477" s="604" t="s">
        <v>119</v>
      </c>
      <c r="AH1477" s="604" t="s">
        <v>437</v>
      </c>
      <c r="BY1477" s="553" t="str">
        <f t="shared" si="158"/>
        <v>2009Hutt ValleydhbSUDI</v>
      </c>
      <c r="BZ1477" s="604">
        <v>2009</v>
      </c>
      <c r="CA1477" s="604" t="s">
        <v>97</v>
      </c>
      <c r="CB1477" s="604" t="s">
        <v>448</v>
      </c>
      <c r="CC1477" s="604">
        <v>4</v>
      </c>
      <c r="CD1477" s="604" t="s">
        <v>33</v>
      </c>
    </row>
    <row r="1478" spans="9:82">
      <c r="I1478" s="578" t="str">
        <f t="shared" si="156"/>
        <v>1996depQuin 9Peri</v>
      </c>
      <c r="J1478" s="604">
        <v>1996</v>
      </c>
      <c r="K1478" s="604" t="s">
        <v>454</v>
      </c>
      <c r="L1478" s="604" t="s">
        <v>426</v>
      </c>
      <c r="M1478" s="604">
        <v>75</v>
      </c>
      <c r="N1478" s="604">
        <v>8313</v>
      </c>
      <c r="O1478" s="604" t="s">
        <v>119</v>
      </c>
      <c r="P1478" s="604" t="s">
        <v>483</v>
      </c>
      <c r="Q1478" s="499"/>
      <c r="Y1478" s="535" t="str">
        <f t="shared" si="157"/>
        <v>2016sexgestMale&lt;28infant</v>
      </c>
      <c r="Z1478" s="604">
        <v>2016</v>
      </c>
      <c r="AA1478" s="604" t="s">
        <v>451</v>
      </c>
      <c r="AB1478" s="604" t="s">
        <v>450</v>
      </c>
      <c r="AC1478" s="604" t="s">
        <v>70</v>
      </c>
      <c r="AD1478" s="604" t="s">
        <v>375</v>
      </c>
      <c r="AE1478" s="604">
        <v>52</v>
      </c>
      <c r="AF1478" s="604">
        <v>132</v>
      </c>
      <c r="AG1478" s="604">
        <v>393.9</v>
      </c>
      <c r="AH1478" s="604" t="s">
        <v>437</v>
      </c>
      <c r="BY1478" s="553" t="str">
        <f t="shared" si="158"/>
        <v>2009WairarapadhbSUDI</v>
      </c>
      <c r="BZ1478" s="604">
        <v>2009</v>
      </c>
      <c r="CA1478" s="604" t="s">
        <v>98</v>
      </c>
      <c r="CB1478" s="604" t="s">
        <v>448</v>
      </c>
      <c r="CC1478" s="604">
        <v>1</v>
      </c>
      <c r="CD1478" s="604" t="s">
        <v>33</v>
      </c>
    </row>
    <row r="1479" spans="9:82">
      <c r="I1479" s="578" t="str">
        <f t="shared" si="156"/>
        <v>1997depQuin 1Peri</v>
      </c>
      <c r="J1479" s="604">
        <v>1997</v>
      </c>
      <c r="K1479" s="604" t="s">
        <v>454</v>
      </c>
      <c r="L1479" s="604" t="s">
        <v>421</v>
      </c>
      <c r="M1479" s="604">
        <v>48</v>
      </c>
      <c r="N1479" s="604">
        <v>6347</v>
      </c>
      <c r="O1479" s="604">
        <v>7.6</v>
      </c>
      <c r="P1479" s="604" t="s">
        <v>483</v>
      </c>
      <c r="Q1479" s="499"/>
      <c r="Y1479" s="535" t="str">
        <f t="shared" si="157"/>
        <v>2016sexgestFemale&lt;28infant</v>
      </c>
      <c r="Z1479" s="604">
        <v>2016</v>
      </c>
      <c r="AA1479" s="604" t="s">
        <v>451</v>
      </c>
      <c r="AB1479" s="604" t="s">
        <v>450</v>
      </c>
      <c r="AC1479" s="604" t="s">
        <v>71</v>
      </c>
      <c r="AD1479" s="604" t="s">
        <v>375</v>
      </c>
      <c r="AE1479" s="604">
        <v>44</v>
      </c>
      <c r="AF1479" s="604">
        <v>128</v>
      </c>
      <c r="AG1479" s="604">
        <v>343.8</v>
      </c>
      <c r="AH1479" s="604" t="s">
        <v>437</v>
      </c>
      <c r="BY1479" s="553" t="str">
        <f t="shared" si="158"/>
        <v>2009Nelson MarlboroughdhbSUDI</v>
      </c>
      <c r="BZ1479" s="604">
        <v>2009</v>
      </c>
      <c r="CA1479" s="604" t="s">
        <v>99</v>
      </c>
      <c r="CB1479" s="604" t="s">
        <v>448</v>
      </c>
      <c r="CC1479" s="604">
        <v>0</v>
      </c>
      <c r="CD1479" s="604" t="s">
        <v>33</v>
      </c>
    </row>
    <row r="1480" spans="9:82">
      <c r="I1480" s="578" t="str">
        <f t="shared" si="156"/>
        <v>1997depQuin 2Peri</v>
      </c>
      <c r="J1480" s="604">
        <v>1997</v>
      </c>
      <c r="K1480" s="604" t="s">
        <v>454</v>
      </c>
      <c r="L1480" s="604" t="s">
        <v>422</v>
      </c>
      <c r="M1480" s="604">
        <v>74</v>
      </c>
      <c r="N1480" s="604">
        <v>7247</v>
      </c>
      <c r="O1480" s="604">
        <v>10.199999999999999</v>
      </c>
      <c r="P1480" s="604" t="s">
        <v>483</v>
      </c>
      <c r="Q1480" s="499"/>
      <c r="Y1480" s="535" t="str">
        <f t="shared" si="157"/>
        <v>2016sexgestMale28-31infant</v>
      </c>
      <c r="Z1480" s="604">
        <v>2016</v>
      </c>
      <c r="AA1480" s="604" t="s">
        <v>451</v>
      </c>
      <c r="AB1480" s="604" t="s">
        <v>450</v>
      </c>
      <c r="AC1480" s="604" t="s">
        <v>70</v>
      </c>
      <c r="AD1480" s="604" t="s">
        <v>395</v>
      </c>
      <c r="AE1480" s="604">
        <v>5</v>
      </c>
      <c r="AF1480" s="604">
        <v>239</v>
      </c>
      <c r="AG1480" s="604">
        <v>20.9</v>
      </c>
      <c r="AH1480" s="604" t="s">
        <v>437</v>
      </c>
      <c r="BY1480" s="553" t="str">
        <f t="shared" si="158"/>
        <v>2009West CoastdhbSUDI</v>
      </c>
      <c r="BZ1480" s="604">
        <v>2009</v>
      </c>
      <c r="CA1480" s="604" t="s">
        <v>100</v>
      </c>
      <c r="CB1480" s="604" t="s">
        <v>448</v>
      </c>
      <c r="CC1480" s="604">
        <v>0</v>
      </c>
      <c r="CD1480" s="604" t="s">
        <v>33</v>
      </c>
    </row>
    <row r="1481" spans="9:82">
      <c r="I1481" s="578" t="str">
        <f t="shared" si="156"/>
        <v>1997depQuin 3Peri</v>
      </c>
      <c r="J1481" s="604">
        <v>1997</v>
      </c>
      <c r="K1481" s="604" t="s">
        <v>454</v>
      </c>
      <c r="L1481" s="604" t="s">
        <v>423</v>
      </c>
      <c r="M1481" s="604">
        <v>95</v>
      </c>
      <c r="N1481" s="604">
        <v>9124</v>
      </c>
      <c r="O1481" s="604">
        <v>10.4</v>
      </c>
      <c r="P1481" s="604" t="s">
        <v>483</v>
      </c>
      <c r="Q1481" s="499"/>
      <c r="Y1481" s="535" t="str">
        <f t="shared" si="157"/>
        <v>2016sexgestFemale28-31infant</v>
      </c>
      <c r="Z1481" s="604">
        <v>2016</v>
      </c>
      <c r="AA1481" s="604" t="s">
        <v>451</v>
      </c>
      <c r="AB1481" s="604" t="s">
        <v>450</v>
      </c>
      <c r="AC1481" s="604" t="s">
        <v>71</v>
      </c>
      <c r="AD1481" s="604" t="s">
        <v>395</v>
      </c>
      <c r="AE1481" s="604">
        <v>9</v>
      </c>
      <c r="AF1481" s="604">
        <v>178</v>
      </c>
      <c r="AG1481" s="604">
        <v>50.6</v>
      </c>
      <c r="AH1481" s="604" t="s">
        <v>437</v>
      </c>
      <c r="BY1481" s="553" t="str">
        <f t="shared" si="158"/>
        <v>2009CanterburydhbSUDI</v>
      </c>
      <c r="BZ1481" s="604">
        <v>2009</v>
      </c>
      <c r="CA1481" s="604" t="s">
        <v>101</v>
      </c>
      <c r="CB1481" s="604" t="s">
        <v>448</v>
      </c>
      <c r="CC1481" s="604">
        <v>5</v>
      </c>
      <c r="CD1481" s="604" t="s">
        <v>33</v>
      </c>
    </row>
    <row r="1482" spans="9:82">
      <c r="I1482" s="578" t="str">
        <f t="shared" si="156"/>
        <v>1997depQuin 4Peri</v>
      </c>
      <c r="J1482" s="604">
        <v>1997</v>
      </c>
      <c r="K1482" s="604" t="s">
        <v>454</v>
      </c>
      <c r="L1482" s="604" t="s">
        <v>424</v>
      </c>
      <c r="M1482" s="604">
        <v>135</v>
      </c>
      <c r="N1482" s="604">
        <v>11742</v>
      </c>
      <c r="O1482" s="604">
        <v>11.5</v>
      </c>
      <c r="P1482" s="604" t="s">
        <v>483</v>
      </c>
      <c r="Q1482" s="499"/>
      <c r="Y1482" s="535" t="str">
        <f t="shared" si="157"/>
        <v>2016sexgestMale32-36infant</v>
      </c>
      <c r="Z1482" s="604">
        <v>2016</v>
      </c>
      <c r="AA1482" s="604" t="s">
        <v>451</v>
      </c>
      <c r="AB1482" s="604" t="s">
        <v>450</v>
      </c>
      <c r="AC1482" s="604" t="s">
        <v>70</v>
      </c>
      <c r="AD1482" s="604" t="s">
        <v>136</v>
      </c>
      <c r="AE1482" s="604">
        <v>15</v>
      </c>
      <c r="AF1482" s="604">
        <v>2055</v>
      </c>
      <c r="AG1482" s="604">
        <v>7.3</v>
      </c>
      <c r="AH1482" s="604" t="s">
        <v>437</v>
      </c>
      <c r="BY1482" s="553" t="str">
        <f t="shared" si="158"/>
        <v>2009South CanterburydhbSUDI</v>
      </c>
      <c r="BZ1482" s="604">
        <v>2009</v>
      </c>
      <c r="CA1482" s="604" t="s">
        <v>102</v>
      </c>
      <c r="CB1482" s="604" t="s">
        <v>448</v>
      </c>
      <c r="CC1482" s="604">
        <v>1</v>
      </c>
      <c r="CD1482" s="604" t="s">
        <v>33</v>
      </c>
    </row>
    <row r="1483" spans="9:82">
      <c r="I1483" s="578" t="str">
        <f t="shared" si="156"/>
        <v>1997depQuin 5Peri</v>
      </c>
      <c r="J1483" s="604">
        <v>1997</v>
      </c>
      <c r="K1483" s="604" t="s">
        <v>454</v>
      </c>
      <c r="L1483" s="604" t="s">
        <v>425</v>
      </c>
      <c r="M1483" s="604">
        <v>156</v>
      </c>
      <c r="N1483" s="604">
        <v>15187</v>
      </c>
      <c r="O1483" s="604">
        <v>10.3</v>
      </c>
      <c r="P1483" s="604" t="s">
        <v>483</v>
      </c>
      <c r="Q1483" s="499"/>
      <c r="Y1483" s="535" t="str">
        <f t="shared" si="157"/>
        <v>2016sexgestFemale32-36infant</v>
      </c>
      <c r="Z1483" s="604">
        <v>2016</v>
      </c>
      <c r="AA1483" s="604" t="s">
        <v>451</v>
      </c>
      <c r="AB1483" s="604" t="s">
        <v>450</v>
      </c>
      <c r="AC1483" s="604" t="s">
        <v>71</v>
      </c>
      <c r="AD1483" s="604" t="s">
        <v>136</v>
      </c>
      <c r="AE1483" s="604">
        <v>8</v>
      </c>
      <c r="AF1483" s="604">
        <v>1759</v>
      </c>
      <c r="AG1483" s="604">
        <v>4.5</v>
      </c>
      <c r="AH1483" s="604" t="s">
        <v>437</v>
      </c>
      <c r="BY1483" s="553" t="str">
        <f t="shared" si="158"/>
        <v>2009SoutherndhbSUDI</v>
      </c>
      <c r="BZ1483" s="604">
        <v>2009</v>
      </c>
      <c r="CA1483" s="604" t="s">
        <v>103</v>
      </c>
      <c r="CB1483" s="604" t="s">
        <v>448</v>
      </c>
      <c r="CC1483" s="604">
        <v>0</v>
      </c>
      <c r="CD1483" s="604" t="s">
        <v>33</v>
      </c>
    </row>
    <row r="1484" spans="9:82">
      <c r="I1484" s="578" t="str">
        <f t="shared" si="156"/>
        <v>1997depQuin 9Peri</v>
      </c>
      <c r="J1484" s="604">
        <v>1997</v>
      </c>
      <c r="K1484" s="604" t="s">
        <v>454</v>
      </c>
      <c r="L1484" s="604" t="s">
        <v>426</v>
      </c>
      <c r="M1484" s="604">
        <v>80</v>
      </c>
      <c r="N1484" s="604">
        <v>8504</v>
      </c>
      <c r="O1484" s="604" t="s">
        <v>119</v>
      </c>
      <c r="P1484" s="604" t="s">
        <v>483</v>
      </c>
      <c r="Q1484" s="499"/>
      <c r="Y1484" s="535" t="str">
        <f t="shared" si="157"/>
        <v>2016sexgestMale37-41infant</v>
      </c>
      <c r="Z1484" s="604">
        <v>2016</v>
      </c>
      <c r="AA1484" s="604" t="s">
        <v>451</v>
      </c>
      <c r="AB1484" s="604" t="s">
        <v>450</v>
      </c>
      <c r="AC1484" s="604" t="s">
        <v>70</v>
      </c>
      <c r="AD1484" s="604" t="s">
        <v>137</v>
      </c>
      <c r="AE1484" s="604">
        <v>46</v>
      </c>
      <c r="AF1484" s="604">
        <v>28046</v>
      </c>
      <c r="AG1484" s="604">
        <v>1.6</v>
      </c>
      <c r="AH1484" s="604" t="s">
        <v>437</v>
      </c>
      <c r="BY1484" s="553" t="str">
        <f t="shared" si="158"/>
        <v>2009UnknowndhbSUDI</v>
      </c>
      <c r="BZ1484" s="604">
        <v>2009</v>
      </c>
      <c r="CA1484" s="604" t="s">
        <v>63</v>
      </c>
      <c r="CB1484" s="604" t="s">
        <v>448</v>
      </c>
      <c r="CC1484" s="604">
        <v>1</v>
      </c>
      <c r="CD1484" s="604" t="s">
        <v>33</v>
      </c>
    </row>
    <row r="1485" spans="9:82">
      <c r="I1485" s="578" t="str">
        <f t="shared" si="156"/>
        <v>1998depQuin 1Peri</v>
      </c>
      <c r="J1485" s="604">
        <v>1998</v>
      </c>
      <c r="K1485" s="604" t="s">
        <v>454</v>
      </c>
      <c r="L1485" s="604" t="s">
        <v>421</v>
      </c>
      <c r="M1485" s="604">
        <v>35</v>
      </c>
      <c r="N1485" s="604">
        <v>6339</v>
      </c>
      <c r="O1485" s="604">
        <v>5.5</v>
      </c>
      <c r="P1485" s="604" t="s">
        <v>483</v>
      </c>
      <c r="Q1485" s="499"/>
      <c r="Y1485" s="535" t="str">
        <f t="shared" si="157"/>
        <v>2016sexgestFemale37-41infant</v>
      </c>
      <c r="Z1485" s="604">
        <v>2016</v>
      </c>
      <c r="AA1485" s="604" t="s">
        <v>451</v>
      </c>
      <c r="AB1485" s="604" t="s">
        <v>450</v>
      </c>
      <c r="AC1485" s="604" t="s">
        <v>71</v>
      </c>
      <c r="AD1485" s="604" t="s">
        <v>137</v>
      </c>
      <c r="AE1485" s="604">
        <v>45</v>
      </c>
      <c r="AF1485" s="604">
        <v>26853</v>
      </c>
      <c r="AG1485" s="604">
        <v>1.7</v>
      </c>
      <c r="AH1485" s="604" t="s">
        <v>437</v>
      </c>
      <c r="BY1485" s="553" t="str">
        <f t="shared" si="158"/>
        <v>2010NorthlanddhbSUDI</v>
      </c>
      <c r="BZ1485" s="604">
        <v>2010</v>
      </c>
      <c r="CA1485" s="604" t="s">
        <v>85</v>
      </c>
      <c r="CB1485" s="604" t="s">
        <v>448</v>
      </c>
      <c r="CC1485" s="604">
        <v>6</v>
      </c>
      <c r="CD1485" s="604" t="s">
        <v>33</v>
      </c>
    </row>
    <row r="1486" spans="9:82">
      <c r="I1486" s="578" t="str">
        <f t="shared" si="156"/>
        <v>1998depQuin 2Peri</v>
      </c>
      <c r="J1486" s="604">
        <v>1998</v>
      </c>
      <c r="K1486" s="604" t="s">
        <v>454</v>
      </c>
      <c r="L1486" s="604" t="s">
        <v>422</v>
      </c>
      <c r="M1486" s="604">
        <v>70</v>
      </c>
      <c r="N1486" s="604">
        <v>7242</v>
      </c>
      <c r="O1486" s="604">
        <v>9.6999999999999993</v>
      </c>
      <c r="P1486" s="604" t="s">
        <v>483</v>
      </c>
      <c r="Q1486" s="499"/>
      <c r="Y1486" s="535" t="str">
        <f t="shared" si="157"/>
        <v>2016sexgestMale42+infant</v>
      </c>
      <c r="Z1486" s="604">
        <v>2016</v>
      </c>
      <c r="AA1486" s="604" t="s">
        <v>451</v>
      </c>
      <c r="AB1486" s="604" t="s">
        <v>450</v>
      </c>
      <c r="AC1486" s="604" t="s">
        <v>70</v>
      </c>
      <c r="AD1486" s="604" t="s">
        <v>138</v>
      </c>
      <c r="AE1486" s="604">
        <v>1</v>
      </c>
      <c r="AF1486" s="604">
        <v>523</v>
      </c>
      <c r="AG1486" s="604">
        <v>1.9</v>
      </c>
      <c r="AH1486" s="604" t="s">
        <v>437</v>
      </c>
      <c r="BY1486" s="553" t="str">
        <f t="shared" si="158"/>
        <v>2010WaitematadhbSUDI</v>
      </c>
      <c r="BZ1486" s="604">
        <v>2010</v>
      </c>
      <c r="CA1486" s="604" t="s">
        <v>86</v>
      </c>
      <c r="CB1486" s="604" t="s">
        <v>448</v>
      </c>
      <c r="CC1486" s="604">
        <v>6</v>
      </c>
      <c r="CD1486" s="604" t="s">
        <v>33</v>
      </c>
    </row>
    <row r="1487" spans="9:82">
      <c r="I1487" s="578" t="str">
        <f t="shared" si="156"/>
        <v>1998depQuin 3Peri</v>
      </c>
      <c r="J1487" s="604">
        <v>1998</v>
      </c>
      <c r="K1487" s="604" t="s">
        <v>454</v>
      </c>
      <c r="L1487" s="604" t="s">
        <v>423</v>
      </c>
      <c r="M1487" s="604">
        <v>74</v>
      </c>
      <c r="N1487" s="604">
        <v>9109</v>
      </c>
      <c r="O1487" s="604">
        <v>8.1</v>
      </c>
      <c r="P1487" s="604" t="s">
        <v>483</v>
      </c>
      <c r="Q1487" s="499"/>
      <c r="Y1487" s="535" t="str">
        <f t="shared" si="157"/>
        <v>2016sexgestFemale42+infant</v>
      </c>
      <c r="Z1487" s="604">
        <v>2016</v>
      </c>
      <c r="AA1487" s="604" t="s">
        <v>451</v>
      </c>
      <c r="AB1487" s="604" t="s">
        <v>450</v>
      </c>
      <c r="AC1487" s="604" t="s">
        <v>71</v>
      </c>
      <c r="AD1487" s="604" t="s">
        <v>138</v>
      </c>
      <c r="AE1487" s="604">
        <v>3</v>
      </c>
      <c r="AF1487" s="604">
        <v>494</v>
      </c>
      <c r="AG1487" s="604">
        <v>6.1</v>
      </c>
      <c r="AH1487" s="604" t="s">
        <v>437</v>
      </c>
      <c r="BY1487" s="553" t="str">
        <f t="shared" si="158"/>
        <v>2010AucklanddhbSUDI</v>
      </c>
      <c r="BZ1487" s="604">
        <v>2010</v>
      </c>
      <c r="CA1487" s="604" t="s">
        <v>87</v>
      </c>
      <c r="CB1487" s="604" t="s">
        <v>448</v>
      </c>
      <c r="CC1487" s="604">
        <v>4</v>
      </c>
      <c r="CD1487" s="604" t="s">
        <v>33</v>
      </c>
    </row>
    <row r="1488" spans="9:82">
      <c r="I1488" s="578" t="str">
        <f t="shared" si="156"/>
        <v>1998depQuin 4Peri</v>
      </c>
      <c r="J1488" s="604">
        <v>1998</v>
      </c>
      <c r="K1488" s="604" t="s">
        <v>454</v>
      </c>
      <c r="L1488" s="604" t="s">
        <v>424</v>
      </c>
      <c r="M1488" s="604">
        <v>95</v>
      </c>
      <c r="N1488" s="604">
        <v>11714</v>
      </c>
      <c r="O1488" s="604">
        <v>8.1</v>
      </c>
      <c r="P1488" s="604" t="s">
        <v>483</v>
      </c>
      <c r="Q1488" s="499"/>
      <c r="Y1488" s="535" t="str">
        <f t="shared" si="157"/>
        <v>2016sexgestMaleUnknowninfant</v>
      </c>
      <c r="Z1488" s="604">
        <v>2016</v>
      </c>
      <c r="AA1488" s="604" t="s">
        <v>451</v>
      </c>
      <c r="AB1488" s="604" t="s">
        <v>450</v>
      </c>
      <c r="AC1488" s="604" t="s">
        <v>70</v>
      </c>
      <c r="AD1488" s="604" t="s">
        <v>63</v>
      </c>
      <c r="AE1488" s="604">
        <v>8</v>
      </c>
      <c r="AF1488" s="604">
        <v>14</v>
      </c>
      <c r="AG1488" s="604" t="s">
        <v>119</v>
      </c>
      <c r="AH1488" s="604" t="s">
        <v>437</v>
      </c>
      <c r="BY1488" s="553" t="str">
        <f t="shared" si="158"/>
        <v>2010Counties ManukaudhbSUDI</v>
      </c>
      <c r="BZ1488" s="604">
        <v>2010</v>
      </c>
      <c r="CA1488" s="604" t="s">
        <v>88</v>
      </c>
      <c r="CB1488" s="604" t="s">
        <v>448</v>
      </c>
      <c r="CC1488" s="604">
        <v>7</v>
      </c>
      <c r="CD1488" s="604" t="s">
        <v>33</v>
      </c>
    </row>
    <row r="1489" spans="9:82">
      <c r="I1489" s="578" t="str">
        <f t="shared" si="156"/>
        <v>1998depQuin 5Peri</v>
      </c>
      <c r="J1489" s="604">
        <v>1998</v>
      </c>
      <c r="K1489" s="604" t="s">
        <v>454</v>
      </c>
      <c r="L1489" s="604" t="s">
        <v>425</v>
      </c>
      <c r="M1489" s="604">
        <v>153</v>
      </c>
      <c r="N1489" s="604">
        <v>15184</v>
      </c>
      <c r="O1489" s="604">
        <v>10.1</v>
      </c>
      <c r="P1489" s="604" t="s">
        <v>483</v>
      </c>
      <c r="Q1489" s="499"/>
      <c r="Y1489" s="535" t="str">
        <f t="shared" si="157"/>
        <v>2016sexgestFemaleUnknowninfant</v>
      </c>
      <c r="Z1489" s="604">
        <v>2016</v>
      </c>
      <c r="AA1489" s="604" t="s">
        <v>451</v>
      </c>
      <c r="AB1489" s="604" t="s">
        <v>450</v>
      </c>
      <c r="AC1489" s="604" t="s">
        <v>71</v>
      </c>
      <c r="AD1489" s="604" t="s">
        <v>63</v>
      </c>
      <c r="AE1489" s="604">
        <v>5</v>
      </c>
      <c r="AF1489" s="604">
        <v>15</v>
      </c>
      <c r="AG1489" s="604" t="s">
        <v>119</v>
      </c>
      <c r="AH1489" s="604" t="s">
        <v>437</v>
      </c>
      <c r="BY1489" s="553" t="str">
        <f t="shared" si="158"/>
        <v>2010WaikatodhbSUDI</v>
      </c>
      <c r="BZ1489" s="604">
        <v>2010</v>
      </c>
      <c r="CA1489" s="604" t="s">
        <v>89</v>
      </c>
      <c r="CB1489" s="604" t="s">
        <v>448</v>
      </c>
      <c r="CC1489" s="604">
        <v>3</v>
      </c>
      <c r="CD1489" s="604" t="s">
        <v>33</v>
      </c>
    </row>
    <row r="1490" spans="9:82">
      <c r="I1490" s="578" t="str">
        <f t="shared" si="156"/>
        <v>1998depQuin 9Peri</v>
      </c>
      <c r="J1490" s="604">
        <v>1998</v>
      </c>
      <c r="K1490" s="604" t="s">
        <v>454</v>
      </c>
      <c r="L1490" s="604" t="s">
        <v>426</v>
      </c>
      <c r="M1490" s="604">
        <v>57</v>
      </c>
      <c r="N1490" s="604">
        <v>8494</v>
      </c>
      <c r="O1490" s="604" t="s">
        <v>119</v>
      </c>
      <c r="P1490" s="604" t="s">
        <v>483</v>
      </c>
      <c r="Q1490" s="499"/>
      <c r="Y1490" s="535" t="str">
        <f t="shared" si="157"/>
        <v>2016bwtgest&lt;500&lt;28infant</v>
      </c>
      <c r="Z1490" s="604">
        <v>2016</v>
      </c>
      <c r="AA1490" s="604" t="s">
        <v>447</v>
      </c>
      <c r="AB1490" s="604" t="s">
        <v>450</v>
      </c>
      <c r="AC1490" s="604" t="s">
        <v>427</v>
      </c>
      <c r="AD1490" s="604" t="s">
        <v>375</v>
      </c>
      <c r="AE1490" s="604">
        <v>36</v>
      </c>
      <c r="AF1490" s="604">
        <v>41</v>
      </c>
      <c r="AG1490" s="604">
        <v>878</v>
      </c>
      <c r="AH1490" s="604" t="s">
        <v>437</v>
      </c>
      <c r="BY1490" s="553" t="str">
        <f t="shared" si="158"/>
        <v>2010LakesdhbSUDI</v>
      </c>
      <c r="BZ1490" s="604">
        <v>2010</v>
      </c>
      <c r="CA1490" s="604" t="s">
        <v>90</v>
      </c>
      <c r="CB1490" s="604" t="s">
        <v>448</v>
      </c>
      <c r="CC1490" s="604">
        <v>4</v>
      </c>
      <c r="CD1490" s="604" t="s">
        <v>33</v>
      </c>
    </row>
    <row r="1491" spans="9:82">
      <c r="I1491" s="578" t="str">
        <f t="shared" si="156"/>
        <v>1999depQuin 1Peri</v>
      </c>
      <c r="J1491" s="604">
        <v>1999</v>
      </c>
      <c r="K1491" s="604" t="s">
        <v>454</v>
      </c>
      <c r="L1491" s="604" t="s">
        <v>421</v>
      </c>
      <c r="M1491" s="604">
        <v>62</v>
      </c>
      <c r="N1491" s="604">
        <v>7297</v>
      </c>
      <c r="O1491" s="604">
        <v>8.5</v>
      </c>
      <c r="P1491" s="604" t="s">
        <v>483</v>
      </c>
      <c r="Q1491" s="499"/>
      <c r="Y1491" s="535" t="str">
        <f t="shared" si="157"/>
        <v>2016bwtgest500-999&lt;28infant</v>
      </c>
      <c r="Z1491" s="604">
        <v>2016</v>
      </c>
      <c r="AA1491" s="604" t="s">
        <v>447</v>
      </c>
      <c r="AB1491" s="604" t="s">
        <v>450</v>
      </c>
      <c r="AC1491" s="604" t="s">
        <v>428</v>
      </c>
      <c r="AD1491" s="604" t="s">
        <v>375</v>
      </c>
      <c r="AE1491" s="604">
        <v>55</v>
      </c>
      <c r="AF1491" s="604">
        <v>157</v>
      </c>
      <c r="AG1491" s="604">
        <v>350.3</v>
      </c>
      <c r="AH1491" s="604" t="s">
        <v>437</v>
      </c>
      <c r="BY1491" s="553" t="str">
        <f t="shared" si="158"/>
        <v>2010Bay of PlentydhbSUDI</v>
      </c>
      <c r="BZ1491" s="604">
        <v>2010</v>
      </c>
      <c r="CA1491" s="604" t="s">
        <v>91</v>
      </c>
      <c r="CB1491" s="604" t="s">
        <v>448</v>
      </c>
      <c r="CC1491" s="604">
        <v>3</v>
      </c>
      <c r="CD1491" s="604" t="s">
        <v>33</v>
      </c>
    </row>
    <row r="1492" spans="9:82">
      <c r="I1492" s="578" t="str">
        <f t="shared" si="156"/>
        <v>1999depQuin 2Peri</v>
      </c>
      <c r="J1492" s="604">
        <v>1999</v>
      </c>
      <c r="K1492" s="604" t="s">
        <v>454</v>
      </c>
      <c r="L1492" s="604" t="s">
        <v>422</v>
      </c>
      <c r="M1492" s="604">
        <v>83</v>
      </c>
      <c r="N1492" s="604">
        <v>8123</v>
      </c>
      <c r="O1492" s="604">
        <v>10.199999999999999</v>
      </c>
      <c r="P1492" s="604" t="s">
        <v>483</v>
      </c>
      <c r="Q1492" s="499"/>
      <c r="Y1492" s="535" t="str">
        <f t="shared" si="157"/>
        <v>2016bwtgest1000-1499&lt;28infant</v>
      </c>
      <c r="Z1492" s="604">
        <v>2016</v>
      </c>
      <c r="AA1492" s="604" t="s">
        <v>447</v>
      </c>
      <c r="AB1492" s="604" t="s">
        <v>450</v>
      </c>
      <c r="AC1492" s="604" t="s">
        <v>429</v>
      </c>
      <c r="AD1492" s="604" t="s">
        <v>375</v>
      </c>
      <c r="AE1492" s="604">
        <v>3</v>
      </c>
      <c r="AF1492" s="604">
        <v>56</v>
      </c>
      <c r="AG1492" s="604">
        <v>53.6</v>
      </c>
      <c r="AH1492" s="604" t="s">
        <v>437</v>
      </c>
      <c r="BY1492" s="553" t="str">
        <f t="shared" si="158"/>
        <v>2010TairawhitidhbSUDI</v>
      </c>
      <c r="BZ1492" s="604">
        <v>2010</v>
      </c>
      <c r="CA1492" s="604" t="s">
        <v>433</v>
      </c>
      <c r="CB1492" s="604" t="s">
        <v>448</v>
      </c>
      <c r="CC1492" s="604">
        <v>1</v>
      </c>
      <c r="CD1492" s="604" t="s">
        <v>33</v>
      </c>
    </row>
    <row r="1493" spans="9:82">
      <c r="I1493" s="578" t="str">
        <f t="shared" si="156"/>
        <v>1999depQuin 3Peri</v>
      </c>
      <c r="J1493" s="604">
        <v>1999</v>
      </c>
      <c r="K1493" s="604" t="s">
        <v>454</v>
      </c>
      <c r="L1493" s="604" t="s">
        <v>423</v>
      </c>
      <c r="M1493" s="604">
        <v>84</v>
      </c>
      <c r="N1493" s="604">
        <v>9774</v>
      </c>
      <c r="O1493" s="604">
        <v>8.6</v>
      </c>
      <c r="P1493" s="604" t="s">
        <v>483</v>
      </c>
      <c r="Q1493" s="499"/>
      <c r="Y1493" s="535" t="str">
        <f t="shared" si="157"/>
        <v>2016bwtgest1500-2499&lt;28infant</v>
      </c>
      <c r="Z1493" s="604">
        <v>2016</v>
      </c>
      <c r="AA1493" s="604" t="s">
        <v>447</v>
      </c>
      <c r="AB1493" s="604" t="s">
        <v>450</v>
      </c>
      <c r="AC1493" s="604" t="s">
        <v>430</v>
      </c>
      <c r="AD1493" s="604" t="s">
        <v>375</v>
      </c>
      <c r="AE1493" s="604">
        <v>1</v>
      </c>
      <c r="AF1493" s="604">
        <v>3</v>
      </c>
      <c r="AG1493" s="604">
        <v>333.3</v>
      </c>
      <c r="AH1493" s="604" t="s">
        <v>437</v>
      </c>
      <c r="BY1493" s="553" t="str">
        <f t="shared" si="158"/>
        <v>2010Hawke's BaydhbSUDI</v>
      </c>
      <c r="BZ1493" s="604">
        <v>2010</v>
      </c>
      <c r="CA1493" s="604" t="s">
        <v>92</v>
      </c>
      <c r="CB1493" s="604" t="s">
        <v>448</v>
      </c>
      <c r="CC1493" s="604">
        <v>5</v>
      </c>
      <c r="CD1493" s="604" t="s">
        <v>33</v>
      </c>
    </row>
    <row r="1494" spans="9:82">
      <c r="I1494" s="578" t="str">
        <f t="shared" si="156"/>
        <v>1999depQuin 4Peri</v>
      </c>
      <c r="J1494" s="604">
        <v>1999</v>
      </c>
      <c r="K1494" s="604" t="s">
        <v>454</v>
      </c>
      <c r="L1494" s="604" t="s">
        <v>424</v>
      </c>
      <c r="M1494" s="604">
        <v>131</v>
      </c>
      <c r="N1494" s="604">
        <v>12293</v>
      </c>
      <c r="O1494" s="604">
        <v>10.7</v>
      </c>
      <c r="P1494" s="604" t="s">
        <v>483</v>
      </c>
      <c r="Q1494" s="499"/>
      <c r="Y1494" s="535" t="str">
        <f t="shared" si="157"/>
        <v>2016bwtgest2500-4499&lt;28infant</v>
      </c>
      <c r="Z1494" s="604">
        <v>2016</v>
      </c>
      <c r="AA1494" s="604" t="s">
        <v>447</v>
      </c>
      <c r="AB1494" s="604" t="s">
        <v>450</v>
      </c>
      <c r="AC1494" s="604" t="s">
        <v>431</v>
      </c>
      <c r="AD1494" s="604" t="s">
        <v>375</v>
      </c>
      <c r="AE1494" s="604">
        <v>0</v>
      </c>
      <c r="AF1494" s="604">
        <v>2</v>
      </c>
      <c r="AG1494" s="604">
        <v>0</v>
      </c>
      <c r="AH1494" s="604" t="s">
        <v>437</v>
      </c>
      <c r="BY1494" s="553" t="str">
        <f t="shared" si="158"/>
        <v>2010TaranakidhbSUDI</v>
      </c>
      <c r="BZ1494" s="604">
        <v>2010</v>
      </c>
      <c r="CA1494" s="604" t="s">
        <v>93</v>
      </c>
      <c r="CB1494" s="604" t="s">
        <v>448</v>
      </c>
      <c r="CC1494" s="604">
        <v>1</v>
      </c>
      <c r="CD1494" s="604" t="s">
        <v>33</v>
      </c>
    </row>
    <row r="1495" spans="9:82">
      <c r="I1495" s="578" t="str">
        <f t="shared" si="156"/>
        <v>1999depQuin 5Peri</v>
      </c>
      <c r="J1495" s="604">
        <v>1999</v>
      </c>
      <c r="K1495" s="604" t="s">
        <v>454</v>
      </c>
      <c r="L1495" s="604" t="s">
        <v>425</v>
      </c>
      <c r="M1495" s="604">
        <v>181</v>
      </c>
      <c r="N1495" s="604">
        <v>14880</v>
      </c>
      <c r="O1495" s="604">
        <v>12.2</v>
      </c>
      <c r="P1495" s="604" t="s">
        <v>483</v>
      </c>
      <c r="Q1495" s="499"/>
      <c r="Y1495" s="535" t="str">
        <f t="shared" si="157"/>
        <v>2016bwtgestUnknown&lt;28infant</v>
      </c>
      <c r="Z1495" s="604">
        <v>2016</v>
      </c>
      <c r="AA1495" s="604" t="s">
        <v>447</v>
      </c>
      <c r="AB1495" s="604" t="s">
        <v>450</v>
      </c>
      <c r="AC1495" s="604" t="s">
        <v>63</v>
      </c>
      <c r="AD1495" s="604" t="s">
        <v>375</v>
      </c>
      <c r="AE1495" s="604">
        <v>1</v>
      </c>
      <c r="AF1495" s="604">
        <v>1</v>
      </c>
      <c r="AG1495" s="604" t="s">
        <v>119</v>
      </c>
      <c r="AH1495" s="604" t="s">
        <v>437</v>
      </c>
      <c r="BY1495" s="553" t="str">
        <f t="shared" si="158"/>
        <v>2010MidCentraldhbSUDI</v>
      </c>
      <c r="BZ1495" s="604">
        <v>2010</v>
      </c>
      <c r="CA1495" s="604" t="s">
        <v>94</v>
      </c>
      <c r="CB1495" s="604" t="s">
        <v>448</v>
      </c>
      <c r="CC1495" s="604">
        <v>3</v>
      </c>
      <c r="CD1495" s="604" t="s">
        <v>33</v>
      </c>
    </row>
    <row r="1496" spans="9:82">
      <c r="I1496" s="578" t="str">
        <f t="shared" si="156"/>
        <v>1999depQuin 9Peri</v>
      </c>
      <c r="J1496" s="604">
        <v>1999</v>
      </c>
      <c r="K1496" s="604" t="s">
        <v>454</v>
      </c>
      <c r="L1496" s="604" t="s">
        <v>426</v>
      </c>
      <c r="M1496" s="604">
        <v>41</v>
      </c>
      <c r="N1496" s="604">
        <v>5480</v>
      </c>
      <c r="O1496" s="604" t="s">
        <v>119</v>
      </c>
      <c r="P1496" s="604" t="s">
        <v>483</v>
      </c>
      <c r="Q1496" s="499"/>
      <c r="Y1496" s="535" t="str">
        <f t="shared" si="157"/>
        <v>2016bwtgest500-99928-31infant</v>
      </c>
      <c r="Z1496" s="604">
        <v>2016</v>
      </c>
      <c r="AA1496" s="604" t="s">
        <v>447</v>
      </c>
      <c r="AB1496" s="604" t="s">
        <v>450</v>
      </c>
      <c r="AC1496" s="604" t="s">
        <v>428</v>
      </c>
      <c r="AD1496" s="604" t="s">
        <v>395</v>
      </c>
      <c r="AE1496" s="604">
        <v>1</v>
      </c>
      <c r="AF1496" s="604">
        <v>37</v>
      </c>
      <c r="AG1496" s="604">
        <v>27</v>
      </c>
      <c r="AH1496" s="604" t="s">
        <v>437</v>
      </c>
      <c r="BY1496" s="553" t="str">
        <f t="shared" si="158"/>
        <v>2010WhanganuidhbSUDI</v>
      </c>
      <c r="BZ1496" s="604">
        <v>2010</v>
      </c>
      <c r="CA1496" s="604" t="s">
        <v>95</v>
      </c>
      <c r="CB1496" s="604" t="s">
        <v>448</v>
      </c>
      <c r="CC1496" s="604">
        <v>2</v>
      </c>
      <c r="CD1496" s="604" t="s">
        <v>33</v>
      </c>
    </row>
    <row r="1497" spans="9:82">
      <c r="I1497" s="578" t="str">
        <f t="shared" si="156"/>
        <v>2000depQuin 1Peri</v>
      </c>
      <c r="J1497" s="604">
        <v>2000</v>
      </c>
      <c r="K1497" s="604" t="s">
        <v>454</v>
      </c>
      <c r="L1497" s="604" t="s">
        <v>421</v>
      </c>
      <c r="M1497" s="604">
        <v>50</v>
      </c>
      <c r="N1497" s="604">
        <v>7085</v>
      </c>
      <c r="O1497" s="604">
        <v>7.1</v>
      </c>
      <c r="P1497" s="604" t="s">
        <v>483</v>
      </c>
      <c r="Q1497" s="499"/>
      <c r="Y1497" s="535" t="str">
        <f t="shared" si="157"/>
        <v>2016bwtgest1000-149928-31infant</v>
      </c>
      <c r="Z1497" s="604">
        <v>2016</v>
      </c>
      <c r="AA1497" s="604" t="s">
        <v>447</v>
      </c>
      <c r="AB1497" s="604" t="s">
        <v>450</v>
      </c>
      <c r="AC1497" s="604" t="s">
        <v>429</v>
      </c>
      <c r="AD1497" s="604" t="s">
        <v>395</v>
      </c>
      <c r="AE1497" s="604">
        <v>5</v>
      </c>
      <c r="AF1497" s="604">
        <v>198</v>
      </c>
      <c r="AG1497" s="604">
        <v>25.3</v>
      </c>
      <c r="AH1497" s="604" t="s">
        <v>437</v>
      </c>
      <c r="BY1497" s="553" t="str">
        <f t="shared" si="158"/>
        <v>2010Capital &amp; CoastdhbSUDI</v>
      </c>
      <c r="BZ1497" s="604">
        <v>2010</v>
      </c>
      <c r="CA1497" s="604" t="s">
        <v>96</v>
      </c>
      <c r="CB1497" s="604" t="s">
        <v>448</v>
      </c>
      <c r="CC1497" s="604">
        <v>3</v>
      </c>
      <c r="CD1497" s="604" t="s">
        <v>33</v>
      </c>
    </row>
    <row r="1498" spans="9:82">
      <c r="I1498" s="578" t="str">
        <f t="shared" si="156"/>
        <v>2000depQuin 2Peri</v>
      </c>
      <c r="J1498" s="604">
        <v>2000</v>
      </c>
      <c r="K1498" s="604" t="s">
        <v>454</v>
      </c>
      <c r="L1498" s="604" t="s">
        <v>422</v>
      </c>
      <c r="M1498" s="604">
        <v>95</v>
      </c>
      <c r="N1498" s="604">
        <v>8103</v>
      </c>
      <c r="O1498" s="604">
        <v>11.7</v>
      </c>
      <c r="P1498" s="604" t="s">
        <v>483</v>
      </c>
      <c r="Q1498" s="499"/>
      <c r="Y1498" s="535" t="str">
        <f t="shared" si="157"/>
        <v>2016bwtgest1500-249928-31infant</v>
      </c>
      <c r="Z1498" s="604">
        <v>2016</v>
      </c>
      <c r="AA1498" s="604" t="s">
        <v>447</v>
      </c>
      <c r="AB1498" s="604" t="s">
        <v>450</v>
      </c>
      <c r="AC1498" s="604" t="s">
        <v>430</v>
      </c>
      <c r="AD1498" s="604" t="s">
        <v>395</v>
      </c>
      <c r="AE1498" s="604">
        <v>8</v>
      </c>
      <c r="AF1498" s="604">
        <v>167</v>
      </c>
      <c r="AG1498" s="604">
        <v>47.9</v>
      </c>
      <c r="AH1498" s="604" t="s">
        <v>437</v>
      </c>
      <c r="BY1498" s="553" t="str">
        <f t="shared" si="158"/>
        <v>2010Hutt ValleydhbSUDI</v>
      </c>
      <c r="BZ1498" s="604">
        <v>2010</v>
      </c>
      <c r="CA1498" s="604" t="s">
        <v>97</v>
      </c>
      <c r="CB1498" s="604" t="s">
        <v>448</v>
      </c>
      <c r="CC1498" s="604">
        <v>4</v>
      </c>
      <c r="CD1498" s="604" t="s">
        <v>33</v>
      </c>
    </row>
    <row r="1499" spans="9:82">
      <c r="I1499" s="578" t="str">
        <f t="shared" si="156"/>
        <v>2000depQuin 3Peri</v>
      </c>
      <c r="J1499" s="604">
        <v>2000</v>
      </c>
      <c r="K1499" s="604" t="s">
        <v>454</v>
      </c>
      <c r="L1499" s="604" t="s">
        <v>423</v>
      </c>
      <c r="M1499" s="604">
        <v>83</v>
      </c>
      <c r="N1499" s="604">
        <v>9879</v>
      </c>
      <c r="O1499" s="604">
        <v>8.4</v>
      </c>
      <c r="P1499" s="604" t="s">
        <v>483</v>
      </c>
      <c r="Q1499" s="499"/>
      <c r="Y1499" s="535" t="str">
        <f t="shared" si="157"/>
        <v>2016bwtgest2500-449928-31infant</v>
      </c>
      <c r="Z1499" s="604">
        <v>2016</v>
      </c>
      <c r="AA1499" s="604" t="s">
        <v>447</v>
      </c>
      <c r="AB1499" s="604" t="s">
        <v>450</v>
      </c>
      <c r="AC1499" s="604" t="s">
        <v>431</v>
      </c>
      <c r="AD1499" s="604" t="s">
        <v>395</v>
      </c>
      <c r="AE1499" s="604">
        <v>0</v>
      </c>
      <c r="AF1499" s="604">
        <v>15</v>
      </c>
      <c r="AG1499" s="604">
        <v>0</v>
      </c>
      <c r="AH1499" s="604" t="s">
        <v>437</v>
      </c>
      <c r="BY1499" s="553" t="str">
        <f t="shared" si="158"/>
        <v>2010WairarapadhbSUDI</v>
      </c>
      <c r="BZ1499" s="604">
        <v>2010</v>
      </c>
      <c r="CA1499" s="604" t="s">
        <v>98</v>
      </c>
      <c r="CB1499" s="604" t="s">
        <v>448</v>
      </c>
      <c r="CC1499" s="604">
        <v>1</v>
      </c>
      <c r="CD1499" s="604" t="s">
        <v>33</v>
      </c>
    </row>
    <row r="1500" spans="9:82">
      <c r="I1500" s="578" t="str">
        <f t="shared" si="156"/>
        <v>2000depQuin 4Peri</v>
      </c>
      <c r="J1500" s="604">
        <v>2000</v>
      </c>
      <c r="K1500" s="604" t="s">
        <v>454</v>
      </c>
      <c r="L1500" s="604" t="s">
        <v>424</v>
      </c>
      <c r="M1500" s="604">
        <v>125</v>
      </c>
      <c r="N1500" s="604">
        <v>12522</v>
      </c>
      <c r="O1500" s="604">
        <v>10</v>
      </c>
      <c r="P1500" s="604" t="s">
        <v>483</v>
      </c>
      <c r="Q1500" s="499"/>
      <c r="Y1500" s="535" t="str">
        <f t="shared" si="157"/>
        <v>2016bwtgest&lt;50032-36infant</v>
      </c>
      <c r="Z1500" s="604">
        <v>2016</v>
      </c>
      <c r="AA1500" s="604" t="s">
        <v>447</v>
      </c>
      <c r="AB1500" s="604" t="s">
        <v>450</v>
      </c>
      <c r="AC1500" s="604" t="s">
        <v>427</v>
      </c>
      <c r="AD1500" s="604" t="s">
        <v>136</v>
      </c>
      <c r="AE1500" s="604">
        <v>0</v>
      </c>
      <c r="AF1500" s="604">
        <v>1</v>
      </c>
      <c r="AG1500" s="604">
        <v>0</v>
      </c>
      <c r="AH1500" s="604" t="s">
        <v>437</v>
      </c>
      <c r="BY1500" s="553" t="str">
        <f t="shared" si="158"/>
        <v>2010Nelson MarlboroughdhbSUDI</v>
      </c>
      <c r="BZ1500" s="604">
        <v>2010</v>
      </c>
      <c r="CA1500" s="604" t="s">
        <v>99</v>
      </c>
      <c r="CB1500" s="604" t="s">
        <v>448</v>
      </c>
      <c r="CC1500" s="604">
        <v>0</v>
      </c>
      <c r="CD1500" s="604" t="s">
        <v>33</v>
      </c>
    </row>
    <row r="1501" spans="9:82">
      <c r="I1501" s="578" t="str">
        <f t="shared" si="156"/>
        <v>2000depQuin 5Peri</v>
      </c>
      <c r="J1501" s="604">
        <v>2000</v>
      </c>
      <c r="K1501" s="604" t="s">
        <v>454</v>
      </c>
      <c r="L1501" s="604" t="s">
        <v>425</v>
      </c>
      <c r="M1501" s="604">
        <v>136</v>
      </c>
      <c r="N1501" s="604">
        <v>14199</v>
      </c>
      <c r="O1501" s="604">
        <v>9.6</v>
      </c>
      <c r="P1501" s="604" t="s">
        <v>483</v>
      </c>
      <c r="Q1501" s="499"/>
      <c r="Y1501" s="535" t="str">
        <f t="shared" si="157"/>
        <v>2016bwtgest1000-149932-36infant</v>
      </c>
      <c r="Z1501" s="604">
        <v>2016</v>
      </c>
      <c r="AA1501" s="604" t="s">
        <v>447</v>
      </c>
      <c r="AB1501" s="604" t="s">
        <v>450</v>
      </c>
      <c r="AC1501" s="604" t="s">
        <v>429</v>
      </c>
      <c r="AD1501" s="604" t="s">
        <v>136</v>
      </c>
      <c r="AE1501" s="604">
        <v>0</v>
      </c>
      <c r="AF1501" s="604">
        <v>72</v>
      </c>
      <c r="AG1501" s="604">
        <v>0</v>
      </c>
      <c r="AH1501" s="604" t="s">
        <v>437</v>
      </c>
      <c r="BY1501" s="553" t="str">
        <f t="shared" si="158"/>
        <v>2010West CoastdhbSUDI</v>
      </c>
      <c r="BZ1501" s="604">
        <v>2010</v>
      </c>
      <c r="CA1501" s="604" t="s">
        <v>100</v>
      </c>
      <c r="CB1501" s="604" t="s">
        <v>448</v>
      </c>
      <c r="CC1501" s="604">
        <v>0</v>
      </c>
      <c r="CD1501" s="604" t="s">
        <v>33</v>
      </c>
    </row>
    <row r="1502" spans="9:82">
      <c r="I1502" s="578" t="str">
        <f t="shared" si="156"/>
        <v>2000depQuin 9Peri</v>
      </c>
      <c r="J1502" s="604">
        <v>2000</v>
      </c>
      <c r="K1502" s="604" t="s">
        <v>454</v>
      </c>
      <c r="L1502" s="604" t="s">
        <v>426</v>
      </c>
      <c r="M1502" s="604">
        <v>54</v>
      </c>
      <c r="N1502" s="604">
        <v>5575</v>
      </c>
      <c r="O1502" s="604" t="s">
        <v>119</v>
      </c>
      <c r="P1502" s="604" t="s">
        <v>483</v>
      </c>
      <c r="Q1502" s="499"/>
      <c r="Y1502" s="535" t="str">
        <f t="shared" si="157"/>
        <v>2016bwtgest1500-249932-36infant</v>
      </c>
      <c r="Z1502" s="604">
        <v>2016</v>
      </c>
      <c r="AA1502" s="604" t="s">
        <v>447</v>
      </c>
      <c r="AB1502" s="604" t="s">
        <v>450</v>
      </c>
      <c r="AC1502" s="604" t="s">
        <v>430</v>
      </c>
      <c r="AD1502" s="604" t="s">
        <v>136</v>
      </c>
      <c r="AE1502" s="604">
        <v>13</v>
      </c>
      <c r="AF1502" s="604">
        <v>1729</v>
      </c>
      <c r="AG1502" s="604">
        <v>7.5</v>
      </c>
      <c r="AH1502" s="604" t="s">
        <v>437</v>
      </c>
      <c r="BY1502" s="553" t="str">
        <f t="shared" si="158"/>
        <v>2010CanterburydhbSUDI</v>
      </c>
      <c r="BZ1502" s="604">
        <v>2010</v>
      </c>
      <c r="CA1502" s="604" t="s">
        <v>101</v>
      </c>
      <c r="CB1502" s="604" t="s">
        <v>448</v>
      </c>
      <c r="CC1502" s="604">
        <v>6</v>
      </c>
      <c r="CD1502" s="604" t="s">
        <v>33</v>
      </c>
    </row>
    <row r="1503" spans="9:82">
      <c r="I1503" s="578" t="str">
        <f t="shared" si="156"/>
        <v>2001depQuin 1Peri</v>
      </c>
      <c r="J1503" s="604">
        <v>2001</v>
      </c>
      <c r="K1503" s="604" t="s">
        <v>454</v>
      </c>
      <c r="L1503" s="604" t="s">
        <v>421</v>
      </c>
      <c r="M1503" s="604">
        <v>63</v>
      </c>
      <c r="N1503" s="604">
        <v>7157</v>
      </c>
      <c r="O1503" s="604">
        <v>8.8000000000000007</v>
      </c>
      <c r="P1503" s="604" t="s">
        <v>483</v>
      </c>
      <c r="Q1503" s="499"/>
      <c r="Y1503" s="535" t="str">
        <f t="shared" si="157"/>
        <v>2016bwtgest2500-449932-36infant</v>
      </c>
      <c r="Z1503" s="604">
        <v>2016</v>
      </c>
      <c r="AA1503" s="604" t="s">
        <v>447</v>
      </c>
      <c r="AB1503" s="604" t="s">
        <v>450</v>
      </c>
      <c r="AC1503" s="604" t="s">
        <v>431</v>
      </c>
      <c r="AD1503" s="604" t="s">
        <v>136</v>
      </c>
      <c r="AE1503" s="604">
        <v>10</v>
      </c>
      <c r="AF1503" s="604">
        <v>2005</v>
      </c>
      <c r="AG1503" s="604">
        <v>5</v>
      </c>
      <c r="AH1503" s="604" t="s">
        <v>437</v>
      </c>
      <c r="BY1503" s="553" t="str">
        <f t="shared" si="158"/>
        <v>2010South CanterburydhbSUDI</v>
      </c>
      <c r="BZ1503" s="604">
        <v>2010</v>
      </c>
      <c r="CA1503" s="604" t="s">
        <v>102</v>
      </c>
      <c r="CB1503" s="604" t="s">
        <v>448</v>
      </c>
      <c r="CC1503" s="604">
        <v>0</v>
      </c>
      <c r="CD1503" s="604" t="s">
        <v>33</v>
      </c>
    </row>
    <row r="1504" spans="9:82">
      <c r="I1504" s="578" t="str">
        <f t="shared" si="156"/>
        <v>2001depQuin 2Peri</v>
      </c>
      <c r="J1504" s="604">
        <v>2001</v>
      </c>
      <c r="K1504" s="604" t="s">
        <v>454</v>
      </c>
      <c r="L1504" s="604" t="s">
        <v>422</v>
      </c>
      <c r="M1504" s="604">
        <v>63</v>
      </c>
      <c r="N1504" s="604">
        <v>8081</v>
      </c>
      <c r="O1504" s="604">
        <v>7.8</v>
      </c>
      <c r="P1504" s="604" t="s">
        <v>483</v>
      </c>
      <c r="Q1504" s="499"/>
      <c r="Y1504" s="535" t="str">
        <f t="shared" si="157"/>
        <v>2016bwtgest4500+32-36infant</v>
      </c>
      <c r="Z1504" s="604">
        <v>2016</v>
      </c>
      <c r="AA1504" s="604" t="s">
        <v>447</v>
      </c>
      <c r="AB1504" s="604" t="s">
        <v>450</v>
      </c>
      <c r="AC1504" s="604" t="s">
        <v>432</v>
      </c>
      <c r="AD1504" s="604" t="s">
        <v>136</v>
      </c>
      <c r="AE1504" s="604">
        <v>0</v>
      </c>
      <c r="AF1504" s="604">
        <v>6</v>
      </c>
      <c r="AG1504" s="604">
        <v>0</v>
      </c>
      <c r="AH1504" s="604" t="s">
        <v>437</v>
      </c>
      <c r="BY1504" s="553" t="str">
        <f t="shared" si="158"/>
        <v>2010SoutherndhbSUDI</v>
      </c>
      <c r="BZ1504" s="604">
        <v>2010</v>
      </c>
      <c r="CA1504" s="604" t="s">
        <v>103</v>
      </c>
      <c r="CB1504" s="604" t="s">
        <v>448</v>
      </c>
      <c r="CC1504" s="604">
        <v>1</v>
      </c>
      <c r="CD1504" s="604" t="s">
        <v>33</v>
      </c>
    </row>
    <row r="1505" spans="9:82">
      <c r="I1505" s="578" t="str">
        <f t="shared" si="156"/>
        <v>2001depQuin 3Peri</v>
      </c>
      <c r="J1505" s="604">
        <v>2001</v>
      </c>
      <c r="K1505" s="604" t="s">
        <v>454</v>
      </c>
      <c r="L1505" s="604" t="s">
        <v>423</v>
      </c>
      <c r="M1505" s="604">
        <v>80</v>
      </c>
      <c r="N1505" s="604">
        <v>9681</v>
      </c>
      <c r="O1505" s="604">
        <v>8.3000000000000007</v>
      </c>
      <c r="P1505" s="604" t="s">
        <v>483</v>
      </c>
      <c r="Q1505" s="499"/>
      <c r="Y1505" s="535" t="str">
        <f t="shared" si="157"/>
        <v>2016bwtgestUnknown32-36infant</v>
      </c>
      <c r="Z1505" s="604">
        <v>2016</v>
      </c>
      <c r="AA1505" s="604" t="s">
        <v>447</v>
      </c>
      <c r="AB1505" s="604" t="s">
        <v>450</v>
      </c>
      <c r="AC1505" s="604" t="s">
        <v>63</v>
      </c>
      <c r="AD1505" s="604" t="s">
        <v>136</v>
      </c>
      <c r="AE1505" s="604">
        <v>0</v>
      </c>
      <c r="AF1505" s="604">
        <v>1</v>
      </c>
      <c r="AG1505" s="604" t="s">
        <v>119</v>
      </c>
      <c r="AH1505" s="604" t="s">
        <v>437</v>
      </c>
      <c r="BY1505" s="553" t="str">
        <f t="shared" si="158"/>
        <v>2010UnknowndhbSUDI</v>
      </c>
      <c r="BZ1505" s="604">
        <v>2010</v>
      </c>
      <c r="CA1505" s="604" t="s">
        <v>63</v>
      </c>
      <c r="CB1505" s="604" t="s">
        <v>448</v>
      </c>
      <c r="CC1505" s="604">
        <v>0</v>
      </c>
      <c r="CD1505" s="604" t="s">
        <v>33</v>
      </c>
    </row>
    <row r="1506" spans="9:82">
      <c r="I1506" s="578" t="str">
        <f t="shared" si="156"/>
        <v>2001depQuin 4Peri</v>
      </c>
      <c r="J1506" s="604">
        <v>2001</v>
      </c>
      <c r="K1506" s="604" t="s">
        <v>454</v>
      </c>
      <c r="L1506" s="604" t="s">
        <v>424</v>
      </c>
      <c r="M1506" s="604">
        <v>112</v>
      </c>
      <c r="N1506" s="604">
        <v>12016</v>
      </c>
      <c r="O1506" s="604">
        <v>9.3000000000000007</v>
      </c>
      <c r="P1506" s="604" t="s">
        <v>483</v>
      </c>
      <c r="Q1506" s="499"/>
      <c r="Y1506" s="535" t="str">
        <f t="shared" si="157"/>
        <v>2016bwtgest&lt;50037-41infant</v>
      </c>
      <c r="Z1506" s="604">
        <v>2016</v>
      </c>
      <c r="AA1506" s="604" t="s">
        <v>447</v>
      </c>
      <c r="AB1506" s="604" t="s">
        <v>450</v>
      </c>
      <c r="AC1506" s="604" t="s">
        <v>427</v>
      </c>
      <c r="AD1506" s="604" t="s">
        <v>137</v>
      </c>
      <c r="AE1506" s="604">
        <v>0</v>
      </c>
      <c r="AF1506" s="604">
        <v>11</v>
      </c>
      <c r="AG1506" s="604">
        <v>0</v>
      </c>
      <c r="AH1506" s="604" t="s">
        <v>437</v>
      </c>
      <c r="BY1506" s="553" t="str">
        <f t="shared" si="158"/>
        <v>2011NorthlanddhbSUDI</v>
      </c>
      <c r="BZ1506" s="604">
        <v>2011</v>
      </c>
      <c r="CA1506" s="604" t="s">
        <v>85</v>
      </c>
      <c r="CB1506" s="604" t="s">
        <v>448</v>
      </c>
      <c r="CC1506" s="604">
        <v>1</v>
      </c>
      <c r="CD1506" s="604" t="s">
        <v>33</v>
      </c>
    </row>
    <row r="1507" spans="9:82">
      <c r="I1507" s="578" t="str">
        <f t="shared" si="156"/>
        <v>2001depQuin 5Peri</v>
      </c>
      <c r="J1507" s="604">
        <v>2001</v>
      </c>
      <c r="K1507" s="604" t="s">
        <v>454</v>
      </c>
      <c r="L1507" s="604" t="s">
        <v>425</v>
      </c>
      <c r="M1507" s="604">
        <v>169</v>
      </c>
      <c r="N1507" s="604">
        <v>14026</v>
      </c>
      <c r="O1507" s="604">
        <v>12</v>
      </c>
      <c r="P1507" s="604" t="s">
        <v>483</v>
      </c>
      <c r="Q1507" s="499"/>
      <c r="Y1507" s="535" t="str">
        <f t="shared" si="157"/>
        <v>2016bwtgest500-99937-41infant</v>
      </c>
      <c r="Z1507" s="604">
        <v>2016</v>
      </c>
      <c r="AA1507" s="604" t="s">
        <v>447</v>
      </c>
      <c r="AB1507" s="604" t="s">
        <v>450</v>
      </c>
      <c r="AC1507" s="604" t="s">
        <v>428</v>
      </c>
      <c r="AD1507" s="604" t="s">
        <v>137</v>
      </c>
      <c r="AE1507" s="604">
        <v>0</v>
      </c>
      <c r="AF1507" s="604">
        <v>2</v>
      </c>
      <c r="AG1507" s="604">
        <v>0</v>
      </c>
      <c r="AH1507" s="604" t="s">
        <v>437</v>
      </c>
      <c r="BY1507" s="553" t="str">
        <f t="shared" si="158"/>
        <v>2011WaitematadhbSUDI</v>
      </c>
      <c r="BZ1507" s="604">
        <v>2011</v>
      </c>
      <c r="CA1507" s="604" t="s">
        <v>86</v>
      </c>
      <c r="CB1507" s="604" t="s">
        <v>448</v>
      </c>
      <c r="CC1507" s="604">
        <v>3</v>
      </c>
      <c r="CD1507" s="604" t="s">
        <v>33</v>
      </c>
    </row>
    <row r="1508" spans="9:82">
      <c r="I1508" s="578" t="str">
        <f t="shared" si="156"/>
        <v>2001depQuin 9Peri</v>
      </c>
      <c r="J1508" s="604">
        <v>2001</v>
      </c>
      <c r="K1508" s="604" t="s">
        <v>454</v>
      </c>
      <c r="L1508" s="604" t="s">
        <v>426</v>
      </c>
      <c r="M1508" s="604">
        <v>42</v>
      </c>
      <c r="N1508" s="604">
        <v>5649</v>
      </c>
      <c r="O1508" s="604" t="s">
        <v>119</v>
      </c>
      <c r="P1508" s="604" t="s">
        <v>483</v>
      </c>
      <c r="Q1508" s="499"/>
      <c r="Y1508" s="535" t="str">
        <f t="shared" si="157"/>
        <v>2016bwtgest1000-149937-41infant</v>
      </c>
      <c r="Z1508" s="604">
        <v>2016</v>
      </c>
      <c r="AA1508" s="604" t="s">
        <v>447</v>
      </c>
      <c r="AB1508" s="604" t="s">
        <v>450</v>
      </c>
      <c r="AC1508" s="604" t="s">
        <v>429</v>
      </c>
      <c r="AD1508" s="604" t="s">
        <v>137</v>
      </c>
      <c r="AE1508" s="604">
        <v>0</v>
      </c>
      <c r="AF1508" s="604">
        <v>5</v>
      </c>
      <c r="AG1508" s="604">
        <v>0</v>
      </c>
      <c r="AH1508" s="604" t="s">
        <v>437</v>
      </c>
      <c r="BY1508" s="553" t="str">
        <f t="shared" si="158"/>
        <v>2011AucklanddhbSUDI</v>
      </c>
      <c r="BZ1508" s="604">
        <v>2011</v>
      </c>
      <c r="CA1508" s="604" t="s">
        <v>87</v>
      </c>
      <c r="CB1508" s="604" t="s">
        <v>448</v>
      </c>
      <c r="CC1508" s="604">
        <v>2</v>
      </c>
      <c r="CD1508" s="604" t="s">
        <v>33</v>
      </c>
    </row>
    <row r="1509" spans="9:82">
      <c r="I1509" s="578" t="str">
        <f t="shared" si="156"/>
        <v>2002depQuin 1Peri</v>
      </c>
      <c r="J1509" s="604">
        <v>2002</v>
      </c>
      <c r="K1509" s="604" t="s">
        <v>454</v>
      </c>
      <c r="L1509" s="604" t="s">
        <v>421</v>
      </c>
      <c r="M1509" s="604">
        <v>50</v>
      </c>
      <c r="N1509" s="604">
        <v>7838</v>
      </c>
      <c r="O1509" s="604">
        <v>6.4</v>
      </c>
      <c r="P1509" s="604" t="s">
        <v>483</v>
      </c>
      <c r="Q1509" s="499"/>
      <c r="Y1509" s="535" t="str">
        <f t="shared" si="157"/>
        <v>2016bwtgest1500-249937-41infant</v>
      </c>
      <c r="Z1509" s="604">
        <v>2016</v>
      </c>
      <c r="AA1509" s="604" t="s">
        <v>447</v>
      </c>
      <c r="AB1509" s="604" t="s">
        <v>450</v>
      </c>
      <c r="AC1509" s="604" t="s">
        <v>430</v>
      </c>
      <c r="AD1509" s="604" t="s">
        <v>137</v>
      </c>
      <c r="AE1509" s="604">
        <v>11</v>
      </c>
      <c r="AF1509" s="604">
        <v>1088</v>
      </c>
      <c r="AG1509" s="604">
        <v>10.1</v>
      </c>
      <c r="AH1509" s="604" t="s">
        <v>437</v>
      </c>
      <c r="BY1509" s="553" t="str">
        <f t="shared" si="158"/>
        <v>2011Counties ManukaudhbSUDI</v>
      </c>
      <c r="BZ1509" s="604">
        <v>2011</v>
      </c>
      <c r="CA1509" s="604" t="s">
        <v>88</v>
      </c>
      <c r="CB1509" s="604" t="s">
        <v>448</v>
      </c>
      <c r="CC1509" s="604">
        <v>9</v>
      </c>
      <c r="CD1509" s="604" t="s">
        <v>33</v>
      </c>
    </row>
    <row r="1510" spans="9:82">
      <c r="I1510" s="578" t="str">
        <f t="shared" si="156"/>
        <v>2002depQuin 2Peri</v>
      </c>
      <c r="J1510" s="604">
        <v>2002</v>
      </c>
      <c r="K1510" s="604" t="s">
        <v>454</v>
      </c>
      <c r="L1510" s="604" t="s">
        <v>422</v>
      </c>
      <c r="M1510" s="604">
        <v>80</v>
      </c>
      <c r="N1510" s="604">
        <v>8211</v>
      </c>
      <c r="O1510" s="604">
        <v>9.6999999999999993</v>
      </c>
      <c r="P1510" s="604" t="s">
        <v>483</v>
      </c>
      <c r="Q1510" s="499"/>
      <c r="Y1510" s="535" t="str">
        <f t="shared" si="157"/>
        <v>2016bwtgest2500-449937-41infant</v>
      </c>
      <c r="Z1510" s="604">
        <v>2016</v>
      </c>
      <c r="AA1510" s="604" t="s">
        <v>447</v>
      </c>
      <c r="AB1510" s="604" t="s">
        <v>450</v>
      </c>
      <c r="AC1510" s="604" t="s">
        <v>431</v>
      </c>
      <c r="AD1510" s="604" t="s">
        <v>137</v>
      </c>
      <c r="AE1510" s="604">
        <v>80</v>
      </c>
      <c r="AF1510" s="604">
        <v>52424</v>
      </c>
      <c r="AG1510" s="604">
        <v>1.5</v>
      </c>
      <c r="AH1510" s="604" t="s">
        <v>437</v>
      </c>
      <c r="BY1510" s="553" t="str">
        <f t="shared" si="158"/>
        <v>2011WaikatodhbSUDI</v>
      </c>
      <c r="BZ1510" s="604">
        <v>2011</v>
      </c>
      <c r="CA1510" s="604" t="s">
        <v>89</v>
      </c>
      <c r="CB1510" s="604" t="s">
        <v>448</v>
      </c>
      <c r="CC1510" s="604">
        <v>3</v>
      </c>
      <c r="CD1510" s="604" t="s">
        <v>33</v>
      </c>
    </row>
    <row r="1511" spans="9:82">
      <c r="I1511" s="578" t="str">
        <f t="shared" si="156"/>
        <v>2002depQuin 3Peri</v>
      </c>
      <c r="J1511" s="604">
        <v>2002</v>
      </c>
      <c r="K1511" s="604" t="s">
        <v>454</v>
      </c>
      <c r="L1511" s="604" t="s">
        <v>423</v>
      </c>
      <c r="M1511" s="604">
        <v>104</v>
      </c>
      <c r="N1511" s="604">
        <v>9834</v>
      </c>
      <c r="O1511" s="604">
        <v>10.6</v>
      </c>
      <c r="P1511" s="604" t="s">
        <v>483</v>
      </c>
      <c r="Q1511" s="499"/>
      <c r="Y1511" s="535" t="str">
        <f t="shared" si="157"/>
        <v>2016bwtgest4500+37-41infant</v>
      </c>
      <c r="Z1511" s="604">
        <v>2016</v>
      </c>
      <c r="AA1511" s="604" t="s">
        <v>447</v>
      </c>
      <c r="AB1511" s="604" t="s">
        <v>450</v>
      </c>
      <c r="AC1511" s="604" t="s">
        <v>432</v>
      </c>
      <c r="AD1511" s="604" t="s">
        <v>137</v>
      </c>
      <c r="AE1511" s="604">
        <v>0</v>
      </c>
      <c r="AF1511" s="604">
        <v>1348</v>
      </c>
      <c r="AG1511" s="604">
        <v>0</v>
      </c>
      <c r="AH1511" s="604" t="s">
        <v>437</v>
      </c>
      <c r="BY1511" s="553" t="str">
        <f t="shared" si="158"/>
        <v>2011LakesdhbSUDI</v>
      </c>
      <c r="BZ1511" s="604">
        <v>2011</v>
      </c>
      <c r="CA1511" s="604" t="s">
        <v>90</v>
      </c>
      <c r="CB1511" s="604" t="s">
        <v>448</v>
      </c>
      <c r="CC1511" s="604">
        <v>6</v>
      </c>
      <c r="CD1511" s="604" t="s">
        <v>33</v>
      </c>
    </row>
    <row r="1512" spans="9:82">
      <c r="I1512" s="578" t="str">
        <f t="shared" si="156"/>
        <v>2002depQuin 4Peri</v>
      </c>
      <c r="J1512" s="604">
        <v>2002</v>
      </c>
      <c r="K1512" s="604" t="s">
        <v>454</v>
      </c>
      <c r="L1512" s="604" t="s">
        <v>424</v>
      </c>
      <c r="M1512" s="604">
        <v>104</v>
      </c>
      <c r="N1512" s="604">
        <v>11772</v>
      </c>
      <c r="O1512" s="604">
        <v>8.8000000000000007</v>
      </c>
      <c r="P1512" s="604" t="s">
        <v>483</v>
      </c>
      <c r="Q1512" s="499"/>
      <c r="Y1512" s="535" t="str">
        <f t="shared" si="157"/>
        <v>2016bwtgestUnknown37-41infant</v>
      </c>
      <c r="Z1512" s="604">
        <v>2016</v>
      </c>
      <c r="AA1512" s="604" t="s">
        <v>447</v>
      </c>
      <c r="AB1512" s="604" t="s">
        <v>450</v>
      </c>
      <c r="AC1512" s="604" t="s">
        <v>63</v>
      </c>
      <c r="AD1512" s="604" t="s">
        <v>137</v>
      </c>
      <c r="AE1512" s="604">
        <v>0</v>
      </c>
      <c r="AF1512" s="604">
        <v>21</v>
      </c>
      <c r="AG1512" s="604" t="s">
        <v>119</v>
      </c>
      <c r="AH1512" s="604" t="s">
        <v>437</v>
      </c>
      <c r="BY1512" s="553" t="str">
        <f t="shared" si="158"/>
        <v>2011Bay of PlentydhbSUDI</v>
      </c>
      <c r="BZ1512" s="604">
        <v>2011</v>
      </c>
      <c r="CA1512" s="604" t="s">
        <v>91</v>
      </c>
      <c r="CB1512" s="604" t="s">
        <v>448</v>
      </c>
      <c r="CC1512" s="604">
        <v>6</v>
      </c>
      <c r="CD1512" s="604" t="s">
        <v>33</v>
      </c>
    </row>
    <row r="1513" spans="9:82">
      <c r="I1513" s="578" t="str">
        <f t="shared" si="156"/>
        <v>2002depQuin 5Peri</v>
      </c>
      <c r="J1513" s="604">
        <v>2002</v>
      </c>
      <c r="K1513" s="604" t="s">
        <v>454</v>
      </c>
      <c r="L1513" s="604" t="s">
        <v>425</v>
      </c>
      <c r="M1513" s="604">
        <v>172</v>
      </c>
      <c r="N1513" s="604">
        <v>13656</v>
      </c>
      <c r="O1513" s="604">
        <v>12.6</v>
      </c>
      <c r="P1513" s="604" t="s">
        <v>483</v>
      </c>
      <c r="Q1513" s="499"/>
      <c r="Y1513" s="535" t="str">
        <f t="shared" si="157"/>
        <v>2016bwtgest1500-249942+infant</v>
      </c>
      <c r="Z1513" s="604">
        <v>2016</v>
      </c>
      <c r="AA1513" s="604" t="s">
        <v>447</v>
      </c>
      <c r="AB1513" s="604" t="s">
        <v>450</v>
      </c>
      <c r="AC1513" s="604" t="s">
        <v>430</v>
      </c>
      <c r="AD1513" s="604" t="s">
        <v>138</v>
      </c>
      <c r="AE1513" s="604">
        <v>1</v>
      </c>
      <c r="AF1513" s="604">
        <v>3</v>
      </c>
      <c r="AG1513" s="604">
        <v>333.3</v>
      </c>
      <c r="AH1513" s="604" t="s">
        <v>437</v>
      </c>
      <c r="BY1513" s="553" t="str">
        <f t="shared" si="158"/>
        <v>2011TairawhitidhbSUDI</v>
      </c>
      <c r="BZ1513" s="604">
        <v>2011</v>
      </c>
      <c r="CA1513" s="604" t="s">
        <v>433</v>
      </c>
      <c r="CB1513" s="604" t="s">
        <v>448</v>
      </c>
      <c r="CC1513" s="604">
        <v>3</v>
      </c>
      <c r="CD1513" s="604" t="s">
        <v>33</v>
      </c>
    </row>
    <row r="1514" spans="9:82">
      <c r="I1514" s="578" t="str">
        <f t="shared" si="156"/>
        <v>2002depQuin 9Peri</v>
      </c>
      <c r="J1514" s="604">
        <v>2002</v>
      </c>
      <c r="K1514" s="604" t="s">
        <v>454</v>
      </c>
      <c r="L1514" s="604" t="s">
        <v>426</v>
      </c>
      <c r="M1514" s="604">
        <v>65</v>
      </c>
      <c r="N1514" s="604">
        <v>3594</v>
      </c>
      <c r="O1514" s="604" t="s">
        <v>119</v>
      </c>
      <c r="P1514" s="604" t="s">
        <v>483</v>
      </c>
      <c r="Q1514" s="499"/>
      <c r="Y1514" s="535" t="str">
        <f t="shared" si="157"/>
        <v>2016bwtgest2500-449942+infant</v>
      </c>
      <c r="Z1514" s="604">
        <v>2016</v>
      </c>
      <c r="AA1514" s="604" t="s">
        <v>447</v>
      </c>
      <c r="AB1514" s="604" t="s">
        <v>450</v>
      </c>
      <c r="AC1514" s="604" t="s">
        <v>431</v>
      </c>
      <c r="AD1514" s="604" t="s">
        <v>138</v>
      </c>
      <c r="AE1514" s="604">
        <v>3</v>
      </c>
      <c r="AF1514" s="604">
        <v>944</v>
      </c>
      <c r="AG1514" s="604">
        <v>3.2</v>
      </c>
      <c r="AH1514" s="604" t="s">
        <v>437</v>
      </c>
      <c r="BY1514" s="553" t="str">
        <f t="shared" si="158"/>
        <v>2011Hawke's BaydhbSUDI</v>
      </c>
      <c r="BZ1514" s="604">
        <v>2011</v>
      </c>
      <c r="CA1514" s="604" t="s">
        <v>92</v>
      </c>
      <c r="CB1514" s="604" t="s">
        <v>448</v>
      </c>
      <c r="CC1514" s="604">
        <v>4</v>
      </c>
      <c r="CD1514" s="604" t="s">
        <v>33</v>
      </c>
    </row>
    <row r="1515" spans="9:82">
      <c r="I1515" s="578" t="str">
        <f t="shared" si="156"/>
        <v>2003depQuin 1Peri</v>
      </c>
      <c r="J1515" s="604">
        <v>2003</v>
      </c>
      <c r="K1515" s="604" t="s">
        <v>454</v>
      </c>
      <c r="L1515" s="604" t="s">
        <v>421</v>
      </c>
      <c r="M1515" s="604">
        <v>48</v>
      </c>
      <c r="N1515" s="604">
        <v>7976</v>
      </c>
      <c r="O1515" s="604">
        <v>6</v>
      </c>
      <c r="P1515" s="604" t="s">
        <v>483</v>
      </c>
      <c r="Q1515" s="499"/>
      <c r="Y1515" s="535" t="str">
        <f t="shared" si="157"/>
        <v>2016bwtgest4500+42+infant</v>
      </c>
      <c r="Z1515" s="604">
        <v>2016</v>
      </c>
      <c r="AA1515" s="604" t="s">
        <v>447</v>
      </c>
      <c r="AB1515" s="604" t="s">
        <v>450</v>
      </c>
      <c r="AC1515" s="604" t="s">
        <v>432</v>
      </c>
      <c r="AD1515" s="604" t="s">
        <v>138</v>
      </c>
      <c r="AE1515" s="604">
        <v>0</v>
      </c>
      <c r="AF1515" s="604">
        <v>69</v>
      </c>
      <c r="AG1515" s="604">
        <v>0</v>
      </c>
      <c r="AH1515" s="604" t="s">
        <v>437</v>
      </c>
      <c r="BY1515" s="553" t="str">
        <f t="shared" si="158"/>
        <v>2011TaranakidhbSUDI</v>
      </c>
      <c r="BZ1515" s="604">
        <v>2011</v>
      </c>
      <c r="CA1515" s="604" t="s">
        <v>93</v>
      </c>
      <c r="CB1515" s="604" t="s">
        <v>448</v>
      </c>
      <c r="CC1515" s="604">
        <v>3</v>
      </c>
      <c r="CD1515" s="604" t="s">
        <v>33</v>
      </c>
    </row>
    <row r="1516" spans="9:82">
      <c r="I1516" s="578" t="str">
        <f t="shared" si="156"/>
        <v>2003depQuin 2Peri</v>
      </c>
      <c r="J1516" s="604">
        <v>2003</v>
      </c>
      <c r="K1516" s="604" t="s">
        <v>454</v>
      </c>
      <c r="L1516" s="604" t="s">
        <v>422</v>
      </c>
      <c r="M1516" s="604">
        <v>68</v>
      </c>
      <c r="N1516" s="604">
        <v>8650</v>
      </c>
      <c r="O1516" s="604">
        <v>7.9</v>
      </c>
      <c r="P1516" s="604" t="s">
        <v>483</v>
      </c>
      <c r="Q1516" s="499"/>
      <c r="Y1516" s="535" t="str">
        <f t="shared" si="157"/>
        <v>2016bwtgestUnknown42+infant</v>
      </c>
      <c r="Z1516" s="604">
        <v>2016</v>
      </c>
      <c r="AA1516" s="604" t="s">
        <v>447</v>
      </c>
      <c r="AB1516" s="604" t="s">
        <v>450</v>
      </c>
      <c r="AC1516" s="604" t="s">
        <v>63</v>
      </c>
      <c r="AD1516" s="604" t="s">
        <v>138</v>
      </c>
      <c r="AE1516" s="604">
        <v>0</v>
      </c>
      <c r="AF1516" s="604">
        <v>1</v>
      </c>
      <c r="AG1516" s="604" t="s">
        <v>119</v>
      </c>
      <c r="AH1516" s="604" t="s">
        <v>437</v>
      </c>
      <c r="BY1516" s="553" t="str">
        <f t="shared" si="158"/>
        <v>2011MidCentraldhbSUDI</v>
      </c>
      <c r="BZ1516" s="604">
        <v>2011</v>
      </c>
      <c r="CA1516" s="604" t="s">
        <v>94</v>
      </c>
      <c r="CB1516" s="604" t="s">
        <v>448</v>
      </c>
      <c r="CC1516" s="604">
        <v>2</v>
      </c>
      <c r="CD1516" s="604" t="s">
        <v>33</v>
      </c>
    </row>
    <row r="1517" spans="9:82">
      <c r="I1517" s="578" t="str">
        <f t="shared" si="156"/>
        <v>2003depQuin 3Peri</v>
      </c>
      <c r="J1517" s="604">
        <v>2003</v>
      </c>
      <c r="K1517" s="604" t="s">
        <v>454</v>
      </c>
      <c r="L1517" s="604" t="s">
        <v>423</v>
      </c>
      <c r="M1517" s="604">
        <v>89</v>
      </c>
      <c r="N1517" s="604">
        <v>10171</v>
      </c>
      <c r="O1517" s="604">
        <v>8.8000000000000007</v>
      </c>
      <c r="P1517" s="604" t="s">
        <v>483</v>
      </c>
      <c r="Q1517" s="499"/>
      <c r="Y1517" s="535" t="str">
        <f t="shared" si="157"/>
        <v>2016bwtgest1500-2499Unknowninfant</v>
      </c>
      <c r="Z1517" s="604">
        <v>2016</v>
      </c>
      <c r="AA1517" s="604" t="s">
        <v>447</v>
      </c>
      <c r="AB1517" s="604" t="s">
        <v>450</v>
      </c>
      <c r="AC1517" s="604" t="s">
        <v>430</v>
      </c>
      <c r="AD1517" s="604" t="s">
        <v>63</v>
      </c>
      <c r="AE1517" s="604">
        <v>1</v>
      </c>
      <c r="AF1517" s="604">
        <v>1</v>
      </c>
      <c r="AG1517" s="604" t="s">
        <v>119</v>
      </c>
      <c r="AH1517" s="604" t="s">
        <v>437</v>
      </c>
      <c r="BY1517" s="553" t="str">
        <f t="shared" si="158"/>
        <v>2011WhanganuidhbSUDI</v>
      </c>
      <c r="BZ1517" s="604">
        <v>2011</v>
      </c>
      <c r="CA1517" s="604" t="s">
        <v>95</v>
      </c>
      <c r="CB1517" s="604" t="s">
        <v>448</v>
      </c>
      <c r="CC1517" s="604">
        <v>0</v>
      </c>
      <c r="CD1517" s="604" t="s">
        <v>33</v>
      </c>
    </row>
    <row r="1518" spans="9:82">
      <c r="I1518" s="578" t="str">
        <f t="shared" si="156"/>
        <v>2003depQuin 4Peri</v>
      </c>
      <c r="J1518" s="604">
        <v>2003</v>
      </c>
      <c r="K1518" s="604" t="s">
        <v>454</v>
      </c>
      <c r="L1518" s="604" t="s">
        <v>424</v>
      </c>
      <c r="M1518" s="604">
        <v>132</v>
      </c>
      <c r="N1518" s="604">
        <v>12136</v>
      </c>
      <c r="O1518" s="604">
        <v>10.9</v>
      </c>
      <c r="P1518" s="604" t="s">
        <v>483</v>
      </c>
      <c r="Q1518" s="499"/>
      <c r="Y1518" s="535" t="str">
        <f t="shared" si="157"/>
        <v>2016bwtgest2500-4499Unknowninfant</v>
      </c>
      <c r="Z1518" s="604">
        <v>2016</v>
      </c>
      <c r="AA1518" s="604" t="s">
        <v>447</v>
      </c>
      <c r="AB1518" s="604" t="s">
        <v>450</v>
      </c>
      <c r="AC1518" s="604" t="s">
        <v>431</v>
      </c>
      <c r="AD1518" s="604" t="s">
        <v>63</v>
      </c>
      <c r="AE1518" s="604">
        <v>2</v>
      </c>
      <c r="AF1518" s="604">
        <v>17</v>
      </c>
      <c r="AG1518" s="604" t="s">
        <v>119</v>
      </c>
      <c r="AH1518" s="604" t="s">
        <v>437</v>
      </c>
      <c r="BY1518" s="553" t="str">
        <f t="shared" si="158"/>
        <v>2011Capital &amp; CoastdhbSUDI</v>
      </c>
      <c r="BZ1518" s="604">
        <v>2011</v>
      </c>
      <c r="CA1518" s="604" t="s">
        <v>96</v>
      </c>
      <c r="CB1518" s="604" t="s">
        <v>448</v>
      </c>
      <c r="CC1518" s="604">
        <v>1</v>
      </c>
      <c r="CD1518" s="604" t="s">
        <v>33</v>
      </c>
    </row>
    <row r="1519" spans="9:82">
      <c r="I1519" s="578" t="str">
        <f t="shared" si="156"/>
        <v>2003depQuin 5Peri</v>
      </c>
      <c r="J1519" s="604">
        <v>2003</v>
      </c>
      <c r="K1519" s="604" t="s">
        <v>454</v>
      </c>
      <c r="L1519" s="604" t="s">
        <v>425</v>
      </c>
      <c r="M1519" s="604">
        <v>162</v>
      </c>
      <c r="N1519" s="604">
        <v>14362</v>
      </c>
      <c r="O1519" s="604">
        <v>11.3</v>
      </c>
      <c r="P1519" s="604" t="s">
        <v>483</v>
      </c>
      <c r="Q1519" s="499"/>
      <c r="Y1519" s="535" t="str">
        <f t="shared" si="157"/>
        <v>2016bwtgestUnknownUnknowninfant</v>
      </c>
      <c r="Z1519" s="604">
        <v>2016</v>
      </c>
      <c r="AA1519" s="604" t="s">
        <v>447</v>
      </c>
      <c r="AB1519" s="604" t="s">
        <v>450</v>
      </c>
      <c r="AC1519" s="604" t="s">
        <v>63</v>
      </c>
      <c r="AD1519" s="604" t="s">
        <v>63</v>
      </c>
      <c r="AE1519" s="604">
        <v>8</v>
      </c>
      <c r="AF1519" s="604">
        <v>11</v>
      </c>
      <c r="AG1519" s="604" t="s">
        <v>119</v>
      </c>
      <c r="AH1519" s="604" t="s">
        <v>437</v>
      </c>
      <c r="BY1519" s="553" t="str">
        <f t="shared" si="158"/>
        <v>2011Hutt ValleydhbSUDI</v>
      </c>
      <c r="BZ1519" s="604">
        <v>2011</v>
      </c>
      <c r="CA1519" s="604" t="s">
        <v>97</v>
      </c>
      <c r="CB1519" s="604" t="s">
        <v>448</v>
      </c>
      <c r="CC1519" s="604">
        <v>1</v>
      </c>
      <c r="CD1519" s="604" t="s">
        <v>33</v>
      </c>
    </row>
    <row r="1520" spans="9:82">
      <c r="I1520" s="578" t="str">
        <f t="shared" si="156"/>
        <v>2003depQuin 9Peri</v>
      </c>
      <c r="J1520" s="604">
        <v>2003</v>
      </c>
      <c r="K1520" s="604" t="s">
        <v>454</v>
      </c>
      <c r="L1520" s="604" t="s">
        <v>426</v>
      </c>
      <c r="M1520" s="604">
        <v>35</v>
      </c>
      <c r="N1520" s="604">
        <v>3674</v>
      </c>
      <c r="O1520" s="604" t="s">
        <v>119</v>
      </c>
      <c r="P1520" s="604" t="s">
        <v>483</v>
      </c>
      <c r="Q1520" s="499"/>
      <c r="Y1520" s="535" t="str">
        <f t="shared" si="157"/>
        <v>2016agegest&lt;20&lt;28infant</v>
      </c>
      <c r="Z1520" s="604">
        <v>2016</v>
      </c>
      <c r="AA1520" s="604" t="s">
        <v>453</v>
      </c>
      <c r="AB1520" s="604" t="s">
        <v>450</v>
      </c>
      <c r="AC1520" s="604" t="s">
        <v>339</v>
      </c>
      <c r="AD1520" s="604" t="s">
        <v>375</v>
      </c>
      <c r="AE1520" s="604">
        <v>9</v>
      </c>
      <c r="AF1520" s="604">
        <v>22</v>
      </c>
      <c r="AG1520" s="604">
        <v>409.1</v>
      </c>
      <c r="AH1520" s="604" t="s">
        <v>437</v>
      </c>
      <c r="BY1520" s="553" t="str">
        <f t="shared" si="158"/>
        <v>2011WairarapadhbSUDI</v>
      </c>
      <c r="BZ1520" s="604">
        <v>2011</v>
      </c>
      <c r="CA1520" s="604" t="s">
        <v>98</v>
      </c>
      <c r="CB1520" s="604" t="s">
        <v>448</v>
      </c>
      <c r="CC1520" s="604">
        <v>0</v>
      </c>
      <c r="CD1520" s="604" t="s">
        <v>33</v>
      </c>
    </row>
    <row r="1521" spans="9:82">
      <c r="I1521" s="578" t="str">
        <f t="shared" si="156"/>
        <v>2004depQuin 1Peri</v>
      </c>
      <c r="J1521" s="604">
        <v>2004</v>
      </c>
      <c r="K1521" s="604" t="s">
        <v>454</v>
      </c>
      <c r="L1521" s="604" t="s">
        <v>421</v>
      </c>
      <c r="M1521" s="604">
        <v>83</v>
      </c>
      <c r="N1521" s="604">
        <v>8303</v>
      </c>
      <c r="O1521" s="604">
        <v>10</v>
      </c>
      <c r="P1521" s="604" t="s">
        <v>483</v>
      </c>
      <c r="Q1521" s="499"/>
      <c r="Y1521" s="535" t="str">
        <f t="shared" si="157"/>
        <v>2016agegest20-24&lt;28infant</v>
      </c>
      <c r="Z1521" s="604">
        <v>2016</v>
      </c>
      <c r="AA1521" s="604" t="s">
        <v>453</v>
      </c>
      <c r="AB1521" s="604" t="s">
        <v>450</v>
      </c>
      <c r="AC1521" s="604" t="s">
        <v>130</v>
      </c>
      <c r="AD1521" s="604" t="s">
        <v>375</v>
      </c>
      <c r="AE1521" s="604">
        <v>25</v>
      </c>
      <c r="AF1521" s="604">
        <v>51</v>
      </c>
      <c r="AG1521" s="604">
        <v>490.2</v>
      </c>
      <c r="AH1521" s="604" t="s">
        <v>437</v>
      </c>
      <c r="BY1521" s="553" t="str">
        <f t="shared" si="158"/>
        <v>2011Nelson MarlboroughdhbSUDI</v>
      </c>
      <c r="BZ1521" s="604">
        <v>2011</v>
      </c>
      <c r="CA1521" s="604" t="s">
        <v>99</v>
      </c>
      <c r="CB1521" s="604" t="s">
        <v>448</v>
      </c>
      <c r="CC1521" s="604">
        <v>2</v>
      </c>
      <c r="CD1521" s="604" t="s">
        <v>33</v>
      </c>
    </row>
    <row r="1522" spans="9:82">
      <c r="I1522" s="578" t="str">
        <f t="shared" si="156"/>
        <v>2004depQuin 2Peri</v>
      </c>
      <c r="J1522" s="604">
        <v>2004</v>
      </c>
      <c r="K1522" s="604" t="s">
        <v>454</v>
      </c>
      <c r="L1522" s="604" t="s">
        <v>422</v>
      </c>
      <c r="M1522" s="604">
        <v>89</v>
      </c>
      <c r="N1522" s="604">
        <v>8824</v>
      </c>
      <c r="O1522" s="604">
        <v>10.1</v>
      </c>
      <c r="P1522" s="604" t="s">
        <v>483</v>
      </c>
      <c r="Q1522" s="499"/>
      <c r="Y1522" s="535" t="str">
        <f t="shared" si="157"/>
        <v>2016agegest25-29&lt;28infant</v>
      </c>
      <c r="Z1522" s="604">
        <v>2016</v>
      </c>
      <c r="AA1522" s="604" t="s">
        <v>453</v>
      </c>
      <c r="AB1522" s="604" t="s">
        <v>450</v>
      </c>
      <c r="AC1522" s="604" t="s">
        <v>131</v>
      </c>
      <c r="AD1522" s="604" t="s">
        <v>375</v>
      </c>
      <c r="AE1522" s="604">
        <v>23</v>
      </c>
      <c r="AF1522" s="604">
        <v>66</v>
      </c>
      <c r="AG1522" s="604">
        <v>348.5</v>
      </c>
      <c r="AH1522" s="604" t="s">
        <v>437</v>
      </c>
      <c r="BY1522" s="553" t="str">
        <f t="shared" si="158"/>
        <v>2011West CoastdhbSUDI</v>
      </c>
      <c r="BZ1522" s="604">
        <v>2011</v>
      </c>
      <c r="CA1522" s="604" t="s">
        <v>100</v>
      </c>
      <c r="CB1522" s="604" t="s">
        <v>448</v>
      </c>
      <c r="CC1522" s="604">
        <v>1</v>
      </c>
      <c r="CD1522" s="604" t="s">
        <v>33</v>
      </c>
    </row>
    <row r="1523" spans="9:82">
      <c r="I1523" s="578" t="str">
        <f t="shared" si="156"/>
        <v>2004depQuin 3Peri</v>
      </c>
      <c r="J1523" s="604">
        <v>2004</v>
      </c>
      <c r="K1523" s="604" t="s">
        <v>454</v>
      </c>
      <c r="L1523" s="604" t="s">
        <v>423</v>
      </c>
      <c r="M1523" s="604">
        <v>121</v>
      </c>
      <c r="N1523" s="604">
        <v>10621</v>
      </c>
      <c r="O1523" s="604">
        <v>11.4</v>
      </c>
      <c r="P1523" s="604" t="s">
        <v>483</v>
      </c>
      <c r="Q1523" s="499"/>
      <c r="Y1523" s="535" t="str">
        <f t="shared" si="157"/>
        <v>2016agegest30-34&lt;28infant</v>
      </c>
      <c r="Z1523" s="604">
        <v>2016</v>
      </c>
      <c r="AA1523" s="604" t="s">
        <v>453</v>
      </c>
      <c r="AB1523" s="604" t="s">
        <v>450</v>
      </c>
      <c r="AC1523" s="604" t="s">
        <v>132</v>
      </c>
      <c r="AD1523" s="604" t="s">
        <v>375</v>
      </c>
      <c r="AE1523" s="604">
        <v>27</v>
      </c>
      <c r="AF1523" s="604">
        <v>61</v>
      </c>
      <c r="AG1523" s="604">
        <v>442.6</v>
      </c>
      <c r="AH1523" s="604" t="s">
        <v>437</v>
      </c>
      <c r="BY1523" s="553" t="str">
        <f t="shared" si="158"/>
        <v>2011CanterburydhbSUDI</v>
      </c>
      <c r="BZ1523" s="604">
        <v>2011</v>
      </c>
      <c r="CA1523" s="604" t="s">
        <v>101</v>
      </c>
      <c r="CB1523" s="604" t="s">
        <v>448</v>
      </c>
      <c r="CC1523" s="604">
        <v>3</v>
      </c>
      <c r="CD1523" s="604" t="s">
        <v>33</v>
      </c>
    </row>
    <row r="1524" spans="9:82">
      <c r="I1524" s="578" t="str">
        <f t="shared" si="156"/>
        <v>2004depQuin 4Peri</v>
      </c>
      <c r="J1524" s="604">
        <v>2004</v>
      </c>
      <c r="K1524" s="604" t="s">
        <v>454</v>
      </c>
      <c r="L1524" s="604" t="s">
        <v>424</v>
      </c>
      <c r="M1524" s="604">
        <v>127</v>
      </c>
      <c r="N1524" s="604">
        <v>12715</v>
      </c>
      <c r="O1524" s="604">
        <v>10</v>
      </c>
      <c r="P1524" s="604" t="s">
        <v>483</v>
      </c>
      <c r="Q1524" s="499"/>
      <c r="Y1524" s="535" t="str">
        <f t="shared" si="157"/>
        <v>2016agegest35-39&lt;28infant</v>
      </c>
      <c r="Z1524" s="604">
        <v>2016</v>
      </c>
      <c r="AA1524" s="604" t="s">
        <v>453</v>
      </c>
      <c r="AB1524" s="604" t="s">
        <v>450</v>
      </c>
      <c r="AC1524" s="604" t="s">
        <v>133</v>
      </c>
      <c r="AD1524" s="604" t="s">
        <v>375</v>
      </c>
      <c r="AE1524" s="604">
        <v>6</v>
      </c>
      <c r="AF1524" s="604">
        <v>44</v>
      </c>
      <c r="AG1524" s="604">
        <v>136.4</v>
      </c>
      <c r="AH1524" s="604" t="s">
        <v>437</v>
      </c>
      <c r="BY1524" s="553" t="str">
        <f t="shared" si="158"/>
        <v>2011South CanterburydhbSUDI</v>
      </c>
      <c r="BZ1524" s="604">
        <v>2011</v>
      </c>
      <c r="CA1524" s="604" t="s">
        <v>102</v>
      </c>
      <c r="CB1524" s="604" t="s">
        <v>448</v>
      </c>
      <c r="CC1524" s="604">
        <v>0</v>
      </c>
      <c r="CD1524" s="604" t="s">
        <v>33</v>
      </c>
    </row>
    <row r="1525" spans="9:82">
      <c r="I1525" s="578" t="str">
        <f t="shared" si="156"/>
        <v>2004depQuin 5Peri</v>
      </c>
      <c r="J1525" s="604">
        <v>2004</v>
      </c>
      <c r="K1525" s="604" t="s">
        <v>454</v>
      </c>
      <c r="L1525" s="604" t="s">
        <v>425</v>
      </c>
      <c r="M1525" s="604">
        <v>207</v>
      </c>
      <c r="N1525" s="604">
        <v>14940</v>
      </c>
      <c r="O1525" s="604">
        <v>13.9</v>
      </c>
      <c r="P1525" s="604" t="s">
        <v>483</v>
      </c>
      <c r="Q1525" s="499"/>
      <c r="Y1525" s="535" t="str">
        <f t="shared" si="157"/>
        <v>2016agegest40+&lt;28infant</v>
      </c>
      <c r="Z1525" s="604">
        <v>2016</v>
      </c>
      <c r="AA1525" s="604" t="s">
        <v>453</v>
      </c>
      <c r="AB1525" s="604" t="s">
        <v>450</v>
      </c>
      <c r="AC1525" s="604" t="s">
        <v>134</v>
      </c>
      <c r="AD1525" s="604" t="s">
        <v>375</v>
      </c>
      <c r="AE1525" s="604">
        <v>6</v>
      </c>
      <c r="AF1525" s="604">
        <v>16</v>
      </c>
      <c r="AG1525" s="604">
        <v>375</v>
      </c>
      <c r="AH1525" s="604" t="s">
        <v>437</v>
      </c>
      <c r="BY1525" s="553" t="str">
        <f t="shared" si="158"/>
        <v>2011SoutherndhbSUDI</v>
      </c>
      <c r="BZ1525" s="604">
        <v>2011</v>
      </c>
      <c r="CA1525" s="604" t="s">
        <v>103</v>
      </c>
      <c r="CB1525" s="604" t="s">
        <v>448</v>
      </c>
      <c r="CC1525" s="604">
        <v>4</v>
      </c>
      <c r="CD1525" s="604" t="s">
        <v>33</v>
      </c>
    </row>
    <row r="1526" spans="9:82">
      <c r="I1526" s="578" t="str">
        <f t="shared" si="156"/>
        <v>2004depQuin 9Peri</v>
      </c>
      <c r="J1526" s="604">
        <v>2004</v>
      </c>
      <c r="K1526" s="604" t="s">
        <v>454</v>
      </c>
      <c r="L1526" s="604" t="s">
        <v>426</v>
      </c>
      <c r="M1526" s="604">
        <v>39</v>
      </c>
      <c r="N1526" s="604">
        <v>3826</v>
      </c>
      <c r="O1526" s="604" t="s">
        <v>119</v>
      </c>
      <c r="P1526" s="604" t="s">
        <v>483</v>
      </c>
      <c r="Q1526" s="499"/>
      <c r="Y1526" s="535" t="str">
        <f t="shared" si="157"/>
        <v>2016agegest&lt;2028-31infant</v>
      </c>
      <c r="Z1526" s="604">
        <v>2016</v>
      </c>
      <c r="AA1526" s="604" t="s">
        <v>453</v>
      </c>
      <c r="AB1526" s="604" t="s">
        <v>450</v>
      </c>
      <c r="AC1526" s="604" t="s">
        <v>339</v>
      </c>
      <c r="AD1526" s="604" t="s">
        <v>395</v>
      </c>
      <c r="AE1526" s="604">
        <v>2</v>
      </c>
      <c r="AF1526" s="604">
        <v>24</v>
      </c>
      <c r="AG1526" s="604">
        <v>83.3</v>
      </c>
      <c r="AH1526" s="604" t="s">
        <v>437</v>
      </c>
      <c r="BY1526" s="553" t="str">
        <f t="shared" si="158"/>
        <v>2011UnknowndhbSUDI</v>
      </c>
      <c r="BZ1526" s="604">
        <v>2011</v>
      </c>
      <c r="CA1526" s="604" t="s">
        <v>63</v>
      </c>
      <c r="CB1526" s="604" t="s">
        <v>448</v>
      </c>
      <c r="CC1526" s="604">
        <v>0</v>
      </c>
      <c r="CD1526" s="604" t="s">
        <v>33</v>
      </c>
    </row>
    <row r="1527" spans="9:82">
      <c r="I1527" s="578" t="str">
        <f t="shared" si="156"/>
        <v>2005depQuin 1Peri</v>
      </c>
      <c r="J1527" s="604">
        <v>2005</v>
      </c>
      <c r="K1527" s="604" t="s">
        <v>454</v>
      </c>
      <c r="L1527" s="604" t="s">
        <v>421</v>
      </c>
      <c r="M1527" s="604">
        <v>78</v>
      </c>
      <c r="N1527" s="604">
        <v>8531</v>
      </c>
      <c r="O1527" s="604">
        <v>9.1</v>
      </c>
      <c r="P1527" s="604" t="s">
        <v>483</v>
      </c>
      <c r="Q1527" s="499"/>
      <c r="Y1527" s="535" t="str">
        <f t="shared" si="157"/>
        <v>2016agegest20-2428-31infant</v>
      </c>
      <c r="Z1527" s="604">
        <v>2016</v>
      </c>
      <c r="AA1527" s="604" t="s">
        <v>453</v>
      </c>
      <c r="AB1527" s="604" t="s">
        <v>450</v>
      </c>
      <c r="AC1527" s="604" t="s">
        <v>130</v>
      </c>
      <c r="AD1527" s="604" t="s">
        <v>395</v>
      </c>
      <c r="AE1527" s="604">
        <v>1</v>
      </c>
      <c r="AF1527" s="604">
        <v>66</v>
      </c>
      <c r="AG1527" s="604">
        <v>15.2</v>
      </c>
      <c r="AH1527" s="604" t="s">
        <v>437</v>
      </c>
      <c r="BY1527" s="553" t="str">
        <f t="shared" si="158"/>
        <v>2012NorthlanddhbSUDI</v>
      </c>
      <c r="BZ1527" s="604">
        <v>2012</v>
      </c>
      <c r="CA1527" s="604" t="s">
        <v>85</v>
      </c>
      <c r="CB1527" s="604" t="s">
        <v>448</v>
      </c>
      <c r="CC1527" s="604">
        <v>3</v>
      </c>
      <c r="CD1527" s="604" t="s">
        <v>33</v>
      </c>
    </row>
    <row r="1528" spans="9:82">
      <c r="I1528" s="578" t="str">
        <f t="shared" si="156"/>
        <v>2005depQuin 2Peri</v>
      </c>
      <c r="J1528" s="604">
        <v>2005</v>
      </c>
      <c r="K1528" s="604" t="s">
        <v>454</v>
      </c>
      <c r="L1528" s="604" t="s">
        <v>422</v>
      </c>
      <c r="M1528" s="604">
        <v>77</v>
      </c>
      <c r="N1528" s="604">
        <v>8920</v>
      </c>
      <c r="O1528" s="604">
        <v>8.6</v>
      </c>
      <c r="P1528" s="604" t="s">
        <v>483</v>
      </c>
      <c r="Q1528" s="499"/>
      <c r="Y1528" s="535" t="str">
        <f t="shared" si="157"/>
        <v>2016agegest25-2928-31infant</v>
      </c>
      <c r="Z1528" s="604">
        <v>2016</v>
      </c>
      <c r="AA1528" s="604" t="s">
        <v>453</v>
      </c>
      <c r="AB1528" s="604" t="s">
        <v>450</v>
      </c>
      <c r="AC1528" s="604" t="s">
        <v>131</v>
      </c>
      <c r="AD1528" s="604" t="s">
        <v>395</v>
      </c>
      <c r="AE1528" s="604">
        <v>3</v>
      </c>
      <c r="AF1528" s="604">
        <v>105</v>
      </c>
      <c r="AG1528" s="604">
        <v>28.6</v>
      </c>
      <c r="AH1528" s="604" t="s">
        <v>437</v>
      </c>
      <c r="BY1528" s="553" t="str">
        <f t="shared" si="158"/>
        <v>2012WaitematadhbSUDI</v>
      </c>
      <c r="BZ1528" s="604">
        <v>2012</v>
      </c>
      <c r="CA1528" s="604" t="s">
        <v>86</v>
      </c>
      <c r="CB1528" s="604" t="s">
        <v>448</v>
      </c>
      <c r="CC1528" s="604">
        <v>0</v>
      </c>
      <c r="CD1528" s="604" t="s">
        <v>33</v>
      </c>
    </row>
    <row r="1529" spans="9:82">
      <c r="I1529" s="578" t="str">
        <f t="shared" si="156"/>
        <v>2005depQuin 3Peri</v>
      </c>
      <c r="J1529" s="604">
        <v>2005</v>
      </c>
      <c r="K1529" s="604" t="s">
        <v>454</v>
      </c>
      <c r="L1529" s="604" t="s">
        <v>423</v>
      </c>
      <c r="M1529" s="604">
        <v>81</v>
      </c>
      <c r="N1529" s="604">
        <v>10482</v>
      </c>
      <c r="O1529" s="604">
        <v>7.7</v>
      </c>
      <c r="P1529" s="604" t="s">
        <v>483</v>
      </c>
      <c r="Q1529" s="499"/>
      <c r="Y1529" s="535" t="str">
        <f t="shared" si="157"/>
        <v>2016agegest30-3428-31infant</v>
      </c>
      <c r="Z1529" s="604">
        <v>2016</v>
      </c>
      <c r="AA1529" s="604" t="s">
        <v>453</v>
      </c>
      <c r="AB1529" s="604" t="s">
        <v>450</v>
      </c>
      <c r="AC1529" s="604" t="s">
        <v>132</v>
      </c>
      <c r="AD1529" s="604" t="s">
        <v>395</v>
      </c>
      <c r="AE1529" s="604">
        <v>2</v>
      </c>
      <c r="AF1529" s="604">
        <v>132</v>
      </c>
      <c r="AG1529" s="604">
        <v>15.2</v>
      </c>
      <c r="AH1529" s="604" t="s">
        <v>437</v>
      </c>
      <c r="BY1529" s="553" t="str">
        <f t="shared" si="158"/>
        <v>2012AucklanddhbSUDI</v>
      </c>
      <c r="BZ1529" s="604">
        <v>2012</v>
      </c>
      <c r="CA1529" s="604" t="s">
        <v>87</v>
      </c>
      <c r="CB1529" s="604" t="s">
        <v>448</v>
      </c>
      <c r="CC1529" s="604">
        <v>2</v>
      </c>
      <c r="CD1529" s="604" t="s">
        <v>33</v>
      </c>
    </row>
    <row r="1530" spans="9:82">
      <c r="I1530" s="578" t="str">
        <f t="shared" si="156"/>
        <v>2005depQuin 4Peri</v>
      </c>
      <c r="J1530" s="604">
        <v>2005</v>
      </c>
      <c r="K1530" s="604" t="s">
        <v>454</v>
      </c>
      <c r="L1530" s="604" t="s">
        <v>424</v>
      </c>
      <c r="M1530" s="604">
        <v>136</v>
      </c>
      <c r="N1530" s="604">
        <v>12579</v>
      </c>
      <c r="O1530" s="604">
        <v>10.8</v>
      </c>
      <c r="P1530" s="604" t="s">
        <v>483</v>
      </c>
      <c r="Q1530" s="499"/>
      <c r="Y1530" s="535" t="str">
        <f t="shared" si="157"/>
        <v>2016agegest35-3928-31infant</v>
      </c>
      <c r="Z1530" s="604">
        <v>2016</v>
      </c>
      <c r="AA1530" s="604" t="s">
        <v>453</v>
      </c>
      <c r="AB1530" s="604" t="s">
        <v>450</v>
      </c>
      <c r="AC1530" s="604" t="s">
        <v>133</v>
      </c>
      <c r="AD1530" s="604" t="s">
        <v>395</v>
      </c>
      <c r="AE1530" s="604">
        <v>4</v>
      </c>
      <c r="AF1530" s="604">
        <v>70</v>
      </c>
      <c r="AG1530" s="604">
        <v>57.1</v>
      </c>
      <c r="AH1530" s="604" t="s">
        <v>437</v>
      </c>
      <c r="BY1530" s="553" t="str">
        <f t="shared" si="158"/>
        <v>2012Counties ManukaudhbSUDI</v>
      </c>
      <c r="BZ1530" s="604">
        <v>2012</v>
      </c>
      <c r="CA1530" s="604" t="s">
        <v>88</v>
      </c>
      <c r="CB1530" s="604" t="s">
        <v>448</v>
      </c>
      <c r="CC1530" s="604">
        <v>4</v>
      </c>
      <c r="CD1530" s="604" t="s">
        <v>33</v>
      </c>
    </row>
    <row r="1531" spans="9:82">
      <c r="I1531" s="578" t="str">
        <f t="shared" si="156"/>
        <v>2005depQuin 5Peri</v>
      </c>
      <c r="J1531" s="604">
        <v>2005</v>
      </c>
      <c r="K1531" s="604" t="s">
        <v>454</v>
      </c>
      <c r="L1531" s="604" t="s">
        <v>425</v>
      </c>
      <c r="M1531" s="604">
        <v>150</v>
      </c>
      <c r="N1531" s="604">
        <v>14909</v>
      </c>
      <c r="O1531" s="604">
        <v>10.1</v>
      </c>
      <c r="P1531" s="604" t="s">
        <v>483</v>
      </c>
      <c r="Q1531" s="499"/>
      <c r="Y1531" s="535" t="str">
        <f t="shared" si="157"/>
        <v>2016agegest40+28-31infant</v>
      </c>
      <c r="Z1531" s="604">
        <v>2016</v>
      </c>
      <c r="AA1531" s="604" t="s">
        <v>453</v>
      </c>
      <c r="AB1531" s="604" t="s">
        <v>450</v>
      </c>
      <c r="AC1531" s="604" t="s">
        <v>134</v>
      </c>
      <c r="AD1531" s="604" t="s">
        <v>395</v>
      </c>
      <c r="AE1531" s="604">
        <v>2</v>
      </c>
      <c r="AF1531" s="604">
        <v>20</v>
      </c>
      <c r="AG1531" s="604">
        <v>100</v>
      </c>
      <c r="AH1531" s="604" t="s">
        <v>437</v>
      </c>
      <c r="BY1531" s="553" t="str">
        <f t="shared" si="158"/>
        <v>2012WaikatodhbSUDI</v>
      </c>
      <c r="BZ1531" s="604">
        <v>2012</v>
      </c>
      <c r="CA1531" s="604" t="s">
        <v>89</v>
      </c>
      <c r="CB1531" s="604" t="s">
        <v>448</v>
      </c>
      <c r="CC1531" s="604">
        <v>4</v>
      </c>
      <c r="CD1531" s="604" t="s">
        <v>33</v>
      </c>
    </row>
    <row r="1532" spans="9:82">
      <c r="I1532" s="578" t="str">
        <f t="shared" si="156"/>
        <v>2005depQuin 9Peri</v>
      </c>
      <c r="J1532" s="604">
        <v>2005</v>
      </c>
      <c r="K1532" s="604" t="s">
        <v>454</v>
      </c>
      <c r="L1532" s="604" t="s">
        <v>426</v>
      </c>
      <c r="M1532" s="604">
        <v>29</v>
      </c>
      <c r="N1532" s="604">
        <v>3709</v>
      </c>
      <c r="O1532" s="604" t="s">
        <v>119</v>
      </c>
      <c r="P1532" s="604" t="s">
        <v>483</v>
      </c>
      <c r="Q1532" s="499"/>
      <c r="Y1532" s="535" t="str">
        <f t="shared" si="157"/>
        <v>2016agegest&lt;2032-36infant</v>
      </c>
      <c r="Z1532" s="604">
        <v>2016</v>
      </c>
      <c r="AA1532" s="604" t="s">
        <v>453</v>
      </c>
      <c r="AB1532" s="604" t="s">
        <v>450</v>
      </c>
      <c r="AC1532" s="604" t="s">
        <v>339</v>
      </c>
      <c r="AD1532" s="604" t="s">
        <v>136</v>
      </c>
      <c r="AE1532" s="604">
        <v>2</v>
      </c>
      <c r="AF1532" s="604">
        <v>189</v>
      </c>
      <c r="AG1532" s="604">
        <v>10.6</v>
      </c>
      <c r="AH1532" s="604" t="s">
        <v>437</v>
      </c>
      <c r="BY1532" s="553" t="str">
        <f t="shared" si="158"/>
        <v>2012LakesdhbSUDI</v>
      </c>
      <c r="BZ1532" s="604">
        <v>2012</v>
      </c>
      <c r="CA1532" s="604" t="s">
        <v>90</v>
      </c>
      <c r="CB1532" s="604" t="s">
        <v>448</v>
      </c>
      <c r="CC1532" s="604">
        <v>1</v>
      </c>
      <c r="CD1532" s="604" t="s">
        <v>33</v>
      </c>
    </row>
    <row r="1533" spans="9:82">
      <c r="I1533" s="578" t="str">
        <f t="shared" si="156"/>
        <v>2006depQuin 1Peri</v>
      </c>
      <c r="J1533" s="604">
        <v>2006</v>
      </c>
      <c r="K1533" s="604" t="s">
        <v>454</v>
      </c>
      <c r="L1533" s="604" t="s">
        <v>421</v>
      </c>
      <c r="M1533" s="604">
        <v>53</v>
      </c>
      <c r="N1533" s="604">
        <v>8585</v>
      </c>
      <c r="O1533" s="604">
        <v>6.2</v>
      </c>
      <c r="P1533" s="604" t="s">
        <v>483</v>
      </c>
      <c r="Q1533" s="499"/>
      <c r="Y1533" s="535" t="str">
        <f t="shared" si="157"/>
        <v>2016agegest20-2432-36infant</v>
      </c>
      <c r="Z1533" s="604">
        <v>2016</v>
      </c>
      <c r="AA1533" s="604" t="s">
        <v>453</v>
      </c>
      <c r="AB1533" s="604" t="s">
        <v>450</v>
      </c>
      <c r="AC1533" s="604" t="s">
        <v>130</v>
      </c>
      <c r="AD1533" s="604" t="s">
        <v>136</v>
      </c>
      <c r="AE1533" s="604">
        <v>8</v>
      </c>
      <c r="AF1533" s="604">
        <v>604</v>
      </c>
      <c r="AG1533" s="604">
        <v>13.2</v>
      </c>
      <c r="AH1533" s="604" t="s">
        <v>437</v>
      </c>
      <c r="BY1533" s="553" t="str">
        <f t="shared" si="158"/>
        <v>2012Bay of PlentydhbSUDI</v>
      </c>
      <c r="BZ1533" s="604">
        <v>2012</v>
      </c>
      <c r="CA1533" s="604" t="s">
        <v>91</v>
      </c>
      <c r="CB1533" s="604" t="s">
        <v>448</v>
      </c>
      <c r="CC1533" s="604">
        <v>2</v>
      </c>
      <c r="CD1533" s="604" t="s">
        <v>33</v>
      </c>
    </row>
    <row r="1534" spans="9:82">
      <c r="I1534" s="578" t="str">
        <f t="shared" si="156"/>
        <v>2006depQuin 2Peri</v>
      </c>
      <c r="J1534" s="604">
        <v>2006</v>
      </c>
      <c r="K1534" s="604" t="s">
        <v>454</v>
      </c>
      <c r="L1534" s="604" t="s">
        <v>422</v>
      </c>
      <c r="M1534" s="604">
        <v>76</v>
      </c>
      <c r="N1534" s="604">
        <v>9029</v>
      </c>
      <c r="O1534" s="604">
        <v>8.4</v>
      </c>
      <c r="P1534" s="604" t="s">
        <v>483</v>
      </c>
      <c r="Q1534" s="499"/>
      <c r="Y1534" s="535" t="str">
        <f t="shared" si="157"/>
        <v>2016agegest25-2932-36infant</v>
      </c>
      <c r="Z1534" s="604">
        <v>2016</v>
      </c>
      <c r="AA1534" s="604" t="s">
        <v>453</v>
      </c>
      <c r="AB1534" s="604" t="s">
        <v>450</v>
      </c>
      <c r="AC1534" s="604" t="s">
        <v>131</v>
      </c>
      <c r="AD1534" s="604" t="s">
        <v>136</v>
      </c>
      <c r="AE1534" s="604">
        <v>4</v>
      </c>
      <c r="AF1534" s="604">
        <v>991</v>
      </c>
      <c r="AG1534" s="604">
        <v>4</v>
      </c>
      <c r="AH1534" s="604" t="s">
        <v>437</v>
      </c>
      <c r="BY1534" s="553" t="str">
        <f t="shared" si="158"/>
        <v>2012TairawhitidhbSUDI</v>
      </c>
      <c r="BZ1534" s="604">
        <v>2012</v>
      </c>
      <c r="CA1534" s="604" t="s">
        <v>433</v>
      </c>
      <c r="CB1534" s="604" t="s">
        <v>448</v>
      </c>
      <c r="CC1534" s="604">
        <v>1</v>
      </c>
      <c r="CD1534" s="604" t="s">
        <v>33</v>
      </c>
    </row>
    <row r="1535" spans="9:82">
      <c r="I1535" s="578" t="str">
        <f t="shared" si="156"/>
        <v>2006depQuin 3Peri</v>
      </c>
      <c r="J1535" s="604">
        <v>2006</v>
      </c>
      <c r="K1535" s="604" t="s">
        <v>454</v>
      </c>
      <c r="L1535" s="604" t="s">
        <v>423</v>
      </c>
      <c r="M1535" s="604">
        <v>112</v>
      </c>
      <c r="N1535" s="604">
        <v>10980</v>
      </c>
      <c r="O1535" s="604">
        <v>10.199999999999999</v>
      </c>
      <c r="P1535" s="604" t="s">
        <v>483</v>
      </c>
      <c r="Q1535" s="499"/>
      <c r="Y1535" s="535" t="str">
        <f t="shared" si="157"/>
        <v>2016agegest30-3432-36infant</v>
      </c>
      <c r="Z1535" s="604">
        <v>2016</v>
      </c>
      <c r="AA1535" s="604" t="s">
        <v>453</v>
      </c>
      <c r="AB1535" s="604" t="s">
        <v>450</v>
      </c>
      <c r="AC1535" s="604" t="s">
        <v>132</v>
      </c>
      <c r="AD1535" s="604" t="s">
        <v>136</v>
      </c>
      <c r="AE1535" s="604">
        <v>6</v>
      </c>
      <c r="AF1535" s="604">
        <v>1113</v>
      </c>
      <c r="AG1535" s="604">
        <v>5.4</v>
      </c>
      <c r="AH1535" s="604" t="s">
        <v>437</v>
      </c>
      <c r="BY1535" s="553" t="str">
        <f t="shared" si="158"/>
        <v>2012Hawke's BaydhbSUDI</v>
      </c>
      <c r="BZ1535" s="604">
        <v>2012</v>
      </c>
      <c r="CA1535" s="604" t="s">
        <v>92</v>
      </c>
      <c r="CB1535" s="604" t="s">
        <v>448</v>
      </c>
      <c r="CC1535" s="604">
        <v>1</v>
      </c>
      <c r="CD1535" s="604" t="s">
        <v>33</v>
      </c>
    </row>
    <row r="1536" spans="9:82">
      <c r="I1536" s="578" t="str">
        <f t="shared" si="156"/>
        <v>2006depQuin 4Peri</v>
      </c>
      <c r="J1536" s="604">
        <v>2006</v>
      </c>
      <c r="K1536" s="604" t="s">
        <v>454</v>
      </c>
      <c r="L1536" s="604" t="s">
        <v>424</v>
      </c>
      <c r="M1536" s="604">
        <v>118</v>
      </c>
      <c r="N1536" s="604">
        <v>12919</v>
      </c>
      <c r="O1536" s="604">
        <v>9.1</v>
      </c>
      <c r="P1536" s="604" t="s">
        <v>483</v>
      </c>
      <c r="Q1536" s="499"/>
      <c r="Y1536" s="535" t="str">
        <f t="shared" si="157"/>
        <v>2016agegest35-3932-36infant</v>
      </c>
      <c r="Z1536" s="604">
        <v>2016</v>
      </c>
      <c r="AA1536" s="604" t="s">
        <v>453</v>
      </c>
      <c r="AB1536" s="604" t="s">
        <v>450</v>
      </c>
      <c r="AC1536" s="604" t="s">
        <v>133</v>
      </c>
      <c r="AD1536" s="604" t="s">
        <v>136</v>
      </c>
      <c r="AE1536" s="604">
        <v>1</v>
      </c>
      <c r="AF1536" s="604">
        <v>683</v>
      </c>
      <c r="AG1536" s="604">
        <v>1.5</v>
      </c>
      <c r="AH1536" s="604" t="s">
        <v>437</v>
      </c>
      <c r="BY1536" s="553" t="str">
        <f t="shared" si="158"/>
        <v>2012TaranakidhbSUDI</v>
      </c>
      <c r="BZ1536" s="604">
        <v>2012</v>
      </c>
      <c r="CA1536" s="604" t="s">
        <v>93</v>
      </c>
      <c r="CB1536" s="604" t="s">
        <v>448</v>
      </c>
      <c r="CC1536" s="604">
        <v>1</v>
      </c>
      <c r="CD1536" s="604" t="s">
        <v>33</v>
      </c>
    </row>
    <row r="1537" spans="9:82">
      <c r="I1537" s="578" t="str">
        <f t="shared" si="156"/>
        <v>2006depQuin 5Peri</v>
      </c>
      <c r="J1537" s="604">
        <v>2006</v>
      </c>
      <c r="K1537" s="604" t="s">
        <v>454</v>
      </c>
      <c r="L1537" s="604" t="s">
        <v>425</v>
      </c>
      <c r="M1537" s="604">
        <v>151</v>
      </c>
      <c r="N1537" s="604">
        <v>15140</v>
      </c>
      <c r="O1537" s="604">
        <v>10</v>
      </c>
      <c r="P1537" s="604" t="s">
        <v>483</v>
      </c>
      <c r="Q1537" s="499"/>
      <c r="Y1537" s="535" t="str">
        <f t="shared" si="157"/>
        <v>2016agegest40+32-36infant</v>
      </c>
      <c r="Z1537" s="604">
        <v>2016</v>
      </c>
      <c r="AA1537" s="604" t="s">
        <v>453</v>
      </c>
      <c r="AB1537" s="604" t="s">
        <v>450</v>
      </c>
      <c r="AC1537" s="604" t="s">
        <v>134</v>
      </c>
      <c r="AD1537" s="604" t="s">
        <v>136</v>
      </c>
      <c r="AE1537" s="604">
        <v>2</v>
      </c>
      <c r="AF1537" s="604">
        <v>234</v>
      </c>
      <c r="AG1537" s="604">
        <v>8.5</v>
      </c>
      <c r="AH1537" s="604" t="s">
        <v>437</v>
      </c>
      <c r="BY1537" s="553" t="str">
        <f t="shared" si="158"/>
        <v>2012MidCentraldhbSUDI</v>
      </c>
      <c r="BZ1537" s="604">
        <v>2012</v>
      </c>
      <c r="CA1537" s="604" t="s">
        <v>94</v>
      </c>
      <c r="CB1537" s="604" t="s">
        <v>448</v>
      </c>
      <c r="CC1537" s="604">
        <v>2</v>
      </c>
      <c r="CD1537" s="604" t="s">
        <v>33</v>
      </c>
    </row>
    <row r="1538" spans="9:82">
      <c r="I1538" s="578" t="str">
        <f t="shared" si="156"/>
        <v>2006depQuin 9Peri</v>
      </c>
      <c r="J1538" s="604">
        <v>2006</v>
      </c>
      <c r="K1538" s="604" t="s">
        <v>454</v>
      </c>
      <c r="L1538" s="604" t="s">
        <v>426</v>
      </c>
      <c r="M1538" s="604">
        <v>36</v>
      </c>
      <c r="N1538" s="604">
        <v>4030</v>
      </c>
      <c r="O1538" s="604" t="s">
        <v>119</v>
      </c>
      <c r="P1538" s="604" t="s">
        <v>483</v>
      </c>
      <c r="Q1538" s="499"/>
      <c r="Y1538" s="535" t="str">
        <f t="shared" si="157"/>
        <v>2016agegest&lt;2037-41infant</v>
      </c>
      <c r="Z1538" s="604">
        <v>2016</v>
      </c>
      <c r="AA1538" s="604" t="s">
        <v>453</v>
      </c>
      <c r="AB1538" s="604" t="s">
        <v>450</v>
      </c>
      <c r="AC1538" s="604" t="s">
        <v>339</v>
      </c>
      <c r="AD1538" s="604" t="s">
        <v>137</v>
      </c>
      <c r="AE1538" s="604">
        <v>9</v>
      </c>
      <c r="AF1538" s="604">
        <v>2277</v>
      </c>
      <c r="AG1538" s="604">
        <v>4</v>
      </c>
      <c r="AH1538" s="604" t="s">
        <v>437</v>
      </c>
      <c r="BY1538" s="553" t="str">
        <f t="shared" si="158"/>
        <v>2012WhanganuidhbSUDI</v>
      </c>
      <c r="BZ1538" s="604">
        <v>2012</v>
      </c>
      <c r="CA1538" s="604" t="s">
        <v>95</v>
      </c>
      <c r="CB1538" s="604" t="s">
        <v>448</v>
      </c>
      <c r="CC1538" s="604">
        <v>2</v>
      </c>
      <c r="CD1538" s="604" t="s">
        <v>33</v>
      </c>
    </row>
    <row r="1539" spans="9:82">
      <c r="I1539" s="578" t="str">
        <f t="shared" si="156"/>
        <v>2007depQuin 1Peri</v>
      </c>
      <c r="J1539" s="604">
        <v>2007</v>
      </c>
      <c r="K1539" s="604" t="s">
        <v>454</v>
      </c>
      <c r="L1539" s="604" t="s">
        <v>421</v>
      </c>
      <c r="M1539" s="604">
        <v>68</v>
      </c>
      <c r="N1539" s="604">
        <v>9250</v>
      </c>
      <c r="O1539" s="604">
        <v>7.4</v>
      </c>
      <c r="P1539" s="604" t="s">
        <v>483</v>
      </c>
      <c r="Q1539" s="499"/>
      <c r="Y1539" s="535" t="str">
        <f t="shared" si="157"/>
        <v>2016agegest20-2437-41infant</v>
      </c>
      <c r="Z1539" s="604">
        <v>2016</v>
      </c>
      <c r="AA1539" s="604" t="s">
        <v>453</v>
      </c>
      <c r="AB1539" s="604" t="s">
        <v>450</v>
      </c>
      <c r="AC1539" s="604" t="s">
        <v>130</v>
      </c>
      <c r="AD1539" s="604" t="s">
        <v>137</v>
      </c>
      <c r="AE1539" s="604">
        <v>22</v>
      </c>
      <c r="AF1539" s="604">
        <v>9027</v>
      </c>
      <c r="AG1539" s="604">
        <v>2.4</v>
      </c>
      <c r="AH1539" s="604" t="s">
        <v>437</v>
      </c>
      <c r="BY1539" s="553" t="str">
        <f t="shared" si="158"/>
        <v>2012Capital &amp; CoastdhbSUDI</v>
      </c>
      <c r="BZ1539" s="604">
        <v>2012</v>
      </c>
      <c r="CA1539" s="604" t="s">
        <v>96</v>
      </c>
      <c r="CB1539" s="604" t="s">
        <v>448</v>
      </c>
      <c r="CC1539" s="604">
        <v>4</v>
      </c>
      <c r="CD1539" s="604" t="s">
        <v>33</v>
      </c>
    </row>
    <row r="1540" spans="9:82">
      <c r="I1540" s="578" t="str">
        <f t="shared" ref="I1540:I1603" si="159">J1540&amp;K1540&amp;L1540&amp;P1540</f>
        <v>2007depQuin 2Peri</v>
      </c>
      <c r="J1540" s="604">
        <v>2007</v>
      </c>
      <c r="K1540" s="604" t="s">
        <v>454</v>
      </c>
      <c r="L1540" s="604" t="s">
        <v>422</v>
      </c>
      <c r="M1540" s="604">
        <v>86</v>
      </c>
      <c r="N1540" s="604">
        <v>9772</v>
      </c>
      <c r="O1540" s="604">
        <v>8.8000000000000007</v>
      </c>
      <c r="P1540" s="604" t="s">
        <v>483</v>
      </c>
      <c r="Q1540" s="499"/>
      <c r="Y1540" s="535" t="str">
        <f t="shared" ref="Y1540:Y1603" si="160">Z1540&amp;AA1540&amp;AB1540&amp;AC1540&amp;AD1540&amp;AH1540</f>
        <v>2016agegest25-2937-41infant</v>
      </c>
      <c r="Z1540" s="604">
        <v>2016</v>
      </c>
      <c r="AA1540" s="604" t="s">
        <v>453</v>
      </c>
      <c r="AB1540" s="604" t="s">
        <v>450</v>
      </c>
      <c r="AC1540" s="604" t="s">
        <v>131</v>
      </c>
      <c r="AD1540" s="604" t="s">
        <v>137</v>
      </c>
      <c r="AE1540" s="604">
        <v>20</v>
      </c>
      <c r="AF1540" s="604">
        <v>15201</v>
      </c>
      <c r="AG1540" s="604">
        <v>1.3</v>
      </c>
      <c r="AH1540" s="604" t="s">
        <v>437</v>
      </c>
      <c r="BY1540" s="553" t="str">
        <f t="shared" ref="BY1540:BY1572" si="161">BZ1540&amp;CA1540&amp;CB1540&amp;CD1540</f>
        <v>2012Hutt ValleydhbSUDI</v>
      </c>
      <c r="BZ1540" s="604">
        <v>2012</v>
      </c>
      <c r="CA1540" s="604" t="s">
        <v>97</v>
      </c>
      <c r="CB1540" s="604" t="s">
        <v>448</v>
      </c>
      <c r="CC1540" s="604">
        <v>2</v>
      </c>
      <c r="CD1540" s="604" t="s">
        <v>33</v>
      </c>
    </row>
    <row r="1541" spans="9:82">
      <c r="I1541" s="578" t="str">
        <f t="shared" si="159"/>
        <v>2007depQuin 3Peri</v>
      </c>
      <c r="J1541" s="604">
        <v>2007</v>
      </c>
      <c r="K1541" s="604" t="s">
        <v>454</v>
      </c>
      <c r="L1541" s="604" t="s">
        <v>423</v>
      </c>
      <c r="M1541" s="604">
        <v>107</v>
      </c>
      <c r="N1541" s="604">
        <v>11687</v>
      </c>
      <c r="O1541" s="604">
        <v>9.1999999999999993</v>
      </c>
      <c r="P1541" s="604" t="s">
        <v>483</v>
      </c>
      <c r="Q1541" s="499"/>
      <c r="Y1541" s="535" t="str">
        <f t="shared" si="160"/>
        <v>2016agegest30-3437-41infant</v>
      </c>
      <c r="Z1541" s="604">
        <v>2016</v>
      </c>
      <c r="AA1541" s="604" t="s">
        <v>453</v>
      </c>
      <c r="AB1541" s="604" t="s">
        <v>450</v>
      </c>
      <c r="AC1541" s="604" t="s">
        <v>132</v>
      </c>
      <c r="AD1541" s="604" t="s">
        <v>137</v>
      </c>
      <c r="AE1541" s="604">
        <v>21</v>
      </c>
      <c r="AF1541" s="604">
        <v>17088</v>
      </c>
      <c r="AG1541" s="604">
        <v>1.2</v>
      </c>
      <c r="AH1541" s="604" t="s">
        <v>437</v>
      </c>
      <c r="BY1541" s="553" t="str">
        <f t="shared" si="161"/>
        <v>2012WairarapadhbSUDI</v>
      </c>
      <c r="BZ1541" s="604">
        <v>2012</v>
      </c>
      <c r="CA1541" s="604" t="s">
        <v>98</v>
      </c>
      <c r="CB1541" s="604" t="s">
        <v>448</v>
      </c>
      <c r="CC1541" s="604">
        <v>0</v>
      </c>
      <c r="CD1541" s="604" t="s">
        <v>33</v>
      </c>
    </row>
    <row r="1542" spans="9:82">
      <c r="I1542" s="578" t="str">
        <f t="shared" si="159"/>
        <v>2007depQuin 4Peri</v>
      </c>
      <c r="J1542" s="604">
        <v>2007</v>
      </c>
      <c r="K1542" s="604" t="s">
        <v>454</v>
      </c>
      <c r="L1542" s="604" t="s">
        <v>424</v>
      </c>
      <c r="M1542" s="604">
        <v>138</v>
      </c>
      <c r="N1542" s="604">
        <v>14182</v>
      </c>
      <c r="O1542" s="604">
        <v>9.6999999999999993</v>
      </c>
      <c r="P1542" s="604" t="s">
        <v>483</v>
      </c>
      <c r="Q1542" s="499"/>
      <c r="Y1542" s="535" t="str">
        <f t="shared" si="160"/>
        <v>2016agegest35-3937-41infant</v>
      </c>
      <c r="Z1542" s="604">
        <v>2016</v>
      </c>
      <c r="AA1542" s="604" t="s">
        <v>453</v>
      </c>
      <c r="AB1542" s="604" t="s">
        <v>450</v>
      </c>
      <c r="AC1542" s="604" t="s">
        <v>133</v>
      </c>
      <c r="AD1542" s="604" t="s">
        <v>137</v>
      </c>
      <c r="AE1542" s="604">
        <v>15</v>
      </c>
      <c r="AF1542" s="604">
        <v>9143</v>
      </c>
      <c r="AG1542" s="604">
        <v>1.6</v>
      </c>
      <c r="AH1542" s="604" t="s">
        <v>437</v>
      </c>
      <c r="BY1542" s="553" t="str">
        <f t="shared" si="161"/>
        <v>2012Nelson MarlboroughdhbSUDI</v>
      </c>
      <c r="BZ1542" s="604">
        <v>2012</v>
      </c>
      <c r="CA1542" s="604" t="s">
        <v>99</v>
      </c>
      <c r="CB1542" s="604" t="s">
        <v>448</v>
      </c>
      <c r="CC1542" s="604">
        <v>0</v>
      </c>
      <c r="CD1542" s="604" t="s">
        <v>33</v>
      </c>
    </row>
    <row r="1543" spans="9:82">
      <c r="I1543" s="578" t="str">
        <f t="shared" si="159"/>
        <v>2007depQuin 5Peri</v>
      </c>
      <c r="J1543" s="604">
        <v>2007</v>
      </c>
      <c r="K1543" s="604" t="s">
        <v>454</v>
      </c>
      <c r="L1543" s="604" t="s">
        <v>425</v>
      </c>
      <c r="M1543" s="604">
        <v>170</v>
      </c>
      <c r="N1543" s="604">
        <v>16260</v>
      </c>
      <c r="O1543" s="604">
        <v>10.5</v>
      </c>
      <c r="P1543" s="604" t="s">
        <v>483</v>
      </c>
      <c r="Q1543" s="499"/>
      <c r="Y1543" s="535" t="str">
        <f t="shared" si="160"/>
        <v>2016agegest40+37-41infant</v>
      </c>
      <c r="Z1543" s="604">
        <v>2016</v>
      </c>
      <c r="AA1543" s="604" t="s">
        <v>453</v>
      </c>
      <c r="AB1543" s="604" t="s">
        <v>450</v>
      </c>
      <c r="AC1543" s="604" t="s">
        <v>134</v>
      </c>
      <c r="AD1543" s="604" t="s">
        <v>137</v>
      </c>
      <c r="AE1543" s="604">
        <v>4</v>
      </c>
      <c r="AF1543" s="604">
        <v>2163</v>
      </c>
      <c r="AG1543" s="604">
        <v>1.8</v>
      </c>
      <c r="AH1543" s="604" t="s">
        <v>437</v>
      </c>
      <c r="BY1543" s="553" t="str">
        <f t="shared" si="161"/>
        <v>2012West CoastdhbSUDI</v>
      </c>
      <c r="BZ1543" s="604">
        <v>2012</v>
      </c>
      <c r="CA1543" s="604" t="s">
        <v>100</v>
      </c>
      <c r="CB1543" s="604" t="s">
        <v>448</v>
      </c>
      <c r="CC1543" s="604">
        <v>0</v>
      </c>
      <c r="CD1543" s="604" t="s">
        <v>33</v>
      </c>
    </row>
    <row r="1544" spans="9:82">
      <c r="I1544" s="578" t="str">
        <f t="shared" si="159"/>
        <v>2007depQuin 9Peri</v>
      </c>
      <c r="J1544" s="604">
        <v>2007</v>
      </c>
      <c r="K1544" s="604" t="s">
        <v>454</v>
      </c>
      <c r="L1544" s="604" t="s">
        <v>426</v>
      </c>
      <c r="M1544" s="604">
        <v>35</v>
      </c>
      <c r="N1544" s="604">
        <v>4440</v>
      </c>
      <c r="O1544" s="604" t="s">
        <v>119</v>
      </c>
      <c r="P1544" s="604" t="s">
        <v>483</v>
      </c>
      <c r="Q1544" s="499"/>
      <c r="Y1544" s="535" t="str">
        <f t="shared" si="160"/>
        <v>2016agegest&lt;2042+infant</v>
      </c>
      <c r="Z1544" s="604">
        <v>2016</v>
      </c>
      <c r="AA1544" s="604" t="s">
        <v>453</v>
      </c>
      <c r="AB1544" s="604" t="s">
        <v>450</v>
      </c>
      <c r="AC1544" s="604" t="s">
        <v>339</v>
      </c>
      <c r="AD1544" s="604" t="s">
        <v>138</v>
      </c>
      <c r="AE1544" s="604">
        <v>3</v>
      </c>
      <c r="AF1544" s="604">
        <v>45</v>
      </c>
      <c r="AG1544" s="604">
        <v>66.7</v>
      </c>
      <c r="AH1544" s="604" t="s">
        <v>437</v>
      </c>
      <c r="BY1544" s="553" t="str">
        <f t="shared" si="161"/>
        <v>2012CanterburydhbSUDI</v>
      </c>
      <c r="BZ1544" s="604">
        <v>2012</v>
      </c>
      <c r="CA1544" s="604" t="s">
        <v>101</v>
      </c>
      <c r="CB1544" s="604" t="s">
        <v>448</v>
      </c>
      <c r="CC1544" s="604">
        <v>6</v>
      </c>
      <c r="CD1544" s="604" t="s">
        <v>33</v>
      </c>
    </row>
    <row r="1545" spans="9:82">
      <c r="I1545" s="578" t="str">
        <f t="shared" si="159"/>
        <v>2008depQuin 1Peri</v>
      </c>
      <c r="J1545" s="604">
        <v>2008</v>
      </c>
      <c r="K1545" s="604" t="s">
        <v>454</v>
      </c>
      <c r="L1545" s="604" t="s">
        <v>421</v>
      </c>
      <c r="M1545" s="604">
        <v>78</v>
      </c>
      <c r="N1545" s="604">
        <v>9682</v>
      </c>
      <c r="O1545" s="604">
        <v>8.1</v>
      </c>
      <c r="P1545" s="604" t="s">
        <v>483</v>
      </c>
      <c r="Q1545" s="499"/>
      <c r="Y1545" s="535" t="str">
        <f t="shared" si="160"/>
        <v>2016agegest20-2442+infant</v>
      </c>
      <c r="Z1545" s="604">
        <v>2016</v>
      </c>
      <c r="AA1545" s="604" t="s">
        <v>453</v>
      </c>
      <c r="AB1545" s="604" t="s">
        <v>450</v>
      </c>
      <c r="AC1545" s="604" t="s">
        <v>130</v>
      </c>
      <c r="AD1545" s="604" t="s">
        <v>138</v>
      </c>
      <c r="AE1545" s="604">
        <v>0</v>
      </c>
      <c r="AF1545" s="604">
        <v>180</v>
      </c>
      <c r="AG1545" s="604">
        <v>0</v>
      </c>
      <c r="AH1545" s="604" t="s">
        <v>437</v>
      </c>
      <c r="BY1545" s="553" t="str">
        <f t="shared" si="161"/>
        <v>2012South CanterburydhbSUDI</v>
      </c>
      <c r="BZ1545" s="604">
        <v>2012</v>
      </c>
      <c r="CA1545" s="604" t="s">
        <v>102</v>
      </c>
      <c r="CB1545" s="604" t="s">
        <v>448</v>
      </c>
      <c r="CC1545" s="604">
        <v>0</v>
      </c>
      <c r="CD1545" s="604" t="s">
        <v>33</v>
      </c>
    </row>
    <row r="1546" spans="9:82">
      <c r="I1546" s="578" t="str">
        <f t="shared" si="159"/>
        <v>2008depQuin 2Peri</v>
      </c>
      <c r="J1546" s="604">
        <v>2008</v>
      </c>
      <c r="K1546" s="604" t="s">
        <v>454</v>
      </c>
      <c r="L1546" s="604" t="s">
        <v>422</v>
      </c>
      <c r="M1546" s="604">
        <v>90</v>
      </c>
      <c r="N1546" s="604">
        <v>10559</v>
      </c>
      <c r="O1546" s="604">
        <v>8.5</v>
      </c>
      <c r="P1546" s="604" t="s">
        <v>483</v>
      </c>
      <c r="Q1546" s="499"/>
      <c r="Y1546" s="535" t="str">
        <f t="shared" si="160"/>
        <v>2016agegest25-2942+infant</v>
      </c>
      <c r="Z1546" s="604">
        <v>2016</v>
      </c>
      <c r="AA1546" s="604" t="s">
        <v>453</v>
      </c>
      <c r="AB1546" s="604" t="s">
        <v>450</v>
      </c>
      <c r="AC1546" s="604" t="s">
        <v>131</v>
      </c>
      <c r="AD1546" s="604" t="s">
        <v>138</v>
      </c>
      <c r="AE1546" s="604">
        <v>1</v>
      </c>
      <c r="AF1546" s="604">
        <v>294</v>
      </c>
      <c r="AG1546" s="604">
        <v>3.4</v>
      </c>
      <c r="AH1546" s="604" t="s">
        <v>437</v>
      </c>
      <c r="BY1546" s="553" t="str">
        <f t="shared" si="161"/>
        <v>2012SoutherndhbSUDI</v>
      </c>
      <c r="BZ1546" s="604">
        <v>2012</v>
      </c>
      <c r="CA1546" s="604" t="s">
        <v>103</v>
      </c>
      <c r="CB1546" s="604" t="s">
        <v>448</v>
      </c>
      <c r="CC1546" s="604">
        <v>2</v>
      </c>
      <c r="CD1546" s="604" t="s">
        <v>33</v>
      </c>
    </row>
    <row r="1547" spans="9:82">
      <c r="I1547" s="578" t="str">
        <f t="shared" si="159"/>
        <v>2008depQuin 3Peri</v>
      </c>
      <c r="J1547" s="604">
        <v>2008</v>
      </c>
      <c r="K1547" s="604" t="s">
        <v>454</v>
      </c>
      <c r="L1547" s="604" t="s">
        <v>423</v>
      </c>
      <c r="M1547" s="604">
        <v>134</v>
      </c>
      <c r="N1547" s="604">
        <v>12271</v>
      </c>
      <c r="O1547" s="604">
        <v>10.9</v>
      </c>
      <c r="P1547" s="604" t="s">
        <v>483</v>
      </c>
      <c r="Q1547" s="499"/>
      <c r="Y1547" s="535" t="str">
        <f t="shared" si="160"/>
        <v>2016agegest30-3442+infant</v>
      </c>
      <c r="Z1547" s="604">
        <v>2016</v>
      </c>
      <c r="AA1547" s="604" t="s">
        <v>453</v>
      </c>
      <c r="AB1547" s="604" t="s">
        <v>450</v>
      </c>
      <c r="AC1547" s="604" t="s">
        <v>132</v>
      </c>
      <c r="AD1547" s="604" t="s">
        <v>138</v>
      </c>
      <c r="AE1547" s="604">
        <v>0</v>
      </c>
      <c r="AF1547" s="604">
        <v>318</v>
      </c>
      <c r="AG1547" s="604">
        <v>0</v>
      </c>
      <c r="AH1547" s="604" t="s">
        <v>437</v>
      </c>
      <c r="BY1547" s="553" t="str">
        <f t="shared" si="161"/>
        <v>2012UnknowndhbSUDI</v>
      </c>
      <c r="BZ1547" s="604">
        <v>2012</v>
      </c>
      <c r="CA1547" s="604" t="s">
        <v>63</v>
      </c>
      <c r="CB1547" s="604" t="s">
        <v>448</v>
      </c>
      <c r="CC1547" s="604">
        <v>0</v>
      </c>
      <c r="CD1547" s="604" t="s">
        <v>33</v>
      </c>
    </row>
    <row r="1548" spans="9:82">
      <c r="I1548" s="578" t="str">
        <f t="shared" si="159"/>
        <v>2008depQuin 4Peri</v>
      </c>
      <c r="J1548" s="604">
        <v>2008</v>
      </c>
      <c r="K1548" s="604" t="s">
        <v>454</v>
      </c>
      <c r="L1548" s="604" t="s">
        <v>424</v>
      </c>
      <c r="M1548" s="604">
        <v>143</v>
      </c>
      <c r="N1548" s="604">
        <v>14914</v>
      </c>
      <c r="O1548" s="604">
        <v>9.6</v>
      </c>
      <c r="P1548" s="604" t="s">
        <v>483</v>
      </c>
      <c r="Q1548" s="499"/>
      <c r="Y1548" s="535" t="str">
        <f t="shared" si="160"/>
        <v>2016agegest35-3942+infant</v>
      </c>
      <c r="Z1548" s="604">
        <v>2016</v>
      </c>
      <c r="AA1548" s="604" t="s">
        <v>453</v>
      </c>
      <c r="AB1548" s="604" t="s">
        <v>450</v>
      </c>
      <c r="AC1548" s="604" t="s">
        <v>133</v>
      </c>
      <c r="AD1548" s="604" t="s">
        <v>138</v>
      </c>
      <c r="AE1548" s="604">
        <v>0</v>
      </c>
      <c r="AF1548" s="604">
        <v>162</v>
      </c>
      <c r="AG1548" s="604">
        <v>0</v>
      </c>
      <c r="AH1548" s="604" t="s">
        <v>437</v>
      </c>
      <c r="BY1548" s="553" t="str">
        <f t="shared" si="161"/>
        <v>2013NorthlanddhbSUDI</v>
      </c>
      <c r="BZ1548" s="604">
        <v>2013</v>
      </c>
      <c r="CA1548" s="604" t="s">
        <v>85</v>
      </c>
      <c r="CB1548" s="604" t="s">
        <v>448</v>
      </c>
      <c r="CC1548" s="604">
        <v>2</v>
      </c>
      <c r="CD1548" s="604" t="s">
        <v>33</v>
      </c>
    </row>
    <row r="1549" spans="9:82">
      <c r="I1549" s="578" t="str">
        <f t="shared" si="159"/>
        <v>2008depQuin 5Peri</v>
      </c>
      <c r="J1549" s="604">
        <v>2008</v>
      </c>
      <c r="K1549" s="604" t="s">
        <v>454</v>
      </c>
      <c r="L1549" s="604" t="s">
        <v>425</v>
      </c>
      <c r="M1549" s="604">
        <v>219</v>
      </c>
      <c r="N1549" s="604">
        <v>18138</v>
      </c>
      <c r="O1549" s="604">
        <v>12.1</v>
      </c>
      <c r="P1549" s="604" t="s">
        <v>483</v>
      </c>
      <c r="Q1549" s="499"/>
      <c r="Y1549" s="535" t="str">
        <f t="shared" si="160"/>
        <v>2016agegest40+42+infant</v>
      </c>
      <c r="Z1549" s="604">
        <v>2016</v>
      </c>
      <c r="AA1549" s="604" t="s">
        <v>453</v>
      </c>
      <c r="AB1549" s="604" t="s">
        <v>450</v>
      </c>
      <c r="AC1549" s="604" t="s">
        <v>134</v>
      </c>
      <c r="AD1549" s="604" t="s">
        <v>138</v>
      </c>
      <c r="AE1549" s="604">
        <v>0</v>
      </c>
      <c r="AF1549" s="604">
        <v>18</v>
      </c>
      <c r="AG1549" s="604">
        <v>0</v>
      </c>
      <c r="AH1549" s="604" t="s">
        <v>437</v>
      </c>
      <c r="BY1549" s="553" t="str">
        <f t="shared" si="161"/>
        <v>2013WaitematadhbSUDI</v>
      </c>
      <c r="BZ1549" s="604">
        <v>2013</v>
      </c>
      <c r="CA1549" s="604" t="s">
        <v>86</v>
      </c>
      <c r="CB1549" s="604" t="s">
        <v>448</v>
      </c>
      <c r="CC1549" s="604">
        <v>1</v>
      </c>
      <c r="CD1549" s="604" t="s">
        <v>33</v>
      </c>
    </row>
    <row r="1550" spans="9:82">
      <c r="I1550" s="578" t="str">
        <f t="shared" si="159"/>
        <v>2008depQuin 9Peri</v>
      </c>
      <c r="J1550" s="604">
        <v>2008</v>
      </c>
      <c r="K1550" s="604" t="s">
        <v>454</v>
      </c>
      <c r="L1550" s="604" t="s">
        <v>426</v>
      </c>
      <c r="M1550" s="604">
        <v>37</v>
      </c>
      <c r="N1550" s="604">
        <v>325</v>
      </c>
      <c r="O1550" s="604" t="s">
        <v>119</v>
      </c>
      <c r="P1550" s="604" t="s">
        <v>483</v>
      </c>
      <c r="Q1550" s="499"/>
      <c r="Y1550" s="535" t="str">
        <f t="shared" si="160"/>
        <v>2016agegest&lt;20Unknowninfant</v>
      </c>
      <c r="Z1550" s="604">
        <v>2016</v>
      </c>
      <c r="AA1550" s="604" t="s">
        <v>453</v>
      </c>
      <c r="AB1550" s="604" t="s">
        <v>450</v>
      </c>
      <c r="AC1550" s="604" t="s">
        <v>339</v>
      </c>
      <c r="AD1550" s="604" t="s">
        <v>63</v>
      </c>
      <c r="AE1550" s="604">
        <v>2</v>
      </c>
      <c r="AF1550" s="604">
        <v>2</v>
      </c>
      <c r="AG1550" s="604" t="s">
        <v>119</v>
      </c>
      <c r="AH1550" s="604" t="s">
        <v>437</v>
      </c>
      <c r="BY1550" s="553" t="str">
        <f t="shared" si="161"/>
        <v>2013AucklanddhbSUDI</v>
      </c>
      <c r="BZ1550" s="604">
        <v>2013</v>
      </c>
      <c r="CA1550" s="604" t="s">
        <v>87</v>
      </c>
      <c r="CB1550" s="604" t="s">
        <v>448</v>
      </c>
      <c r="CC1550" s="604">
        <v>1</v>
      </c>
      <c r="CD1550" s="604" t="s">
        <v>33</v>
      </c>
    </row>
    <row r="1551" spans="9:82">
      <c r="I1551" s="578" t="str">
        <f t="shared" si="159"/>
        <v>2009depQuin 1Peri</v>
      </c>
      <c r="J1551" s="604">
        <v>2009</v>
      </c>
      <c r="K1551" s="604" t="s">
        <v>454</v>
      </c>
      <c r="L1551" s="604" t="s">
        <v>421</v>
      </c>
      <c r="M1551" s="604">
        <v>72</v>
      </c>
      <c r="N1551" s="604">
        <v>9437</v>
      </c>
      <c r="O1551" s="604">
        <v>7.6</v>
      </c>
      <c r="P1551" s="604" t="s">
        <v>483</v>
      </c>
      <c r="Q1551" s="499"/>
      <c r="Y1551" s="535" t="str">
        <f t="shared" si="160"/>
        <v>2016agegest20-24Unknowninfant</v>
      </c>
      <c r="Z1551" s="604">
        <v>2016</v>
      </c>
      <c r="AA1551" s="604" t="s">
        <v>453</v>
      </c>
      <c r="AB1551" s="604" t="s">
        <v>450</v>
      </c>
      <c r="AC1551" s="604" t="s">
        <v>130</v>
      </c>
      <c r="AD1551" s="604" t="s">
        <v>63</v>
      </c>
      <c r="AE1551" s="604">
        <v>5</v>
      </c>
      <c r="AF1551" s="604">
        <v>6</v>
      </c>
      <c r="AG1551" s="604" t="s">
        <v>119</v>
      </c>
      <c r="AH1551" s="604" t="s">
        <v>437</v>
      </c>
      <c r="BY1551" s="553" t="str">
        <f t="shared" si="161"/>
        <v>2013Counties ManukaudhbSUDI</v>
      </c>
      <c r="BZ1551" s="604">
        <v>2013</v>
      </c>
      <c r="CA1551" s="604" t="s">
        <v>88</v>
      </c>
      <c r="CB1551" s="604" t="s">
        <v>448</v>
      </c>
      <c r="CC1551" s="604">
        <v>11</v>
      </c>
      <c r="CD1551" s="604" t="s">
        <v>33</v>
      </c>
    </row>
    <row r="1552" spans="9:82">
      <c r="I1552" s="578" t="str">
        <f t="shared" si="159"/>
        <v>2009depQuin 2Peri</v>
      </c>
      <c r="J1552" s="604">
        <v>2009</v>
      </c>
      <c r="K1552" s="604" t="s">
        <v>454</v>
      </c>
      <c r="L1552" s="604" t="s">
        <v>422</v>
      </c>
      <c r="M1552" s="604">
        <v>79</v>
      </c>
      <c r="N1552" s="604">
        <v>10112</v>
      </c>
      <c r="O1552" s="604">
        <v>7.8</v>
      </c>
      <c r="P1552" s="604" t="s">
        <v>483</v>
      </c>
      <c r="Q1552" s="499"/>
      <c r="Y1552" s="535" t="str">
        <f t="shared" si="160"/>
        <v>2016agegest25-29Unknowninfant</v>
      </c>
      <c r="Z1552" s="604">
        <v>2016</v>
      </c>
      <c r="AA1552" s="604" t="s">
        <v>453</v>
      </c>
      <c r="AB1552" s="604" t="s">
        <v>450</v>
      </c>
      <c r="AC1552" s="604" t="s">
        <v>131</v>
      </c>
      <c r="AD1552" s="604" t="s">
        <v>63</v>
      </c>
      <c r="AE1552" s="604">
        <v>1</v>
      </c>
      <c r="AF1552" s="604">
        <v>7</v>
      </c>
      <c r="AG1552" s="604" t="s">
        <v>119</v>
      </c>
      <c r="AH1552" s="604" t="s">
        <v>437</v>
      </c>
      <c r="BY1552" s="553" t="str">
        <f t="shared" si="161"/>
        <v>2013WaikatodhbSUDI</v>
      </c>
      <c r="BZ1552" s="604">
        <v>2013</v>
      </c>
      <c r="CA1552" s="604" t="s">
        <v>89</v>
      </c>
      <c r="CB1552" s="604" t="s">
        <v>448</v>
      </c>
      <c r="CC1552" s="604">
        <v>4</v>
      </c>
      <c r="CD1552" s="604" t="s">
        <v>33</v>
      </c>
    </row>
    <row r="1553" spans="9:82">
      <c r="I1553" s="578" t="str">
        <f t="shared" si="159"/>
        <v>2009depQuin 3Peri</v>
      </c>
      <c r="J1553" s="604">
        <v>2009</v>
      </c>
      <c r="K1553" s="604" t="s">
        <v>454</v>
      </c>
      <c r="L1553" s="604" t="s">
        <v>423</v>
      </c>
      <c r="M1553" s="604">
        <v>119</v>
      </c>
      <c r="N1553" s="604">
        <v>11930</v>
      </c>
      <c r="O1553" s="604">
        <v>10</v>
      </c>
      <c r="P1553" s="604" t="s">
        <v>483</v>
      </c>
      <c r="Q1553" s="499"/>
      <c r="Y1553" s="535" t="str">
        <f t="shared" si="160"/>
        <v>2016agegest30-34Unknowninfant</v>
      </c>
      <c r="Z1553" s="604">
        <v>2016</v>
      </c>
      <c r="AA1553" s="604" t="s">
        <v>453</v>
      </c>
      <c r="AB1553" s="604" t="s">
        <v>450</v>
      </c>
      <c r="AC1553" s="604" t="s">
        <v>132</v>
      </c>
      <c r="AD1553" s="604" t="s">
        <v>63</v>
      </c>
      <c r="AE1553" s="604">
        <v>3</v>
      </c>
      <c r="AF1553" s="604">
        <v>8</v>
      </c>
      <c r="AG1553" s="604" t="s">
        <v>119</v>
      </c>
      <c r="AH1553" s="604" t="s">
        <v>437</v>
      </c>
      <c r="BY1553" s="553" t="str">
        <f t="shared" si="161"/>
        <v>2013LakesdhbSUDI</v>
      </c>
      <c r="BZ1553" s="604">
        <v>2013</v>
      </c>
      <c r="CA1553" s="604" t="s">
        <v>90</v>
      </c>
      <c r="CB1553" s="604" t="s">
        <v>448</v>
      </c>
      <c r="CC1553" s="604">
        <v>1</v>
      </c>
      <c r="CD1553" s="604" t="s">
        <v>33</v>
      </c>
    </row>
    <row r="1554" spans="9:82">
      <c r="I1554" s="578" t="str">
        <f t="shared" si="159"/>
        <v>2009depQuin 4Peri</v>
      </c>
      <c r="J1554" s="604">
        <v>2009</v>
      </c>
      <c r="K1554" s="604" t="s">
        <v>454</v>
      </c>
      <c r="L1554" s="604" t="s">
        <v>424</v>
      </c>
      <c r="M1554" s="604">
        <v>151</v>
      </c>
      <c r="N1554" s="604">
        <v>14710</v>
      </c>
      <c r="O1554" s="604">
        <v>10.3</v>
      </c>
      <c r="P1554" s="604" t="s">
        <v>483</v>
      </c>
      <c r="Q1554" s="499"/>
      <c r="Y1554" s="535" t="str">
        <f t="shared" si="160"/>
        <v>2016agegest35-39Unknowninfant</v>
      </c>
      <c r="Z1554" s="604">
        <v>2016</v>
      </c>
      <c r="AA1554" s="604" t="s">
        <v>453</v>
      </c>
      <c r="AB1554" s="604" t="s">
        <v>450</v>
      </c>
      <c r="AC1554" s="604" t="s">
        <v>133</v>
      </c>
      <c r="AD1554" s="604" t="s">
        <v>63</v>
      </c>
      <c r="AE1554" s="604">
        <v>0</v>
      </c>
      <c r="AF1554" s="604">
        <v>3</v>
      </c>
      <c r="AG1554" s="604" t="s">
        <v>119</v>
      </c>
      <c r="AH1554" s="604" t="s">
        <v>437</v>
      </c>
      <c r="BY1554" s="553" t="str">
        <f t="shared" si="161"/>
        <v>2013Bay of PlentydhbSUDI</v>
      </c>
      <c r="BZ1554" s="604">
        <v>2013</v>
      </c>
      <c r="CA1554" s="604" t="s">
        <v>91</v>
      </c>
      <c r="CB1554" s="604" t="s">
        <v>448</v>
      </c>
      <c r="CC1554" s="604">
        <v>2</v>
      </c>
      <c r="CD1554" s="604" t="s">
        <v>33</v>
      </c>
    </row>
    <row r="1555" spans="9:82">
      <c r="I1555" s="578" t="str">
        <f t="shared" si="159"/>
        <v>2009depQuin 5Peri</v>
      </c>
      <c r="J1555" s="604">
        <v>2009</v>
      </c>
      <c r="K1555" s="604" t="s">
        <v>454</v>
      </c>
      <c r="L1555" s="604" t="s">
        <v>425</v>
      </c>
      <c r="M1555" s="604">
        <v>206</v>
      </c>
      <c r="N1555" s="604">
        <v>17297</v>
      </c>
      <c r="O1555" s="604">
        <v>11.9</v>
      </c>
      <c r="P1555" s="604" t="s">
        <v>483</v>
      </c>
      <c r="Q1555" s="499"/>
      <c r="Y1555" s="535" t="str">
        <f t="shared" si="160"/>
        <v>2016agegest40+Unknowninfant</v>
      </c>
      <c r="Z1555" s="604">
        <v>2016</v>
      </c>
      <c r="AA1555" s="604" t="s">
        <v>453</v>
      </c>
      <c r="AB1555" s="604" t="s">
        <v>450</v>
      </c>
      <c r="AC1555" s="604" t="s">
        <v>134</v>
      </c>
      <c r="AD1555" s="604" t="s">
        <v>63</v>
      </c>
      <c r="AE1555" s="604">
        <v>1</v>
      </c>
      <c r="AF1555" s="604">
        <v>3</v>
      </c>
      <c r="AG1555" s="604" t="s">
        <v>119</v>
      </c>
      <c r="AH1555" s="604" t="s">
        <v>437</v>
      </c>
      <c r="BY1555" s="553" t="str">
        <f t="shared" si="161"/>
        <v>2013TairawhitidhbSUDI</v>
      </c>
      <c r="BZ1555" s="604">
        <v>2013</v>
      </c>
      <c r="CA1555" s="604" t="s">
        <v>433</v>
      </c>
      <c r="CB1555" s="604" t="s">
        <v>448</v>
      </c>
      <c r="CC1555" s="604">
        <v>0</v>
      </c>
      <c r="CD1555" s="604" t="s">
        <v>33</v>
      </c>
    </row>
    <row r="1556" spans="9:82">
      <c r="I1556" s="578" t="str">
        <f t="shared" si="159"/>
        <v>2009depQuin 9Peri</v>
      </c>
      <c r="J1556" s="604">
        <v>2009</v>
      </c>
      <c r="K1556" s="604" t="s">
        <v>454</v>
      </c>
      <c r="L1556" s="604" t="s">
        <v>426</v>
      </c>
      <c r="M1556" s="604">
        <v>7</v>
      </c>
      <c r="N1556" s="604">
        <v>281</v>
      </c>
      <c r="O1556" s="604" t="s">
        <v>119</v>
      </c>
      <c r="P1556" s="604" t="s">
        <v>483</v>
      </c>
      <c r="Q1556" s="499"/>
      <c r="Y1556" s="535" t="str">
        <f t="shared" si="160"/>
        <v>2016depgestQuin 1&lt;28infant</v>
      </c>
      <c r="Z1556" s="604">
        <v>2016</v>
      </c>
      <c r="AA1556" s="604" t="s">
        <v>454</v>
      </c>
      <c r="AB1556" s="604" t="s">
        <v>450</v>
      </c>
      <c r="AC1556" s="604" t="s">
        <v>421</v>
      </c>
      <c r="AD1556" s="604" t="s">
        <v>375</v>
      </c>
      <c r="AE1556" s="604">
        <v>9</v>
      </c>
      <c r="AF1556" s="604">
        <v>36</v>
      </c>
      <c r="AG1556" s="604">
        <v>250</v>
      </c>
      <c r="AH1556" s="604" t="s">
        <v>437</v>
      </c>
      <c r="BY1556" s="553" t="str">
        <f t="shared" si="161"/>
        <v>2013Hawke's BaydhbSUDI</v>
      </c>
      <c r="BZ1556" s="604">
        <v>2013</v>
      </c>
      <c r="CA1556" s="604" t="s">
        <v>92</v>
      </c>
      <c r="CB1556" s="604" t="s">
        <v>448</v>
      </c>
      <c r="CC1556" s="604">
        <v>1</v>
      </c>
      <c r="CD1556" s="604" t="s">
        <v>33</v>
      </c>
    </row>
    <row r="1557" spans="9:82">
      <c r="I1557" s="578" t="str">
        <f t="shared" si="159"/>
        <v>2010depQuin 1Peri</v>
      </c>
      <c r="J1557" s="604">
        <v>2010</v>
      </c>
      <c r="K1557" s="604" t="s">
        <v>454</v>
      </c>
      <c r="L1557" s="604" t="s">
        <v>421</v>
      </c>
      <c r="M1557" s="604">
        <v>72</v>
      </c>
      <c r="N1557" s="604">
        <v>8738</v>
      </c>
      <c r="O1557" s="604">
        <v>8.1999999999999993</v>
      </c>
      <c r="P1557" s="604" t="s">
        <v>483</v>
      </c>
      <c r="Q1557" s="499"/>
      <c r="Y1557" s="535" t="str">
        <f t="shared" si="160"/>
        <v>2016depgestQuin 2&lt;28infant</v>
      </c>
      <c r="Z1557" s="604">
        <v>2016</v>
      </c>
      <c r="AA1557" s="604" t="s">
        <v>454</v>
      </c>
      <c r="AB1557" s="604" t="s">
        <v>450</v>
      </c>
      <c r="AC1557" s="604" t="s">
        <v>422</v>
      </c>
      <c r="AD1557" s="604" t="s">
        <v>375</v>
      </c>
      <c r="AE1557" s="604">
        <v>9</v>
      </c>
      <c r="AF1557" s="604">
        <v>30</v>
      </c>
      <c r="AG1557" s="604">
        <v>300</v>
      </c>
      <c r="AH1557" s="604" t="s">
        <v>437</v>
      </c>
      <c r="BY1557" s="553" t="str">
        <f t="shared" si="161"/>
        <v>2013TaranakidhbSUDI</v>
      </c>
      <c r="BZ1557" s="604">
        <v>2013</v>
      </c>
      <c r="CA1557" s="604" t="s">
        <v>93</v>
      </c>
      <c r="CB1557" s="604" t="s">
        <v>448</v>
      </c>
      <c r="CC1557" s="604">
        <v>1</v>
      </c>
      <c r="CD1557" s="604" t="s">
        <v>33</v>
      </c>
    </row>
    <row r="1558" spans="9:82">
      <c r="I1558" s="578" t="str">
        <f t="shared" si="159"/>
        <v>2010depQuin 2Peri</v>
      </c>
      <c r="J1558" s="604">
        <v>2010</v>
      </c>
      <c r="K1558" s="604" t="s">
        <v>454</v>
      </c>
      <c r="L1558" s="604" t="s">
        <v>422</v>
      </c>
      <c r="M1558" s="604">
        <v>84</v>
      </c>
      <c r="N1558" s="604">
        <v>9601</v>
      </c>
      <c r="O1558" s="604">
        <v>8.6999999999999993</v>
      </c>
      <c r="P1558" s="604" t="s">
        <v>483</v>
      </c>
      <c r="Q1558" s="499"/>
      <c r="Y1558" s="535" t="str">
        <f t="shared" si="160"/>
        <v>2016depgestQuin 3&lt;28infant</v>
      </c>
      <c r="Z1558" s="604">
        <v>2016</v>
      </c>
      <c r="AA1558" s="604" t="s">
        <v>454</v>
      </c>
      <c r="AB1558" s="604" t="s">
        <v>450</v>
      </c>
      <c r="AC1558" s="604" t="s">
        <v>423</v>
      </c>
      <c r="AD1558" s="604" t="s">
        <v>375</v>
      </c>
      <c r="AE1558" s="604">
        <v>17</v>
      </c>
      <c r="AF1558" s="604">
        <v>44</v>
      </c>
      <c r="AG1558" s="604">
        <v>386.4</v>
      </c>
      <c r="AH1558" s="604" t="s">
        <v>437</v>
      </c>
      <c r="BY1558" s="553" t="str">
        <f t="shared" si="161"/>
        <v>2013MidCentraldhbSUDI</v>
      </c>
      <c r="BZ1558" s="604">
        <v>2013</v>
      </c>
      <c r="CA1558" s="604" t="s">
        <v>94</v>
      </c>
      <c r="CB1558" s="604" t="s">
        <v>448</v>
      </c>
      <c r="CC1558" s="604">
        <v>0</v>
      </c>
      <c r="CD1558" s="604" t="s">
        <v>33</v>
      </c>
    </row>
    <row r="1559" spans="9:82">
      <c r="I1559" s="578" t="str">
        <f t="shared" si="159"/>
        <v>2010depQuin 3Peri</v>
      </c>
      <c r="J1559" s="604">
        <v>2010</v>
      </c>
      <c r="K1559" s="604" t="s">
        <v>454</v>
      </c>
      <c r="L1559" s="604" t="s">
        <v>423</v>
      </c>
      <c r="M1559" s="604">
        <v>100</v>
      </c>
      <c r="N1559" s="604">
        <v>11461</v>
      </c>
      <c r="O1559" s="604">
        <v>8.6999999999999993</v>
      </c>
      <c r="P1559" s="604" t="s">
        <v>483</v>
      </c>
      <c r="Q1559" s="499"/>
      <c r="Y1559" s="535" t="str">
        <f t="shared" si="160"/>
        <v>2016depgestQuin 4&lt;28infant</v>
      </c>
      <c r="Z1559" s="604">
        <v>2016</v>
      </c>
      <c r="AA1559" s="604" t="s">
        <v>454</v>
      </c>
      <c r="AB1559" s="604" t="s">
        <v>450</v>
      </c>
      <c r="AC1559" s="604" t="s">
        <v>424</v>
      </c>
      <c r="AD1559" s="604" t="s">
        <v>375</v>
      </c>
      <c r="AE1559" s="604">
        <v>22</v>
      </c>
      <c r="AF1559" s="604">
        <v>65</v>
      </c>
      <c r="AG1559" s="604">
        <v>338.5</v>
      </c>
      <c r="AH1559" s="604" t="s">
        <v>437</v>
      </c>
      <c r="BY1559" s="553" t="str">
        <f t="shared" si="161"/>
        <v>2013WhanganuidhbSUDI</v>
      </c>
      <c r="BZ1559" s="604">
        <v>2013</v>
      </c>
      <c r="CA1559" s="604" t="s">
        <v>95</v>
      </c>
      <c r="CB1559" s="604" t="s">
        <v>448</v>
      </c>
      <c r="CC1559" s="604">
        <v>2</v>
      </c>
      <c r="CD1559" s="604" t="s">
        <v>33</v>
      </c>
    </row>
    <row r="1560" spans="9:82">
      <c r="I1560" s="578" t="str">
        <f t="shared" si="159"/>
        <v>2010depQuin 4Peri</v>
      </c>
      <c r="J1560" s="604">
        <v>2010</v>
      </c>
      <c r="K1560" s="604" t="s">
        <v>454</v>
      </c>
      <c r="L1560" s="604" t="s">
        <v>424</v>
      </c>
      <c r="M1560" s="604">
        <v>135</v>
      </c>
      <c r="N1560" s="604">
        <v>13884</v>
      </c>
      <c r="O1560" s="604">
        <v>9.6999999999999993</v>
      </c>
      <c r="P1560" s="604" t="s">
        <v>483</v>
      </c>
      <c r="Q1560" s="499"/>
      <c r="Y1560" s="535" t="str">
        <f t="shared" si="160"/>
        <v>2016depgestQuin 5&lt;28infant</v>
      </c>
      <c r="Z1560" s="604">
        <v>2016</v>
      </c>
      <c r="AA1560" s="604" t="s">
        <v>454</v>
      </c>
      <c r="AB1560" s="604" t="s">
        <v>450</v>
      </c>
      <c r="AC1560" s="604" t="s">
        <v>425</v>
      </c>
      <c r="AD1560" s="604" t="s">
        <v>375</v>
      </c>
      <c r="AE1560" s="604">
        <v>38</v>
      </c>
      <c r="AF1560" s="604">
        <v>84</v>
      </c>
      <c r="AG1560" s="604">
        <v>452.4</v>
      </c>
      <c r="AH1560" s="604" t="s">
        <v>437</v>
      </c>
      <c r="BY1560" s="553" t="str">
        <f t="shared" si="161"/>
        <v>2013Capital &amp; CoastdhbSUDI</v>
      </c>
      <c r="BZ1560" s="604">
        <v>2013</v>
      </c>
      <c r="CA1560" s="604" t="s">
        <v>96</v>
      </c>
      <c r="CB1560" s="604" t="s">
        <v>448</v>
      </c>
      <c r="CC1560" s="604">
        <v>3</v>
      </c>
      <c r="CD1560" s="604" t="s">
        <v>33</v>
      </c>
    </row>
    <row r="1561" spans="9:82">
      <c r="I1561" s="578" t="str">
        <f t="shared" si="159"/>
        <v>2010depQuin 5Peri</v>
      </c>
      <c r="J1561" s="604">
        <v>2010</v>
      </c>
      <c r="K1561" s="604" t="s">
        <v>454</v>
      </c>
      <c r="L1561" s="604" t="s">
        <v>425</v>
      </c>
      <c r="M1561" s="604">
        <v>237</v>
      </c>
      <c r="N1561" s="604">
        <v>18632</v>
      </c>
      <c r="O1561" s="604">
        <v>12.7</v>
      </c>
      <c r="P1561" s="604" t="s">
        <v>483</v>
      </c>
      <c r="Q1561" s="499"/>
      <c r="Y1561" s="535" t="str">
        <f t="shared" si="160"/>
        <v>2016depgestQuin 9&lt;28infant</v>
      </c>
      <c r="Z1561" s="604">
        <v>2016</v>
      </c>
      <c r="AA1561" s="604" t="s">
        <v>454</v>
      </c>
      <c r="AB1561" s="604" t="s">
        <v>450</v>
      </c>
      <c r="AC1561" s="604" t="s">
        <v>426</v>
      </c>
      <c r="AD1561" s="604" t="s">
        <v>375</v>
      </c>
      <c r="AE1561" s="604">
        <v>1</v>
      </c>
      <c r="AF1561" s="604">
        <v>1</v>
      </c>
      <c r="AG1561" s="604" t="s">
        <v>119</v>
      </c>
      <c r="AH1561" s="604" t="s">
        <v>437</v>
      </c>
      <c r="BY1561" s="553" t="str">
        <f t="shared" si="161"/>
        <v>2013Hutt ValleydhbSUDI</v>
      </c>
      <c r="BZ1561" s="604">
        <v>2013</v>
      </c>
      <c r="CA1561" s="604" t="s">
        <v>97</v>
      </c>
      <c r="CB1561" s="604" t="s">
        <v>448</v>
      </c>
      <c r="CC1561" s="604">
        <v>4</v>
      </c>
      <c r="CD1561" s="604" t="s">
        <v>33</v>
      </c>
    </row>
    <row r="1562" spans="9:82">
      <c r="I1562" s="578" t="str">
        <f t="shared" si="159"/>
        <v>2010depQuin 9Peri</v>
      </c>
      <c r="J1562" s="604">
        <v>2010</v>
      </c>
      <c r="K1562" s="604" t="s">
        <v>454</v>
      </c>
      <c r="L1562" s="604" t="s">
        <v>426</v>
      </c>
      <c r="M1562" s="604">
        <v>33</v>
      </c>
      <c r="N1562" s="604">
        <v>2852</v>
      </c>
      <c r="O1562" s="604" t="s">
        <v>119</v>
      </c>
      <c r="P1562" s="604" t="s">
        <v>483</v>
      </c>
      <c r="Q1562" s="499"/>
      <c r="Y1562" s="535" t="str">
        <f t="shared" si="160"/>
        <v>2016depgestQuin 128-31infant</v>
      </c>
      <c r="Z1562" s="604">
        <v>2016</v>
      </c>
      <c r="AA1562" s="604" t="s">
        <v>454</v>
      </c>
      <c r="AB1562" s="604" t="s">
        <v>450</v>
      </c>
      <c r="AC1562" s="604" t="s">
        <v>421</v>
      </c>
      <c r="AD1562" s="604" t="s">
        <v>395</v>
      </c>
      <c r="AE1562" s="604">
        <v>2</v>
      </c>
      <c r="AF1562" s="604">
        <v>60</v>
      </c>
      <c r="AG1562" s="604">
        <v>33.299999999999997</v>
      </c>
      <c r="AH1562" s="604" t="s">
        <v>437</v>
      </c>
      <c r="BY1562" s="553" t="str">
        <f t="shared" si="161"/>
        <v>2013WairarapadhbSUDI</v>
      </c>
      <c r="BZ1562" s="604">
        <v>2013</v>
      </c>
      <c r="CA1562" s="604" t="s">
        <v>98</v>
      </c>
      <c r="CB1562" s="604" t="s">
        <v>448</v>
      </c>
      <c r="CC1562" s="604">
        <v>1</v>
      </c>
      <c r="CD1562" s="604" t="s">
        <v>33</v>
      </c>
    </row>
    <row r="1563" spans="9:82">
      <c r="I1563" s="578" t="str">
        <f t="shared" si="159"/>
        <v>2011depQuin 1Peri</v>
      </c>
      <c r="J1563" s="604">
        <v>2011</v>
      </c>
      <c r="K1563" s="604" t="s">
        <v>454</v>
      </c>
      <c r="L1563" s="604" t="s">
        <v>421</v>
      </c>
      <c r="M1563" s="604">
        <v>78</v>
      </c>
      <c r="N1563" s="604">
        <v>8455</v>
      </c>
      <c r="O1563" s="604">
        <v>9.1999999999999993</v>
      </c>
      <c r="P1563" s="604" t="s">
        <v>483</v>
      </c>
      <c r="Q1563" s="499"/>
      <c r="Y1563" s="535" t="str">
        <f t="shared" si="160"/>
        <v>2016depgestQuin 228-31infant</v>
      </c>
      <c r="Z1563" s="604">
        <v>2016</v>
      </c>
      <c r="AA1563" s="604" t="s">
        <v>454</v>
      </c>
      <c r="AB1563" s="604" t="s">
        <v>450</v>
      </c>
      <c r="AC1563" s="604" t="s">
        <v>422</v>
      </c>
      <c r="AD1563" s="604" t="s">
        <v>395</v>
      </c>
      <c r="AE1563" s="604">
        <v>0</v>
      </c>
      <c r="AF1563" s="604">
        <v>65</v>
      </c>
      <c r="AG1563" s="604">
        <v>0</v>
      </c>
      <c r="AH1563" s="604" t="s">
        <v>437</v>
      </c>
      <c r="BY1563" s="553" t="str">
        <f t="shared" si="161"/>
        <v>2013Nelson MarlboroughdhbSUDI</v>
      </c>
      <c r="BZ1563" s="604">
        <v>2013</v>
      </c>
      <c r="CA1563" s="604" t="s">
        <v>99</v>
      </c>
      <c r="CB1563" s="604" t="s">
        <v>448</v>
      </c>
      <c r="CC1563" s="604">
        <v>0</v>
      </c>
      <c r="CD1563" s="604" t="s">
        <v>33</v>
      </c>
    </row>
    <row r="1564" spans="9:82">
      <c r="I1564" s="578" t="str">
        <f t="shared" si="159"/>
        <v>2011depQuin 2Peri</v>
      </c>
      <c r="J1564" s="604">
        <v>2011</v>
      </c>
      <c r="K1564" s="604" t="s">
        <v>454</v>
      </c>
      <c r="L1564" s="604" t="s">
        <v>422</v>
      </c>
      <c r="M1564" s="604">
        <v>84</v>
      </c>
      <c r="N1564" s="604">
        <v>9400</v>
      </c>
      <c r="O1564" s="604">
        <v>8.9</v>
      </c>
      <c r="P1564" s="604" t="s">
        <v>483</v>
      </c>
      <c r="Q1564" s="499"/>
      <c r="Y1564" s="535" t="str">
        <f t="shared" si="160"/>
        <v>2016depgestQuin 328-31infant</v>
      </c>
      <c r="Z1564" s="604">
        <v>2016</v>
      </c>
      <c r="AA1564" s="604" t="s">
        <v>454</v>
      </c>
      <c r="AB1564" s="604" t="s">
        <v>450</v>
      </c>
      <c r="AC1564" s="604" t="s">
        <v>423</v>
      </c>
      <c r="AD1564" s="604" t="s">
        <v>395</v>
      </c>
      <c r="AE1564" s="604">
        <v>3</v>
      </c>
      <c r="AF1564" s="604">
        <v>75</v>
      </c>
      <c r="AG1564" s="604">
        <v>40</v>
      </c>
      <c r="AH1564" s="604" t="s">
        <v>437</v>
      </c>
      <c r="BY1564" s="553" t="str">
        <f t="shared" si="161"/>
        <v>2013West CoastdhbSUDI</v>
      </c>
      <c r="BZ1564" s="604">
        <v>2013</v>
      </c>
      <c r="CA1564" s="604" t="s">
        <v>100</v>
      </c>
      <c r="CB1564" s="604" t="s">
        <v>448</v>
      </c>
      <c r="CC1564" s="604">
        <v>0</v>
      </c>
      <c r="CD1564" s="604" t="s">
        <v>33</v>
      </c>
    </row>
    <row r="1565" spans="9:82">
      <c r="I1565" s="578" t="str">
        <f t="shared" si="159"/>
        <v>2011depQuin 3Peri</v>
      </c>
      <c r="J1565" s="604">
        <v>2011</v>
      </c>
      <c r="K1565" s="604" t="s">
        <v>454</v>
      </c>
      <c r="L1565" s="604" t="s">
        <v>423</v>
      </c>
      <c r="M1565" s="604">
        <v>107</v>
      </c>
      <c r="N1565" s="604">
        <v>10879</v>
      </c>
      <c r="O1565" s="604">
        <v>9.8000000000000007</v>
      </c>
      <c r="P1565" s="604" t="s">
        <v>483</v>
      </c>
      <c r="Q1565" s="499"/>
      <c r="Y1565" s="535" t="str">
        <f t="shared" si="160"/>
        <v>2016depgestQuin 428-31infant</v>
      </c>
      <c r="Z1565" s="604">
        <v>2016</v>
      </c>
      <c r="AA1565" s="604" t="s">
        <v>454</v>
      </c>
      <c r="AB1565" s="604" t="s">
        <v>450</v>
      </c>
      <c r="AC1565" s="604" t="s">
        <v>424</v>
      </c>
      <c r="AD1565" s="604" t="s">
        <v>395</v>
      </c>
      <c r="AE1565" s="604">
        <v>3</v>
      </c>
      <c r="AF1565" s="604">
        <v>96</v>
      </c>
      <c r="AG1565" s="604">
        <v>31.2</v>
      </c>
      <c r="AH1565" s="604" t="s">
        <v>437</v>
      </c>
      <c r="BY1565" s="553" t="str">
        <f t="shared" si="161"/>
        <v>2013CanterburydhbSUDI</v>
      </c>
      <c r="BZ1565" s="604">
        <v>2013</v>
      </c>
      <c r="CA1565" s="604" t="s">
        <v>101</v>
      </c>
      <c r="CB1565" s="604" t="s">
        <v>448</v>
      </c>
      <c r="CC1565" s="604">
        <v>6</v>
      </c>
      <c r="CD1565" s="604" t="s">
        <v>33</v>
      </c>
    </row>
    <row r="1566" spans="9:82">
      <c r="I1566" s="578" t="str">
        <f t="shared" si="159"/>
        <v>2011depQuin 4Peri</v>
      </c>
      <c r="J1566" s="604">
        <v>2011</v>
      </c>
      <c r="K1566" s="604" t="s">
        <v>454</v>
      </c>
      <c r="L1566" s="604" t="s">
        <v>424</v>
      </c>
      <c r="M1566" s="604">
        <v>129</v>
      </c>
      <c r="N1566" s="604">
        <v>13374</v>
      </c>
      <c r="O1566" s="604">
        <v>9.6</v>
      </c>
      <c r="P1566" s="604" t="s">
        <v>483</v>
      </c>
      <c r="Q1566" s="499"/>
      <c r="Y1566" s="535" t="str">
        <f t="shared" si="160"/>
        <v>2016depgestQuin 528-31infant</v>
      </c>
      <c r="Z1566" s="604">
        <v>2016</v>
      </c>
      <c r="AA1566" s="604" t="s">
        <v>454</v>
      </c>
      <c r="AB1566" s="604" t="s">
        <v>450</v>
      </c>
      <c r="AC1566" s="604" t="s">
        <v>425</v>
      </c>
      <c r="AD1566" s="604" t="s">
        <v>395</v>
      </c>
      <c r="AE1566" s="604">
        <v>6</v>
      </c>
      <c r="AF1566" s="604">
        <v>121</v>
      </c>
      <c r="AG1566" s="604">
        <v>49.6</v>
      </c>
      <c r="AH1566" s="604" t="s">
        <v>437</v>
      </c>
      <c r="BY1566" s="553" t="str">
        <f t="shared" si="161"/>
        <v>2013South CanterburydhbSUDI</v>
      </c>
      <c r="BZ1566" s="604">
        <v>2013</v>
      </c>
      <c r="CA1566" s="604" t="s">
        <v>102</v>
      </c>
      <c r="CB1566" s="604" t="s">
        <v>448</v>
      </c>
      <c r="CC1566" s="604">
        <v>0</v>
      </c>
      <c r="CD1566" s="604" t="s">
        <v>33</v>
      </c>
    </row>
    <row r="1567" spans="9:82">
      <c r="I1567" s="578" t="str">
        <f t="shared" si="159"/>
        <v>2011depQuin 5Peri</v>
      </c>
      <c r="J1567" s="604">
        <v>2011</v>
      </c>
      <c r="K1567" s="604" t="s">
        <v>454</v>
      </c>
      <c r="L1567" s="604" t="s">
        <v>425</v>
      </c>
      <c r="M1567" s="604">
        <v>196</v>
      </c>
      <c r="N1567" s="604">
        <v>17829</v>
      </c>
      <c r="O1567" s="604">
        <v>11</v>
      </c>
      <c r="P1567" s="604" t="s">
        <v>483</v>
      </c>
      <c r="Q1567" s="499"/>
      <c r="Y1567" s="535" t="str">
        <f t="shared" si="160"/>
        <v>2016depgestQuin 132-36infant</v>
      </c>
      <c r="Z1567" s="604">
        <v>2016</v>
      </c>
      <c r="AA1567" s="604" t="s">
        <v>454</v>
      </c>
      <c r="AB1567" s="604" t="s">
        <v>450</v>
      </c>
      <c r="AC1567" s="604" t="s">
        <v>421</v>
      </c>
      <c r="AD1567" s="604" t="s">
        <v>136</v>
      </c>
      <c r="AE1567" s="604">
        <v>1</v>
      </c>
      <c r="AF1567" s="604">
        <v>574</v>
      </c>
      <c r="AG1567" s="604">
        <v>1.7</v>
      </c>
      <c r="AH1567" s="604" t="s">
        <v>437</v>
      </c>
      <c r="BY1567" s="553" t="str">
        <f t="shared" si="161"/>
        <v>2013SoutherndhbSUDI</v>
      </c>
      <c r="BZ1567" s="604">
        <v>2013</v>
      </c>
      <c r="CA1567" s="604" t="s">
        <v>103</v>
      </c>
      <c r="CB1567" s="604" t="s">
        <v>448</v>
      </c>
      <c r="CC1567" s="604">
        <v>1</v>
      </c>
      <c r="CD1567" s="604" t="s">
        <v>33</v>
      </c>
    </row>
    <row r="1568" spans="9:82">
      <c r="I1568" s="578" t="str">
        <f t="shared" si="159"/>
        <v>2011depQuin 9Peri</v>
      </c>
      <c r="J1568" s="604">
        <v>2011</v>
      </c>
      <c r="K1568" s="604" t="s">
        <v>454</v>
      </c>
      <c r="L1568" s="604" t="s">
        <v>426</v>
      </c>
      <c r="M1568" s="604">
        <v>28</v>
      </c>
      <c r="N1568" s="604">
        <v>2688</v>
      </c>
      <c r="O1568" s="604" t="s">
        <v>119</v>
      </c>
      <c r="P1568" s="604" t="s">
        <v>483</v>
      </c>
      <c r="Q1568" s="499"/>
      <c r="Y1568" s="535" t="str">
        <f t="shared" si="160"/>
        <v>2016depgestQuin 232-36infant</v>
      </c>
      <c r="Z1568" s="604">
        <v>2016</v>
      </c>
      <c r="AA1568" s="604" t="s">
        <v>454</v>
      </c>
      <c r="AB1568" s="604" t="s">
        <v>450</v>
      </c>
      <c r="AC1568" s="604" t="s">
        <v>422</v>
      </c>
      <c r="AD1568" s="604" t="s">
        <v>136</v>
      </c>
      <c r="AE1568" s="604">
        <v>2</v>
      </c>
      <c r="AF1568" s="604">
        <v>580</v>
      </c>
      <c r="AG1568" s="604">
        <v>3.4</v>
      </c>
      <c r="AH1568" s="604" t="s">
        <v>437</v>
      </c>
      <c r="BY1568" s="553" t="str">
        <f t="shared" si="161"/>
        <v>2013UnknowndhbSUDI</v>
      </c>
      <c r="BZ1568" s="604">
        <v>2013</v>
      </c>
      <c r="CA1568" s="604" t="s">
        <v>63</v>
      </c>
      <c r="CB1568" s="604" t="s">
        <v>448</v>
      </c>
      <c r="CC1568" s="604">
        <v>0</v>
      </c>
      <c r="CD1568" s="604" t="s">
        <v>33</v>
      </c>
    </row>
    <row r="1569" spans="9:82">
      <c r="I1569" s="578" t="str">
        <f t="shared" si="159"/>
        <v>2012depQuin 1Peri</v>
      </c>
      <c r="J1569" s="604">
        <v>2012</v>
      </c>
      <c r="K1569" s="604" t="s">
        <v>454</v>
      </c>
      <c r="L1569" s="604" t="s">
        <v>421</v>
      </c>
      <c r="M1569" s="604">
        <v>65</v>
      </c>
      <c r="N1569" s="604">
        <v>8351</v>
      </c>
      <c r="O1569" s="604">
        <v>7.8</v>
      </c>
      <c r="P1569" s="604" t="s">
        <v>483</v>
      </c>
      <c r="Q1569" s="499"/>
      <c r="Y1569" s="535" t="str">
        <f t="shared" si="160"/>
        <v>2016depgestQuin 332-36infant</v>
      </c>
      <c r="Z1569" s="604">
        <v>2016</v>
      </c>
      <c r="AA1569" s="604" t="s">
        <v>454</v>
      </c>
      <c r="AB1569" s="604" t="s">
        <v>450</v>
      </c>
      <c r="AC1569" s="604" t="s">
        <v>423</v>
      </c>
      <c r="AD1569" s="604" t="s">
        <v>136</v>
      </c>
      <c r="AE1569" s="604">
        <v>1</v>
      </c>
      <c r="AF1569" s="604">
        <v>676</v>
      </c>
      <c r="AG1569" s="604">
        <v>1.5</v>
      </c>
      <c r="AH1569" s="604" t="s">
        <v>437</v>
      </c>
      <c r="BY1569" s="553" t="str">
        <f t="shared" si="161"/>
        <v>2014NorthlanddhbSUDI</v>
      </c>
      <c r="BZ1569" s="604">
        <v>2014</v>
      </c>
      <c r="CA1569" s="604" t="s">
        <v>85</v>
      </c>
      <c r="CB1569" s="604" t="s">
        <v>448</v>
      </c>
      <c r="CC1569" s="604">
        <v>3</v>
      </c>
      <c r="CD1569" s="604" t="s">
        <v>33</v>
      </c>
    </row>
    <row r="1570" spans="9:82">
      <c r="I1570" s="578" t="str">
        <f t="shared" si="159"/>
        <v>2012depQuin 2Peri</v>
      </c>
      <c r="J1570" s="604">
        <v>2012</v>
      </c>
      <c r="K1570" s="604" t="s">
        <v>454</v>
      </c>
      <c r="L1570" s="604" t="s">
        <v>422</v>
      </c>
      <c r="M1570" s="604">
        <v>78</v>
      </c>
      <c r="N1570" s="604">
        <v>9423</v>
      </c>
      <c r="O1570" s="604">
        <v>8.3000000000000007</v>
      </c>
      <c r="P1570" s="604" t="s">
        <v>483</v>
      </c>
      <c r="Q1570" s="499"/>
      <c r="Y1570" s="535" t="str">
        <f t="shared" si="160"/>
        <v>2016depgestQuin 432-36infant</v>
      </c>
      <c r="Z1570" s="604">
        <v>2016</v>
      </c>
      <c r="AA1570" s="604" t="s">
        <v>454</v>
      </c>
      <c r="AB1570" s="604" t="s">
        <v>450</v>
      </c>
      <c r="AC1570" s="604" t="s">
        <v>424</v>
      </c>
      <c r="AD1570" s="604" t="s">
        <v>136</v>
      </c>
      <c r="AE1570" s="604">
        <v>4</v>
      </c>
      <c r="AF1570" s="604">
        <v>835</v>
      </c>
      <c r="AG1570" s="604">
        <v>4.8</v>
      </c>
      <c r="AH1570" s="604" t="s">
        <v>437</v>
      </c>
      <c r="BY1570" s="553" t="str">
        <f t="shared" si="161"/>
        <v>2014WaitematadhbSUDI</v>
      </c>
      <c r="BZ1570" s="604">
        <v>2014</v>
      </c>
      <c r="CA1570" s="604" t="s">
        <v>86</v>
      </c>
      <c r="CB1570" s="604" t="s">
        <v>448</v>
      </c>
      <c r="CC1570" s="604">
        <v>2</v>
      </c>
      <c r="CD1570" s="604" t="s">
        <v>33</v>
      </c>
    </row>
    <row r="1571" spans="9:82">
      <c r="I1571" s="578" t="str">
        <f t="shared" si="159"/>
        <v>2012depQuin 3Peri</v>
      </c>
      <c r="J1571" s="604">
        <v>2012</v>
      </c>
      <c r="K1571" s="604" t="s">
        <v>454</v>
      </c>
      <c r="L1571" s="604" t="s">
        <v>423</v>
      </c>
      <c r="M1571" s="604">
        <v>82</v>
      </c>
      <c r="N1571" s="604">
        <v>10806</v>
      </c>
      <c r="O1571" s="604">
        <v>7.6</v>
      </c>
      <c r="P1571" s="604" t="s">
        <v>483</v>
      </c>
      <c r="Q1571" s="499"/>
      <c r="Y1571" s="535" t="str">
        <f t="shared" si="160"/>
        <v>2016depgestQuin 532-36infant</v>
      </c>
      <c r="Z1571" s="604">
        <v>2016</v>
      </c>
      <c r="AA1571" s="604" t="s">
        <v>454</v>
      </c>
      <c r="AB1571" s="604" t="s">
        <v>450</v>
      </c>
      <c r="AC1571" s="604" t="s">
        <v>425</v>
      </c>
      <c r="AD1571" s="604" t="s">
        <v>136</v>
      </c>
      <c r="AE1571" s="604">
        <v>15</v>
      </c>
      <c r="AF1571" s="604">
        <v>1137</v>
      </c>
      <c r="AG1571" s="604">
        <v>13.2</v>
      </c>
      <c r="AH1571" s="604" t="s">
        <v>437</v>
      </c>
      <c r="BY1571" s="553" t="str">
        <f t="shared" si="161"/>
        <v>2014AucklanddhbSUDI</v>
      </c>
      <c r="BZ1571" s="604">
        <v>2014</v>
      </c>
      <c r="CA1571" s="604" t="s">
        <v>87</v>
      </c>
      <c r="CB1571" s="604" t="s">
        <v>448</v>
      </c>
      <c r="CC1571" s="604">
        <v>2</v>
      </c>
      <c r="CD1571" s="604" t="s">
        <v>33</v>
      </c>
    </row>
    <row r="1572" spans="9:82">
      <c r="I1572" s="578" t="str">
        <f t="shared" si="159"/>
        <v>2012depQuin 4Peri</v>
      </c>
      <c r="J1572" s="604">
        <v>2012</v>
      </c>
      <c r="K1572" s="604" t="s">
        <v>454</v>
      </c>
      <c r="L1572" s="604" t="s">
        <v>424</v>
      </c>
      <c r="M1572" s="604">
        <v>126</v>
      </c>
      <c r="N1572" s="604">
        <v>13404</v>
      </c>
      <c r="O1572" s="604">
        <v>9.4</v>
      </c>
      <c r="P1572" s="604" t="s">
        <v>483</v>
      </c>
      <c r="Q1572" s="499"/>
      <c r="Y1572" s="535" t="str">
        <f t="shared" si="160"/>
        <v>2016depgestQuin 932-36infant</v>
      </c>
      <c r="Z1572" s="604">
        <v>2016</v>
      </c>
      <c r="AA1572" s="604" t="s">
        <v>454</v>
      </c>
      <c r="AB1572" s="604" t="s">
        <v>450</v>
      </c>
      <c r="AC1572" s="604" t="s">
        <v>426</v>
      </c>
      <c r="AD1572" s="604" t="s">
        <v>136</v>
      </c>
      <c r="AE1572" s="604">
        <v>0</v>
      </c>
      <c r="AF1572" s="604">
        <v>12</v>
      </c>
      <c r="AG1572" s="604" t="s">
        <v>119</v>
      </c>
      <c r="AH1572" s="604" t="s">
        <v>437</v>
      </c>
      <c r="BY1572" s="553" t="str">
        <f t="shared" si="161"/>
        <v>2014Counties ManukaudhbSUDI</v>
      </c>
      <c r="BZ1572" s="604">
        <v>2014</v>
      </c>
      <c r="CA1572" s="604" t="s">
        <v>88</v>
      </c>
      <c r="CB1572" s="604" t="s">
        <v>448</v>
      </c>
      <c r="CC1572" s="604">
        <v>9</v>
      </c>
      <c r="CD1572" s="604" t="s">
        <v>33</v>
      </c>
    </row>
    <row r="1573" spans="9:82">
      <c r="I1573" s="578" t="str">
        <f t="shared" si="159"/>
        <v>2012depQuin 5Peri</v>
      </c>
      <c r="J1573" s="604">
        <v>2012</v>
      </c>
      <c r="K1573" s="604" t="s">
        <v>454</v>
      </c>
      <c r="L1573" s="604" t="s">
        <v>425</v>
      </c>
      <c r="M1573" s="604">
        <v>233</v>
      </c>
      <c r="N1573" s="604">
        <v>17830</v>
      </c>
      <c r="O1573" s="604">
        <v>13.1</v>
      </c>
      <c r="P1573" s="604" t="s">
        <v>483</v>
      </c>
      <c r="Q1573" s="499"/>
      <c r="Y1573" s="535" t="str">
        <f t="shared" si="160"/>
        <v>2016depgestQuin 137-41infant</v>
      </c>
      <c r="Z1573" s="604">
        <v>2016</v>
      </c>
      <c r="AA1573" s="604" t="s">
        <v>454</v>
      </c>
      <c r="AB1573" s="604" t="s">
        <v>450</v>
      </c>
      <c r="AC1573" s="604" t="s">
        <v>421</v>
      </c>
      <c r="AD1573" s="604" t="s">
        <v>137</v>
      </c>
      <c r="AE1573" s="604">
        <v>10</v>
      </c>
      <c r="AF1573" s="604">
        <v>8377</v>
      </c>
      <c r="AG1573" s="604">
        <v>1.2</v>
      </c>
      <c r="AH1573" s="604" t="s">
        <v>437</v>
      </c>
      <c r="BY1573" s="553" t="str">
        <f>BZ1573&amp;CA1573&amp;CB1573&amp;CD1573</f>
        <v>2014WaikatodhbSUDI</v>
      </c>
      <c r="BZ1573" s="604">
        <v>2014</v>
      </c>
      <c r="CA1573" s="604" t="s">
        <v>89</v>
      </c>
      <c r="CB1573" s="604" t="s">
        <v>448</v>
      </c>
      <c r="CC1573" s="604">
        <v>6</v>
      </c>
      <c r="CD1573" s="604" t="s">
        <v>33</v>
      </c>
    </row>
    <row r="1574" spans="9:82">
      <c r="I1574" s="578" t="str">
        <f t="shared" si="159"/>
        <v>2012depQuin 9Peri</v>
      </c>
      <c r="J1574" s="604">
        <v>2012</v>
      </c>
      <c r="K1574" s="604" t="s">
        <v>454</v>
      </c>
      <c r="L1574" s="604" t="s">
        <v>426</v>
      </c>
      <c r="M1574" s="604">
        <v>24</v>
      </c>
      <c r="N1574" s="604">
        <v>2669</v>
      </c>
      <c r="O1574" s="604" t="s">
        <v>119</v>
      </c>
      <c r="P1574" s="604" t="s">
        <v>483</v>
      </c>
      <c r="Q1574" s="499"/>
      <c r="Y1574" s="535" t="str">
        <f t="shared" si="160"/>
        <v>2016depgestQuin 237-41infant</v>
      </c>
      <c r="Z1574" s="604">
        <v>2016</v>
      </c>
      <c r="AA1574" s="604" t="s">
        <v>454</v>
      </c>
      <c r="AB1574" s="604" t="s">
        <v>450</v>
      </c>
      <c r="AC1574" s="604" t="s">
        <v>422</v>
      </c>
      <c r="AD1574" s="604" t="s">
        <v>137</v>
      </c>
      <c r="AE1574" s="604">
        <v>11</v>
      </c>
      <c r="AF1574" s="604">
        <v>9282</v>
      </c>
      <c r="AG1574" s="604">
        <v>1.2</v>
      </c>
      <c r="AH1574" s="604" t="s">
        <v>437</v>
      </c>
      <c r="BY1574" s="553" t="str">
        <f t="shared" ref="BY1574:BY1637" si="162">BZ1574&amp;CA1574&amp;CB1574&amp;CD1574</f>
        <v>2014LakesdhbSUDI</v>
      </c>
      <c r="BZ1574" s="604">
        <v>2014</v>
      </c>
      <c r="CA1574" s="604" t="s">
        <v>90</v>
      </c>
      <c r="CB1574" s="604" t="s">
        <v>448</v>
      </c>
      <c r="CC1574" s="604">
        <v>3</v>
      </c>
      <c r="CD1574" s="604" t="s">
        <v>33</v>
      </c>
    </row>
    <row r="1575" spans="9:82">
      <c r="I1575" s="578" t="str">
        <f t="shared" si="159"/>
        <v>2013depQuin 1Peri</v>
      </c>
      <c r="J1575" s="604">
        <v>2013</v>
      </c>
      <c r="K1575" s="604" t="s">
        <v>454</v>
      </c>
      <c r="L1575" s="604" t="s">
        <v>421</v>
      </c>
      <c r="M1575" s="604">
        <v>57</v>
      </c>
      <c r="N1575" s="604">
        <v>8231</v>
      </c>
      <c r="O1575" s="604">
        <v>6.9</v>
      </c>
      <c r="P1575" s="604" t="s">
        <v>483</v>
      </c>
      <c r="Q1575" s="499"/>
      <c r="Y1575" s="535" t="str">
        <f t="shared" si="160"/>
        <v>2016depgestQuin 337-41infant</v>
      </c>
      <c r="Z1575" s="604">
        <v>2016</v>
      </c>
      <c r="AA1575" s="604" t="s">
        <v>454</v>
      </c>
      <c r="AB1575" s="604" t="s">
        <v>450</v>
      </c>
      <c r="AC1575" s="604" t="s">
        <v>423</v>
      </c>
      <c r="AD1575" s="604" t="s">
        <v>137</v>
      </c>
      <c r="AE1575" s="604">
        <v>10</v>
      </c>
      <c r="AF1575" s="604">
        <v>9986</v>
      </c>
      <c r="AG1575" s="604">
        <v>1</v>
      </c>
      <c r="AH1575" s="604" t="s">
        <v>437</v>
      </c>
      <c r="BY1575" s="553" t="str">
        <f t="shared" si="162"/>
        <v>2014Bay of PlentydhbSUDI</v>
      </c>
      <c r="BZ1575" s="604">
        <v>2014</v>
      </c>
      <c r="CA1575" s="604" t="s">
        <v>91</v>
      </c>
      <c r="CB1575" s="604" t="s">
        <v>448</v>
      </c>
      <c r="CC1575" s="604">
        <v>0</v>
      </c>
      <c r="CD1575" s="604" t="s">
        <v>33</v>
      </c>
    </row>
    <row r="1576" spans="9:82">
      <c r="I1576" s="578" t="str">
        <f t="shared" si="159"/>
        <v>2013depQuin 2Peri</v>
      </c>
      <c r="J1576" s="604">
        <v>2013</v>
      </c>
      <c r="K1576" s="604" t="s">
        <v>454</v>
      </c>
      <c r="L1576" s="604" t="s">
        <v>422</v>
      </c>
      <c r="M1576" s="604">
        <v>66</v>
      </c>
      <c r="N1576" s="604">
        <v>9307</v>
      </c>
      <c r="O1576" s="604">
        <v>7.1</v>
      </c>
      <c r="P1576" s="604" t="s">
        <v>483</v>
      </c>
      <c r="Q1576" s="499"/>
      <c r="Y1576" s="535" t="str">
        <f t="shared" si="160"/>
        <v>2016depgestQuin 437-41infant</v>
      </c>
      <c r="Z1576" s="604">
        <v>2016</v>
      </c>
      <c r="AA1576" s="604" t="s">
        <v>454</v>
      </c>
      <c r="AB1576" s="604" t="s">
        <v>450</v>
      </c>
      <c r="AC1576" s="604" t="s">
        <v>424</v>
      </c>
      <c r="AD1576" s="604" t="s">
        <v>137</v>
      </c>
      <c r="AE1576" s="604">
        <v>21</v>
      </c>
      <c r="AF1576" s="604">
        <v>11898</v>
      </c>
      <c r="AG1576" s="604">
        <v>1.8</v>
      </c>
      <c r="AH1576" s="604" t="s">
        <v>437</v>
      </c>
      <c r="BY1576" s="553" t="str">
        <f t="shared" si="162"/>
        <v>2014TairawhitidhbSUDI</v>
      </c>
      <c r="BZ1576" s="604">
        <v>2014</v>
      </c>
      <c r="CA1576" s="604" t="s">
        <v>433</v>
      </c>
      <c r="CB1576" s="604" t="s">
        <v>448</v>
      </c>
      <c r="CC1576" s="604">
        <v>4</v>
      </c>
      <c r="CD1576" s="604" t="s">
        <v>33</v>
      </c>
    </row>
    <row r="1577" spans="9:82">
      <c r="I1577" s="578" t="str">
        <f t="shared" si="159"/>
        <v>2013depQuin 3Peri</v>
      </c>
      <c r="J1577" s="604">
        <v>2013</v>
      </c>
      <c r="K1577" s="604" t="s">
        <v>454</v>
      </c>
      <c r="L1577" s="604" t="s">
        <v>423</v>
      </c>
      <c r="M1577" s="604">
        <v>113</v>
      </c>
      <c r="N1577" s="604">
        <v>10397</v>
      </c>
      <c r="O1577" s="604">
        <v>10.9</v>
      </c>
      <c r="P1577" s="604" t="s">
        <v>483</v>
      </c>
      <c r="Q1577" s="499"/>
      <c r="Y1577" s="535" t="str">
        <f t="shared" si="160"/>
        <v>2016depgestQuin 537-41infant</v>
      </c>
      <c r="Z1577" s="604">
        <v>2016</v>
      </c>
      <c r="AA1577" s="604" t="s">
        <v>454</v>
      </c>
      <c r="AB1577" s="604" t="s">
        <v>450</v>
      </c>
      <c r="AC1577" s="604" t="s">
        <v>425</v>
      </c>
      <c r="AD1577" s="604" t="s">
        <v>137</v>
      </c>
      <c r="AE1577" s="604">
        <v>39</v>
      </c>
      <c r="AF1577" s="604">
        <v>15244</v>
      </c>
      <c r="AG1577" s="604">
        <v>2.6</v>
      </c>
      <c r="AH1577" s="604" t="s">
        <v>437</v>
      </c>
      <c r="BY1577" s="553" t="str">
        <f t="shared" si="162"/>
        <v>2014Hawke's BaydhbSUDI</v>
      </c>
      <c r="BZ1577" s="604">
        <v>2014</v>
      </c>
      <c r="CA1577" s="604" t="s">
        <v>92</v>
      </c>
      <c r="CB1577" s="604" t="s">
        <v>448</v>
      </c>
      <c r="CC1577" s="604">
        <v>3</v>
      </c>
      <c r="CD1577" s="604" t="s">
        <v>33</v>
      </c>
    </row>
    <row r="1578" spans="9:82">
      <c r="I1578" s="578" t="str">
        <f t="shared" si="159"/>
        <v>2013depQuin 4Peri</v>
      </c>
      <c r="J1578" s="604">
        <v>2013</v>
      </c>
      <c r="K1578" s="604" t="s">
        <v>454</v>
      </c>
      <c r="L1578" s="604" t="s">
        <v>424</v>
      </c>
      <c r="M1578" s="604">
        <v>117</v>
      </c>
      <c r="N1578" s="604">
        <v>12920</v>
      </c>
      <c r="O1578" s="604">
        <v>9.1</v>
      </c>
      <c r="P1578" s="604" t="s">
        <v>483</v>
      </c>
      <c r="Q1578" s="499"/>
      <c r="Y1578" s="535" t="str">
        <f t="shared" si="160"/>
        <v>2016depgestQuin 937-41infant</v>
      </c>
      <c r="Z1578" s="604">
        <v>2016</v>
      </c>
      <c r="AA1578" s="604" t="s">
        <v>454</v>
      </c>
      <c r="AB1578" s="604" t="s">
        <v>450</v>
      </c>
      <c r="AC1578" s="604" t="s">
        <v>426</v>
      </c>
      <c r="AD1578" s="604" t="s">
        <v>137</v>
      </c>
      <c r="AE1578" s="604">
        <v>0</v>
      </c>
      <c r="AF1578" s="604">
        <v>112</v>
      </c>
      <c r="AG1578" s="604" t="s">
        <v>119</v>
      </c>
      <c r="AH1578" s="604" t="s">
        <v>437</v>
      </c>
      <c r="BY1578" s="553" t="str">
        <f t="shared" si="162"/>
        <v>2014TaranakidhbSUDI</v>
      </c>
      <c r="BZ1578" s="604">
        <v>2014</v>
      </c>
      <c r="CA1578" s="604" t="s">
        <v>93</v>
      </c>
      <c r="CB1578" s="604" t="s">
        <v>448</v>
      </c>
      <c r="CC1578" s="604">
        <v>1</v>
      </c>
      <c r="CD1578" s="604" t="s">
        <v>33</v>
      </c>
    </row>
    <row r="1579" spans="9:82">
      <c r="I1579" s="578" t="str">
        <f t="shared" si="159"/>
        <v>2013depQuin 5Peri</v>
      </c>
      <c r="J1579" s="604">
        <v>2013</v>
      </c>
      <c r="K1579" s="604" t="s">
        <v>454</v>
      </c>
      <c r="L1579" s="604" t="s">
        <v>425</v>
      </c>
      <c r="M1579" s="604">
        <v>188</v>
      </c>
      <c r="N1579" s="604">
        <v>16644</v>
      </c>
      <c r="O1579" s="604">
        <v>11.3</v>
      </c>
      <c r="P1579" s="604" t="s">
        <v>483</v>
      </c>
      <c r="Q1579" s="499"/>
      <c r="Y1579" s="535" t="str">
        <f t="shared" si="160"/>
        <v>2016depgestQuin 142+infant</v>
      </c>
      <c r="Z1579" s="604">
        <v>2016</v>
      </c>
      <c r="AA1579" s="604" t="s">
        <v>454</v>
      </c>
      <c r="AB1579" s="604" t="s">
        <v>450</v>
      </c>
      <c r="AC1579" s="604" t="s">
        <v>421</v>
      </c>
      <c r="AD1579" s="604" t="s">
        <v>138</v>
      </c>
      <c r="AE1579" s="604">
        <v>1</v>
      </c>
      <c r="AF1579" s="604">
        <v>144</v>
      </c>
      <c r="AG1579" s="604">
        <v>6.9</v>
      </c>
      <c r="AH1579" s="604" t="s">
        <v>437</v>
      </c>
      <c r="BY1579" s="553" t="str">
        <f t="shared" si="162"/>
        <v>2014MidCentraldhbSUDI</v>
      </c>
      <c r="BZ1579" s="604">
        <v>2014</v>
      </c>
      <c r="CA1579" s="604" t="s">
        <v>94</v>
      </c>
      <c r="CB1579" s="604" t="s">
        <v>448</v>
      </c>
      <c r="CC1579" s="604">
        <v>0</v>
      </c>
      <c r="CD1579" s="604" t="s">
        <v>33</v>
      </c>
    </row>
    <row r="1580" spans="9:82">
      <c r="I1580" s="578" t="str">
        <f t="shared" si="159"/>
        <v>2013depQuin 9Peri</v>
      </c>
      <c r="J1580" s="604">
        <v>2013</v>
      </c>
      <c r="K1580" s="604" t="s">
        <v>454</v>
      </c>
      <c r="L1580" s="604" t="s">
        <v>426</v>
      </c>
      <c r="M1580" s="604">
        <v>18</v>
      </c>
      <c r="N1580" s="604">
        <v>2595</v>
      </c>
      <c r="O1580" s="604" t="s">
        <v>119</v>
      </c>
      <c r="P1580" s="604" t="s">
        <v>483</v>
      </c>
      <c r="Q1580" s="499"/>
      <c r="Y1580" s="535" t="str">
        <f t="shared" si="160"/>
        <v>2016depgestQuin 242+infant</v>
      </c>
      <c r="Z1580" s="604">
        <v>2016</v>
      </c>
      <c r="AA1580" s="604" t="s">
        <v>454</v>
      </c>
      <c r="AB1580" s="604" t="s">
        <v>450</v>
      </c>
      <c r="AC1580" s="604" t="s">
        <v>422</v>
      </c>
      <c r="AD1580" s="604" t="s">
        <v>138</v>
      </c>
      <c r="AE1580" s="604">
        <v>0</v>
      </c>
      <c r="AF1580" s="604">
        <v>165</v>
      </c>
      <c r="AG1580" s="604">
        <v>0</v>
      </c>
      <c r="AH1580" s="604" t="s">
        <v>437</v>
      </c>
      <c r="BY1580" s="553" t="str">
        <f t="shared" si="162"/>
        <v>2014WhanganuidhbSUDI</v>
      </c>
      <c r="BZ1580" s="604">
        <v>2014</v>
      </c>
      <c r="CA1580" s="604" t="s">
        <v>95</v>
      </c>
      <c r="CB1580" s="604" t="s">
        <v>448</v>
      </c>
      <c r="CC1580" s="604">
        <v>1</v>
      </c>
      <c r="CD1580" s="604" t="s">
        <v>33</v>
      </c>
    </row>
    <row r="1581" spans="9:82">
      <c r="I1581" s="578" t="str">
        <f t="shared" si="159"/>
        <v>2014depQuin 1Peri</v>
      </c>
      <c r="J1581" s="604">
        <v>2014</v>
      </c>
      <c r="K1581" s="604" t="s">
        <v>454</v>
      </c>
      <c r="L1581" s="604" t="s">
        <v>421</v>
      </c>
      <c r="M1581" s="604">
        <v>80</v>
      </c>
      <c r="N1581" s="604">
        <v>8285</v>
      </c>
      <c r="O1581" s="604">
        <v>9.6999999999999993</v>
      </c>
      <c r="P1581" s="604" t="s">
        <v>483</v>
      </c>
      <c r="Q1581" s="499"/>
      <c r="Y1581" s="535" t="str">
        <f t="shared" si="160"/>
        <v>2016depgestQuin 342+infant</v>
      </c>
      <c r="Z1581" s="604">
        <v>2016</v>
      </c>
      <c r="AA1581" s="604" t="s">
        <v>454</v>
      </c>
      <c r="AB1581" s="604" t="s">
        <v>450</v>
      </c>
      <c r="AC1581" s="604" t="s">
        <v>423</v>
      </c>
      <c r="AD1581" s="604" t="s">
        <v>138</v>
      </c>
      <c r="AE1581" s="604">
        <v>1</v>
      </c>
      <c r="AF1581" s="604">
        <v>181</v>
      </c>
      <c r="AG1581" s="604">
        <v>5.5</v>
      </c>
      <c r="AH1581" s="604" t="s">
        <v>437</v>
      </c>
      <c r="BY1581" s="553" t="str">
        <f t="shared" si="162"/>
        <v>2014Capital &amp; CoastdhbSUDI</v>
      </c>
      <c r="BZ1581" s="604">
        <v>2014</v>
      </c>
      <c r="CA1581" s="604" t="s">
        <v>96</v>
      </c>
      <c r="CB1581" s="604" t="s">
        <v>448</v>
      </c>
      <c r="CC1581" s="604">
        <v>2</v>
      </c>
      <c r="CD1581" s="604" t="s">
        <v>33</v>
      </c>
    </row>
    <row r="1582" spans="9:82">
      <c r="I1582" s="578" t="str">
        <f t="shared" si="159"/>
        <v>2014depQuin 2Peri</v>
      </c>
      <c r="J1582" s="604">
        <v>2014</v>
      </c>
      <c r="K1582" s="604" t="s">
        <v>454</v>
      </c>
      <c r="L1582" s="604" t="s">
        <v>422</v>
      </c>
      <c r="M1582" s="604">
        <v>83</v>
      </c>
      <c r="N1582" s="604">
        <v>8955</v>
      </c>
      <c r="O1582" s="604">
        <v>9.3000000000000007</v>
      </c>
      <c r="P1582" s="604" t="s">
        <v>483</v>
      </c>
      <c r="Q1582" s="499"/>
      <c r="Y1582" s="535" t="str">
        <f t="shared" si="160"/>
        <v>2016depgestQuin 442+infant</v>
      </c>
      <c r="Z1582" s="604">
        <v>2016</v>
      </c>
      <c r="AA1582" s="604" t="s">
        <v>454</v>
      </c>
      <c r="AB1582" s="604" t="s">
        <v>450</v>
      </c>
      <c r="AC1582" s="604" t="s">
        <v>424</v>
      </c>
      <c r="AD1582" s="604" t="s">
        <v>138</v>
      </c>
      <c r="AE1582" s="604">
        <v>0</v>
      </c>
      <c r="AF1582" s="604">
        <v>232</v>
      </c>
      <c r="AG1582" s="604">
        <v>0</v>
      </c>
      <c r="AH1582" s="604" t="s">
        <v>437</v>
      </c>
      <c r="BY1582" s="553" t="str">
        <f t="shared" si="162"/>
        <v>2014Hutt ValleydhbSUDI</v>
      </c>
      <c r="BZ1582" s="604">
        <v>2014</v>
      </c>
      <c r="CA1582" s="604" t="s">
        <v>97</v>
      </c>
      <c r="CB1582" s="604" t="s">
        <v>448</v>
      </c>
      <c r="CC1582" s="604">
        <v>0</v>
      </c>
      <c r="CD1582" s="604" t="s">
        <v>33</v>
      </c>
    </row>
    <row r="1583" spans="9:82">
      <c r="I1583" s="578" t="str">
        <f t="shared" si="159"/>
        <v>2014depQuin 3Peri</v>
      </c>
      <c r="J1583" s="604">
        <v>2014</v>
      </c>
      <c r="K1583" s="604" t="s">
        <v>454</v>
      </c>
      <c r="L1583" s="604" t="s">
        <v>423</v>
      </c>
      <c r="M1583" s="604">
        <v>109</v>
      </c>
      <c r="N1583" s="604">
        <v>10114</v>
      </c>
      <c r="O1583" s="604">
        <v>10.8</v>
      </c>
      <c r="P1583" s="604" t="s">
        <v>483</v>
      </c>
      <c r="Q1583" s="499"/>
      <c r="Y1583" s="535" t="str">
        <f t="shared" si="160"/>
        <v>2016depgestQuin 542+infant</v>
      </c>
      <c r="Z1583" s="604">
        <v>2016</v>
      </c>
      <c r="AA1583" s="604" t="s">
        <v>454</v>
      </c>
      <c r="AB1583" s="604" t="s">
        <v>450</v>
      </c>
      <c r="AC1583" s="604" t="s">
        <v>425</v>
      </c>
      <c r="AD1583" s="604" t="s">
        <v>138</v>
      </c>
      <c r="AE1583" s="604">
        <v>2</v>
      </c>
      <c r="AF1583" s="604">
        <v>290</v>
      </c>
      <c r="AG1583" s="604">
        <v>6.9</v>
      </c>
      <c r="AH1583" s="604" t="s">
        <v>437</v>
      </c>
      <c r="BY1583" s="553" t="str">
        <f t="shared" si="162"/>
        <v>2014WairarapadhbSUDI</v>
      </c>
      <c r="BZ1583" s="604">
        <v>2014</v>
      </c>
      <c r="CA1583" s="604" t="s">
        <v>98</v>
      </c>
      <c r="CB1583" s="604" t="s">
        <v>448</v>
      </c>
      <c r="CC1583" s="604">
        <v>0</v>
      </c>
      <c r="CD1583" s="604" t="s">
        <v>33</v>
      </c>
    </row>
    <row r="1584" spans="9:82">
      <c r="I1584" s="578" t="str">
        <f t="shared" si="159"/>
        <v>2014depQuin 4Peri</v>
      </c>
      <c r="J1584" s="604">
        <v>2014</v>
      </c>
      <c r="K1584" s="604" t="s">
        <v>454</v>
      </c>
      <c r="L1584" s="604" t="s">
        <v>424</v>
      </c>
      <c r="M1584" s="604">
        <v>137</v>
      </c>
      <c r="N1584" s="604">
        <v>12541</v>
      </c>
      <c r="O1584" s="604">
        <v>10.9</v>
      </c>
      <c r="P1584" s="604" t="s">
        <v>483</v>
      </c>
      <c r="Q1584" s="499"/>
      <c r="Y1584" s="535" t="str">
        <f t="shared" si="160"/>
        <v>2016depgestQuin 942+infant</v>
      </c>
      <c r="Z1584" s="604">
        <v>2016</v>
      </c>
      <c r="AA1584" s="604" t="s">
        <v>454</v>
      </c>
      <c r="AB1584" s="604" t="s">
        <v>450</v>
      </c>
      <c r="AC1584" s="604" t="s">
        <v>426</v>
      </c>
      <c r="AD1584" s="604" t="s">
        <v>138</v>
      </c>
      <c r="AE1584" s="604">
        <v>0</v>
      </c>
      <c r="AF1584" s="604">
        <v>5</v>
      </c>
      <c r="AG1584" s="604" t="s">
        <v>119</v>
      </c>
      <c r="AH1584" s="604" t="s">
        <v>437</v>
      </c>
      <c r="BY1584" s="553" t="str">
        <f t="shared" si="162"/>
        <v>2014Nelson MarlboroughdhbSUDI</v>
      </c>
      <c r="BZ1584" s="604">
        <v>2014</v>
      </c>
      <c r="CA1584" s="604" t="s">
        <v>99</v>
      </c>
      <c r="CB1584" s="604" t="s">
        <v>448</v>
      </c>
      <c r="CC1584" s="604">
        <v>3</v>
      </c>
      <c r="CD1584" s="604" t="s">
        <v>33</v>
      </c>
    </row>
    <row r="1585" spans="9:82">
      <c r="I1585" s="578" t="str">
        <f t="shared" si="159"/>
        <v>2014depQuin 5Peri</v>
      </c>
      <c r="J1585" s="604">
        <v>2014</v>
      </c>
      <c r="K1585" s="604" t="s">
        <v>454</v>
      </c>
      <c r="L1585" s="604" t="s">
        <v>425</v>
      </c>
      <c r="M1585" s="604">
        <v>217</v>
      </c>
      <c r="N1585" s="604">
        <v>16230</v>
      </c>
      <c r="O1585" s="604">
        <v>13.4</v>
      </c>
      <c r="P1585" s="604" t="s">
        <v>483</v>
      </c>
      <c r="Q1585" s="499"/>
      <c r="Y1585" s="535" t="str">
        <f t="shared" si="160"/>
        <v>2016depgestQuin 1Unknowninfant</v>
      </c>
      <c r="Z1585" s="604">
        <v>2016</v>
      </c>
      <c r="AA1585" s="604" t="s">
        <v>454</v>
      </c>
      <c r="AB1585" s="604" t="s">
        <v>450</v>
      </c>
      <c r="AC1585" s="604" t="s">
        <v>421</v>
      </c>
      <c r="AD1585" s="604" t="s">
        <v>63</v>
      </c>
      <c r="AE1585" s="604">
        <v>1</v>
      </c>
      <c r="AF1585" s="604">
        <v>3</v>
      </c>
      <c r="AG1585" s="604" t="s">
        <v>119</v>
      </c>
      <c r="AH1585" s="604" t="s">
        <v>437</v>
      </c>
      <c r="BY1585" s="553" t="str">
        <f t="shared" si="162"/>
        <v>2014West CoastdhbSUDI</v>
      </c>
      <c r="BZ1585" s="604">
        <v>2014</v>
      </c>
      <c r="CA1585" s="604" t="s">
        <v>100</v>
      </c>
      <c r="CB1585" s="604" t="s">
        <v>448</v>
      </c>
      <c r="CC1585" s="604">
        <v>0</v>
      </c>
      <c r="CD1585" s="604" t="s">
        <v>33</v>
      </c>
    </row>
    <row r="1586" spans="9:82">
      <c r="I1586" s="578" t="str">
        <f t="shared" si="159"/>
        <v>2014depQuin 9Peri</v>
      </c>
      <c r="J1586" s="604">
        <v>2014</v>
      </c>
      <c r="K1586" s="604" t="s">
        <v>454</v>
      </c>
      <c r="L1586" s="604" t="s">
        <v>426</v>
      </c>
      <c r="M1586" s="604">
        <v>29</v>
      </c>
      <c r="N1586" s="604">
        <v>2607</v>
      </c>
      <c r="O1586" s="604" t="s">
        <v>119</v>
      </c>
      <c r="P1586" s="604" t="s">
        <v>483</v>
      </c>
      <c r="Q1586" s="499"/>
      <c r="Y1586" s="535" t="str">
        <f t="shared" si="160"/>
        <v>2016depgestQuin 2Unknowninfant</v>
      </c>
      <c r="Z1586" s="604">
        <v>2016</v>
      </c>
      <c r="AA1586" s="604" t="s">
        <v>454</v>
      </c>
      <c r="AB1586" s="604" t="s">
        <v>450</v>
      </c>
      <c r="AC1586" s="604" t="s">
        <v>422</v>
      </c>
      <c r="AD1586" s="604" t="s">
        <v>63</v>
      </c>
      <c r="AE1586" s="604">
        <v>2</v>
      </c>
      <c r="AF1586" s="604">
        <v>1</v>
      </c>
      <c r="AG1586" s="604" t="s">
        <v>119</v>
      </c>
      <c r="AH1586" s="604" t="s">
        <v>437</v>
      </c>
      <c r="BY1586" s="553" t="str">
        <f t="shared" si="162"/>
        <v>2014CanterburydhbSUDI</v>
      </c>
      <c r="BZ1586" s="604">
        <v>2014</v>
      </c>
      <c r="CA1586" s="604" t="s">
        <v>101</v>
      </c>
      <c r="CB1586" s="604" t="s">
        <v>448</v>
      </c>
      <c r="CC1586" s="604">
        <v>3</v>
      </c>
      <c r="CD1586" s="604" t="s">
        <v>33</v>
      </c>
    </row>
    <row r="1587" spans="9:82">
      <c r="I1587" s="578" t="str">
        <f t="shared" si="159"/>
        <v>2015depQuin 1Peri</v>
      </c>
      <c r="J1587" s="604">
        <v>2015</v>
      </c>
      <c r="K1587" s="604" t="s">
        <v>454</v>
      </c>
      <c r="L1587" s="604" t="s">
        <v>421</v>
      </c>
      <c r="M1587" s="604">
        <v>71</v>
      </c>
      <c r="N1587" s="604">
        <v>9482</v>
      </c>
      <c r="O1587" s="604">
        <v>7.5</v>
      </c>
      <c r="P1587" s="604" t="s">
        <v>483</v>
      </c>
      <c r="Q1587" s="499"/>
      <c r="Y1587" s="535" t="str">
        <f t="shared" si="160"/>
        <v>2016depgestQuin 3Unknowninfant</v>
      </c>
      <c r="Z1587" s="604">
        <v>2016</v>
      </c>
      <c r="AA1587" s="604" t="s">
        <v>454</v>
      </c>
      <c r="AB1587" s="604" t="s">
        <v>450</v>
      </c>
      <c r="AC1587" s="604" t="s">
        <v>423</v>
      </c>
      <c r="AD1587" s="604" t="s">
        <v>63</v>
      </c>
      <c r="AE1587" s="604">
        <v>0</v>
      </c>
      <c r="AF1587" s="604">
        <v>9</v>
      </c>
      <c r="AG1587" s="604" t="s">
        <v>119</v>
      </c>
      <c r="AH1587" s="604" t="s">
        <v>437</v>
      </c>
      <c r="BY1587" s="553" t="str">
        <f t="shared" si="162"/>
        <v>2014South CanterburydhbSUDI</v>
      </c>
      <c r="BZ1587" s="604">
        <v>2014</v>
      </c>
      <c r="CA1587" s="604" t="s">
        <v>102</v>
      </c>
      <c r="CB1587" s="604" t="s">
        <v>448</v>
      </c>
      <c r="CC1587" s="604">
        <v>1</v>
      </c>
      <c r="CD1587" s="604" t="s">
        <v>33</v>
      </c>
    </row>
    <row r="1588" spans="9:82">
      <c r="I1588" s="578" t="str">
        <f t="shared" si="159"/>
        <v>2015depQuin 2Peri</v>
      </c>
      <c r="J1588" s="604">
        <v>2015</v>
      </c>
      <c r="K1588" s="604" t="s">
        <v>454</v>
      </c>
      <c r="L1588" s="604" t="s">
        <v>422</v>
      </c>
      <c r="M1588" s="604">
        <v>77</v>
      </c>
      <c r="N1588" s="604">
        <v>10317</v>
      </c>
      <c r="O1588" s="604">
        <v>7.5</v>
      </c>
      <c r="P1588" s="604" t="s">
        <v>483</v>
      </c>
      <c r="Q1588" s="499"/>
      <c r="Y1588" s="535" t="str">
        <f t="shared" si="160"/>
        <v>2016depgestQuin 4Unknowninfant</v>
      </c>
      <c r="Z1588" s="604">
        <v>2016</v>
      </c>
      <c r="AA1588" s="604" t="s">
        <v>454</v>
      </c>
      <c r="AB1588" s="604" t="s">
        <v>450</v>
      </c>
      <c r="AC1588" s="604" t="s">
        <v>424</v>
      </c>
      <c r="AD1588" s="604" t="s">
        <v>63</v>
      </c>
      <c r="AE1588" s="604">
        <v>2</v>
      </c>
      <c r="AF1588" s="604">
        <v>5</v>
      </c>
      <c r="AG1588" s="604" t="s">
        <v>119</v>
      </c>
      <c r="AH1588" s="604" t="s">
        <v>437</v>
      </c>
      <c r="BY1588" s="553" t="str">
        <f t="shared" si="162"/>
        <v>2014SoutherndhbSUDI</v>
      </c>
      <c r="BZ1588" s="604">
        <v>2014</v>
      </c>
      <c r="CA1588" s="604" t="s">
        <v>103</v>
      </c>
      <c r="CB1588" s="604" t="s">
        <v>448</v>
      </c>
      <c r="CC1588" s="604">
        <v>2</v>
      </c>
      <c r="CD1588" s="604" t="s">
        <v>33</v>
      </c>
    </row>
    <row r="1589" spans="9:82">
      <c r="I1589" s="578" t="str">
        <f t="shared" si="159"/>
        <v>2015depQuin 3Peri</v>
      </c>
      <c r="J1589" s="604">
        <v>2015</v>
      </c>
      <c r="K1589" s="604" t="s">
        <v>454</v>
      </c>
      <c r="L1589" s="604" t="s">
        <v>423</v>
      </c>
      <c r="M1589" s="604">
        <v>74</v>
      </c>
      <c r="N1589" s="604">
        <v>11243</v>
      </c>
      <c r="O1589" s="604">
        <v>6.6</v>
      </c>
      <c r="P1589" s="604" t="s">
        <v>483</v>
      </c>
      <c r="Q1589" s="499"/>
      <c r="Y1589" s="535" t="str">
        <f t="shared" si="160"/>
        <v>2016depgestQuin 5Unknowninfant</v>
      </c>
      <c r="Z1589" s="604">
        <v>2016</v>
      </c>
      <c r="AA1589" s="604" t="s">
        <v>454</v>
      </c>
      <c r="AB1589" s="604" t="s">
        <v>450</v>
      </c>
      <c r="AC1589" s="604" t="s">
        <v>425</v>
      </c>
      <c r="AD1589" s="604" t="s">
        <v>63</v>
      </c>
      <c r="AE1589" s="604">
        <v>7</v>
      </c>
      <c r="AF1589" s="604">
        <v>10</v>
      </c>
      <c r="AG1589" s="604" t="s">
        <v>119</v>
      </c>
      <c r="AH1589" s="604" t="s">
        <v>437</v>
      </c>
      <c r="BY1589" s="553" t="str">
        <f t="shared" si="162"/>
        <v>2014UnknowndhbSUDI</v>
      </c>
      <c r="BZ1589" s="604">
        <v>2014</v>
      </c>
      <c r="CA1589" s="604" t="s">
        <v>63</v>
      </c>
      <c r="CB1589" s="604" t="s">
        <v>448</v>
      </c>
      <c r="CC1589" s="604">
        <v>0</v>
      </c>
      <c r="CD1589" s="604" t="s">
        <v>33</v>
      </c>
    </row>
    <row r="1590" spans="9:82">
      <c r="I1590" s="578" t="str">
        <f t="shared" si="159"/>
        <v>2015depQuin 4Peri</v>
      </c>
      <c r="J1590" s="604">
        <v>2015</v>
      </c>
      <c r="K1590" s="604" t="s">
        <v>454</v>
      </c>
      <c r="L1590" s="604" t="s">
        <v>424</v>
      </c>
      <c r="M1590" s="604">
        <v>111</v>
      </c>
      <c r="N1590" s="604">
        <v>13696</v>
      </c>
      <c r="O1590" s="604">
        <v>8.1</v>
      </c>
      <c r="P1590" s="604" t="s">
        <v>483</v>
      </c>
      <c r="Q1590" s="499"/>
      <c r="Y1590" s="535" t="str">
        <f t="shared" si="160"/>
        <v>2016depgestQuin 9Unknowninfant</v>
      </c>
      <c r="Z1590" s="604">
        <v>2016</v>
      </c>
      <c r="AA1590" s="604" t="s">
        <v>454</v>
      </c>
      <c r="AB1590" s="604" t="s">
        <v>450</v>
      </c>
      <c r="AC1590" s="604" t="s">
        <v>426</v>
      </c>
      <c r="AD1590" s="604" t="s">
        <v>63</v>
      </c>
      <c r="AE1590" s="604">
        <v>1</v>
      </c>
      <c r="AF1590" s="604">
        <v>1</v>
      </c>
      <c r="AG1590" s="604" t="s">
        <v>119</v>
      </c>
      <c r="AH1590" s="604" t="s">
        <v>437</v>
      </c>
      <c r="BY1590" s="553" t="str">
        <f t="shared" si="162"/>
        <v>2015NorthlanddhbSUDI</v>
      </c>
      <c r="BZ1590" s="604">
        <v>2015</v>
      </c>
      <c r="CA1590" s="604" t="s">
        <v>85</v>
      </c>
      <c r="CB1590" s="604" t="s">
        <v>448</v>
      </c>
      <c r="CC1590" s="604">
        <v>2</v>
      </c>
      <c r="CD1590" s="604" t="s">
        <v>33</v>
      </c>
    </row>
    <row r="1591" spans="9:82">
      <c r="I1591" s="578" t="str">
        <f t="shared" si="159"/>
        <v>2015depQuin 5Peri</v>
      </c>
      <c r="J1591" s="604">
        <v>2015</v>
      </c>
      <c r="K1591" s="604" t="s">
        <v>454</v>
      </c>
      <c r="L1591" s="604" t="s">
        <v>425</v>
      </c>
      <c r="M1591" s="604">
        <v>174</v>
      </c>
      <c r="N1591" s="604">
        <v>17581</v>
      </c>
      <c r="O1591" s="604">
        <v>9.9</v>
      </c>
      <c r="P1591" s="604" t="s">
        <v>483</v>
      </c>
      <c r="Q1591" s="499"/>
      <c r="Y1591" s="535" t="str">
        <f t="shared" si="160"/>
        <v>2016OverallsexTotalMaleinfant</v>
      </c>
      <c r="Z1591" s="604">
        <v>2016</v>
      </c>
      <c r="AA1591" s="604" t="s">
        <v>104</v>
      </c>
      <c r="AB1591" s="604" t="s">
        <v>451</v>
      </c>
      <c r="AC1591" s="604" t="s">
        <v>44</v>
      </c>
      <c r="AD1591" s="604" t="s">
        <v>70</v>
      </c>
      <c r="AE1591" s="604">
        <v>127</v>
      </c>
      <c r="AF1591" s="604">
        <v>31009</v>
      </c>
      <c r="AG1591" s="604">
        <v>4.0999999999999996</v>
      </c>
      <c r="AH1591" s="604" t="s">
        <v>437</v>
      </c>
      <c r="BY1591" s="553" t="str">
        <f t="shared" si="162"/>
        <v>2015WaitematadhbSUDI</v>
      </c>
      <c r="BZ1591" s="604">
        <v>2015</v>
      </c>
      <c r="CA1591" s="604" t="s">
        <v>86</v>
      </c>
      <c r="CB1591" s="604" t="s">
        <v>448</v>
      </c>
      <c r="CC1591" s="604">
        <v>1</v>
      </c>
      <c r="CD1591" s="604" t="s">
        <v>33</v>
      </c>
    </row>
    <row r="1592" spans="9:82">
      <c r="I1592" s="578" t="str">
        <f t="shared" si="159"/>
        <v>2015depQuin 9Peri</v>
      </c>
      <c r="J1592" s="604">
        <v>2015</v>
      </c>
      <c r="K1592" s="604" t="s">
        <v>454</v>
      </c>
      <c r="L1592" s="604" t="s">
        <v>426</v>
      </c>
      <c r="M1592" s="604">
        <v>21</v>
      </c>
      <c r="N1592" s="604">
        <v>187</v>
      </c>
      <c r="O1592" s="604" t="s">
        <v>119</v>
      </c>
      <c r="P1592" s="604" t="s">
        <v>483</v>
      </c>
      <c r="Q1592" s="499"/>
      <c r="Y1592" s="535" t="str">
        <f t="shared" si="160"/>
        <v>2016OverallsexTotalFemaleinfant</v>
      </c>
      <c r="Z1592" s="604">
        <v>2016</v>
      </c>
      <c r="AA1592" s="604" t="s">
        <v>104</v>
      </c>
      <c r="AB1592" s="604" t="s">
        <v>451</v>
      </c>
      <c r="AC1592" s="604" t="s">
        <v>44</v>
      </c>
      <c r="AD1592" s="604" t="s">
        <v>71</v>
      </c>
      <c r="AE1592" s="604">
        <v>114</v>
      </c>
      <c r="AF1592" s="604">
        <v>29427</v>
      </c>
      <c r="AG1592" s="604">
        <v>3.9</v>
      </c>
      <c r="AH1592" s="604" t="s">
        <v>437</v>
      </c>
      <c r="BY1592" s="553" t="str">
        <f t="shared" si="162"/>
        <v>2015AucklanddhbSUDI</v>
      </c>
      <c r="BZ1592" s="604">
        <v>2015</v>
      </c>
      <c r="CA1592" s="604" t="s">
        <v>87</v>
      </c>
      <c r="CB1592" s="604" t="s">
        <v>448</v>
      </c>
      <c r="CC1592" s="604">
        <v>6</v>
      </c>
      <c r="CD1592" s="604" t="s">
        <v>33</v>
      </c>
    </row>
    <row r="1593" spans="9:82">
      <c r="I1593" s="578" t="str">
        <f t="shared" si="159"/>
        <v>2016depQuin 1Peri</v>
      </c>
      <c r="J1593" s="604">
        <v>2016</v>
      </c>
      <c r="K1593" s="604" t="s">
        <v>454</v>
      </c>
      <c r="L1593" s="604" t="s">
        <v>421</v>
      </c>
      <c r="M1593" s="604">
        <v>59</v>
      </c>
      <c r="N1593" s="604">
        <v>9237</v>
      </c>
      <c r="O1593" s="604">
        <v>6.4</v>
      </c>
      <c r="P1593" s="604" t="s">
        <v>483</v>
      </c>
      <c r="Q1593" s="499"/>
      <c r="Y1593" s="535" t="str">
        <f t="shared" si="160"/>
        <v>2016OverallethTotalMaoriinfant</v>
      </c>
      <c r="Z1593" s="604">
        <v>2016</v>
      </c>
      <c r="AA1593" s="604" t="s">
        <v>104</v>
      </c>
      <c r="AB1593" s="604" t="s">
        <v>449</v>
      </c>
      <c r="AC1593" s="604" t="s">
        <v>44</v>
      </c>
      <c r="AD1593" s="604" t="s">
        <v>129</v>
      </c>
      <c r="AE1593" s="604">
        <v>103</v>
      </c>
      <c r="AF1593" s="604">
        <v>17329</v>
      </c>
      <c r="AG1593" s="604">
        <v>5.9</v>
      </c>
      <c r="AH1593" s="604" t="s">
        <v>437</v>
      </c>
      <c r="BY1593" s="553" t="str">
        <f t="shared" si="162"/>
        <v>2015Counties ManukaudhbSUDI</v>
      </c>
      <c r="BZ1593" s="604">
        <v>2015</v>
      </c>
      <c r="CA1593" s="604" t="s">
        <v>88</v>
      </c>
      <c r="CB1593" s="604" t="s">
        <v>448</v>
      </c>
      <c r="CC1593" s="604">
        <v>9</v>
      </c>
      <c r="CD1593" s="604" t="s">
        <v>33</v>
      </c>
    </row>
    <row r="1594" spans="9:82">
      <c r="I1594" s="578" t="str">
        <f t="shared" si="159"/>
        <v>2016depQuin 2Peri</v>
      </c>
      <c r="J1594" s="604">
        <v>2016</v>
      </c>
      <c r="K1594" s="604" t="s">
        <v>454</v>
      </c>
      <c r="L1594" s="604" t="s">
        <v>422</v>
      </c>
      <c r="M1594" s="604">
        <v>78</v>
      </c>
      <c r="N1594" s="604">
        <v>10187</v>
      </c>
      <c r="O1594" s="604">
        <v>7.7</v>
      </c>
      <c r="P1594" s="604" t="s">
        <v>483</v>
      </c>
      <c r="Q1594" s="499"/>
      <c r="Y1594" s="535" t="str">
        <f t="shared" si="160"/>
        <v>2016OverallethTotalPacific peoplesinfant</v>
      </c>
      <c r="Z1594" s="604">
        <v>2016</v>
      </c>
      <c r="AA1594" s="604" t="s">
        <v>104</v>
      </c>
      <c r="AB1594" s="604" t="s">
        <v>449</v>
      </c>
      <c r="AC1594" s="604" t="s">
        <v>44</v>
      </c>
      <c r="AD1594" s="604" t="s">
        <v>320</v>
      </c>
      <c r="AE1594" s="604">
        <v>37</v>
      </c>
      <c r="AF1594" s="604">
        <v>5976</v>
      </c>
      <c r="AG1594" s="604">
        <v>6.2</v>
      </c>
      <c r="AH1594" s="604" t="s">
        <v>437</v>
      </c>
      <c r="BY1594" s="553" t="str">
        <f t="shared" si="162"/>
        <v>2015WaikatodhbSUDI</v>
      </c>
      <c r="BZ1594" s="604">
        <v>2015</v>
      </c>
      <c r="CA1594" s="604" t="s">
        <v>89</v>
      </c>
      <c r="CB1594" s="604" t="s">
        <v>448</v>
      </c>
      <c r="CC1594" s="604">
        <v>9</v>
      </c>
      <c r="CD1594" s="604" t="s">
        <v>33</v>
      </c>
    </row>
    <row r="1595" spans="9:82">
      <c r="I1595" s="578" t="str">
        <f t="shared" si="159"/>
        <v>2016depQuin 3Peri</v>
      </c>
      <c r="J1595" s="604">
        <v>2016</v>
      </c>
      <c r="K1595" s="604" t="s">
        <v>454</v>
      </c>
      <c r="L1595" s="604" t="s">
        <v>423</v>
      </c>
      <c r="M1595" s="604">
        <v>90</v>
      </c>
      <c r="N1595" s="604">
        <v>11039</v>
      </c>
      <c r="O1595" s="604">
        <v>8.1999999999999993</v>
      </c>
      <c r="P1595" s="604" t="s">
        <v>483</v>
      </c>
      <c r="Q1595" s="499"/>
      <c r="Y1595" s="535" t="str">
        <f t="shared" si="160"/>
        <v>2016OverallethTotalAsianinfant</v>
      </c>
      <c r="Z1595" s="604">
        <v>2016</v>
      </c>
      <c r="AA1595" s="604" t="s">
        <v>104</v>
      </c>
      <c r="AB1595" s="604" t="s">
        <v>449</v>
      </c>
      <c r="AC1595" s="604" t="s">
        <v>44</v>
      </c>
      <c r="AD1595" s="604" t="s">
        <v>355</v>
      </c>
      <c r="AE1595" s="604">
        <v>27</v>
      </c>
      <c r="AF1595" s="604">
        <v>10902</v>
      </c>
      <c r="AG1595" s="604">
        <v>2.5</v>
      </c>
      <c r="AH1595" s="604" t="s">
        <v>437</v>
      </c>
      <c r="BY1595" s="553" t="str">
        <f t="shared" si="162"/>
        <v>2015LakesdhbSUDI</v>
      </c>
      <c r="BZ1595" s="604">
        <v>2015</v>
      </c>
      <c r="CA1595" s="604" t="s">
        <v>90</v>
      </c>
      <c r="CB1595" s="604" t="s">
        <v>448</v>
      </c>
      <c r="CC1595" s="604">
        <v>1</v>
      </c>
      <c r="CD1595" s="604" t="s">
        <v>33</v>
      </c>
    </row>
    <row r="1596" spans="9:82">
      <c r="I1596" s="578" t="str">
        <f t="shared" si="159"/>
        <v>2016depQuin 4Peri</v>
      </c>
      <c r="J1596" s="604">
        <v>2016</v>
      </c>
      <c r="K1596" s="604" t="s">
        <v>454</v>
      </c>
      <c r="L1596" s="604" t="s">
        <v>424</v>
      </c>
      <c r="M1596" s="604">
        <v>115</v>
      </c>
      <c r="N1596" s="604">
        <v>13221</v>
      </c>
      <c r="O1596" s="604">
        <v>8.6999999999999993</v>
      </c>
      <c r="P1596" s="604" t="s">
        <v>483</v>
      </c>
      <c r="Q1596" s="499"/>
      <c r="Y1596" s="535" t="str">
        <f t="shared" si="160"/>
        <v>2016OverallethTotalEuropean or Otherinfant</v>
      </c>
      <c r="Z1596" s="604">
        <v>2016</v>
      </c>
      <c r="AA1596" s="604" t="s">
        <v>104</v>
      </c>
      <c r="AB1596" s="604" t="s">
        <v>449</v>
      </c>
      <c r="AC1596" s="604" t="s">
        <v>44</v>
      </c>
      <c r="AD1596" s="604" t="s">
        <v>356</v>
      </c>
      <c r="AE1596" s="604">
        <v>74</v>
      </c>
      <c r="AF1596" s="604">
        <v>26229</v>
      </c>
      <c r="AG1596" s="604">
        <v>2.8</v>
      </c>
      <c r="AH1596" s="604" t="s">
        <v>437</v>
      </c>
      <c r="BY1596" s="575" t="str">
        <f t="shared" si="162"/>
        <v>2015Bay of PlentydhbSUDI</v>
      </c>
      <c r="BZ1596" s="604">
        <v>2015</v>
      </c>
      <c r="CA1596" s="604" t="s">
        <v>91</v>
      </c>
      <c r="CB1596" s="604" t="s">
        <v>448</v>
      </c>
      <c r="CC1596" s="604">
        <v>1</v>
      </c>
      <c r="CD1596" s="604" t="s">
        <v>33</v>
      </c>
    </row>
    <row r="1597" spans="9:82">
      <c r="I1597" s="578" t="str">
        <f t="shared" si="159"/>
        <v>2016depQuin 5Peri</v>
      </c>
      <c r="J1597" s="604">
        <v>2016</v>
      </c>
      <c r="K1597" s="604" t="s">
        <v>454</v>
      </c>
      <c r="L1597" s="604" t="s">
        <v>425</v>
      </c>
      <c r="M1597" s="604">
        <v>181</v>
      </c>
      <c r="N1597" s="604">
        <v>17012</v>
      </c>
      <c r="O1597" s="604">
        <v>10.6</v>
      </c>
      <c r="P1597" s="604" t="s">
        <v>483</v>
      </c>
      <c r="Q1597" s="499"/>
      <c r="Y1597" s="535" t="str">
        <f t="shared" si="160"/>
        <v>2016OverallageTotal&lt;20infant</v>
      </c>
      <c r="Z1597" s="604">
        <v>2016</v>
      </c>
      <c r="AA1597" s="604" t="s">
        <v>104</v>
      </c>
      <c r="AB1597" s="604" t="s">
        <v>453</v>
      </c>
      <c r="AC1597" s="604" t="s">
        <v>44</v>
      </c>
      <c r="AD1597" s="604" t="s">
        <v>339</v>
      </c>
      <c r="AE1597" s="604">
        <v>27</v>
      </c>
      <c r="AF1597" s="604">
        <v>2559</v>
      </c>
      <c r="AG1597" s="604">
        <v>10.6</v>
      </c>
      <c r="AH1597" s="604" t="s">
        <v>437</v>
      </c>
      <c r="BY1597" s="575" t="str">
        <f t="shared" si="162"/>
        <v>2015TairawhitidhbSUDI</v>
      </c>
      <c r="BZ1597" s="604">
        <v>2015</v>
      </c>
      <c r="CA1597" s="604" t="s">
        <v>433</v>
      </c>
      <c r="CB1597" s="604" t="s">
        <v>448</v>
      </c>
      <c r="CC1597" s="604">
        <v>0</v>
      </c>
      <c r="CD1597" s="604" t="s">
        <v>33</v>
      </c>
    </row>
    <row r="1598" spans="9:82">
      <c r="I1598" s="578" t="str">
        <f t="shared" si="159"/>
        <v>2016depQuin 9Peri</v>
      </c>
      <c r="J1598" s="604">
        <v>2016</v>
      </c>
      <c r="K1598" s="604" t="s">
        <v>454</v>
      </c>
      <c r="L1598" s="604" t="s">
        <v>426</v>
      </c>
      <c r="M1598" s="604">
        <v>23</v>
      </c>
      <c r="N1598" s="604">
        <v>153</v>
      </c>
      <c r="O1598" s="604" t="s">
        <v>119</v>
      </c>
      <c r="P1598" s="604" t="s">
        <v>483</v>
      </c>
      <c r="Q1598" s="499"/>
      <c r="Y1598" s="535" t="str">
        <f t="shared" si="160"/>
        <v>2016OverallageTotal20-24infant</v>
      </c>
      <c r="Z1598" s="604">
        <v>2016</v>
      </c>
      <c r="AA1598" s="604" t="s">
        <v>104</v>
      </c>
      <c r="AB1598" s="604" t="s">
        <v>453</v>
      </c>
      <c r="AC1598" s="604" t="s">
        <v>44</v>
      </c>
      <c r="AD1598" s="604" t="s">
        <v>130</v>
      </c>
      <c r="AE1598" s="604">
        <v>61</v>
      </c>
      <c r="AF1598" s="604">
        <v>9934</v>
      </c>
      <c r="AG1598" s="604">
        <v>6.1</v>
      </c>
      <c r="AH1598" s="604" t="s">
        <v>437</v>
      </c>
      <c r="BY1598" s="575" t="str">
        <f t="shared" si="162"/>
        <v>2015Hawke's BaydhbSUDI</v>
      </c>
      <c r="BZ1598" s="604">
        <v>2015</v>
      </c>
      <c r="CA1598" s="604" t="s">
        <v>92</v>
      </c>
      <c r="CB1598" s="604" t="s">
        <v>448</v>
      </c>
      <c r="CC1598" s="604">
        <v>1</v>
      </c>
      <c r="CD1598" s="604" t="s">
        <v>33</v>
      </c>
    </row>
    <row r="1599" spans="9:82">
      <c r="I1599" s="578" t="str">
        <f t="shared" si="159"/>
        <v>1996bwt&lt;500Peri</v>
      </c>
      <c r="J1599" s="604">
        <v>1996</v>
      </c>
      <c r="K1599" s="604" t="s">
        <v>447</v>
      </c>
      <c r="L1599" s="604" t="s">
        <v>427</v>
      </c>
      <c r="M1599" s="604">
        <v>159</v>
      </c>
      <c r="N1599" s="604">
        <v>161</v>
      </c>
      <c r="O1599" s="604">
        <v>987.6</v>
      </c>
      <c r="P1599" s="604" t="s">
        <v>483</v>
      </c>
      <c r="Q1599" s="499"/>
      <c r="Y1599" s="535" t="str">
        <f t="shared" si="160"/>
        <v>2016OverallageTotal25-29infant</v>
      </c>
      <c r="Z1599" s="604">
        <v>2016</v>
      </c>
      <c r="AA1599" s="604" t="s">
        <v>104</v>
      </c>
      <c r="AB1599" s="604" t="s">
        <v>453</v>
      </c>
      <c r="AC1599" s="604" t="s">
        <v>44</v>
      </c>
      <c r="AD1599" s="604" t="s">
        <v>131</v>
      </c>
      <c r="AE1599" s="604">
        <v>52</v>
      </c>
      <c r="AF1599" s="604">
        <v>16664</v>
      </c>
      <c r="AG1599" s="604">
        <v>3.1</v>
      </c>
      <c r="AH1599" s="604" t="s">
        <v>437</v>
      </c>
      <c r="BY1599" s="575" t="str">
        <f t="shared" si="162"/>
        <v>2015TaranakidhbSUDI</v>
      </c>
      <c r="BZ1599" s="604">
        <v>2015</v>
      </c>
      <c r="CA1599" s="604" t="s">
        <v>93</v>
      </c>
      <c r="CB1599" s="604" t="s">
        <v>448</v>
      </c>
      <c r="CC1599" s="604">
        <v>1</v>
      </c>
      <c r="CD1599" s="604" t="s">
        <v>33</v>
      </c>
    </row>
    <row r="1600" spans="9:82">
      <c r="I1600" s="578" t="str">
        <f t="shared" si="159"/>
        <v>1996bwt500-999Peri</v>
      </c>
      <c r="J1600" s="604">
        <v>1996</v>
      </c>
      <c r="K1600" s="604" t="s">
        <v>447</v>
      </c>
      <c r="L1600" s="604" t="s">
        <v>428</v>
      </c>
      <c r="M1600" s="604">
        <v>151</v>
      </c>
      <c r="N1600" s="604">
        <v>309</v>
      </c>
      <c r="O1600" s="604">
        <v>488.7</v>
      </c>
      <c r="P1600" s="604" t="s">
        <v>483</v>
      </c>
      <c r="Q1600" s="499"/>
      <c r="Y1600" s="535" t="str">
        <f t="shared" si="160"/>
        <v>2016OverallageTotal30-34infant</v>
      </c>
      <c r="Z1600" s="604">
        <v>2016</v>
      </c>
      <c r="AA1600" s="604" t="s">
        <v>104</v>
      </c>
      <c r="AB1600" s="604" t="s">
        <v>453</v>
      </c>
      <c r="AC1600" s="604" t="s">
        <v>44</v>
      </c>
      <c r="AD1600" s="604" t="s">
        <v>132</v>
      </c>
      <c r="AE1600" s="604">
        <v>59</v>
      </c>
      <c r="AF1600" s="604">
        <v>18720</v>
      </c>
      <c r="AG1600" s="604">
        <v>3.2</v>
      </c>
      <c r="AH1600" s="604" t="s">
        <v>437</v>
      </c>
      <c r="BY1600" s="575" t="str">
        <f t="shared" si="162"/>
        <v>2015MidCentraldhbSUDI</v>
      </c>
      <c r="BZ1600" s="604">
        <v>2015</v>
      </c>
      <c r="CA1600" s="604" t="s">
        <v>94</v>
      </c>
      <c r="CB1600" s="604" t="s">
        <v>448</v>
      </c>
      <c r="CC1600" s="604">
        <v>2</v>
      </c>
      <c r="CD1600" s="604" t="s">
        <v>33</v>
      </c>
    </row>
    <row r="1601" spans="9:82">
      <c r="I1601" s="578" t="str">
        <f t="shared" si="159"/>
        <v>1996bwt1000-1499Peri</v>
      </c>
      <c r="J1601" s="604">
        <v>1996</v>
      </c>
      <c r="K1601" s="604" t="s">
        <v>447</v>
      </c>
      <c r="L1601" s="604" t="s">
        <v>429</v>
      </c>
      <c r="M1601" s="604">
        <v>44</v>
      </c>
      <c r="N1601" s="604">
        <v>400</v>
      </c>
      <c r="O1601" s="604">
        <v>110</v>
      </c>
      <c r="P1601" s="604" t="s">
        <v>483</v>
      </c>
      <c r="Q1601" s="499"/>
      <c r="Y1601" s="535" t="str">
        <f t="shared" si="160"/>
        <v>2016OverallageTotal35-39infant</v>
      </c>
      <c r="Z1601" s="604">
        <v>2016</v>
      </c>
      <c r="AA1601" s="604" t="s">
        <v>104</v>
      </c>
      <c r="AB1601" s="604" t="s">
        <v>453</v>
      </c>
      <c r="AC1601" s="604" t="s">
        <v>44</v>
      </c>
      <c r="AD1601" s="604" t="s">
        <v>133</v>
      </c>
      <c r="AE1601" s="604">
        <v>26</v>
      </c>
      <c r="AF1601" s="604">
        <v>10105</v>
      </c>
      <c r="AG1601" s="604">
        <v>2.6</v>
      </c>
      <c r="AH1601" s="604" t="s">
        <v>437</v>
      </c>
      <c r="BY1601" s="575" t="str">
        <f t="shared" si="162"/>
        <v>2015WhanganuidhbSUDI</v>
      </c>
      <c r="BZ1601" s="604">
        <v>2015</v>
      </c>
      <c r="CA1601" s="604" t="s">
        <v>95</v>
      </c>
      <c r="CB1601" s="604" t="s">
        <v>448</v>
      </c>
      <c r="CC1601" s="604">
        <v>1</v>
      </c>
      <c r="CD1601" s="604" t="s">
        <v>33</v>
      </c>
    </row>
    <row r="1602" spans="9:82">
      <c r="I1602" s="578" t="str">
        <f t="shared" si="159"/>
        <v>1996bwt1500-2499Peri</v>
      </c>
      <c r="J1602" s="604">
        <v>1996</v>
      </c>
      <c r="K1602" s="604" t="s">
        <v>447</v>
      </c>
      <c r="L1602" s="604" t="s">
        <v>430</v>
      </c>
      <c r="M1602" s="604">
        <v>88</v>
      </c>
      <c r="N1602" s="604">
        <v>3039</v>
      </c>
      <c r="O1602" s="604">
        <v>29</v>
      </c>
      <c r="P1602" s="604" t="s">
        <v>483</v>
      </c>
      <c r="Q1602" s="499"/>
      <c r="Y1602" s="535" t="str">
        <f t="shared" si="160"/>
        <v>2016OverallageTotal40+infant</v>
      </c>
      <c r="Z1602" s="604">
        <v>2016</v>
      </c>
      <c r="AA1602" s="604" t="s">
        <v>104</v>
      </c>
      <c r="AB1602" s="604" t="s">
        <v>453</v>
      </c>
      <c r="AC1602" s="604" t="s">
        <v>44</v>
      </c>
      <c r="AD1602" s="604" t="s">
        <v>134</v>
      </c>
      <c r="AE1602" s="604">
        <v>15</v>
      </c>
      <c r="AF1602" s="604">
        <v>2454</v>
      </c>
      <c r="AG1602" s="604">
        <v>6.1</v>
      </c>
      <c r="AH1602" s="604" t="s">
        <v>437</v>
      </c>
      <c r="BY1602" s="575" t="str">
        <f t="shared" si="162"/>
        <v>2015Capital &amp; CoastdhbSUDI</v>
      </c>
      <c r="BZ1602" s="604">
        <v>2015</v>
      </c>
      <c r="CA1602" s="604" t="s">
        <v>96</v>
      </c>
      <c r="CB1602" s="604" t="s">
        <v>448</v>
      </c>
      <c r="CC1602" s="604">
        <v>3</v>
      </c>
      <c r="CD1602" s="604" t="s">
        <v>33</v>
      </c>
    </row>
    <row r="1603" spans="9:82">
      <c r="I1603" s="578" t="str">
        <f t="shared" si="159"/>
        <v>1996bwt2500-4499Peri</v>
      </c>
      <c r="J1603" s="604">
        <v>1996</v>
      </c>
      <c r="K1603" s="604" t="s">
        <v>447</v>
      </c>
      <c r="L1603" s="604" t="s">
        <v>431</v>
      </c>
      <c r="M1603" s="604">
        <v>128</v>
      </c>
      <c r="N1603" s="604">
        <v>52469</v>
      </c>
      <c r="O1603" s="604">
        <v>2.4</v>
      </c>
      <c r="P1603" s="604" t="s">
        <v>483</v>
      </c>
      <c r="Q1603" s="499"/>
      <c r="Y1603" s="535" t="str">
        <f t="shared" si="160"/>
        <v>2016OveralldepTotalQuin 1infant</v>
      </c>
      <c r="Z1603" s="604">
        <v>2016</v>
      </c>
      <c r="AA1603" s="604" t="s">
        <v>104</v>
      </c>
      <c r="AB1603" s="604" t="s">
        <v>454</v>
      </c>
      <c r="AC1603" s="604" t="s">
        <v>44</v>
      </c>
      <c r="AD1603" s="604" t="s">
        <v>421</v>
      </c>
      <c r="AE1603" s="604">
        <v>24</v>
      </c>
      <c r="AF1603" s="604">
        <v>9194</v>
      </c>
      <c r="AG1603" s="604">
        <v>2.6</v>
      </c>
      <c r="AH1603" s="604" t="s">
        <v>437</v>
      </c>
      <c r="BY1603" s="575" t="str">
        <f t="shared" si="162"/>
        <v>2015Hutt ValleydhbSUDI</v>
      </c>
      <c r="BZ1603" s="604">
        <v>2015</v>
      </c>
      <c r="CA1603" s="604" t="s">
        <v>97</v>
      </c>
      <c r="CB1603" s="604" t="s">
        <v>448</v>
      </c>
      <c r="CC1603" s="604">
        <v>1</v>
      </c>
      <c r="CD1603" s="604" t="s">
        <v>33</v>
      </c>
    </row>
    <row r="1604" spans="9:82">
      <c r="I1604" s="578" t="str">
        <f t="shared" ref="I1604:I1667" si="163">J1604&amp;K1604&amp;L1604&amp;P1604</f>
        <v>1996bwt4500+Peri</v>
      </c>
      <c r="J1604" s="604">
        <v>1996</v>
      </c>
      <c r="K1604" s="604" t="s">
        <v>447</v>
      </c>
      <c r="L1604" s="604" t="s">
        <v>432</v>
      </c>
      <c r="M1604" s="604">
        <v>6</v>
      </c>
      <c r="N1604" s="604">
        <v>1344</v>
      </c>
      <c r="O1604" s="604">
        <v>4.5</v>
      </c>
      <c r="P1604" s="604" t="s">
        <v>483</v>
      </c>
      <c r="Q1604" s="499"/>
      <c r="Y1604" s="535" t="str">
        <f t="shared" ref="Y1604:Y1667" si="164">Z1604&amp;AA1604&amp;AB1604&amp;AC1604&amp;AD1604&amp;AH1604</f>
        <v>2016OveralldepTotalQuin 2infant</v>
      </c>
      <c r="Z1604" s="604">
        <v>2016</v>
      </c>
      <c r="AA1604" s="604" t="s">
        <v>104</v>
      </c>
      <c r="AB1604" s="604" t="s">
        <v>454</v>
      </c>
      <c r="AC1604" s="604" t="s">
        <v>44</v>
      </c>
      <c r="AD1604" s="604" t="s">
        <v>422</v>
      </c>
      <c r="AE1604" s="604">
        <v>24</v>
      </c>
      <c r="AF1604" s="604">
        <v>10123</v>
      </c>
      <c r="AG1604" s="604">
        <v>2.4</v>
      </c>
      <c r="AH1604" s="604" t="s">
        <v>437</v>
      </c>
      <c r="BY1604" s="575" t="str">
        <f t="shared" si="162"/>
        <v>2015WairarapadhbSUDI</v>
      </c>
      <c r="BZ1604" s="604">
        <v>2015</v>
      </c>
      <c r="CA1604" s="604" t="s">
        <v>98</v>
      </c>
      <c r="CB1604" s="604" t="s">
        <v>448</v>
      </c>
      <c r="CC1604" s="604">
        <v>0</v>
      </c>
      <c r="CD1604" s="604" t="s">
        <v>33</v>
      </c>
    </row>
    <row r="1605" spans="9:82">
      <c r="I1605" s="578" t="str">
        <f t="shared" si="163"/>
        <v>1996bwtUnknownPeri</v>
      </c>
      <c r="J1605" s="604">
        <v>1996</v>
      </c>
      <c r="K1605" s="604" t="s">
        <v>447</v>
      </c>
      <c r="L1605" s="604" t="s">
        <v>63</v>
      </c>
      <c r="M1605" s="604">
        <v>6</v>
      </c>
      <c r="N1605" s="604">
        <v>121</v>
      </c>
      <c r="O1605" s="604" t="s">
        <v>119</v>
      </c>
      <c r="P1605" s="604" t="s">
        <v>483</v>
      </c>
      <c r="Q1605" s="499"/>
      <c r="Y1605" s="535" t="str">
        <f t="shared" si="164"/>
        <v>2016OveralldepTotalQuin 3infant</v>
      </c>
      <c r="Z1605" s="604">
        <v>2016</v>
      </c>
      <c r="AA1605" s="604" t="s">
        <v>104</v>
      </c>
      <c r="AB1605" s="604" t="s">
        <v>454</v>
      </c>
      <c r="AC1605" s="604" t="s">
        <v>44</v>
      </c>
      <c r="AD1605" s="604" t="s">
        <v>423</v>
      </c>
      <c r="AE1605" s="604">
        <v>32</v>
      </c>
      <c r="AF1605" s="604">
        <v>10971</v>
      </c>
      <c r="AG1605" s="604">
        <v>2.9</v>
      </c>
      <c r="AH1605" s="604" t="s">
        <v>437</v>
      </c>
      <c r="BY1605" s="575" t="str">
        <f t="shared" si="162"/>
        <v>2015Nelson MarlboroughdhbSUDI</v>
      </c>
      <c r="BZ1605" s="604">
        <v>2015</v>
      </c>
      <c r="CA1605" s="604" t="s">
        <v>99</v>
      </c>
      <c r="CB1605" s="604" t="s">
        <v>448</v>
      </c>
      <c r="CC1605" s="604">
        <v>0</v>
      </c>
      <c r="CD1605" s="604" t="s">
        <v>33</v>
      </c>
    </row>
    <row r="1606" spans="9:82">
      <c r="I1606" s="578" t="str">
        <f t="shared" si="163"/>
        <v>1997bwt&lt;500Peri</v>
      </c>
      <c r="J1606" s="604">
        <v>1997</v>
      </c>
      <c r="K1606" s="604" t="s">
        <v>447</v>
      </c>
      <c r="L1606" s="604" t="s">
        <v>427</v>
      </c>
      <c r="M1606" s="604">
        <v>173</v>
      </c>
      <c r="N1606" s="604">
        <v>168</v>
      </c>
      <c r="O1606" s="604" t="s">
        <v>119</v>
      </c>
      <c r="P1606" s="604" t="s">
        <v>483</v>
      </c>
      <c r="Q1606" s="499"/>
      <c r="Y1606" s="535" t="str">
        <f t="shared" si="164"/>
        <v>2016OveralldepTotalQuin 4infant</v>
      </c>
      <c r="Z1606" s="604">
        <v>2016</v>
      </c>
      <c r="AA1606" s="604" t="s">
        <v>104</v>
      </c>
      <c r="AB1606" s="604" t="s">
        <v>454</v>
      </c>
      <c r="AC1606" s="604" t="s">
        <v>44</v>
      </c>
      <c r="AD1606" s="604" t="s">
        <v>424</v>
      </c>
      <c r="AE1606" s="604">
        <v>52</v>
      </c>
      <c r="AF1606" s="604">
        <v>13131</v>
      </c>
      <c r="AG1606" s="604">
        <v>4</v>
      </c>
      <c r="AH1606" s="604" t="s">
        <v>437</v>
      </c>
      <c r="BY1606" s="575" t="str">
        <f t="shared" si="162"/>
        <v>2015West CoastdhbSUDI</v>
      </c>
      <c r="BZ1606" s="604">
        <v>2015</v>
      </c>
      <c r="CA1606" s="604" t="s">
        <v>100</v>
      </c>
      <c r="CB1606" s="604" t="s">
        <v>448</v>
      </c>
      <c r="CC1606" s="604">
        <v>0</v>
      </c>
      <c r="CD1606" s="604" t="s">
        <v>33</v>
      </c>
    </row>
    <row r="1607" spans="9:82">
      <c r="I1607" s="578" t="str">
        <f t="shared" si="163"/>
        <v>1997bwt500-999Peri</v>
      </c>
      <c r="J1607" s="604">
        <v>1997</v>
      </c>
      <c r="K1607" s="604" t="s">
        <v>447</v>
      </c>
      <c r="L1607" s="604" t="s">
        <v>428</v>
      </c>
      <c r="M1607" s="604">
        <v>139</v>
      </c>
      <c r="N1607" s="604">
        <v>323</v>
      </c>
      <c r="O1607" s="604">
        <v>430.3</v>
      </c>
      <c r="P1607" s="604" t="s">
        <v>483</v>
      </c>
      <c r="Q1607" s="499"/>
      <c r="Y1607" s="535" t="str">
        <f t="shared" si="164"/>
        <v>2016OveralldepTotalQuin 5infant</v>
      </c>
      <c r="Z1607" s="604">
        <v>2016</v>
      </c>
      <c r="AA1607" s="604" t="s">
        <v>104</v>
      </c>
      <c r="AB1607" s="604" t="s">
        <v>454</v>
      </c>
      <c r="AC1607" s="604" t="s">
        <v>44</v>
      </c>
      <c r="AD1607" s="604" t="s">
        <v>425</v>
      </c>
      <c r="AE1607" s="604">
        <v>107</v>
      </c>
      <c r="AF1607" s="604">
        <v>16886</v>
      </c>
      <c r="AG1607" s="604">
        <v>6.3</v>
      </c>
      <c r="AH1607" s="604" t="s">
        <v>437</v>
      </c>
      <c r="BY1607" s="575" t="str">
        <f t="shared" si="162"/>
        <v>2015CanterburydhbSUDI</v>
      </c>
      <c r="BZ1607" s="604">
        <v>2015</v>
      </c>
      <c r="CA1607" s="604" t="s">
        <v>101</v>
      </c>
      <c r="CB1607" s="604" t="s">
        <v>448</v>
      </c>
      <c r="CC1607" s="604">
        <v>4</v>
      </c>
      <c r="CD1607" s="604" t="s">
        <v>33</v>
      </c>
    </row>
    <row r="1608" spans="9:82">
      <c r="I1608" s="578" t="str">
        <f t="shared" si="163"/>
        <v>1997bwt1000-1499Peri</v>
      </c>
      <c r="J1608" s="604">
        <v>1997</v>
      </c>
      <c r="K1608" s="604" t="s">
        <v>447</v>
      </c>
      <c r="L1608" s="604" t="s">
        <v>429</v>
      </c>
      <c r="M1608" s="604">
        <v>52</v>
      </c>
      <c r="N1608" s="604">
        <v>388</v>
      </c>
      <c r="O1608" s="604">
        <v>134</v>
      </c>
      <c r="P1608" s="604" t="s">
        <v>483</v>
      </c>
      <c r="Q1608" s="499"/>
      <c r="Y1608" s="535" t="str">
        <f t="shared" si="164"/>
        <v>2016OveralldepTotalQuin 9infant</v>
      </c>
      <c r="Z1608" s="604">
        <v>2016</v>
      </c>
      <c r="AA1608" s="604" t="s">
        <v>104</v>
      </c>
      <c r="AB1608" s="604" t="s">
        <v>454</v>
      </c>
      <c r="AC1608" s="604" t="s">
        <v>44</v>
      </c>
      <c r="AD1608" s="604" t="s">
        <v>426</v>
      </c>
      <c r="AE1608" s="604">
        <v>2</v>
      </c>
      <c r="AF1608" s="604">
        <v>131</v>
      </c>
      <c r="AG1608" s="604" t="s">
        <v>119</v>
      </c>
      <c r="AH1608" s="604" t="s">
        <v>437</v>
      </c>
      <c r="BY1608" s="575" t="str">
        <f t="shared" si="162"/>
        <v>2015South CanterburydhbSUDI</v>
      </c>
      <c r="BZ1608" s="604">
        <v>2015</v>
      </c>
      <c r="CA1608" s="604" t="s">
        <v>102</v>
      </c>
      <c r="CB1608" s="604" t="s">
        <v>448</v>
      </c>
      <c r="CC1608" s="604">
        <v>0</v>
      </c>
      <c r="CD1608" s="604" t="s">
        <v>33</v>
      </c>
    </row>
    <row r="1609" spans="9:82">
      <c r="I1609" s="578" t="str">
        <f t="shared" si="163"/>
        <v>1997bwt1500-2499Peri</v>
      </c>
      <c r="J1609" s="604">
        <v>1997</v>
      </c>
      <c r="K1609" s="604" t="s">
        <v>447</v>
      </c>
      <c r="L1609" s="604" t="s">
        <v>430</v>
      </c>
      <c r="M1609" s="604">
        <v>69</v>
      </c>
      <c r="N1609" s="604">
        <v>3029</v>
      </c>
      <c r="O1609" s="604">
        <v>22.8</v>
      </c>
      <c r="P1609" s="604" t="s">
        <v>483</v>
      </c>
      <c r="Q1609" s="499"/>
      <c r="Y1609" s="535" t="str">
        <f t="shared" si="164"/>
        <v>2016OverallgestTotal&lt;28infant</v>
      </c>
      <c r="Z1609" s="604">
        <v>2016</v>
      </c>
      <c r="AA1609" s="604" t="s">
        <v>104</v>
      </c>
      <c r="AB1609" s="604" t="s">
        <v>450</v>
      </c>
      <c r="AC1609" s="604" t="s">
        <v>44</v>
      </c>
      <c r="AD1609" s="604" t="s">
        <v>375</v>
      </c>
      <c r="AE1609" s="604">
        <v>96</v>
      </c>
      <c r="AF1609" s="604">
        <v>260</v>
      </c>
      <c r="AG1609" s="604">
        <v>369.2</v>
      </c>
      <c r="AH1609" s="604" t="s">
        <v>437</v>
      </c>
      <c r="BY1609" s="575" t="str">
        <f t="shared" si="162"/>
        <v>2015SoutherndhbSUDI</v>
      </c>
      <c r="BZ1609" s="604">
        <v>2015</v>
      </c>
      <c r="CA1609" s="604" t="s">
        <v>103</v>
      </c>
      <c r="CB1609" s="604" t="s">
        <v>448</v>
      </c>
      <c r="CC1609" s="604">
        <v>2</v>
      </c>
      <c r="CD1609" s="604" t="s">
        <v>33</v>
      </c>
    </row>
    <row r="1610" spans="9:82">
      <c r="I1610" s="578" t="str">
        <f t="shared" si="163"/>
        <v>1997bwt2500-4499Peri</v>
      </c>
      <c r="J1610" s="604">
        <v>1997</v>
      </c>
      <c r="K1610" s="604" t="s">
        <v>447</v>
      </c>
      <c r="L1610" s="604" t="s">
        <v>431</v>
      </c>
      <c r="M1610" s="604">
        <v>129</v>
      </c>
      <c r="N1610" s="604">
        <v>52798</v>
      </c>
      <c r="O1610" s="604">
        <v>2.4</v>
      </c>
      <c r="P1610" s="604" t="s">
        <v>483</v>
      </c>
      <c r="Q1610" s="499"/>
      <c r="Y1610" s="535" t="str">
        <f t="shared" si="164"/>
        <v>2016OverallgestTotal28-31infant</v>
      </c>
      <c r="Z1610" s="604">
        <v>2016</v>
      </c>
      <c r="AA1610" s="604" t="s">
        <v>104</v>
      </c>
      <c r="AB1610" s="604" t="s">
        <v>450</v>
      </c>
      <c r="AC1610" s="604" t="s">
        <v>44</v>
      </c>
      <c r="AD1610" s="604" t="s">
        <v>395</v>
      </c>
      <c r="AE1610" s="604">
        <v>14</v>
      </c>
      <c r="AF1610" s="604">
        <v>417</v>
      </c>
      <c r="AG1610" s="604">
        <v>33.6</v>
      </c>
      <c r="AH1610" s="604" t="s">
        <v>437</v>
      </c>
      <c r="BY1610" s="575" t="str">
        <f t="shared" si="162"/>
        <v>2015UnknowndhbSUDI</v>
      </c>
      <c r="BZ1610" s="604">
        <v>2015</v>
      </c>
      <c r="CA1610" s="604" t="s">
        <v>63</v>
      </c>
      <c r="CB1610" s="604" t="s">
        <v>448</v>
      </c>
      <c r="CC1610" s="604">
        <v>0</v>
      </c>
      <c r="CD1610" s="604" t="s">
        <v>33</v>
      </c>
    </row>
    <row r="1611" spans="9:82">
      <c r="I1611" s="578" t="str">
        <f t="shared" si="163"/>
        <v>1997bwt4500+Peri</v>
      </c>
      <c r="J1611" s="604">
        <v>1997</v>
      </c>
      <c r="K1611" s="604" t="s">
        <v>447</v>
      </c>
      <c r="L1611" s="604" t="s">
        <v>432</v>
      </c>
      <c r="M1611" s="604">
        <v>3</v>
      </c>
      <c r="N1611" s="604">
        <v>1353</v>
      </c>
      <c r="O1611" s="604">
        <v>2.2000000000000002</v>
      </c>
      <c r="P1611" s="604" t="s">
        <v>483</v>
      </c>
      <c r="Q1611" s="499"/>
      <c r="Y1611" s="535" t="str">
        <f t="shared" si="164"/>
        <v>2016OverallgestTotal32-36infant</v>
      </c>
      <c r="Z1611" s="604">
        <v>2016</v>
      </c>
      <c r="AA1611" s="604" t="s">
        <v>104</v>
      </c>
      <c r="AB1611" s="604" t="s">
        <v>450</v>
      </c>
      <c r="AC1611" s="604" t="s">
        <v>44</v>
      </c>
      <c r="AD1611" s="604" t="s">
        <v>136</v>
      </c>
      <c r="AE1611" s="604">
        <v>23</v>
      </c>
      <c r="AF1611" s="604">
        <v>3814</v>
      </c>
      <c r="AG1611" s="604">
        <v>6</v>
      </c>
      <c r="AH1611" s="604" t="s">
        <v>437</v>
      </c>
      <c r="BY1611" s="575" t="str">
        <f t="shared" si="162"/>
        <v>2016NorthlanddhbSUDI</v>
      </c>
      <c r="BZ1611" s="604">
        <v>2016</v>
      </c>
      <c r="CA1611" s="604" t="s">
        <v>85</v>
      </c>
      <c r="CB1611" s="604" t="s">
        <v>448</v>
      </c>
      <c r="CC1611" s="604">
        <v>1</v>
      </c>
      <c r="CD1611" s="604" t="s">
        <v>33</v>
      </c>
    </row>
    <row r="1612" spans="9:82">
      <c r="I1612" s="578" t="str">
        <f t="shared" si="163"/>
        <v>1997bwtUnknownPeri</v>
      </c>
      <c r="J1612" s="604">
        <v>1997</v>
      </c>
      <c r="K1612" s="604" t="s">
        <v>447</v>
      </c>
      <c r="L1612" s="604" t="s">
        <v>63</v>
      </c>
      <c r="M1612" s="604">
        <v>23</v>
      </c>
      <c r="N1612" s="604">
        <v>92</v>
      </c>
      <c r="O1612" s="604" t="s">
        <v>119</v>
      </c>
      <c r="P1612" s="604" t="s">
        <v>483</v>
      </c>
      <c r="Q1612" s="499"/>
      <c r="Y1612" s="535" t="str">
        <f t="shared" si="164"/>
        <v>2016OverallgestTotal37-41infant</v>
      </c>
      <c r="Z1612" s="604">
        <v>2016</v>
      </c>
      <c r="AA1612" s="604" t="s">
        <v>104</v>
      </c>
      <c r="AB1612" s="604" t="s">
        <v>450</v>
      </c>
      <c r="AC1612" s="604" t="s">
        <v>44</v>
      </c>
      <c r="AD1612" s="604" t="s">
        <v>137</v>
      </c>
      <c r="AE1612" s="604">
        <v>91</v>
      </c>
      <c r="AF1612" s="604">
        <v>54899</v>
      </c>
      <c r="AG1612" s="604">
        <v>1.7</v>
      </c>
      <c r="AH1612" s="604" t="s">
        <v>437</v>
      </c>
      <c r="BY1612" s="575" t="str">
        <f t="shared" si="162"/>
        <v>2016WaitematadhbSUDI</v>
      </c>
      <c r="BZ1612" s="604">
        <v>2016</v>
      </c>
      <c r="CA1612" s="604" t="s">
        <v>86</v>
      </c>
      <c r="CB1612" s="604" t="s">
        <v>448</v>
      </c>
      <c r="CC1612" s="604">
        <v>3</v>
      </c>
      <c r="CD1612" s="604" t="s">
        <v>33</v>
      </c>
    </row>
    <row r="1613" spans="9:82">
      <c r="I1613" s="578" t="str">
        <f t="shared" si="163"/>
        <v>1998bwt&lt;500Peri</v>
      </c>
      <c r="J1613" s="604">
        <v>1998</v>
      </c>
      <c r="K1613" s="604" t="s">
        <v>447</v>
      </c>
      <c r="L1613" s="604" t="s">
        <v>427</v>
      </c>
      <c r="M1613" s="604">
        <v>131</v>
      </c>
      <c r="N1613" s="604">
        <v>137</v>
      </c>
      <c r="O1613" s="604">
        <v>956.2</v>
      </c>
      <c r="P1613" s="604" t="s">
        <v>483</v>
      </c>
      <c r="Q1613" s="499"/>
      <c r="Y1613" s="535" t="str">
        <f t="shared" si="164"/>
        <v>2016OverallgestTotal42+infant</v>
      </c>
      <c r="Z1613" s="604">
        <v>2016</v>
      </c>
      <c r="AA1613" s="604" t="s">
        <v>104</v>
      </c>
      <c r="AB1613" s="604" t="s">
        <v>450</v>
      </c>
      <c r="AC1613" s="604" t="s">
        <v>44</v>
      </c>
      <c r="AD1613" s="604" t="s">
        <v>138</v>
      </c>
      <c r="AE1613" s="604">
        <v>4</v>
      </c>
      <c r="AF1613" s="604">
        <v>1017</v>
      </c>
      <c r="AG1613" s="604">
        <v>3.9</v>
      </c>
      <c r="AH1613" s="604" t="s">
        <v>437</v>
      </c>
      <c r="BY1613" s="575" t="str">
        <f t="shared" si="162"/>
        <v>2016AucklanddhbSUDI</v>
      </c>
      <c r="BZ1613" s="604">
        <v>2016</v>
      </c>
      <c r="CA1613" s="604" t="s">
        <v>87</v>
      </c>
      <c r="CB1613" s="604" t="s">
        <v>448</v>
      </c>
      <c r="CC1613" s="604">
        <v>2</v>
      </c>
      <c r="CD1613" s="604" t="s">
        <v>33</v>
      </c>
    </row>
    <row r="1614" spans="9:82">
      <c r="I1614" s="578" t="str">
        <f t="shared" si="163"/>
        <v>1998bwt500-999Peri</v>
      </c>
      <c r="J1614" s="604">
        <v>1998</v>
      </c>
      <c r="K1614" s="604" t="s">
        <v>447</v>
      </c>
      <c r="L1614" s="604" t="s">
        <v>428</v>
      </c>
      <c r="M1614" s="604">
        <v>123</v>
      </c>
      <c r="N1614" s="604">
        <v>311</v>
      </c>
      <c r="O1614" s="604">
        <v>395.5</v>
      </c>
      <c r="P1614" s="604" t="s">
        <v>483</v>
      </c>
      <c r="Q1614" s="499"/>
      <c r="Y1614" s="535" t="str">
        <f t="shared" si="164"/>
        <v>2016OverallgestTotalUnknowninfant</v>
      </c>
      <c r="Z1614" s="604">
        <v>2016</v>
      </c>
      <c r="AA1614" s="604" t="s">
        <v>104</v>
      </c>
      <c r="AB1614" s="604" t="s">
        <v>450</v>
      </c>
      <c r="AC1614" s="604" t="s">
        <v>44</v>
      </c>
      <c r="AD1614" s="604" t="s">
        <v>63</v>
      </c>
      <c r="AE1614" s="604">
        <v>13</v>
      </c>
      <c r="AF1614" s="604">
        <v>29</v>
      </c>
      <c r="AG1614" s="604" t="s">
        <v>119</v>
      </c>
      <c r="AH1614" s="604" t="s">
        <v>437</v>
      </c>
      <c r="BY1614" s="575" t="str">
        <f t="shared" si="162"/>
        <v>2016Counties ManukaudhbSUDI</v>
      </c>
      <c r="BZ1614" s="604">
        <v>2016</v>
      </c>
      <c r="CA1614" s="604" t="s">
        <v>88</v>
      </c>
      <c r="CB1614" s="604" t="s">
        <v>448</v>
      </c>
      <c r="CC1614" s="604">
        <v>10</v>
      </c>
      <c r="CD1614" s="604" t="s">
        <v>33</v>
      </c>
    </row>
    <row r="1615" spans="9:82">
      <c r="I1615" s="578" t="str">
        <f t="shared" si="163"/>
        <v>1998bwt1000-1499Peri</v>
      </c>
      <c r="J1615" s="604">
        <v>1998</v>
      </c>
      <c r="K1615" s="604" t="s">
        <v>447</v>
      </c>
      <c r="L1615" s="604" t="s">
        <v>429</v>
      </c>
      <c r="M1615" s="604">
        <v>39</v>
      </c>
      <c r="N1615" s="604">
        <v>382</v>
      </c>
      <c r="O1615" s="604">
        <v>102.1</v>
      </c>
      <c r="P1615" s="604" t="s">
        <v>483</v>
      </c>
      <c r="Q1615" s="499"/>
      <c r="Y1615" s="535" t="str">
        <f t="shared" si="164"/>
        <v>2016OverallbwtTotal&lt;500infant</v>
      </c>
      <c r="Z1615" s="604">
        <v>2016</v>
      </c>
      <c r="AA1615" s="604" t="s">
        <v>104</v>
      </c>
      <c r="AB1615" s="604" t="s">
        <v>447</v>
      </c>
      <c r="AC1615" s="604" t="s">
        <v>44</v>
      </c>
      <c r="AD1615" s="604" t="s">
        <v>427</v>
      </c>
      <c r="AE1615" s="604">
        <v>37</v>
      </c>
      <c r="AF1615" s="604">
        <v>53</v>
      </c>
      <c r="AG1615" s="604">
        <v>698.1</v>
      </c>
      <c r="AH1615" s="604" t="s">
        <v>437</v>
      </c>
      <c r="BY1615" s="575" t="str">
        <f t="shared" si="162"/>
        <v>2016WaikatodhbSUDI</v>
      </c>
      <c r="BZ1615" s="604">
        <v>2016</v>
      </c>
      <c r="CA1615" s="604" t="s">
        <v>89</v>
      </c>
      <c r="CB1615" s="604" t="s">
        <v>448</v>
      </c>
      <c r="CC1615" s="604">
        <v>6</v>
      </c>
      <c r="CD1615" s="604" t="s">
        <v>33</v>
      </c>
    </row>
    <row r="1616" spans="9:82">
      <c r="I1616" s="578" t="str">
        <f t="shared" si="163"/>
        <v>1998bwt1500-2499Peri</v>
      </c>
      <c r="J1616" s="604">
        <v>1998</v>
      </c>
      <c r="K1616" s="604" t="s">
        <v>447</v>
      </c>
      <c r="L1616" s="604" t="s">
        <v>430</v>
      </c>
      <c r="M1616" s="604">
        <v>61</v>
      </c>
      <c r="N1616" s="604">
        <v>3022</v>
      </c>
      <c r="O1616" s="604">
        <v>20.2</v>
      </c>
      <c r="P1616" s="604" t="s">
        <v>483</v>
      </c>
      <c r="Q1616" s="499"/>
      <c r="Y1616" s="535" t="str">
        <f t="shared" si="164"/>
        <v>2016OverallbwtTotal500-999infant</v>
      </c>
      <c r="Z1616" s="604">
        <v>2016</v>
      </c>
      <c r="AA1616" s="604" t="s">
        <v>104</v>
      </c>
      <c r="AB1616" s="604" t="s">
        <v>447</v>
      </c>
      <c r="AC1616" s="604" t="s">
        <v>44</v>
      </c>
      <c r="AD1616" s="604" t="s">
        <v>428</v>
      </c>
      <c r="AE1616" s="604">
        <v>57</v>
      </c>
      <c r="AF1616" s="604">
        <v>196</v>
      </c>
      <c r="AG1616" s="604">
        <v>290.8</v>
      </c>
      <c r="AH1616" s="604" t="s">
        <v>437</v>
      </c>
      <c r="BY1616" s="575" t="str">
        <f t="shared" si="162"/>
        <v>2016LakesdhbSUDI</v>
      </c>
      <c r="BZ1616" s="604">
        <v>2016</v>
      </c>
      <c r="CA1616" s="604" t="s">
        <v>90</v>
      </c>
      <c r="CB1616" s="604" t="s">
        <v>448</v>
      </c>
      <c r="CC1616" s="604">
        <v>0</v>
      </c>
      <c r="CD1616" s="604" t="s">
        <v>33</v>
      </c>
    </row>
    <row r="1617" spans="9:82">
      <c r="I1617" s="578" t="str">
        <f t="shared" si="163"/>
        <v>1998bwt2500-4499Peri</v>
      </c>
      <c r="J1617" s="604">
        <v>1998</v>
      </c>
      <c r="K1617" s="604" t="s">
        <v>447</v>
      </c>
      <c r="L1617" s="604" t="s">
        <v>431</v>
      </c>
      <c r="M1617" s="604">
        <v>108</v>
      </c>
      <c r="N1617" s="604">
        <v>52785</v>
      </c>
      <c r="O1617" s="604">
        <v>2</v>
      </c>
      <c r="P1617" s="604" t="s">
        <v>483</v>
      </c>
      <c r="Q1617" s="499"/>
      <c r="Y1617" s="535" t="str">
        <f t="shared" si="164"/>
        <v>2016OverallbwtTotal1000-1499infant</v>
      </c>
      <c r="Z1617" s="604">
        <v>2016</v>
      </c>
      <c r="AA1617" s="604" t="s">
        <v>104</v>
      </c>
      <c r="AB1617" s="604" t="s">
        <v>447</v>
      </c>
      <c r="AC1617" s="604" t="s">
        <v>44</v>
      </c>
      <c r="AD1617" s="604" t="s">
        <v>429</v>
      </c>
      <c r="AE1617" s="604">
        <v>8</v>
      </c>
      <c r="AF1617" s="604">
        <v>331</v>
      </c>
      <c r="AG1617" s="604">
        <v>24.2</v>
      </c>
      <c r="AH1617" s="604" t="s">
        <v>437</v>
      </c>
      <c r="BY1617" s="575" t="str">
        <f t="shared" si="162"/>
        <v>2016Bay of PlentydhbSUDI</v>
      </c>
      <c r="BZ1617" s="604">
        <v>2016</v>
      </c>
      <c r="CA1617" s="604" t="s">
        <v>91</v>
      </c>
      <c r="CB1617" s="604" t="s">
        <v>448</v>
      </c>
      <c r="CC1617" s="604">
        <v>0</v>
      </c>
      <c r="CD1617" s="604" t="s">
        <v>33</v>
      </c>
    </row>
    <row r="1618" spans="9:82">
      <c r="I1618" s="578" t="str">
        <f t="shared" si="163"/>
        <v>1998bwt4500+Peri</v>
      </c>
      <c r="J1618" s="604">
        <v>1998</v>
      </c>
      <c r="K1618" s="604" t="s">
        <v>447</v>
      </c>
      <c r="L1618" s="604" t="s">
        <v>432</v>
      </c>
      <c r="M1618" s="604">
        <v>3</v>
      </c>
      <c r="N1618" s="604">
        <v>1353</v>
      </c>
      <c r="O1618" s="604">
        <v>2.2000000000000002</v>
      </c>
      <c r="P1618" s="604" t="s">
        <v>483</v>
      </c>
      <c r="Q1618" s="499"/>
      <c r="Y1618" s="535" t="str">
        <f t="shared" si="164"/>
        <v>2016OverallbwtTotal1500-2499infant</v>
      </c>
      <c r="Z1618" s="604">
        <v>2016</v>
      </c>
      <c r="AA1618" s="604" t="s">
        <v>104</v>
      </c>
      <c r="AB1618" s="604" t="s">
        <v>447</v>
      </c>
      <c r="AC1618" s="604" t="s">
        <v>44</v>
      </c>
      <c r="AD1618" s="604" t="s">
        <v>430</v>
      </c>
      <c r="AE1618" s="604">
        <v>35</v>
      </c>
      <c r="AF1618" s="604">
        <v>2991</v>
      </c>
      <c r="AG1618" s="604">
        <v>11.7</v>
      </c>
      <c r="AH1618" s="604" t="s">
        <v>437</v>
      </c>
      <c r="BY1618" s="575" t="str">
        <f t="shared" si="162"/>
        <v>2016TairawhitidhbSUDI</v>
      </c>
      <c r="BZ1618" s="604">
        <v>2016</v>
      </c>
      <c r="CA1618" s="604" t="s">
        <v>433</v>
      </c>
      <c r="CB1618" s="604" t="s">
        <v>448</v>
      </c>
      <c r="CC1618" s="604">
        <v>2</v>
      </c>
      <c r="CD1618" s="604" t="s">
        <v>33</v>
      </c>
    </row>
    <row r="1619" spans="9:82">
      <c r="I1619" s="578" t="str">
        <f t="shared" si="163"/>
        <v>1998bwtUnknownPeri</v>
      </c>
      <c r="J1619" s="604">
        <v>1998</v>
      </c>
      <c r="K1619" s="604" t="s">
        <v>447</v>
      </c>
      <c r="L1619" s="604" t="s">
        <v>63</v>
      </c>
      <c r="M1619" s="604">
        <v>19</v>
      </c>
      <c r="N1619" s="604">
        <v>92</v>
      </c>
      <c r="O1619" s="604" t="s">
        <v>119</v>
      </c>
      <c r="P1619" s="604" t="s">
        <v>483</v>
      </c>
      <c r="Q1619" s="499"/>
      <c r="Y1619" s="535" t="str">
        <f t="shared" si="164"/>
        <v>2016OverallbwtTotal2500-4499infant</v>
      </c>
      <c r="Z1619" s="604">
        <v>2016</v>
      </c>
      <c r="AA1619" s="604" t="s">
        <v>104</v>
      </c>
      <c r="AB1619" s="604" t="s">
        <v>447</v>
      </c>
      <c r="AC1619" s="604" t="s">
        <v>44</v>
      </c>
      <c r="AD1619" s="604" t="s">
        <v>431</v>
      </c>
      <c r="AE1619" s="604">
        <v>95</v>
      </c>
      <c r="AF1619" s="604">
        <v>55407</v>
      </c>
      <c r="AG1619" s="604">
        <v>1.7</v>
      </c>
      <c r="AH1619" s="604" t="s">
        <v>437</v>
      </c>
      <c r="BY1619" s="575" t="str">
        <f t="shared" si="162"/>
        <v>2016Hawke's BaydhbSUDI</v>
      </c>
      <c r="BZ1619" s="604">
        <v>2016</v>
      </c>
      <c r="CA1619" s="604" t="s">
        <v>92</v>
      </c>
      <c r="CB1619" s="604" t="s">
        <v>448</v>
      </c>
      <c r="CC1619" s="604">
        <v>3</v>
      </c>
      <c r="CD1619" s="604" t="s">
        <v>33</v>
      </c>
    </row>
    <row r="1620" spans="9:82">
      <c r="I1620" s="578" t="str">
        <f t="shared" si="163"/>
        <v>1999bwt&lt;500Peri</v>
      </c>
      <c r="J1620" s="604">
        <v>1999</v>
      </c>
      <c r="K1620" s="604" t="s">
        <v>447</v>
      </c>
      <c r="L1620" s="604" t="s">
        <v>427</v>
      </c>
      <c r="M1620" s="604">
        <v>187</v>
      </c>
      <c r="N1620" s="604">
        <v>192</v>
      </c>
      <c r="O1620" s="604">
        <v>974</v>
      </c>
      <c r="P1620" s="604" t="s">
        <v>483</v>
      </c>
      <c r="Q1620" s="499"/>
      <c r="Y1620" s="535" t="str">
        <f t="shared" si="164"/>
        <v>2016OverallbwtTotal4500+infant</v>
      </c>
      <c r="Z1620" s="604">
        <v>2016</v>
      </c>
      <c r="AA1620" s="604" t="s">
        <v>104</v>
      </c>
      <c r="AB1620" s="604" t="s">
        <v>447</v>
      </c>
      <c r="AC1620" s="604" t="s">
        <v>44</v>
      </c>
      <c r="AD1620" s="604" t="s">
        <v>432</v>
      </c>
      <c r="AE1620" s="604">
        <v>0</v>
      </c>
      <c r="AF1620" s="604">
        <v>1423</v>
      </c>
      <c r="AG1620" s="604">
        <v>0</v>
      </c>
      <c r="AH1620" s="604" t="s">
        <v>437</v>
      </c>
      <c r="BY1620" s="575" t="str">
        <f t="shared" si="162"/>
        <v>2016TaranakidhbSUDI</v>
      </c>
      <c r="BZ1620" s="604">
        <v>2016</v>
      </c>
      <c r="CA1620" s="604" t="s">
        <v>93</v>
      </c>
      <c r="CB1620" s="604" t="s">
        <v>448</v>
      </c>
      <c r="CC1620" s="604">
        <v>3</v>
      </c>
      <c r="CD1620" s="604" t="s">
        <v>33</v>
      </c>
    </row>
    <row r="1621" spans="9:82">
      <c r="I1621" s="578" t="str">
        <f t="shared" si="163"/>
        <v>1999bwt500-999Peri</v>
      </c>
      <c r="J1621" s="604">
        <v>1999</v>
      </c>
      <c r="K1621" s="604" t="s">
        <v>447</v>
      </c>
      <c r="L1621" s="604" t="s">
        <v>428</v>
      </c>
      <c r="M1621" s="604">
        <v>143</v>
      </c>
      <c r="N1621" s="604">
        <v>318</v>
      </c>
      <c r="O1621" s="604">
        <v>449.7</v>
      </c>
      <c r="P1621" s="604" t="s">
        <v>483</v>
      </c>
      <c r="Q1621" s="499"/>
      <c r="Y1621" s="535" t="str">
        <f t="shared" si="164"/>
        <v>2016OverallbwtTotalUnknowninfant</v>
      </c>
      <c r="Z1621" s="604">
        <v>2016</v>
      </c>
      <c r="AA1621" s="604" t="s">
        <v>104</v>
      </c>
      <c r="AB1621" s="604" t="s">
        <v>447</v>
      </c>
      <c r="AC1621" s="604" t="s">
        <v>44</v>
      </c>
      <c r="AD1621" s="604" t="s">
        <v>63</v>
      </c>
      <c r="AE1621" s="604">
        <v>9</v>
      </c>
      <c r="AF1621" s="604">
        <v>35</v>
      </c>
      <c r="AG1621" s="604" t="s">
        <v>119</v>
      </c>
      <c r="AH1621" s="604" t="s">
        <v>437</v>
      </c>
      <c r="BY1621" s="575" t="str">
        <f t="shared" si="162"/>
        <v>2016MidCentraldhbSUDI</v>
      </c>
      <c r="BZ1621" s="604">
        <v>2016</v>
      </c>
      <c r="CA1621" s="604" t="s">
        <v>94</v>
      </c>
      <c r="CB1621" s="604" t="s">
        <v>448</v>
      </c>
      <c r="CC1621" s="604">
        <v>3</v>
      </c>
      <c r="CD1621" s="604" t="s">
        <v>33</v>
      </c>
    </row>
    <row r="1622" spans="9:82">
      <c r="I1622" s="578" t="str">
        <f t="shared" si="163"/>
        <v>1999bwt1000-1499Peri</v>
      </c>
      <c r="J1622" s="604">
        <v>1999</v>
      </c>
      <c r="K1622" s="604" t="s">
        <v>447</v>
      </c>
      <c r="L1622" s="604" t="s">
        <v>429</v>
      </c>
      <c r="M1622" s="604">
        <v>41</v>
      </c>
      <c r="N1622" s="604">
        <v>381</v>
      </c>
      <c r="O1622" s="604">
        <v>107.6</v>
      </c>
      <c r="P1622" s="604" t="s">
        <v>483</v>
      </c>
      <c r="Q1622" s="499"/>
      <c r="Y1622" s="535" t="str">
        <f t="shared" si="164"/>
        <v>2016OverallageTotalTotalinfant</v>
      </c>
      <c r="Z1622" s="604">
        <v>2016</v>
      </c>
      <c r="AA1622" s="604" t="s">
        <v>104</v>
      </c>
      <c r="AB1622" s="604" t="s">
        <v>453</v>
      </c>
      <c r="AC1622" s="604" t="s">
        <v>44</v>
      </c>
      <c r="AD1622" s="604" t="s">
        <v>44</v>
      </c>
      <c r="AE1622" s="604">
        <v>241</v>
      </c>
      <c r="AF1622" s="604">
        <v>60436</v>
      </c>
      <c r="AG1622" s="604">
        <v>4</v>
      </c>
      <c r="AH1622" s="604" t="s">
        <v>437</v>
      </c>
      <c r="BY1622" s="575" t="str">
        <f t="shared" si="162"/>
        <v>2016WhanganuidhbSUDI</v>
      </c>
      <c r="BZ1622" s="604">
        <v>2016</v>
      </c>
      <c r="CA1622" s="604" t="s">
        <v>95</v>
      </c>
      <c r="CB1622" s="604" t="s">
        <v>448</v>
      </c>
      <c r="CC1622" s="604">
        <v>1</v>
      </c>
      <c r="CD1622" s="604" t="s">
        <v>33</v>
      </c>
    </row>
    <row r="1623" spans="9:82">
      <c r="I1623" s="578" t="str">
        <f t="shared" si="163"/>
        <v>1999bwt1500-2499Peri</v>
      </c>
      <c r="J1623" s="604">
        <v>1999</v>
      </c>
      <c r="K1623" s="604" t="s">
        <v>447</v>
      </c>
      <c r="L1623" s="604" t="s">
        <v>430</v>
      </c>
      <c r="M1623" s="604">
        <v>76</v>
      </c>
      <c r="N1623" s="604">
        <v>3062</v>
      </c>
      <c r="O1623" s="604">
        <v>24.8</v>
      </c>
      <c r="P1623" s="604" t="s">
        <v>483</v>
      </c>
      <c r="Q1623" s="499"/>
      <c r="Y1623" s="535" t="str">
        <f t="shared" si="164"/>
        <v>2016OverallethTotalTotalinfant</v>
      </c>
      <c r="Z1623" s="604">
        <v>2016</v>
      </c>
      <c r="AA1623" s="604" t="s">
        <v>104</v>
      </c>
      <c r="AB1623" s="604" t="s">
        <v>449</v>
      </c>
      <c r="AC1623" s="604" t="s">
        <v>44</v>
      </c>
      <c r="AD1623" s="604" t="s">
        <v>44</v>
      </c>
      <c r="AE1623" s="604">
        <v>241</v>
      </c>
      <c r="AF1623" s="604">
        <v>60436</v>
      </c>
      <c r="AG1623" s="604">
        <v>4</v>
      </c>
      <c r="AH1623" s="604" t="s">
        <v>437</v>
      </c>
      <c r="BY1623" s="575" t="str">
        <f t="shared" si="162"/>
        <v>2016Capital &amp; CoastdhbSUDI</v>
      </c>
      <c r="BZ1623" s="604">
        <v>2016</v>
      </c>
      <c r="CA1623" s="604" t="s">
        <v>96</v>
      </c>
      <c r="CB1623" s="604" t="s">
        <v>448</v>
      </c>
      <c r="CC1623" s="604">
        <v>1</v>
      </c>
      <c r="CD1623" s="604" t="s">
        <v>33</v>
      </c>
    </row>
    <row r="1624" spans="9:82">
      <c r="I1624" s="578" t="str">
        <f t="shared" si="163"/>
        <v>1999bwt2500-4499Peri</v>
      </c>
      <c r="J1624" s="604">
        <v>1999</v>
      </c>
      <c r="K1624" s="604" t="s">
        <v>447</v>
      </c>
      <c r="L1624" s="604" t="s">
        <v>431</v>
      </c>
      <c r="M1624" s="604">
        <v>107</v>
      </c>
      <c r="N1624" s="604">
        <v>52319</v>
      </c>
      <c r="O1624" s="604">
        <v>2</v>
      </c>
      <c r="P1624" s="604" t="s">
        <v>483</v>
      </c>
      <c r="Q1624" s="499"/>
      <c r="Y1624" s="535" t="str">
        <f t="shared" si="164"/>
        <v>2016OverallsexTotalTotalinfant</v>
      </c>
      <c r="Z1624" s="604">
        <v>2016</v>
      </c>
      <c r="AA1624" s="604" t="s">
        <v>104</v>
      </c>
      <c r="AB1624" s="604" t="s">
        <v>451</v>
      </c>
      <c r="AC1624" s="604" t="s">
        <v>44</v>
      </c>
      <c r="AD1624" s="604" t="s">
        <v>44</v>
      </c>
      <c r="AE1624" s="604">
        <v>241</v>
      </c>
      <c r="AF1624" s="604">
        <v>60436</v>
      </c>
      <c r="AG1624" s="604">
        <v>4</v>
      </c>
      <c r="AH1624" s="604" t="s">
        <v>437</v>
      </c>
      <c r="BY1624" s="575" t="str">
        <f t="shared" si="162"/>
        <v>2016Hutt ValleydhbSUDI</v>
      </c>
      <c r="BZ1624" s="604">
        <v>2016</v>
      </c>
      <c r="CA1624" s="604" t="s">
        <v>97</v>
      </c>
      <c r="CB1624" s="604" t="s">
        <v>448</v>
      </c>
      <c r="CC1624" s="604">
        <v>1</v>
      </c>
      <c r="CD1624" s="604" t="s">
        <v>33</v>
      </c>
    </row>
    <row r="1625" spans="9:82">
      <c r="I1625" s="578" t="str">
        <f t="shared" si="163"/>
        <v>1999bwt4500+Peri</v>
      </c>
      <c r="J1625" s="604">
        <v>1999</v>
      </c>
      <c r="K1625" s="604" t="s">
        <v>447</v>
      </c>
      <c r="L1625" s="604" t="s">
        <v>432</v>
      </c>
      <c r="M1625" s="604">
        <v>6</v>
      </c>
      <c r="N1625" s="604">
        <v>1507</v>
      </c>
      <c r="O1625" s="604">
        <v>4</v>
      </c>
      <c r="P1625" s="604" t="s">
        <v>483</v>
      </c>
      <c r="Q1625" s="499"/>
      <c r="Y1625" s="535" t="str">
        <f t="shared" si="164"/>
        <v>2016OveralldepTotalTotalinfant</v>
      </c>
      <c r="Z1625" s="604">
        <v>2016</v>
      </c>
      <c r="AA1625" s="604" t="s">
        <v>104</v>
      </c>
      <c r="AB1625" s="604" t="s">
        <v>454</v>
      </c>
      <c r="AC1625" s="604" t="s">
        <v>44</v>
      </c>
      <c r="AD1625" s="604" t="s">
        <v>44</v>
      </c>
      <c r="AE1625" s="604">
        <v>241</v>
      </c>
      <c r="AF1625" s="604">
        <v>60436</v>
      </c>
      <c r="AG1625" s="604">
        <v>4</v>
      </c>
      <c r="AH1625" s="604" t="s">
        <v>437</v>
      </c>
      <c r="BY1625" s="575" t="str">
        <f t="shared" si="162"/>
        <v>2016WairarapadhbSUDI</v>
      </c>
      <c r="BZ1625" s="604">
        <v>2016</v>
      </c>
      <c r="CA1625" s="604" t="s">
        <v>98</v>
      </c>
      <c r="CB1625" s="604" t="s">
        <v>448</v>
      </c>
      <c r="CC1625" s="604">
        <v>0</v>
      </c>
      <c r="CD1625" s="604" t="s">
        <v>33</v>
      </c>
    </row>
    <row r="1626" spans="9:82">
      <c r="I1626" s="578" t="str">
        <f t="shared" si="163"/>
        <v>1999bwtUnknownPeri</v>
      </c>
      <c r="J1626" s="604">
        <v>1999</v>
      </c>
      <c r="K1626" s="604" t="s">
        <v>447</v>
      </c>
      <c r="L1626" s="604" t="s">
        <v>63</v>
      </c>
      <c r="M1626" s="604">
        <v>22</v>
      </c>
      <c r="N1626" s="604">
        <v>68</v>
      </c>
      <c r="O1626" s="604" t="s">
        <v>119</v>
      </c>
      <c r="P1626" s="604" t="s">
        <v>483</v>
      </c>
      <c r="Q1626" s="499"/>
      <c r="Y1626" s="535" t="str">
        <f t="shared" si="164"/>
        <v>2016OverallgestTotalTotalinfant</v>
      </c>
      <c r="Z1626" s="604">
        <v>2016</v>
      </c>
      <c r="AA1626" s="604" t="s">
        <v>104</v>
      </c>
      <c r="AB1626" s="604" t="s">
        <v>450</v>
      </c>
      <c r="AC1626" s="604" t="s">
        <v>44</v>
      </c>
      <c r="AD1626" s="604" t="s">
        <v>44</v>
      </c>
      <c r="AE1626" s="604">
        <v>241</v>
      </c>
      <c r="AF1626" s="604">
        <v>60436</v>
      </c>
      <c r="AG1626" s="604">
        <v>4</v>
      </c>
      <c r="AH1626" s="604" t="s">
        <v>437</v>
      </c>
      <c r="BY1626" s="575" t="str">
        <f t="shared" si="162"/>
        <v>2016Nelson MarlboroughdhbSUDI</v>
      </c>
      <c r="BZ1626" s="604">
        <v>2016</v>
      </c>
      <c r="CA1626" s="604" t="s">
        <v>99</v>
      </c>
      <c r="CB1626" s="604" t="s">
        <v>448</v>
      </c>
      <c r="CC1626" s="604">
        <v>0</v>
      </c>
      <c r="CD1626" s="604" t="s">
        <v>33</v>
      </c>
    </row>
    <row r="1627" spans="9:82">
      <c r="I1627" s="578" t="str">
        <f t="shared" si="163"/>
        <v>2000bwt&lt;500Peri</v>
      </c>
      <c r="J1627" s="604">
        <v>2000</v>
      </c>
      <c r="K1627" s="604" t="s">
        <v>447</v>
      </c>
      <c r="L1627" s="604" t="s">
        <v>427</v>
      </c>
      <c r="M1627" s="604">
        <v>184</v>
      </c>
      <c r="N1627" s="604">
        <v>195</v>
      </c>
      <c r="O1627" s="604">
        <v>943.6</v>
      </c>
      <c r="P1627" s="604" t="s">
        <v>483</v>
      </c>
      <c r="Q1627" s="499"/>
      <c r="Y1627" s="535" t="str">
        <f t="shared" si="164"/>
        <v>2016OverallbwtTotalTotalinfant</v>
      </c>
      <c r="Z1627" s="604">
        <v>2016</v>
      </c>
      <c r="AA1627" s="604" t="s">
        <v>104</v>
      </c>
      <c r="AB1627" s="604" t="s">
        <v>447</v>
      </c>
      <c r="AC1627" s="604" t="s">
        <v>44</v>
      </c>
      <c r="AD1627" s="604" t="s">
        <v>44</v>
      </c>
      <c r="AE1627" s="604">
        <v>241</v>
      </c>
      <c r="AF1627" s="604">
        <v>60436</v>
      </c>
      <c r="AG1627" s="604">
        <v>4</v>
      </c>
      <c r="AH1627" s="604" t="s">
        <v>437</v>
      </c>
      <c r="BY1627" s="575" t="str">
        <f t="shared" si="162"/>
        <v>2016West CoastdhbSUDI</v>
      </c>
      <c r="BZ1627" s="604">
        <v>2016</v>
      </c>
      <c r="CA1627" s="604" t="s">
        <v>100</v>
      </c>
      <c r="CB1627" s="604" t="s">
        <v>448</v>
      </c>
      <c r="CC1627" s="604">
        <v>0</v>
      </c>
      <c r="CD1627" s="604" t="s">
        <v>33</v>
      </c>
    </row>
    <row r="1628" spans="9:82">
      <c r="I1628" s="578" t="str">
        <f t="shared" si="163"/>
        <v>2000bwt500-999Peri</v>
      </c>
      <c r="J1628" s="604">
        <v>2000</v>
      </c>
      <c r="K1628" s="604" t="s">
        <v>447</v>
      </c>
      <c r="L1628" s="604" t="s">
        <v>428</v>
      </c>
      <c r="M1628" s="604">
        <v>126</v>
      </c>
      <c r="N1628" s="604">
        <v>306</v>
      </c>
      <c r="O1628" s="604">
        <v>411.8</v>
      </c>
      <c r="P1628" s="604" t="s">
        <v>483</v>
      </c>
      <c r="Q1628" s="499"/>
      <c r="Y1628" s="535" t="str">
        <f t="shared" si="164"/>
        <v>2016sexageMaleTotalinfant</v>
      </c>
      <c r="Z1628" s="604">
        <v>2016</v>
      </c>
      <c r="AA1628" s="604" t="s">
        <v>451</v>
      </c>
      <c r="AB1628" s="604" t="s">
        <v>453</v>
      </c>
      <c r="AC1628" s="604" t="s">
        <v>70</v>
      </c>
      <c r="AD1628" s="604" t="s">
        <v>44</v>
      </c>
      <c r="AE1628" s="604">
        <v>127</v>
      </c>
      <c r="AF1628" s="604">
        <v>31009</v>
      </c>
      <c r="AG1628" s="604">
        <v>4.0999999999999996</v>
      </c>
      <c r="AH1628" s="604" t="s">
        <v>437</v>
      </c>
      <c r="BY1628" s="575" t="str">
        <f t="shared" si="162"/>
        <v>2016CanterburydhbSUDI</v>
      </c>
      <c r="BZ1628" s="604">
        <v>2016</v>
      </c>
      <c r="CA1628" s="604" t="s">
        <v>101</v>
      </c>
      <c r="CB1628" s="604" t="s">
        <v>448</v>
      </c>
      <c r="CC1628" s="604">
        <v>2</v>
      </c>
      <c r="CD1628" s="604" t="s">
        <v>33</v>
      </c>
    </row>
    <row r="1629" spans="9:82">
      <c r="I1629" s="578" t="str">
        <f t="shared" si="163"/>
        <v>2000bwt1000-1499Peri</v>
      </c>
      <c r="J1629" s="604">
        <v>2000</v>
      </c>
      <c r="K1629" s="604" t="s">
        <v>447</v>
      </c>
      <c r="L1629" s="604" t="s">
        <v>429</v>
      </c>
      <c r="M1629" s="604">
        <v>43</v>
      </c>
      <c r="N1629" s="604">
        <v>400</v>
      </c>
      <c r="O1629" s="604">
        <v>107.5</v>
      </c>
      <c r="P1629" s="604" t="s">
        <v>483</v>
      </c>
      <c r="Q1629" s="499"/>
      <c r="Y1629" s="535" t="str">
        <f t="shared" si="164"/>
        <v>2016sexageFemaleTotalinfant</v>
      </c>
      <c r="Z1629" s="604">
        <v>2016</v>
      </c>
      <c r="AA1629" s="604" t="s">
        <v>451</v>
      </c>
      <c r="AB1629" s="604" t="s">
        <v>453</v>
      </c>
      <c r="AC1629" s="604" t="s">
        <v>71</v>
      </c>
      <c r="AD1629" s="604" t="s">
        <v>44</v>
      </c>
      <c r="AE1629" s="604">
        <v>114</v>
      </c>
      <c r="AF1629" s="604">
        <v>29427</v>
      </c>
      <c r="AG1629" s="604">
        <v>3.9</v>
      </c>
      <c r="AH1629" s="604" t="s">
        <v>437</v>
      </c>
      <c r="BY1629" s="575" t="str">
        <f t="shared" si="162"/>
        <v>2016South CanterburydhbSUDI</v>
      </c>
      <c r="BZ1629" s="604">
        <v>2016</v>
      </c>
      <c r="CA1629" s="604" t="s">
        <v>102</v>
      </c>
      <c r="CB1629" s="604" t="s">
        <v>448</v>
      </c>
      <c r="CC1629" s="604">
        <v>1</v>
      </c>
      <c r="CD1629" s="604" t="s">
        <v>33</v>
      </c>
    </row>
    <row r="1630" spans="9:82">
      <c r="I1630" s="578" t="str">
        <f t="shared" si="163"/>
        <v>2000bwt1500-2499Peri</v>
      </c>
      <c r="J1630" s="604">
        <v>2000</v>
      </c>
      <c r="K1630" s="604" t="s">
        <v>447</v>
      </c>
      <c r="L1630" s="604" t="s">
        <v>430</v>
      </c>
      <c r="M1630" s="604">
        <v>48</v>
      </c>
      <c r="N1630" s="604">
        <v>2989</v>
      </c>
      <c r="O1630" s="604">
        <v>16.100000000000001</v>
      </c>
      <c r="P1630" s="604" t="s">
        <v>483</v>
      </c>
      <c r="Q1630" s="499"/>
      <c r="Y1630" s="535" t="str">
        <f t="shared" si="164"/>
        <v>2016ethageMaoriTotalinfant</v>
      </c>
      <c r="Z1630" s="604">
        <v>2016</v>
      </c>
      <c r="AA1630" s="604" t="s">
        <v>449</v>
      </c>
      <c r="AB1630" s="604" t="s">
        <v>453</v>
      </c>
      <c r="AC1630" s="604" t="s">
        <v>129</v>
      </c>
      <c r="AD1630" s="604" t="s">
        <v>44</v>
      </c>
      <c r="AE1630" s="604">
        <v>103</v>
      </c>
      <c r="AF1630" s="604">
        <v>17329</v>
      </c>
      <c r="AG1630" s="604">
        <v>5.9</v>
      </c>
      <c r="AH1630" s="604" t="s">
        <v>437</v>
      </c>
      <c r="BY1630" s="575" t="str">
        <f t="shared" si="162"/>
        <v>2016SoutherndhbSUDI</v>
      </c>
      <c r="BZ1630" s="604">
        <v>2016</v>
      </c>
      <c r="CA1630" s="604" t="s">
        <v>103</v>
      </c>
      <c r="CB1630" s="604" t="s">
        <v>448</v>
      </c>
      <c r="CC1630" s="604">
        <v>3</v>
      </c>
      <c r="CD1630" s="604" t="s">
        <v>33</v>
      </c>
    </row>
    <row r="1631" spans="9:82">
      <c r="I1631" s="578" t="str">
        <f t="shared" si="163"/>
        <v>2000bwt2500-4499Peri</v>
      </c>
      <c r="J1631" s="604">
        <v>2000</v>
      </c>
      <c r="K1631" s="604" t="s">
        <v>447</v>
      </c>
      <c r="L1631" s="604" t="s">
        <v>431</v>
      </c>
      <c r="M1631" s="604">
        <v>136</v>
      </c>
      <c r="N1631" s="604">
        <v>51909</v>
      </c>
      <c r="O1631" s="604">
        <v>2.6</v>
      </c>
      <c r="P1631" s="604" t="s">
        <v>483</v>
      </c>
      <c r="Q1631" s="499"/>
      <c r="Y1631" s="535" t="str">
        <f t="shared" si="164"/>
        <v>2016ethagePacific peoplesTotalinfant</v>
      </c>
      <c r="Z1631" s="604">
        <v>2016</v>
      </c>
      <c r="AA1631" s="604" t="s">
        <v>449</v>
      </c>
      <c r="AB1631" s="604" t="s">
        <v>453</v>
      </c>
      <c r="AC1631" s="604" t="s">
        <v>320</v>
      </c>
      <c r="AD1631" s="604" t="s">
        <v>44</v>
      </c>
      <c r="AE1631" s="604">
        <v>37</v>
      </c>
      <c r="AF1631" s="604">
        <v>5976</v>
      </c>
      <c r="AG1631" s="604">
        <v>6.2</v>
      </c>
      <c r="AH1631" s="604" t="s">
        <v>437</v>
      </c>
      <c r="BY1631" s="575" t="str">
        <f t="shared" si="162"/>
        <v>2016UnknowndhbSUDI</v>
      </c>
      <c r="BZ1631" s="604">
        <v>2016</v>
      </c>
      <c r="CA1631" s="604" t="s">
        <v>63</v>
      </c>
      <c r="CB1631" s="604" t="s">
        <v>448</v>
      </c>
      <c r="CC1631" s="604">
        <v>0</v>
      </c>
      <c r="CD1631" s="604" t="s">
        <v>33</v>
      </c>
    </row>
    <row r="1632" spans="9:82">
      <c r="I1632" s="578" t="str">
        <f t="shared" si="163"/>
        <v>2000bwt4500+Peri</v>
      </c>
      <c r="J1632" s="604">
        <v>2000</v>
      </c>
      <c r="K1632" s="604" t="s">
        <v>447</v>
      </c>
      <c r="L1632" s="604" t="s">
        <v>432</v>
      </c>
      <c r="M1632" s="604">
        <v>3</v>
      </c>
      <c r="N1632" s="604">
        <v>1521</v>
      </c>
      <c r="O1632" s="604">
        <v>2</v>
      </c>
      <c r="P1632" s="604" t="s">
        <v>483</v>
      </c>
      <c r="Q1632" s="499"/>
      <c r="Y1632" s="535" t="str">
        <f t="shared" si="164"/>
        <v>2016ethageAsianTotalinfant</v>
      </c>
      <c r="Z1632" s="604">
        <v>2016</v>
      </c>
      <c r="AA1632" s="604" t="s">
        <v>449</v>
      </c>
      <c r="AB1632" s="604" t="s">
        <v>453</v>
      </c>
      <c r="AC1632" s="604" t="s">
        <v>355</v>
      </c>
      <c r="AD1632" s="604" t="s">
        <v>44</v>
      </c>
      <c r="AE1632" s="604">
        <v>27</v>
      </c>
      <c r="AF1632" s="604">
        <v>10902</v>
      </c>
      <c r="AG1632" s="604">
        <v>2.5</v>
      </c>
      <c r="AH1632" s="604" t="s">
        <v>437</v>
      </c>
      <c r="BY1632" s="575" t="str">
        <f t="shared" si="162"/>
        <v>2000AsianethSUDI</v>
      </c>
      <c r="BZ1632" s="604">
        <v>2000</v>
      </c>
      <c r="CA1632" s="604" t="s">
        <v>355</v>
      </c>
      <c r="CB1632" s="604" t="s">
        <v>449</v>
      </c>
      <c r="CC1632" s="604">
        <v>0</v>
      </c>
      <c r="CD1632" s="604" t="s">
        <v>33</v>
      </c>
    </row>
    <row r="1633" spans="9:82">
      <c r="I1633" s="578" t="str">
        <f t="shared" si="163"/>
        <v>2000bwtUnknownPeri</v>
      </c>
      <c r="J1633" s="604">
        <v>2000</v>
      </c>
      <c r="K1633" s="604" t="s">
        <v>447</v>
      </c>
      <c r="L1633" s="604" t="s">
        <v>63</v>
      </c>
      <c r="M1633" s="604">
        <v>3</v>
      </c>
      <c r="N1633" s="604">
        <v>43</v>
      </c>
      <c r="O1633" s="604" t="s">
        <v>119</v>
      </c>
      <c r="P1633" s="604" t="s">
        <v>483</v>
      </c>
      <c r="Q1633" s="499"/>
      <c r="Y1633" s="535" t="str">
        <f t="shared" si="164"/>
        <v>2016ethageEuropean or OtherTotalinfant</v>
      </c>
      <c r="Z1633" s="604">
        <v>2016</v>
      </c>
      <c r="AA1633" s="604" t="s">
        <v>449</v>
      </c>
      <c r="AB1633" s="604" t="s">
        <v>453</v>
      </c>
      <c r="AC1633" s="604" t="s">
        <v>356</v>
      </c>
      <c r="AD1633" s="604" t="s">
        <v>44</v>
      </c>
      <c r="AE1633" s="604">
        <v>74</v>
      </c>
      <c r="AF1633" s="604">
        <v>26229</v>
      </c>
      <c r="AG1633" s="604">
        <v>2.8</v>
      </c>
      <c r="AH1633" s="604" t="s">
        <v>437</v>
      </c>
      <c r="BY1633" s="575" t="str">
        <f t="shared" si="162"/>
        <v>2000European or OtherethSUDI</v>
      </c>
      <c r="BZ1633" s="604">
        <v>2000</v>
      </c>
      <c r="CA1633" s="604" t="s">
        <v>356</v>
      </c>
      <c r="CB1633" s="604" t="s">
        <v>449</v>
      </c>
      <c r="CC1633" s="604">
        <v>18</v>
      </c>
      <c r="CD1633" s="604" t="s">
        <v>33</v>
      </c>
    </row>
    <row r="1634" spans="9:82">
      <c r="I1634" s="578" t="str">
        <f t="shared" si="163"/>
        <v>2001bwt&lt;500Peri</v>
      </c>
      <c r="J1634" s="604">
        <v>2001</v>
      </c>
      <c r="K1634" s="604" t="s">
        <v>447</v>
      </c>
      <c r="L1634" s="604" t="s">
        <v>427</v>
      </c>
      <c r="M1634" s="604">
        <v>179</v>
      </c>
      <c r="N1634" s="604">
        <v>187</v>
      </c>
      <c r="O1634" s="604">
        <v>957.2</v>
      </c>
      <c r="P1634" s="604" t="s">
        <v>483</v>
      </c>
      <c r="Q1634" s="499"/>
      <c r="Y1634" s="535" t="str">
        <f t="shared" si="164"/>
        <v>2016depageQuin 1Totalinfant</v>
      </c>
      <c r="Z1634" s="604">
        <v>2016</v>
      </c>
      <c r="AA1634" s="604" t="s">
        <v>454</v>
      </c>
      <c r="AB1634" s="604" t="s">
        <v>453</v>
      </c>
      <c r="AC1634" s="604" t="s">
        <v>421</v>
      </c>
      <c r="AD1634" s="604" t="s">
        <v>44</v>
      </c>
      <c r="AE1634" s="604">
        <v>24</v>
      </c>
      <c r="AF1634" s="604">
        <v>9194</v>
      </c>
      <c r="AG1634" s="604">
        <v>2.6</v>
      </c>
      <c r="AH1634" s="604" t="s">
        <v>437</v>
      </c>
      <c r="BY1634" s="575" t="str">
        <f t="shared" si="162"/>
        <v>2000MaoriethSUDI</v>
      </c>
      <c r="BZ1634" s="604">
        <v>2000</v>
      </c>
      <c r="CA1634" s="604" t="s">
        <v>129</v>
      </c>
      <c r="CB1634" s="604" t="s">
        <v>449</v>
      </c>
      <c r="CC1634" s="604">
        <v>53</v>
      </c>
      <c r="CD1634" s="604" t="s">
        <v>33</v>
      </c>
    </row>
    <row r="1635" spans="9:82">
      <c r="I1635" s="578" t="str">
        <f t="shared" si="163"/>
        <v>2001bwt500-999Peri</v>
      </c>
      <c r="J1635" s="604">
        <v>2001</v>
      </c>
      <c r="K1635" s="604" t="s">
        <v>447</v>
      </c>
      <c r="L1635" s="604" t="s">
        <v>428</v>
      </c>
      <c r="M1635" s="604">
        <v>119</v>
      </c>
      <c r="N1635" s="604">
        <v>291</v>
      </c>
      <c r="O1635" s="604">
        <v>408.9</v>
      </c>
      <c r="P1635" s="604" t="s">
        <v>483</v>
      </c>
      <c r="Q1635" s="499"/>
      <c r="Y1635" s="535" t="str">
        <f t="shared" si="164"/>
        <v>2016depageQuin 2Totalinfant</v>
      </c>
      <c r="Z1635" s="604">
        <v>2016</v>
      </c>
      <c r="AA1635" s="604" t="s">
        <v>454</v>
      </c>
      <c r="AB1635" s="604" t="s">
        <v>453</v>
      </c>
      <c r="AC1635" s="604" t="s">
        <v>422</v>
      </c>
      <c r="AD1635" s="604" t="s">
        <v>44</v>
      </c>
      <c r="AE1635" s="604">
        <v>24</v>
      </c>
      <c r="AF1635" s="604">
        <v>10123</v>
      </c>
      <c r="AG1635" s="604">
        <v>2.4</v>
      </c>
      <c r="AH1635" s="604" t="s">
        <v>437</v>
      </c>
      <c r="BY1635" s="575" t="str">
        <f t="shared" si="162"/>
        <v>2000Pacific peoplesethSUDI</v>
      </c>
      <c r="BZ1635" s="604">
        <v>2000</v>
      </c>
      <c r="CA1635" s="604" t="s">
        <v>320</v>
      </c>
      <c r="CB1635" s="604" t="s">
        <v>449</v>
      </c>
      <c r="CC1635" s="604">
        <v>11</v>
      </c>
      <c r="CD1635" s="604" t="s">
        <v>33</v>
      </c>
    </row>
    <row r="1636" spans="9:82">
      <c r="I1636" s="578" t="str">
        <f t="shared" si="163"/>
        <v>2001bwt1000-1499Peri</v>
      </c>
      <c r="J1636" s="604">
        <v>2001</v>
      </c>
      <c r="K1636" s="604" t="s">
        <v>447</v>
      </c>
      <c r="L1636" s="604" t="s">
        <v>429</v>
      </c>
      <c r="M1636" s="604">
        <v>29</v>
      </c>
      <c r="N1636" s="604">
        <v>408</v>
      </c>
      <c r="O1636" s="604">
        <v>71.099999999999994</v>
      </c>
      <c r="P1636" s="604" t="s">
        <v>483</v>
      </c>
      <c r="Q1636" s="499"/>
      <c r="Y1636" s="535" t="str">
        <f t="shared" si="164"/>
        <v>2016depageQuin 3Totalinfant</v>
      </c>
      <c r="Z1636" s="604">
        <v>2016</v>
      </c>
      <c r="AA1636" s="604" t="s">
        <v>454</v>
      </c>
      <c r="AB1636" s="604" t="s">
        <v>453</v>
      </c>
      <c r="AC1636" s="604" t="s">
        <v>423</v>
      </c>
      <c r="AD1636" s="604" t="s">
        <v>44</v>
      </c>
      <c r="AE1636" s="604">
        <v>32</v>
      </c>
      <c r="AF1636" s="604">
        <v>10971</v>
      </c>
      <c r="AG1636" s="604">
        <v>2.9</v>
      </c>
      <c r="AH1636" s="604" t="s">
        <v>437</v>
      </c>
      <c r="BY1636" s="575" t="str">
        <f t="shared" si="162"/>
        <v>2001AsianethSUDI</v>
      </c>
      <c r="BZ1636" s="604">
        <v>2001</v>
      </c>
      <c r="CA1636" s="604" t="s">
        <v>355</v>
      </c>
      <c r="CB1636" s="604" t="s">
        <v>449</v>
      </c>
      <c r="CC1636" s="604">
        <v>2</v>
      </c>
      <c r="CD1636" s="604" t="s">
        <v>33</v>
      </c>
    </row>
    <row r="1637" spans="9:82">
      <c r="I1637" s="578" t="str">
        <f t="shared" si="163"/>
        <v>2001bwt1500-2499Peri</v>
      </c>
      <c r="J1637" s="604">
        <v>2001</v>
      </c>
      <c r="K1637" s="604" t="s">
        <v>447</v>
      </c>
      <c r="L1637" s="604" t="s">
        <v>430</v>
      </c>
      <c r="M1637" s="604">
        <v>72</v>
      </c>
      <c r="N1637" s="604">
        <v>3043</v>
      </c>
      <c r="O1637" s="604">
        <v>23.7</v>
      </c>
      <c r="P1637" s="604" t="s">
        <v>483</v>
      </c>
      <c r="Q1637" s="499"/>
      <c r="Y1637" s="535" t="str">
        <f t="shared" si="164"/>
        <v>2016depageQuin 4Totalinfant</v>
      </c>
      <c r="Z1637" s="604">
        <v>2016</v>
      </c>
      <c r="AA1637" s="604" t="s">
        <v>454</v>
      </c>
      <c r="AB1637" s="604" t="s">
        <v>453</v>
      </c>
      <c r="AC1637" s="604" t="s">
        <v>424</v>
      </c>
      <c r="AD1637" s="604" t="s">
        <v>44</v>
      </c>
      <c r="AE1637" s="604">
        <v>52</v>
      </c>
      <c r="AF1637" s="604">
        <v>13131</v>
      </c>
      <c r="AG1637" s="604">
        <v>4</v>
      </c>
      <c r="AH1637" s="604" t="s">
        <v>437</v>
      </c>
      <c r="BY1637" s="575" t="str">
        <f t="shared" si="162"/>
        <v>2001European or OtherethSUDI</v>
      </c>
      <c r="BZ1637" s="604">
        <v>2001</v>
      </c>
      <c r="CA1637" s="604" t="s">
        <v>356</v>
      </c>
      <c r="CB1637" s="604" t="s">
        <v>449</v>
      </c>
      <c r="CC1637" s="604">
        <v>14</v>
      </c>
      <c r="CD1637" s="604" t="s">
        <v>33</v>
      </c>
    </row>
    <row r="1638" spans="9:82">
      <c r="I1638" s="578" t="str">
        <f t="shared" si="163"/>
        <v>2001bwt2500-4499Peri</v>
      </c>
      <c r="J1638" s="604">
        <v>2001</v>
      </c>
      <c r="K1638" s="604" t="s">
        <v>447</v>
      </c>
      <c r="L1638" s="604" t="s">
        <v>431</v>
      </c>
      <c r="M1638" s="604">
        <v>119</v>
      </c>
      <c r="N1638" s="604">
        <v>51158</v>
      </c>
      <c r="O1638" s="604">
        <v>2.2999999999999998</v>
      </c>
      <c r="P1638" s="604" t="s">
        <v>483</v>
      </c>
      <c r="Q1638" s="499"/>
      <c r="Y1638" s="535" t="str">
        <f t="shared" si="164"/>
        <v>2016depageQuin 5Totalinfant</v>
      </c>
      <c r="Z1638" s="604">
        <v>2016</v>
      </c>
      <c r="AA1638" s="604" t="s">
        <v>454</v>
      </c>
      <c r="AB1638" s="604" t="s">
        <v>453</v>
      </c>
      <c r="AC1638" s="604" t="s">
        <v>425</v>
      </c>
      <c r="AD1638" s="604" t="s">
        <v>44</v>
      </c>
      <c r="AE1638" s="604">
        <v>107</v>
      </c>
      <c r="AF1638" s="604">
        <v>16886</v>
      </c>
      <c r="AG1638" s="604">
        <v>6.3</v>
      </c>
      <c r="AH1638" s="604" t="s">
        <v>437</v>
      </c>
      <c r="BY1638" s="575" t="str">
        <f t="shared" ref="BY1638:BY1701" si="165">BZ1638&amp;CA1638&amp;CB1638&amp;CD1638</f>
        <v>2001MaoriethSUDI</v>
      </c>
      <c r="BZ1638" s="604">
        <v>2001</v>
      </c>
      <c r="CA1638" s="604" t="s">
        <v>129</v>
      </c>
      <c r="CB1638" s="604" t="s">
        <v>449</v>
      </c>
      <c r="CC1638" s="604">
        <v>47</v>
      </c>
      <c r="CD1638" s="604" t="s">
        <v>33</v>
      </c>
    </row>
    <row r="1639" spans="9:82">
      <c r="I1639" s="578" t="str">
        <f t="shared" si="163"/>
        <v>2001bwt4500+Peri</v>
      </c>
      <c r="J1639" s="604">
        <v>2001</v>
      </c>
      <c r="K1639" s="604" t="s">
        <v>447</v>
      </c>
      <c r="L1639" s="604" t="s">
        <v>432</v>
      </c>
      <c r="M1639" s="604">
        <v>5</v>
      </c>
      <c r="N1639" s="604">
        <v>1415</v>
      </c>
      <c r="O1639" s="604">
        <v>3.5</v>
      </c>
      <c r="P1639" s="604" t="s">
        <v>483</v>
      </c>
      <c r="Q1639" s="499"/>
      <c r="Y1639" s="535" t="str">
        <f t="shared" si="164"/>
        <v>2016depageQuin 9Totalinfant</v>
      </c>
      <c r="Z1639" s="604">
        <v>2016</v>
      </c>
      <c r="AA1639" s="604" t="s">
        <v>454</v>
      </c>
      <c r="AB1639" s="604" t="s">
        <v>453</v>
      </c>
      <c r="AC1639" s="604" t="s">
        <v>426</v>
      </c>
      <c r="AD1639" s="604" t="s">
        <v>44</v>
      </c>
      <c r="AE1639" s="604">
        <v>2</v>
      </c>
      <c r="AF1639" s="604">
        <v>131</v>
      </c>
      <c r="AG1639" s="604" t="s">
        <v>119</v>
      </c>
      <c r="AH1639" s="604" t="s">
        <v>437</v>
      </c>
      <c r="BY1639" s="575" t="str">
        <f t="shared" si="165"/>
        <v>2001Pacific peoplesethSUDI</v>
      </c>
      <c r="BZ1639" s="604">
        <v>2001</v>
      </c>
      <c r="CA1639" s="604" t="s">
        <v>320</v>
      </c>
      <c r="CB1639" s="604" t="s">
        <v>449</v>
      </c>
      <c r="CC1639" s="604">
        <v>8</v>
      </c>
      <c r="CD1639" s="604" t="s">
        <v>33</v>
      </c>
    </row>
    <row r="1640" spans="9:82">
      <c r="I1640" s="578" t="str">
        <f t="shared" si="163"/>
        <v>2001bwtUnknownPeri</v>
      </c>
      <c r="J1640" s="604">
        <v>2001</v>
      </c>
      <c r="K1640" s="604" t="s">
        <v>447</v>
      </c>
      <c r="L1640" s="604" t="s">
        <v>63</v>
      </c>
      <c r="M1640" s="604">
        <v>6</v>
      </c>
      <c r="N1640" s="604">
        <v>108</v>
      </c>
      <c r="O1640" s="604" t="s">
        <v>119</v>
      </c>
      <c r="P1640" s="604" t="s">
        <v>483</v>
      </c>
      <c r="Q1640" s="499"/>
      <c r="Y1640" s="535" t="str">
        <f t="shared" si="164"/>
        <v>2016gestage&lt;28Totalinfant</v>
      </c>
      <c r="Z1640" s="604">
        <v>2016</v>
      </c>
      <c r="AA1640" s="604" t="s">
        <v>450</v>
      </c>
      <c r="AB1640" s="604" t="s">
        <v>453</v>
      </c>
      <c r="AC1640" s="604" t="s">
        <v>375</v>
      </c>
      <c r="AD1640" s="604" t="s">
        <v>44</v>
      </c>
      <c r="AE1640" s="604">
        <v>96</v>
      </c>
      <c r="AF1640" s="604">
        <v>260</v>
      </c>
      <c r="AG1640" s="604">
        <v>369.2</v>
      </c>
      <c r="AH1640" s="604" t="s">
        <v>437</v>
      </c>
      <c r="BY1640" s="575" t="str">
        <f t="shared" si="165"/>
        <v>2002AsianethSUDI</v>
      </c>
      <c r="BZ1640" s="604">
        <v>2002</v>
      </c>
      <c r="CA1640" s="604" t="s">
        <v>355</v>
      </c>
      <c r="CB1640" s="604" t="s">
        <v>449</v>
      </c>
      <c r="CC1640" s="604">
        <v>2</v>
      </c>
      <c r="CD1640" s="604" t="s">
        <v>33</v>
      </c>
    </row>
    <row r="1641" spans="9:82">
      <c r="I1641" s="578" t="str">
        <f t="shared" si="163"/>
        <v>2002bwt&lt;500Peri</v>
      </c>
      <c r="J1641" s="604">
        <v>2002</v>
      </c>
      <c r="K1641" s="604" t="s">
        <v>447</v>
      </c>
      <c r="L1641" s="604" t="s">
        <v>427</v>
      </c>
      <c r="M1641" s="604">
        <v>213</v>
      </c>
      <c r="N1641" s="604">
        <v>227</v>
      </c>
      <c r="O1641" s="604">
        <v>938.3</v>
      </c>
      <c r="P1641" s="604" t="s">
        <v>483</v>
      </c>
      <c r="Q1641" s="499"/>
      <c r="Y1641" s="535" t="str">
        <f t="shared" si="164"/>
        <v>2016gestage28-31Totalinfant</v>
      </c>
      <c r="Z1641" s="604">
        <v>2016</v>
      </c>
      <c r="AA1641" s="604" t="s">
        <v>450</v>
      </c>
      <c r="AB1641" s="604" t="s">
        <v>453</v>
      </c>
      <c r="AC1641" s="604" t="s">
        <v>395</v>
      </c>
      <c r="AD1641" s="604" t="s">
        <v>44</v>
      </c>
      <c r="AE1641" s="604">
        <v>14</v>
      </c>
      <c r="AF1641" s="604">
        <v>417</v>
      </c>
      <c r="AG1641" s="604">
        <v>33.6</v>
      </c>
      <c r="AH1641" s="604" t="s">
        <v>437</v>
      </c>
      <c r="BY1641" s="575" t="str">
        <f t="shared" si="165"/>
        <v>2002European or OtherethSUDI</v>
      </c>
      <c r="BZ1641" s="604">
        <v>2002</v>
      </c>
      <c r="CA1641" s="604" t="s">
        <v>356</v>
      </c>
      <c r="CB1641" s="604" t="s">
        <v>449</v>
      </c>
      <c r="CC1641" s="604">
        <v>10</v>
      </c>
      <c r="CD1641" s="604" t="s">
        <v>33</v>
      </c>
    </row>
    <row r="1642" spans="9:82">
      <c r="I1642" s="578" t="str">
        <f t="shared" si="163"/>
        <v>2002bwt500-999Peri</v>
      </c>
      <c r="J1642" s="604">
        <v>2002</v>
      </c>
      <c r="K1642" s="604" t="s">
        <v>447</v>
      </c>
      <c r="L1642" s="604" t="s">
        <v>428</v>
      </c>
      <c r="M1642" s="604">
        <v>126</v>
      </c>
      <c r="N1642" s="604">
        <v>333</v>
      </c>
      <c r="O1642" s="604">
        <v>378.4</v>
      </c>
      <c r="P1642" s="604" t="s">
        <v>483</v>
      </c>
      <c r="Q1642" s="499"/>
      <c r="Y1642" s="535" t="str">
        <f t="shared" si="164"/>
        <v>2016gestage32-36Totalinfant</v>
      </c>
      <c r="Z1642" s="604">
        <v>2016</v>
      </c>
      <c r="AA1642" s="604" t="s">
        <v>450</v>
      </c>
      <c r="AB1642" s="604" t="s">
        <v>453</v>
      </c>
      <c r="AC1642" s="604" t="s">
        <v>136</v>
      </c>
      <c r="AD1642" s="604" t="s">
        <v>44</v>
      </c>
      <c r="AE1642" s="604">
        <v>23</v>
      </c>
      <c r="AF1642" s="604">
        <v>3814</v>
      </c>
      <c r="AG1642" s="604">
        <v>6</v>
      </c>
      <c r="AH1642" s="604" t="s">
        <v>437</v>
      </c>
      <c r="BY1642" s="575" t="str">
        <f t="shared" si="165"/>
        <v>2002MaoriethSUDI</v>
      </c>
      <c r="BZ1642" s="604">
        <v>2002</v>
      </c>
      <c r="CA1642" s="604" t="s">
        <v>129</v>
      </c>
      <c r="CB1642" s="604" t="s">
        <v>449</v>
      </c>
      <c r="CC1642" s="604">
        <v>38</v>
      </c>
      <c r="CD1642" s="604" t="s">
        <v>33</v>
      </c>
    </row>
    <row r="1643" spans="9:82">
      <c r="I1643" s="578" t="str">
        <f t="shared" si="163"/>
        <v>2002bwt1000-1499Peri</v>
      </c>
      <c r="J1643" s="604">
        <v>2002</v>
      </c>
      <c r="K1643" s="604" t="s">
        <v>447</v>
      </c>
      <c r="L1643" s="604" t="s">
        <v>429</v>
      </c>
      <c r="M1643" s="604">
        <v>37</v>
      </c>
      <c r="N1643" s="604">
        <v>382</v>
      </c>
      <c r="O1643" s="604">
        <v>96.9</v>
      </c>
      <c r="P1643" s="604" t="s">
        <v>483</v>
      </c>
      <c r="Q1643" s="499"/>
      <c r="Y1643" s="535" t="str">
        <f t="shared" si="164"/>
        <v>2016gestage37-41Totalinfant</v>
      </c>
      <c r="Z1643" s="604">
        <v>2016</v>
      </c>
      <c r="AA1643" s="604" t="s">
        <v>450</v>
      </c>
      <c r="AB1643" s="604" t="s">
        <v>453</v>
      </c>
      <c r="AC1643" s="604" t="s">
        <v>137</v>
      </c>
      <c r="AD1643" s="604" t="s">
        <v>44</v>
      </c>
      <c r="AE1643" s="604">
        <v>91</v>
      </c>
      <c r="AF1643" s="604">
        <v>54899</v>
      </c>
      <c r="AG1643" s="604">
        <v>1.7</v>
      </c>
      <c r="AH1643" s="604" t="s">
        <v>437</v>
      </c>
      <c r="BY1643" s="575" t="str">
        <f t="shared" si="165"/>
        <v>2002Pacific peoplesethSUDI</v>
      </c>
      <c r="BZ1643" s="604">
        <v>2002</v>
      </c>
      <c r="CA1643" s="604" t="s">
        <v>320</v>
      </c>
      <c r="CB1643" s="604" t="s">
        <v>449</v>
      </c>
      <c r="CC1643" s="604">
        <v>8</v>
      </c>
      <c r="CD1643" s="604" t="s">
        <v>33</v>
      </c>
    </row>
    <row r="1644" spans="9:82">
      <c r="I1644" s="578" t="str">
        <f t="shared" si="163"/>
        <v>2002bwt1500-2499Peri</v>
      </c>
      <c r="J1644" s="604">
        <v>2002</v>
      </c>
      <c r="K1644" s="604" t="s">
        <v>447</v>
      </c>
      <c r="L1644" s="604" t="s">
        <v>430</v>
      </c>
      <c r="M1644" s="604">
        <v>59</v>
      </c>
      <c r="N1644" s="604">
        <v>2891</v>
      </c>
      <c r="O1644" s="604">
        <v>20.399999999999999</v>
      </c>
      <c r="P1644" s="604" t="s">
        <v>483</v>
      </c>
      <c r="Q1644" s="499"/>
      <c r="Y1644" s="535" t="str">
        <f t="shared" si="164"/>
        <v>2016gestage42+Totalinfant</v>
      </c>
      <c r="Z1644" s="604">
        <v>2016</v>
      </c>
      <c r="AA1644" s="604" t="s">
        <v>450</v>
      </c>
      <c r="AB1644" s="604" t="s">
        <v>453</v>
      </c>
      <c r="AC1644" s="604" t="s">
        <v>138</v>
      </c>
      <c r="AD1644" s="604" t="s">
        <v>44</v>
      </c>
      <c r="AE1644" s="604">
        <v>4</v>
      </c>
      <c r="AF1644" s="604">
        <v>1017</v>
      </c>
      <c r="AG1644" s="604">
        <v>3.9</v>
      </c>
      <c r="AH1644" s="604" t="s">
        <v>437</v>
      </c>
      <c r="BY1644" s="575" t="str">
        <f t="shared" si="165"/>
        <v>2003AsianethSUDI</v>
      </c>
      <c r="BZ1644" s="604">
        <v>2003</v>
      </c>
      <c r="CA1644" s="604" t="s">
        <v>355</v>
      </c>
      <c r="CB1644" s="604" t="s">
        <v>449</v>
      </c>
      <c r="CC1644" s="604">
        <v>1</v>
      </c>
      <c r="CD1644" s="604" t="s">
        <v>33</v>
      </c>
    </row>
    <row r="1645" spans="9:82">
      <c r="I1645" s="578" t="str">
        <f t="shared" si="163"/>
        <v>2002bwt2500-4499Peri</v>
      </c>
      <c r="J1645" s="604">
        <v>2002</v>
      </c>
      <c r="K1645" s="604" t="s">
        <v>447</v>
      </c>
      <c r="L1645" s="604" t="s">
        <v>431</v>
      </c>
      <c r="M1645" s="604">
        <v>124</v>
      </c>
      <c r="N1645" s="604">
        <v>49560</v>
      </c>
      <c r="O1645" s="604">
        <v>2.5</v>
      </c>
      <c r="P1645" s="604" t="s">
        <v>483</v>
      </c>
      <c r="Q1645" s="499"/>
      <c r="Y1645" s="535" t="str">
        <f t="shared" si="164"/>
        <v>2016gestageUnknownTotalinfant</v>
      </c>
      <c r="Z1645" s="604">
        <v>2016</v>
      </c>
      <c r="AA1645" s="604" t="s">
        <v>450</v>
      </c>
      <c r="AB1645" s="604" t="s">
        <v>453</v>
      </c>
      <c r="AC1645" s="604" t="s">
        <v>63</v>
      </c>
      <c r="AD1645" s="604" t="s">
        <v>44</v>
      </c>
      <c r="AE1645" s="604">
        <v>13</v>
      </c>
      <c r="AF1645" s="604">
        <v>29</v>
      </c>
      <c r="AG1645" s="604" t="s">
        <v>119</v>
      </c>
      <c r="AH1645" s="604" t="s">
        <v>437</v>
      </c>
      <c r="BY1645" s="575" t="str">
        <f t="shared" si="165"/>
        <v>2003European or OtherethSUDI</v>
      </c>
      <c r="BZ1645" s="604">
        <v>2003</v>
      </c>
      <c r="CA1645" s="604" t="s">
        <v>356</v>
      </c>
      <c r="CB1645" s="604" t="s">
        <v>449</v>
      </c>
      <c r="CC1645" s="604">
        <v>14</v>
      </c>
      <c r="CD1645" s="604" t="s">
        <v>33</v>
      </c>
    </row>
    <row r="1646" spans="9:82">
      <c r="I1646" s="578" t="str">
        <f t="shared" si="163"/>
        <v>2002bwt4500+Peri</v>
      </c>
      <c r="J1646" s="604">
        <v>2002</v>
      </c>
      <c r="K1646" s="604" t="s">
        <v>447</v>
      </c>
      <c r="L1646" s="604" t="s">
        <v>432</v>
      </c>
      <c r="M1646" s="604">
        <v>2</v>
      </c>
      <c r="N1646" s="604">
        <v>1361</v>
      </c>
      <c r="O1646" s="604">
        <v>1.5</v>
      </c>
      <c r="P1646" s="604" t="s">
        <v>483</v>
      </c>
      <c r="Q1646" s="499"/>
      <c r="Y1646" s="535" t="str">
        <f t="shared" si="164"/>
        <v>2016bwtage&lt;500Totalinfant</v>
      </c>
      <c r="Z1646" s="604">
        <v>2016</v>
      </c>
      <c r="AA1646" s="604" t="s">
        <v>447</v>
      </c>
      <c r="AB1646" s="604" t="s">
        <v>453</v>
      </c>
      <c r="AC1646" s="604" t="s">
        <v>427</v>
      </c>
      <c r="AD1646" s="604" t="s">
        <v>44</v>
      </c>
      <c r="AE1646" s="604">
        <v>37</v>
      </c>
      <c r="AF1646" s="604">
        <v>53</v>
      </c>
      <c r="AG1646" s="604">
        <v>698.1</v>
      </c>
      <c r="AH1646" s="604" t="s">
        <v>437</v>
      </c>
      <c r="BY1646" s="575" t="str">
        <f t="shared" si="165"/>
        <v>2003MaoriethSUDI</v>
      </c>
      <c r="BZ1646" s="604">
        <v>2003</v>
      </c>
      <c r="CA1646" s="604" t="s">
        <v>129</v>
      </c>
      <c r="CB1646" s="604" t="s">
        <v>449</v>
      </c>
      <c r="CC1646" s="604">
        <v>43</v>
      </c>
      <c r="CD1646" s="604" t="s">
        <v>33</v>
      </c>
    </row>
    <row r="1647" spans="9:82">
      <c r="I1647" s="578" t="str">
        <f t="shared" si="163"/>
        <v>2002bwtUnknownPeri</v>
      </c>
      <c r="J1647" s="604">
        <v>2002</v>
      </c>
      <c r="K1647" s="604" t="s">
        <v>447</v>
      </c>
      <c r="L1647" s="604" t="s">
        <v>63</v>
      </c>
      <c r="M1647" s="604">
        <v>14</v>
      </c>
      <c r="N1647" s="604">
        <v>151</v>
      </c>
      <c r="O1647" s="604" t="s">
        <v>119</v>
      </c>
      <c r="P1647" s="604" t="s">
        <v>483</v>
      </c>
      <c r="Q1647" s="499"/>
      <c r="Y1647" s="535" t="str">
        <f t="shared" si="164"/>
        <v>2016bwtage500-999Totalinfant</v>
      </c>
      <c r="Z1647" s="604">
        <v>2016</v>
      </c>
      <c r="AA1647" s="604" t="s">
        <v>447</v>
      </c>
      <c r="AB1647" s="604" t="s">
        <v>453</v>
      </c>
      <c r="AC1647" s="604" t="s">
        <v>428</v>
      </c>
      <c r="AD1647" s="604" t="s">
        <v>44</v>
      </c>
      <c r="AE1647" s="604">
        <v>57</v>
      </c>
      <c r="AF1647" s="604">
        <v>196</v>
      </c>
      <c r="AG1647" s="604">
        <v>290.8</v>
      </c>
      <c r="AH1647" s="604" t="s">
        <v>437</v>
      </c>
      <c r="BY1647" s="575" t="str">
        <f t="shared" si="165"/>
        <v>2003Pacific peoplesethSUDI</v>
      </c>
      <c r="BZ1647" s="604">
        <v>2003</v>
      </c>
      <c r="CA1647" s="604" t="s">
        <v>320</v>
      </c>
      <c r="CB1647" s="604" t="s">
        <v>449</v>
      </c>
      <c r="CC1647" s="604">
        <v>3</v>
      </c>
      <c r="CD1647" s="604" t="s">
        <v>33</v>
      </c>
    </row>
    <row r="1648" spans="9:82">
      <c r="I1648" s="578" t="str">
        <f t="shared" si="163"/>
        <v>2003bwt&lt;500Peri</v>
      </c>
      <c r="J1648" s="604">
        <v>2003</v>
      </c>
      <c r="K1648" s="604" t="s">
        <v>447</v>
      </c>
      <c r="L1648" s="604" t="s">
        <v>427</v>
      </c>
      <c r="M1648" s="604">
        <v>160</v>
      </c>
      <c r="N1648" s="604">
        <v>173</v>
      </c>
      <c r="O1648" s="604">
        <v>924.9</v>
      </c>
      <c r="P1648" s="604" t="s">
        <v>483</v>
      </c>
      <c r="Q1648" s="499"/>
      <c r="Y1648" s="535" t="str">
        <f t="shared" si="164"/>
        <v>2016bwtage1000-1499Totalinfant</v>
      </c>
      <c r="Z1648" s="604">
        <v>2016</v>
      </c>
      <c r="AA1648" s="604" t="s">
        <v>447</v>
      </c>
      <c r="AB1648" s="604" t="s">
        <v>453</v>
      </c>
      <c r="AC1648" s="604" t="s">
        <v>429</v>
      </c>
      <c r="AD1648" s="604" t="s">
        <v>44</v>
      </c>
      <c r="AE1648" s="604">
        <v>8</v>
      </c>
      <c r="AF1648" s="604">
        <v>331</v>
      </c>
      <c r="AG1648" s="604">
        <v>24.2</v>
      </c>
      <c r="AH1648" s="604" t="s">
        <v>437</v>
      </c>
      <c r="BY1648" s="575" t="str">
        <f t="shared" si="165"/>
        <v>2004AsianethSUDI</v>
      </c>
      <c r="BZ1648" s="604">
        <v>2004</v>
      </c>
      <c r="CA1648" s="604" t="s">
        <v>355</v>
      </c>
      <c r="CB1648" s="604" t="s">
        <v>449</v>
      </c>
      <c r="CC1648" s="604">
        <v>0</v>
      </c>
      <c r="CD1648" s="604" t="s">
        <v>33</v>
      </c>
    </row>
    <row r="1649" spans="9:82">
      <c r="I1649" s="578" t="str">
        <f t="shared" si="163"/>
        <v>2003bwt500-999Peri</v>
      </c>
      <c r="J1649" s="604">
        <v>2003</v>
      </c>
      <c r="K1649" s="604" t="s">
        <v>447</v>
      </c>
      <c r="L1649" s="604" t="s">
        <v>428</v>
      </c>
      <c r="M1649" s="604">
        <v>142</v>
      </c>
      <c r="N1649" s="604">
        <v>332</v>
      </c>
      <c r="O1649" s="604">
        <v>427.7</v>
      </c>
      <c r="P1649" s="604" t="s">
        <v>483</v>
      </c>
      <c r="Q1649" s="499"/>
      <c r="Y1649" s="535" t="str">
        <f t="shared" si="164"/>
        <v>2016bwtage1500-2499Totalinfant</v>
      </c>
      <c r="Z1649" s="604">
        <v>2016</v>
      </c>
      <c r="AA1649" s="604" t="s">
        <v>447</v>
      </c>
      <c r="AB1649" s="604" t="s">
        <v>453</v>
      </c>
      <c r="AC1649" s="604" t="s">
        <v>430</v>
      </c>
      <c r="AD1649" s="604" t="s">
        <v>44</v>
      </c>
      <c r="AE1649" s="604">
        <v>35</v>
      </c>
      <c r="AF1649" s="604">
        <v>2991</v>
      </c>
      <c r="AG1649" s="604">
        <v>11.7</v>
      </c>
      <c r="AH1649" s="604" t="s">
        <v>437</v>
      </c>
      <c r="BY1649" s="575" t="str">
        <f t="shared" si="165"/>
        <v>2004European or OtherethSUDI</v>
      </c>
      <c r="BZ1649" s="604">
        <v>2004</v>
      </c>
      <c r="CA1649" s="604" t="s">
        <v>356</v>
      </c>
      <c r="CB1649" s="604" t="s">
        <v>449</v>
      </c>
      <c r="CC1649" s="604">
        <v>12</v>
      </c>
      <c r="CD1649" s="604" t="s">
        <v>33</v>
      </c>
    </row>
    <row r="1650" spans="9:82">
      <c r="I1650" s="578" t="str">
        <f t="shared" si="163"/>
        <v>2003bwt1000-1499Peri</v>
      </c>
      <c r="J1650" s="604">
        <v>2003</v>
      </c>
      <c r="K1650" s="604" t="s">
        <v>447</v>
      </c>
      <c r="L1650" s="604" t="s">
        <v>429</v>
      </c>
      <c r="M1650" s="604">
        <v>45</v>
      </c>
      <c r="N1650" s="604">
        <v>414</v>
      </c>
      <c r="O1650" s="604">
        <v>108.7</v>
      </c>
      <c r="P1650" s="604" t="s">
        <v>483</v>
      </c>
      <c r="Q1650" s="499"/>
      <c r="Y1650" s="535" t="str">
        <f t="shared" si="164"/>
        <v>2016bwtage2500-4499Totalinfant</v>
      </c>
      <c r="Z1650" s="604">
        <v>2016</v>
      </c>
      <c r="AA1650" s="604" t="s">
        <v>447</v>
      </c>
      <c r="AB1650" s="604" t="s">
        <v>453</v>
      </c>
      <c r="AC1650" s="604" t="s">
        <v>431</v>
      </c>
      <c r="AD1650" s="604" t="s">
        <v>44</v>
      </c>
      <c r="AE1650" s="604">
        <v>95</v>
      </c>
      <c r="AF1650" s="604">
        <v>55407</v>
      </c>
      <c r="AG1650" s="604">
        <v>1.7</v>
      </c>
      <c r="AH1650" s="604" t="s">
        <v>437</v>
      </c>
      <c r="BY1650" s="575" t="str">
        <f t="shared" si="165"/>
        <v>2004MaoriethSUDI</v>
      </c>
      <c r="BZ1650" s="604">
        <v>2004</v>
      </c>
      <c r="CA1650" s="604" t="s">
        <v>129</v>
      </c>
      <c r="CB1650" s="604" t="s">
        <v>449</v>
      </c>
      <c r="CC1650" s="604">
        <v>46</v>
      </c>
      <c r="CD1650" s="604" t="s">
        <v>33</v>
      </c>
    </row>
    <row r="1651" spans="9:82">
      <c r="I1651" s="578" t="str">
        <f t="shared" si="163"/>
        <v>2003bwt1500-2499Peri</v>
      </c>
      <c r="J1651" s="604">
        <v>2003</v>
      </c>
      <c r="K1651" s="604" t="s">
        <v>447</v>
      </c>
      <c r="L1651" s="604" t="s">
        <v>430</v>
      </c>
      <c r="M1651" s="604">
        <v>71</v>
      </c>
      <c r="N1651" s="604">
        <v>2832</v>
      </c>
      <c r="O1651" s="604">
        <v>25.1</v>
      </c>
      <c r="P1651" s="604" t="s">
        <v>483</v>
      </c>
      <c r="Q1651" s="499"/>
      <c r="Y1651" s="535" t="str">
        <f t="shared" si="164"/>
        <v>2016bwtage4500+Totalinfant</v>
      </c>
      <c r="Z1651" s="604">
        <v>2016</v>
      </c>
      <c r="AA1651" s="604" t="s">
        <v>447</v>
      </c>
      <c r="AB1651" s="604" t="s">
        <v>453</v>
      </c>
      <c r="AC1651" s="604" t="s">
        <v>432</v>
      </c>
      <c r="AD1651" s="604" t="s">
        <v>44</v>
      </c>
      <c r="AE1651" s="604">
        <v>0</v>
      </c>
      <c r="AF1651" s="604">
        <v>1423</v>
      </c>
      <c r="AG1651" s="604">
        <v>0</v>
      </c>
      <c r="AH1651" s="604" t="s">
        <v>437</v>
      </c>
      <c r="BY1651" s="575" t="str">
        <f t="shared" si="165"/>
        <v>2004Pacific peoplesethSUDI</v>
      </c>
      <c r="BZ1651" s="604">
        <v>2004</v>
      </c>
      <c r="CA1651" s="604" t="s">
        <v>320</v>
      </c>
      <c r="CB1651" s="604" t="s">
        <v>449</v>
      </c>
      <c r="CC1651" s="604">
        <v>4</v>
      </c>
      <c r="CD1651" s="604" t="s">
        <v>33</v>
      </c>
    </row>
    <row r="1652" spans="9:82">
      <c r="I1652" s="578" t="str">
        <f t="shared" si="163"/>
        <v>2003bwt2500-4499Peri</v>
      </c>
      <c r="J1652" s="604">
        <v>2003</v>
      </c>
      <c r="K1652" s="604" t="s">
        <v>447</v>
      </c>
      <c r="L1652" s="604" t="s">
        <v>431</v>
      </c>
      <c r="M1652" s="604">
        <v>106</v>
      </c>
      <c r="N1652" s="604">
        <v>51610</v>
      </c>
      <c r="O1652" s="604">
        <v>2.1</v>
      </c>
      <c r="P1652" s="604" t="s">
        <v>483</v>
      </c>
      <c r="Q1652" s="499"/>
      <c r="Y1652" s="535" t="str">
        <f t="shared" si="164"/>
        <v>2016bwtageUnknownTotalinfant</v>
      </c>
      <c r="Z1652" s="604">
        <v>2016</v>
      </c>
      <c r="AA1652" s="604" t="s">
        <v>447</v>
      </c>
      <c r="AB1652" s="604" t="s">
        <v>453</v>
      </c>
      <c r="AC1652" s="604" t="s">
        <v>63</v>
      </c>
      <c r="AD1652" s="604" t="s">
        <v>44</v>
      </c>
      <c r="AE1652" s="604">
        <v>9</v>
      </c>
      <c r="AF1652" s="604">
        <v>35</v>
      </c>
      <c r="AG1652" s="604" t="s">
        <v>119</v>
      </c>
      <c r="AH1652" s="604" t="s">
        <v>437</v>
      </c>
      <c r="BY1652" s="575" t="str">
        <f t="shared" si="165"/>
        <v>2005AsianethSUDI</v>
      </c>
      <c r="BZ1652" s="604">
        <v>2005</v>
      </c>
      <c r="CA1652" s="604" t="s">
        <v>355</v>
      </c>
      <c r="CB1652" s="604" t="s">
        <v>449</v>
      </c>
      <c r="CC1652" s="604">
        <v>0</v>
      </c>
      <c r="CD1652" s="604" t="s">
        <v>33</v>
      </c>
    </row>
    <row r="1653" spans="9:82">
      <c r="I1653" s="578" t="str">
        <f t="shared" si="163"/>
        <v>2003bwt4500+Peri</v>
      </c>
      <c r="J1653" s="604">
        <v>2003</v>
      </c>
      <c r="K1653" s="604" t="s">
        <v>447</v>
      </c>
      <c r="L1653" s="604" t="s">
        <v>432</v>
      </c>
      <c r="M1653" s="604">
        <v>3</v>
      </c>
      <c r="N1653" s="604">
        <v>1559</v>
      </c>
      <c r="O1653" s="604">
        <v>1.9</v>
      </c>
      <c r="P1653" s="604" t="s">
        <v>483</v>
      </c>
      <c r="Q1653" s="499"/>
      <c r="Y1653" s="535" t="str">
        <f t="shared" si="164"/>
        <v>2016sexethMaleTotalinfant</v>
      </c>
      <c r="Z1653" s="604">
        <v>2016</v>
      </c>
      <c r="AA1653" s="604" t="s">
        <v>451</v>
      </c>
      <c r="AB1653" s="604" t="s">
        <v>449</v>
      </c>
      <c r="AC1653" s="604" t="s">
        <v>70</v>
      </c>
      <c r="AD1653" s="604" t="s">
        <v>44</v>
      </c>
      <c r="AE1653" s="604">
        <v>127</v>
      </c>
      <c r="AF1653" s="604">
        <v>31009</v>
      </c>
      <c r="AG1653" s="604">
        <v>4.0999999999999996</v>
      </c>
      <c r="AH1653" s="604" t="s">
        <v>437</v>
      </c>
      <c r="BY1653" s="575" t="str">
        <f t="shared" si="165"/>
        <v>2005European or OtherethSUDI</v>
      </c>
      <c r="BZ1653" s="604">
        <v>2005</v>
      </c>
      <c r="CA1653" s="604" t="s">
        <v>356</v>
      </c>
      <c r="CB1653" s="604" t="s">
        <v>449</v>
      </c>
      <c r="CC1653" s="604">
        <v>10</v>
      </c>
      <c r="CD1653" s="604" t="s">
        <v>33</v>
      </c>
    </row>
    <row r="1654" spans="9:82">
      <c r="I1654" s="578" t="str">
        <f t="shared" si="163"/>
        <v>2003bwtUnknownPeri</v>
      </c>
      <c r="J1654" s="604">
        <v>2003</v>
      </c>
      <c r="K1654" s="604" t="s">
        <v>447</v>
      </c>
      <c r="L1654" s="604" t="s">
        <v>63</v>
      </c>
      <c r="M1654" s="604">
        <v>7</v>
      </c>
      <c r="N1654" s="604">
        <v>49</v>
      </c>
      <c r="O1654" s="604" t="s">
        <v>119</v>
      </c>
      <c r="P1654" s="604" t="s">
        <v>483</v>
      </c>
      <c r="Q1654" s="499"/>
      <c r="Y1654" s="535" t="str">
        <f t="shared" si="164"/>
        <v>2016sexethFemaleTotalinfant</v>
      </c>
      <c r="Z1654" s="604">
        <v>2016</v>
      </c>
      <c r="AA1654" s="604" t="s">
        <v>451</v>
      </c>
      <c r="AB1654" s="604" t="s">
        <v>449</v>
      </c>
      <c r="AC1654" s="604" t="s">
        <v>71</v>
      </c>
      <c r="AD1654" s="604" t="s">
        <v>44</v>
      </c>
      <c r="AE1654" s="604">
        <v>114</v>
      </c>
      <c r="AF1654" s="604">
        <v>29427</v>
      </c>
      <c r="AG1654" s="604">
        <v>3.9</v>
      </c>
      <c r="AH1654" s="604" t="s">
        <v>437</v>
      </c>
      <c r="BY1654" s="575" t="str">
        <f t="shared" si="165"/>
        <v>2005MaoriethSUDI</v>
      </c>
      <c r="BZ1654" s="604">
        <v>2005</v>
      </c>
      <c r="CA1654" s="604" t="s">
        <v>129</v>
      </c>
      <c r="CB1654" s="604" t="s">
        <v>449</v>
      </c>
      <c r="CC1654" s="604">
        <v>39</v>
      </c>
      <c r="CD1654" s="604" t="s">
        <v>33</v>
      </c>
    </row>
    <row r="1655" spans="9:82">
      <c r="I1655" s="578" t="str">
        <f t="shared" si="163"/>
        <v>2004bwt&lt;500Peri</v>
      </c>
      <c r="J1655" s="604">
        <v>2004</v>
      </c>
      <c r="K1655" s="604" t="s">
        <v>447</v>
      </c>
      <c r="L1655" s="604" t="s">
        <v>427</v>
      </c>
      <c r="M1655" s="604">
        <v>231</v>
      </c>
      <c r="N1655" s="604">
        <v>245</v>
      </c>
      <c r="O1655" s="604">
        <v>942.9</v>
      </c>
      <c r="P1655" s="604" t="s">
        <v>483</v>
      </c>
      <c r="Q1655" s="499"/>
      <c r="Y1655" s="535" t="str">
        <f t="shared" si="164"/>
        <v>2016ageeth&lt;20Totalinfant</v>
      </c>
      <c r="Z1655" s="604">
        <v>2016</v>
      </c>
      <c r="AA1655" s="604" t="s">
        <v>453</v>
      </c>
      <c r="AB1655" s="604" t="s">
        <v>449</v>
      </c>
      <c r="AC1655" s="604" t="s">
        <v>339</v>
      </c>
      <c r="AD1655" s="604" t="s">
        <v>44</v>
      </c>
      <c r="AE1655" s="604">
        <v>27</v>
      </c>
      <c r="AF1655" s="604">
        <v>2559</v>
      </c>
      <c r="AG1655" s="604">
        <v>10.6</v>
      </c>
      <c r="AH1655" s="604" t="s">
        <v>437</v>
      </c>
      <c r="BY1655" s="575" t="str">
        <f t="shared" si="165"/>
        <v>2005Pacific peoplesethSUDI</v>
      </c>
      <c r="BZ1655" s="604">
        <v>2005</v>
      </c>
      <c r="CA1655" s="604" t="s">
        <v>320</v>
      </c>
      <c r="CB1655" s="604" t="s">
        <v>449</v>
      </c>
      <c r="CC1655" s="604">
        <v>4</v>
      </c>
      <c r="CD1655" s="604" t="s">
        <v>33</v>
      </c>
    </row>
    <row r="1656" spans="9:82">
      <c r="I1656" s="578" t="str">
        <f t="shared" si="163"/>
        <v>2004bwt500-999Peri</v>
      </c>
      <c r="J1656" s="604">
        <v>2004</v>
      </c>
      <c r="K1656" s="604" t="s">
        <v>447</v>
      </c>
      <c r="L1656" s="604" t="s">
        <v>428</v>
      </c>
      <c r="M1656" s="604">
        <v>162</v>
      </c>
      <c r="N1656" s="604">
        <v>331</v>
      </c>
      <c r="O1656" s="604">
        <v>489.4</v>
      </c>
      <c r="P1656" s="604" t="s">
        <v>483</v>
      </c>
      <c r="Q1656" s="499"/>
      <c r="Y1656" s="535" t="str">
        <f t="shared" si="164"/>
        <v>2016ageeth20-24Totalinfant</v>
      </c>
      <c r="Z1656" s="604">
        <v>2016</v>
      </c>
      <c r="AA1656" s="604" t="s">
        <v>453</v>
      </c>
      <c r="AB1656" s="604" t="s">
        <v>449</v>
      </c>
      <c r="AC1656" s="604" t="s">
        <v>130</v>
      </c>
      <c r="AD1656" s="604" t="s">
        <v>44</v>
      </c>
      <c r="AE1656" s="604">
        <v>61</v>
      </c>
      <c r="AF1656" s="604">
        <v>9934</v>
      </c>
      <c r="AG1656" s="604">
        <v>6.1</v>
      </c>
      <c r="AH1656" s="604" t="s">
        <v>437</v>
      </c>
      <c r="BY1656" s="575" t="str">
        <f t="shared" si="165"/>
        <v>2006AsianethSUDI</v>
      </c>
      <c r="BZ1656" s="604">
        <v>2006</v>
      </c>
      <c r="CA1656" s="604" t="s">
        <v>355</v>
      </c>
      <c r="CB1656" s="604" t="s">
        <v>449</v>
      </c>
      <c r="CC1656" s="604">
        <v>2</v>
      </c>
      <c r="CD1656" s="604" t="s">
        <v>33</v>
      </c>
    </row>
    <row r="1657" spans="9:82">
      <c r="I1657" s="578" t="str">
        <f t="shared" si="163"/>
        <v>2004bwt1000-1499Peri</v>
      </c>
      <c r="J1657" s="604">
        <v>2004</v>
      </c>
      <c r="K1657" s="604" t="s">
        <v>447</v>
      </c>
      <c r="L1657" s="604" t="s">
        <v>429</v>
      </c>
      <c r="M1657" s="604">
        <v>44</v>
      </c>
      <c r="N1657" s="604">
        <v>395</v>
      </c>
      <c r="O1657" s="604">
        <v>111.4</v>
      </c>
      <c r="P1657" s="604" t="s">
        <v>483</v>
      </c>
      <c r="Q1657" s="499"/>
      <c r="Y1657" s="535" t="str">
        <f t="shared" si="164"/>
        <v>2016ageeth25-29Totalinfant</v>
      </c>
      <c r="Z1657" s="604">
        <v>2016</v>
      </c>
      <c r="AA1657" s="604" t="s">
        <v>453</v>
      </c>
      <c r="AB1657" s="604" t="s">
        <v>449</v>
      </c>
      <c r="AC1657" s="604" t="s">
        <v>131</v>
      </c>
      <c r="AD1657" s="604" t="s">
        <v>44</v>
      </c>
      <c r="AE1657" s="604">
        <v>52</v>
      </c>
      <c r="AF1657" s="604">
        <v>16664</v>
      </c>
      <c r="AG1657" s="604">
        <v>3.1</v>
      </c>
      <c r="AH1657" s="604" t="s">
        <v>437</v>
      </c>
      <c r="BY1657" s="575" t="str">
        <f t="shared" si="165"/>
        <v>2006European or OtherethSUDI</v>
      </c>
      <c r="BZ1657" s="604">
        <v>2006</v>
      </c>
      <c r="CA1657" s="604" t="s">
        <v>356</v>
      </c>
      <c r="CB1657" s="604" t="s">
        <v>449</v>
      </c>
      <c r="CC1657" s="604">
        <v>17</v>
      </c>
      <c r="CD1657" s="604" t="s">
        <v>33</v>
      </c>
    </row>
    <row r="1658" spans="9:82">
      <c r="I1658" s="578" t="str">
        <f t="shared" si="163"/>
        <v>2004bwt1500-2499Peri</v>
      </c>
      <c r="J1658" s="604">
        <v>2004</v>
      </c>
      <c r="K1658" s="604" t="s">
        <v>447</v>
      </c>
      <c r="L1658" s="604" t="s">
        <v>430</v>
      </c>
      <c r="M1658" s="604">
        <v>71</v>
      </c>
      <c r="N1658" s="604">
        <v>3021</v>
      </c>
      <c r="O1658" s="604">
        <v>23.5</v>
      </c>
      <c r="P1658" s="604" t="s">
        <v>483</v>
      </c>
      <c r="Q1658" s="499"/>
      <c r="Y1658" s="535" t="str">
        <f t="shared" si="164"/>
        <v>2016ageeth30-34Totalinfant</v>
      </c>
      <c r="Z1658" s="604">
        <v>2016</v>
      </c>
      <c r="AA1658" s="604" t="s">
        <v>453</v>
      </c>
      <c r="AB1658" s="604" t="s">
        <v>449</v>
      </c>
      <c r="AC1658" s="604" t="s">
        <v>132</v>
      </c>
      <c r="AD1658" s="604" t="s">
        <v>44</v>
      </c>
      <c r="AE1658" s="604">
        <v>59</v>
      </c>
      <c r="AF1658" s="604">
        <v>18720</v>
      </c>
      <c r="AG1658" s="604">
        <v>3.2</v>
      </c>
      <c r="AH1658" s="604" t="s">
        <v>437</v>
      </c>
      <c r="BY1658" s="575" t="str">
        <f t="shared" si="165"/>
        <v>2006MaoriethSUDI</v>
      </c>
      <c r="BZ1658" s="604">
        <v>2006</v>
      </c>
      <c r="CA1658" s="604" t="s">
        <v>129</v>
      </c>
      <c r="CB1658" s="604" t="s">
        <v>449</v>
      </c>
      <c r="CC1658" s="604">
        <v>37</v>
      </c>
      <c r="CD1658" s="604" t="s">
        <v>33</v>
      </c>
    </row>
    <row r="1659" spans="9:82">
      <c r="I1659" s="578" t="str">
        <f t="shared" si="163"/>
        <v>2004bwt2500-4499Peri</v>
      </c>
      <c r="J1659" s="604">
        <v>2004</v>
      </c>
      <c r="K1659" s="604" t="s">
        <v>447</v>
      </c>
      <c r="L1659" s="604" t="s">
        <v>431</v>
      </c>
      <c r="M1659" s="604">
        <v>143</v>
      </c>
      <c r="N1659" s="604">
        <v>53553</v>
      </c>
      <c r="O1659" s="604">
        <v>2.7</v>
      </c>
      <c r="P1659" s="604" t="s">
        <v>483</v>
      </c>
      <c r="Q1659" s="499"/>
      <c r="Y1659" s="535" t="str">
        <f t="shared" si="164"/>
        <v>2016ageeth35-39Totalinfant</v>
      </c>
      <c r="Z1659" s="604">
        <v>2016</v>
      </c>
      <c r="AA1659" s="604" t="s">
        <v>453</v>
      </c>
      <c r="AB1659" s="604" t="s">
        <v>449</v>
      </c>
      <c r="AC1659" s="604" t="s">
        <v>133</v>
      </c>
      <c r="AD1659" s="604" t="s">
        <v>44</v>
      </c>
      <c r="AE1659" s="604">
        <v>26</v>
      </c>
      <c r="AF1659" s="604">
        <v>10105</v>
      </c>
      <c r="AG1659" s="604">
        <v>2.6</v>
      </c>
      <c r="AH1659" s="604" t="s">
        <v>437</v>
      </c>
      <c r="BY1659" s="575" t="str">
        <f t="shared" si="165"/>
        <v>2006Pacific peoplesethSUDI</v>
      </c>
      <c r="BZ1659" s="604">
        <v>2006</v>
      </c>
      <c r="CA1659" s="604" t="s">
        <v>320</v>
      </c>
      <c r="CB1659" s="604" t="s">
        <v>449</v>
      </c>
      <c r="CC1659" s="604">
        <v>10</v>
      </c>
      <c r="CD1659" s="604" t="s">
        <v>33</v>
      </c>
    </row>
    <row r="1660" spans="9:82">
      <c r="I1660" s="578" t="str">
        <f t="shared" si="163"/>
        <v>2004bwt4500+Peri</v>
      </c>
      <c r="J1660" s="604">
        <v>2004</v>
      </c>
      <c r="K1660" s="604" t="s">
        <v>447</v>
      </c>
      <c r="L1660" s="604" t="s">
        <v>432</v>
      </c>
      <c r="M1660" s="604">
        <v>4</v>
      </c>
      <c r="N1660" s="604">
        <v>1617</v>
      </c>
      <c r="O1660" s="604">
        <v>2.5</v>
      </c>
      <c r="P1660" s="604" t="s">
        <v>483</v>
      </c>
      <c r="Q1660" s="499"/>
      <c r="Y1660" s="535" t="str">
        <f t="shared" si="164"/>
        <v>2016ageeth40+Totalinfant</v>
      </c>
      <c r="Z1660" s="604">
        <v>2016</v>
      </c>
      <c r="AA1660" s="604" t="s">
        <v>453</v>
      </c>
      <c r="AB1660" s="604" t="s">
        <v>449</v>
      </c>
      <c r="AC1660" s="604" t="s">
        <v>134</v>
      </c>
      <c r="AD1660" s="604" t="s">
        <v>44</v>
      </c>
      <c r="AE1660" s="604">
        <v>15</v>
      </c>
      <c r="AF1660" s="604">
        <v>2454</v>
      </c>
      <c r="AG1660" s="604">
        <v>6.1</v>
      </c>
      <c r="AH1660" s="604" t="s">
        <v>437</v>
      </c>
      <c r="BY1660" s="575" t="str">
        <f t="shared" si="165"/>
        <v>2007AsianethSUDI</v>
      </c>
      <c r="BZ1660" s="604">
        <v>2007</v>
      </c>
      <c r="CA1660" s="604" t="s">
        <v>355</v>
      </c>
      <c r="CB1660" s="604" t="s">
        <v>449</v>
      </c>
      <c r="CC1660" s="604">
        <v>1</v>
      </c>
      <c r="CD1660" s="604" t="s">
        <v>33</v>
      </c>
    </row>
    <row r="1661" spans="9:82">
      <c r="I1661" s="578" t="str">
        <f t="shared" si="163"/>
        <v>2004bwtUnknownPeri</v>
      </c>
      <c r="J1661" s="604">
        <v>2004</v>
      </c>
      <c r="K1661" s="604" t="s">
        <v>447</v>
      </c>
      <c r="L1661" s="604" t="s">
        <v>63</v>
      </c>
      <c r="M1661" s="604">
        <v>11</v>
      </c>
      <c r="N1661" s="604">
        <v>67</v>
      </c>
      <c r="O1661" s="604" t="s">
        <v>119</v>
      </c>
      <c r="P1661" s="604" t="s">
        <v>483</v>
      </c>
      <c r="Q1661" s="499"/>
      <c r="Y1661" s="535" t="str">
        <f t="shared" si="164"/>
        <v>2016depethQuin 1Totalinfant</v>
      </c>
      <c r="Z1661" s="604">
        <v>2016</v>
      </c>
      <c r="AA1661" s="604" t="s">
        <v>454</v>
      </c>
      <c r="AB1661" s="604" t="s">
        <v>449</v>
      </c>
      <c r="AC1661" s="604" t="s">
        <v>421</v>
      </c>
      <c r="AD1661" s="604" t="s">
        <v>44</v>
      </c>
      <c r="AE1661" s="604">
        <v>24</v>
      </c>
      <c r="AF1661" s="604">
        <v>9194</v>
      </c>
      <c r="AG1661" s="604">
        <v>2.6</v>
      </c>
      <c r="AH1661" s="604" t="s">
        <v>437</v>
      </c>
      <c r="BY1661" s="575" t="str">
        <f t="shared" si="165"/>
        <v>2007European or OtherethSUDI</v>
      </c>
      <c r="BZ1661" s="604">
        <v>2007</v>
      </c>
      <c r="CA1661" s="604" t="s">
        <v>356</v>
      </c>
      <c r="CB1661" s="604" t="s">
        <v>449</v>
      </c>
      <c r="CC1661" s="604">
        <v>19</v>
      </c>
      <c r="CD1661" s="604" t="s">
        <v>33</v>
      </c>
    </row>
    <row r="1662" spans="9:82">
      <c r="I1662" s="578" t="str">
        <f t="shared" si="163"/>
        <v>2005bwt&lt;500Peri</v>
      </c>
      <c r="J1662" s="604">
        <v>2005</v>
      </c>
      <c r="K1662" s="604" t="s">
        <v>447</v>
      </c>
      <c r="L1662" s="604" t="s">
        <v>427</v>
      </c>
      <c r="M1662" s="604">
        <v>184</v>
      </c>
      <c r="N1662" s="604">
        <v>199</v>
      </c>
      <c r="O1662" s="604">
        <v>924.6</v>
      </c>
      <c r="P1662" s="604" t="s">
        <v>483</v>
      </c>
      <c r="Q1662" s="499"/>
      <c r="Y1662" s="535" t="str">
        <f t="shared" si="164"/>
        <v>2016depethQuin 2Totalinfant</v>
      </c>
      <c r="Z1662" s="604">
        <v>2016</v>
      </c>
      <c r="AA1662" s="604" t="s">
        <v>454</v>
      </c>
      <c r="AB1662" s="604" t="s">
        <v>449</v>
      </c>
      <c r="AC1662" s="604" t="s">
        <v>422</v>
      </c>
      <c r="AD1662" s="604" t="s">
        <v>44</v>
      </c>
      <c r="AE1662" s="604">
        <v>24</v>
      </c>
      <c r="AF1662" s="604">
        <v>10123</v>
      </c>
      <c r="AG1662" s="604">
        <v>2.4</v>
      </c>
      <c r="AH1662" s="604" t="s">
        <v>437</v>
      </c>
      <c r="BY1662" s="575" t="str">
        <f t="shared" si="165"/>
        <v>2007MaoriethSUDI</v>
      </c>
      <c r="BZ1662" s="604">
        <v>2007</v>
      </c>
      <c r="CA1662" s="604" t="s">
        <v>129</v>
      </c>
      <c r="CB1662" s="604" t="s">
        <v>449</v>
      </c>
      <c r="CC1662" s="604">
        <v>34</v>
      </c>
      <c r="CD1662" s="604" t="s">
        <v>33</v>
      </c>
    </row>
    <row r="1663" spans="9:82">
      <c r="I1663" s="578" t="str">
        <f t="shared" si="163"/>
        <v>2005bwt500-999Peri</v>
      </c>
      <c r="J1663" s="604">
        <v>2005</v>
      </c>
      <c r="K1663" s="604" t="s">
        <v>447</v>
      </c>
      <c r="L1663" s="604" t="s">
        <v>428</v>
      </c>
      <c r="M1663" s="604">
        <v>130</v>
      </c>
      <c r="N1663" s="604">
        <v>307</v>
      </c>
      <c r="O1663" s="604">
        <v>423.5</v>
      </c>
      <c r="P1663" s="604" t="s">
        <v>483</v>
      </c>
      <c r="Q1663" s="499"/>
      <c r="Y1663" s="535" t="str">
        <f t="shared" si="164"/>
        <v>2016depethQuin 3Totalinfant</v>
      </c>
      <c r="Z1663" s="604">
        <v>2016</v>
      </c>
      <c r="AA1663" s="604" t="s">
        <v>454</v>
      </c>
      <c r="AB1663" s="604" t="s">
        <v>449</v>
      </c>
      <c r="AC1663" s="604" t="s">
        <v>423</v>
      </c>
      <c r="AD1663" s="604" t="s">
        <v>44</v>
      </c>
      <c r="AE1663" s="604">
        <v>32</v>
      </c>
      <c r="AF1663" s="604">
        <v>10971</v>
      </c>
      <c r="AG1663" s="604">
        <v>2.9</v>
      </c>
      <c r="AH1663" s="604" t="s">
        <v>437</v>
      </c>
      <c r="BY1663" s="575" t="str">
        <f t="shared" si="165"/>
        <v>2007Pacific peoplesethSUDI</v>
      </c>
      <c r="BZ1663" s="604">
        <v>2007</v>
      </c>
      <c r="CA1663" s="604" t="s">
        <v>320</v>
      </c>
      <c r="CB1663" s="604" t="s">
        <v>449</v>
      </c>
      <c r="CC1663" s="604">
        <v>10</v>
      </c>
      <c r="CD1663" s="604" t="s">
        <v>33</v>
      </c>
    </row>
    <row r="1664" spans="9:82">
      <c r="I1664" s="578" t="str">
        <f t="shared" si="163"/>
        <v>2005bwt1000-1499Peri</v>
      </c>
      <c r="J1664" s="604">
        <v>2005</v>
      </c>
      <c r="K1664" s="604" t="s">
        <v>447</v>
      </c>
      <c r="L1664" s="604" t="s">
        <v>429</v>
      </c>
      <c r="M1664" s="604">
        <v>39</v>
      </c>
      <c r="N1664" s="604">
        <v>392</v>
      </c>
      <c r="O1664" s="604">
        <v>99.5</v>
      </c>
      <c r="P1664" s="604" t="s">
        <v>483</v>
      </c>
      <c r="Q1664" s="499"/>
      <c r="Y1664" s="535" t="str">
        <f t="shared" si="164"/>
        <v>2016depethQuin 4Totalinfant</v>
      </c>
      <c r="Z1664" s="604">
        <v>2016</v>
      </c>
      <c r="AA1664" s="604" t="s">
        <v>454</v>
      </c>
      <c r="AB1664" s="604" t="s">
        <v>449</v>
      </c>
      <c r="AC1664" s="604" t="s">
        <v>424</v>
      </c>
      <c r="AD1664" s="604" t="s">
        <v>44</v>
      </c>
      <c r="AE1664" s="604">
        <v>52</v>
      </c>
      <c r="AF1664" s="604">
        <v>13131</v>
      </c>
      <c r="AG1664" s="604">
        <v>4</v>
      </c>
      <c r="AH1664" s="604" t="s">
        <v>437</v>
      </c>
      <c r="BY1664" s="575" t="str">
        <f t="shared" si="165"/>
        <v>2008AsianethSUDI</v>
      </c>
      <c r="BZ1664" s="604">
        <v>2008</v>
      </c>
      <c r="CA1664" s="604" t="s">
        <v>355</v>
      </c>
      <c r="CB1664" s="604" t="s">
        <v>449</v>
      </c>
      <c r="CC1664" s="604">
        <v>1</v>
      </c>
      <c r="CD1664" s="604" t="s">
        <v>33</v>
      </c>
    </row>
    <row r="1665" spans="9:82">
      <c r="I1665" s="578" t="str">
        <f t="shared" si="163"/>
        <v>2005bwt1500-2499Peri</v>
      </c>
      <c r="J1665" s="604">
        <v>2005</v>
      </c>
      <c r="K1665" s="604" t="s">
        <v>447</v>
      </c>
      <c r="L1665" s="604" t="s">
        <v>430</v>
      </c>
      <c r="M1665" s="604">
        <v>65</v>
      </c>
      <c r="N1665" s="604">
        <v>2905</v>
      </c>
      <c r="O1665" s="604">
        <v>22.4</v>
      </c>
      <c r="P1665" s="604" t="s">
        <v>483</v>
      </c>
      <c r="Q1665" s="499"/>
      <c r="Y1665" s="535" t="str">
        <f t="shared" si="164"/>
        <v>2016depethQuin 5Totalinfant</v>
      </c>
      <c r="Z1665" s="604">
        <v>2016</v>
      </c>
      <c r="AA1665" s="604" t="s">
        <v>454</v>
      </c>
      <c r="AB1665" s="604" t="s">
        <v>449</v>
      </c>
      <c r="AC1665" s="604" t="s">
        <v>425</v>
      </c>
      <c r="AD1665" s="604" t="s">
        <v>44</v>
      </c>
      <c r="AE1665" s="604">
        <v>107</v>
      </c>
      <c r="AF1665" s="604">
        <v>16886</v>
      </c>
      <c r="AG1665" s="604">
        <v>6.3</v>
      </c>
      <c r="AH1665" s="604" t="s">
        <v>437</v>
      </c>
      <c r="BY1665" s="575" t="str">
        <f t="shared" si="165"/>
        <v>2008European or OtherethSUDI</v>
      </c>
      <c r="BZ1665" s="604">
        <v>2008</v>
      </c>
      <c r="CA1665" s="604" t="s">
        <v>356</v>
      </c>
      <c r="CB1665" s="604" t="s">
        <v>449</v>
      </c>
      <c r="CC1665" s="604">
        <v>11</v>
      </c>
      <c r="CD1665" s="604" t="s">
        <v>33</v>
      </c>
    </row>
    <row r="1666" spans="9:82">
      <c r="I1666" s="578" t="str">
        <f t="shared" si="163"/>
        <v>2005bwt2500-4499Peri</v>
      </c>
      <c r="J1666" s="604">
        <v>2005</v>
      </c>
      <c r="K1666" s="604" t="s">
        <v>447</v>
      </c>
      <c r="L1666" s="604" t="s">
        <v>431</v>
      </c>
      <c r="M1666" s="604">
        <v>117</v>
      </c>
      <c r="N1666" s="604">
        <v>53661</v>
      </c>
      <c r="O1666" s="604">
        <v>2.2000000000000002</v>
      </c>
      <c r="P1666" s="604" t="s">
        <v>483</v>
      </c>
      <c r="Q1666" s="499"/>
      <c r="Y1666" s="535" t="str">
        <f t="shared" si="164"/>
        <v>2016depethQuin 9Totalinfant</v>
      </c>
      <c r="Z1666" s="604">
        <v>2016</v>
      </c>
      <c r="AA1666" s="604" t="s">
        <v>454</v>
      </c>
      <c r="AB1666" s="604" t="s">
        <v>449</v>
      </c>
      <c r="AC1666" s="604" t="s">
        <v>426</v>
      </c>
      <c r="AD1666" s="604" t="s">
        <v>44</v>
      </c>
      <c r="AE1666" s="604">
        <v>2</v>
      </c>
      <c r="AF1666" s="604">
        <v>131</v>
      </c>
      <c r="AG1666" s="604" t="s">
        <v>119</v>
      </c>
      <c r="AH1666" s="604" t="s">
        <v>437</v>
      </c>
      <c r="BY1666" s="575" t="str">
        <f t="shared" si="165"/>
        <v>2008MaoriethSUDI</v>
      </c>
      <c r="BZ1666" s="604">
        <v>2008</v>
      </c>
      <c r="CA1666" s="604" t="s">
        <v>129</v>
      </c>
      <c r="CB1666" s="604" t="s">
        <v>449</v>
      </c>
      <c r="CC1666" s="604">
        <v>46</v>
      </c>
      <c r="CD1666" s="604" t="s">
        <v>33</v>
      </c>
    </row>
    <row r="1667" spans="9:82">
      <c r="I1667" s="578" t="str">
        <f t="shared" si="163"/>
        <v>2005bwt4500+Peri</v>
      </c>
      <c r="J1667" s="604">
        <v>2005</v>
      </c>
      <c r="K1667" s="604" t="s">
        <v>447</v>
      </c>
      <c r="L1667" s="604" t="s">
        <v>432</v>
      </c>
      <c r="M1667" s="604">
        <v>6</v>
      </c>
      <c r="N1667" s="604">
        <v>1611</v>
      </c>
      <c r="O1667" s="604">
        <v>3.7</v>
      </c>
      <c r="P1667" s="604" t="s">
        <v>483</v>
      </c>
      <c r="Q1667" s="499"/>
      <c r="Y1667" s="535" t="str">
        <f t="shared" si="164"/>
        <v>2016gesteth&lt;28Totalinfant</v>
      </c>
      <c r="Z1667" s="604">
        <v>2016</v>
      </c>
      <c r="AA1667" s="604" t="s">
        <v>450</v>
      </c>
      <c r="AB1667" s="604" t="s">
        <v>449</v>
      </c>
      <c r="AC1667" s="604" t="s">
        <v>375</v>
      </c>
      <c r="AD1667" s="604" t="s">
        <v>44</v>
      </c>
      <c r="AE1667" s="604">
        <v>96</v>
      </c>
      <c r="AF1667" s="604">
        <v>260</v>
      </c>
      <c r="AG1667" s="604">
        <v>369.2</v>
      </c>
      <c r="AH1667" s="604" t="s">
        <v>437</v>
      </c>
      <c r="BY1667" s="575" t="str">
        <f t="shared" si="165"/>
        <v>2008Pacific peoplesethSUDI</v>
      </c>
      <c r="BZ1667" s="604">
        <v>2008</v>
      </c>
      <c r="CA1667" s="604" t="s">
        <v>320</v>
      </c>
      <c r="CB1667" s="604" t="s">
        <v>449</v>
      </c>
      <c r="CC1667" s="604">
        <v>8</v>
      </c>
      <c r="CD1667" s="604" t="s">
        <v>33</v>
      </c>
    </row>
    <row r="1668" spans="9:82">
      <c r="I1668" s="578" t="str">
        <f t="shared" ref="I1668:I1731" si="166">J1668&amp;K1668&amp;L1668&amp;P1668</f>
        <v>2005bwtUnknownPeri</v>
      </c>
      <c r="J1668" s="604">
        <v>2005</v>
      </c>
      <c r="K1668" s="604" t="s">
        <v>447</v>
      </c>
      <c r="L1668" s="604" t="s">
        <v>63</v>
      </c>
      <c r="M1668" s="604">
        <v>10</v>
      </c>
      <c r="N1668" s="604">
        <v>55</v>
      </c>
      <c r="O1668" s="604" t="s">
        <v>119</v>
      </c>
      <c r="P1668" s="604" t="s">
        <v>483</v>
      </c>
      <c r="Q1668" s="499"/>
      <c r="Y1668" s="535" t="str">
        <f t="shared" ref="Y1668:Y1731" si="167">Z1668&amp;AA1668&amp;AB1668&amp;AC1668&amp;AD1668&amp;AH1668</f>
        <v>2016gesteth28-31Totalinfant</v>
      </c>
      <c r="Z1668" s="604">
        <v>2016</v>
      </c>
      <c r="AA1668" s="604" t="s">
        <v>450</v>
      </c>
      <c r="AB1668" s="604" t="s">
        <v>449</v>
      </c>
      <c r="AC1668" s="604" t="s">
        <v>395</v>
      </c>
      <c r="AD1668" s="604" t="s">
        <v>44</v>
      </c>
      <c r="AE1668" s="604">
        <v>14</v>
      </c>
      <c r="AF1668" s="604">
        <v>417</v>
      </c>
      <c r="AG1668" s="604">
        <v>33.6</v>
      </c>
      <c r="AH1668" s="604" t="s">
        <v>437</v>
      </c>
      <c r="BY1668" s="575" t="str">
        <f t="shared" si="165"/>
        <v>2009AsianethSUDI</v>
      </c>
      <c r="BZ1668" s="604">
        <v>2009</v>
      </c>
      <c r="CA1668" s="604" t="s">
        <v>355</v>
      </c>
      <c r="CB1668" s="604" t="s">
        <v>449</v>
      </c>
      <c r="CC1668" s="604">
        <v>1</v>
      </c>
      <c r="CD1668" s="604" t="s">
        <v>33</v>
      </c>
    </row>
    <row r="1669" spans="9:82">
      <c r="I1669" s="578" t="str">
        <f t="shared" si="166"/>
        <v>2006bwt&lt;500Peri</v>
      </c>
      <c r="J1669" s="604">
        <v>2006</v>
      </c>
      <c r="K1669" s="604" t="s">
        <v>447</v>
      </c>
      <c r="L1669" s="604" t="s">
        <v>427</v>
      </c>
      <c r="M1669" s="604">
        <v>200</v>
      </c>
      <c r="N1669" s="604">
        <v>214</v>
      </c>
      <c r="O1669" s="604">
        <v>934.6</v>
      </c>
      <c r="P1669" s="604" t="s">
        <v>483</v>
      </c>
      <c r="Q1669" s="499"/>
      <c r="Y1669" s="535" t="str">
        <f t="shared" si="167"/>
        <v>2016gesteth32-36Totalinfant</v>
      </c>
      <c r="Z1669" s="604">
        <v>2016</v>
      </c>
      <c r="AA1669" s="604" t="s">
        <v>450</v>
      </c>
      <c r="AB1669" s="604" t="s">
        <v>449</v>
      </c>
      <c r="AC1669" s="604" t="s">
        <v>136</v>
      </c>
      <c r="AD1669" s="604" t="s">
        <v>44</v>
      </c>
      <c r="AE1669" s="604">
        <v>23</v>
      </c>
      <c r="AF1669" s="604">
        <v>3814</v>
      </c>
      <c r="AG1669" s="604">
        <v>6</v>
      </c>
      <c r="AH1669" s="604" t="s">
        <v>437</v>
      </c>
      <c r="BY1669" s="575" t="str">
        <f t="shared" si="165"/>
        <v>2009European or OtherethSUDI</v>
      </c>
      <c r="BZ1669" s="604">
        <v>2009</v>
      </c>
      <c r="CA1669" s="604" t="s">
        <v>356</v>
      </c>
      <c r="CB1669" s="604" t="s">
        <v>449</v>
      </c>
      <c r="CC1669" s="604">
        <v>17</v>
      </c>
      <c r="CD1669" s="604" t="s">
        <v>33</v>
      </c>
    </row>
    <row r="1670" spans="9:82">
      <c r="I1670" s="578" t="str">
        <f t="shared" si="166"/>
        <v>2006bwt500-999Peri</v>
      </c>
      <c r="J1670" s="604">
        <v>2006</v>
      </c>
      <c r="K1670" s="604" t="s">
        <v>447</v>
      </c>
      <c r="L1670" s="604" t="s">
        <v>428</v>
      </c>
      <c r="M1670" s="604">
        <v>117</v>
      </c>
      <c r="N1670" s="604">
        <v>279</v>
      </c>
      <c r="O1670" s="604">
        <v>419.4</v>
      </c>
      <c r="P1670" s="604" t="s">
        <v>483</v>
      </c>
      <c r="Q1670" s="499"/>
      <c r="Y1670" s="535" t="str">
        <f t="shared" si="167"/>
        <v>2016gesteth37-41Totalinfant</v>
      </c>
      <c r="Z1670" s="604">
        <v>2016</v>
      </c>
      <c r="AA1670" s="604" t="s">
        <v>450</v>
      </c>
      <c r="AB1670" s="604" t="s">
        <v>449</v>
      </c>
      <c r="AC1670" s="604" t="s">
        <v>137</v>
      </c>
      <c r="AD1670" s="604" t="s">
        <v>44</v>
      </c>
      <c r="AE1670" s="604">
        <v>91</v>
      </c>
      <c r="AF1670" s="604">
        <v>54899</v>
      </c>
      <c r="AG1670" s="604">
        <v>1.7</v>
      </c>
      <c r="AH1670" s="604" t="s">
        <v>437</v>
      </c>
      <c r="BY1670" s="575" t="str">
        <f t="shared" si="165"/>
        <v>2009MaoriethSUDI</v>
      </c>
      <c r="BZ1670" s="604">
        <v>2009</v>
      </c>
      <c r="CA1670" s="604" t="s">
        <v>129</v>
      </c>
      <c r="CB1670" s="604" t="s">
        <v>449</v>
      </c>
      <c r="CC1670" s="604">
        <v>41</v>
      </c>
      <c r="CD1670" s="604" t="s">
        <v>33</v>
      </c>
    </row>
    <row r="1671" spans="9:82">
      <c r="I1671" s="578" t="str">
        <f t="shared" si="166"/>
        <v>2006bwt1000-1499Peri</v>
      </c>
      <c r="J1671" s="604">
        <v>2006</v>
      </c>
      <c r="K1671" s="604" t="s">
        <v>447</v>
      </c>
      <c r="L1671" s="604" t="s">
        <v>429</v>
      </c>
      <c r="M1671" s="604">
        <v>45</v>
      </c>
      <c r="N1671" s="604">
        <v>417</v>
      </c>
      <c r="O1671" s="604">
        <v>107.9</v>
      </c>
      <c r="P1671" s="604" t="s">
        <v>483</v>
      </c>
      <c r="Q1671" s="499"/>
      <c r="Y1671" s="535" t="str">
        <f t="shared" si="167"/>
        <v>2016gesteth42+Totalinfant</v>
      </c>
      <c r="Z1671" s="604">
        <v>2016</v>
      </c>
      <c r="AA1671" s="604" t="s">
        <v>450</v>
      </c>
      <c r="AB1671" s="604" t="s">
        <v>449</v>
      </c>
      <c r="AC1671" s="604" t="s">
        <v>138</v>
      </c>
      <c r="AD1671" s="604" t="s">
        <v>44</v>
      </c>
      <c r="AE1671" s="604">
        <v>4</v>
      </c>
      <c r="AF1671" s="604">
        <v>1017</v>
      </c>
      <c r="AG1671" s="604">
        <v>3.9</v>
      </c>
      <c r="AH1671" s="604" t="s">
        <v>437</v>
      </c>
      <c r="BY1671" s="575" t="str">
        <f t="shared" si="165"/>
        <v>2009Pacific peoplesethSUDI</v>
      </c>
      <c r="BZ1671" s="604">
        <v>2009</v>
      </c>
      <c r="CA1671" s="604" t="s">
        <v>320</v>
      </c>
      <c r="CB1671" s="604" t="s">
        <v>449</v>
      </c>
      <c r="CC1671" s="604">
        <v>7</v>
      </c>
      <c r="CD1671" s="604" t="s">
        <v>33</v>
      </c>
    </row>
    <row r="1672" spans="9:82">
      <c r="I1672" s="578" t="str">
        <f t="shared" si="166"/>
        <v>2006bwt1500-2499Peri</v>
      </c>
      <c r="J1672" s="604">
        <v>2006</v>
      </c>
      <c r="K1672" s="604" t="s">
        <v>447</v>
      </c>
      <c r="L1672" s="604" t="s">
        <v>430</v>
      </c>
      <c r="M1672" s="604">
        <v>59</v>
      </c>
      <c r="N1672" s="604">
        <v>2916</v>
      </c>
      <c r="O1672" s="604">
        <v>20.2</v>
      </c>
      <c r="P1672" s="604" t="s">
        <v>483</v>
      </c>
      <c r="Q1672" s="499"/>
      <c r="Y1672" s="535" t="str">
        <f t="shared" si="167"/>
        <v>2016gestethUnknownTotalinfant</v>
      </c>
      <c r="Z1672" s="604">
        <v>2016</v>
      </c>
      <c r="AA1672" s="604" t="s">
        <v>450</v>
      </c>
      <c r="AB1672" s="604" t="s">
        <v>449</v>
      </c>
      <c r="AC1672" s="604" t="s">
        <v>63</v>
      </c>
      <c r="AD1672" s="604" t="s">
        <v>44</v>
      </c>
      <c r="AE1672" s="604">
        <v>13</v>
      </c>
      <c r="AF1672" s="604">
        <v>29</v>
      </c>
      <c r="AG1672" s="604" t="s">
        <v>119</v>
      </c>
      <c r="AH1672" s="604" t="s">
        <v>437</v>
      </c>
      <c r="BY1672" s="575" t="str">
        <f t="shared" si="165"/>
        <v>2010AsianethSUDI</v>
      </c>
      <c r="BZ1672" s="604">
        <v>2010</v>
      </c>
      <c r="CA1672" s="604" t="s">
        <v>355</v>
      </c>
      <c r="CB1672" s="604" t="s">
        <v>449</v>
      </c>
      <c r="CC1672" s="604">
        <v>2</v>
      </c>
      <c r="CD1672" s="604" t="s">
        <v>33</v>
      </c>
    </row>
    <row r="1673" spans="9:82">
      <c r="I1673" s="578" t="str">
        <f t="shared" si="166"/>
        <v>2006bwt2500-4499Peri</v>
      </c>
      <c r="J1673" s="604">
        <v>2006</v>
      </c>
      <c r="K1673" s="604" t="s">
        <v>447</v>
      </c>
      <c r="L1673" s="604" t="s">
        <v>431</v>
      </c>
      <c r="M1673" s="604">
        <v>116</v>
      </c>
      <c r="N1673" s="604">
        <v>55139</v>
      </c>
      <c r="O1673" s="604">
        <v>2.1</v>
      </c>
      <c r="P1673" s="604" t="s">
        <v>483</v>
      </c>
      <c r="Q1673" s="499"/>
      <c r="Y1673" s="535" t="str">
        <f t="shared" si="167"/>
        <v>2016bwteth&lt;500Totalinfant</v>
      </c>
      <c r="Z1673" s="604">
        <v>2016</v>
      </c>
      <c r="AA1673" s="604" t="s">
        <v>447</v>
      </c>
      <c r="AB1673" s="604" t="s">
        <v>449</v>
      </c>
      <c r="AC1673" s="604" t="s">
        <v>427</v>
      </c>
      <c r="AD1673" s="604" t="s">
        <v>44</v>
      </c>
      <c r="AE1673" s="604">
        <v>37</v>
      </c>
      <c r="AF1673" s="604">
        <v>53</v>
      </c>
      <c r="AG1673" s="604">
        <v>698.1</v>
      </c>
      <c r="AH1673" s="604" t="s">
        <v>437</v>
      </c>
      <c r="BY1673" s="575" t="str">
        <f t="shared" si="165"/>
        <v>2010European or OtherethSUDI</v>
      </c>
      <c r="BZ1673" s="604">
        <v>2010</v>
      </c>
      <c r="CA1673" s="604" t="s">
        <v>356</v>
      </c>
      <c r="CB1673" s="604" t="s">
        <v>449</v>
      </c>
      <c r="CC1673" s="604">
        <v>13</v>
      </c>
      <c r="CD1673" s="604" t="s">
        <v>33</v>
      </c>
    </row>
    <row r="1674" spans="9:82">
      <c r="I1674" s="578" t="str">
        <f t="shared" si="166"/>
        <v>2006bwt4500+Peri</v>
      </c>
      <c r="J1674" s="604">
        <v>2006</v>
      </c>
      <c r="K1674" s="604" t="s">
        <v>447</v>
      </c>
      <c r="L1674" s="604" t="s">
        <v>432</v>
      </c>
      <c r="M1674" s="604">
        <v>3</v>
      </c>
      <c r="N1674" s="604">
        <v>1647</v>
      </c>
      <c r="O1674" s="604">
        <v>1.8</v>
      </c>
      <c r="P1674" s="604" t="s">
        <v>483</v>
      </c>
      <c r="Q1674" s="499"/>
      <c r="Y1674" s="535" t="str">
        <f t="shared" si="167"/>
        <v>2016bwteth500-999Totalinfant</v>
      </c>
      <c r="Z1674" s="604">
        <v>2016</v>
      </c>
      <c r="AA1674" s="604" t="s">
        <v>447</v>
      </c>
      <c r="AB1674" s="604" t="s">
        <v>449</v>
      </c>
      <c r="AC1674" s="604" t="s">
        <v>428</v>
      </c>
      <c r="AD1674" s="604" t="s">
        <v>44</v>
      </c>
      <c r="AE1674" s="604">
        <v>57</v>
      </c>
      <c r="AF1674" s="604">
        <v>196</v>
      </c>
      <c r="AG1674" s="604">
        <v>290.8</v>
      </c>
      <c r="AH1674" s="604" t="s">
        <v>437</v>
      </c>
      <c r="BY1674" s="575" t="str">
        <f t="shared" si="165"/>
        <v>2010MaoriethSUDI</v>
      </c>
      <c r="BZ1674" s="604">
        <v>2010</v>
      </c>
      <c r="CA1674" s="604" t="s">
        <v>129</v>
      </c>
      <c r="CB1674" s="604" t="s">
        <v>449</v>
      </c>
      <c r="CC1674" s="604">
        <v>39</v>
      </c>
      <c r="CD1674" s="604" t="s">
        <v>33</v>
      </c>
    </row>
    <row r="1675" spans="9:82">
      <c r="I1675" s="578" t="str">
        <f t="shared" si="166"/>
        <v>2006bwtUnknownPeri</v>
      </c>
      <c r="J1675" s="604">
        <v>2006</v>
      </c>
      <c r="K1675" s="604" t="s">
        <v>447</v>
      </c>
      <c r="L1675" s="604" t="s">
        <v>63</v>
      </c>
      <c r="M1675" s="604">
        <v>6</v>
      </c>
      <c r="N1675" s="604">
        <v>71</v>
      </c>
      <c r="O1675" s="604" t="s">
        <v>119</v>
      </c>
      <c r="P1675" s="604" t="s">
        <v>483</v>
      </c>
      <c r="Q1675" s="499"/>
      <c r="Y1675" s="535" t="str">
        <f t="shared" si="167"/>
        <v>2016bwteth1000-1499Totalinfant</v>
      </c>
      <c r="Z1675" s="604">
        <v>2016</v>
      </c>
      <c r="AA1675" s="604" t="s">
        <v>447</v>
      </c>
      <c r="AB1675" s="604" t="s">
        <v>449</v>
      </c>
      <c r="AC1675" s="604" t="s">
        <v>429</v>
      </c>
      <c r="AD1675" s="604" t="s">
        <v>44</v>
      </c>
      <c r="AE1675" s="604">
        <v>8</v>
      </c>
      <c r="AF1675" s="604">
        <v>331</v>
      </c>
      <c r="AG1675" s="604">
        <v>24.2</v>
      </c>
      <c r="AH1675" s="604" t="s">
        <v>437</v>
      </c>
      <c r="BY1675" s="575" t="str">
        <f t="shared" si="165"/>
        <v>2010Pacific peoplesethSUDI</v>
      </c>
      <c r="BZ1675" s="604">
        <v>2010</v>
      </c>
      <c r="CA1675" s="604" t="s">
        <v>320</v>
      </c>
      <c r="CB1675" s="604" t="s">
        <v>449</v>
      </c>
      <c r="CC1675" s="604">
        <v>6</v>
      </c>
      <c r="CD1675" s="604" t="s">
        <v>33</v>
      </c>
    </row>
    <row r="1676" spans="9:82">
      <c r="I1676" s="578" t="str">
        <f t="shared" si="166"/>
        <v>2007bwt&lt;500Peri</v>
      </c>
      <c r="J1676" s="604">
        <v>2007</v>
      </c>
      <c r="K1676" s="604" t="s">
        <v>447</v>
      </c>
      <c r="L1676" s="604" t="s">
        <v>427</v>
      </c>
      <c r="M1676" s="604">
        <v>191</v>
      </c>
      <c r="N1676" s="604">
        <v>207</v>
      </c>
      <c r="O1676" s="604">
        <v>922.7</v>
      </c>
      <c r="P1676" s="604" t="s">
        <v>483</v>
      </c>
      <c r="Q1676" s="499"/>
      <c r="Y1676" s="535" t="str">
        <f t="shared" si="167"/>
        <v>2016bwteth1500-2499Totalinfant</v>
      </c>
      <c r="Z1676" s="604">
        <v>2016</v>
      </c>
      <c r="AA1676" s="604" t="s">
        <v>447</v>
      </c>
      <c r="AB1676" s="604" t="s">
        <v>449</v>
      </c>
      <c r="AC1676" s="604" t="s">
        <v>430</v>
      </c>
      <c r="AD1676" s="604" t="s">
        <v>44</v>
      </c>
      <c r="AE1676" s="604">
        <v>35</v>
      </c>
      <c r="AF1676" s="604">
        <v>2991</v>
      </c>
      <c r="AG1676" s="604">
        <v>11.7</v>
      </c>
      <c r="AH1676" s="604" t="s">
        <v>437</v>
      </c>
      <c r="BY1676" s="575" t="str">
        <f t="shared" si="165"/>
        <v>2011AsianethSUDI</v>
      </c>
      <c r="BZ1676" s="604">
        <v>2011</v>
      </c>
      <c r="CA1676" s="604" t="s">
        <v>355</v>
      </c>
      <c r="CB1676" s="604" t="s">
        <v>449</v>
      </c>
      <c r="CC1676" s="604">
        <v>0</v>
      </c>
      <c r="CD1676" s="604" t="s">
        <v>33</v>
      </c>
    </row>
    <row r="1677" spans="9:82">
      <c r="I1677" s="578" t="str">
        <f t="shared" si="166"/>
        <v>2007bwt500-999Peri</v>
      </c>
      <c r="J1677" s="604">
        <v>2007</v>
      </c>
      <c r="K1677" s="604" t="s">
        <v>447</v>
      </c>
      <c r="L1677" s="604" t="s">
        <v>428</v>
      </c>
      <c r="M1677" s="604">
        <v>151</v>
      </c>
      <c r="N1677" s="604">
        <v>343</v>
      </c>
      <c r="O1677" s="604">
        <v>440.2</v>
      </c>
      <c r="P1677" s="604" t="s">
        <v>483</v>
      </c>
      <c r="Q1677" s="499"/>
      <c r="Y1677" s="535" t="str">
        <f t="shared" si="167"/>
        <v>2016bwteth2500-4499Totalinfant</v>
      </c>
      <c r="Z1677" s="604">
        <v>2016</v>
      </c>
      <c r="AA1677" s="604" t="s">
        <v>447</v>
      </c>
      <c r="AB1677" s="604" t="s">
        <v>449</v>
      </c>
      <c r="AC1677" s="604" t="s">
        <v>431</v>
      </c>
      <c r="AD1677" s="604" t="s">
        <v>44</v>
      </c>
      <c r="AE1677" s="604">
        <v>95</v>
      </c>
      <c r="AF1677" s="604">
        <v>55407</v>
      </c>
      <c r="AG1677" s="604">
        <v>1.7</v>
      </c>
      <c r="AH1677" s="604" t="s">
        <v>437</v>
      </c>
      <c r="BY1677" s="575" t="str">
        <f t="shared" si="165"/>
        <v>2011European or OtherethSUDI</v>
      </c>
      <c r="BZ1677" s="604">
        <v>2011</v>
      </c>
      <c r="CA1677" s="604" t="s">
        <v>356</v>
      </c>
      <c r="CB1677" s="604" t="s">
        <v>449</v>
      </c>
      <c r="CC1677" s="604">
        <v>10</v>
      </c>
      <c r="CD1677" s="604" t="s">
        <v>33</v>
      </c>
    </row>
    <row r="1678" spans="9:82">
      <c r="I1678" s="578" t="str">
        <f t="shared" si="166"/>
        <v>2007bwt1000-1499Peri</v>
      </c>
      <c r="J1678" s="604">
        <v>2007</v>
      </c>
      <c r="K1678" s="604" t="s">
        <v>447</v>
      </c>
      <c r="L1678" s="604" t="s">
        <v>429</v>
      </c>
      <c r="M1678" s="604">
        <v>45</v>
      </c>
      <c r="N1678" s="604">
        <v>435</v>
      </c>
      <c r="O1678" s="604">
        <v>103.4</v>
      </c>
      <c r="P1678" s="604" t="s">
        <v>483</v>
      </c>
      <c r="Q1678" s="499"/>
      <c r="Y1678" s="535" t="str">
        <f t="shared" si="167"/>
        <v>2016bwteth4500+Totalinfant</v>
      </c>
      <c r="Z1678" s="604">
        <v>2016</v>
      </c>
      <c r="AA1678" s="604" t="s">
        <v>447</v>
      </c>
      <c r="AB1678" s="604" t="s">
        <v>449</v>
      </c>
      <c r="AC1678" s="604" t="s">
        <v>432</v>
      </c>
      <c r="AD1678" s="604" t="s">
        <v>44</v>
      </c>
      <c r="AE1678" s="604">
        <v>0</v>
      </c>
      <c r="AF1678" s="604">
        <v>1423</v>
      </c>
      <c r="AG1678" s="604">
        <v>0</v>
      </c>
      <c r="AH1678" s="604" t="s">
        <v>437</v>
      </c>
      <c r="BY1678" s="575" t="str">
        <f t="shared" si="165"/>
        <v>2011MaoriethSUDI</v>
      </c>
      <c r="BZ1678" s="604">
        <v>2011</v>
      </c>
      <c r="CA1678" s="604" t="s">
        <v>129</v>
      </c>
      <c r="CB1678" s="604" t="s">
        <v>449</v>
      </c>
      <c r="CC1678" s="604">
        <v>41</v>
      </c>
      <c r="CD1678" s="604" t="s">
        <v>33</v>
      </c>
    </row>
    <row r="1679" spans="9:82">
      <c r="I1679" s="578" t="str">
        <f t="shared" si="166"/>
        <v>2007bwt1500-2499Peri</v>
      </c>
      <c r="J1679" s="604">
        <v>2007</v>
      </c>
      <c r="K1679" s="604" t="s">
        <v>447</v>
      </c>
      <c r="L1679" s="604" t="s">
        <v>430</v>
      </c>
      <c r="M1679" s="604">
        <v>72</v>
      </c>
      <c r="N1679" s="604">
        <v>3197</v>
      </c>
      <c r="O1679" s="604">
        <v>22.5</v>
      </c>
      <c r="P1679" s="604" t="s">
        <v>483</v>
      </c>
      <c r="Q1679" s="499"/>
      <c r="Y1679" s="535" t="str">
        <f t="shared" si="167"/>
        <v>2016bwtethUnknownTotalinfant</v>
      </c>
      <c r="Z1679" s="604">
        <v>2016</v>
      </c>
      <c r="AA1679" s="604" t="s">
        <v>447</v>
      </c>
      <c r="AB1679" s="604" t="s">
        <v>449</v>
      </c>
      <c r="AC1679" s="604" t="s">
        <v>63</v>
      </c>
      <c r="AD1679" s="604" t="s">
        <v>44</v>
      </c>
      <c r="AE1679" s="604">
        <v>9</v>
      </c>
      <c r="AF1679" s="604">
        <v>35</v>
      </c>
      <c r="AG1679" s="604" t="s">
        <v>119</v>
      </c>
      <c r="AH1679" s="604" t="s">
        <v>437</v>
      </c>
      <c r="BY1679" s="575" t="str">
        <f t="shared" si="165"/>
        <v>2011Pacific peoplesethSUDI</v>
      </c>
      <c r="BZ1679" s="604">
        <v>2011</v>
      </c>
      <c r="CA1679" s="604" t="s">
        <v>320</v>
      </c>
      <c r="CB1679" s="604" t="s">
        <v>449</v>
      </c>
      <c r="CC1679" s="604">
        <v>3</v>
      </c>
      <c r="CD1679" s="604" t="s">
        <v>33</v>
      </c>
    </row>
    <row r="1680" spans="9:82">
      <c r="I1680" s="578" t="str">
        <f t="shared" si="166"/>
        <v>2007bwt2500-4499Peri</v>
      </c>
      <c r="J1680" s="604">
        <v>2007</v>
      </c>
      <c r="K1680" s="604" t="s">
        <v>447</v>
      </c>
      <c r="L1680" s="604" t="s">
        <v>431</v>
      </c>
      <c r="M1680" s="604">
        <v>128</v>
      </c>
      <c r="N1680" s="604">
        <v>59504</v>
      </c>
      <c r="O1680" s="604">
        <v>2.2000000000000002</v>
      </c>
      <c r="P1680" s="604" t="s">
        <v>483</v>
      </c>
      <c r="Q1680" s="499"/>
      <c r="Y1680" s="535" t="str">
        <f t="shared" si="167"/>
        <v>2016sexdepMaleTotalinfant</v>
      </c>
      <c r="Z1680" s="604">
        <v>2016</v>
      </c>
      <c r="AA1680" s="604" t="s">
        <v>451</v>
      </c>
      <c r="AB1680" s="604" t="s">
        <v>454</v>
      </c>
      <c r="AC1680" s="604" t="s">
        <v>70</v>
      </c>
      <c r="AD1680" s="604" t="s">
        <v>44</v>
      </c>
      <c r="AE1680" s="604">
        <v>127</v>
      </c>
      <c r="AF1680" s="604">
        <v>31009</v>
      </c>
      <c r="AG1680" s="604">
        <v>4.0999999999999996</v>
      </c>
      <c r="AH1680" s="604" t="s">
        <v>437</v>
      </c>
      <c r="BY1680" s="575" t="str">
        <f t="shared" si="165"/>
        <v>2012AsianethSUDI</v>
      </c>
      <c r="BZ1680" s="604">
        <v>2012</v>
      </c>
      <c r="CA1680" s="604" t="s">
        <v>355</v>
      </c>
      <c r="CB1680" s="604" t="s">
        <v>449</v>
      </c>
      <c r="CC1680" s="604">
        <v>0</v>
      </c>
      <c r="CD1680" s="604" t="s">
        <v>33</v>
      </c>
    </row>
    <row r="1681" spans="9:82">
      <c r="I1681" s="578" t="str">
        <f t="shared" si="166"/>
        <v>2007bwt4500+Peri</v>
      </c>
      <c r="J1681" s="604">
        <v>2007</v>
      </c>
      <c r="K1681" s="604" t="s">
        <v>447</v>
      </c>
      <c r="L1681" s="604" t="s">
        <v>432</v>
      </c>
      <c r="M1681" s="604">
        <v>6</v>
      </c>
      <c r="N1681" s="604">
        <v>1838</v>
      </c>
      <c r="O1681" s="604">
        <v>3.3</v>
      </c>
      <c r="P1681" s="604" t="s">
        <v>483</v>
      </c>
      <c r="Q1681" s="499"/>
      <c r="Y1681" s="535" t="str">
        <f t="shared" si="167"/>
        <v>2016sexdepFemaleTotalinfant</v>
      </c>
      <c r="Z1681" s="604">
        <v>2016</v>
      </c>
      <c r="AA1681" s="604" t="s">
        <v>451</v>
      </c>
      <c r="AB1681" s="604" t="s">
        <v>454</v>
      </c>
      <c r="AC1681" s="604" t="s">
        <v>71</v>
      </c>
      <c r="AD1681" s="604" t="s">
        <v>44</v>
      </c>
      <c r="AE1681" s="604">
        <v>114</v>
      </c>
      <c r="AF1681" s="604">
        <v>29427</v>
      </c>
      <c r="AG1681" s="604">
        <v>3.9</v>
      </c>
      <c r="AH1681" s="604" t="s">
        <v>437</v>
      </c>
      <c r="BY1681" s="575" t="str">
        <f t="shared" si="165"/>
        <v>2012European or OtherethSUDI</v>
      </c>
      <c r="BZ1681" s="604">
        <v>2012</v>
      </c>
      <c r="CA1681" s="604" t="s">
        <v>356</v>
      </c>
      <c r="CB1681" s="604" t="s">
        <v>449</v>
      </c>
      <c r="CC1681" s="604">
        <v>13</v>
      </c>
      <c r="CD1681" s="604" t="s">
        <v>33</v>
      </c>
    </row>
    <row r="1682" spans="9:82">
      <c r="I1682" s="578" t="str">
        <f t="shared" si="166"/>
        <v>2007bwtUnknownPeri</v>
      </c>
      <c r="J1682" s="604">
        <v>2007</v>
      </c>
      <c r="K1682" s="604" t="s">
        <v>447</v>
      </c>
      <c r="L1682" s="604" t="s">
        <v>63</v>
      </c>
      <c r="M1682" s="604">
        <v>11</v>
      </c>
      <c r="N1682" s="604">
        <v>67</v>
      </c>
      <c r="O1682" s="604" t="s">
        <v>119</v>
      </c>
      <c r="P1682" s="604" t="s">
        <v>483</v>
      </c>
      <c r="Q1682" s="499"/>
      <c r="Y1682" s="535" t="str">
        <f t="shared" si="167"/>
        <v>2016ethdepMaoriTotalinfant</v>
      </c>
      <c r="Z1682" s="604">
        <v>2016</v>
      </c>
      <c r="AA1682" s="604" t="s">
        <v>449</v>
      </c>
      <c r="AB1682" s="604" t="s">
        <v>454</v>
      </c>
      <c r="AC1682" s="604" t="s">
        <v>129</v>
      </c>
      <c r="AD1682" s="604" t="s">
        <v>44</v>
      </c>
      <c r="AE1682" s="604">
        <v>103</v>
      </c>
      <c r="AF1682" s="604">
        <v>17329</v>
      </c>
      <c r="AG1682" s="604">
        <v>5.9</v>
      </c>
      <c r="AH1682" s="604" t="s">
        <v>437</v>
      </c>
      <c r="BY1682" s="575" t="str">
        <f t="shared" si="165"/>
        <v>2012MaoriethSUDI</v>
      </c>
      <c r="BZ1682" s="604">
        <v>2012</v>
      </c>
      <c r="CA1682" s="604" t="s">
        <v>129</v>
      </c>
      <c r="CB1682" s="604" t="s">
        <v>449</v>
      </c>
      <c r="CC1682" s="604">
        <v>19</v>
      </c>
      <c r="CD1682" s="604" t="s">
        <v>33</v>
      </c>
    </row>
    <row r="1683" spans="9:82">
      <c r="I1683" s="578" t="str">
        <f t="shared" si="166"/>
        <v>2008bwt&lt;500Peri</v>
      </c>
      <c r="J1683" s="604">
        <v>2008</v>
      </c>
      <c r="K1683" s="604" t="s">
        <v>447</v>
      </c>
      <c r="L1683" s="604" t="s">
        <v>427</v>
      </c>
      <c r="M1683" s="604">
        <v>234</v>
      </c>
      <c r="N1683" s="604">
        <v>263</v>
      </c>
      <c r="O1683" s="604">
        <v>889.7</v>
      </c>
      <c r="P1683" s="604" t="s">
        <v>483</v>
      </c>
      <c r="Q1683" s="499"/>
      <c r="Y1683" s="535" t="str">
        <f t="shared" si="167"/>
        <v>2016ethdepPacific peoplesTotalinfant</v>
      </c>
      <c r="Z1683" s="604">
        <v>2016</v>
      </c>
      <c r="AA1683" s="604" t="s">
        <v>449</v>
      </c>
      <c r="AB1683" s="604" t="s">
        <v>454</v>
      </c>
      <c r="AC1683" s="604" t="s">
        <v>320</v>
      </c>
      <c r="AD1683" s="604" t="s">
        <v>44</v>
      </c>
      <c r="AE1683" s="604">
        <v>37</v>
      </c>
      <c r="AF1683" s="604">
        <v>5976</v>
      </c>
      <c r="AG1683" s="604">
        <v>6.2</v>
      </c>
      <c r="AH1683" s="604" t="s">
        <v>437</v>
      </c>
      <c r="BY1683" s="575" t="str">
        <f t="shared" si="165"/>
        <v>2012Pacific peoplesethSUDI</v>
      </c>
      <c r="BZ1683" s="604">
        <v>2012</v>
      </c>
      <c r="CA1683" s="604" t="s">
        <v>320</v>
      </c>
      <c r="CB1683" s="604" t="s">
        <v>449</v>
      </c>
      <c r="CC1683" s="604">
        <v>5</v>
      </c>
      <c r="CD1683" s="604" t="s">
        <v>33</v>
      </c>
    </row>
    <row r="1684" spans="9:82">
      <c r="I1684" s="578" t="str">
        <f t="shared" si="166"/>
        <v>2008bwt500-999Peri</v>
      </c>
      <c r="J1684" s="604">
        <v>2008</v>
      </c>
      <c r="K1684" s="604" t="s">
        <v>447</v>
      </c>
      <c r="L1684" s="604" t="s">
        <v>428</v>
      </c>
      <c r="M1684" s="604">
        <v>156</v>
      </c>
      <c r="N1684" s="604">
        <v>321</v>
      </c>
      <c r="O1684" s="604">
        <v>486</v>
      </c>
      <c r="P1684" s="604" t="s">
        <v>483</v>
      </c>
      <c r="Q1684" s="499"/>
      <c r="Y1684" s="535" t="str">
        <f t="shared" si="167"/>
        <v>2016ethdepAsianTotalinfant</v>
      </c>
      <c r="Z1684" s="604">
        <v>2016</v>
      </c>
      <c r="AA1684" s="604" t="s">
        <v>449</v>
      </c>
      <c r="AB1684" s="604" t="s">
        <v>454</v>
      </c>
      <c r="AC1684" s="604" t="s">
        <v>355</v>
      </c>
      <c r="AD1684" s="604" t="s">
        <v>44</v>
      </c>
      <c r="AE1684" s="604">
        <v>27</v>
      </c>
      <c r="AF1684" s="604">
        <v>10902</v>
      </c>
      <c r="AG1684" s="604">
        <v>2.5</v>
      </c>
      <c r="AH1684" s="604" t="s">
        <v>437</v>
      </c>
      <c r="BY1684" s="575" t="str">
        <f t="shared" si="165"/>
        <v>2013AsianethSUDI</v>
      </c>
      <c r="BZ1684" s="604">
        <v>2013</v>
      </c>
      <c r="CA1684" s="604" t="s">
        <v>355</v>
      </c>
      <c r="CB1684" s="604" t="s">
        <v>449</v>
      </c>
      <c r="CC1684" s="604">
        <v>1</v>
      </c>
      <c r="CD1684" s="604" t="s">
        <v>33</v>
      </c>
    </row>
    <row r="1685" spans="9:82">
      <c r="I1685" s="578" t="str">
        <f t="shared" si="166"/>
        <v>2008bwt1000-1499Peri</v>
      </c>
      <c r="J1685" s="604">
        <v>2008</v>
      </c>
      <c r="K1685" s="604" t="s">
        <v>447</v>
      </c>
      <c r="L1685" s="604" t="s">
        <v>429</v>
      </c>
      <c r="M1685" s="604">
        <v>43</v>
      </c>
      <c r="N1685" s="604">
        <v>420</v>
      </c>
      <c r="O1685" s="604">
        <v>102.4</v>
      </c>
      <c r="P1685" s="604" t="s">
        <v>483</v>
      </c>
      <c r="Q1685" s="499"/>
      <c r="Y1685" s="535" t="str">
        <f t="shared" si="167"/>
        <v>2016ethdepEuropean or OtherTotalinfant</v>
      </c>
      <c r="Z1685" s="604">
        <v>2016</v>
      </c>
      <c r="AA1685" s="604" t="s">
        <v>449</v>
      </c>
      <c r="AB1685" s="604" t="s">
        <v>454</v>
      </c>
      <c r="AC1685" s="604" t="s">
        <v>356</v>
      </c>
      <c r="AD1685" s="604" t="s">
        <v>44</v>
      </c>
      <c r="AE1685" s="604">
        <v>74</v>
      </c>
      <c r="AF1685" s="604">
        <v>26229</v>
      </c>
      <c r="AG1685" s="604">
        <v>2.8</v>
      </c>
      <c r="AH1685" s="604" t="s">
        <v>437</v>
      </c>
      <c r="BY1685" s="575" t="str">
        <f t="shared" si="165"/>
        <v>2013European or OtherethSUDI</v>
      </c>
      <c r="BZ1685" s="604">
        <v>2013</v>
      </c>
      <c r="CA1685" s="604" t="s">
        <v>356</v>
      </c>
      <c r="CB1685" s="604" t="s">
        <v>449</v>
      </c>
      <c r="CC1685" s="604">
        <v>12</v>
      </c>
      <c r="CD1685" s="604" t="s">
        <v>33</v>
      </c>
    </row>
    <row r="1686" spans="9:82">
      <c r="I1686" s="578" t="str">
        <f t="shared" si="166"/>
        <v>2008bwt1500-2499Peri</v>
      </c>
      <c r="J1686" s="604">
        <v>2008</v>
      </c>
      <c r="K1686" s="604" t="s">
        <v>447</v>
      </c>
      <c r="L1686" s="604" t="s">
        <v>430</v>
      </c>
      <c r="M1686" s="604">
        <v>93</v>
      </c>
      <c r="N1686" s="604">
        <v>3265</v>
      </c>
      <c r="O1686" s="604">
        <v>28.5</v>
      </c>
      <c r="P1686" s="604" t="s">
        <v>483</v>
      </c>
      <c r="Q1686" s="499"/>
      <c r="Y1686" s="535" t="str">
        <f t="shared" si="167"/>
        <v>2016agedep&lt;20Totalinfant</v>
      </c>
      <c r="Z1686" s="604">
        <v>2016</v>
      </c>
      <c r="AA1686" s="604" t="s">
        <v>453</v>
      </c>
      <c r="AB1686" s="604" t="s">
        <v>454</v>
      </c>
      <c r="AC1686" s="604" t="s">
        <v>339</v>
      </c>
      <c r="AD1686" s="604" t="s">
        <v>44</v>
      </c>
      <c r="AE1686" s="604">
        <v>27</v>
      </c>
      <c r="AF1686" s="604">
        <v>2559</v>
      </c>
      <c r="AG1686" s="604">
        <v>10.6</v>
      </c>
      <c r="AH1686" s="604" t="s">
        <v>437</v>
      </c>
      <c r="BY1686" s="575" t="str">
        <f t="shared" si="165"/>
        <v>2013MaoriethSUDI</v>
      </c>
      <c r="BZ1686" s="604">
        <v>2013</v>
      </c>
      <c r="CA1686" s="604" t="s">
        <v>129</v>
      </c>
      <c r="CB1686" s="604" t="s">
        <v>449</v>
      </c>
      <c r="CC1686" s="604">
        <v>20</v>
      </c>
      <c r="CD1686" s="604" t="s">
        <v>33</v>
      </c>
    </row>
    <row r="1687" spans="9:82">
      <c r="I1687" s="578" t="str">
        <f t="shared" si="166"/>
        <v>2008bwt2500-4499Peri</v>
      </c>
      <c r="J1687" s="604">
        <v>2008</v>
      </c>
      <c r="K1687" s="604" t="s">
        <v>447</v>
      </c>
      <c r="L1687" s="604" t="s">
        <v>431</v>
      </c>
      <c r="M1687" s="604">
        <v>156</v>
      </c>
      <c r="N1687" s="604">
        <v>59662</v>
      </c>
      <c r="O1687" s="604">
        <v>2.6</v>
      </c>
      <c r="P1687" s="604" t="s">
        <v>483</v>
      </c>
      <c r="Q1687" s="499"/>
      <c r="Y1687" s="535" t="str">
        <f t="shared" si="167"/>
        <v>2016agedep20-24Totalinfant</v>
      </c>
      <c r="Z1687" s="604">
        <v>2016</v>
      </c>
      <c r="AA1687" s="604" t="s">
        <v>453</v>
      </c>
      <c r="AB1687" s="604" t="s">
        <v>454</v>
      </c>
      <c r="AC1687" s="604" t="s">
        <v>130</v>
      </c>
      <c r="AD1687" s="604" t="s">
        <v>44</v>
      </c>
      <c r="AE1687" s="604">
        <v>61</v>
      </c>
      <c r="AF1687" s="604">
        <v>9934</v>
      </c>
      <c r="AG1687" s="604">
        <v>6.1</v>
      </c>
      <c r="AH1687" s="604" t="s">
        <v>437</v>
      </c>
      <c r="BY1687" s="575" t="str">
        <f t="shared" si="165"/>
        <v>2013Pacific peoplesethSUDI</v>
      </c>
      <c r="BZ1687" s="604">
        <v>2013</v>
      </c>
      <c r="CA1687" s="604" t="s">
        <v>320</v>
      </c>
      <c r="CB1687" s="604" t="s">
        <v>449</v>
      </c>
      <c r="CC1687" s="604">
        <v>8</v>
      </c>
      <c r="CD1687" s="604" t="s">
        <v>33</v>
      </c>
    </row>
    <row r="1688" spans="9:82">
      <c r="I1688" s="578" t="str">
        <f t="shared" si="166"/>
        <v>2008bwt4500+Peri</v>
      </c>
      <c r="J1688" s="604">
        <v>2008</v>
      </c>
      <c r="K1688" s="604" t="s">
        <v>447</v>
      </c>
      <c r="L1688" s="604" t="s">
        <v>432</v>
      </c>
      <c r="M1688" s="604">
        <v>4</v>
      </c>
      <c r="N1688" s="604">
        <v>1865</v>
      </c>
      <c r="O1688" s="604">
        <v>2.1</v>
      </c>
      <c r="P1688" s="604" t="s">
        <v>483</v>
      </c>
      <c r="Q1688" s="499"/>
      <c r="Y1688" s="535" t="str">
        <f t="shared" si="167"/>
        <v>2016agedep25-29Totalinfant</v>
      </c>
      <c r="Z1688" s="604">
        <v>2016</v>
      </c>
      <c r="AA1688" s="604" t="s">
        <v>453</v>
      </c>
      <c r="AB1688" s="604" t="s">
        <v>454</v>
      </c>
      <c r="AC1688" s="604" t="s">
        <v>131</v>
      </c>
      <c r="AD1688" s="604" t="s">
        <v>44</v>
      </c>
      <c r="AE1688" s="604">
        <v>52</v>
      </c>
      <c r="AF1688" s="604">
        <v>16664</v>
      </c>
      <c r="AG1688" s="604">
        <v>3.1</v>
      </c>
      <c r="AH1688" s="604" t="s">
        <v>437</v>
      </c>
      <c r="BY1688" s="575" t="str">
        <f t="shared" si="165"/>
        <v>2014AsianethSUDI</v>
      </c>
      <c r="BZ1688" s="604">
        <v>2014</v>
      </c>
      <c r="CA1688" s="604" t="s">
        <v>355</v>
      </c>
      <c r="CB1688" s="604" t="s">
        <v>449</v>
      </c>
      <c r="CC1688" s="604">
        <v>2</v>
      </c>
      <c r="CD1688" s="604" t="s">
        <v>33</v>
      </c>
    </row>
    <row r="1689" spans="9:82">
      <c r="I1689" s="578" t="str">
        <f t="shared" si="166"/>
        <v>2008bwtUnknownPeri</v>
      </c>
      <c r="J1689" s="604">
        <v>2008</v>
      </c>
      <c r="K1689" s="604" t="s">
        <v>447</v>
      </c>
      <c r="L1689" s="604" t="s">
        <v>63</v>
      </c>
      <c r="M1689" s="604">
        <v>15</v>
      </c>
      <c r="N1689" s="604">
        <v>93</v>
      </c>
      <c r="O1689" s="604" t="s">
        <v>119</v>
      </c>
      <c r="P1689" s="604" t="s">
        <v>483</v>
      </c>
      <c r="Q1689" s="499"/>
      <c r="Y1689" s="535" t="str">
        <f t="shared" si="167"/>
        <v>2016agedep30-34Totalinfant</v>
      </c>
      <c r="Z1689" s="604">
        <v>2016</v>
      </c>
      <c r="AA1689" s="604" t="s">
        <v>453</v>
      </c>
      <c r="AB1689" s="604" t="s">
        <v>454</v>
      </c>
      <c r="AC1689" s="604" t="s">
        <v>132</v>
      </c>
      <c r="AD1689" s="604" t="s">
        <v>44</v>
      </c>
      <c r="AE1689" s="604">
        <v>59</v>
      </c>
      <c r="AF1689" s="604">
        <v>18720</v>
      </c>
      <c r="AG1689" s="604">
        <v>3.2</v>
      </c>
      <c r="AH1689" s="604" t="s">
        <v>437</v>
      </c>
      <c r="BY1689" s="575" t="str">
        <f t="shared" si="165"/>
        <v>2014European or OtherethSUDI</v>
      </c>
      <c r="BZ1689" s="604">
        <v>2014</v>
      </c>
      <c r="CA1689" s="604" t="s">
        <v>356</v>
      </c>
      <c r="CB1689" s="604" t="s">
        <v>449</v>
      </c>
      <c r="CC1689" s="604">
        <v>7</v>
      </c>
      <c r="CD1689" s="604" t="s">
        <v>33</v>
      </c>
    </row>
    <row r="1690" spans="9:82">
      <c r="I1690" s="578" t="str">
        <f t="shared" si="166"/>
        <v>2009bwt&lt;500Peri</v>
      </c>
      <c r="J1690" s="604">
        <v>2009</v>
      </c>
      <c r="K1690" s="604" t="s">
        <v>447</v>
      </c>
      <c r="L1690" s="604" t="s">
        <v>427</v>
      </c>
      <c r="M1690" s="604">
        <v>204</v>
      </c>
      <c r="N1690" s="604">
        <v>224</v>
      </c>
      <c r="O1690" s="604">
        <v>910.7</v>
      </c>
      <c r="P1690" s="604" t="s">
        <v>483</v>
      </c>
      <c r="Q1690" s="499"/>
      <c r="Y1690" s="535" t="str">
        <f t="shared" si="167"/>
        <v>2016agedep35-39Totalinfant</v>
      </c>
      <c r="Z1690" s="604">
        <v>2016</v>
      </c>
      <c r="AA1690" s="604" t="s">
        <v>453</v>
      </c>
      <c r="AB1690" s="604" t="s">
        <v>454</v>
      </c>
      <c r="AC1690" s="604" t="s">
        <v>133</v>
      </c>
      <c r="AD1690" s="604" t="s">
        <v>44</v>
      </c>
      <c r="AE1690" s="604">
        <v>26</v>
      </c>
      <c r="AF1690" s="604">
        <v>10105</v>
      </c>
      <c r="AG1690" s="604">
        <v>2.6</v>
      </c>
      <c r="AH1690" s="604" t="s">
        <v>437</v>
      </c>
      <c r="BY1690" s="575" t="str">
        <f t="shared" si="165"/>
        <v>2014MaoriethSUDI</v>
      </c>
      <c r="BZ1690" s="604">
        <v>2014</v>
      </c>
      <c r="CA1690" s="604" t="s">
        <v>129</v>
      </c>
      <c r="CB1690" s="604" t="s">
        <v>449</v>
      </c>
      <c r="CC1690" s="604">
        <v>30</v>
      </c>
      <c r="CD1690" s="604" t="s">
        <v>33</v>
      </c>
    </row>
    <row r="1691" spans="9:82">
      <c r="I1691" s="578" t="str">
        <f t="shared" si="166"/>
        <v>2009bwt500-999Peri</v>
      </c>
      <c r="J1691" s="604">
        <v>2009</v>
      </c>
      <c r="K1691" s="604" t="s">
        <v>447</v>
      </c>
      <c r="L1691" s="604" t="s">
        <v>428</v>
      </c>
      <c r="M1691" s="604">
        <v>155</v>
      </c>
      <c r="N1691" s="604">
        <v>338</v>
      </c>
      <c r="O1691" s="604">
        <v>458.6</v>
      </c>
      <c r="P1691" s="604" t="s">
        <v>483</v>
      </c>
      <c r="Q1691" s="499"/>
      <c r="Y1691" s="535" t="str">
        <f t="shared" si="167"/>
        <v>2016agedep40+Totalinfant</v>
      </c>
      <c r="Z1691" s="604">
        <v>2016</v>
      </c>
      <c r="AA1691" s="604" t="s">
        <v>453</v>
      </c>
      <c r="AB1691" s="604" t="s">
        <v>454</v>
      </c>
      <c r="AC1691" s="604" t="s">
        <v>134</v>
      </c>
      <c r="AD1691" s="604" t="s">
        <v>44</v>
      </c>
      <c r="AE1691" s="604">
        <v>15</v>
      </c>
      <c r="AF1691" s="604">
        <v>2454</v>
      </c>
      <c r="AG1691" s="604">
        <v>6.1</v>
      </c>
      <c r="AH1691" s="604" t="s">
        <v>437</v>
      </c>
      <c r="BY1691" s="575" t="str">
        <f t="shared" si="165"/>
        <v>2014Pacific peoplesethSUDI</v>
      </c>
      <c r="BZ1691" s="604">
        <v>2014</v>
      </c>
      <c r="CA1691" s="604" t="s">
        <v>320</v>
      </c>
      <c r="CB1691" s="604" t="s">
        <v>449</v>
      </c>
      <c r="CC1691" s="604">
        <v>6</v>
      </c>
      <c r="CD1691" s="604" t="s">
        <v>33</v>
      </c>
    </row>
    <row r="1692" spans="9:82">
      <c r="I1692" s="578" t="str">
        <f t="shared" si="166"/>
        <v>2009bwt1000-1499Peri</v>
      </c>
      <c r="J1692" s="604">
        <v>2009</v>
      </c>
      <c r="K1692" s="604" t="s">
        <v>447</v>
      </c>
      <c r="L1692" s="604" t="s">
        <v>429</v>
      </c>
      <c r="M1692" s="604">
        <v>32</v>
      </c>
      <c r="N1692" s="604">
        <v>406</v>
      </c>
      <c r="O1692" s="604">
        <v>78.8</v>
      </c>
      <c r="P1692" s="604" t="s">
        <v>483</v>
      </c>
      <c r="Q1692" s="499"/>
      <c r="Y1692" s="535" t="str">
        <f t="shared" si="167"/>
        <v>2016gestdep&lt;28Totalinfant</v>
      </c>
      <c r="Z1692" s="604">
        <v>2016</v>
      </c>
      <c r="AA1692" s="604" t="s">
        <v>450</v>
      </c>
      <c r="AB1692" s="604" t="s">
        <v>454</v>
      </c>
      <c r="AC1692" s="604" t="s">
        <v>375</v>
      </c>
      <c r="AD1692" s="604" t="s">
        <v>44</v>
      </c>
      <c r="AE1692" s="604">
        <v>96</v>
      </c>
      <c r="AF1692" s="604">
        <v>260</v>
      </c>
      <c r="AG1692" s="604">
        <v>369.2</v>
      </c>
      <c r="AH1692" s="604" t="s">
        <v>437</v>
      </c>
      <c r="BY1692" s="575" t="str">
        <f t="shared" si="165"/>
        <v>2015AsianethSUDI</v>
      </c>
      <c r="BZ1692" s="604">
        <v>2015</v>
      </c>
      <c r="CA1692" s="604" t="s">
        <v>355</v>
      </c>
      <c r="CB1692" s="604" t="s">
        <v>449</v>
      </c>
      <c r="CC1692" s="604">
        <v>2</v>
      </c>
      <c r="CD1692" s="604" t="s">
        <v>33</v>
      </c>
    </row>
    <row r="1693" spans="9:82">
      <c r="I1693" s="578" t="str">
        <f t="shared" si="166"/>
        <v>2009bwt1500-2499Peri</v>
      </c>
      <c r="J1693" s="604">
        <v>2009</v>
      </c>
      <c r="K1693" s="604" t="s">
        <v>447</v>
      </c>
      <c r="L1693" s="604" t="s">
        <v>430</v>
      </c>
      <c r="M1693" s="604">
        <v>67</v>
      </c>
      <c r="N1693" s="604">
        <v>3102</v>
      </c>
      <c r="O1693" s="604">
        <v>21.6</v>
      </c>
      <c r="P1693" s="604" t="s">
        <v>483</v>
      </c>
      <c r="Q1693" s="499"/>
      <c r="Y1693" s="535" t="str">
        <f t="shared" si="167"/>
        <v>2016gestdep28-31Totalinfant</v>
      </c>
      <c r="Z1693" s="604">
        <v>2016</v>
      </c>
      <c r="AA1693" s="604" t="s">
        <v>450</v>
      </c>
      <c r="AB1693" s="604" t="s">
        <v>454</v>
      </c>
      <c r="AC1693" s="604" t="s">
        <v>395</v>
      </c>
      <c r="AD1693" s="604" t="s">
        <v>44</v>
      </c>
      <c r="AE1693" s="604">
        <v>14</v>
      </c>
      <c r="AF1693" s="604">
        <v>417</v>
      </c>
      <c r="AG1693" s="604">
        <v>33.6</v>
      </c>
      <c r="AH1693" s="604" t="s">
        <v>437</v>
      </c>
      <c r="BY1693" s="575" t="str">
        <f t="shared" si="165"/>
        <v>2015European or OtherethSUDI</v>
      </c>
      <c r="BZ1693" s="604">
        <v>2015</v>
      </c>
      <c r="CA1693" s="604" t="s">
        <v>356</v>
      </c>
      <c r="CB1693" s="604" t="s">
        <v>449</v>
      </c>
      <c r="CC1693" s="604">
        <v>8</v>
      </c>
      <c r="CD1693" s="604" t="s">
        <v>33</v>
      </c>
    </row>
    <row r="1694" spans="9:82">
      <c r="I1694" s="578" t="str">
        <f t="shared" si="166"/>
        <v>2009bwt2500-4499Peri</v>
      </c>
      <c r="J1694" s="604">
        <v>2009</v>
      </c>
      <c r="K1694" s="604" t="s">
        <v>447</v>
      </c>
      <c r="L1694" s="604" t="s">
        <v>431</v>
      </c>
      <c r="M1694" s="604">
        <v>159</v>
      </c>
      <c r="N1694" s="604">
        <v>57901</v>
      </c>
      <c r="O1694" s="604">
        <v>2.7</v>
      </c>
      <c r="P1694" s="604" t="s">
        <v>483</v>
      </c>
      <c r="Q1694" s="499"/>
      <c r="Y1694" s="535" t="str">
        <f t="shared" si="167"/>
        <v>2016gestdep32-36Totalinfant</v>
      </c>
      <c r="Z1694" s="604">
        <v>2016</v>
      </c>
      <c r="AA1694" s="604" t="s">
        <v>450</v>
      </c>
      <c r="AB1694" s="604" t="s">
        <v>454</v>
      </c>
      <c r="AC1694" s="604" t="s">
        <v>136</v>
      </c>
      <c r="AD1694" s="604" t="s">
        <v>44</v>
      </c>
      <c r="AE1694" s="604">
        <v>23</v>
      </c>
      <c r="AF1694" s="604">
        <v>3814</v>
      </c>
      <c r="AG1694" s="604">
        <v>6</v>
      </c>
      <c r="AH1694" s="604" t="s">
        <v>437</v>
      </c>
      <c r="BY1694" s="575" t="str">
        <f t="shared" si="165"/>
        <v>2015MaoriethSUDI</v>
      </c>
      <c r="BZ1694" s="604">
        <v>2015</v>
      </c>
      <c r="CA1694" s="604" t="s">
        <v>129</v>
      </c>
      <c r="CB1694" s="604" t="s">
        <v>449</v>
      </c>
      <c r="CC1694" s="604">
        <v>20</v>
      </c>
      <c r="CD1694" s="604" t="s">
        <v>33</v>
      </c>
    </row>
    <row r="1695" spans="9:82">
      <c r="I1695" s="578" t="str">
        <f t="shared" si="166"/>
        <v>2009bwt4500+Peri</v>
      </c>
      <c r="J1695" s="604">
        <v>2009</v>
      </c>
      <c r="K1695" s="604" t="s">
        <v>447</v>
      </c>
      <c r="L1695" s="604" t="s">
        <v>432</v>
      </c>
      <c r="M1695" s="604">
        <v>3</v>
      </c>
      <c r="N1695" s="604">
        <v>1694</v>
      </c>
      <c r="O1695" s="604">
        <v>1.8</v>
      </c>
      <c r="P1695" s="604" t="s">
        <v>483</v>
      </c>
      <c r="Q1695" s="499"/>
      <c r="Y1695" s="535" t="str">
        <f t="shared" si="167"/>
        <v>2016gestdep37-41Totalinfant</v>
      </c>
      <c r="Z1695" s="604">
        <v>2016</v>
      </c>
      <c r="AA1695" s="604" t="s">
        <v>450</v>
      </c>
      <c r="AB1695" s="604" t="s">
        <v>454</v>
      </c>
      <c r="AC1695" s="604" t="s">
        <v>137</v>
      </c>
      <c r="AD1695" s="604" t="s">
        <v>44</v>
      </c>
      <c r="AE1695" s="604">
        <v>91</v>
      </c>
      <c r="AF1695" s="604">
        <v>54899</v>
      </c>
      <c r="AG1695" s="604">
        <v>1.7</v>
      </c>
      <c r="AH1695" s="604" t="s">
        <v>437</v>
      </c>
      <c r="BY1695" s="575" t="str">
        <f t="shared" si="165"/>
        <v>2015Pacific peoplesethSUDI</v>
      </c>
      <c r="BZ1695" s="604">
        <v>2015</v>
      </c>
      <c r="CA1695" s="604" t="s">
        <v>320</v>
      </c>
      <c r="CB1695" s="604" t="s">
        <v>449</v>
      </c>
      <c r="CC1695" s="604">
        <v>14</v>
      </c>
      <c r="CD1695" s="604" t="s">
        <v>33</v>
      </c>
    </row>
    <row r="1696" spans="9:82">
      <c r="I1696" s="578" t="str">
        <f t="shared" si="166"/>
        <v>2009bwtUnknownPeri</v>
      </c>
      <c r="J1696" s="604">
        <v>2009</v>
      </c>
      <c r="K1696" s="604" t="s">
        <v>447</v>
      </c>
      <c r="L1696" s="604" t="s">
        <v>63</v>
      </c>
      <c r="M1696" s="604">
        <v>14</v>
      </c>
      <c r="N1696" s="604">
        <v>102</v>
      </c>
      <c r="O1696" s="604" t="s">
        <v>119</v>
      </c>
      <c r="P1696" s="604" t="s">
        <v>483</v>
      </c>
      <c r="Q1696" s="499"/>
      <c r="Y1696" s="535" t="str">
        <f t="shared" si="167"/>
        <v>2016gestdep42+Totalinfant</v>
      </c>
      <c r="Z1696" s="604">
        <v>2016</v>
      </c>
      <c r="AA1696" s="604" t="s">
        <v>450</v>
      </c>
      <c r="AB1696" s="604" t="s">
        <v>454</v>
      </c>
      <c r="AC1696" s="604" t="s">
        <v>138</v>
      </c>
      <c r="AD1696" s="604" t="s">
        <v>44</v>
      </c>
      <c r="AE1696" s="604">
        <v>4</v>
      </c>
      <c r="AF1696" s="604">
        <v>1017</v>
      </c>
      <c r="AG1696" s="604">
        <v>3.9</v>
      </c>
      <c r="AH1696" s="604" t="s">
        <v>437</v>
      </c>
      <c r="BY1696" s="575" t="str">
        <f t="shared" si="165"/>
        <v>2016AsianethSUDI</v>
      </c>
      <c r="BZ1696" s="604">
        <v>2016</v>
      </c>
      <c r="CA1696" s="604" t="s">
        <v>355</v>
      </c>
      <c r="CB1696" s="604" t="s">
        <v>449</v>
      </c>
      <c r="CC1696" s="604">
        <v>1</v>
      </c>
      <c r="CD1696" s="604" t="s">
        <v>33</v>
      </c>
    </row>
    <row r="1697" spans="9:82">
      <c r="I1697" s="578" t="str">
        <f t="shared" si="166"/>
        <v>2010bwt&lt;500Peri</v>
      </c>
      <c r="J1697" s="604">
        <v>2010</v>
      </c>
      <c r="K1697" s="604" t="s">
        <v>447</v>
      </c>
      <c r="L1697" s="604" t="s">
        <v>427</v>
      </c>
      <c r="M1697" s="604">
        <v>226</v>
      </c>
      <c r="N1697" s="604">
        <v>237</v>
      </c>
      <c r="O1697" s="604">
        <v>953.6</v>
      </c>
      <c r="P1697" s="604" t="s">
        <v>483</v>
      </c>
      <c r="Q1697" s="499"/>
      <c r="Y1697" s="535" t="str">
        <f t="shared" si="167"/>
        <v>2016gestdepUnknownTotalinfant</v>
      </c>
      <c r="Z1697" s="604">
        <v>2016</v>
      </c>
      <c r="AA1697" s="604" t="s">
        <v>450</v>
      </c>
      <c r="AB1697" s="604" t="s">
        <v>454</v>
      </c>
      <c r="AC1697" s="604" t="s">
        <v>63</v>
      </c>
      <c r="AD1697" s="604" t="s">
        <v>44</v>
      </c>
      <c r="AE1697" s="604">
        <v>13</v>
      </c>
      <c r="AF1697" s="604">
        <v>29</v>
      </c>
      <c r="AG1697" s="604" t="s">
        <v>119</v>
      </c>
      <c r="AH1697" s="604" t="s">
        <v>437</v>
      </c>
      <c r="BY1697" s="575" t="str">
        <f t="shared" si="165"/>
        <v>2016European or OtherethSUDI</v>
      </c>
      <c r="BZ1697" s="604">
        <v>2016</v>
      </c>
      <c r="CA1697" s="604" t="s">
        <v>356</v>
      </c>
      <c r="CB1697" s="604" t="s">
        <v>449</v>
      </c>
      <c r="CC1697" s="604">
        <v>8</v>
      </c>
      <c r="CD1697" s="604" t="s">
        <v>33</v>
      </c>
    </row>
    <row r="1698" spans="9:82">
      <c r="I1698" s="578" t="str">
        <f t="shared" si="166"/>
        <v>2010bwt500-999Peri</v>
      </c>
      <c r="J1698" s="604">
        <v>2010</v>
      </c>
      <c r="K1698" s="604" t="s">
        <v>447</v>
      </c>
      <c r="L1698" s="604" t="s">
        <v>428</v>
      </c>
      <c r="M1698" s="604">
        <v>159</v>
      </c>
      <c r="N1698" s="604">
        <v>332</v>
      </c>
      <c r="O1698" s="604">
        <v>478.9</v>
      </c>
      <c r="P1698" s="604" t="s">
        <v>483</v>
      </c>
      <c r="Q1698" s="499"/>
      <c r="Y1698" s="535" t="str">
        <f t="shared" si="167"/>
        <v>2016bwtdep&lt;500Totalinfant</v>
      </c>
      <c r="Z1698" s="604">
        <v>2016</v>
      </c>
      <c r="AA1698" s="604" t="s">
        <v>447</v>
      </c>
      <c r="AB1698" s="604" t="s">
        <v>454</v>
      </c>
      <c r="AC1698" s="604" t="s">
        <v>427</v>
      </c>
      <c r="AD1698" s="604" t="s">
        <v>44</v>
      </c>
      <c r="AE1698" s="604">
        <v>37</v>
      </c>
      <c r="AF1698" s="604">
        <v>53</v>
      </c>
      <c r="AG1698" s="604">
        <v>698.1</v>
      </c>
      <c r="AH1698" s="604" t="s">
        <v>437</v>
      </c>
      <c r="BY1698" s="575" t="str">
        <f t="shared" si="165"/>
        <v>2016MaoriethSUDI</v>
      </c>
      <c r="BZ1698" s="604">
        <v>2016</v>
      </c>
      <c r="CA1698" s="604" t="s">
        <v>129</v>
      </c>
      <c r="CB1698" s="604" t="s">
        <v>449</v>
      </c>
      <c r="CC1698" s="604">
        <v>27</v>
      </c>
      <c r="CD1698" s="604" t="s">
        <v>33</v>
      </c>
    </row>
    <row r="1699" spans="9:82">
      <c r="I1699" s="578" t="str">
        <f t="shared" si="166"/>
        <v>2010bwt1000-1499Peri</v>
      </c>
      <c r="J1699" s="604">
        <v>2010</v>
      </c>
      <c r="K1699" s="604" t="s">
        <v>447</v>
      </c>
      <c r="L1699" s="604" t="s">
        <v>429</v>
      </c>
      <c r="M1699" s="604">
        <v>52</v>
      </c>
      <c r="N1699" s="604">
        <v>422</v>
      </c>
      <c r="O1699" s="604">
        <v>123.2</v>
      </c>
      <c r="P1699" s="604" t="s">
        <v>483</v>
      </c>
      <c r="Q1699" s="499"/>
      <c r="Y1699" s="535" t="str">
        <f t="shared" si="167"/>
        <v>2016bwtdep500-999Totalinfant</v>
      </c>
      <c r="Z1699" s="604">
        <v>2016</v>
      </c>
      <c r="AA1699" s="604" t="s">
        <v>447</v>
      </c>
      <c r="AB1699" s="604" t="s">
        <v>454</v>
      </c>
      <c r="AC1699" s="604" t="s">
        <v>428</v>
      </c>
      <c r="AD1699" s="604" t="s">
        <v>44</v>
      </c>
      <c r="AE1699" s="604">
        <v>57</v>
      </c>
      <c r="AF1699" s="604">
        <v>196</v>
      </c>
      <c r="AG1699" s="604">
        <v>290.8</v>
      </c>
      <c r="AH1699" s="604" t="s">
        <v>437</v>
      </c>
      <c r="BY1699" s="575" t="str">
        <f t="shared" si="165"/>
        <v>2016Pacific peoplesethSUDI</v>
      </c>
      <c r="BZ1699" s="604">
        <v>2016</v>
      </c>
      <c r="CA1699" s="604" t="s">
        <v>320</v>
      </c>
      <c r="CB1699" s="604" t="s">
        <v>449</v>
      </c>
      <c r="CC1699" s="604">
        <v>6</v>
      </c>
      <c r="CD1699" s="604" t="s">
        <v>33</v>
      </c>
    </row>
    <row r="1700" spans="9:82">
      <c r="I1700" s="578" t="str">
        <f t="shared" si="166"/>
        <v>2010bwt1500-2499Peri</v>
      </c>
      <c r="J1700" s="604">
        <v>2010</v>
      </c>
      <c r="K1700" s="604" t="s">
        <v>447</v>
      </c>
      <c r="L1700" s="604" t="s">
        <v>430</v>
      </c>
      <c r="M1700" s="604">
        <v>73</v>
      </c>
      <c r="N1700" s="604">
        <v>3158</v>
      </c>
      <c r="O1700" s="604">
        <v>23.1</v>
      </c>
      <c r="P1700" s="604" t="s">
        <v>483</v>
      </c>
      <c r="Q1700" s="499"/>
      <c r="Y1700" s="535" t="str">
        <f t="shared" si="167"/>
        <v>2016bwtdep1000-1499Totalinfant</v>
      </c>
      <c r="Z1700" s="604">
        <v>2016</v>
      </c>
      <c r="AA1700" s="604" t="s">
        <v>447</v>
      </c>
      <c r="AB1700" s="604" t="s">
        <v>454</v>
      </c>
      <c r="AC1700" s="604" t="s">
        <v>429</v>
      </c>
      <c r="AD1700" s="604" t="s">
        <v>44</v>
      </c>
      <c r="AE1700" s="604">
        <v>8</v>
      </c>
      <c r="AF1700" s="604">
        <v>331</v>
      </c>
      <c r="AG1700" s="604">
        <v>24.2</v>
      </c>
      <c r="AH1700" s="604" t="s">
        <v>437</v>
      </c>
      <c r="BY1700" s="575" t="str">
        <f t="shared" si="165"/>
        <v>2000&lt;28gestSUDI</v>
      </c>
      <c r="BZ1700" s="604">
        <v>2000</v>
      </c>
      <c r="CA1700" s="604" t="s">
        <v>375</v>
      </c>
      <c r="CB1700" s="604" t="s">
        <v>450</v>
      </c>
      <c r="CC1700" s="604">
        <v>0</v>
      </c>
      <c r="CD1700" s="604" t="s">
        <v>33</v>
      </c>
    </row>
    <row r="1701" spans="9:82">
      <c r="I1701" s="578" t="str">
        <f t="shared" si="166"/>
        <v>2010bwt2500-4499Peri</v>
      </c>
      <c r="J1701" s="604">
        <v>2010</v>
      </c>
      <c r="K1701" s="604" t="s">
        <v>447</v>
      </c>
      <c r="L1701" s="604" t="s">
        <v>431</v>
      </c>
      <c r="M1701" s="604">
        <v>130</v>
      </c>
      <c r="N1701" s="604">
        <v>59281</v>
      </c>
      <c r="O1701" s="604">
        <v>2.2000000000000002</v>
      </c>
      <c r="P1701" s="604" t="s">
        <v>483</v>
      </c>
      <c r="Q1701" s="499"/>
      <c r="Y1701" s="535" t="str">
        <f t="shared" si="167"/>
        <v>2016bwtdep1500-2499Totalinfant</v>
      </c>
      <c r="Z1701" s="604">
        <v>2016</v>
      </c>
      <c r="AA1701" s="604" t="s">
        <v>447</v>
      </c>
      <c r="AB1701" s="604" t="s">
        <v>454</v>
      </c>
      <c r="AC1701" s="604" t="s">
        <v>430</v>
      </c>
      <c r="AD1701" s="604" t="s">
        <v>44</v>
      </c>
      <c r="AE1701" s="604">
        <v>35</v>
      </c>
      <c r="AF1701" s="604">
        <v>2991</v>
      </c>
      <c r="AG1701" s="604">
        <v>11.7</v>
      </c>
      <c r="AH1701" s="604" t="s">
        <v>437</v>
      </c>
      <c r="BY1701" s="575" t="str">
        <f t="shared" si="165"/>
        <v>200028-31gestSUDI</v>
      </c>
      <c r="BZ1701" s="604">
        <v>2000</v>
      </c>
      <c r="CA1701" s="604" t="s">
        <v>395</v>
      </c>
      <c r="CB1701" s="604" t="s">
        <v>450</v>
      </c>
      <c r="CC1701" s="604">
        <v>5</v>
      </c>
      <c r="CD1701" s="604" t="s">
        <v>33</v>
      </c>
    </row>
    <row r="1702" spans="9:82">
      <c r="I1702" s="578" t="str">
        <f t="shared" si="166"/>
        <v>2010bwt4500+Peri</v>
      </c>
      <c r="J1702" s="604">
        <v>2010</v>
      </c>
      <c r="K1702" s="604" t="s">
        <v>447</v>
      </c>
      <c r="L1702" s="604" t="s">
        <v>432</v>
      </c>
      <c r="M1702" s="604">
        <v>4</v>
      </c>
      <c r="N1702" s="604">
        <v>1677</v>
      </c>
      <c r="O1702" s="604">
        <v>2.4</v>
      </c>
      <c r="P1702" s="604" t="s">
        <v>483</v>
      </c>
      <c r="Q1702" s="499"/>
      <c r="Y1702" s="535" t="str">
        <f t="shared" si="167"/>
        <v>2016bwtdep2500-4499Totalinfant</v>
      </c>
      <c r="Z1702" s="604">
        <v>2016</v>
      </c>
      <c r="AA1702" s="604" t="s">
        <v>447</v>
      </c>
      <c r="AB1702" s="604" t="s">
        <v>454</v>
      </c>
      <c r="AC1702" s="604" t="s">
        <v>431</v>
      </c>
      <c r="AD1702" s="604" t="s">
        <v>44</v>
      </c>
      <c r="AE1702" s="604">
        <v>95</v>
      </c>
      <c r="AF1702" s="604">
        <v>55407</v>
      </c>
      <c r="AG1702" s="604">
        <v>1.7</v>
      </c>
      <c r="AH1702" s="604" t="s">
        <v>437</v>
      </c>
      <c r="BY1702" s="575" t="str">
        <f t="shared" ref="BY1702:BY1765" si="168">BZ1702&amp;CA1702&amp;CB1702&amp;CD1702</f>
        <v>200032-36gestSUDI</v>
      </c>
      <c r="BZ1702" s="604">
        <v>2000</v>
      </c>
      <c r="CA1702" s="604" t="s">
        <v>136</v>
      </c>
      <c r="CB1702" s="604" t="s">
        <v>450</v>
      </c>
      <c r="CC1702" s="604">
        <v>19</v>
      </c>
      <c r="CD1702" s="604" t="s">
        <v>33</v>
      </c>
    </row>
    <row r="1703" spans="9:82">
      <c r="I1703" s="578" t="str">
        <f t="shared" si="166"/>
        <v>2010bwtUnknownPeri</v>
      </c>
      <c r="J1703" s="604">
        <v>2010</v>
      </c>
      <c r="K1703" s="604" t="s">
        <v>447</v>
      </c>
      <c r="L1703" s="604" t="s">
        <v>63</v>
      </c>
      <c r="M1703" s="604">
        <v>17</v>
      </c>
      <c r="N1703" s="604">
        <v>61</v>
      </c>
      <c r="O1703" s="604" t="s">
        <v>119</v>
      </c>
      <c r="P1703" s="604" t="s">
        <v>483</v>
      </c>
      <c r="Q1703" s="499"/>
      <c r="Y1703" s="535" t="str">
        <f t="shared" si="167"/>
        <v>2016bwtdep4500+Totalinfant</v>
      </c>
      <c r="Z1703" s="604">
        <v>2016</v>
      </c>
      <c r="AA1703" s="604" t="s">
        <v>447</v>
      </c>
      <c r="AB1703" s="604" t="s">
        <v>454</v>
      </c>
      <c r="AC1703" s="604" t="s">
        <v>432</v>
      </c>
      <c r="AD1703" s="604" t="s">
        <v>44</v>
      </c>
      <c r="AE1703" s="604">
        <v>0</v>
      </c>
      <c r="AF1703" s="604">
        <v>1423</v>
      </c>
      <c r="AG1703" s="604">
        <v>0</v>
      </c>
      <c r="AH1703" s="604" t="s">
        <v>437</v>
      </c>
      <c r="BY1703" s="575" t="str">
        <f t="shared" si="168"/>
        <v>200037-41gestSUDI</v>
      </c>
      <c r="BZ1703" s="604">
        <v>2000</v>
      </c>
      <c r="CA1703" s="604" t="s">
        <v>137</v>
      </c>
      <c r="CB1703" s="604" t="s">
        <v>450</v>
      </c>
      <c r="CC1703" s="604">
        <v>58</v>
      </c>
      <c r="CD1703" s="604" t="s">
        <v>33</v>
      </c>
    </row>
    <row r="1704" spans="9:82">
      <c r="I1704" s="578" t="str">
        <f t="shared" si="166"/>
        <v>2011bwt&lt;500Peri</v>
      </c>
      <c r="J1704" s="604">
        <v>2011</v>
      </c>
      <c r="K1704" s="604" t="s">
        <v>447</v>
      </c>
      <c r="L1704" s="604" t="s">
        <v>427</v>
      </c>
      <c r="M1704" s="604">
        <v>238</v>
      </c>
      <c r="N1704" s="604">
        <v>243</v>
      </c>
      <c r="O1704" s="604">
        <v>979.4</v>
      </c>
      <c r="P1704" s="604" t="s">
        <v>483</v>
      </c>
      <c r="Q1704" s="499"/>
      <c r="Y1704" s="535" t="str">
        <f t="shared" si="167"/>
        <v>2016bwtdepUnknownTotalinfant</v>
      </c>
      <c r="Z1704" s="604">
        <v>2016</v>
      </c>
      <c r="AA1704" s="604" t="s">
        <v>447</v>
      </c>
      <c r="AB1704" s="604" t="s">
        <v>454</v>
      </c>
      <c r="AC1704" s="604" t="s">
        <v>63</v>
      </c>
      <c r="AD1704" s="604" t="s">
        <v>44</v>
      </c>
      <c r="AE1704" s="604">
        <v>9</v>
      </c>
      <c r="AF1704" s="604">
        <v>35</v>
      </c>
      <c r="AG1704" s="604" t="s">
        <v>119</v>
      </c>
      <c r="AH1704" s="604" t="s">
        <v>437</v>
      </c>
      <c r="BY1704" s="575" t="str">
        <f t="shared" si="168"/>
        <v>200042+gestSUDI</v>
      </c>
      <c r="BZ1704" s="604">
        <v>2000</v>
      </c>
      <c r="CA1704" s="604" t="s">
        <v>138</v>
      </c>
      <c r="CB1704" s="604" t="s">
        <v>450</v>
      </c>
      <c r="CC1704" s="604">
        <v>0</v>
      </c>
      <c r="CD1704" s="604" t="s">
        <v>33</v>
      </c>
    </row>
    <row r="1705" spans="9:82">
      <c r="I1705" s="578" t="str">
        <f t="shared" si="166"/>
        <v>2011bwt500-999Peri</v>
      </c>
      <c r="J1705" s="604">
        <v>2011</v>
      </c>
      <c r="K1705" s="604" t="s">
        <v>447</v>
      </c>
      <c r="L1705" s="604" t="s">
        <v>428</v>
      </c>
      <c r="M1705" s="604">
        <v>130</v>
      </c>
      <c r="N1705" s="604">
        <v>296</v>
      </c>
      <c r="O1705" s="604">
        <v>439.2</v>
      </c>
      <c r="P1705" s="604" t="s">
        <v>483</v>
      </c>
      <c r="Q1705" s="499"/>
      <c r="Y1705" s="535" t="str">
        <f t="shared" si="167"/>
        <v>2016sexgestMaleTotalinfant</v>
      </c>
      <c r="Z1705" s="604">
        <v>2016</v>
      </c>
      <c r="AA1705" s="604" t="s">
        <v>451</v>
      </c>
      <c r="AB1705" s="604" t="s">
        <v>450</v>
      </c>
      <c r="AC1705" s="604" t="s">
        <v>70</v>
      </c>
      <c r="AD1705" s="604" t="s">
        <v>44</v>
      </c>
      <c r="AE1705" s="604">
        <v>127</v>
      </c>
      <c r="AF1705" s="604">
        <v>31009</v>
      </c>
      <c r="AG1705" s="604">
        <v>4.0999999999999996</v>
      </c>
      <c r="AH1705" s="604" t="s">
        <v>437</v>
      </c>
      <c r="BY1705" s="575" t="str">
        <f t="shared" si="168"/>
        <v>2000UnknowngestSUDI</v>
      </c>
      <c r="BZ1705" s="604">
        <v>2000</v>
      </c>
      <c r="CA1705" s="604" t="s">
        <v>63</v>
      </c>
      <c r="CB1705" s="604" t="s">
        <v>450</v>
      </c>
      <c r="CC1705" s="604">
        <v>0</v>
      </c>
      <c r="CD1705" s="604" t="s">
        <v>33</v>
      </c>
    </row>
    <row r="1706" spans="9:82">
      <c r="I1706" s="578" t="str">
        <f t="shared" si="166"/>
        <v>2011bwt1000-1499Peri</v>
      </c>
      <c r="J1706" s="604">
        <v>2011</v>
      </c>
      <c r="K1706" s="604" t="s">
        <v>447</v>
      </c>
      <c r="L1706" s="604" t="s">
        <v>429</v>
      </c>
      <c r="M1706" s="604">
        <v>44</v>
      </c>
      <c r="N1706" s="604">
        <v>360</v>
      </c>
      <c r="O1706" s="604">
        <v>122.2</v>
      </c>
      <c r="P1706" s="604" t="s">
        <v>483</v>
      </c>
      <c r="Q1706" s="499"/>
      <c r="Y1706" s="535" t="str">
        <f t="shared" si="167"/>
        <v>2016sexgestFemaleTotalinfant</v>
      </c>
      <c r="Z1706" s="604">
        <v>2016</v>
      </c>
      <c r="AA1706" s="604" t="s">
        <v>451</v>
      </c>
      <c r="AB1706" s="604" t="s">
        <v>450</v>
      </c>
      <c r="AC1706" s="604" t="s">
        <v>71</v>
      </c>
      <c r="AD1706" s="604" t="s">
        <v>44</v>
      </c>
      <c r="AE1706" s="604">
        <v>114</v>
      </c>
      <c r="AF1706" s="604">
        <v>29427</v>
      </c>
      <c r="AG1706" s="604">
        <v>3.9</v>
      </c>
      <c r="AH1706" s="604" t="s">
        <v>437</v>
      </c>
      <c r="BY1706" s="575" t="str">
        <f t="shared" si="168"/>
        <v>2001&lt;28gestSUDI</v>
      </c>
      <c r="BZ1706" s="604">
        <v>2001</v>
      </c>
      <c r="CA1706" s="604" t="s">
        <v>375</v>
      </c>
      <c r="CB1706" s="604" t="s">
        <v>450</v>
      </c>
      <c r="CC1706" s="604">
        <v>1</v>
      </c>
      <c r="CD1706" s="604" t="s">
        <v>33</v>
      </c>
    </row>
    <row r="1707" spans="9:82">
      <c r="I1707" s="578" t="str">
        <f t="shared" si="166"/>
        <v>2011bwt1500-2499Peri</v>
      </c>
      <c r="J1707" s="604">
        <v>2011</v>
      </c>
      <c r="K1707" s="604" t="s">
        <v>447</v>
      </c>
      <c r="L1707" s="604" t="s">
        <v>430</v>
      </c>
      <c r="M1707" s="604">
        <v>83</v>
      </c>
      <c r="N1707" s="604">
        <v>3147</v>
      </c>
      <c r="O1707" s="604">
        <v>26.4</v>
      </c>
      <c r="P1707" s="604" t="s">
        <v>483</v>
      </c>
      <c r="Q1707" s="499"/>
      <c r="Y1707" s="535" t="str">
        <f t="shared" si="167"/>
        <v>2016ethgestMaoriTotalinfant</v>
      </c>
      <c r="Z1707" s="604">
        <v>2016</v>
      </c>
      <c r="AA1707" s="604" t="s">
        <v>449</v>
      </c>
      <c r="AB1707" s="604" t="s">
        <v>450</v>
      </c>
      <c r="AC1707" s="604" t="s">
        <v>129</v>
      </c>
      <c r="AD1707" s="604" t="s">
        <v>44</v>
      </c>
      <c r="AE1707" s="604">
        <v>103</v>
      </c>
      <c r="AF1707" s="604">
        <v>17329</v>
      </c>
      <c r="AG1707" s="604">
        <v>5.9</v>
      </c>
      <c r="AH1707" s="604" t="s">
        <v>437</v>
      </c>
      <c r="BY1707" s="575" t="str">
        <f t="shared" si="168"/>
        <v>200128-31gestSUDI</v>
      </c>
      <c r="BZ1707" s="604">
        <v>2001</v>
      </c>
      <c r="CA1707" s="604" t="s">
        <v>395</v>
      </c>
      <c r="CB1707" s="604" t="s">
        <v>450</v>
      </c>
      <c r="CC1707" s="604">
        <v>1</v>
      </c>
      <c r="CD1707" s="604" t="s">
        <v>33</v>
      </c>
    </row>
    <row r="1708" spans="9:82">
      <c r="I1708" s="578" t="str">
        <f t="shared" si="166"/>
        <v>2011bwt2500-4499Peri</v>
      </c>
      <c r="J1708" s="604">
        <v>2011</v>
      </c>
      <c r="K1708" s="604" t="s">
        <v>447</v>
      </c>
      <c r="L1708" s="604" t="s">
        <v>431</v>
      </c>
      <c r="M1708" s="604">
        <v>117</v>
      </c>
      <c r="N1708" s="604">
        <v>56943</v>
      </c>
      <c r="O1708" s="604">
        <v>2.1</v>
      </c>
      <c r="P1708" s="604" t="s">
        <v>483</v>
      </c>
      <c r="Q1708" s="499"/>
      <c r="Y1708" s="535" t="str">
        <f t="shared" si="167"/>
        <v>2016ethgestPacific peoplesTotalinfant</v>
      </c>
      <c r="Z1708" s="604">
        <v>2016</v>
      </c>
      <c r="AA1708" s="604" t="s">
        <v>449</v>
      </c>
      <c r="AB1708" s="604" t="s">
        <v>450</v>
      </c>
      <c r="AC1708" s="604" t="s">
        <v>320</v>
      </c>
      <c r="AD1708" s="604" t="s">
        <v>44</v>
      </c>
      <c r="AE1708" s="604">
        <v>37</v>
      </c>
      <c r="AF1708" s="604">
        <v>5976</v>
      </c>
      <c r="AG1708" s="604">
        <v>6.2</v>
      </c>
      <c r="AH1708" s="604" t="s">
        <v>437</v>
      </c>
      <c r="BY1708" s="575" t="str">
        <f t="shared" si="168"/>
        <v>200132-36gestSUDI</v>
      </c>
      <c r="BZ1708" s="604">
        <v>2001</v>
      </c>
      <c r="CA1708" s="604" t="s">
        <v>136</v>
      </c>
      <c r="CB1708" s="604" t="s">
        <v>450</v>
      </c>
      <c r="CC1708" s="604">
        <v>9</v>
      </c>
      <c r="CD1708" s="604" t="s">
        <v>33</v>
      </c>
    </row>
    <row r="1709" spans="9:82">
      <c r="I1709" s="578" t="str">
        <f t="shared" si="166"/>
        <v>2011bwt4500+Peri</v>
      </c>
      <c r="J1709" s="604">
        <v>2011</v>
      </c>
      <c r="K1709" s="604" t="s">
        <v>447</v>
      </c>
      <c r="L1709" s="604" t="s">
        <v>432</v>
      </c>
      <c r="M1709" s="604">
        <v>2</v>
      </c>
      <c r="N1709" s="604">
        <v>1597</v>
      </c>
      <c r="O1709" s="604">
        <v>1.3</v>
      </c>
      <c r="P1709" s="604" t="s">
        <v>483</v>
      </c>
      <c r="Q1709" s="499"/>
      <c r="Y1709" s="535" t="str">
        <f t="shared" si="167"/>
        <v>2016ethgestAsianTotalinfant</v>
      </c>
      <c r="Z1709" s="604">
        <v>2016</v>
      </c>
      <c r="AA1709" s="604" t="s">
        <v>449</v>
      </c>
      <c r="AB1709" s="604" t="s">
        <v>450</v>
      </c>
      <c r="AC1709" s="604" t="s">
        <v>355</v>
      </c>
      <c r="AD1709" s="604" t="s">
        <v>44</v>
      </c>
      <c r="AE1709" s="604">
        <v>27</v>
      </c>
      <c r="AF1709" s="604">
        <v>10902</v>
      </c>
      <c r="AG1709" s="604">
        <v>2.5</v>
      </c>
      <c r="AH1709" s="604" t="s">
        <v>437</v>
      </c>
      <c r="BY1709" s="575" t="str">
        <f t="shared" si="168"/>
        <v>200137-41gestSUDI</v>
      </c>
      <c r="BZ1709" s="604">
        <v>2001</v>
      </c>
      <c r="CA1709" s="604" t="s">
        <v>137</v>
      </c>
      <c r="CB1709" s="604" t="s">
        <v>450</v>
      </c>
      <c r="CC1709" s="604">
        <v>59</v>
      </c>
      <c r="CD1709" s="604" t="s">
        <v>33</v>
      </c>
    </row>
    <row r="1710" spans="9:82">
      <c r="I1710" s="578" t="str">
        <f t="shared" si="166"/>
        <v>2011bwtUnknownPeri</v>
      </c>
      <c r="J1710" s="604">
        <v>2011</v>
      </c>
      <c r="K1710" s="604" t="s">
        <v>447</v>
      </c>
      <c r="L1710" s="604" t="s">
        <v>63</v>
      </c>
      <c r="M1710" s="604">
        <v>8</v>
      </c>
      <c r="N1710" s="604">
        <v>39</v>
      </c>
      <c r="O1710" s="604" t="s">
        <v>119</v>
      </c>
      <c r="P1710" s="604" t="s">
        <v>483</v>
      </c>
      <c r="Q1710" s="499"/>
      <c r="Y1710" s="535" t="str">
        <f t="shared" si="167"/>
        <v>2016ethgestEuropean or OtherTotalinfant</v>
      </c>
      <c r="Z1710" s="604">
        <v>2016</v>
      </c>
      <c r="AA1710" s="604" t="s">
        <v>449</v>
      </c>
      <c r="AB1710" s="604" t="s">
        <v>450</v>
      </c>
      <c r="AC1710" s="604" t="s">
        <v>356</v>
      </c>
      <c r="AD1710" s="604" t="s">
        <v>44</v>
      </c>
      <c r="AE1710" s="604">
        <v>74</v>
      </c>
      <c r="AF1710" s="604">
        <v>26229</v>
      </c>
      <c r="AG1710" s="604">
        <v>2.8</v>
      </c>
      <c r="AH1710" s="604" t="s">
        <v>437</v>
      </c>
      <c r="BY1710" s="575" t="str">
        <f t="shared" si="168"/>
        <v>200142+gestSUDI</v>
      </c>
      <c r="BZ1710" s="604">
        <v>2001</v>
      </c>
      <c r="CA1710" s="604" t="s">
        <v>138</v>
      </c>
      <c r="CB1710" s="604" t="s">
        <v>450</v>
      </c>
      <c r="CC1710" s="604">
        <v>1</v>
      </c>
      <c r="CD1710" s="604" t="s">
        <v>33</v>
      </c>
    </row>
    <row r="1711" spans="9:82">
      <c r="I1711" s="578" t="str">
        <f t="shared" si="166"/>
        <v>2012bwt&lt;500Peri</v>
      </c>
      <c r="J1711" s="604">
        <v>2012</v>
      </c>
      <c r="K1711" s="604" t="s">
        <v>447</v>
      </c>
      <c r="L1711" s="604" t="s">
        <v>427</v>
      </c>
      <c r="M1711" s="604">
        <v>235</v>
      </c>
      <c r="N1711" s="604">
        <v>259</v>
      </c>
      <c r="O1711" s="604">
        <v>907.3</v>
      </c>
      <c r="P1711" s="604" t="s">
        <v>483</v>
      </c>
      <c r="Q1711" s="499"/>
      <c r="Y1711" s="535" t="str">
        <f t="shared" si="167"/>
        <v>2016agegest&lt;20Totalinfant</v>
      </c>
      <c r="Z1711" s="604">
        <v>2016</v>
      </c>
      <c r="AA1711" s="604" t="s">
        <v>453</v>
      </c>
      <c r="AB1711" s="604" t="s">
        <v>450</v>
      </c>
      <c r="AC1711" s="604" t="s">
        <v>339</v>
      </c>
      <c r="AD1711" s="604" t="s">
        <v>44</v>
      </c>
      <c r="AE1711" s="604">
        <v>27</v>
      </c>
      <c r="AF1711" s="604">
        <v>2559</v>
      </c>
      <c r="AG1711" s="604">
        <v>10.6</v>
      </c>
      <c r="AH1711" s="604" t="s">
        <v>437</v>
      </c>
      <c r="BY1711" s="575" t="str">
        <f t="shared" si="168"/>
        <v>2001UnknowngestSUDI</v>
      </c>
      <c r="BZ1711" s="604">
        <v>2001</v>
      </c>
      <c r="CA1711" s="604" t="s">
        <v>63</v>
      </c>
      <c r="CB1711" s="604" t="s">
        <v>450</v>
      </c>
      <c r="CC1711" s="604">
        <v>0</v>
      </c>
      <c r="CD1711" s="604" t="s">
        <v>33</v>
      </c>
    </row>
    <row r="1712" spans="9:82">
      <c r="I1712" s="578" t="str">
        <f t="shared" si="166"/>
        <v>2012bwt500-999Peri</v>
      </c>
      <c r="J1712" s="604">
        <v>2012</v>
      </c>
      <c r="K1712" s="604" t="s">
        <v>447</v>
      </c>
      <c r="L1712" s="604" t="s">
        <v>428</v>
      </c>
      <c r="M1712" s="604">
        <v>148</v>
      </c>
      <c r="N1712" s="604">
        <v>311</v>
      </c>
      <c r="O1712" s="604">
        <v>475.9</v>
      </c>
      <c r="P1712" s="604" t="s">
        <v>483</v>
      </c>
      <c r="Q1712" s="499"/>
      <c r="Y1712" s="535" t="str">
        <f t="shared" si="167"/>
        <v>2016agegest20-24Totalinfant</v>
      </c>
      <c r="Z1712" s="604">
        <v>2016</v>
      </c>
      <c r="AA1712" s="604" t="s">
        <v>453</v>
      </c>
      <c r="AB1712" s="604" t="s">
        <v>450</v>
      </c>
      <c r="AC1712" s="604" t="s">
        <v>130</v>
      </c>
      <c r="AD1712" s="604" t="s">
        <v>44</v>
      </c>
      <c r="AE1712" s="604">
        <v>61</v>
      </c>
      <c r="AF1712" s="604">
        <v>9934</v>
      </c>
      <c r="AG1712" s="604">
        <v>6.1</v>
      </c>
      <c r="AH1712" s="604" t="s">
        <v>437</v>
      </c>
      <c r="BY1712" s="575" t="str">
        <f t="shared" si="168"/>
        <v>2002&lt;28gestSUDI</v>
      </c>
      <c r="BZ1712" s="604">
        <v>2002</v>
      </c>
      <c r="CA1712" s="604" t="s">
        <v>375</v>
      </c>
      <c r="CB1712" s="604" t="s">
        <v>450</v>
      </c>
      <c r="CC1712" s="604">
        <v>1</v>
      </c>
      <c r="CD1712" s="604" t="s">
        <v>33</v>
      </c>
    </row>
    <row r="1713" spans="9:82">
      <c r="I1713" s="578" t="str">
        <f t="shared" si="166"/>
        <v>2012bwt1000-1499Peri</v>
      </c>
      <c r="J1713" s="604">
        <v>2012</v>
      </c>
      <c r="K1713" s="604" t="s">
        <v>447</v>
      </c>
      <c r="L1713" s="604" t="s">
        <v>429</v>
      </c>
      <c r="M1713" s="604">
        <v>45</v>
      </c>
      <c r="N1713" s="604">
        <v>389</v>
      </c>
      <c r="O1713" s="604">
        <v>115.7</v>
      </c>
      <c r="P1713" s="604" t="s">
        <v>483</v>
      </c>
      <c r="Q1713" s="499"/>
      <c r="Y1713" s="535" t="str">
        <f t="shared" si="167"/>
        <v>2016agegest25-29Totalinfant</v>
      </c>
      <c r="Z1713" s="604">
        <v>2016</v>
      </c>
      <c r="AA1713" s="604" t="s">
        <v>453</v>
      </c>
      <c r="AB1713" s="604" t="s">
        <v>450</v>
      </c>
      <c r="AC1713" s="604" t="s">
        <v>131</v>
      </c>
      <c r="AD1713" s="604" t="s">
        <v>44</v>
      </c>
      <c r="AE1713" s="604">
        <v>52</v>
      </c>
      <c r="AF1713" s="604">
        <v>16664</v>
      </c>
      <c r="AG1713" s="604">
        <v>3.1</v>
      </c>
      <c r="AH1713" s="604" t="s">
        <v>437</v>
      </c>
      <c r="BY1713" s="575" t="str">
        <f t="shared" si="168"/>
        <v>200228-31gestSUDI</v>
      </c>
      <c r="BZ1713" s="604">
        <v>2002</v>
      </c>
      <c r="CA1713" s="604" t="s">
        <v>395</v>
      </c>
      <c r="CB1713" s="604" t="s">
        <v>450</v>
      </c>
      <c r="CC1713" s="604">
        <v>1</v>
      </c>
      <c r="CD1713" s="604" t="s">
        <v>33</v>
      </c>
    </row>
    <row r="1714" spans="9:82">
      <c r="I1714" s="578" t="str">
        <f t="shared" si="166"/>
        <v>2012bwt1500-2499Peri</v>
      </c>
      <c r="J1714" s="604">
        <v>2012</v>
      </c>
      <c r="K1714" s="604" t="s">
        <v>447</v>
      </c>
      <c r="L1714" s="604" t="s">
        <v>430</v>
      </c>
      <c r="M1714" s="604">
        <v>64</v>
      </c>
      <c r="N1714" s="604">
        <v>3194</v>
      </c>
      <c r="O1714" s="604">
        <v>20</v>
      </c>
      <c r="P1714" s="604" t="s">
        <v>483</v>
      </c>
      <c r="Q1714" s="499"/>
      <c r="Y1714" s="535" t="str">
        <f t="shared" si="167"/>
        <v>2016agegest30-34Totalinfant</v>
      </c>
      <c r="Z1714" s="604">
        <v>2016</v>
      </c>
      <c r="AA1714" s="604" t="s">
        <v>453</v>
      </c>
      <c r="AB1714" s="604" t="s">
        <v>450</v>
      </c>
      <c r="AC1714" s="604" t="s">
        <v>132</v>
      </c>
      <c r="AD1714" s="604" t="s">
        <v>44</v>
      </c>
      <c r="AE1714" s="604">
        <v>59</v>
      </c>
      <c r="AF1714" s="604">
        <v>18720</v>
      </c>
      <c r="AG1714" s="604">
        <v>3.2</v>
      </c>
      <c r="AH1714" s="604" t="s">
        <v>437</v>
      </c>
      <c r="BY1714" s="575" t="str">
        <f t="shared" si="168"/>
        <v>200232-36gestSUDI</v>
      </c>
      <c r="BZ1714" s="604">
        <v>2002</v>
      </c>
      <c r="CA1714" s="604" t="s">
        <v>136</v>
      </c>
      <c r="CB1714" s="604" t="s">
        <v>450</v>
      </c>
      <c r="CC1714" s="604">
        <v>9</v>
      </c>
      <c r="CD1714" s="604" t="s">
        <v>33</v>
      </c>
    </row>
    <row r="1715" spans="9:82">
      <c r="I1715" s="578" t="str">
        <f t="shared" si="166"/>
        <v>2012bwt2500-4499Peri</v>
      </c>
      <c r="J1715" s="604">
        <v>2012</v>
      </c>
      <c r="K1715" s="604" t="s">
        <v>447</v>
      </c>
      <c r="L1715" s="604" t="s">
        <v>431</v>
      </c>
      <c r="M1715" s="604">
        <v>103</v>
      </c>
      <c r="N1715" s="604">
        <v>56649</v>
      </c>
      <c r="O1715" s="604">
        <v>1.8</v>
      </c>
      <c r="P1715" s="604" t="s">
        <v>483</v>
      </c>
      <c r="Q1715" s="499"/>
      <c r="Y1715" s="535" t="str">
        <f t="shared" si="167"/>
        <v>2016agegest35-39Totalinfant</v>
      </c>
      <c r="Z1715" s="604">
        <v>2016</v>
      </c>
      <c r="AA1715" s="604" t="s">
        <v>453</v>
      </c>
      <c r="AB1715" s="604" t="s">
        <v>450</v>
      </c>
      <c r="AC1715" s="604" t="s">
        <v>133</v>
      </c>
      <c r="AD1715" s="604" t="s">
        <v>44</v>
      </c>
      <c r="AE1715" s="604">
        <v>26</v>
      </c>
      <c r="AF1715" s="604">
        <v>10105</v>
      </c>
      <c r="AG1715" s="604">
        <v>2.6</v>
      </c>
      <c r="AH1715" s="604" t="s">
        <v>437</v>
      </c>
      <c r="BY1715" s="575" t="str">
        <f t="shared" si="168"/>
        <v>200237-41gestSUDI</v>
      </c>
      <c r="BZ1715" s="604">
        <v>2002</v>
      </c>
      <c r="CA1715" s="604" t="s">
        <v>137</v>
      </c>
      <c r="CB1715" s="604" t="s">
        <v>450</v>
      </c>
      <c r="CC1715" s="604">
        <v>41</v>
      </c>
      <c r="CD1715" s="604" t="s">
        <v>33</v>
      </c>
    </row>
    <row r="1716" spans="9:82">
      <c r="I1716" s="578" t="str">
        <f t="shared" si="166"/>
        <v>2012bwt4500+Peri</v>
      </c>
      <c r="J1716" s="604">
        <v>2012</v>
      </c>
      <c r="K1716" s="604" t="s">
        <v>447</v>
      </c>
      <c r="L1716" s="604" t="s">
        <v>432</v>
      </c>
      <c r="M1716" s="604">
        <v>2</v>
      </c>
      <c r="N1716" s="604">
        <v>1643</v>
      </c>
      <c r="O1716" s="604">
        <v>1.2</v>
      </c>
      <c r="P1716" s="604" t="s">
        <v>483</v>
      </c>
      <c r="Q1716" s="499"/>
      <c r="Y1716" s="535" t="str">
        <f t="shared" si="167"/>
        <v>2016agegest40+Totalinfant</v>
      </c>
      <c r="Z1716" s="604">
        <v>2016</v>
      </c>
      <c r="AA1716" s="604" t="s">
        <v>453</v>
      </c>
      <c r="AB1716" s="604" t="s">
        <v>450</v>
      </c>
      <c r="AC1716" s="604" t="s">
        <v>134</v>
      </c>
      <c r="AD1716" s="604" t="s">
        <v>44</v>
      </c>
      <c r="AE1716" s="604">
        <v>15</v>
      </c>
      <c r="AF1716" s="604">
        <v>2454</v>
      </c>
      <c r="AG1716" s="604">
        <v>6.1</v>
      </c>
      <c r="AH1716" s="604" t="s">
        <v>437</v>
      </c>
      <c r="BY1716" s="575" t="str">
        <f t="shared" si="168"/>
        <v>200242+gestSUDI</v>
      </c>
      <c r="BZ1716" s="604">
        <v>2002</v>
      </c>
      <c r="CA1716" s="604" t="s">
        <v>138</v>
      </c>
      <c r="CB1716" s="604" t="s">
        <v>450</v>
      </c>
      <c r="CC1716" s="604">
        <v>1</v>
      </c>
      <c r="CD1716" s="604" t="s">
        <v>33</v>
      </c>
    </row>
    <row r="1717" spans="9:82">
      <c r="I1717" s="578" t="str">
        <f t="shared" si="166"/>
        <v>2012bwtUnknownPeri</v>
      </c>
      <c r="J1717" s="604">
        <v>2012</v>
      </c>
      <c r="K1717" s="604" t="s">
        <v>447</v>
      </c>
      <c r="L1717" s="604" t="s">
        <v>63</v>
      </c>
      <c r="M1717" s="604">
        <v>11</v>
      </c>
      <c r="N1717" s="604">
        <v>38</v>
      </c>
      <c r="O1717" s="604" t="s">
        <v>119</v>
      </c>
      <c r="P1717" s="604" t="s">
        <v>483</v>
      </c>
      <c r="Q1717" s="499"/>
      <c r="Y1717" s="535" t="str">
        <f t="shared" si="167"/>
        <v>2016depgestQuin 1Totalinfant</v>
      </c>
      <c r="Z1717" s="604">
        <v>2016</v>
      </c>
      <c r="AA1717" s="604" t="s">
        <v>454</v>
      </c>
      <c r="AB1717" s="604" t="s">
        <v>450</v>
      </c>
      <c r="AC1717" s="604" t="s">
        <v>421</v>
      </c>
      <c r="AD1717" s="604" t="s">
        <v>44</v>
      </c>
      <c r="AE1717" s="604">
        <v>24</v>
      </c>
      <c r="AF1717" s="604">
        <v>9194</v>
      </c>
      <c r="AG1717" s="604">
        <v>2.6</v>
      </c>
      <c r="AH1717" s="604" t="s">
        <v>437</v>
      </c>
      <c r="BY1717" s="575" t="str">
        <f t="shared" si="168"/>
        <v>2002UnknowngestSUDI</v>
      </c>
      <c r="BZ1717" s="604">
        <v>2002</v>
      </c>
      <c r="CA1717" s="604" t="s">
        <v>63</v>
      </c>
      <c r="CB1717" s="604" t="s">
        <v>450</v>
      </c>
      <c r="CC1717" s="604">
        <v>5</v>
      </c>
      <c r="CD1717" s="604" t="s">
        <v>33</v>
      </c>
    </row>
    <row r="1718" spans="9:82">
      <c r="I1718" s="578" t="str">
        <f t="shared" si="166"/>
        <v>2013bwt&lt;500Peri</v>
      </c>
      <c r="J1718" s="604">
        <v>2013</v>
      </c>
      <c r="K1718" s="604" t="s">
        <v>447</v>
      </c>
      <c r="L1718" s="604" t="s">
        <v>427</v>
      </c>
      <c r="M1718" s="604">
        <v>218</v>
      </c>
      <c r="N1718" s="604">
        <v>225</v>
      </c>
      <c r="O1718" s="604">
        <v>968.9</v>
      </c>
      <c r="P1718" s="604" t="s">
        <v>483</v>
      </c>
      <c r="Q1718" s="499"/>
      <c r="Y1718" s="535" t="str">
        <f t="shared" si="167"/>
        <v>2016depgestQuin 2Totalinfant</v>
      </c>
      <c r="Z1718" s="604">
        <v>2016</v>
      </c>
      <c r="AA1718" s="604" t="s">
        <v>454</v>
      </c>
      <c r="AB1718" s="604" t="s">
        <v>450</v>
      </c>
      <c r="AC1718" s="604" t="s">
        <v>422</v>
      </c>
      <c r="AD1718" s="604" t="s">
        <v>44</v>
      </c>
      <c r="AE1718" s="604">
        <v>24</v>
      </c>
      <c r="AF1718" s="604">
        <v>10123</v>
      </c>
      <c r="AG1718" s="604">
        <v>2.4</v>
      </c>
      <c r="AH1718" s="604" t="s">
        <v>437</v>
      </c>
      <c r="BY1718" s="575" t="str">
        <f t="shared" si="168"/>
        <v>2003&lt;28gestSUDI</v>
      </c>
      <c r="BZ1718" s="604">
        <v>2003</v>
      </c>
      <c r="CA1718" s="604" t="s">
        <v>375</v>
      </c>
      <c r="CB1718" s="604" t="s">
        <v>450</v>
      </c>
      <c r="CC1718" s="604">
        <v>1</v>
      </c>
      <c r="CD1718" s="604" t="s">
        <v>33</v>
      </c>
    </row>
    <row r="1719" spans="9:82">
      <c r="I1719" s="578" t="str">
        <f t="shared" si="166"/>
        <v>2013bwt500-999Peri</v>
      </c>
      <c r="J1719" s="604">
        <v>2013</v>
      </c>
      <c r="K1719" s="604" t="s">
        <v>447</v>
      </c>
      <c r="L1719" s="604" t="s">
        <v>428</v>
      </c>
      <c r="M1719" s="604">
        <v>128</v>
      </c>
      <c r="N1719" s="604">
        <v>292</v>
      </c>
      <c r="O1719" s="604">
        <v>438.4</v>
      </c>
      <c r="P1719" s="604" t="s">
        <v>483</v>
      </c>
      <c r="Q1719" s="499"/>
      <c r="Y1719" s="535" t="str">
        <f t="shared" si="167"/>
        <v>2016depgestQuin 3Totalinfant</v>
      </c>
      <c r="Z1719" s="604">
        <v>2016</v>
      </c>
      <c r="AA1719" s="604" t="s">
        <v>454</v>
      </c>
      <c r="AB1719" s="604" t="s">
        <v>450</v>
      </c>
      <c r="AC1719" s="604" t="s">
        <v>423</v>
      </c>
      <c r="AD1719" s="604" t="s">
        <v>44</v>
      </c>
      <c r="AE1719" s="604">
        <v>32</v>
      </c>
      <c r="AF1719" s="604">
        <v>10971</v>
      </c>
      <c r="AG1719" s="604">
        <v>2.9</v>
      </c>
      <c r="AH1719" s="604" t="s">
        <v>437</v>
      </c>
      <c r="BY1719" s="575" t="str">
        <f t="shared" si="168"/>
        <v>200328-31gestSUDI</v>
      </c>
      <c r="BZ1719" s="604">
        <v>2003</v>
      </c>
      <c r="CA1719" s="604" t="s">
        <v>395</v>
      </c>
      <c r="CB1719" s="604" t="s">
        <v>450</v>
      </c>
      <c r="CC1719" s="604">
        <v>1</v>
      </c>
      <c r="CD1719" s="604" t="s">
        <v>33</v>
      </c>
    </row>
    <row r="1720" spans="9:82">
      <c r="I1720" s="578" t="str">
        <f t="shared" si="166"/>
        <v>2013bwt1000-1499Peri</v>
      </c>
      <c r="J1720" s="604">
        <v>2013</v>
      </c>
      <c r="K1720" s="604" t="s">
        <v>447</v>
      </c>
      <c r="L1720" s="604" t="s">
        <v>429</v>
      </c>
      <c r="M1720" s="604">
        <v>28</v>
      </c>
      <c r="N1720" s="604">
        <v>338</v>
      </c>
      <c r="O1720" s="604">
        <v>82.8</v>
      </c>
      <c r="P1720" s="604" t="s">
        <v>483</v>
      </c>
      <c r="Q1720" s="499"/>
      <c r="Y1720" s="535" t="str">
        <f t="shared" si="167"/>
        <v>2016depgestQuin 4Totalinfant</v>
      </c>
      <c r="Z1720" s="604">
        <v>2016</v>
      </c>
      <c r="AA1720" s="604" t="s">
        <v>454</v>
      </c>
      <c r="AB1720" s="604" t="s">
        <v>450</v>
      </c>
      <c r="AC1720" s="604" t="s">
        <v>424</v>
      </c>
      <c r="AD1720" s="604" t="s">
        <v>44</v>
      </c>
      <c r="AE1720" s="604">
        <v>52</v>
      </c>
      <c r="AF1720" s="604">
        <v>13131</v>
      </c>
      <c r="AG1720" s="604">
        <v>4</v>
      </c>
      <c r="AH1720" s="604" t="s">
        <v>437</v>
      </c>
      <c r="BY1720" s="575" t="str">
        <f t="shared" si="168"/>
        <v>200332-36gestSUDI</v>
      </c>
      <c r="BZ1720" s="604">
        <v>2003</v>
      </c>
      <c r="CA1720" s="604" t="s">
        <v>136</v>
      </c>
      <c r="CB1720" s="604" t="s">
        <v>450</v>
      </c>
      <c r="CC1720" s="604">
        <v>6</v>
      </c>
      <c r="CD1720" s="604" t="s">
        <v>33</v>
      </c>
    </row>
    <row r="1721" spans="9:82">
      <c r="I1721" s="578" t="str">
        <f t="shared" si="166"/>
        <v>2013bwt1500-2499Peri</v>
      </c>
      <c r="J1721" s="604">
        <v>2013</v>
      </c>
      <c r="K1721" s="604" t="s">
        <v>447</v>
      </c>
      <c r="L1721" s="604" t="s">
        <v>430</v>
      </c>
      <c r="M1721" s="604">
        <v>70</v>
      </c>
      <c r="N1721" s="604">
        <v>3001</v>
      </c>
      <c r="O1721" s="604">
        <v>23.3</v>
      </c>
      <c r="P1721" s="604" t="s">
        <v>483</v>
      </c>
      <c r="Q1721" s="499"/>
      <c r="Y1721" s="535" t="str">
        <f t="shared" si="167"/>
        <v>2016depgestQuin 5Totalinfant</v>
      </c>
      <c r="Z1721" s="604">
        <v>2016</v>
      </c>
      <c r="AA1721" s="604" t="s">
        <v>454</v>
      </c>
      <c r="AB1721" s="604" t="s">
        <v>450</v>
      </c>
      <c r="AC1721" s="604" t="s">
        <v>425</v>
      </c>
      <c r="AD1721" s="604" t="s">
        <v>44</v>
      </c>
      <c r="AE1721" s="604">
        <v>107</v>
      </c>
      <c r="AF1721" s="604">
        <v>16886</v>
      </c>
      <c r="AG1721" s="604">
        <v>6.3</v>
      </c>
      <c r="AH1721" s="604" t="s">
        <v>437</v>
      </c>
      <c r="BY1721" s="575" t="str">
        <f t="shared" si="168"/>
        <v>200337-41gestSUDI</v>
      </c>
      <c r="BZ1721" s="604">
        <v>2003</v>
      </c>
      <c r="CA1721" s="604" t="s">
        <v>137</v>
      </c>
      <c r="CB1721" s="604" t="s">
        <v>450</v>
      </c>
      <c r="CC1721" s="604">
        <v>49</v>
      </c>
      <c r="CD1721" s="604" t="s">
        <v>33</v>
      </c>
    </row>
    <row r="1722" spans="9:82">
      <c r="I1722" s="578" t="str">
        <f t="shared" si="166"/>
        <v>2013bwt2500-4499Peri</v>
      </c>
      <c r="J1722" s="604">
        <v>2013</v>
      </c>
      <c r="K1722" s="604" t="s">
        <v>447</v>
      </c>
      <c r="L1722" s="604" t="s">
        <v>431</v>
      </c>
      <c r="M1722" s="604">
        <v>95</v>
      </c>
      <c r="N1722" s="604">
        <v>54688</v>
      </c>
      <c r="O1722" s="604">
        <v>1.7</v>
      </c>
      <c r="P1722" s="604" t="s">
        <v>483</v>
      </c>
      <c r="Q1722" s="499"/>
      <c r="Y1722" s="535" t="str">
        <f t="shared" si="167"/>
        <v>2016depgestQuin 9Totalinfant</v>
      </c>
      <c r="Z1722" s="604">
        <v>2016</v>
      </c>
      <c r="AA1722" s="604" t="s">
        <v>454</v>
      </c>
      <c r="AB1722" s="604" t="s">
        <v>450</v>
      </c>
      <c r="AC1722" s="604" t="s">
        <v>426</v>
      </c>
      <c r="AD1722" s="604" t="s">
        <v>44</v>
      </c>
      <c r="AE1722" s="604">
        <v>2</v>
      </c>
      <c r="AF1722" s="604">
        <v>131</v>
      </c>
      <c r="AG1722" s="604" t="s">
        <v>119</v>
      </c>
      <c r="AH1722" s="604" t="s">
        <v>437</v>
      </c>
      <c r="BY1722" s="575" t="str">
        <f t="shared" si="168"/>
        <v>200342+gestSUDI</v>
      </c>
      <c r="BZ1722" s="604">
        <v>2003</v>
      </c>
      <c r="CA1722" s="604" t="s">
        <v>138</v>
      </c>
      <c r="CB1722" s="604" t="s">
        <v>450</v>
      </c>
      <c r="CC1722" s="604">
        <v>0</v>
      </c>
      <c r="CD1722" s="604" t="s">
        <v>33</v>
      </c>
    </row>
    <row r="1723" spans="9:82">
      <c r="I1723" s="578" t="str">
        <f t="shared" si="166"/>
        <v>2013bwt4500+Peri</v>
      </c>
      <c r="J1723" s="604">
        <v>2013</v>
      </c>
      <c r="K1723" s="604" t="s">
        <v>447</v>
      </c>
      <c r="L1723" s="604" t="s">
        <v>432</v>
      </c>
      <c r="M1723" s="604">
        <v>4</v>
      </c>
      <c r="N1723" s="604">
        <v>1510</v>
      </c>
      <c r="O1723" s="604">
        <v>2.6</v>
      </c>
      <c r="P1723" s="604" t="s">
        <v>483</v>
      </c>
      <c r="Q1723" s="499"/>
      <c r="Y1723" s="535" t="str">
        <f t="shared" si="167"/>
        <v>2016bwtgest&lt;500Totalinfant</v>
      </c>
      <c r="Z1723" s="604">
        <v>2016</v>
      </c>
      <c r="AA1723" s="604" t="s">
        <v>447</v>
      </c>
      <c r="AB1723" s="604" t="s">
        <v>450</v>
      </c>
      <c r="AC1723" s="604" t="s">
        <v>427</v>
      </c>
      <c r="AD1723" s="604" t="s">
        <v>44</v>
      </c>
      <c r="AE1723" s="604">
        <v>37</v>
      </c>
      <c r="AF1723" s="604">
        <v>53</v>
      </c>
      <c r="AG1723" s="604">
        <v>698.1</v>
      </c>
      <c r="AH1723" s="604" t="s">
        <v>437</v>
      </c>
      <c r="BY1723" s="575" t="str">
        <f t="shared" si="168"/>
        <v>2003UnknowngestSUDI</v>
      </c>
      <c r="BZ1723" s="604">
        <v>2003</v>
      </c>
      <c r="CA1723" s="604" t="s">
        <v>63</v>
      </c>
      <c r="CB1723" s="604" t="s">
        <v>450</v>
      </c>
      <c r="CC1723" s="604">
        <v>4</v>
      </c>
      <c r="CD1723" s="604" t="s">
        <v>33</v>
      </c>
    </row>
    <row r="1724" spans="9:82">
      <c r="I1724" s="578" t="str">
        <f t="shared" si="166"/>
        <v>2013bwtUnknownPeri</v>
      </c>
      <c r="J1724" s="604">
        <v>2013</v>
      </c>
      <c r="K1724" s="604" t="s">
        <v>447</v>
      </c>
      <c r="L1724" s="604" t="s">
        <v>63</v>
      </c>
      <c r="M1724" s="604">
        <v>16</v>
      </c>
      <c r="N1724" s="604">
        <v>40</v>
      </c>
      <c r="O1724" s="604" t="s">
        <v>119</v>
      </c>
      <c r="P1724" s="604" t="s">
        <v>483</v>
      </c>
      <c r="Q1724" s="499"/>
      <c r="Y1724" s="535" t="str">
        <f t="shared" si="167"/>
        <v>2016bwtgest500-999Totalinfant</v>
      </c>
      <c r="Z1724" s="604">
        <v>2016</v>
      </c>
      <c r="AA1724" s="604" t="s">
        <v>447</v>
      </c>
      <c r="AB1724" s="604" t="s">
        <v>450</v>
      </c>
      <c r="AC1724" s="604" t="s">
        <v>428</v>
      </c>
      <c r="AD1724" s="604" t="s">
        <v>44</v>
      </c>
      <c r="AE1724" s="604">
        <v>57</v>
      </c>
      <c r="AF1724" s="604">
        <v>196</v>
      </c>
      <c r="AG1724" s="604">
        <v>290.8</v>
      </c>
      <c r="AH1724" s="604" t="s">
        <v>437</v>
      </c>
      <c r="BY1724" s="575" t="str">
        <f t="shared" si="168"/>
        <v>2004&lt;28gestSUDI</v>
      </c>
      <c r="BZ1724" s="604">
        <v>2004</v>
      </c>
      <c r="CA1724" s="604" t="s">
        <v>375</v>
      </c>
      <c r="CB1724" s="604" t="s">
        <v>450</v>
      </c>
      <c r="CC1724" s="604">
        <v>1</v>
      </c>
      <c r="CD1724" s="604" t="s">
        <v>33</v>
      </c>
    </row>
    <row r="1725" spans="9:82">
      <c r="I1725" s="578" t="str">
        <f t="shared" si="166"/>
        <v>2014bwt&lt;500Peri</v>
      </c>
      <c r="J1725" s="604">
        <v>2014</v>
      </c>
      <c r="K1725" s="604" t="s">
        <v>447</v>
      </c>
      <c r="L1725" s="604" t="s">
        <v>427</v>
      </c>
      <c r="M1725" s="604">
        <v>262</v>
      </c>
      <c r="N1725" s="604">
        <v>278</v>
      </c>
      <c r="O1725" s="604">
        <v>942.4</v>
      </c>
      <c r="P1725" s="604" t="s">
        <v>483</v>
      </c>
      <c r="Q1725" s="499"/>
      <c r="Y1725" s="535" t="str">
        <f t="shared" si="167"/>
        <v>2016bwtgest1000-1499Totalinfant</v>
      </c>
      <c r="Z1725" s="604">
        <v>2016</v>
      </c>
      <c r="AA1725" s="604" t="s">
        <v>447</v>
      </c>
      <c r="AB1725" s="604" t="s">
        <v>450</v>
      </c>
      <c r="AC1725" s="604" t="s">
        <v>429</v>
      </c>
      <c r="AD1725" s="604" t="s">
        <v>44</v>
      </c>
      <c r="AE1725" s="604">
        <v>8</v>
      </c>
      <c r="AF1725" s="604">
        <v>331</v>
      </c>
      <c r="AG1725" s="604">
        <v>24.2</v>
      </c>
      <c r="AH1725" s="604" t="s">
        <v>437</v>
      </c>
      <c r="BY1725" s="575" t="str">
        <f t="shared" si="168"/>
        <v>200428-31gestSUDI</v>
      </c>
      <c r="BZ1725" s="604">
        <v>2004</v>
      </c>
      <c r="CA1725" s="604" t="s">
        <v>395</v>
      </c>
      <c r="CB1725" s="604" t="s">
        <v>450</v>
      </c>
      <c r="CC1725" s="604">
        <v>4</v>
      </c>
      <c r="CD1725" s="604" t="s">
        <v>33</v>
      </c>
    </row>
    <row r="1726" spans="9:82">
      <c r="I1726" s="578" t="str">
        <f t="shared" si="166"/>
        <v>2014bwt500-999Peri</v>
      </c>
      <c r="J1726" s="604">
        <v>2014</v>
      </c>
      <c r="K1726" s="604" t="s">
        <v>447</v>
      </c>
      <c r="L1726" s="604" t="s">
        <v>428</v>
      </c>
      <c r="M1726" s="604">
        <v>159</v>
      </c>
      <c r="N1726" s="604">
        <v>319</v>
      </c>
      <c r="O1726" s="604">
        <v>498.4</v>
      </c>
      <c r="P1726" s="604" t="s">
        <v>483</v>
      </c>
      <c r="Q1726" s="499"/>
      <c r="Y1726" s="535" t="str">
        <f t="shared" si="167"/>
        <v>2016bwtgest1500-2499Totalinfant</v>
      </c>
      <c r="Z1726" s="604">
        <v>2016</v>
      </c>
      <c r="AA1726" s="604" t="s">
        <v>447</v>
      </c>
      <c r="AB1726" s="604" t="s">
        <v>450</v>
      </c>
      <c r="AC1726" s="604" t="s">
        <v>430</v>
      </c>
      <c r="AD1726" s="604" t="s">
        <v>44</v>
      </c>
      <c r="AE1726" s="604">
        <v>35</v>
      </c>
      <c r="AF1726" s="604">
        <v>2991</v>
      </c>
      <c r="AG1726" s="604">
        <v>11.7</v>
      </c>
      <c r="AH1726" s="604" t="s">
        <v>437</v>
      </c>
      <c r="BY1726" s="575" t="str">
        <f t="shared" si="168"/>
        <v>200432-36gestSUDI</v>
      </c>
      <c r="BZ1726" s="604">
        <v>2004</v>
      </c>
      <c r="CA1726" s="604" t="s">
        <v>136</v>
      </c>
      <c r="CB1726" s="604" t="s">
        <v>450</v>
      </c>
      <c r="CC1726" s="604">
        <v>10</v>
      </c>
      <c r="CD1726" s="604" t="s">
        <v>33</v>
      </c>
    </row>
    <row r="1727" spans="9:82">
      <c r="I1727" s="578" t="str">
        <f t="shared" si="166"/>
        <v>2014bwt1000-1499Peri</v>
      </c>
      <c r="J1727" s="604">
        <v>2014</v>
      </c>
      <c r="K1727" s="604" t="s">
        <v>447</v>
      </c>
      <c r="L1727" s="604" t="s">
        <v>429</v>
      </c>
      <c r="M1727" s="604">
        <v>36</v>
      </c>
      <c r="N1727" s="604">
        <v>342</v>
      </c>
      <c r="O1727" s="604">
        <v>105.3</v>
      </c>
      <c r="P1727" s="604" t="s">
        <v>483</v>
      </c>
      <c r="Q1727" s="499"/>
      <c r="Y1727" s="535" t="str">
        <f t="shared" si="167"/>
        <v>2016bwtgest2500-4499Totalinfant</v>
      </c>
      <c r="Z1727" s="604">
        <v>2016</v>
      </c>
      <c r="AA1727" s="604" t="s">
        <v>447</v>
      </c>
      <c r="AB1727" s="604" t="s">
        <v>450</v>
      </c>
      <c r="AC1727" s="604" t="s">
        <v>431</v>
      </c>
      <c r="AD1727" s="604" t="s">
        <v>44</v>
      </c>
      <c r="AE1727" s="604">
        <v>95</v>
      </c>
      <c r="AF1727" s="604">
        <v>55407</v>
      </c>
      <c r="AG1727" s="604">
        <v>1.7</v>
      </c>
      <c r="AH1727" s="604" t="s">
        <v>437</v>
      </c>
      <c r="BY1727" s="575" t="str">
        <f t="shared" si="168"/>
        <v>200437-41gestSUDI</v>
      </c>
      <c r="BZ1727" s="604">
        <v>2004</v>
      </c>
      <c r="CA1727" s="604" t="s">
        <v>137</v>
      </c>
      <c r="CB1727" s="604" t="s">
        <v>450</v>
      </c>
      <c r="CC1727" s="604">
        <v>41</v>
      </c>
      <c r="CD1727" s="604" t="s">
        <v>33</v>
      </c>
    </row>
    <row r="1728" spans="9:82">
      <c r="I1728" s="578" t="str">
        <f t="shared" si="166"/>
        <v>2014bwt1500-2499Peri</v>
      </c>
      <c r="J1728" s="604">
        <v>2014</v>
      </c>
      <c r="K1728" s="604" t="s">
        <v>447</v>
      </c>
      <c r="L1728" s="604" t="s">
        <v>430</v>
      </c>
      <c r="M1728" s="604">
        <v>66</v>
      </c>
      <c r="N1728" s="604">
        <v>2828</v>
      </c>
      <c r="O1728" s="604">
        <v>23.3</v>
      </c>
      <c r="P1728" s="604" t="s">
        <v>483</v>
      </c>
      <c r="Q1728" s="499"/>
      <c r="Y1728" s="535" t="str">
        <f t="shared" si="167"/>
        <v>2016bwtgest4500+Totalinfant</v>
      </c>
      <c r="Z1728" s="604">
        <v>2016</v>
      </c>
      <c r="AA1728" s="604" t="s">
        <v>447</v>
      </c>
      <c r="AB1728" s="604" t="s">
        <v>450</v>
      </c>
      <c r="AC1728" s="604" t="s">
        <v>432</v>
      </c>
      <c r="AD1728" s="604" t="s">
        <v>44</v>
      </c>
      <c r="AE1728" s="604">
        <v>0</v>
      </c>
      <c r="AF1728" s="604">
        <v>1423</v>
      </c>
      <c r="AG1728" s="604">
        <v>0</v>
      </c>
      <c r="AH1728" s="604" t="s">
        <v>437</v>
      </c>
      <c r="BY1728" s="575" t="str">
        <f t="shared" si="168"/>
        <v>200442+gestSUDI</v>
      </c>
      <c r="BZ1728" s="604">
        <v>2004</v>
      </c>
      <c r="CA1728" s="604" t="s">
        <v>138</v>
      </c>
      <c r="CB1728" s="604" t="s">
        <v>450</v>
      </c>
      <c r="CC1728" s="604">
        <v>1</v>
      </c>
      <c r="CD1728" s="604" t="s">
        <v>33</v>
      </c>
    </row>
    <row r="1729" spans="9:82">
      <c r="I1729" s="578" t="str">
        <f t="shared" si="166"/>
        <v>2014bwt2500-4499Peri</v>
      </c>
      <c r="J1729" s="604">
        <v>2014</v>
      </c>
      <c r="K1729" s="604" t="s">
        <v>447</v>
      </c>
      <c r="L1729" s="604" t="s">
        <v>431</v>
      </c>
      <c r="M1729" s="604">
        <v>101</v>
      </c>
      <c r="N1729" s="604">
        <v>53445</v>
      </c>
      <c r="O1729" s="604">
        <v>1.9</v>
      </c>
      <c r="P1729" s="604" t="s">
        <v>483</v>
      </c>
      <c r="Q1729" s="499"/>
      <c r="Y1729" s="535" t="str">
        <f t="shared" si="167"/>
        <v>2016bwtgestUnknownTotalinfant</v>
      </c>
      <c r="Z1729" s="604">
        <v>2016</v>
      </c>
      <c r="AA1729" s="604" t="s">
        <v>447</v>
      </c>
      <c r="AB1729" s="604" t="s">
        <v>450</v>
      </c>
      <c r="AC1729" s="604" t="s">
        <v>63</v>
      </c>
      <c r="AD1729" s="604" t="s">
        <v>44</v>
      </c>
      <c r="AE1729" s="604">
        <v>9</v>
      </c>
      <c r="AF1729" s="604">
        <v>35</v>
      </c>
      <c r="AG1729" s="604" t="s">
        <v>119</v>
      </c>
      <c r="AH1729" s="604" t="s">
        <v>437</v>
      </c>
      <c r="BY1729" s="575" t="str">
        <f t="shared" si="168"/>
        <v>2004UnknowngestSUDI</v>
      </c>
      <c r="BZ1729" s="604">
        <v>2004</v>
      </c>
      <c r="CA1729" s="604" t="s">
        <v>63</v>
      </c>
      <c r="CB1729" s="604" t="s">
        <v>450</v>
      </c>
      <c r="CC1729" s="604">
        <v>5</v>
      </c>
      <c r="CD1729" s="604" t="s">
        <v>33</v>
      </c>
    </row>
    <row r="1730" spans="9:82">
      <c r="I1730" s="578" t="str">
        <f t="shared" si="166"/>
        <v>2014bwt4500+Peri</v>
      </c>
      <c r="J1730" s="604">
        <v>2014</v>
      </c>
      <c r="K1730" s="604" t="s">
        <v>447</v>
      </c>
      <c r="L1730" s="604" t="s">
        <v>432</v>
      </c>
      <c r="M1730" s="604">
        <v>0</v>
      </c>
      <c r="N1730" s="604">
        <v>1481</v>
      </c>
      <c r="O1730" s="604">
        <v>0</v>
      </c>
      <c r="P1730" s="604" t="s">
        <v>483</v>
      </c>
      <c r="Q1730" s="499"/>
      <c r="Y1730" s="535" t="str">
        <f t="shared" si="167"/>
        <v>2016sexbwtMaleTotalinfant</v>
      </c>
      <c r="Z1730" s="604">
        <v>2016</v>
      </c>
      <c r="AA1730" s="604" t="s">
        <v>451</v>
      </c>
      <c r="AB1730" s="604" t="s">
        <v>447</v>
      </c>
      <c r="AC1730" s="604" t="s">
        <v>70</v>
      </c>
      <c r="AD1730" s="604" t="s">
        <v>44</v>
      </c>
      <c r="AE1730" s="604">
        <v>127</v>
      </c>
      <c r="AF1730" s="604">
        <v>31009</v>
      </c>
      <c r="AG1730" s="604">
        <v>4.0999999999999996</v>
      </c>
      <c r="AH1730" s="604" t="s">
        <v>437</v>
      </c>
      <c r="BY1730" s="575" t="str">
        <f t="shared" si="168"/>
        <v>2005&lt;28gestSUDI</v>
      </c>
      <c r="BZ1730" s="604">
        <v>2005</v>
      </c>
      <c r="CA1730" s="604" t="s">
        <v>375</v>
      </c>
      <c r="CB1730" s="604" t="s">
        <v>450</v>
      </c>
      <c r="CC1730" s="604">
        <v>1</v>
      </c>
      <c r="CD1730" s="604" t="s">
        <v>33</v>
      </c>
    </row>
    <row r="1731" spans="9:82">
      <c r="I1731" s="578" t="str">
        <f t="shared" si="166"/>
        <v>2014bwtUnknownPeri</v>
      </c>
      <c r="J1731" s="604">
        <v>2014</v>
      </c>
      <c r="K1731" s="604" t="s">
        <v>447</v>
      </c>
      <c r="L1731" s="604" t="s">
        <v>63</v>
      </c>
      <c r="M1731" s="604">
        <v>31</v>
      </c>
      <c r="N1731" s="604">
        <v>39</v>
      </c>
      <c r="O1731" s="604" t="s">
        <v>119</v>
      </c>
      <c r="P1731" s="604" t="s">
        <v>483</v>
      </c>
      <c r="Q1731" s="499"/>
      <c r="Y1731" s="535" t="str">
        <f t="shared" si="167"/>
        <v>2016sexbwtFemaleTotalinfant</v>
      </c>
      <c r="Z1731" s="604">
        <v>2016</v>
      </c>
      <c r="AA1731" s="604" t="s">
        <v>451</v>
      </c>
      <c r="AB1731" s="604" t="s">
        <v>447</v>
      </c>
      <c r="AC1731" s="604" t="s">
        <v>71</v>
      </c>
      <c r="AD1731" s="604" t="s">
        <v>44</v>
      </c>
      <c r="AE1731" s="604">
        <v>114</v>
      </c>
      <c r="AF1731" s="604">
        <v>29427</v>
      </c>
      <c r="AG1731" s="604">
        <v>3.9</v>
      </c>
      <c r="AH1731" s="604" t="s">
        <v>437</v>
      </c>
      <c r="BY1731" s="575" t="str">
        <f t="shared" si="168"/>
        <v>200528-31gestSUDI</v>
      </c>
      <c r="BZ1731" s="604">
        <v>2005</v>
      </c>
      <c r="CA1731" s="604" t="s">
        <v>395</v>
      </c>
      <c r="CB1731" s="604" t="s">
        <v>450</v>
      </c>
      <c r="CC1731" s="604">
        <v>1</v>
      </c>
      <c r="CD1731" s="604" t="s">
        <v>33</v>
      </c>
    </row>
    <row r="1732" spans="9:82">
      <c r="I1732" s="578" t="str">
        <f t="shared" ref="I1732:I1795" si="169">J1732&amp;K1732&amp;L1732&amp;P1732</f>
        <v>2015bwt&lt;500Peri</v>
      </c>
      <c r="J1732" s="604">
        <v>2015</v>
      </c>
      <c r="K1732" s="604" t="s">
        <v>447</v>
      </c>
      <c r="L1732" s="604" t="s">
        <v>427</v>
      </c>
      <c r="M1732" s="604">
        <v>187</v>
      </c>
      <c r="N1732" s="604">
        <v>205</v>
      </c>
      <c r="O1732" s="604">
        <v>912.2</v>
      </c>
      <c r="P1732" s="604" t="s">
        <v>483</v>
      </c>
      <c r="Q1732" s="499"/>
      <c r="Y1732" s="535" t="str">
        <f t="shared" ref="Y1732:Y1795" si="170">Z1732&amp;AA1732&amp;AB1732&amp;AC1732&amp;AD1732&amp;AH1732</f>
        <v>2016ethbwtMaoriTotalinfant</v>
      </c>
      <c r="Z1732" s="604">
        <v>2016</v>
      </c>
      <c r="AA1732" s="604" t="s">
        <v>449</v>
      </c>
      <c r="AB1732" s="604" t="s">
        <v>447</v>
      </c>
      <c r="AC1732" s="604" t="s">
        <v>129</v>
      </c>
      <c r="AD1732" s="604" t="s">
        <v>44</v>
      </c>
      <c r="AE1732" s="604">
        <v>103</v>
      </c>
      <c r="AF1732" s="604">
        <v>17329</v>
      </c>
      <c r="AG1732" s="604">
        <v>5.9</v>
      </c>
      <c r="AH1732" s="604" t="s">
        <v>437</v>
      </c>
      <c r="BY1732" s="575" t="str">
        <f t="shared" si="168"/>
        <v>200532-36gestSUDI</v>
      </c>
      <c r="BZ1732" s="604">
        <v>2005</v>
      </c>
      <c r="CA1732" s="604" t="s">
        <v>136</v>
      </c>
      <c r="CB1732" s="604" t="s">
        <v>450</v>
      </c>
      <c r="CC1732" s="604">
        <v>10</v>
      </c>
      <c r="CD1732" s="604" t="s">
        <v>33</v>
      </c>
    </row>
    <row r="1733" spans="9:82">
      <c r="I1733" s="578" t="str">
        <f t="shared" si="169"/>
        <v>2015bwt500-999Peri</v>
      </c>
      <c r="J1733" s="604">
        <v>2015</v>
      </c>
      <c r="K1733" s="604" t="s">
        <v>447</v>
      </c>
      <c r="L1733" s="604" t="s">
        <v>428</v>
      </c>
      <c r="M1733" s="604">
        <v>120</v>
      </c>
      <c r="N1733" s="604">
        <v>269</v>
      </c>
      <c r="O1733" s="604">
        <v>446.1</v>
      </c>
      <c r="P1733" s="604" t="s">
        <v>483</v>
      </c>
      <c r="Q1733" s="499"/>
      <c r="Y1733" s="535" t="str">
        <f t="shared" si="170"/>
        <v>2016ethbwtPacific peoplesTotalinfant</v>
      </c>
      <c r="Z1733" s="604">
        <v>2016</v>
      </c>
      <c r="AA1733" s="604" t="s">
        <v>449</v>
      </c>
      <c r="AB1733" s="604" t="s">
        <v>447</v>
      </c>
      <c r="AC1733" s="604" t="s">
        <v>320</v>
      </c>
      <c r="AD1733" s="604" t="s">
        <v>44</v>
      </c>
      <c r="AE1733" s="604">
        <v>37</v>
      </c>
      <c r="AF1733" s="604">
        <v>5976</v>
      </c>
      <c r="AG1733" s="604">
        <v>6.2</v>
      </c>
      <c r="AH1733" s="604" t="s">
        <v>437</v>
      </c>
      <c r="BY1733" s="575" t="str">
        <f t="shared" si="168"/>
        <v>200537-41gestSUDI</v>
      </c>
      <c r="BZ1733" s="604">
        <v>2005</v>
      </c>
      <c r="CA1733" s="604" t="s">
        <v>137</v>
      </c>
      <c r="CB1733" s="604" t="s">
        <v>450</v>
      </c>
      <c r="CC1733" s="604">
        <v>32</v>
      </c>
      <c r="CD1733" s="604" t="s">
        <v>33</v>
      </c>
    </row>
    <row r="1734" spans="9:82">
      <c r="I1734" s="578" t="str">
        <f t="shared" si="169"/>
        <v>2015bwt1000-1499Peri</v>
      </c>
      <c r="J1734" s="604">
        <v>2015</v>
      </c>
      <c r="K1734" s="604" t="s">
        <v>447</v>
      </c>
      <c r="L1734" s="604" t="s">
        <v>429</v>
      </c>
      <c r="M1734" s="604">
        <v>27</v>
      </c>
      <c r="N1734" s="604">
        <v>410</v>
      </c>
      <c r="O1734" s="604">
        <v>65.900000000000006</v>
      </c>
      <c r="P1734" s="604" t="s">
        <v>483</v>
      </c>
      <c r="Q1734" s="499"/>
      <c r="Y1734" s="535" t="str">
        <f t="shared" si="170"/>
        <v>2016ethbwtAsianTotalinfant</v>
      </c>
      <c r="Z1734" s="604">
        <v>2016</v>
      </c>
      <c r="AA1734" s="604" t="s">
        <v>449</v>
      </c>
      <c r="AB1734" s="604" t="s">
        <v>447</v>
      </c>
      <c r="AC1734" s="604" t="s">
        <v>355</v>
      </c>
      <c r="AD1734" s="604" t="s">
        <v>44</v>
      </c>
      <c r="AE1734" s="604">
        <v>27</v>
      </c>
      <c r="AF1734" s="604">
        <v>10902</v>
      </c>
      <c r="AG1734" s="604">
        <v>2.5</v>
      </c>
      <c r="AH1734" s="604" t="s">
        <v>437</v>
      </c>
      <c r="BY1734" s="575" t="str">
        <f t="shared" si="168"/>
        <v>200542+gestSUDI</v>
      </c>
      <c r="BZ1734" s="604">
        <v>2005</v>
      </c>
      <c r="CA1734" s="604" t="s">
        <v>138</v>
      </c>
      <c r="CB1734" s="604" t="s">
        <v>450</v>
      </c>
      <c r="CC1734" s="604">
        <v>1</v>
      </c>
      <c r="CD1734" s="604" t="s">
        <v>33</v>
      </c>
    </row>
    <row r="1735" spans="9:82">
      <c r="I1735" s="578" t="str">
        <f t="shared" si="169"/>
        <v>2015bwt1500-2499Peri</v>
      </c>
      <c r="J1735" s="604">
        <v>2015</v>
      </c>
      <c r="K1735" s="604" t="s">
        <v>447</v>
      </c>
      <c r="L1735" s="604" t="s">
        <v>430</v>
      </c>
      <c r="M1735" s="604">
        <v>59</v>
      </c>
      <c r="N1735" s="604">
        <v>3060</v>
      </c>
      <c r="O1735" s="604">
        <v>19.3</v>
      </c>
      <c r="P1735" s="604" t="s">
        <v>483</v>
      </c>
      <c r="Q1735" s="499"/>
      <c r="Y1735" s="535" t="str">
        <f t="shared" si="170"/>
        <v>2016ethbwtEuropean or OtherTotalinfant</v>
      </c>
      <c r="Z1735" s="604">
        <v>2016</v>
      </c>
      <c r="AA1735" s="604" t="s">
        <v>449</v>
      </c>
      <c r="AB1735" s="604" t="s">
        <v>447</v>
      </c>
      <c r="AC1735" s="604" t="s">
        <v>356</v>
      </c>
      <c r="AD1735" s="604" t="s">
        <v>44</v>
      </c>
      <c r="AE1735" s="604">
        <v>74</v>
      </c>
      <c r="AF1735" s="604">
        <v>26229</v>
      </c>
      <c r="AG1735" s="604">
        <v>2.8</v>
      </c>
      <c r="AH1735" s="604" t="s">
        <v>437</v>
      </c>
      <c r="BY1735" s="575" t="str">
        <f t="shared" si="168"/>
        <v>2005UnknowngestSUDI</v>
      </c>
      <c r="BZ1735" s="604">
        <v>2005</v>
      </c>
      <c r="CA1735" s="604" t="s">
        <v>63</v>
      </c>
      <c r="CB1735" s="604" t="s">
        <v>450</v>
      </c>
      <c r="CC1735" s="604">
        <v>8</v>
      </c>
      <c r="CD1735" s="604" t="s">
        <v>33</v>
      </c>
    </row>
    <row r="1736" spans="9:82">
      <c r="I1736" s="578" t="str">
        <f t="shared" si="169"/>
        <v>2015bwt2500-4499Peri</v>
      </c>
      <c r="J1736" s="604">
        <v>2015</v>
      </c>
      <c r="K1736" s="604" t="s">
        <v>447</v>
      </c>
      <c r="L1736" s="604" t="s">
        <v>431</v>
      </c>
      <c r="M1736" s="604">
        <v>112</v>
      </c>
      <c r="N1736" s="604">
        <v>57109</v>
      </c>
      <c r="O1736" s="604">
        <v>2</v>
      </c>
      <c r="P1736" s="604" t="s">
        <v>483</v>
      </c>
      <c r="Q1736" s="499"/>
      <c r="Y1736" s="535" t="str">
        <f t="shared" si="170"/>
        <v>2016agebwt&lt;20Totalinfant</v>
      </c>
      <c r="Z1736" s="604">
        <v>2016</v>
      </c>
      <c r="AA1736" s="604" t="s">
        <v>453</v>
      </c>
      <c r="AB1736" s="604" t="s">
        <v>447</v>
      </c>
      <c r="AC1736" s="604" t="s">
        <v>339</v>
      </c>
      <c r="AD1736" s="604" t="s">
        <v>44</v>
      </c>
      <c r="AE1736" s="604">
        <v>27</v>
      </c>
      <c r="AF1736" s="604">
        <v>2559</v>
      </c>
      <c r="AG1736" s="604">
        <v>10.6</v>
      </c>
      <c r="AH1736" s="604" t="s">
        <v>437</v>
      </c>
      <c r="BY1736" s="575" t="str">
        <f t="shared" si="168"/>
        <v>2006&lt;28gestSUDI</v>
      </c>
      <c r="BZ1736" s="604">
        <v>2006</v>
      </c>
      <c r="CA1736" s="604" t="s">
        <v>375</v>
      </c>
      <c r="CB1736" s="604" t="s">
        <v>450</v>
      </c>
      <c r="CC1736" s="604">
        <v>1</v>
      </c>
      <c r="CD1736" s="604" t="s">
        <v>33</v>
      </c>
    </row>
    <row r="1737" spans="9:82">
      <c r="I1737" s="578" t="str">
        <f t="shared" si="169"/>
        <v>2015bwt4500+Peri</v>
      </c>
      <c r="J1737" s="604">
        <v>2015</v>
      </c>
      <c r="K1737" s="604" t="s">
        <v>447</v>
      </c>
      <c r="L1737" s="604" t="s">
        <v>432</v>
      </c>
      <c r="M1737" s="604">
        <v>2</v>
      </c>
      <c r="N1737" s="604">
        <v>1392</v>
      </c>
      <c r="O1737" s="604">
        <v>1.4</v>
      </c>
      <c r="P1737" s="604" t="s">
        <v>483</v>
      </c>
      <c r="Q1737" s="499"/>
      <c r="Y1737" s="535" t="str">
        <f t="shared" si="170"/>
        <v>2016agebwt20-24Totalinfant</v>
      </c>
      <c r="Z1737" s="604">
        <v>2016</v>
      </c>
      <c r="AA1737" s="604" t="s">
        <v>453</v>
      </c>
      <c r="AB1737" s="604" t="s">
        <v>447</v>
      </c>
      <c r="AC1737" s="604" t="s">
        <v>130</v>
      </c>
      <c r="AD1737" s="604" t="s">
        <v>44</v>
      </c>
      <c r="AE1737" s="604">
        <v>61</v>
      </c>
      <c r="AF1737" s="604">
        <v>9934</v>
      </c>
      <c r="AG1737" s="604">
        <v>6.1</v>
      </c>
      <c r="AH1737" s="604" t="s">
        <v>437</v>
      </c>
      <c r="BY1737" s="575" t="str">
        <f t="shared" si="168"/>
        <v>200628-31gestSUDI</v>
      </c>
      <c r="BZ1737" s="604">
        <v>2006</v>
      </c>
      <c r="CA1737" s="604" t="s">
        <v>395</v>
      </c>
      <c r="CB1737" s="604" t="s">
        <v>450</v>
      </c>
      <c r="CC1737" s="604">
        <v>1</v>
      </c>
      <c r="CD1737" s="604" t="s">
        <v>33</v>
      </c>
    </row>
    <row r="1738" spans="9:82">
      <c r="I1738" s="578" t="str">
        <f t="shared" si="169"/>
        <v>2015bwtUnknownPeri</v>
      </c>
      <c r="J1738" s="604">
        <v>2015</v>
      </c>
      <c r="K1738" s="604" t="s">
        <v>447</v>
      </c>
      <c r="L1738" s="604" t="s">
        <v>63</v>
      </c>
      <c r="M1738" s="604">
        <v>21</v>
      </c>
      <c r="N1738" s="604">
        <v>61</v>
      </c>
      <c r="O1738" s="604" t="s">
        <v>119</v>
      </c>
      <c r="P1738" s="604" t="s">
        <v>483</v>
      </c>
      <c r="Q1738" s="499"/>
      <c r="Y1738" s="535" t="str">
        <f t="shared" si="170"/>
        <v>2016agebwt25-29Totalinfant</v>
      </c>
      <c r="Z1738" s="604">
        <v>2016</v>
      </c>
      <c r="AA1738" s="604" t="s">
        <v>453</v>
      </c>
      <c r="AB1738" s="604" t="s">
        <v>447</v>
      </c>
      <c r="AC1738" s="604" t="s">
        <v>131</v>
      </c>
      <c r="AD1738" s="604" t="s">
        <v>44</v>
      </c>
      <c r="AE1738" s="604">
        <v>52</v>
      </c>
      <c r="AF1738" s="604">
        <v>16664</v>
      </c>
      <c r="AG1738" s="604">
        <v>3.1</v>
      </c>
      <c r="AH1738" s="604" t="s">
        <v>437</v>
      </c>
      <c r="BY1738" s="575" t="str">
        <f t="shared" si="168"/>
        <v>200632-36gestSUDI</v>
      </c>
      <c r="BZ1738" s="604">
        <v>2006</v>
      </c>
      <c r="CA1738" s="604" t="s">
        <v>136</v>
      </c>
      <c r="CB1738" s="604" t="s">
        <v>450</v>
      </c>
      <c r="CC1738" s="604">
        <v>5</v>
      </c>
      <c r="CD1738" s="604" t="s">
        <v>33</v>
      </c>
    </row>
    <row r="1739" spans="9:82">
      <c r="I1739" s="578" t="str">
        <f t="shared" si="169"/>
        <v>2016bwt&lt;500Peri</v>
      </c>
      <c r="J1739" s="604">
        <v>2016</v>
      </c>
      <c r="K1739" s="604" t="s">
        <v>447</v>
      </c>
      <c r="L1739" s="604" t="s">
        <v>427</v>
      </c>
      <c r="M1739" s="604">
        <v>178</v>
      </c>
      <c r="N1739" s="604">
        <v>194</v>
      </c>
      <c r="O1739" s="604">
        <v>917.5</v>
      </c>
      <c r="P1739" s="604" t="s">
        <v>483</v>
      </c>
      <c r="Q1739" s="499"/>
      <c r="Y1739" s="535" t="str">
        <f t="shared" si="170"/>
        <v>2016agebwt30-34Totalinfant</v>
      </c>
      <c r="Z1739" s="604">
        <v>2016</v>
      </c>
      <c r="AA1739" s="604" t="s">
        <v>453</v>
      </c>
      <c r="AB1739" s="604" t="s">
        <v>447</v>
      </c>
      <c r="AC1739" s="604" t="s">
        <v>132</v>
      </c>
      <c r="AD1739" s="604" t="s">
        <v>44</v>
      </c>
      <c r="AE1739" s="604">
        <v>59</v>
      </c>
      <c r="AF1739" s="604">
        <v>18720</v>
      </c>
      <c r="AG1739" s="604">
        <v>3.2</v>
      </c>
      <c r="AH1739" s="604" t="s">
        <v>437</v>
      </c>
      <c r="BY1739" s="575" t="str">
        <f t="shared" si="168"/>
        <v>200637-41gestSUDI</v>
      </c>
      <c r="BZ1739" s="604">
        <v>2006</v>
      </c>
      <c r="CA1739" s="604" t="s">
        <v>137</v>
      </c>
      <c r="CB1739" s="604" t="s">
        <v>450</v>
      </c>
      <c r="CC1739" s="604">
        <v>55</v>
      </c>
      <c r="CD1739" s="604" t="s">
        <v>33</v>
      </c>
    </row>
    <row r="1740" spans="9:82">
      <c r="I1740" s="578" t="str">
        <f t="shared" si="169"/>
        <v>2016bwt500-999Peri</v>
      </c>
      <c r="J1740" s="604">
        <v>2016</v>
      </c>
      <c r="K1740" s="604" t="s">
        <v>447</v>
      </c>
      <c r="L1740" s="604" t="s">
        <v>428</v>
      </c>
      <c r="M1740" s="604">
        <v>138</v>
      </c>
      <c r="N1740" s="604">
        <v>293</v>
      </c>
      <c r="O1740" s="604">
        <v>471</v>
      </c>
      <c r="P1740" s="604" t="s">
        <v>483</v>
      </c>
      <c r="Q1740" s="499"/>
      <c r="Y1740" s="535" t="str">
        <f t="shared" si="170"/>
        <v>2016agebwt35-39Totalinfant</v>
      </c>
      <c r="Z1740" s="604">
        <v>2016</v>
      </c>
      <c r="AA1740" s="604" t="s">
        <v>453</v>
      </c>
      <c r="AB1740" s="604" t="s">
        <v>447</v>
      </c>
      <c r="AC1740" s="604" t="s">
        <v>133</v>
      </c>
      <c r="AD1740" s="604" t="s">
        <v>44</v>
      </c>
      <c r="AE1740" s="604">
        <v>26</v>
      </c>
      <c r="AF1740" s="604">
        <v>10105</v>
      </c>
      <c r="AG1740" s="604">
        <v>2.6</v>
      </c>
      <c r="AH1740" s="604" t="s">
        <v>437</v>
      </c>
      <c r="BY1740" s="575" t="str">
        <f t="shared" si="168"/>
        <v>200642+gestSUDI</v>
      </c>
      <c r="BZ1740" s="604">
        <v>2006</v>
      </c>
      <c r="CA1740" s="604" t="s">
        <v>138</v>
      </c>
      <c r="CB1740" s="604" t="s">
        <v>450</v>
      </c>
      <c r="CC1740" s="604">
        <v>0</v>
      </c>
      <c r="CD1740" s="604" t="s">
        <v>33</v>
      </c>
    </row>
    <row r="1741" spans="9:82">
      <c r="I1741" s="578" t="str">
        <f t="shared" si="169"/>
        <v>2016bwt1000-1499Peri</v>
      </c>
      <c r="J1741" s="604">
        <v>2016</v>
      </c>
      <c r="K1741" s="604" t="s">
        <v>447</v>
      </c>
      <c r="L1741" s="604" t="s">
        <v>429</v>
      </c>
      <c r="M1741" s="604">
        <v>31</v>
      </c>
      <c r="N1741" s="604">
        <v>358</v>
      </c>
      <c r="O1741" s="604">
        <v>86.6</v>
      </c>
      <c r="P1741" s="604" t="s">
        <v>483</v>
      </c>
      <c r="Q1741" s="499"/>
      <c r="Y1741" s="535" t="str">
        <f t="shared" si="170"/>
        <v>2016agebwt40+Totalinfant</v>
      </c>
      <c r="Z1741" s="604">
        <v>2016</v>
      </c>
      <c r="AA1741" s="604" t="s">
        <v>453</v>
      </c>
      <c r="AB1741" s="604" t="s">
        <v>447</v>
      </c>
      <c r="AC1741" s="604" t="s">
        <v>134</v>
      </c>
      <c r="AD1741" s="604" t="s">
        <v>44</v>
      </c>
      <c r="AE1741" s="604">
        <v>15</v>
      </c>
      <c r="AF1741" s="604">
        <v>2454</v>
      </c>
      <c r="AG1741" s="604">
        <v>6.1</v>
      </c>
      <c r="AH1741" s="604" t="s">
        <v>437</v>
      </c>
      <c r="BY1741" s="575" t="str">
        <f t="shared" si="168"/>
        <v>2006UnknowngestSUDI</v>
      </c>
      <c r="BZ1741" s="604">
        <v>2006</v>
      </c>
      <c r="CA1741" s="604" t="s">
        <v>63</v>
      </c>
      <c r="CB1741" s="604" t="s">
        <v>450</v>
      </c>
      <c r="CC1741" s="604">
        <v>4</v>
      </c>
      <c r="CD1741" s="604" t="s">
        <v>33</v>
      </c>
    </row>
    <row r="1742" spans="9:82">
      <c r="I1742" s="578" t="str">
        <f t="shared" si="169"/>
        <v>2016bwt1500-2499Peri</v>
      </c>
      <c r="J1742" s="604">
        <v>2016</v>
      </c>
      <c r="K1742" s="604" t="s">
        <v>447</v>
      </c>
      <c r="L1742" s="604" t="s">
        <v>430</v>
      </c>
      <c r="M1742" s="604">
        <v>65</v>
      </c>
      <c r="N1742" s="604">
        <v>3036</v>
      </c>
      <c r="O1742" s="604">
        <v>21.4</v>
      </c>
      <c r="P1742" s="604" t="s">
        <v>483</v>
      </c>
      <c r="Q1742" s="499"/>
      <c r="Y1742" s="535" t="str">
        <f t="shared" si="170"/>
        <v>2016depbwtQuin 1Totalinfant</v>
      </c>
      <c r="Z1742" s="604">
        <v>2016</v>
      </c>
      <c r="AA1742" s="604" t="s">
        <v>454</v>
      </c>
      <c r="AB1742" s="604" t="s">
        <v>447</v>
      </c>
      <c r="AC1742" s="604" t="s">
        <v>421</v>
      </c>
      <c r="AD1742" s="604" t="s">
        <v>44</v>
      </c>
      <c r="AE1742" s="604">
        <v>24</v>
      </c>
      <c r="AF1742" s="604">
        <v>9194</v>
      </c>
      <c r="AG1742" s="604">
        <v>2.6</v>
      </c>
      <c r="AH1742" s="604" t="s">
        <v>437</v>
      </c>
      <c r="BY1742" s="575" t="str">
        <f t="shared" si="168"/>
        <v>2007&lt;28gestSUDI</v>
      </c>
      <c r="BZ1742" s="604">
        <v>2007</v>
      </c>
      <c r="CA1742" s="604" t="s">
        <v>375</v>
      </c>
      <c r="CB1742" s="604" t="s">
        <v>450</v>
      </c>
      <c r="CC1742" s="604">
        <v>0</v>
      </c>
      <c r="CD1742" s="604" t="s">
        <v>33</v>
      </c>
    </row>
    <row r="1743" spans="9:82">
      <c r="I1743" s="578" t="str">
        <f t="shared" si="169"/>
        <v>2016bwt2500-4499Peri</v>
      </c>
      <c r="J1743" s="604">
        <v>2016</v>
      </c>
      <c r="K1743" s="604" t="s">
        <v>447</v>
      </c>
      <c r="L1743" s="604" t="s">
        <v>431</v>
      </c>
      <c r="M1743" s="604">
        <v>107</v>
      </c>
      <c r="N1743" s="604">
        <v>55488</v>
      </c>
      <c r="O1743" s="604">
        <v>1.9</v>
      </c>
      <c r="P1743" s="604" t="s">
        <v>483</v>
      </c>
      <c r="Q1743" s="499"/>
      <c r="Y1743" s="535" t="str">
        <f t="shared" si="170"/>
        <v>2016depbwtQuin 2Totalinfant</v>
      </c>
      <c r="Z1743" s="604">
        <v>2016</v>
      </c>
      <c r="AA1743" s="604" t="s">
        <v>454</v>
      </c>
      <c r="AB1743" s="604" t="s">
        <v>447</v>
      </c>
      <c r="AC1743" s="604" t="s">
        <v>422</v>
      </c>
      <c r="AD1743" s="604" t="s">
        <v>44</v>
      </c>
      <c r="AE1743" s="604">
        <v>24</v>
      </c>
      <c r="AF1743" s="604">
        <v>10123</v>
      </c>
      <c r="AG1743" s="604">
        <v>2.4</v>
      </c>
      <c r="AH1743" s="604" t="s">
        <v>437</v>
      </c>
      <c r="BY1743" s="575" t="str">
        <f t="shared" si="168"/>
        <v>200728-31gestSUDI</v>
      </c>
      <c r="BZ1743" s="604">
        <v>2007</v>
      </c>
      <c r="CA1743" s="604" t="s">
        <v>395</v>
      </c>
      <c r="CB1743" s="604" t="s">
        <v>450</v>
      </c>
      <c r="CC1743" s="604">
        <v>4</v>
      </c>
      <c r="CD1743" s="604" t="s">
        <v>33</v>
      </c>
    </row>
    <row r="1744" spans="9:82">
      <c r="I1744" s="578" t="str">
        <f t="shared" si="169"/>
        <v>2016bwt4500+Peri</v>
      </c>
      <c r="J1744" s="604">
        <v>2016</v>
      </c>
      <c r="K1744" s="604" t="s">
        <v>447</v>
      </c>
      <c r="L1744" s="604" t="s">
        <v>432</v>
      </c>
      <c r="M1744" s="604">
        <v>4</v>
      </c>
      <c r="N1744" s="604">
        <v>1427</v>
      </c>
      <c r="O1744" s="604">
        <v>2.8</v>
      </c>
      <c r="P1744" s="604" t="s">
        <v>483</v>
      </c>
      <c r="Q1744" s="499"/>
      <c r="Y1744" s="535" t="str">
        <f t="shared" si="170"/>
        <v>2016depbwtQuin 3Totalinfant</v>
      </c>
      <c r="Z1744" s="604">
        <v>2016</v>
      </c>
      <c r="AA1744" s="604" t="s">
        <v>454</v>
      </c>
      <c r="AB1744" s="604" t="s">
        <v>447</v>
      </c>
      <c r="AC1744" s="604" t="s">
        <v>423</v>
      </c>
      <c r="AD1744" s="604" t="s">
        <v>44</v>
      </c>
      <c r="AE1744" s="604">
        <v>32</v>
      </c>
      <c r="AF1744" s="604">
        <v>10971</v>
      </c>
      <c r="AG1744" s="604">
        <v>2.9</v>
      </c>
      <c r="AH1744" s="604" t="s">
        <v>437</v>
      </c>
      <c r="BY1744" s="575" t="str">
        <f t="shared" si="168"/>
        <v>200732-36gestSUDI</v>
      </c>
      <c r="BZ1744" s="604">
        <v>2007</v>
      </c>
      <c r="CA1744" s="604" t="s">
        <v>136</v>
      </c>
      <c r="CB1744" s="604" t="s">
        <v>450</v>
      </c>
      <c r="CC1744" s="604">
        <v>6</v>
      </c>
      <c r="CD1744" s="604" t="s">
        <v>33</v>
      </c>
    </row>
    <row r="1745" spans="9:82">
      <c r="I1745" s="578" t="str">
        <f t="shared" si="169"/>
        <v>2016bwtUnknownPeri</v>
      </c>
      <c r="J1745" s="604">
        <v>2016</v>
      </c>
      <c r="K1745" s="604" t="s">
        <v>447</v>
      </c>
      <c r="L1745" s="604" t="s">
        <v>63</v>
      </c>
      <c r="M1745" s="604">
        <v>23</v>
      </c>
      <c r="N1745" s="604">
        <v>53</v>
      </c>
      <c r="O1745" s="604" t="s">
        <v>119</v>
      </c>
      <c r="P1745" s="604" t="s">
        <v>483</v>
      </c>
      <c r="Q1745" s="499"/>
      <c r="Y1745" s="535" t="str">
        <f t="shared" si="170"/>
        <v>2016depbwtQuin 4Totalinfant</v>
      </c>
      <c r="Z1745" s="604">
        <v>2016</v>
      </c>
      <c r="AA1745" s="604" t="s">
        <v>454</v>
      </c>
      <c r="AB1745" s="604" t="s">
        <v>447</v>
      </c>
      <c r="AC1745" s="604" t="s">
        <v>424</v>
      </c>
      <c r="AD1745" s="604" t="s">
        <v>44</v>
      </c>
      <c r="AE1745" s="604">
        <v>52</v>
      </c>
      <c r="AF1745" s="604">
        <v>13131</v>
      </c>
      <c r="AG1745" s="604">
        <v>4</v>
      </c>
      <c r="AH1745" s="604" t="s">
        <v>437</v>
      </c>
      <c r="BY1745" s="575" t="str">
        <f t="shared" si="168"/>
        <v>200737-41gestSUDI</v>
      </c>
      <c r="BZ1745" s="604">
        <v>2007</v>
      </c>
      <c r="CA1745" s="604" t="s">
        <v>137</v>
      </c>
      <c r="CB1745" s="604" t="s">
        <v>450</v>
      </c>
      <c r="CC1745" s="604">
        <v>49</v>
      </c>
      <c r="CD1745" s="604" t="s">
        <v>33</v>
      </c>
    </row>
    <row r="1746" spans="9:82">
      <c r="I1746" s="578" t="str">
        <f t="shared" si="169"/>
        <v>1996gest&lt;28Peri</v>
      </c>
      <c r="J1746" s="604">
        <v>1996</v>
      </c>
      <c r="K1746" s="604" t="s">
        <v>450</v>
      </c>
      <c r="L1746" s="604" t="s">
        <v>375</v>
      </c>
      <c r="M1746" s="604">
        <v>296</v>
      </c>
      <c r="N1746" s="604">
        <v>460</v>
      </c>
      <c r="O1746" s="604">
        <v>643.5</v>
      </c>
      <c r="P1746" s="604" t="s">
        <v>483</v>
      </c>
      <c r="Q1746" s="499"/>
      <c r="Y1746" s="535" t="str">
        <f t="shared" si="170"/>
        <v>2016depbwtQuin 5Totalinfant</v>
      </c>
      <c r="Z1746" s="604">
        <v>2016</v>
      </c>
      <c r="AA1746" s="604" t="s">
        <v>454</v>
      </c>
      <c r="AB1746" s="604" t="s">
        <v>447</v>
      </c>
      <c r="AC1746" s="604" t="s">
        <v>425</v>
      </c>
      <c r="AD1746" s="604" t="s">
        <v>44</v>
      </c>
      <c r="AE1746" s="604">
        <v>107</v>
      </c>
      <c r="AF1746" s="604">
        <v>16886</v>
      </c>
      <c r="AG1746" s="604">
        <v>6.3</v>
      </c>
      <c r="AH1746" s="604" t="s">
        <v>437</v>
      </c>
      <c r="BY1746" s="575" t="str">
        <f t="shared" si="168"/>
        <v>200742+gestSUDI</v>
      </c>
      <c r="BZ1746" s="604">
        <v>2007</v>
      </c>
      <c r="CA1746" s="604" t="s">
        <v>138</v>
      </c>
      <c r="CB1746" s="604" t="s">
        <v>450</v>
      </c>
      <c r="CC1746" s="604">
        <v>0</v>
      </c>
      <c r="CD1746" s="604" t="s">
        <v>33</v>
      </c>
    </row>
    <row r="1747" spans="9:82">
      <c r="I1747" s="578" t="str">
        <f t="shared" si="169"/>
        <v>1996gest28-31Peri</v>
      </c>
      <c r="J1747" s="604">
        <v>1996</v>
      </c>
      <c r="K1747" s="604" t="s">
        <v>450</v>
      </c>
      <c r="L1747" s="604" t="s">
        <v>395</v>
      </c>
      <c r="M1747" s="604">
        <v>58</v>
      </c>
      <c r="N1747" s="604">
        <v>506</v>
      </c>
      <c r="O1747" s="604">
        <v>114.6</v>
      </c>
      <c r="P1747" s="604" t="s">
        <v>483</v>
      </c>
      <c r="Q1747" s="499"/>
      <c r="Y1747" s="535" t="str">
        <f t="shared" si="170"/>
        <v>2016depbwtQuin 9Totalinfant</v>
      </c>
      <c r="Z1747" s="604">
        <v>2016</v>
      </c>
      <c r="AA1747" s="604" t="s">
        <v>454</v>
      </c>
      <c r="AB1747" s="604" t="s">
        <v>447</v>
      </c>
      <c r="AC1747" s="604" t="s">
        <v>426</v>
      </c>
      <c r="AD1747" s="604" t="s">
        <v>44</v>
      </c>
      <c r="AE1747" s="604">
        <v>2</v>
      </c>
      <c r="AF1747" s="604">
        <v>131</v>
      </c>
      <c r="AG1747" s="604" t="s">
        <v>119</v>
      </c>
      <c r="AH1747" s="604" t="s">
        <v>437</v>
      </c>
      <c r="BY1747" s="575" t="str">
        <f t="shared" si="168"/>
        <v>2007UnknowngestSUDI</v>
      </c>
      <c r="BZ1747" s="604">
        <v>2007</v>
      </c>
      <c r="CA1747" s="604" t="s">
        <v>63</v>
      </c>
      <c r="CB1747" s="604" t="s">
        <v>450</v>
      </c>
      <c r="CC1747" s="604">
        <v>5</v>
      </c>
      <c r="CD1747" s="604" t="s">
        <v>33</v>
      </c>
    </row>
    <row r="1748" spans="9:82">
      <c r="I1748" s="578" t="str">
        <f t="shared" si="169"/>
        <v>1996gest32-36Peri</v>
      </c>
      <c r="J1748" s="604">
        <v>1996</v>
      </c>
      <c r="K1748" s="604" t="s">
        <v>450</v>
      </c>
      <c r="L1748" s="604" t="s">
        <v>136</v>
      </c>
      <c r="M1748" s="604">
        <v>89</v>
      </c>
      <c r="N1748" s="604">
        <v>3333</v>
      </c>
      <c r="O1748" s="604">
        <v>26.7</v>
      </c>
      <c r="P1748" s="604" t="s">
        <v>483</v>
      </c>
      <c r="Q1748" s="499"/>
      <c r="Y1748" s="535" t="str">
        <f t="shared" si="170"/>
        <v>2016gestbwt&lt;28Totalinfant</v>
      </c>
      <c r="Z1748" s="604">
        <v>2016</v>
      </c>
      <c r="AA1748" s="604" t="s">
        <v>450</v>
      </c>
      <c r="AB1748" s="604" t="s">
        <v>447</v>
      </c>
      <c r="AC1748" s="604" t="s">
        <v>375</v>
      </c>
      <c r="AD1748" s="604" t="s">
        <v>44</v>
      </c>
      <c r="AE1748" s="604">
        <v>96</v>
      </c>
      <c r="AF1748" s="604">
        <v>260</v>
      </c>
      <c r="AG1748" s="604">
        <v>369.2</v>
      </c>
      <c r="AH1748" s="604" t="s">
        <v>437</v>
      </c>
      <c r="BY1748" s="575" t="str">
        <f t="shared" si="168"/>
        <v>2008&lt;28gestSUDI</v>
      </c>
      <c r="BZ1748" s="604">
        <v>2008</v>
      </c>
      <c r="CA1748" s="604" t="s">
        <v>375</v>
      </c>
      <c r="CB1748" s="604" t="s">
        <v>450</v>
      </c>
      <c r="CC1748" s="604">
        <v>1</v>
      </c>
      <c r="CD1748" s="604" t="s">
        <v>33</v>
      </c>
    </row>
    <row r="1749" spans="9:82">
      <c r="I1749" s="578" t="str">
        <f t="shared" si="169"/>
        <v>1996gest37-41Peri</v>
      </c>
      <c r="J1749" s="604">
        <v>1996</v>
      </c>
      <c r="K1749" s="604" t="s">
        <v>450</v>
      </c>
      <c r="L1749" s="604" t="s">
        <v>137</v>
      </c>
      <c r="M1749" s="604">
        <v>125</v>
      </c>
      <c r="N1749" s="604">
        <v>50761</v>
      </c>
      <c r="O1749" s="604">
        <v>2.5</v>
      </c>
      <c r="P1749" s="604" t="s">
        <v>483</v>
      </c>
      <c r="Q1749" s="499"/>
      <c r="Y1749" s="535" t="str">
        <f t="shared" si="170"/>
        <v>2016gestbwt28-31Totalinfant</v>
      </c>
      <c r="Z1749" s="604">
        <v>2016</v>
      </c>
      <c r="AA1749" s="604" t="s">
        <v>450</v>
      </c>
      <c r="AB1749" s="604" t="s">
        <v>447</v>
      </c>
      <c r="AC1749" s="604" t="s">
        <v>395</v>
      </c>
      <c r="AD1749" s="604" t="s">
        <v>44</v>
      </c>
      <c r="AE1749" s="604">
        <v>14</v>
      </c>
      <c r="AF1749" s="604">
        <v>417</v>
      </c>
      <c r="AG1749" s="604">
        <v>33.6</v>
      </c>
      <c r="AH1749" s="604" t="s">
        <v>437</v>
      </c>
      <c r="BY1749" s="575" t="str">
        <f t="shared" si="168"/>
        <v>200828-31gestSUDI</v>
      </c>
      <c r="BZ1749" s="604">
        <v>2008</v>
      </c>
      <c r="CA1749" s="604" t="s">
        <v>395</v>
      </c>
      <c r="CB1749" s="604" t="s">
        <v>450</v>
      </c>
      <c r="CC1749" s="604">
        <v>0</v>
      </c>
      <c r="CD1749" s="604" t="s">
        <v>33</v>
      </c>
    </row>
    <row r="1750" spans="9:82">
      <c r="I1750" s="578" t="str">
        <f t="shared" si="169"/>
        <v>1996gest42+Peri</v>
      </c>
      <c r="J1750" s="604">
        <v>1996</v>
      </c>
      <c r="K1750" s="604" t="s">
        <v>450</v>
      </c>
      <c r="L1750" s="604" t="s">
        <v>138</v>
      </c>
      <c r="M1750" s="604">
        <v>10</v>
      </c>
      <c r="N1750" s="604">
        <v>2688</v>
      </c>
      <c r="O1750" s="604">
        <v>3.7</v>
      </c>
      <c r="P1750" s="604" t="s">
        <v>483</v>
      </c>
      <c r="Q1750" s="499"/>
      <c r="Y1750" s="535" t="str">
        <f t="shared" si="170"/>
        <v>2016gestbwt32-36Totalinfant</v>
      </c>
      <c r="Z1750" s="604">
        <v>2016</v>
      </c>
      <c r="AA1750" s="604" t="s">
        <v>450</v>
      </c>
      <c r="AB1750" s="604" t="s">
        <v>447</v>
      </c>
      <c r="AC1750" s="604" t="s">
        <v>136</v>
      </c>
      <c r="AD1750" s="604" t="s">
        <v>44</v>
      </c>
      <c r="AE1750" s="604">
        <v>23</v>
      </c>
      <c r="AF1750" s="604">
        <v>3814</v>
      </c>
      <c r="AG1750" s="604">
        <v>6</v>
      </c>
      <c r="AH1750" s="604" t="s">
        <v>437</v>
      </c>
      <c r="BY1750" s="575" t="str">
        <f t="shared" si="168"/>
        <v>200832-36gestSUDI</v>
      </c>
      <c r="BZ1750" s="604">
        <v>2008</v>
      </c>
      <c r="CA1750" s="604" t="s">
        <v>136</v>
      </c>
      <c r="CB1750" s="604" t="s">
        <v>450</v>
      </c>
      <c r="CC1750" s="604">
        <v>12</v>
      </c>
      <c r="CD1750" s="604" t="s">
        <v>33</v>
      </c>
    </row>
    <row r="1751" spans="9:82">
      <c r="I1751" s="578" t="str">
        <f t="shared" si="169"/>
        <v>1996gestUnknownPeri</v>
      </c>
      <c r="J1751" s="604">
        <v>1996</v>
      </c>
      <c r="K1751" s="604" t="s">
        <v>450</v>
      </c>
      <c r="L1751" s="604" t="s">
        <v>63</v>
      </c>
      <c r="M1751" s="604">
        <v>4</v>
      </c>
      <c r="N1751" s="604">
        <v>95</v>
      </c>
      <c r="O1751" s="604" t="s">
        <v>119</v>
      </c>
      <c r="P1751" s="604" t="s">
        <v>483</v>
      </c>
      <c r="Q1751" s="499"/>
      <c r="Y1751" s="535" t="str">
        <f t="shared" si="170"/>
        <v>2016gestbwt37-41Totalinfant</v>
      </c>
      <c r="Z1751" s="604">
        <v>2016</v>
      </c>
      <c r="AA1751" s="604" t="s">
        <v>450</v>
      </c>
      <c r="AB1751" s="604" t="s">
        <v>447</v>
      </c>
      <c r="AC1751" s="604" t="s">
        <v>137</v>
      </c>
      <c r="AD1751" s="604" t="s">
        <v>44</v>
      </c>
      <c r="AE1751" s="604">
        <v>91</v>
      </c>
      <c r="AF1751" s="604">
        <v>54899</v>
      </c>
      <c r="AG1751" s="604">
        <v>1.7</v>
      </c>
      <c r="AH1751" s="604" t="s">
        <v>437</v>
      </c>
      <c r="BY1751" s="575" t="str">
        <f t="shared" si="168"/>
        <v>200837-41gestSUDI</v>
      </c>
      <c r="BZ1751" s="604">
        <v>2008</v>
      </c>
      <c r="CA1751" s="604" t="s">
        <v>137</v>
      </c>
      <c r="CB1751" s="604" t="s">
        <v>450</v>
      </c>
      <c r="CC1751" s="604">
        <v>46</v>
      </c>
      <c r="CD1751" s="604" t="s">
        <v>33</v>
      </c>
    </row>
    <row r="1752" spans="9:82">
      <c r="I1752" s="578" t="str">
        <f t="shared" si="169"/>
        <v>1997gest&lt;28Peri</v>
      </c>
      <c r="J1752" s="604">
        <v>1997</v>
      </c>
      <c r="K1752" s="604" t="s">
        <v>450</v>
      </c>
      <c r="L1752" s="604" t="s">
        <v>375</v>
      </c>
      <c r="M1752" s="604">
        <v>311</v>
      </c>
      <c r="N1752" s="604">
        <v>462</v>
      </c>
      <c r="O1752" s="604">
        <v>673.2</v>
      </c>
      <c r="P1752" s="604" t="s">
        <v>483</v>
      </c>
      <c r="Q1752" s="499"/>
      <c r="Y1752" s="535" t="str">
        <f t="shared" si="170"/>
        <v>2016gestbwt42+Totalinfant</v>
      </c>
      <c r="Z1752" s="604">
        <v>2016</v>
      </c>
      <c r="AA1752" s="604" t="s">
        <v>450</v>
      </c>
      <c r="AB1752" s="604" t="s">
        <v>447</v>
      </c>
      <c r="AC1752" s="604" t="s">
        <v>138</v>
      </c>
      <c r="AD1752" s="604" t="s">
        <v>44</v>
      </c>
      <c r="AE1752" s="604">
        <v>4</v>
      </c>
      <c r="AF1752" s="604">
        <v>1017</v>
      </c>
      <c r="AG1752" s="604">
        <v>3.9</v>
      </c>
      <c r="AH1752" s="604" t="s">
        <v>437</v>
      </c>
      <c r="BY1752" s="575" t="str">
        <f t="shared" si="168"/>
        <v>200842+gestSUDI</v>
      </c>
      <c r="BZ1752" s="604">
        <v>2008</v>
      </c>
      <c r="CA1752" s="604" t="s">
        <v>138</v>
      </c>
      <c r="CB1752" s="604" t="s">
        <v>450</v>
      </c>
      <c r="CC1752" s="604">
        <v>1</v>
      </c>
      <c r="CD1752" s="604" t="s">
        <v>33</v>
      </c>
    </row>
    <row r="1753" spans="9:82">
      <c r="I1753" s="578" t="str">
        <f t="shared" si="169"/>
        <v>1997gest28-31Peri</v>
      </c>
      <c r="J1753" s="604">
        <v>1997</v>
      </c>
      <c r="K1753" s="604" t="s">
        <v>450</v>
      </c>
      <c r="L1753" s="604" t="s">
        <v>395</v>
      </c>
      <c r="M1753" s="604">
        <v>58</v>
      </c>
      <c r="N1753" s="604">
        <v>481</v>
      </c>
      <c r="O1753" s="604">
        <v>120.6</v>
      </c>
      <c r="P1753" s="604" t="s">
        <v>483</v>
      </c>
      <c r="Q1753" s="499"/>
      <c r="Y1753" s="535" t="str">
        <f t="shared" si="170"/>
        <v>2016gestbwtUnknownTotalinfant</v>
      </c>
      <c r="Z1753" s="604">
        <v>2016</v>
      </c>
      <c r="AA1753" s="604" t="s">
        <v>450</v>
      </c>
      <c r="AB1753" s="604" t="s">
        <v>447</v>
      </c>
      <c r="AC1753" s="604" t="s">
        <v>63</v>
      </c>
      <c r="AD1753" s="604" t="s">
        <v>44</v>
      </c>
      <c r="AE1753" s="604">
        <v>13</v>
      </c>
      <c r="AF1753" s="604">
        <v>29</v>
      </c>
      <c r="AG1753" s="604" t="s">
        <v>119</v>
      </c>
      <c r="AH1753" s="604" t="s">
        <v>437</v>
      </c>
      <c r="BY1753" s="575" t="str">
        <f t="shared" si="168"/>
        <v>2008UnknowngestSUDI</v>
      </c>
      <c r="BZ1753" s="604">
        <v>2008</v>
      </c>
      <c r="CA1753" s="604" t="s">
        <v>63</v>
      </c>
      <c r="CB1753" s="604" t="s">
        <v>450</v>
      </c>
      <c r="CC1753" s="604">
        <v>6</v>
      </c>
      <c r="CD1753" s="604" t="s">
        <v>33</v>
      </c>
    </row>
    <row r="1754" spans="9:82">
      <c r="I1754" s="578" t="str">
        <f t="shared" si="169"/>
        <v>1997gest32-36Peri</v>
      </c>
      <c r="J1754" s="604">
        <v>1997</v>
      </c>
      <c r="K1754" s="604" t="s">
        <v>450</v>
      </c>
      <c r="L1754" s="604" t="s">
        <v>136</v>
      </c>
      <c r="M1754" s="604">
        <v>89</v>
      </c>
      <c r="N1754" s="604">
        <v>3387</v>
      </c>
      <c r="O1754" s="604">
        <v>26.3</v>
      </c>
      <c r="P1754" s="604" t="s">
        <v>483</v>
      </c>
      <c r="Q1754" s="499"/>
      <c r="Y1754" s="535" t="str">
        <f t="shared" si="170"/>
        <v>2016sexageFemaleUnknowninfant</v>
      </c>
      <c r="Z1754" s="604">
        <v>2016</v>
      </c>
      <c r="AA1754" s="604" t="s">
        <v>451</v>
      </c>
      <c r="AB1754" s="604" t="s">
        <v>453</v>
      </c>
      <c r="AC1754" s="604" t="s">
        <v>71</v>
      </c>
      <c r="AD1754" s="604" t="s">
        <v>63</v>
      </c>
      <c r="AE1754" s="604">
        <v>1</v>
      </c>
      <c r="AF1754" s="604">
        <v>0</v>
      </c>
      <c r="AG1754" s="604" t="s">
        <v>119</v>
      </c>
      <c r="AH1754" s="604" t="s">
        <v>437</v>
      </c>
      <c r="BY1754" s="575" t="str">
        <f t="shared" si="168"/>
        <v>2009&lt;28gestSUDI</v>
      </c>
      <c r="BZ1754" s="604">
        <v>2009</v>
      </c>
      <c r="CA1754" s="604" t="s">
        <v>375</v>
      </c>
      <c r="CB1754" s="604" t="s">
        <v>450</v>
      </c>
      <c r="CC1754" s="604">
        <v>0</v>
      </c>
      <c r="CD1754" s="604" t="s">
        <v>33</v>
      </c>
    </row>
    <row r="1755" spans="9:82">
      <c r="I1755" s="578" t="str">
        <f t="shared" si="169"/>
        <v>1997gest37-41Peri</v>
      </c>
      <c r="J1755" s="604">
        <v>1997</v>
      </c>
      <c r="K1755" s="604" t="s">
        <v>450</v>
      </c>
      <c r="L1755" s="604" t="s">
        <v>137</v>
      </c>
      <c r="M1755" s="604">
        <v>119</v>
      </c>
      <c r="N1755" s="604">
        <v>51192</v>
      </c>
      <c r="O1755" s="604">
        <v>2.2999999999999998</v>
      </c>
      <c r="P1755" s="604" t="s">
        <v>483</v>
      </c>
      <c r="Q1755" s="499"/>
      <c r="Y1755" s="535" t="str">
        <f t="shared" si="170"/>
        <v>2016ethagePacific peoplesUnknowninfant</v>
      </c>
      <c r="Z1755" s="604">
        <v>2016</v>
      </c>
      <c r="AA1755" s="604" t="s">
        <v>449</v>
      </c>
      <c r="AB1755" s="604" t="s">
        <v>453</v>
      </c>
      <c r="AC1755" s="604" t="s">
        <v>320</v>
      </c>
      <c r="AD1755" s="604" t="s">
        <v>63</v>
      </c>
      <c r="AE1755" s="604">
        <v>1</v>
      </c>
      <c r="AF1755" s="604">
        <v>0</v>
      </c>
      <c r="AG1755" s="604" t="s">
        <v>119</v>
      </c>
      <c r="AH1755" s="604" t="s">
        <v>437</v>
      </c>
      <c r="BY1755" s="575" t="str">
        <f t="shared" si="168"/>
        <v>200928-31gestSUDI</v>
      </c>
      <c r="BZ1755" s="604">
        <v>2009</v>
      </c>
      <c r="CA1755" s="604" t="s">
        <v>395</v>
      </c>
      <c r="CB1755" s="604" t="s">
        <v>450</v>
      </c>
      <c r="CC1755" s="604">
        <v>0</v>
      </c>
      <c r="CD1755" s="604" t="s">
        <v>33</v>
      </c>
    </row>
    <row r="1756" spans="9:82">
      <c r="I1756" s="578" t="str">
        <f t="shared" si="169"/>
        <v>1997gest42+Peri</v>
      </c>
      <c r="J1756" s="604">
        <v>1997</v>
      </c>
      <c r="K1756" s="604" t="s">
        <v>450</v>
      </c>
      <c r="L1756" s="604" t="s">
        <v>138</v>
      </c>
      <c r="M1756" s="604">
        <v>8</v>
      </c>
      <c r="N1756" s="604">
        <v>2574</v>
      </c>
      <c r="O1756" s="604">
        <v>3.1</v>
      </c>
      <c r="P1756" s="604" t="s">
        <v>483</v>
      </c>
      <c r="Q1756" s="499"/>
      <c r="Y1756" s="535" t="str">
        <f t="shared" si="170"/>
        <v>2016depageQuin 9Unknowninfant</v>
      </c>
      <c r="Z1756" s="604">
        <v>2016</v>
      </c>
      <c r="AA1756" s="604" t="s">
        <v>454</v>
      </c>
      <c r="AB1756" s="604" t="s">
        <v>453</v>
      </c>
      <c r="AC1756" s="604" t="s">
        <v>426</v>
      </c>
      <c r="AD1756" s="604" t="s">
        <v>63</v>
      </c>
      <c r="AE1756" s="604">
        <v>1</v>
      </c>
      <c r="AF1756" s="604">
        <v>0</v>
      </c>
      <c r="AG1756" s="604" t="s">
        <v>119</v>
      </c>
      <c r="AH1756" s="604" t="s">
        <v>437</v>
      </c>
      <c r="BY1756" s="575" t="str">
        <f t="shared" si="168"/>
        <v>200932-36gestSUDI</v>
      </c>
      <c r="BZ1756" s="604">
        <v>2009</v>
      </c>
      <c r="CA1756" s="604" t="s">
        <v>136</v>
      </c>
      <c r="CB1756" s="604" t="s">
        <v>450</v>
      </c>
      <c r="CC1756" s="604">
        <v>10</v>
      </c>
      <c r="CD1756" s="604" t="s">
        <v>33</v>
      </c>
    </row>
    <row r="1757" spans="9:82">
      <c r="I1757" s="578" t="str">
        <f t="shared" si="169"/>
        <v>1997gestUnknownPeri</v>
      </c>
      <c r="J1757" s="604">
        <v>1997</v>
      </c>
      <c r="K1757" s="604" t="s">
        <v>450</v>
      </c>
      <c r="L1757" s="604" t="s">
        <v>63</v>
      </c>
      <c r="M1757" s="604">
        <v>3</v>
      </c>
      <c r="N1757" s="604">
        <v>55</v>
      </c>
      <c r="O1757" s="604" t="s">
        <v>119</v>
      </c>
      <c r="P1757" s="604" t="s">
        <v>483</v>
      </c>
      <c r="Q1757" s="499"/>
      <c r="Y1757" s="535" t="str">
        <f t="shared" si="170"/>
        <v>2016gestageUnknownUnknowninfant</v>
      </c>
      <c r="Z1757" s="604">
        <v>2016</v>
      </c>
      <c r="AA1757" s="604" t="s">
        <v>450</v>
      </c>
      <c r="AB1757" s="604" t="s">
        <v>453</v>
      </c>
      <c r="AC1757" s="604" t="s">
        <v>63</v>
      </c>
      <c r="AD1757" s="604" t="s">
        <v>63</v>
      </c>
      <c r="AE1757" s="604">
        <v>1</v>
      </c>
      <c r="AF1757" s="604">
        <v>0</v>
      </c>
      <c r="AG1757" s="604" t="s">
        <v>119</v>
      </c>
      <c r="AH1757" s="604" t="s">
        <v>437</v>
      </c>
      <c r="BY1757" s="696" t="str">
        <f t="shared" si="168"/>
        <v>200937-41gestSUDI</v>
      </c>
      <c r="BZ1757" s="604">
        <v>2009</v>
      </c>
      <c r="CA1757" s="604" t="s">
        <v>137</v>
      </c>
      <c r="CB1757" s="604" t="s">
        <v>450</v>
      </c>
      <c r="CC1757" s="604">
        <v>49</v>
      </c>
      <c r="CD1757" s="604" t="s">
        <v>33</v>
      </c>
    </row>
    <row r="1758" spans="9:82">
      <c r="I1758" s="578" t="str">
        <f t="shared" si="169"/>
        <v>1998gest&lt;28Peri</v>
      </c>
      <c r="J1758" s="604">
        <v>1998</v>
      </c>
      <c r="K1758" s="604" t="s">
        <v>450</v>
      </c>
      <c r="L1758" s="604" t="s">
        <v>375</v>
      </c>
      <c r="M1758" s="604">
        <v>247</v>
      </c>
      <c r="N1758" s="604">
        <v>426</v>
      </c>
      <c r="O1758" s="604">
        <v>579.79999999999995</v>
      </c>
      <c r="P1758" s="604" t="s">
        <v>483</v>
      </c>
      <c r="Q1758" s="499"/>
      <c r="Y1758" s="535" t="str">
        <f t="shared" si="170"/>
        <v>2016bwtageUnknownUnknowninfant</v>
      </c>
      <c r="Z1758" s="604">
        <v>2016</v>
      </c>
      <c r="AA1758" s="604" t="s">
        <v>447</v>
      </c>
      <c r="AB1758" s="604" t="s">
        <v>453</v>
      </c>
      <c r="AC1758" s="604" t="s">
        <v>63</v>
      </c>
      <c r="AD1758" s="604" t="s">
        <v>63</v>
      </c>
      <c r="AE1758" s="604">
        <v>1</v>
      </c>
      <c r="AF1758" s="604">
        <v>0</v>
      </c>
      <c r="AG1758" s="604" t="s">
        <v>119</v>
      </c>
      <c r="AH1758" s="604" t="s">
        <v>437</v>
      </c>
      <c r="BY1758" s="696" t="str">
        <f t="shared" si="168"/>
        <v>200942+gestSUDI</v>
      </c>
      <c r="BZ1758" s="604">
        <v>2009</v>
      </c>
      <c r="CA1758" s="604" t="s">
        <v>138</v>
      </c>
      <c r="CB1758" s="604" t="s">
        <v>450</v>
      </c>
      <c r="CC1758" s="604">
        <v>1</v>
      </c>
      <c r="CD1758" s="604" t="s">
        <v>33</v>
      </c>
    </row>
    <row r="1759" spans="9:82">
      <c r="I1759" s="578" t="str">
        <f t="shared" si="169"/>
        <v>1998gest28-31Peri</v>
      </c>
      <c r="J1759" s="604">
        <v>1998</v>
      </c>
      <c r="K1759" s="604" t="s">
        <v>450</v>
      </c>
      <c r="L1759" s="604" t="s">
        <v>395</v>
      </c>
      <c r="M1759" s="604">
        <v>49</v>
      </c>
      <c r="N1759" s="604">
        <v>472</v>
      </c>
      <c r="O1759" s="604">
        <v>103.8</v>
      </c>
      <c r="P1759" s="604" t="s">
        <v>483</v>
      </c>
      <c r="Q1759" s="499"/>
      <c r="Y1759" s="535" t="str">
        <f t="shared" si="170"/>
        <v>2016agebwtUnknownUnknowninfant</v>
      </c>
      <c r="Z1759" s="604">
        <v>2016</v>
      </c>
      <c r="AA1759" s="604" t="s">
        <v>453</v>
      </c>
      <c r="AB1759" s="604" t="s">
        <v>447</v>
      </c>
      <c r="AC1759" s="604" t="s">
        <v>63</v>
      </c>
      <c r="AD1759" s="604" t="s">
        <v>63</v>
      </c>
      <c r="AE1759" s="604">
        <v>1</v>
      </c>
      <c r="AF1759" s="604">
        <v>0</v>
      </c>
      <c r="AG1759" s="604" t="s">
        <v>119</v>
      </c>
      <c r="AH1759" s="604" t="s">
        <v>437</v>
      </c>
      <c r="BY1759" s="696" t="str">
        <f t="shared" si="168"/>
        <v>2009UnknowngestSUDI</v>
      </c>
      <c r="BZ1759" s="604">
        <v>2009</v>
      </c>
      <c r="CA1759" s="604" t="s">
        <v>63</v>
      </c>
      <c r="CB1759" s="604" t="s">
        <v>450</v>
      </c>
      <c r="CC1759" s="604">
        <v>6</v>
      </c>
      <c r="CD1759" s="604" t="s">
        <v>33</v>
      </c>
    </row>
    <row r="1760" spans="9:82">
      <c r="I1760" s="578" t="str">
        <f t="shared" si="169"/>
        <v>1998gest32-36Peri</v>
      </c>
      <c r="J1760" s="604">
        <v>1998</v>
      </c>
      <c r="K1760" s="604" t="s">
        <v>450</v>
      </c>
      <c r="L1760" s="604" t="s">
        <v>136</v>
      </c>
      <c r="M1760" s="604">
        <v>74</v>
      </c>
      <c r="N1760" s="604">
        <v>3379</v>
      </c>
      <c r="O1760" s="604">
        <v>21.9</v>
      </c>
      <c r="P1760" s="604" t="s">
        <v>483</v>
      </c>
      <c r="Q1760" s="499"/>
      <c r="Y1760" s="535" t="str">
        <f t="shared" si="170"/>
        <v>2016gestbwtUnknown&lt;500infant</v>
      </c>
      <c r="Z1760" s="604">
        <v>2016</v>
      </c>
      <c r="AA1760" s="604" t="s">
        <v>450</v>
      </c>
      <c r="AB1760" s="604" t="s">
        <v>447</v>
      </c>
      <c r="AC1760" s="604" t="s">
        <v>63</v>
      </c>
      <c r="AD1760" s="604" t="s">
        <v>427</v>
      </c>
      <c r="AE1760" s="604">
        <v>1</v>
      </c>
      <c r="AF1760" s="604">
        <v>0</v>
      </c>
      <c r="AG1760" s="604" t="s">
        <v>119</v>
      </c>
      <c r="AH1760" s="604" t="s">
        <v>437</v>
      </c>
      <c r="BY1760" s="696" t="str">
        <f t="shared" si="168"/>
        <v>2010&lt;28gestSUDI</v>
      </c>
      <c r="BZ1760" s="604">
        <v>2010</v>
      </c>
      <c r="CA1760" s="604" t="s">
        <v>375</v>
      </c>
      <c r="CB1760" s="604" t="s">
        <v>450</v>
      </c>
      <c r="CC1760" s="604">
        <v>2</v>
      </c>
      <c r="CD1760" s="604" t="s">
        <v>33</v>
      </c>
    </row>
    <row r="1761" spans="9:82">
      <c r="I1761" s="578" t="str">
        <f t="shared" si="169"/>
        <v>1998gest37-41Peri</v>
      </c>
      <c r="J1761" s="604">
        <v>1998</v>
      </c>
      <c r="K1761" s="604" t="s">
        <v>450</v>
      </c>
      <c r="L1761" s="604" t="s">
        <v>137</v>
      </c>
      <c r="M1761" s="604">
        <v>100</v>
      </c>
      <c r="N1761" s="604">
        <v>51171</v>
      </c>
      <c r="O1761" s="604">
        <v>2</v>
      </c>
      <c r="P1761" s="604" t="s">
        <v>483</v>
      </c>
      <c r="Q1761" s="499"/>
      <c r="Y1761" s="535" t="str">
        <f t="shared" si="170"/>
        <v>2016gestbwtUnknown500-999infant</v>
      </c>
      <c r="Z1761" s="604">
        <v>2016</v>
      </c>
      <c r="AA1761" s="604" t="s">
        <v>450</v>
      </c>
      <c r="AB1761" s="604" t="s">
        <v>447</v>
      </c>
      <c r="AC1761" s="604" t="s">
        <v>63</v>
      </c>
      <c r="AD1761" s="604" t="s">
        <v>428</v>
      </c>
      <c r="AE1761" s="604">
        <v>1</v>
      </c>
      <c r="AF1761" s="604">
        <v>0</v>
      </c>
      <c r="AG1761" s="604" t="s">
        <v>119</v>
      </c>
      <c r="AH1761" s="604" t="s">
        <v>437</v>
      </c>
      <c r="BY1761" s="696" t="str">
        <f t="shared" si="168"/>
        <v>201028-31gestSUDI</v>
      </c>
      <c r="BZ1761" s="604">
        <v>2010</v>
      </c>
      <c r="CA1761" s="604" t="s">
        <v>395</v>
      </c>
      <c r="CB1761" s="604" t="s">
        <v>450</v>
      </c>
      <c r="CC1761" s="604">
        <v>1</v>
      </c>
      <c r="CD1761" s="604" t="s">
        <v>33</v>
      </c>
    </row>
    <row r="1762" spans="9:82">
      <c r="I1762" s="578" t="str">
        <f t="shared" si="169"/>
        <v>1998gest42+Peri</v>
      </c>
      <c r="J1762" s="604">
        <v>1998</v>
      </c>
      <c r="K1762" s="604" t="s">
        <v>450</v>
      </c>
      <c r="L1762" s="604" t="s">
        <v>138</v>
      </c>
      <c r="M1762" s="604">
        <v>8</v>
      </c>
      <c r="N1762" s="604">
        <v>2576</v>
      </c>
      <c r="O1762" s="604">
        <v>3.1</v>
      </c>
      <c r="P1762" s="604" t="s">
        <v>483</v>
      </c>
      <c r="Q1762" s="499"/>
      <c r="Y1762" s="535" t="str">
        <f t="shared" si="170"/>
        <v>2016agedepUnknownQuin 9infant</v>
      </c>
      <c r="Z1762" s="604">
        <v>2016</v>
      </c>
      <c r="AA1762" s="604" t="s">
        <v>453</v>
      </c>
      <c r="AB1762" s="604" t="s">
        <v>454</v>
      </c>
      <c r="AC1762" s="604" t="s">
        <v>63</v>
      </c>
      <c r="AD1762" s="604" t="s">
        <v>426</v>
      </c>
      <c r="AE1762" s="604">
        <v>1</v>
      </c>
      <c r="AF1762" s="604">
        <v>0</v>
      </c>
      <c r="AG1762" s="604" t="s">
        <v>119</v>
      </c>
      <c r="AH1762" s="604" t="s">
        <v>437</v>
      </c>
      <c r="BY1762" s="696" t="str">
        <f t="shared" si="168"/>
        <v>201032-36gestSUDI</v>
      </c>
      <c r="BZ1762" s="604">
        <v>2010</v>
      </c>
      <c r="CA1762" s="604" t="s">
        <v>136</v>
      </c>
      <c r="CB1762" s="604" t="s">
        <v>450</v>
      </c>
      <c r="CC1762" s="604">
        <v>8</v>
      </c>
      <c r="CD1762" s="604" t="s">
        <v>33</v>
      </c>
    </row>
    <row r="1763" spans="9:82">
      <c r="I1763" s="578" t="str">
        <f t="shared" si="169"/>
        <v>1998gestUnknownPeri</v>
      </c>
      <c r="J1763" s="604">
        <v>1998</v>
      </c>
      <c r="K1763" s="604" t="s">
        <v>450</v>
      </c>
      <c r="L1763" s="604" t="s">
        <v>63</v>
      </c>
      <c r="M1763" s="604">
        <v>6</v>
      </c>
      <c r="N1763" s="604">
        <v>58</v>
      </c>
      <c r="O1763" s="604" t="s">
        <v>119</v>
      </c>
      <c r="P1763" s="604" t="s">
        <v>483</v>
      </c>
      <c r="Q1763" s="499"/>
      <c r="Y1763" s="535" t="str">
        <f t="shared" si="170"/>
        <v>2016ageethUnknownPacific peoplesinfant</v>
      </c>
      <c r="Z1763" s="604">
        <v>2016</v>
      </c>
      <c r="AA1763" s="604" t="s">
        <v>453</v>
      </c>
      <c r="AB1763" s="604" t="s">
        <v>449</v>
      </c>
      <c r="AC1763" s="604" t="s">
        <v>63</v>
      </c>
      <c r="AD1763" s="604" t="s">
        <v>320</v>
      </c>
      <c r="AE1763" s="604">
        <v>1</v>
      </c>
      <c r="AF1763" s="604">
        <v>0</v>
      </c>
      <c r="AG1763" s="604" t="s">
        <v>119</v>
      </c>
      <c r="AH1763" s="604" t="s">
        <v>437</v>
      </c>
      <c r="BY1763" s="696" t="str">
        <f t="shared" si="168"/>
        <v>201037-41gestSUDI</v>
      </c>
      <c r="BZ1763" s="604">
        <v>2010</v>
      </c>
      <c r="CA1763" s="604" t="s">
        <v>137</v>
      </c>
      <c r="CB1763" s="604" t="s">
        <v>450</v>
      </c>
      <c r="CC1763" s="604">
        <v>43</v>
      </c>
      <c r="CD1763" s="604" t="s">
        <v>33</v>
      </c>
    </row>
    <row r="1764" spans="9:82">
      <c r="I1764" s="578" t="str">
        <f t="shared" si="169"/>
        <v>1999gest&lt;28Peri</v>
      </c>
      <c r="J1764" s="604">
        <v>1999</v>
      </c>
      <c r="K1764" s="604" t="s">
        <v>450</v>
      </c>
      <c r="L1764" s="604" t="s">
        <v>375</v>
      </c>
      <c r="M1764" s="604">
        <v>322</v>
      </c>
      <c r="N1764" s="604">
        <v>505</v>
      </c>
      <c r="O1764" s="604">
        <v>637.6</v>
      </c>
      <c r="P1764" s="604" t="s">
        <v>483</v>
      </c>
      <c r="Q1764" s="499"/>
      <c r="Y1764" s="535" t="str">
        <f t="shared" si="170"/>
        <v>2016agegestUnknownUnknowninfant</v>
      </c>
      <c r="Z1764" s="604">
        <v>2016</v>
      </c>
      <c r="AA1764" s="604" t="s">
        <v>453</v>
      </c>
      <c r="AB1764" s="604" t="s">
        <v>450</v>
      </c>
      <c r="AC1764" s="604" t="s">
        <v>63</v>
      </c>
      <c r="AD1764" s="604" t="s">
        <v>63</v>
      </c>
      <c r="AE1764" s="604">
        <v>1</v>
      </c>
      <c r="AF1764" s="604">
        <v>0</v>
      </c>
      <c r="AG1764" s="604" t="s">
        <v>119</v>
      </c>
      <c r="AH1764" s="604" t="s">
        <v>437</v>
      </c>
      <c r="BY1764" s="696" t="str">
        <f t="shared" si="168"/>
        <v>201042+gestSUDI</v>
      </c>
      <c r="BZ1764" s="604">
        <v>2010</v>
      </c>
      <c r="CA1764" s="604" t="s">
        <v>138</v>
      </c>
      <c r="CB1764" s="604" t="s">
        <v>450</v>
      </c>
      <c r="CC1764" s="604">
        <v>1</v>
      </c>
      <c r="CD1764" s="604" t="s">
        <v>33</v>
      </c>
    </row>
    <row r="1765" spans="9:82">
      <c r="I1765" s="578" t="str">
        <f t="shared" si="169"/>
        <v>1999gest28-31Peri</v>
      </c>
      <c r="J1765" s="604">
        <v>1999</v>
      </c>
      <c r="K1765" s="604" t="s">
        <v>450</v>
      </c>
      <c r="L1765" s="604" t="s">
        <v>395</v>
      </c>
      <c r="M1765" s="604">
        <v>62</v>
      </c>
      <c r="N1765" s="604">
        <v>506</v>
      </c>
      <c r="O1765" s="604">
        <v>122.5</v>
      </c>
      <c r="P1765" s="604" t="s">
        <v>483</v>
      </c>
      <c r="Q1765" s="499"/>
      <c r="Y1765" s="535" t="str">
        <f t="shared" si="170"/>
        <v>2016bwtgest&lt;500Unknowninfant</v>
      </c>
      <c r="Z1765" s="604">
        <v>2016</v>
      </c>
      <c r="AA1765" s="604" t="s">
        <v>447</v>
      </c>
      <c r="AB1765" s="604" t="s">
        <v>450</v>
      </c>
      <c r="AC1765" s="604" t="s">
        <v>427</v>
      </c>
      <c r="AD1765" s="604" t="s">
        <v>63</v>
      </c>
      <c r="AE1765" s="604">
        <v>1</v>
      </c>
      <c r="AF1765" s="604">
        <v>0</v>
      </c>
      <c r="AG1765" s="604" t="s">
        <v>119</v>
      </c>
      <c r="AH1765" s="604" t="s">
        <v>437</v>
      </c>
      <c r="BY1765" s="696" t="str">
        <f t="shared" si="168"/>
        <v>2010UnknowngestSUDI</v>
      </c>
      <c r="BZ1765" s="604">
        <v>2010</v>
      </c>
      <c r="CA1765" s="604" t="s">
        <v>63</v>
      </c>
      <c r="CB1765" s="604" t="s">
        <v>450</v>
      </c>
      <c r="CC1765" s="604">
        <v>5</v>
      </c>
      <c r="CD1765" s="604" t="s">
        <v>33</v>
      </c>
    </row>
    <row r="1766" spans="9:82">
      <c r="I1766" s="578" t="str">
        <f t="shared" si="169"/>
        <v>1999gest32-36Peri</v>
      </c>
      <c r="J1766" s="604">
        <v>1999</v>
      </c>
      <c r="K1766" s="604" t="s">
        <v>450</v>
      </c>
      <c r="L1766" s="604" t="s">
        <v>136</v>
      </c>
      <c r="M1766" s="604">
        <v>77</v>
      </c>
      <c r="N1766" s="604">
        <v>3613</v>
      </c>
      <c r="O1766" s="604">
        <v>21.3</v>
      </c>
      <c r="P1766" s="604" t="s">
        <v>483</v>
      </c>
      <c r="Q1766" s="499"/>
      <c r="Y1766" s="535" t="str">
        <f t="shared" si="170"/>
        <v>2016bwtgest500-999Unknowninfant</v>
      </c>
      <c r="Z1766" s="604">
        <v>2016</v>
      </c>
      <c r="AA1766" s="604" t="s">
        <v>447</v>
      </c>
      <c r="AB1766" s="604" t="s">
        <v>450</v>
      </c>
      <c r="AC1766" s="604" t="s">
        <v>428</v>
      </c>
      <c r="AD1766" s="604" t="s">
        <v>63</v>
      </c>
      <c r="AE1766" s="604">
        <v>1</v>
      </c>
      <c r="AF1766" s="604">
        <v>0</v>
      </c>
      <c r="AG1766" s="604" t="s">
        <v>119</v>
      </c>
      <c r="AH1766" s="604" t="s">
        <v>437</v>
      </c>
      <c r="BY1766" s="696" t="str">
        <f t="shared" ref="BY1766:BY1829" si="171">BZ1766&amp;CA1766&amp;CB1766&amp;CD1766</f>
        <v>2011&lt;28gestSUDI</v>
      </c>
      <c r="BZ1766" s="604">
        <v>2011</v>
      </c>
      <c r="CA1766" s="604" t="s">
        <v>375</v>
      </c>
      <c r="CB1766" s="604" t="s">
        <v>450</v>
      </c>
      <c r="CC1766" s="604">
        <v>0</v>
      </c>
      <c r="CD1766" s="604" t="s">
        <v>33</v>
      </c>
    </row>
    <row r="1767" spans="9:82">
      <c r="I1767" s="578" t="str">
        <f t="shared" si="169"/>
        <v>1999gest37-41Peri</v>
      </c>
      <c r="J1767" s="604">
        <v>1999</v>
      </c>
      <c r="K1767" s="604" t="s">
        <v>450</v>
      </c>
      <c r="L1767" s="604" t="s">
        <v>137</v>
      </c>
      <c r="M1767" s="604">
        <v>108</v>
      </c>
      <c r="N1767" s="604">
        <v>51022</v>
      </c>
      <c r="O1767" s="604">
        <v>2.1</v>
      </c>
      <c r="P1767" s="604" t="s">
        <v>483</v>
      </c>
      <c r="Q1767" s="499"/>
      <c r="Y1767" s="535" t="str">
        <f t="shared" si="170"/>
        <v>2016OverallageTotalUnknowninfant</v>
      </c>
      <c r="Z1767" s="604">
        <v>2016</v>
      </c>
      <c r="AA1767" s="604" t="s">
        <v>104</v>
      </c>
      <c r="AB1767" s="604" t="s">
        <v>453</v>
      </c>
      <c r="AC1767" s="604" t="s">
        <v>44</v>
      </c>
      <c r="AD1767" s="604" t="s">
        <v>63</v>
      </c>
      <c r="AE1767" s="604">
        <v>1</v>
      </c>
      <c r="AF1767" s="604">
        <v>0</v>
      </c>
      <c r="AG1767" s="604" t="s">
        <v>119</v>
      </c>
      <c r="AH1767" s="604" t="s">
        <v>437</v>
      </c>
      <c r="BY1767" s="696" t="str">
        <f t="shared" si="171"/>
        <v>201128-31gestSUDI</v>
      </c>
      <c r="BZ1767" s="604">
        <v>2011</v>
      </c>
      <c r="CA1767" s="604" t="s">
        <v>395</v>
      </c>
      <c r="CB1767" s="604" t="s">
        <v>450</v>
      </c>
      <c r="CC1767" s="604">
        <v>3</v>
      </c>
      <c r="CD1767" s="604" t="s">
        <v>33</v>
      </c>
    </row>
    <row r="1768" spans="9:82">
      <c r="I1768" s="578" t="str">
        <f t="shared" si="169"/>
        <v>1999gest42+Peri</v>
      </c>
      <c r="J1768" s="604">
        <v>1999</v>
      </c>
      <c r="K1768" s="604" t="s">
        <v>450</v>
      </c>
      <c r="L1768" s="604" t="s">
        <v>138</v>
      </c>
      <c r="M1768" s="604">
        <v>4</v>
      </c>
      <c r="N1768" s="604">
        <v>2159</v>
      </c>
      <c r="O1768" s="604">
        <v>1.9</v>
      </c>
      <c r="P1768" s="604" t="s">
        <v>483</v>
      </c>
      <c r="Q1768" s="499"/>
      <c r="Y1768" s="535" t="str">
        <f t="shared" si="170"/>
        <v>2016ageethUnknownTotalinfant</v>
      </c>
      <c r="Z1768" s="604">
        <v>2016</v>
      </c>
      <c r="AA1768" s="604" t="s">
        <v>453</v>
      </c>
      <c r="AB1768" s="604" t="s">
        <v>449</v>
      </c>
      <c r="AC1768" s="604" t="s">
        <v>63</v>
      </c>
      <c r="AD1768" s="604" t="s">
        <v>44</v>
      </c>
      <c r="AE1768" s="604">
        <v>1</v>
      </c>
      <c r="AF1768" s="604">
        <v>0</v>
      </c>
      <c r="AG1768" s="604" t="s">
        <v>119</v>
      </c>
      <c r="AH1768" s="604" t="s">
        <v>437</v>
      </c>
      <c r="BY1768" s="696" t="str">
        <f t="shared" si="171"/>
        <v>201132-36gestSUDI</v>
      </c>
      <c r="BZ1768" s="604">
        <v>2011</v>
      </c>
      <c r="CA1768" s="604" t="s">
        <v>136</v>
      </c>
      <c r="CB1768" s="604" t="s">
        <v>450</v>
      </c>
      <c r="CC1768" s="604">
        <v>9</v>
      </c>
      <c r="CD1768" s="604" t="s">
        <v>33</v>
      </c>
    </row>
    <row r="1769" spans="9:82">
      <c r="I1769" s="578" t="str">
        <f t="shared" si="169"/>
        <v>1999gestUnknownPeri</v>
      </c>
      <c r="J1769" s="604">
        <v>1999</v>
      </c>
      <c r="K1769" s="604" t="s">
        <v>450</v>
      </c>
      <c r="L1769" s="604" t="s">
        <v>63</v>
      </c>
      <c r="M1769" s="604">
        <v>9</v>
      </c>
      <c r="N1769" s="604">
        <v>42</v>
      </c>
      <c r="O1769" s="604" t="s">
        <v>119</v>
      </c>
      <c r="P1769" s="604" t="s">
        <v>483</v>
      </c>
      <c r="Q1769" s="499"/>
      <c r="Y1769" s="535" t="str">
        <f t="shared" si="170"/>
        <v>2016agedepUnknownTotalinfant</v>
      </c>
      <c r="Z1769" s="604">
        <v>2016</v>
      </c>
      <c r="AA1769" s="604" t="s">
        <v>453</v>
      </c>
      <c r="AB1769" s="604" t="s">
        <v>454</v>
      </c>
      <c r="AC1769" s="604" t="s">
        <v>63</v>
      </c>
      <c r="AD1769" s="604" t="s">
        <v>44</v>
      </c>
      <c r="AE1769" s="604">
        <v>1</v>
      </c>
      <c r="AF1769" s="604">
        <v>0</v>
      </c>
      <c r="AG1769" s="604" t="s">
        <v>119</v>
      </c>
      <c r="AH1769" s="604" t="s">
        <v>437</v>
      </c>
      <c r="BY1769" s="696" t="str">
        <f t="shared" si="171"/>
        <v>201137-41gestSUDI</v>
      </c>
      <c r="BZ1769" s="604">
        <v>2011</v>
      </c>
      <c r="CA1769" s="604" t="s">
        <v>137</v>
      </c>
      <c r="CB1769" s="604" t="s">
        <v>450</v>
      </c>
      <c r="CC1769" s="604">
        <v>37</v>
      </c>
      <c r="CD1769" s="604" t="s">
        <v>33</v>
      </c>
    </row>
    <row r="1770" spans="9:82">
      <c r="I1770" s="578" t="str">
        <f t="shared" si="169"/>
        <v>2000gest&lt;28Peri</v>
      </c>
      <c r="J1770" s="604">
        <v>2000</v>
      </c>
      <c r="K1770" s="604" t="s">
        <v>450</v>
      </c>
      <c r="L1770" s="604" t="s">
        <v>375</v>
      </c>
      <c r="M1770" s="604">
        <v>295</v>
      </c>
      <c r="N1770" s="604">
        <v>505</v>
      </c>
      <c r="O1770" s="604">
        <v>584.20000000000005</v>
      </c>
      <c r="P1770" s="604" t="s">
        <v>483</v>
      </c>
      <c r="Q1770" s="499"/>
      <c r="Y1770" s="535" t="str">
        <f t="shared" si="170"/>
        <v>2016agegestUnknownTotalinfant</v>
      </c>
      <c r="Z1770" s="604">
        <v>2016</v>
      </c>
      <c r="AA1770" s="604" t="s">
        <v>453</v>
      </c>
      <c r="AB1770" s="604" t="s">
        <v>450</v>
      </c>
      <c r="AC1770" s="604" t="s">
        <v>63</v>
      </c>
      <c r="AD1770" s="604" t="s">
        <v>44</v>
      </c>
      <c r="AE1770" s="604">
        <v>1</v>
      </c>
      <c r="AF1770" s="604">
        <v>0</v>
      </c>
      <c r="AG1770" s="604" t="s">
        <v>119</v>
      </c>
      <c r="AH1770" s="604" t="s">
        <v>437</v>
      </c>
      <c r="BY1770" s="696" t="str">
        <f t="shared" si="171"/>
        <v>201142+gestSUDI</v>
      </c>
      <c r="BZ1770" s="604">
        <v>2011</v>
      </c>
      <c r="CA1770" s="604" t="s">
        <v>138</v>
      </c>
      <c r="CB1770" s="604" t="s">
        <v>450</v>
      </c>
      <c r="CC1770" s="604">
        <v>1</v>
      </c>
      <c r="CD1770" s="604" t="s">
        <v>33</v>
      </c>
    </row>
    <row r="1771" spans="9:82">
      <c r="I1771" s="578" t="str">
        <f t="shared" si="169"/>
        <v>2000gest28-31Peri</v>
      </c>
      <c r="J1771" s="604">
        <v>2000</v>
      </c>
      <c r="K1771" s="604" t="s">
        <v>450</v>
      </c>
      <c r="L1771" s="604" t="s">
        <v>395</v>
      </c>
      <c r="M1771" s="604">
        <v>52</v>
      </c>
      <c r="N1771" s="604">
        <v>500</v>
      </c>
      <c r="O1771" s="604">
        <v>104</v>
      </c>
      <c r="P1771" s="604" t="s">
        <v>483</v>
      </c>
      <c r="Q1771" s="499"/>
      <c r="Y1771" s="535" t="str">
        <f t="shared" si="170"/>
        <v>2016agebwtUnknownTotalinfant</v>
      </c>
      <c r="Z1771" s="604">
        <v>2016</v>
      </c>
      <c r="AA1771" s="604" t="s">
        <v>453</v>
      </c>
      <c r="AB1771" s="604" t="s">
        <v>447</v>
      </c>
      <c r="AC1771" s="604" t="s">
        <v>63</v>
      </c>
      <c r="AD1771" s="604" t="s">
        <v>44</v>
      </c>
      <c r="AE1771" s="604">
        <v>1</v>
      </c>
      <c r="AF1771" s="604">
        <v>0</v>
      </c>
      <c r="AG1771" s="604" t="s">
        <v>119</v>
      </c>
      <c r="AH1771" s="604" t="s">
        <v>437</v>
      </c>
      <c r="BY1771" s="696" t="str">
        <f t="shared" si="171"/>
        <v>2011UnknowngestSUDI</v>
      </c>
      <c r="BZ1771" s="604">
        <v>2011</v>
      </c>
      <c r="CA1771" s="604" t="s">
        <v>63</v>
      </c>
      <c r="CB1771" s="604" t="s">
        <v>450</v>
      </c>
      <c r="CC1771" s="604">
        <v>4</v>
      </c>
      <c r="CD1771" s="604" t="s">
        <v>33</v>
      </c>
    </row>
    <row r="1772" spans="9:82">
      <c r="I1772" s="578" t="str">
        <f t="shared" si="169"/>
        <v>2000gest32-36Peri</v>
      </c>
      <c r="J1772" s="604">
        <v>2000</v>
      </c>
      <c r="K1772" s="604" t="s">
        <v>450</v>
      </c>
      <c r="L1772" s="604" t="s">
        <v>136</v>
      </c>
      <c r="M1772" s="604">
        <v>67</v>
      </c>
      <c r="N1772" s="604">
        <v>3514</v>
      </c>
      <c r="O1772" s="604">
        <v>19.100000000000001</v>
      </c>
      <c r="P1772" s="604" t="s">
        <v>483</v>
      </c>
      <c r="Q1772" s="499"/>
      <c r="Y1772" s="535" t="str">
        <f t="shared" si="170"/>
        <v/>
      </c>
      <c r="BY1772" s="696" t="str">
        <f t="shared" si="171"/>
        <v>2012&lt;28gestSUDI</v>
      </c>
      <c r="BZ1772" s="604">
        <v>2012</v>
      </c>
      <c r="CA1772" s="604" t="s">
        <v>375</v>
      </c>
      <c r="CB1772" s="604" t="s">
        <v>450</v>
      </c>
      <c r="CC1772" s="604">
        <v>0</v>
      </c>
      <c r="CD1772" s="604" t="s">
        <v>33</v>
      </c>
    </row>
    <row r="1773" spans="9:82">
      <c r="I1773" s="578" t="str">
        <f t="shared" si="169"/>
        <v>2000gest37-41Peri</v>
      </c>
      <c r="J1773" s="604">
        <v>2000</v>
      </c>
      <c r="K1773" s="604" t="s">
        <v>450</v>
      </c>
      <c r="L1773" s="604" t="s">
        <v>137</v>
      </c>
      <c r="M1773" s="604">
        <v>117</v>
      </c>
      <c r="N1773" s="604">
        <v>50943</v>
      </c>
      <c r="O1773" s="604">
        <v>2.2999999999999998</v>
      </c>
      <c r="P1773" s="604" t="s">
        <v>483</v>
      </c>
      <c r="Q1773" s="499"/>
      <c r="Y1773" s="535" t="str">
        <f t="shared" si="170"/>
        <v/>
      </c>
      <c r="BY1773" s="696" t="str">
        <f t="shared" si="171"/>
        <v>201228-31gestSUDI</v>
      </c>
      <c r="BZ1773" s="604">
        <v>2012</v>
      </c>
      <c r="CA1773" s="604" t="s">
        <v>395</v>
      </c>
      <c r="CB1773" s="604" t="s">
        <v>450</v>
      </c>
      <c r="CC1773" s="604">
        <v>0</v>
      </c>
      <c r="CD1773" s="604" t="s">
        <v>33</v>
      </c>
    </row>
    <row r="1774" spans="9:82">
      <c r="I1774" s="578" t="str">
        <f t="shared" si="169"/>
        <v>2000gest42+Peri</v>
      </c>
      <c r="J1774" s="604">
        <v>2000</v>
      </c>
      <c r="K1774" s="604" t="s">
        <v>450</v>
      </c>
      <c r="L1774" s="604" t="s">
        <v>138</v>
      </c>
      <c r="M1774" s="604">
        <v>4</v>
      </c>
      <c r="N1774" s="604">
        <v>1871</v>
      </c>
      <c r="O1774" s="604">
        <v>2.1</v>
      </c>
      <c r="P1774" s="604" t="s">
        <v>483</v>
      </c>
      <c r="Q1774" s="499"/>
      <c r="Y1774" s="535" t="str">
        <f t="shared" si="170"/>
        <v/>
      </c>
      <c r="BY1774" s="696" t="str">
        <f t="shared" si="171"/>
        <v>201232-36gestSUDI</v>
      </c>
      <c r="BZ1774" s="604">
        <v>2012</v>
      </c>
      <c r="CA1774" s="604" t="s">
        <v>136</v>
      </c>
      <c r="CB1774" s="604" t="s">
        <v>450</v>
      </c>
      <c r="CC1774" s="604">
        <v>7</v>
      </c>
      <c r="CD1774" s="604" t="s">
        <v>33</v>
      </c>
    </row>
    <row r="1775" spans="9:82">
      <c r="I1775" s="578" t="str">
        <f t="shared" si="169"/>
        <v>2000gestUnknownPeri</v>
      </c>
      <c r="J1775" s="604">
        <v>2000</v>
      </c>
      <c r="K1775" s="604" t="s">
        <v>450</v>
      </c>
      <c r="L1775" s="604" t="s">
        <v>63</v>
      </c>
      <c r="M1775" s="604">
        <v>8</v>
      </c>
      <c r="N1775" s="604">
        <v>30</v>
      </c>
      <c r="O1775" s="604" t="s">
        <v>119</v>
      </c>
      <c r="P1775" s="604" t="s">
        <v>483</v>
      </c>
      <c r="Q1775" s="499"/>
      <c r="Y1775" s="535" t="str">
        <f t="shared" si="170"/>
        <v/>
      </c>
      <c r="BY1775" s="696" t="str">
        <f t="shared" si="171"/>
        <v>201237-41gestSUDI</v>
      </c>
      <c r="BZ1775" s="604">
        <v>2012</v>
      </c>
      <c r="CA1775" s="604" t="s">
        <v>137</v>
      </c>
      <c r="CB1775" s="604" t="s">
        <v>450</v>
      </c>
      <c r="CC1775" s="604">
        <v>29</v>
      </c>
      <c r="CD1775" s="604" t="s">
        <v>33</v>
      </c>
    </row>
    <row r="1776" spans="9:82">
      <c r="I1776" s="578" t="str">
        <f t="shared" si="169"/>
        <v>2001gest&lt;28Peri</v>
      </c>
      <c r="J1776" s="604">
        <v>2001</v>
      </c>
      <c r="K1776" s="604" t="s">
        <v>450</v>
      </c>
      <c r="L1776" s="604" t="s">
        <v>375</v>
      </c>
      <c r="M1776" s="604">
        <v>284</v>
      </c>
      <c r="N1776" s="604">
        <v>447</v>
      </c>
      <c r="O1776" s="604">
        <v>635.29999999999995</v>
      </c>
      <c r="P1776" s="604" t="s">
        <v>483</v>
      </c>
      <c r="Q1776" s="499"/>
      <c r="Y1776" s="535" t="str">
        <f t="shared" si="170"/>
        <v/>
      </c>
      <c r="BY1776" s="696" t="str">
        <f t="shared" si="171"/>
        <v>201242+gestSUDI</v>
      </c>
      <c r="BZ1776" s="604">
        <v>2012</v>
      </c>
      <c r="CA1776" s="604" t="s">
        <v>138</v>
      </c>
      <c r="CB1776" s="604" t="s">
        <v>450</v>
      </c>
      <c r="CC1776" s="604">
        <v>0</v>
      </c>
      <c r="CD1776" s="604" t="s">
        <v>33</v>
      </c>
    </row>
    <row r="1777" spans="9:82">
      <c r="I1777" s="578" t="str">
        <f t="shared" si="169"/>
        <v>2001gest28-31Peri</v>
      </c>
      <c r="J1777" s="604">
        <v>2001</v>
      </c>
      <c r="K1777" s="604" t="s">
        <v>450</v>
      </c>
      <c r="L1777" s="604" t="s">
        <v>395</v>
      </c>
      <c r="M1777" s="604">
        <v>40</v>
      </c>
      <c r="N1777" s="604">
        <v>518</v>
      </c>
      <c r="O1777" s="604">
        <v>77.2</v>
      </c>
      <c r="P1777" s="604" t="s">
        <v>483</v>
      </c>
      <c r="Q1777" s="499"/>
      <c r="Y1777" s="535" t="str">
        <f t="shared" si="170"/>
        <v/>
      </c>
      <c r="BY1777" s="696" t="str">
        <f t="shared" si="171"/>
        <v>2012UnknowngestSUDI</v>
      </c>
      <c r="BZ1777" s="604">
        <v>2012</v>
      </c>
      <c r="CA1777" s="604" t="s">
        <v>63</v>
      </c>
      <c r="CB1777" s="604" t="s">
        <v>450</v>
      </c>
      <c r="CC1777" s="604">
        <v>1</v>
      </c>
      <c r="CD1777" s="604" t="s">
        <v>33</v>
      </c>
    </row>
    <row r="1778" spans="9:82">
      <c r="I1778" s="578" t="str">
        <f t="shared" si="169"/>
        <v>2001gest32-36Peri</v>
      </c>
      <c r="J1778" s="604">
        <v>2001</v>
      </c>
      <c r="K1778" s="604" t="s">
        <v>450</v>
      </c>
      <c r="L1778" s="604" t="s">
        <v>136</v>
      </c>
      <c r="M1778" s="604">
        <v>78</v>
      </c>
      <c r="N1778" s="604">
        <v>3524</v>
      </c>
      <c r="O1778" s="604">
        <v>22.1</v>
      </c>
      <c r="P1778" s="604" t="s">
        <v>483</v>
      </c>
      <c r="Q1778" s="499"/>
      <c r="Y1778" s="535" t="str">
        <f t="shared" si="170"/>
        <v/>
      </c>
      <c r="BY1778" s="696" t="str">
        <f t="shared" si="171"/>
        <v>2013&lt;28gestSUDI</v>
      </c>
      <c r="BZ1778" s="604">
        <v>2013</v>
      </c>
      <c r="CA1778" s="604" t="s">
        <v>375</v>
      </c>
      <c r="CB1778" s="604" t="s">
        <v>450</v>
      </c>
      <c r="CC1778" s="604">
        <v>0</v>
      </c>
      <c r="CD1778" s="604" t="s">
        <v>33</v>
      </c>
    </row>
    <row r="1779" spans="9:82">
      <c r="I1779" s="578" t="str">
        <f t="shared" si="169"/>
        <v>2001gest37-41Peri</v>
      </c>
      <c r="J1779" s="604">
        <v>2001</v>
      </c>
      <c r="K1779" s="604" t="s">
        <v>450</v>
      </c>
      <c r="L1779" s="604" t="s">
        <v>137</v>
      </c>
      <c r="M1779" s="604">
        <v>121</v>
      </c>
      <c r="N1779" s="604">
        <v>50325</v>
      </c>
      <c r="O1779" s="604">
        <v>2.4</v>
      </c>
      <c r="P1779" s="604" t="s">
        <v>483</v>
      </c>
      <c r="Q1779" s="499"/>
      <c r="Y1779" s="535" t="str">
        <f t="shared" si="170"/>
        <v/>
      </c>
      <c r="BY1779" s="696" t="str">
        <f t="shared" si="171"/>
        <v>201328-31gestSUDI</v>
      </c>
      <c r="BZ1779" s="604">
        <v>2013</v>
      </c>
      <c r="CA1779" s="604" t="s">
        <v>395</v>
      </c>
      <c r="CB1779" s="604" t="s">
        <v>450</v>
      </c>
      <c r="CC1779" s="604">
        <v>1</v>
      </c>
      <c r="CD1779" s="604" t="s">
        <v>33</v>
      </c>
    </row>
    <row r="1780" spans="9:82">
      <c r="I1780" s="578" t="str">
        <f t="shared" si="169"/>
        <v>2001gest42+Peri</v>
      </c>
      <c r="J1780" s="604">
        <v>2001</v>
      </c>
      <c r="K1780" s="604" t="s">
        <v>450</v>
      </c>
      <c r="L1780" s="604" t="s">
        <v>138</v>
      </c>
      <c r="M1780" s="604">
        <v>4</v>
      </c>
      <c r="N1780" s="604">
        <v>1740</v>
      </c>
      <c r="O1780" s="604">
        <v>2.2999999999999998</v>
      </c>
      <c r="P1780" s="604" t="s">
        <v>483</v>
      </c>
      <c r="Q1780" s="499"/>
      <c r="Y1780" s="535" t="str">
        <f t="shared" si="170"/>
        <v/>
      </c>
      <c r="BY1780" s="696" t="str">
        <f t="shared" si="171"/>
        <v>201332-36gestSUDI</v>
      </c>
      <c r="BZ1780" s="604">
        <v>2013</v>
      </c>
      <c r="CA1780" s="604" t="s">
        <v>136</v>
      </c>
      <c r="CB1780" s="604" t="s">
        <v>450</v>
      </c>
      <c r="CC1780" s="604">
        <v>9</v>
      </c>
      <c r="CD1780" s="604" t="s">
        <v>33</v>
      </c>
    </row>
    <row r="1781" spans="9:82">
      <c r="I1781" s="578" t="str">
        <f t="shared" si="169"/>
        <v>2001gestUnknownPeri</v>
      </c>
      <c r="J1781" s="604">
        <v>2001</v>
      </c>
      <c r="K1781" s="604" t="s">
        <v>450</v>
      </c>
      <c r="L1781" s="604" t="s">
        <v>63</v>
      </c>
      <c r="M1781" s="604">
        <v>2</v>
      </c>
      <c r="N1781" s="604">
        <v>56</v>
      </c>
      <c r="O1781" s="604" t="s">
        <v>119</v>
      </c>
      <c r="P1781" s="604" t="s">
        <v>483</v>
      </c>
      <c r="Q1781" s="499"/>
      <c r="Y1781" s="535" t="str">
        <f t="shared" si="170"/>
        <v/>
      </c>
      <c r="BY1781" s="696" t="str">
        <f t="shared" si="171"/>
        <v>201337-41gestSUDI</v>
      </c>
      <c r="BZ1781" s="604">
        <v>2013</v>
      </c>
      <c r="CA1781" s="604" t="s">
        <v>137</v>
      </c>
      <c r="CB1781" s="604" t="s">
        <v>450</v>
      </c>
      <c r="CC1781" s="604">
        <v>27</v>
      </c>
      <c r="CD1781" s="604" t="s">
        <v>33</v>
      </c>
    </row>
    <row r="1782" spans="9:82">
      <c r="I1782" s="578" t="str">
        <f t="shared" si="169"/>
        <v>2002gest&lt;28Peri</v>
      </c>
      <c r="J1782" s="604">
        <v>2002</v>
      </c>
      <c r="K1782" s="604" t="s">
        <v>450</v>
      </c>
      <c r="L1782" s="604" t="s">
        <v>375</v>
      </c>
      <c r="M1782" s="604">
        <v>338</v>
      </c>
      <c r="N1782" s="604">
        <v>547</v>
      </c>
      <c r="O1782" s="604">
        <v>617.9</v>
      </c>
      <c r="P1782" s="604" t="s">
        <v>483</v>
      </c>
      <c r="Q1782" s="499"/>
      <c r="Y1782" s="535" t="str">
        <f t="shared" si="170"/>
        <v/>
      </c>
      <c r="BY1782" s="696" t="str">
        <f t="shared" si="171"/>
        <v>201342+gestSUDI</v>
      </c>
      <c r="BZ1782" s="604">
        <v>2013</v>
      </c>
      <c r="CA1782" s="604" t="s">
        <v>138</v>
      </c>
      <c r="CB1782" s="604" t="s">
        <v>450</v>
      </c>
      <c r="CC1782" s="604">
        <v>0</v>
      </c>
      <c r="CD1782" s="604" t="s">
        <v>33</v>
      </c>
    </row>
    <row r="1783" spans="9:82">
      <c r="I1783" s="578" t="str">
        <f t="shared" si="169"/>
        <v>2002gest28-31Peri</v>
      </c>
      <c r="J1783" s="604">
        <v>2002</v>
      </c>
      <c r="K1783" s="604" t="s">
        <v>450</v>
      </c>
      <c r="L1783" s="604" t="s">
        <v>395</v>
      </c>
      <c r="M1783" s="604">
        <v>40</v>
      </c>
      <c r="N1783" s="604">
        <v>463</v>
      </c>
      <c r="O1783" s="604">
        <v>86.4</v>
      </c>
      <c r="P1783" s="604" t="s">
        <v>483</v>
      </c>
      <c r="Q1783" s="499"/>
      <c r="Y1783" s="535" t="str">
        <f t="shared" si="170"/>
        <v/>
      </c>
      <c r="BY1783" s="696" t="str">
        <f t="shared" si="171"/>
        <v>2013UnknowngestSUDI</v>
      </c>
      <c r="BZ1783" s="604">
        <v>2013</v>
      </c>
      <c r="CA1783" s="604" t="s">
        <v>63</v>
      </c>
      <c r="CB1783" s="604" t="s">
        <v>450</v>
      </c>
      <c r="CC1783" s="604">
        <v>4</v>
      </c>
      <c r="CD1783" s="604" t="s">
        <v>33</v>
      </c>
    </row>
    <row r="1784" spans="9:82">
      <c r="I1784" s="578" t="str">
        <f t="shared" si="169"/>
        <v>2002gest32-36Peri</v>
      </c>
      <c r="J1784" s="604">
        <v>2002</v>
      </c>
      <c r="K1784" s="604" t="s">
        <v>450</v>
      </c>
      <c r="L1784" s="604" t="s">
        <v>136</v>
      </c>
      <c r="M1784" s="604">
        <v>61</v>
      </c>
      <c r="N1784" s="604">
        <v>3358</v>
      </c>
      <c r="O1784" s="604">
        <v>18.2</v>
      </c>
      <c r="P1784" s="604" t="s">
        <v>483</v>
      </c>
      <c r="Q1784" s="499"/>
      <c r="Y1784" s="535" t="str">
        <f t="shared" si="170"/>
        <v/>
      </c>
      <c r="BY1784" s="696" t="str">
        <f t="shared" si="171"/>
        <v>2014&lt;28gestSUDI</v>
      </c>
      <c r="BZ1784" s="604">
        <v>2014</v>
      </c>
      <c r="CA1784" s="604" t="s">
        <v>375</v>
      </c>
      <c r="CB1784" s="604" t="s">
        <v>450</v>
      </c>
      <c r="CC1784" s="604">
        <v>0</v>
      </c>
      <c r="CD1784" s="604" t="s">
        <v>33</v>
      </c>
    </row>
    <row r="1785" spans="9:82">
      <c r="I1785" s="578" t="str">
        <f t="shared" si="169"/>
        <v>2002gest37-41Peri</v>
      </c>
      <c r="J1785" s="604">
        <v>2002</v>
      </c>
      <c r="K1785" s="604" t="s">
        <v>450</v>
      </c>
      <c r="L1785" s="604" t="s">
        <v>137</v>
      </c>
      <c r="M1785" s="604">
        <v>122</v>
      </c>
      <c r="N1785" s="604">
        <v>48862</v>
      </c>
      <c r="O1785" s="604">
        <v>2.5</v>
      </c>
      <c r="P1785" s="604" t="s">
        <v>483</v>
      </c>
      <c r="Q1785" s="499"/>
      <c r="Y1785" s="535" t="str">
        <f t="shared" si="170"/>
        <v/>
      </c>
      <c r="BY1785" s="696" t="str">
        <f t="shared" si="171"/>
        <v>201428-31gestSUDI</v>
      </c>
      <c r="BZ1785" s="604">
        <v>2014</v>
      </c>
      <c r="CA1785" s="604" t="s">
        <v>395</v>
      </c>
      <c r="CB1785" s="604" t="s">
        <v>450</v>
      </c>
      <c r="CC1785" s="604">
        <v>0</v>
      </c>
      <c r="CD1785" s="604" t="s">
        <v>33</v>
      </c>
    </row>
    <row r="1786" spans="9:82">
      <c r="I1786" s="578" t="str">
        <f t="shared" si="169"/>
        <v>2002gest42+Peri</v>
      </c>
      <c r="J1786" s="604">
        <v>2002</v>
      </c>
      <c r="K1786" s="604" t="s">
        <v>450</v>
      </c>
      <c r="L1786" s="604" t="s">
        <v>138</v>
      </c>
      <c r="M1786" s="604">
        <v>9</v>
      </c>
      <c r="N1786" s="604">
        <v>1610</v>
      </c>
      <c r="O1786" s="604">
        <v>5.6</v>
      </c>
      <c r="P1786" s="604" t="s">
        <v>483</v>
      </c>
      <c r="Q1786" s="499"/>
      <c r="Y1786" s="535" t="str">
        <f t="shared" si="170"/>
        <v/>
      </c>
      <c r="BY1786" s="696" t="str">
        <f t="shared" si="171"/>
        <v>201432-36gestSUDI</v>
      </c>
      <c r="BZ1786" s="604">
        <v>2014</v>
      </c>
      <c r="CA1786" s="604" t="s">
        <v>136</v>
      </c>
      <c r="CB1786" s="604" t="s">
        <v>450</v>
      </c>
      <c r="CC1786" s="604">
        <v>10</v>
      </c>
      <c r="CD1786" s="604" t="s">
        <v>33</v>
      </c>
    </row>
    <row r="1787" spans="9:82">
      <c r="I1787" s="578" t="str">
        <f t="shared" si="169"/>
        <v>2002gestUnknownPeri</v>
      </c>
      <c r="J1787" s="604">
        <v>2002</v>
      </c>
      <c r="K1787" s="604" t="s">
        <v>450</v>
      </c>
      <c r="L1787" s="604" t="s">
        <v>63</v>
      </c>
      <c r="M1787" s="604">
        <v>5</v>
      </c>
      <c r="N1787" s="604">
        <v>65</v>
      </c>
      <c r="O1787" s="604" t="s">
        <v>119</v>
      </c>
      <c r="P1787" s="604" t="s">
        <v>483</v>
      </c>
      <c r="Q1787" s="499"/>
      <c r="Y1787" s="535" t="str">
        <f t="shared" si="170"/>
        <v/>
      </c>
      <c r="BY1787" s="696" t="str">
        <f t="shared" si="171"/>
        <v>201437-41gestSUDI</v>
      </c>
      <c r="BZ1787" s="604">
        <v>2014</v>
      </c>
      <c r="CA1787" s="604" t="s">
        <v>137</v>
      </c>
      <c r="CB1787" s="604" t="s">
        <v>450</v>
      </c>
      <c r="CC1787" s="604">
        <v>33</v>
      </c>
      <c r="CD1787" s="604" t="s">
        <v>33</v>
      </c>
    </row>
    <row r="1788" spans="9:82">
      <c r="I1788" s="578" t="str">
        <f t="shared" si="169"/>
        <v>2003gest&lt;28Peri</v>
      </c>
      <c r="J1788" s="604">
        <v>2003</v>
      </c>
      <c r="K1788" s="604" t="s">
        <v>450</v>
      </c>
      <c r="L1788" s="604" t="s">
        <v>375</v>
      </c>
      <c r="M1788" s="604">
        <v>286</v>
      </c>
      <c r="N1788" s="604">
        <v>493</v>
      </c>
      <c r="O1788" s="604">
        <v>580.1</v>
      </c>
      <c r="P1788" s="604" t="s">
        <v>483</v>
      </c>
      <c r="Q1788" s="499"/>
      <c r="Y1788" s="535" t="str">
        <f t="shared" si="170"/>
        <v/>
      </c>
      <c r="BY1788" s="696" t="str">
        <f t="shared" si="171"/>
        <v>201442+gestSUDI</v>
      </c>
      <c r="BZ1788" s="604">
        <v>2014</v>
      </c>
      <c r="CA1788" s="604" t="s">
        <v>138</v>
      </c>
      <c r="CB1788" s="604" t="s">
        <v>450</v>
      </c>
      <c r="CC1788" s="604">
        <v>0</v>
      </c>
      <c r="CD1788" s="604" t="s">
        <v>33</v>
      </c>
    </row>
    <row r="1789" spans="9:82">
      <c r="I1789" s="578" t="str">
        <f t="shared" si="169"/>
        <v>2003gest28-31Peri</v>
      </c>
      <c r="J1789" s="604">
        <v>2003</v>
      </c>
      <c r="K1789" s="604" t="s">
        <v>450</v>
      </c>
      <c r="L1789" s="604" t="s">
        <v>395</v>
      </c>
      <c r="M1789" s="604">
        <v>58</v>
      </c>
      <c r="N1789" s="604">
        <v>544</v>
      </c>
      <c r="O1789" s="604">
        <v>106.6</v>
      </c>
      <c r="P1789" s="604" t="s">
        <v>483</v>
      </c>
      <c r="Q1789" s="499"/>
      <c r="Y1789" s="535" t="str">
        <f t="shared" si="170"/>
        <v/>
      </c>
      <c r="BY1789" s="696" t="str">
        <f t="shared" si="171"/>
        <v>2014UnknowngestSUDI</v>
      </c>
      <c r="BZ1789" s="604">
        <v>2014</v>
      </c>
      <c r="CA1789" s="604" t="s">
        <v>63</v>
      </c>
      <c r="CB1789" s="604" t="s">
        <v>450</v>
      </c>
      <c r="CC1789" s="604">
        <v>2</v>
      </c>
      <c r="CD1789" s="604" t="s">
        <v>33</v>
      </c>
    </row>
    <row r="1790" spans="9:82">
      <c r="I1790" s="578" t="str">
        <f t="shared" si="169"/>
        <v>2003gest32-36Peri</v>
      </c>
      <c r="J1790" s="604">
        <v>2003</v>
      </c>
      <c r="K1790" s="604" t="s">
        <v>450</v>
      </c>
      <c r="L1790" s="604" t="s">
        <v>136</v>
      </c>
      <c r="M1790" s="604">
        <v>85</v>
      </c>
      <c r="N1790" s="604">
        <v>3423</v>
      </c>
      <c r="O1790" s="604">
        <v>24.8</v>
      </c>
      <c r="P1790" s="604" t="s">
        <v>483</v>
      </c>
      <c r="Q1790" s="499"/>
      <c r="Y1790" s="535" t="str">
        <f t="shared" si="170"/>
        <v/>
      </c>
      <c r="BY1790" s="696" t="str">
        <f t="shared" si="171"/>
        <v>2015&lt;28gestSUDI</v>
      </c>
      <c r="BZ1790" s="604">
        <v>2015</v>
      </c>
      <c r="CA1790" s="604" t="s">
        <v>375</v>
      </c>
      <c r="CB1790" s="604" t="s">
        <v>450</v>
      </c>
      <c r="CC1790" s="604">
        <v>0</v>
      </c>
      <c r="CD1790" s="604" t="s">
        <v>33</v>
      </c>
    </row>
    <row r="1791" spans="9:82">
      <c r="I1791" s="578" t="str">
        <f t="shared" si="169"/>
        <v>2003gest37-41Peri</v>
      </c>
      <c r="J1791" s="604">
        <v>2003</v>
      </c>
      <c r="K1791" s="604" t="s">
        <v>450</v>
      </c>
      <c r="L1791" s="604" t="s">
        <v>137</v>
      </c>
      <c r="M1791" s="604">
        <v>99</v>
      </c>
      <c r="N1791" s="604">
        <v>50901</v>
      </c>
      <c r="O1791" s="604">
        <v>1.9</v>
      </c>
      <c r="P1791" s="604" t="s">
        <v>483</v>
      </c>
      <c r="Q1791" s="499"/>
      <c r="Y1791" s="535" t="str">
        <f t="shared" si="170"/>
        <v/>
      </c>
      <c r="BY1791" s="696" t="str">
        <f t="shared" si="171"/>
        <v>201528-31gestSUDI</v>
      </c>
      <c r="BZ1791" s="604">
        <v>2015</v>
      </c>
      <c r="CA1791" s="604" t="s">
        <v>395</v>
      </c>
      <c r="CB1791" s="604" t="s">
        <v>450</v>
      </c>
      <c r="CC1791" s="604">
        <v>1</v>
      </c>
      <c r="CD1791" s="604" t="s">
        <v>33</v>
      </c>
    </row>
    <row r="1792" spans="9:82">
      <c r="I1792" s="578" t="str">
        <f t="shared" si="169"/>
        <v>2003gest42+Peri</v>
      </c>
      <c r="J1792" s="604">
        <v>2003</v>
      </c>
      <c r="K1792" s="604" t="s">
        <v>450</v>
      </c>
      <c r="L1792" s="604" t="s">
        <v>138</v>
      </c>
      <c r="M1792" s="604">
        <v>4</v>
      </c>
      <c r="N1792" s="604">
        <v>1580</v>
      </c>
      <c r="O1792" s="604">
        <v>2.5</v>
      </c>
      <c r="P1792" s="604" t="s">
        <v>483</v>
      </c>
      <c r="Q1792" s="499"/>
      <c r="Y1792" s="535" t="str">
        <f t="shared" si="170"/>
        <v/>
      </c>
      <c r="BY1792" s="696" t="str">
        <f t="shared" si="171"/>
        <v>201532-36gestSUDI</v>
      </c>
      <c r="BZ1792" s="604">
        <v>2015</v>
      </c>
      <c r="CA1792" s="604" t="s">
        <v>136</v>
      </c>
      <c r="CB1792" s="604" t="s">
        <v>450</v>
      </c>
      <c r="CC1792" s="604">
        <v>4</v>
      </c>
      <c r="CD1792" s="604" t="s">
        <v>33</v>
      </c>
    </row>
    <row r="1793" spans="9:82">
      <c r="I1793" s="578" t="str">
        <f t="shared" si="169"/>
        <v>2003gestUnknownPeri</v>
      </c>
      <c r="J1793" s="604">
        <v>2003</v>
      </c>
      <c r="K1793" s="604" t="s">
        <v>450</v>
      </c>
      <c r="L1793" s="604" t="s">
        <v>63</v>
      </c>
      <c r="M1793" s="604">
        <v>2</v>
      </c>
      <c r="N1793" s="604">
        <v>28</v>
      </c>
      <c r="O1793" s="604" t="s">
        <v>119</v>
      </c>
      <c r="P1793" s="604" t="s">
        <v>483</v>
      </c>
      <c r="Q1793" s="499"/>
      <c r="Y1793" s="535" t="str">
        <f t="shared" si="170"/>
        <v/>
      </c>
      <c r="BY1793" s="696" t="str">
        <f t="shared" si="171"/>
        <v>201537-41gestSUDI</v>
      </c>
      <c r="BZ1793" s="604">
        <v>2015</v>
      </c>
      <c r="CA1793" s="604" t="s">
        <v>137</v>
      </c>
      <c r="CB1793" s="604" t="s">
        <v>450</v>
      </c>
      <c r="CC1793" s="604">
        <v>32</v>
      </c>
      <c r="CD1793" s="604" t="s">
        <v>33</v>
      </c>
    </row>
    <row r="1794" spans="9:82">
      <c r="I1794" s="578" t="str">
        <f t="shared" si="169"/>
        <v>2004gest&lt;28Peri</v>
      </c>
      <c r="J1794" s="604">
        <v>2004</v>
      </c>
      <c r="K1794" s="604" t="s">
        <v>450</v>
      </c>
      <c r="L1794" s="604" t="s">
        <v>375</v>
      </c>
      <c r="M1794" s="604">
        <v>381</v>
      </c>
      <c r="N1794" s="604">
        <v>579</v>
      </c>
      <c r="O1794" s="604">
        <v>658</v>
      </c>
      <c r="P1794" s="604" t="s">
        <v>483</v>
      </c>
      <c r="Q1794" s="499"/>
      <c r="Y1794" s="535" t="str">
        <f t="shared" si="170"/>
        <v/>
      </c>
      <c r="BY1794" s="696" t="str">
        <f t="shared" si="171"/>
        <v>201542+gestSUDI</v>
      </c>
      <c r="BZ1794" s="604">
        <v>2015</v>
      </c>
      <c r="CA1794" s="604" t="s">
        <v>138</v>
      </c>
      <c r="CB1794" s="604" t="s">
        <v>450</v>
      </c>
      <c r="CC1794" s="604">
        <v>1</v>
      </c>
      <c r="CD1794" s="604" t="s">
        <v>33</v>
      </c>
    </row>
    <row r="1795" spans="9:82">
      <c r="I1795" s="578" t="str">
        <f t="shared" si="169"/>
        <v>2004gest28-31Peri</v>
      </c>
      <c r="J1795" s="604">
        <v>2004</v>
      </c>
      <c r="K1795" s="604" t="s">
        <v>450</v>
      </c>
      <c r="L1795" s="604" t="s">
        <v>395</v>
      </c>
      <c r="M1795" s="604">
        <v>61</v>
      </c>
      <c r="N1795" s="604">
        <v>515</v>
      </c>
      <c r="O1795" s="604">
        <v>118.4</v>
      </c>
      <c r="P1795" s="604" t="s">
        <v>483</v>
      </c>
      <c r="Q1795" s="499"/>
      <c r="Y1795" s="535" t="str">
        <f t="shared" si="170"/>
        <v/>
      </c>
      <c r="BY1795" s="696" t="str">
        <f t="shared" si="171"/>
        <v>2015UnknowngestSUDI</v>
      </c>
      <c r="BZ1795" s="604">
        <v>2015</v>
      </c>
      <c r="CA1795" s="604" t="s">
        <v>63</v>
      </c>
      <c r="CB1795" s="604" t="s">
        <v>450</v>
      </c>
      <c r="CC1795" s="604">
        <v>6</v>
      </c>
      <c r="CD1795" s="604" t="s">
        <v>33</v>
      </c>
    </row>
    <row r="1796" spans="9:82">
      <c r="I1796" s="578" t="str">
        <f t="shared" ref="I1796:I1859" si="172">J1796&amp;K1796&amp;L1796&amp;P1796</f>
        <v>2004gest32-36Peri</v>
      </c>
      <c r="J1796" s="604">
        <v>2004</v>
      </c>
      <c r="K1796" s="604" t="s">
        <v>450</v>
      </c>
      <c r="L1796" s="604" t="s">
        <v>136</v>
      </c>
      <c r="M1796" s="604">
        <v>72</v>
      </c>
      <c r="N1796" s="604">
        <v>3575</v>
      </c>
      <c r="O1796" s="604">
        <v>20.100000000000001</v>
      </c>
      <c r="P1796" s="604" t="s">
        <v>483</v>
      </c>
      <c r="Q1796" s="499"/>
      <c r="Y1796" s="535" t="str">
        <f t="shared" ref="Y1796:Y1801" si="173">Z1796&amp;AA1796&amp;AB1796&amp;AC1796&amp;AD1796&amp;AH1796</f>
        <v/>
      </c>
      <c r="BY1796" s="696" t="str">
        <f t="shared" si="171"/>
        <v>2016&lt;28gestSUDI</v>
      </c>
      <c r="BZ1796" s="604">
        <v>2016</v>
      </c>
      <c r="CA1796" s="604" t="s">
        <v>375</v>
      </c>
      <c r="CB1796" s="604" t="s">
        <v>450</v>
      </c>
      <c r="CC1796" s="604">
        <v>0</v>
      </c>
      <c r="CD1796" s="604" t="s">
        <v>33</v>
      </c>
    </row>
    <row r="1797" spans="9:82">
      <c r="I1797" s="578" t="str">
        <f t="shared" si="172"/>
        <v>2004gest37-41Peri</v>
      </c>
      <c r="J1797" s="604">
        <v>2004</v>
      </c>
      <c r="K1797" s="604" t="s">
        <v>450</v>
      </c>
      <c r="L1797" s="604" t="s">
        <v>137</v>
      </c>
      <c r="M1797" s="604">
        <v>138</v>
      </c>
      <c r="N1797" s="604">
        <v>52820</v>
      </c>
      <c r="O1797" s="604">
        <v>2.6</v>
      </c>
      <c r="P1797" s="604" t="s">
        <v>483</v>
      </c>
      <c r="Q1797" s="499"/>
      <c r="Y1797" s="535" t="str">
        <f t="shared" si="173"/>
        <v/>
      </c>
      <c r="BY1797" s="696" t="str">
        <f t="shared" si="171"/>
        <v>201628-31gestSUDI</v>
      </c>
      <c r="BZ1797" s="604">
        <v>2016</v>
      </c>
      <c r="CA1797" s="604" t="s">
        <v>395</v>
      </c>
      <c r="CB1797" s="604" t="s">
        <v>450</v>
      </c>
      <c r="CC1797" s="604">
        <v>1</v>
      </c>
      <c r="CD1797" s="604" t="s">
        <v>33</v>
      </c>
    </row>
    <row r="1798" spans="9:82">
      <c r="I1798" s="578" t="str">
        <f t="shared" si="172"/>
        <v>2004gest42+Peri</v>
      </c>
      <c r="J1798" s="604">
        <v>2004</v>
      </c>
      <c r="K1798" s="604" t="s">
        <v>450</v>
      </c>
      <c r="L1798" s="604" t="s">
        <v>138</v>
      </c>
      <c r="M1798" s="604">
        <v>8</v>
      </c>
      <c r="N1798" s="604">
        <v>1695</v>
      </c>
      <c r="O1798" s="604">
        <v>4.7</v>
      </c>
      <c r="P1798" s="604" t="s">
        <v>483</v>
      </c>
      <c r="Q1798" s="499"/>
      <c r="Y1798" s="535" t="str">
        <f t="shared" si="173"/>
        <v/>
      </c>
      <c r="BY1798" s="696" t="str">
        <f t="shared" si="171"/>
        <v>201632-36gestSUDI</v>
      </c>
      <c r="BZ1798" s="604">
        <v>2016</v>
      </c>
      <c r="CA1798" s="604" t="s">
        <v>136</v>
      </c>
      <c r="CB1798" s="604" t="s">
        <v>450</v>
      </c>
      <c r="CC1798" s="604">
        <v>7</v>
      </c>
      <c r="CD1798" s="604" t="s">
        <v>33</v>
      </c>
    </row>
    <row r="1799" spans="9:82">
      <c r="I1799" s="578" t="str">
        <f t="shared" si="172"/>
        <v>2004gestUnknownPeri</v>
      </c>
      <c r="J1799" s="604">
        <v>2004</v>
      </c>
      <c r="K1799" s="604" t="s">
        <v>450</v>
      </c>
      <c r="L1799" s="604" t="s">
        <v>63</v>
      </c>
      <c r="M1799" s="604">
        <v>6</v>
      </c>
      <c r="N1799" s="604">
        <v>45</v>
      </c>
      <c r="O1799" s="604" t="s">
        <v>119</v>
      </c>
      <c r="P1799" s="604" t="s">
        <v>483</v>
      </c>
      <c r="Q1799" s="499"/>
      <c r="Y1799" s="535" t="str">
        <f t="shared" si="173"/>
        <v/>
      </c>
      <c r="BY1799" s="696" t="str">
        <f t="shared" si="171"/>
        <v>201637-41gestSUDI</v>
      </c>
      <c r="BZ1799" s="604">
        <v>2016</v>
      </c>
      <c r="CA1799" s="604" t="s">
        <v>137</v>
      </c>
      <c r="CB1799" s="604" t="s">
        <v>450</v>
      </c>
      <c r="CC1799" s="604">
        <v>33</v>
      </c>
      <c r="CD1799" s="604" t="s">
        <v>33</v>
      </c>
    </row>
    <row r="1800" spans="9:82">
      <c r="I1800" s="578" t="str">
        <f t="shared" si="172"/>
        <v>2005gest&lt;28Peri</v>
      </c>
      <c r="J1800" s="604">
        <v>2005</v>
      </c>
      <c r="K1800" s="604" t="s">
        <v>450</v>
      </c>
      <c r="L1800" s="604" t="s">
        <v>375</v>
      </c>
      <c r="M1800" s="604">
        <v>305</v>
      </c>
      <c r="N1800" s="604">
        <v>493</v>
      </c>
      <c r="O1800" s="604">
        <v>618.70000000000005</v>
      </c>
      <c r="P1800" s="604" t="s">
        <v>483</v>
      </c>
      <c r="Q1800" s="499"/>
      <c r="Y1800" s="535" t="str">
        <f t="shared" si="173"/>
        <v/>
      </c>
      <c r="BY1800" s="696" t="str">
        <f t="shared" si="171"/>
        <v>201642+gestSUDI</v>
      </c>
      <c r="BZ1800" s="604">
        <v>2016</v>
      </c>
      <c r="CA1800" s="604" t="s">
        <v>138</v>
      </c>
      <c r="CB1800" s="604" t="s">
        <v>450</v>
      </c>
      <c r="CC1800" s="604">
        <v>0</v>
      </c>
      <c r="CD1800" s="604" t="s">
        <v>33</v>
      </c>
    </row>
    <row r="1801" spans="9:82">
      <c r="I1801" s="578" t="str">
        <f t="shared" si="172"/>
        <v>2005gest28-31Peri</v>
      </c>
      <c r="J1801" s="604">
        <v>2005</v>
      </c>
      <c r="K1801" s="604" t="s">
        <v>450</v>
      </c>
      <c r="L1801" s="604" t="s">
        <v>395</v>
      </c>
      <c r="M1801" s="604">
        <v>51</v>
      </c>
      <c r="N1801" s="604">
        <v>518</v>
      </c>
      <c r="O1801" s="604">
        <v>98.5</v>
      </c>
      <c r="P1801" s="604" t="s">
        <v>483</v>
      </c>
      <c r="Q1801" s="499"/>
      <c r="Y1801" s="535" t="str">
        <f t="shared" si="173"/>
        <v/>
      </c>
      <c r="BY1801" s="696" t="str">
        <f t="shared" si="171"/>
        <v>2016UnknowngestSUDI</v>
      </c>
      <c r="BZ1801" s="604">
        <v>2016</v>
      </c>
      <c r="CA1801" s="604" t="s">
        <v>63</v>
      </c>
      <c r="CB1801" s="604" t="s">
        <v>450</v>
      </c>
      <c r="CC1801" s="604">
        <v>1</v>
      </c>
      <c r="CD1801" s="604" t="s">
        <v>33</v>
      </c>
    </row>
    <row r="1802" spans="9:82">
      <c r="I1802" s="578" t="str">
        <f t="shared" si="172"/>
        <v>2005gest32-36Peri</v>
      </c>
      <c r="J1802" s="604">
        <v>2005</v>
      </c>
      <c r="K1802" s="604" t="s">
        <v>450</v>
      </c>
      <c r="L1802" s="604" t="s">
        <v>136</v>
      </c>
      <c r="M1802" s="604">
        <v>71</v>
      </c>
      <c r="N1802" s="604">
        <v>3518</v>
      </c>
      <c r="O1802" s="604">
        <v>20.2</v>
      </c>
      <c r="P1802" s="604" t="s">
        <v>483</v>
      </c>
      <c r="Q1802" s="499"/>
      <c r="BY1802" s="696" t="str">
        <f t="shared" si="171"/>
        <v>2000MalesexSUDI</v>
      </c>
      <c r="BZ1802" s="604">
        <v>2000</v>
      </c>
      <c r="CA1802" s="604" t="s">
        <v>70</v>
      </c>
      <c r="CB1802" s="604" t="s">
        <v>451</v>
      </c>
      <c r="CC1802" s="604">
        <v>45</v>
      </c>
      <c r="CD1802" s="604" t="s">
        <v>33</v>
      </c>
    </row>
    <row r="1803" spans="9:82">
      <c r="I1803" s="578" t="str">
        <f t="shared" si="172"/>
        <v>2005gest37-41Peri</v>
      </c>
      <c r="J1803" s="604">
        <v>2005</v>
      </c>
      <c r="K1803" s="604" t="s">
        <v>450</v>
      </c>
      <c r="L1803" s="604" t="s">
        <v>137</v>
      </c>
      <c r="M1803" s="604">
        <v>112</v>
      </c>
      <c r="N1803" s="604">
        <v>52730</v>
      </c>
      <c r="O1803" s="604">
        <v>2.1</v>
      </c>
      <c r="P1803" s="604" t="s">
        <v>483</v>
      </c>
      <c r="Q1803" s="499"/>
      <c r="BY1803" s="696" t="str">
        <f t="shared" si="171"/>
        <v>2000FemalesexSUDI</v>
      </c>
      <c r="BZ1803" s="604">
        <v>2000</v>
      </c>
      <c r="CA1803" s="604" t="s">
        <v>71</v>
      </c>
      <c r="CB1803" s="604" t="s">
        <v>451</v>
      </c>
      <c r="CC1803" s="604">
        <v>37</v>
      </c>
      <c r="CD1803" s="604" t="s">
        <v>33</v>
      </c>
    </row>
    <row r="1804" spans="9:82">
      <c r="I1804" s="578" t="str">
        <f t="shared" si="172"/>
        <v>2005gest42+Peri</v>
      </c>
      <c r="J1804" s="604">
        <v>2005</v>
      </c>
      <c r="K1804" s="604" t="s">
        <v>450</v>
      </c>
      <c r="L1804" s="604" t="s">
        <v>138</v>
      </c>
      <c r="M1804" s="604">
        <v>6</v>
      </c>
      <c r="N1804" s="604">
        <v>1830</v>
      </c>
      <c r="O1804" s="604">
        <v>3.3</v>
      </c>
      <c r="P1804" s="604" t="s">
        <v>483</v>
      </c>
      <c r="Q1804" s="499"/>
      <c r="BY1804" s="696" t="str">
        <f t="shared" si="171"/>
        <v>2001MalesexSUDI</v>
      </c>
      <c r="BZ1804" s="604">
        <v>2001</v>
      </c>
      <c r="CA1804" s="604" t="s">
        <v>70</v>
      </c>
      <c r="CB1804" s="604" t="s">
        <v>451</v>
      </c>
      <c r="CC1804" s="604">
        <v>46</v>
      </c>
      <c r="CD1804" s="604" t="s">
        <v>33</v>
      </c>
    </row>
    <row r="1805" spans="9:82">
      <c r="I1805" s="578" t="str">
        <f t="shared" si="172"/>
        <v>2005gestUnknownPeri</v>
      </c>
      <c r="J1805" s="604">
        <v>2005</v>
      </c>
      <c r="K1805" s="604" t="s">
        <v>450</v>
      </c>
      <c r="L1805" s="604" t="s">
        <v>63</v>
      </c>
      <c r="M1805" s="604">
        <v>6</v>
      </c>
      <c r="N1805" s="604">
        <v>41</v>
      </c>
      <c r="O1805" s="604" t="s">
        <v>119</v>
      </c>
      <c r="P1805" s="604" t="s">
        <v>483</v>
      </c>
      <c r="Q1805" s="499"/>
      <c r="BY1805" s="696" t="str">
        <f t="shared" si="171"/>
        <v>2001FemalesexSUDI</v>
      </c>
      <c r="BZ1805" s="604">
        <v>2001</v>
      </c>
      <c r="CA1805" s="604" t="s">
        <v>71</v>
      </c>
      <c r="CB1805" s="604" t="s">
        <v>451</v>
      </c>
      <c r="CC1805" s="604">
        <v>25</v>
      </c>
      <c r="CD1805" s="604" t="s">
        <v>33</v>
      </c>
    </row>
    <row r="1806" spans="9:82">
      <c r="I1806" s="578" t="str">
        <f t="shared" si="172"/>
        <v>2006gest&lt;28Peri</v>
      </c>
      <c r="J1806" s="604">
        <v>2006</v>
      </c>
      <c r="K1806" s="604" t="s">
        <v>450</v>
      </c>
      <c r="L1806" s="604" t="s">
        <v>375</v>
      </c>
      <c r="M1806" s="604">
        <v>308</v>
      </c>
      <c r="N1806" s="604">
        <v>498</v>
      </c>
      <c r="O1806" s="604">
        <v>618.5</v>
      </c>
      <c r="P1806" s="604" t="s">
        <v>483</v>
      </c>
      <c r="Q1806" s="499"/>
      <c r="BY1806" s="696" t="str">
        <f t="shared" si="171"/>
        <v>2001Ind/UnksexSUDI</v>
      </c>
      <c r="BZ1806" s="604">
        <v>2001</v>
      </c>
      <c r="CA1806" s="604" t="s">
        <v>458</v>
      </c>
      <c r="CB1806" s="604" t="s">
        <v>451</v>
      </c>
      <c r="CC1806" s="604">
        <v>0</v>
      </c>
      <c r="CD1806" s="604" t="s">
        <v>33</v>
      </c>
    </row>
    <row r="1807" spans="9:82">
      <c r="I1807" s="578" t="str">
        <f t="shared" si="172"/>
        <v>2006gest28-31Peri</v>
      </c>
      <c r="J1807" s="604">
        <v>2006</v>
      </c>
      <c r="K1807" s="604" t="s">
        <v>450</v>
      </c>
      <c r="L1807" s="604" t="s">
        <v>395</v>
      </c>
      <c r="M1807" s="604">
        <v>53</v>
      </c>
      <c r="N1807" s="604">
        <v>527</v>
      </c>
      <c r="O1807" s="604">
        <v>100.6</v>
      </c>
      <c r="P1807" s="604" t="s">
        <v>483</v>
      </c>
      <c r="Q1807" s="499"/>
      <c r="BY1807" s="696" t="str">
        <f t="shared" si="171"/>
        <v>2002MalesexSUDI</v>
      </c>
      <c r="BZ1807" s="604">
        <v>2002</v>
      </c>
      <c r="CA1807" s="604" t="s">
        <v>70</v>
      </c>
      <c r="CB1807" s="604" t="s">
        <v>451</v>
      </c>
      <c r="CC1807" s="604">
        <v>29</v>
      </c>
      <c r="CD1807" s="604" t="s">
        <v>33</v>
      </c>
    </row>
    <row r="1808" spans="9:82">
      <c r="I1808" s="578" t="str">
        <f t="shared" si="172"/>
        <v>2006gest32-36Peri</v>
      </c>
      <c r="J1808" s="604">
        <v>2006</v>
      </c>
      <c r="K1808" s="604" t="s">
        <v>450</v>
      </c>
      <c r="L1808" s="604" t="s">
        <v>136</v>
      </c>
      <c r="M1808" s="604">
        <v>67</v>
      </c>
      <c r="N1808" s="604">
        <v>3632</v>
      </c>
      <c r="O1808" s="604">
        <v>18.399999999999999</v>
      </c>
      <c r="P1808" s="604" t="s">
        <v>483</v>
      </c>
      <c r="Q1808" s="499"/>
      <c r="BY1808" s="696" t="str">
        <f t="shared" si="171"/>
        <v>2002FemalesexSUDI</v>
      </c>
      <c r="BZ1808" s="604">
        <v>2002</v>
      </c>
      <c r="CA1808" s="604" t="s">
        <v>71</v>
      </c>
      <c r="CB1808" s="604" t="s">
        <v>451</v>
      </c>
      <c r="CC1808" s="604">
        <v>29</v>
      </c>
      <c r="CD1808" s="604" t="s">
        <v>33</v>
      </c>
    </row>
    <row r="1809" spans="9:82">
      <c r="I1809" s="578" t="str">
        <f t="shared" si="172"/>
        <v>2006gest37-41Peri</v>
      </c>
      <c r="J1809" s="604">
        <v>2006</v>
      </c>
      <c r="K1809" s="604" t="s">
        <v>450</v>
      </c>
      <c r="L1809" s="604" t="s">
        <v>137</v>
      </c>
      <c r="M1809" s="604">
        <v>105</v>
      </c>
      <c r="N1809" s="604">
        <v>54154</v>
      </c>
      <c r="O1809" s="604">
        <v>1.9</v>
      </c>
      <c r="P1809" s="604" t="s">
        <v>483</v>
      </c>
      <c r="Q1809" s="499"/>
      <c r="BY1809" s="696" t="str">
        <f t="shared" si="171"/>
        <v>2002Ind/UnksexSUDI</v>
      </c>
      <c r="BZ1809" s="604">
        <v>2002</v>
      </c>
      <c r="CA1809" s="604" t="s">
        <v>458</v>
      </c>
      <c r="CB1809" s="604" t="s">
        <v>451</v>
      </c>
      <c r="CC1809" s="604">
        <v>0</v>
      </c>
      <c r="CD1809" s="604" t="s">
        <v>33</v>
      </c>
    </row>
    <row r="1810" spans="9:82">
      <c r="I1810" s="578" t="str">
        <f t="shared" si="172"/>
        <v>2006gest42+Peri</v>
      </c>
      <c r="J1810" s="604">
        <v>2006</v>
      </c>
      <c r="K1810" s="604" t="s">
        <v>450</v>
      </c>
      <c r="L1810" s="604" t="s">
        <v>138</v>
      </c>
      <c r="M1810" s="604">
        <v>5</v>
      </c>
      <c r="N1810" s="604">
        <v>1799</v>
      </c>
      <c r="O1810" s="604">
        <v>2.8</v>
      </c>
      <c r="P1810" s="604" t="s">
        <v>483</v>
      </c>
      <c r="Q1810" s="499"/>
      <c r="BY1810" s="696" t="str">
        <f t="shared" si="171"/>
        <v>2003MalesexSUDI</v>
      </c>
      <c r="BZ1810" s="604">
        <v>2003</v>
      </c>
      <c r="CA1810" s="604" t="s">
        <v>70</v>
      </c>
      <c r="CB1810" s="604" t="s">
        <v>451</v>
      </c>
      <c r="CC1810" s="604">
        <v>40</v>
      </c>
      <c r="CD1810" s="604" t="s">
        <v>33</v>
      </c>
    </row>
    <row r="1811" spans="9:82">
      <c r="I1811" s="578" t="str">
        <f t="shared" si="172"/>
        <v>2006gestUnknownPeri</v>
      </c>
      <c r="J1811" s="604">
        <v>2006</v>
      </c>
      <c r="K1811" s="604" t="s">
        <v>450</v>
      </c>
      <c r="L1811" s="604" t="s">
        <v>63</v>
      </c>
      <c r="M1811" s="604">
        <v>8</v>
      </c>
      <c r="N1811" s="604">
        <v>73</v>
      </c>
      <c r="O1811" s="604" t="s">
        <v>119</v>
      </c>
      <c r="P1811" s="604" t="s">
        <v>483</v>
      </c>
      <c r="Q1811" s="499"/>
      <c r="BY1811" s="696" t="str">
        <f t="shared" si="171"/>
        <v>2003FemalesexSUDI</v>
      </c>
      <c r="BZ1811" s="604">
        <v>2003</v>
      </c>
      <c r="CA1811" s="604" t="s">
        <v>71</v>
      </c>
      <c r="CB1811" s="604" t="s">
        <v>451</v>
      </c>
      <c r="CC1811" s="604">
        <v>21</v>
      </c>
      <c r="CD1811" s="604" t="s">
        <v>33</v>
      </c>
    </row>
    <row r="1812" spans="9:82">
      <c r="I1812" s="578" t="str">
        <f t="shared" si="172"/>
        <v>2007gest&lt;28Peri</v>
      </c>
      <c r="J1812" s="604">
        <v>2007</v>
      </c>
      <c r="K1812" s="604" t="s">
        <v>450</v>
      </c>
      <c r="L1812" s="604" t="s">
        <v>375</v>
      </c>
      <c r="M1812" s="604">
        <v>332</v>
      </c>
      <c r="N1812" s="604">
        <v>563</v>
      </c>
      <c r="O1812" s="604">
        <v>589.70000000000005</v>
      </c>
      <c r="P1812" s="604" t="s">
        <v>483</v>
      </c>
      <c r="Q1812" s="499"/>
      <c r="BY1812" s="696" t="str">
        <f t="shared" si="171"/>
        <v>2003Ind/UnksexSUDI</v>
      </c>
      <c r="BZ1812" s="604">
        <v>2003</v>
      </c>
      <c r="CA1812" s="604" t="s">
        <v>458</v>
      </c>
      <c r="CB1812" s="604" t="s">
        <v>451</v>
      </c>
      <c r="CC1812" s="604">
        <v>0</v>
      </c>
      <c r="CD1812" s="604" t="s">
        <v>33</v>
      </c>
    </row>
    <row r="1813" spans="9:82">
      <c r="I1813" s="578" t="str">
        <f t="shared" si="172"/>
        <v>2007gest28-31Peri</v>
      </c>
      <c r="J1813" s="604">
        <v>2007</v>
      </c>
      <c r="K1813" s="604" t="s">
        <v>450</v>
      </c>
      <c r="L1813" s="604" t="s">
        <v>395</v>
      </c>
      <c r="M1813" s="604">
        <v>50</v>
      </c>
      <c r="N1813" s="604">
        <v>537</v>
      </c>
      <c r="O1813" s="604">
        <v>93.1</v>
      </c>
      <c r="P1813" s="604" t="s">
        <v>483</v>
      </c>
      <c r="Q1813" s="499"/>
      <c r="BY1813" s="696" t="str">
        <f t="shared" si="171"/>
        <v>2004MalesexSUDI</v>
      </c>
      <c r="BZ1813" s="604">
        <v>2004</v>
      </c>
      <c r="CA1813" s="604" t="s">
        <v>70</v>
      </c>
      <c r="CB1813" s="604" t="s">
        <v>451</v>
      </c>
      <c r="CC1813" s="604">
        <v>30</v>
      </c>
      <c r="CD1813" s="604" t="s">
        <v>33</v>
      </c>
    </row>
    <row r="1814" spans="9:82">
      <c r="I1814" s="578" t="str">
        <f t="shared" si="172"/>
        <v>2007gest32-36Peri</v>
      </c>
      <c r="J1814" s="604">
        <v>2007</v>
      </c>
      <c r="K1814" s="604" t="s">
        <v>450</v>
      </c>
      <c r="L1814" s="604" t="s">
        <v>136</v>
      </c>
      <c r="M1814" s="604">
        <v>85</v>
      </c>
      <c r="N1814" s="604">
        <v>3922</v>
      </c>
      <c r="O1814" s="604">
        <v>21.7</v>
      </c>
      <c r="P1814" s="604" t="s">
        <v>483</v>
      </c>
      <c r="Q1814" s="499"/>
      <c r="BY1814" s="696" t="str">
        <f t="shared" si="171"/>
        <v>2004FemalesexSUDI</v>
      </c>
      <c r="BZ1814" s="604">
        <v>2004</v>
      </c>
      <c r="CA1814" s="604" t="s">
        <v>71</v>
      </c>
      <c r="CB1814" s="604" t="s">
        <v>451</v>
      </c>
      <c r="CC1814" s="604">
        <v>32</v>
      </c>
      <c r="CD1814" s="604" t="s">
        <v>33</v>
      </c>
    </row>
    <row r="1815" spans="9:82">
      <c r="I1815" s="578" t="str">
        <f t="shared" si="172"/>
        <v>2007gest37-41Peri</v>
      </c>
      <c r="J1815" s="604">
        <v>2007</v>
      </c>
      <c r="K1815" s="604" t="s">
        <v>450</v>
      </c>
      <c r="L1815" s="604" t="s">
        <v>137</v>
      </c>
      <c r="M1815" s="604">
        <v>121</v>
      </c>
      <c r="N1815" s="604">
        <v>58634</v>
      </c>
      <c r="O1815" s="604">
        <v>2.1</v>
      </c>
      <c r="P1815" s="604" t="s">
        <v>483</v>
      </c>
      <c r="Q1815" s="499"/>
      <c r="BY1815" s="696" t="str">
        <f t="shared" si="171"/>
        <v>2004Ind/UnksexSUDI</v>
      </c>
      <c r="BZ1815" s="604">
        <v>2004</v>
      </c>
      <c r="CA1815" s="604" t="s">
        <v>458</v>
      </c>
      <c r="CB1815" s="604" t="s">
        <v>451</v>
      </c>
      <c r="CC1815" s="604">
        <v>0</v>
      </c>
      <c r="CD1815" s="604" t="s">
        <v>33</v>
      </c>
    </row>
    <row r="1816" spans="9:82">
      <c r="I1816" s="578" t="str">
        <f t="shared" si="172"/>
        <v>2007gest42+Peri</v>
      </c>
      <c r="J1816" s="604">
        <v>2007</v>
      </c>
      <c r="K1816" s="604" t="s">
        <v>450</v>
      </c>
      <c r="L1816" s="604" t="s">
        <v>138</v>
      </c>
      <c r="M1816" s="604">
        <v>6</v>
      </c>
      <c r="N1816" s="604">
        <v>1885</v>
      </c>
      <c r="O1816" s="604">
        <v>3.2</v>
      </c>
      <c r="P1816" s="604" t="s">
        <v>483</v>
      </c>
      <c r="Q1816" s="499"/>
      <c r="BY1816" s="696" t="str">
        <f t="shared" si="171"/>
        <v>2005MalesexSUDI</v>
      </c>
      <c r="BZ1816" s="604">
        <v>2005</v>
      </c>
      <c r="CA1816" s="604" t="s">
        <v>70</v>
      </c>
      <c r="CB1816" s="604" t="s">
        <v>451</v>
      </c>
      <c r="CC1816" s="604">
        <v>23</v>
      </c>
      <c r="CD1816" s="604" t="s">
        <v>33</v>
      </c>
    </row>
    <row r="1817" spans="9:82">
      <c r="I1817" s="578" t="str">
        <f t="shared" si="172"/>
        <v>2007gestUnknownPeri</v>
      </c>
      <c r="J1817" s="604">
        <v>2007</v>
      </c>
      <c r="K1817" s="604" t="s">
        <v>450</v>
      </c>
      <c r="L1817" s="604" t="s">
        <v>63</v>
      </c>
      <c r="M1817" s="604">
        <v>10</v>
      </c>
      <c r="N1817" s="604">
        <v>50</v>
      </c>
      <c r="O1817" s="604" t="s">
        <v>119</v>
      </c>
      <c r="P1817" s="604" t="s">
        <v>483</v>
      </c>
      <c r="Q1817" s="499"/>
      <c r="BY1817" s="696" t="str">
        <f t="shared" si="171"/>
        <v>2005FemalesexSUDI</v>
      </c>
      <c r="BZ1817" s="604">
        <v>2005</v>
      </c>
      <c r="CA1817" s="604" t="s">
        <v>71</v>
      </c>
      <c r="CB1817" s="604" t="s">
        <v>451</v>
      </c>
      <c r="CC1817" s="604">
        <v>30</v>
      </c>
      <c r="CD1817" s="604" t="s">
        <v>33</v>
      </c>
    </row>
    <row r="1818" spans="9:82">
      <c r="I1818" s="578" t="str">
        <f t="shared" si="172"/>
        <v>2008gest&lt;28Peri</v>
      </c>
      <c r="J1818" s="604">
        <v>2008</v>
      </c>
      <c r="K1818" s="604" t="s">
        <v>450</v>
      </c>
      <c r="L1818" s="604" t="s">
        <v>375</v>
      </c>
      <c r="M1818" s="604">
        <v>384</v>
      </c>
      <c r="N1818" s="604">
        <v>607</v>
      </c>
      <c r="O1818" s="604">
        <v>632.6</v>
      </c>
      <c r="P1818" s="604" t="s">
        <v>483</v>
      </c>
      <c r="Q1818" s="499"/>
      <c r="BY1818" s="696" t="str">
        <f t="shared" si="171"/>
        <v>2006MalesexSUDI</v>
      </c>
      <c r="BZ1818" s="604">
        <v>2006</v>
      </c>
      <c r="CA1818" s="604" t="s">
        <v>70</v>
      </c>
      <c r="CB1818" s="604" t="s">
        <v>451</v>
      </c>
      <c r="CC1818" s="604">
        <v>37</v>
      </c>
      <c r="CD1818" s="604" t="s">
        <v>33</v>
      </c>
    </row>
    <row r="1819" spans="9:82">
      <c r="I1819" s="578" t="str">
        <f t="shared" si="172"/>
        <v>2008gest28-31Peri</v>
      </c>
      <c r="J1819" s="604">
        <v>2008</v>
      </c>
      <c r="K1819" s="604" t="s">
        <v>450</v>
      </c>
      <c r="L1819" s="604" t="s">
        <v>395</v>
      </c>
      <c r="M1819" s="604">
        <v>64</v>
      </c>
      <c r="N1819" s="604">
        <v>582</v>
      </c>
      <c r="O1819" s="604">
        <v>110</v>
      </c>
      <c r="P1819" s="604" t="s">
        <v>483</v>
      </c>
      <c r="Q1819" s="499"/>
      <c r="BY1819" s="696" t="str">
        <f t="shared" si="171"/>
        <v>2006FemalesexSUDI</v>
      </c>
      <c r="BZ1819" s="604">
        <v>2006</v>
      </c>
      <c r="CA1819" s="604" t="s">
        <v>71</v>
      </c>
      <c r="CB1819" s="604" t="s">
        <v>451</v>
      </c>
      <c r="CC1819" s="604">
        <v>29</v>
      </c>
      <c r="CD1819" s="604" t="s">
        <v>33</v>
      </c>
    </row>
    <row r="1820" spans="9:82">
      <c r="I1820" s="578" t="str">
        <f t="shared" si="172"/>
        <v>2008gest32-36Peri</v>
      </c>
      <c r="J1820" s="604">
        <v>2008</v>
      </c>
      <c r="K1820" s="604" t="s">
        <v>450</v>
      </c>
      <c r="L1820" s="604" t="s">
        <v>136</v>
      </c>
      <c r="M1820" s="604">
        <v>83</v>
      </c>
      <c r="N1820" s="604">
        <v>4079</v>
      </c>
      <c r="O1820" s="604">
        <v>20.3</v>
      </c>
      <c r="P1820" s="604" t="s">
        <v>483</v>
      </c>
      <c r="Q1820" s="499"/>
      <c r="BY1820" s="696" t="str">
        <f t="shared" si="171"/>
        <v>2007MalesexSUDI</v>
      </c>
      <c r="BZ1820" s="604">
        <v>2007</v>
      </c>
      <c r="CA1820" s="604" t="s">
        <v>70</v>
      </c>
      <c r="CB1820" s="604" t="s">
        <v>451</v>
      </c>
      <c r="CC1820" s="604">
        <v>40</v>
      </c>
      <c r="CD1820" s="604" t="s">
        <v>33</v>
      </c>
    </row>
    <row r="1821" spans="9:82">
      <c r="I1821" s="578" t="str">
        <f t="shared" si="172"/>
        <v>2008gest37-41Peri</v>
      </c>
      <c r="J1821" s="604">
        <v>2008</v>
      </c>
      <c r="K1821" s="604" t="s">
        <v>450</v>
      </c>
      <c r="L1821" s="604" t="s">
        <v>137</v>
      </c>
      <c r="M1821" s="604">
        <v>154</v>
      </c>
      <c r="N1821" s="604">
        <v>58586</v>
      </c>
      <c r="O1821" s="604">
        <v>2.6</v>
      </c>
      <c r="P1821" s="604" t="s">
        <v>483</v>
      </c>
      <c r="Q1821" s="499"/>
      <c r="BY1821" s="696" t="str">
        <f t="shared" si="171"/>
        <v>2007FemalesexSUDI</v>
      </c>
      <c r="BZ1821" s="604">
        <v>2007</v>
      </c>
      <c r="CA1821" s="604" t="s">
        <v>71</v>
      </c>
      <c r="CB1821" s="604" t="s">
        <v>451</v>
      </c>
      <c r="CC1821" s="604">
        <v>24</v>
      </c>
      <c r="CD1821" s="604" t="s">
        <v>33</v>
      </c>
    </row>
    <row r="1822" spans="9:82">
      <c r="I1822" s="578" t="str">
        <f t="shared" si="172"/>
        <v>2008gest42+Peri</v>
      </c>
      <c r="J1822" s="604">
        <v>2008</v>
      </c>
      <c r="K1822" s="604" t="s">
        <v>450</v>
      </c>
      <c r="L1822" s="604" t="s">
        <v>138</v>
      </c>
      <c r="M1822" s="604">
        <v>7</v>
      </c>
      <c r="N1822" s="604">
        <v>1987</v>
      </c>
      <c r="O1822" s="604">
        <v>3.5</v>
      </c>
      <c r="P1822" s="604" t="s">
        <v>483</v>
      </c>
      <c r="Q1822" s="499"/>
      <c r="BY1822" s="696" t="str">
        <f t="shared" si="171"/>
        <v>2007Ind/UnksexSUDI</v>
      </c>
      <c r="BZ1822" s="604">
        <v>2007</v>
      </c>
      <c r="CA1822" s="604" t="s">
        <v>458</v>
      </c>
      <c r="CB1822" s="604" t="s">
        <v>451</v>
      </c>
      <c r="CC1822" s="604">
        <v>0</v>
      </c>
      <c r="CD1822" s="604" t="s">
        <v>33</v>
      </c>
    </row>
    <row r="1823" spans="9:82">
      <c r="I1823" s="578" t="str">
        <f t="shared" si="172"/>
        <v>2008gestUnknownPeri</v>
      </c>
      <c r="J1823" s="604">
        <v>2008</v>
      </c>
      <c r="K1823" s="604" t="s">
        <v>450</v>
      </c>
      <c r="L1823" s="604" t="s">
        <v>63</v>
      </c>
      <c r="M1823" s="604">
        <v>9</v>
      </c>
      <c r="N1823" s="604">
        <v>48</v>
      </c>
      <c r="O1823" s="604" t="s">
        <v>119</v>
      </c>
      <c r="P1823" s="604" t="s">
        <v>483</v>
      </c>
      <c r="Q1823" s="499"/>
      <c r="BY1823" s="696" t="str">
        <f t="shared" si="171"/>
        <v>2008MalesexSUDI</v>
      </c>
      <c r="BZ1823" s="604">
        <v>2008</v>
      </c>
      <c r="CA1823" s="604" t="s">
        <v>70</v>
      </c>
      <c r="CB1823" s="604" t="s">
        <v>451</v>
      </c>
      <c r="CC1823" s="604">
        <v>37</v>
      </c>
      <c r="CD1823" s="604" t="s">
        <v>33</v>
      </c>
    </row>
    <row r="1824" spans="9:82">
      <c r="I1824" s="578" t="str">
        <f t="shared" si="172"/>
        <v>2009gest&lt;28Peri</v>
      </c>
      <c r="J1824" s="604">
        <v>2009</v>
      </c>
      <c r="K1824" s="604" t="s">
        <v>450</v>
      </c>
      <c r="L1824" s="604" t="s">
        <v>375</v>
      </c>
      <c r="M1824" s="604">
        <v>346</v>
      </c>
      <c r="N1824" s="604">
        <v>538</v>
      </c>
      <c r="O1824" s="604">
        <v>643.1</v>
      </c>
      <c r="P1824" s="604" t="s">
        <v>483</v>
      </c>
      <c r="Q1824" s="499"/>
      <c r="BY1824" s="696" t="str">
        <f t="shared" si="171"/>
        <v>2008FemalesexSUDI</v>
      </c>
      <c r="BZ1824" s="604">
        <v>2008</v>
      </c>
      <c r="CA1824" s="604" t="s">
        <v>71</v>
      </c>
      <c r="CB1824" s="604" t="s">
        <v>451</v>
      </c>
      <c r="CC1824" s="604">
        <v>29</v>
      </c>
      <c r="CD1824" s="604" t="s">
        <v>33</v>
      </c>
    </row>
    <row r="1825" spans="9:82">
      <c r="I1825" s="578" t="str">
        <f t="shared" si="172"/>
        <v>2009gest28-31Peri</v>
      </c>
      <c r="J1825" s="604">
        <v>2009</v>
      </c>
      <c r="K1825" s="604" t="s">
        <v>450</v>
      </c>
      <c r="L1825" s="604" t="s">
        <v>395</v>
      </c>
      <c r="M1825" s="604">
        <v>54</v>
      </c>
      <c r="N1825" s="604">
        <v>538</v>
      </c>
      <c r="O1825" s="604">
        <v>100.4</v>
      </c>
      <c r="P1825" s="604" t="s">
        <v>483</v>
      </c>
      <c r="Q1825" s="499"/>
      <c r="BY1825" s="696" t="str">
        <f t="shared" si="171"/>
        <v>2008Ind/UnksexSUDI</v>
      </c>
      <c r="BZ1825" s="604">
        <v>2008</v>
      </c>
      <c r="CA1825" s="604" t="s">
        <v>458</v>
      </c>
      <c r="CB1825" s="604" t="s">
        <v>451</v>
      </c>
      <c r="CC1825" s="604">
        <v>0</v>
      </c>
      <c r="CD1825" s="604" t="s">
        <v>33</v>
      </c>
    </row>
    <row r="1826" spans="9:82">
      <c r="I1826" s="578" t="str">
        <f t="shared" si="172"/>
        <v>2009gest32-36Peri</v>
      </c>
      <c r="J1826" s="604">
        <v>2009</v>
      </c>
      <c r="K1826" s="604" t="s">
        <v>450</v>
      </c>
      <c r="L1826" s="604" t="s">
        <v>136</v>
      </c>
      <c r="M1826" s="604">
        <v>73</v>
      </c>
      <c r="N1826" s="604">
        <v>3935</v>
      </c>
      <c r="O1826" s="604">
        <v>18.600000000000001</v>
      </c>
      <c r="P1826" s="604" t="s">
        <v>483</v>
      </c>
      <c r="Q1826" s="499"/>
      <c r="BY1826" s="696" t="str">
        <f t="shared" si="171"/>
        <v>2009MalesexSUDI</v>
      </c>
      <c r="BZ1826" s="604">
        <v>2009</v>
      </c>
      <c r="CA1826" s="604" t="s">
        <v>70</v>
      </c>
      <c r="CB1826" s="604" t="s">
        <v>451</v>
      </c>
      <c r="CC1826" s="604">
        <v>41</v>
      </c>
      <c r="CD1826" s="604" t="s">
        <v>33</v>
      </c>
    </row>
    <row r="1827" spans="9:82">
      <c r="I1827" s="578" t="str">
        <f t="shared" si="172"/>
        <v>2009gest37-41Peri</v>
      </c>
      <c r="J1827" s="604">
        <v>2009</v>
      </c>
      <c r="K1827" s="604" t="s">
        <v>450</v>
      </c>
      <c r="L1827" s="604" t="s">
        <v>137</v>
      </c>
      <c r="M1827" s="604">
        <v>149</v>
      </c>
      <c r="N1827" s="604">
        <v>56980</v>
      </c>
      <c r="O1827" s="604">
        <v>2.6</v>
      </c>
      <c r="P1827" s="604" t="s">
        <v>483</v>
      </c>
      <c r="Q1827" s="499"/>
      <c r="BY1827" s="696" t="str">
        <f t="shared" si="171"/>
        <v>2009FemalesexSUDI</v>
      </c>
      <c r="BZ1827" s="604">
        <v>2009</v>
      </c>
      <c r="CA1827" s="604" t="s">
        <v>71</v>
      </c>
      <c r="CB1827" s="604" t="s">
        <v>451</v>
      </c>
      <c r="CC1827" s="604">
        <v>25</v>
      </c>
      <c r="CD1827" s="604" t="s">
        <v>33</v>
      </c>
    </row>
    <row r="1828" spans="9:82">
      <c r="I1828" s="578" t="str">
        <f t="shared" si="172"/>
        <v>2009gest42+Peri</v>
      </c>
      <c r="J1828" s="604">
        <v>2009</v>
      </c>
      <c r="K1828" s="604" t="s">
        <v>450</v>
      </c>
      <c r="L1828" s="604" t="s">
        <v>138</v>
      </c>
      <c r="M1828" s="604">
        <v>3</v>
      </c>
      <c r="N1828" s="604">
        <v>1718</v>
      </c>
      <c r="O1828" s="604">
        <v>1.7</v>
      </c>
      <c r="P1828" s="604" t="s">
        <v>483</v>
      </c>
      <c r="Q1828" s="499"/>
      <c r="BY1828" s="696" t="str">
        <f t="shared" si="171"/>
        <v>2009Ind/UnksexSUDI</v>
      </c>
      <c r="BZ1828" s="604">
        <v>2009</v>
      </c>
      <c r="CA1828" s="604" t="s">
        <v>458</v>
      </c>
      <c r="CB1828" s="604" t="s">
        <v>451</v>
      </c>
      <c r="CC1828" s="604">
        <v>0</v>
      </c>
      <c r="CD1828" s="604" t="s">
        <v>33</v>
      </c>
    </row>
    <row r="1829" spans="9:82">
      <c r="I1829" s="578" t="str">
        <f t="shared" si="172"/>
        <v>2009gestUnknownPeri</v>
      </c>
      <c r="J1829" s="604">
        <v>2009</v>
      </c>
      <c r="K1829" s="604" t="s">
        <v>450</v>
      </c>
      <c r="L1829" s="604" t="s">
        <v>63</v>
      </c>
      <c r="M1829" s="604">
        <v>9</v>
      </c>
      <c r="N1829" s="604">
        <v>58</v>
      </c>
      <c r="O1829" s="604" t="s">
        <v>119</v>
      </c>
      <c r="P1829" s="604" t="s">
        <v>483</v>
      </c>
      <c r="Q1829" s="499"/>
      <c r="BY1829" s="696" t="str">
        <f t="shared" si="171"/>
        <v>2010MalesexSUDI</v>
      </c>
      <c r="BZ1829" s="604">
        <v>2010</v>
      </c>
      <c r="CA1829" s="604" t="s">
        <v>70</v>
      </c>
      <c r="CB1829" s="604" t="s">
        <v>451</v>
      </c>
      <c r="CC1829" s="604">
        <v>37</v>
      </c>
      <c r="CD1829" s="604" t="s">
        <v>33</v>
      </c>
    </row>
    <row r="1830" spans="9:82">
      <c r="I1830" s="578" t="str">
        <f t="shared" si="172"/>
        <v>2010gest&lt;28Peri</v>
      </c>
      <c r="J1830" s="604">
        <v>2010</v>
      </c>
      <c r="K1830" s="604" t="s">
        <v>450</v>
      </c>
      <c r="L1830" s="604" t="s">
        <v>375</v>
      </c>
      <c r="M1830" s="604">
        <v>385</v>
      </c>
      <c r="N1830" s="604">
        <v>581</v>
      </c>
      <c r="O1830" s="604">
        <v>662.7</v>
      </c>
      <c r="P1830" s="604" t="s">
        <v>483</v>
      </c>
      <c r="Q1830" s="499"/>
      <c r="BY1830" s="696" t="str">
        <f t="shared" ref="BY1830:BY1870" si="174">BZ1830&amp;CA1830&amp;CB1830&amp;CD1830</f>
        <v>2010FemalesexSUDI</v>
      </c>
      <c r="BZ1830" s="604">
        <v>2010</v>
      </c>
      <c r="CA1830" s="604" t="s">
        <v>71</v>
      </c>
      <c r="CB1830" s="604" t="s">
        <v>451</v>
      </c>
      <c r="CC1830" s="604">
        <v>23</v>
      </c>
      <c r="CD1830" s="604" t="s">
        <v>33</v>
      </c>
    </row>
    <row r="1831" spans="9:82">
      <c r="I1831" s="578" t="str">
        <f t="shared" si="172"/>
        <v>2010gest28-31Peri</v>
      </c>
      <c r="J1831" s="604">
        <v>2010</v>
      </c>
      <c r="K1831" s="604" t="s">
        <v>450</v>
      </c>
      <c r="L1831" s="604" t="s">
        <v>395</v>
      </c>
      <c r="M1831" s="604">
        <v>50</v>
      </c>
      <c r="N1831" s="604">
        <v>555</v>
      </c>
      <c r="O1831" s="604">
        <v>90.1</v>
      </c>
      <c r="P1831" s="604" t="s">
        <v>483</v>
      </c>
      <c r="Q1831" s="499"/>
      <c r="BY1831" s="696" t="str">
        <f t="shared" si="174"/>
        <v>2010Ind/UnksexSUDI</v>
      </c>
      <c r="BZ1831" s="604">
        <v>2010</v>
      </c>
      <c r="CA1831" s="604" t="s">
        <v>458</v>
      </c>
      <c r="CB1831" s="604" t="s">
        <v>451</v>
      </c>
      <c r="CC1831" s="604">
        <v>0</v>
      </c>
      <c r="CD1831" s="604" t="s">
        <v>33</v>
      </c>
    </row>
    <row r="1832" spans="9:82">
      <c r="I1832" s="578" t="str">
        <f t="shared" si="172"/>
        <v>2010gest32-36Peri</v>
      </c>
      <c r="J1832" s="604">
        <v>2010</v>
      </c>
      <c r="K1832" s="604" t="s">
        <v>450</v>
      </c>
      <c r="L1832" s="604" t="s">
        <v>136</v>
      </c>
      <c r="M1832" s="604">
        <v>90</v>
      </c>
      <c r="N1832" s="604">
        <v>4123</v>
      </c>
      <c r="O1832" s="604">
        <v>21.8</v>
      </c>
      <c r="P1832" s="604" t="s">
        <v>483</v>
      </c>
      <c r="Q1832" s="499"/>
      <c r="BY1832" s="696" t="str">
        <f t="shared" si="174"/>
        <v>2011MalesexSUDI</v>
      </c>
      <c r="BZ1832" s="604">
        <v>2011</v>
      </c>
      <c r="CA1832" s="604" t="s">
        <v>70</v>
      </c>
      <c r="CB1832" s="604" t="s">
        <v>451</v>
      </c>
      <c r="CC1832" s="604">
        <v>35</v>
      </c>
      <c r="CD1832" s="604" t="s">
        <v>33</v>
      </c>
    </row>
    <row r="1833" spans="9:82">
      <c r="I1833" s="578" t="str">
        <f t="shared" si="172"/>
        <v>2010gest37-41Peri</v>
      </c>
      <c r="J1833" s="604">
        <v>2010</v>
      </c>
      <c r="K1833" s="604" t="s">
        <v>450</v>
      </c>
      <c r="L1833" s="604" t="s">
        <v>137</v>
      </c>
      <c r="M1833" s="604">
        <v>122</v>
      </c>
      <c r="N1833" s="604">
        <v>58049</v>
      </c>
      <c r="O1833" s="604">
        <v>2.1</v>
      </c>
      <c r="P1833" s="604" t="s">
        <v>483</v>
      </c>
      <c r="Q1833" s="499"/>
      <c r="BY1833" s="696" t="str">
        <f t="shared" si="174"/>
        <v>2011FemalesexSUDI</v>
      </c>
      <c r="BZ1833" s="604">
        <v>2011</v>
      </c>
      <c r="CA1833" s="604" t="s">
        <v>71</v>
      </c>
      <c r="CB1833" s="604" t="s">
        <v>451</v>
      </c>
      <c r="CC1833" s="604">
        <v>19</v>
      </c>
      <c r="CD1833" s="604" t="s">
        <v>33</v>
      </c>
    </row>
    <row r="1834" spans="9:82">
      <c r="I1834" s="578" t="str">
        <f t="shared" si="172"/>
        <v>2010gest42+Peri</v>
      </c>
      <c r="J1834" s="604">
        <v>2010</v>
      </c>
      <c r="K1834" s="604" t="s">
        <v>450</v>
      </c>
      <c r="L1834" s="604" t="s">
        <v>138</v>
      </c>
      <c r="M1834" s="604">
        <v>2</v>
      </c>
      <c r="N1834" s="604">
        <v>1834</v>
      </c>
      <c r="O1834" s="604">
        <v>1.1000000000000001</v>
      </c>
      <c r="P1834" s="604" t="s">
        <v>483</v>
      </c>
      <c r="Q1834" s="499"/>
      <c r="BY1834" s="696" t="str">
        <f t="shared" si="174"/>
        <v>2011Ind/UnksexSUDI</v>
      </c>
      <c r="BZ1834" s="604">
        <v>2011</v>
      </c>
      <c r="CA1834" s="604" t="s">
        <v>458</v>
      </c>
      <c r="CB1834" s="604" t="s">
        <v>451</v>
      </c>
      <c r="CC1834" s="604">
        <v>0</v>
      </c>
      <c r="CD1834" s="604" t="s">
        <v>33</v>
      </c>
    </row>
    <row r="1835" spans="9:82">
      <c r="I1835" s="578" t="str">
        <f t="shared" si="172"/>
        <v>2010gestUnknownPeri</v>
      </c>
      <c r="J1835" s="604">
        <v>2010</v>
      </c>
      <c r="K1835" s="604" t="s">
        <v>450</v>
      </c>
      <c r="L1835" s="604" t="s">
        <v>63</v>
      </c>
      <c r="M1835" s="604">
        <v>12</v>
      </c>
      <c r="N1835" s="604">
        <v>26</v>
      </c>
      <c r="O1835" s="604" t="s">
        <v>119</v>
      </c>
      <c r="P1835" s="604" t="s">
        <v>483</v>
      </c>
      <c r="Q1835" s="499"/>
      <c r="BY1835" s="696" t="str">
        <f t="shared" si="174"/>
        <v>2012MalesexSUDI</v>
      </c>
      <c r="BZ1835" s="604">
        <v>2012</v>
      </c>
      <c r="CA1835" s="604" t="s">
        <v>70</v>
      </c>
      <c r="CB1835" s="604" t="s">
        <v>451</v>
      </c>
      <c r="CC1835" s="604">
        <v>22</v>
      </c>
      <c r="CD1835" s="604" t="s">
        <v>33</v>
      </c>
    </row>
    <row r="1836" spans="9:82">
      <c r="I1836" s="578" t="str">
        <f t="shared" si="172"/>
        <v>2011gest&lt;28Peri</v>
      </c>
      <c r="J1836" s="604">
        <v>2011</v>
      </c>
      <c r="K1836" s="604" t="s">
        <v>450</v>
      </c>
      <c r="L1836" s="604" t="s">
        <v>375</v>
      </c>
      <c r="M1836" s="604">
        <v>357</v>
      </c>
      <c r="N1836" s="604">
        <v>531</v>
      </c>
      <c r="O1836" s="604">
        <v>672.3</v>
      </c>
      <c r="P1836" s="604" t="s">
        <v>483</v>
      </c>
      <c r="Q1836" s="499"/>
      <c r="BY1836" s="696" t="str">
        <f t="shared" si="174"/>
        <v>2012FemalesexSUDI</v>
      </c>
      <c r="BZ1836" s="604">
        <v>2012</v>
      </c>
      <c r="CA1836" s="604" t="s">
        <v>71</v>
      </c>
      <c r="CB1836" s="604" t="s">
        <v>451</v>
      </c>
      <c r="CC1836" s="604">
        <v>15</v>
      </c>
      <c r="CD1836" s="604" t="s">
        <v>33</v>
      </c>
    </row>
    <row r="1837" spans="9:82">
      <c r="I1837" s="578" t="str">
        <f t="shared" si="172"/>
        <v>2011gest28-31Peri</v>
      </c>
      <c r="J1837" s="604">
        <v>2011</v>
      </c>
      <c r="K1837" s="604" t="s">
        <v>450</v>
      </c>
      <c r="L1837" s="604" t="s">
        <v>395</v>
      </c>
      <c r="M1837" s="604">
        <v>59</v>
      </c>
      <c r="N1837" s="604">
        <v>525</v>
      </c>
      <c r="O1837" s="604">
        <v>112.4</v>
      </c>
      <c r="P1837" s="604" t="s">
        <v>483</v>
      </c>
      <c r="Q1837" s="499"/>
      <c r="BY1837" s="696" t="str">
        <f t="shared" si="174"/>
        <v>2012Ind/UnksexSUDI</v>
      </c>
      <c r="BZ1837" s="604">
        <v>2012</v>
      </c>
      <c r="CA1837" s="604" t="s">
        <v>458</v>
      </c>
      <c r="CB1837" s="604" t="s">
        <v>451</v>
      </c>
      <c r="CC1837" s="604">
        <v>0</v>
      </c>
      <c r="CD1837" s="604" t="s">
        <v>33</v>
      </c>
    </row>
    <row r="1838" spans="9:82">
      <c r="I1838" s="578" t="str">
        <f t="shared" si="172"/>
        <v>2011gest32-36Peri</v>
      </c>
      <c r="J1838" s="604">
        <v>2011</v>
      </c>
      <c r="K1838" s="604" t="s">
        <v>450</v>
      </c>
      <c r="L1838" s="604" t="s">
        <v>136</v>
      </c>
      <c r="M1838" s="604">
        <v>79</v>
      </c>
      <c r="N1838" s="604">
        <v>3940</v>
      </c>
      <c r="O1838" s="604">
        <v>20.100000000000001</v>
      </c>
      <c r="P1838" s="604" t="s">
        <v>483</v>
      </c>
      <c r="Q1838" s="499"/>
      <c r="BY1838" s="696" t="str">
        <f t="shared" si="174"/>
        <v>2013MalesexSUDI</v>
      </c>
      <c r="BZ1838" s="604">
        <v>2013</v>
      </c>
      <c r="CA1838" s="604" t="s">
        <v>70</v>
      </c>
      <c r="CB1838" s="604" t="s">
        <v>451</v>
      </c>
      <c r="CC1838" s="604">
        <v>25</v>
      </c>
      <c r="CD1838" s="604" t="s">
        <v>33</v>
      </c>
    </row>
    <row r="1839" spans="9:82">
      <c r="I1839" s="578" t="str">
        <f t="shared" si="172"/>
        <v>2011gest37-41Peri</v>
      </c>
      <c r="J1839" s="604">
        <v>2011</v>
      </c>
      <c r="K1839" s="604" t="s">
        <v>450</v>
      </c>
      <c r="L1839" s="604" t="s">
        <v>137</v>
      </c>
      <c r="M1839" s="604">
        <v>117</v>
      </c>
      <c r="N1839" s="604">
        <v>56008</v>
      </c>
      <c r="O1839" s="604">
        <v>2.1</v>
      </c>
      <c r="P1839" s="604" t="s">
        <v>483</v>
      </c>
      <c r="Q1839" s="499"/>
      <c r="BY1839" s="696" t="str">
        <f t="shared" si="174"/>
        <v>2013FemalesexSUDI</v>
      </c>
      <c r="BZ1839" s="604">
        <v>2013</v>
      </c>
      <c r="CA1839" s="604" t="s">
        <v>71</v>
      </c>
      <c r="CB1839" s="604" t="s">
        <v>451</v>
      </c>
      <c r="CC1839" s="604">
        <v>16</v>
      </c>
      <c r="CD1839" s="604" t="s">
        <v>33</v>
      </c>
    </row>
    <row r="1840" spans="9:82">
      <c r="I1840" s="578" t="str">
        <f t="shared" si="172"/>
        <v>2011gest42+Peri</v>
      </c>
      <c r="J1840" s="604">
        <v>2011</v>
      </c>
      <c r="K1840" s="604" t="s">
        <v>450</v>
      </c>
      <c r="L1840" s="604" t="s">
        <v>138</v>
      </c>
      <c r="M1840" s="604">
        <v>8</v>
      </c>
      <c r="N1840" s="604">
        <v>1603</v>
      </c>
      <c r="O1840" s="604">
        <v>5</v>
      </c>
      <c r="P1840" s="604" t="s">
        <v>483</v>
      </c>
      <c r="Q1840" s="499"/>
      <c r="BY1840" s="696" t="str">
        <f t="shared" si="174"/>
        <v>2013Ind/UnksexSUDI</v>
      </c>
      <c r="BZ1840" s="604">
        <v>2013</v>
      </c>
      <c r="CA1840" s="604" t="s">
        <v>458</v>
      </c>
      <c r="CB1840" s="604" t="s">
        <v>451</v>
      </c>
      <c r="CC1840" s="604">
        <v>0</v>
      </c>
      <c r="CD1840" s="604" t="s">
        <v>33</v>
      </c>
    </row>
    <row r="1841" spans="9:82">
      <c r="I1841" s="578" t="str">
        <f t="shared" si="172"/>
        <v>2011gestUnknownPeri</v>
      </c>
      <c r="J1841" s="604">
        <v>2011</v>
      </c>
      <c r="K1841" s="604" t="s">
        <v>450</v>
      </c>
      <c r="L1841" s="604" t="s">
        <v>63</v>
      </c>
      <c r="M1841" s="604">
        <v>2</v>
      </c>
      <c r="N1841" s="604">
        <v>18</v>
      </c>
      <c r="O1841" s="604" t="s">
        <v>119</v>
      </c>
      <c r="P1841" s="604" t="s">
        <v>483</v>
      </c>
      <c r="Q1841" s="499"/>
      <c r="BY1841" s="696" t="str">
        <f t="shared" si="174"/>
        <v>2014MalesexSUDI</v>
      </c>
      <c r="BZ1841" s="604">
        <v>2014</v>
      </c>
      <c r="CA1841" s="604" t="s">
        <v>70</v>
      </c>
      <c r="CB1841" s="604" t="s">
        <v>451</v>
      </c>
      <c r="CC1841" s="604">
        <v>29</v>
      </c>
      <c r="CD1841" s="604" t="s">
        <v>33</v>
      </c>
    </row>
    <row r="1842" spans="9:82">
      <c r="I1842" s="578" t="str">
        <f t="shared" si="172"/>
        <v>2012gest&lt;28Peri</v>
      </c>
      <c r="J1842" s="604">
        <v>2012</v>
      </c>
      <c r="K1842" s="604" t="s">
        <v>450</v>
      </c>
      <c r="L1842" s="604" t="s">
        <v>375</v>
      </c>
      <c r="M1842" s="604">
        <v>373</v>
      </c>
      <c r="N1842" s="604">
        <v>554</v>
      </c>
      <c r="O1842" s="604">
        <v>673.3</v>
      </c>
      <c r="P1842" s="604" t="s">
        <v>483</v>
      </c>
      <c r="Q1842" s="499"/>
      <c r="BY1842" s="696" t="str">
        <f t="shared" si="174"/>
        <v>2014FemalesexSUDI</v>
      </c>
      <c r="BZ1842" s="604">
        <v>2014</v>
      </c>
      <c r="CA1842" s="604" t="s">
        <v>71</v>
      </c>
      <c r="CB1842" s="604" t="s">
        <v>451</v>
      </c>
      <c r="CC1842" s="604">
        <v>16</v>
      </c>
      <c r="CD1842" s="604" t="s">
        <v>33</v>
      </c>
    </row>
    <row r="1843" spans="9:82">
      <c r="I1843" s="578" t="str">
        <f t="shared" si="172"/>
        <v>2012gest28-31Peri</v>
      </c>
      <c r="J1843" s="604">
        <v>2012</v>
      </c>
      <c r="K1843" s="604" t="s">
        <v>450</v>
      </c>
      <c r="L1843" s="604" t="s">
        <v>395</v>
      </c>
      <c r="M1843" s="604">
        <v>49</v>
      </c>
      <c r="N1843" s="604">
        <v>528</v>
      </c>
      <c r="O1843" s="604">
        <v>92.8</v>
      </c>
      <c r="P1843" s="604" t="s">
        <v>483</v>
      </c>
      <c r="Q1843" s="499"/>
      <c r="BY1843" s="696" t="str">
        <f t="shared" si="174"/>
        <v>2014Ind/UnksexSUDI</v>
      </c>
      <c r="BZ1843" s="604">
        <v>2014</v>
      </c>
      <c r="CA1843" s="604" t="s">
        <v>458</v>
      </c>
      <c r="CB1843" s="604" t="s">
        <v>451</v>
      </c>
      <c r="CC1843" s="604">
        <v>0</v>
      </c>
      <c r="CD1843" s="604" t="s">
        <v>33</v>
      </c>
    </row>
    <row r="1844" spans="9:82">
      <c r="I1844" s="578" t="str">
        <f t="shared" si="172"/>
        <v>2012gest32-36Peri</v>
      </c>
      <c r="J1844" s="604">
        <v>2012</v>
      </c>
      <c r="K1844" s="604" t="s">
        <v>450</v>
      </c>
      <c r="L1844" s="604" t="s">
        <v>136</v>
      </c>
      <c r="M1844" s="604">
        <v>63</v>
      </c>
      <c r="N1844" s="604">
        <v>3989</v>
      </c>
      <c r="O1844" s="604">
        <v>15.8</v>
      </c>
      <c r="P1844" s="604" t="s">
        <v>483</v>
      </c>
      <c r="Q1844" s="499"/>
      <c r="BY1844" s="696" t="str">
        <f t="shared" si="174"/>
        <v>2015MalesexSUDI</v>
      </c>
      <c r="BZ1844" s="604">
        <v>2015</v>
      </c>
      <c r="CA1844" s="604" t="s">
        <v>70</v>
      </c>
      <c r="CB1844" s="604" t="s">
        <v>451</v>
      </c>
      <c r="CC1844" s="604">
        <v>23</v>
      </c>
      <c r="CD1844" s="604" t="s">
        <v>33</v>
      </c>
    </row>
    <row r="1845" spans="9:82">
      <c r="I1845" s="578" t="str">
        <f t="shared" si="172"/>
        <v>2012gest37-41Peri</v>
      </c>
      <c r="J1845" s="604">
        <v>2012</v>
      </c>
      <c r="K1845" s="604" t="s">
        <v>450</v>
      </c>
      <c r="L1845" s="604" t="s">
        <v>137</v>
      </c>
      <c r="M1845" s="604">
        <v>114</v>
      </c>
      <c r="N1845" s="604">
        <v>55908</v>
      </c>
      <c r="O1845" s="604">
        <v>2</v>
      </c>
      <c r="P1845" s="604" t="s">
        <v>483</v>
      </c>
      <c r="Q1845" s="499"/>
      <c r="BY1845" s="696" t="str">
        <f t="shared" si="174"/>
        <v>2015FemalesexSUDI</v>
      </c>
      <c r="BZ1845" s="604">
        <v>2015</v>
      </c>
      <c r="CA1845" s="604" t="s">
        <v>71</v>
      </c>
      <c r="CB1845" s="604" t="s">
        <v>451</v>
      </c>
      <c r="CC1845" s="604">
        <v>21</v>
      </c>
      <c r="CD1845" s="604" t="s">
        <v>33</v>
      </c>
    </row>
    <row r="1846" spans="9:82">
      <c r="I1846" s="578" t="str">
        <f t="shared" si="172"/>
        <v>2012gest42+Peri</v>
      </c>
      <c r="J1846" s="604">
        <v>2012</v>
      </c>
      <c r="K1846" s="604" t="s">
        <v>450</v>
      </c>
      <c r="L1846" s="604" t="s">
        <v>138</v>
      </c>
      <c r="M1846" s="604">
        <v>2</v>
      </c>
      <c r="N1846" s="604">
        <v>1483</v>
      </c>
      <c r="O1846" s="604">
        <v>1.3</v>
      </c>
      <c r="P1846" s="604" t="s">
        <v>483</v>
      </c>
      <c r="Q1846" s="499"/>
      <c r="BY1846" s="696" t="str">
        <f t="shared" si="174"/>
        <v>2015Ind/UnksexSUDI</v>
      </c>
      <c r="BZ1846" s="604">
        <v>2015</v>
      </c>
      <c r="CA1846" s="604" t="s">
        <v>458</v>
      </c>
      <c r="CB1846" s="604" t="s">
        <v>451</v>
      </c>
      <c r="CC1846" s="604">
        <v>0</v>
      </c>
      <c r="CD1846" s="604" t="s">
        <v>33</v>
      </c>
    </row>
    <row r="1847" spans="9:82">
      <c r="I1847" s="578" t="str">
        <f t="shared" si="172"/>
        <v>2012gestUnknownPeri</v>
      </c>
      <c r="J1847" s="604">
        <v>2012</v>
      </c>
      <c r="K1847" s="604" t="s">
        <v>450</v>
      </c>
      <c r="L1847" s="604" t="s">
        <v>63</v>
      </c>
      <c r="M1847" s="604">
        <v>7</v>
      </c>
      <c r="N1847" s="604">
        <v>21</v>
      </c>
      <c r="O1847" s="604" t="s">
        <v>119</v>
      </c>
      <c r="P1847" s="604" t="s">
        <v>483</v>
      </c>
      <c r="Q1847" s="499"/>
      <c r="BY1847" s="696" t="str">
        <f t="shared" si="174"/>
        <v>2016MalesexSUDI</v>
      </c>
      <c r="BZ1847" s="604">
        <v>2016</v>
      </c>
      <c r="CA1847" s="604" t="s">
        <v>70</v>
      </c>
      <c r="CB1847" s="604" t="s">
        <v>451</v>
      </c>
      <c r="CC1847" s="604">
        <v>22</v>
      </c>
      <c r="CD1847" s="604" t="s">
        <v>33</v>
      </c>
    </row>
    <row r="1848" spans="9:82">
      <c r="I1848" s="578" t="str">
        <f t="shared" si="172"/>
        <v>2013gest&lt;28Peri</v>
      </c>
      <c r="J1848" s="604">
        <v>2013</v>
      </c>
      <c r="K1848" s="604" t="s">
        <v>450</v>
      </c>
      <c r="L1848" s="604" t="s">
        <v>375</v>
      </c>
      <c r="M1848" s="604">
        <v>334</v>
      </c>
      <c r="N1848" s="604">
        <v>522</v>
      </c>
      <c r="O1848" s="604">
        <v>639.79999999999995</v>
      </c>
      <c r="P1848" s="604" t="s">
        <v>483</v>
      </c>
      <c r="Q1848" s="499"/>
      <c r="BY1848" s="696" t="str">
        <f t="shared" si="174"/>
        <v>2016FemalesexSUDI</v>
      </c>
      <c r="BZ1848" s="604">
        <v>2016</v>
      </c>
      <c r="CA1848" s="604" t="s">
        <v>71</v>
      </c>
      <c r="CB1848" s="604" t="s">
        <v>451</v>
      </c>
      <c r="CC1848" s="604">
        <v>20</v>
      </c>
      <c r="CD1848" s="604" t="s">
        <v>33</v>
      </c>
    </row>
    <row r="1849" spans="9:82">
      <c r="I1849" s="578" t="str">
        <f t="shared" si="172"/>
        <v>2013gest28-31Peri</v>
      </c>
      <c r="J1849" s="604">
        <v>2013</v>
      </c>
      <c r="K1849" s="604" t="s">
        <v>450</v>
      </c>
      <c r="L1849" s="604" t="s">
        <v>395</v>
      </c>
      <c r="M1849" s="604">
        <v>43</v>
      </c>
      <c r="N1849" s="604">
        <v>480</v>
      </c>
      <c r="O1849" s="604">
        <v>89.6</v>
      </c>
      <c r="P1849" s="604" t="s">
        <v>483</v>
      </c>
      <c r="Q1849" s="499"/>
      <c r="BY1849" s="696" t="str">
        <f t="shared" si="174"/>
        <v>2016Ind/UnksexSUDI</v>
      </c>
      <c r="BZ1849" s="604">
        <v>2016</v>
      </c>
      <c r="CA1849" s="604" t="s">
        <v>458</v>
      </c>
      <c r="CB1849" s="604" t="s">
        <v>451</v>
      </c>
      <c r="CC1849" s="604">
        <v>0</v>
      </c>
      <c r="CD1849" s="604" t="s">
        <v>33</v>
      </c>
    </row>
    <row r="1850" spans="9:82">
      <c r="I1850" s="578" t="str">
        <f t="shared" si="172"/>
        <v>2013gest32-36Peri</v>
      </c>
      <c r="J1850" s="604">
        <v>2013</v>
      </c>
      <c r="K1850" s="604" t="s">
        <v>450</v>
      </c>
      <c r="L1850" s="604" t="s">
        <v>136</v>
      </c>
      <c r="M1850" s="604">
        <v>81</v>
      </c>
      <c r="N1850" s="604">
        <v>3782</v>
      </c>
      <c r="O1850" s="604">
        <v>21.4</v>
      </c>
      <c r="P1850" s="604" t="s">
        <v>483</v>
      </c>
      <c r="Q1850" s="499"/>
      <c r="BY1850" s="696" t="str">
        <f t="shared" si="174"/>
        <v>2000TotalOverallSUDI</v>
      </c>
      <c r="BZ1850" s="604">
        <v>2000</v>
      </c>
      <c r="CA1850" s="604" t="s">
        <v>44</v>
      </c>
      <c r="CB1850" s="604" t="s">
        <v>104</v>
      </c>
      <c r="CC1850" s="604">
        <v>82</v>
      </c>
      <c r="CD1850" s="604" t="s">
        <v>33</v>
      </c>
    </row>
    <row r="1851" spans="9:82">
      <c r="I1851" s="578" t="str">
        <f t="shared" si="172"/>
        <v>2013gest37-41Peri</v>
      </c>
      <c r="J1851" s="604">
        <v>2013</v>
      </c>
      <c r="K1851" s="604" t="s">
        <v>450</v>
      </c>
      <c r="L1851" s="604" t="s">
        <v>137</v>
      </c>
      <c r="M1851" s="604">
        <v>94</v>
      </c>
      <c r="N1851" s="604">
        <v>54112</v>
      </c>
      <c r="O1851" s="604">
        <v>1.7</v>
      </c>
      <c r="P1851" s="604" t="s">
        <v>483</v>
      </c>
      <c r="Q1851" s="499"/>
      <c r="BY1851" s="696" t="str">
        <f t="shared" si="174"/>
        <v>2001TotalOverallSUDI</v>
      </c>
      <c r="BZ1851" s="604">
        <v>2001</v>
      </c>
      <c r="CA1851" s="604" t="s">
        <v>44</v>
      </c>
      <c r="CB1851" s="604" t="s">
        <v>104</v>
      </c>
      <c r="CC1851" s="604">
        <v>71</v>
      </c>
      <c r="CD1851" s="604" t="s">
        <v>33</v>
      </c>
    </row>
    <row r="1852" spans="9:82">
      <c r="I1852" s="578" t="str">
        <f t="shared" si="172"/>
        <v>2013gest42+Peri</v>
      </c>
      <c r="J1852" s="604">
        <v>2013</v>
      </c>
      <c r="K1852" s="604" t="s">
        <v>450</v>
      </c>
      <c r="L1852" s="604" t="s">
        <v>138</v>
      </c>
      <c r="M1852" s="604">
        <v>1</v>
      </c>
      <c r="N1852" s="604">
        <v>1176</v>
      </c>
      <c r="O1852" s="604">
        <v>0.9</v>
      </c>
      <c r="P1852" s="604" t="s">
        <v>483</v>
      </c>
      <c r="Q1852" s="499"/>
      <c r="BY1852" s="696" t="str">
        <f t="shared" si="174"/>
        <v>2002TotalOverallSUDI</v>
      </c>
      <c r="BZ1852" s="604">
        <v>2002</v>
      </c>
      <c r="CA1852" s="604" t="s">
        <v>44</v>
      </c>
      <c r="CB1852" s="604" t="s">
        <v>104</v>
      </c>
      <c r="CC1852" s="604">
        <v>58</v>
      </c>
      <c r="CD1852" s="604" t="s">
        <v>33</v>
      </c>
    </row>
    <row r="1853" spans="9:82">
      <c r="I1853" s="578" t="str">
        <f t="shared" si="172"/>
        <v>2013gestUnknownPeri</v>
      </c>
      <c r="J1853" s="604">
        <v>2013</v>
      </c>
      <c r="K1853" s="604" t="s">
        <v>450</v>
      </c>
      <c r="L1853" s="604" t="s">
        <v>63</v>
      </c>
      <c r="M1853" s="604">
        <v>6</v>
      </c>
      <c r="N1853" s="604">
        <v>22</v>
      </c>
      <c r="O1853" s="604" t="s">
        <v>119</v>
      </c>
      <c r="P1853" s="604" t="s">
        <v>483</v>
      </c>
      <c r="Q1853" s="499"/>
      <c r="BY1853" s="696" t="str">
        <f t="shared" si="174"/>
        <v>2003TotalOverallSUDI</v>
      </c>
      <c r="BZ1853" s="604">
        <v>2003</v>
      </c>
      <c r="CA1853" s="604" t="s">
        <v>44</v>
      </c>
      <c r="CB1853" s="604" t="s">
        <v>104</v>
      </c>
      <c r="CC1853" s="604">
        <v>61</v>
      </c>
      <c r="CD1853" s="604" t="s">
        <v>33</v>
      </c>
    </row>
    <row r="1854" spans="9:82">
      <c r="I1854" s="578" t="str">
        <f t="shared" si="172"/>
        <v>2014gest&lt;28Peri</v>
      </c>
      <c r="J1854" s="604">
        <v>2014</v>
      </c>
      <c r="K1854" s="604" t="s">
        <v>450</v>
      </c>
      <c r="L1854" s="604" t="s">
        <v>375</v>
      </c>
      <c r="M1854" s="604">
        <v>409</v>
      </c>
      <c r="N1854" s="604">
        <v>591</v>
      </c>
      <c r="O1854" s="604">
        <v>692</v>
      </c>
      <c r="P1854" s="604" t="s">
        <v>483</v>
      </c>
      <c r="Q1854" s="499"/>
      <c r="BY1854" s="696" t="str">
        <f t="shared" si="174"/>
        <v>2004TotalOverallSUDI</v>
      </c>
      <c r="BZ1854" s="604">
        <v>2004</v>
      </c>
      <c r="CA1854" s="604" t="s">
        <v>44</v>
      </c>
      <c r="CB1854" s="604" t="s">
        <v>104</v>
      </c>
      <c r="CC1854" s="604">
        <v>62</v>
      </c>
      <c r="CD1854" s="604" t="s">
        <v>33</v>
      </c>
    </row>
    <row r="1855" spans="9:82">
      <c r="I1855" s="578" t="str">
        <f t="shared" si="172"/>
        <v>2014gest28-31Peri</v>
      </c>
      <c r="J1855" s="604">
        <v>2014</v>
      </c>
      <c r="K1855" s="604" t="s">
        <v>450</v>
      </c>
      <c r="L1855" s="604" t="s">
        <v>395</v>
      </c>
      <c r="M1855" s="604">
        <v>48</v>
      </c>
      <c r="N1855" s="604">
        <v>464</v>
      </c>
      <c r="O1855" s="604">
        <v>103.4</v>
      </c>
      <c r="P1855" s="604" t="s">
        <v>483</v>
      </c>
      <c r="Q1855" s="499"/>
      <c r="BY1855" s="696" t="str">
        <f t="shared" si="174"/>
        <v>2005TotalOverallSUDI</v>
      </c>
      <c r="BZ1855" s="604">
        <v>2005</v>
      </c>
      <c r="CA1855" s="604" t="s">
        <v>44</v>
      </c>
      <c r="CB1855" s="604" t="s">
        <v>104</v>
      </c>
      <c r="CC1855" s="604">
        <v>53</v>
      </c>
      <c r="CD1855" s="604" t="s">
        <v>33</v>
      </c>
    </row>
    <row r="1856" spans="9:82">
      <c r="I1856" s="578" t="str">
        <f t="shared" si="172"/>
        <v>2014gest32-36Peri</v>
      </c>
      <c r="J1856" s="604">
        <v>2014</v>
      </c>
      <c r="K1856" s="604" t="s">
        <v>450</v>
      </c>
      <c r="L1856" s="604" t="s">
        <v>136</v>
      </c>
      <c r="M1856" s="604">
        <v>71</v>
      </c>
      <c r="N1856" s="604">
        <v>3671</v>
      </c>
      <c r="O1856" s="604">
        <v>19.3</v>
      </c>
      <c r="P1856" s="604" t="s">
        <v>483</v>
      </c>
      <c r="Q1856" s="499"/>
      <c r="BY1856" s="696" t="str">
        <f t="shared" si="174"/>
        <v>2006TotalOverallSUDI</v>
      </c>
      <c r="BZ1856" s="604">
        <v>2006</v>
      </c>
      <c r="CA1856" s="604" t="s">
        <v>44</v>
      </c>
      <c r="CB1856" s="604" t="s">
        <v>104</v>
      </c>
      <c r="CC1856" s="604">
        <v>66</v>
      </c>
      <c r="CD1856" s="604" t="s">
        <v>33</v>
      </c>
    </row>
    <row r="1857" spans="9:82">
      <c r="I1857" s="578" t="str">
        <f t="shared" si="172"/>
        <v>2014gest37-41Peri</v>
      </c>
      <c r="J1857" s="604">
        <v>2014</v>
      </c>
      <c r="K1857" s="604" t="s">
        <v>450</v>
      </c>
      <c r="L1857" s="604" t="s">
        <v>137</v>
      </c>
      <c r="M1857" s="604">
        <v>107</v>
      </c>
      <c r="N1857" s="604">
        <v>52872</v>
      </c>
      <c r="O1857" s="604">
        <v>2</v>
      </c>
      <c r="P1857" s="604" t="s">
        <v>483</v>
      </c>
      <c r="Q1857" s="499"/>
      <c r="BY1857" s="696" t="str">
        <f t="shared" si="174"/>
        <v>2007TotalOverallSUDI</v>
      </c>
      <c r="BZ1857" s="604">
        <v>2007</v>
      </c>
      <c r="CA1857" s="604" t="s">
        <v>44</v>
      </c>
      <c r="CB1857" s="604" t="s">
        <v>104</v>
      </c>
      <c r="CC1857" s="604">
        <v>64</v>
      </c>
      <c r="CD1857" s="604" t="s">
        <v>33</v>
      </c>
    </row>
    <row r="1858" spans="9:82">
      <c r="I1858" s="578" t="str">
        <f t="shared" si="172"/>
        <v>2014gest42+Peri</v>
      </c>
      <c r="J1858" s="604">
        <v>2014</v>
      </c>
      <c r="K1858" s="604" t="s">
        <v>450</v>
      </c>
      <c r="L1858" s="604" t="s">
        <v>138</v>
      </c>
      <c r="M1858" s="604">
        <v>0</v>
      </c>
      <c r="N1858" s="604">
        <v>1120</v>
      </c>
      <c r="O1858" s="604">
        <v>0</v>
      </c>
      <c r="P1858" s="604" t="s">
        <v>483</v>
      </c>
      <c r="Q1858" s="499"/>
      <c r="BY1858" s="696" t="str">
        <f t="shared" si="174"/>
        <v>2008TotalOverallSUDI</v>
      </c>
      <c r="BZ1858" s="604">
        <v>2008</v>
      </c>
      <c r="CA1858" s="604" t="s">
        <v>44</v>
      </c>
      <c r="CB1858" s="604" t="s">
        <v>104</v>
      </c>
      <c r="CC1858" s="604">
        <v>66</v>
      </c>
      <c r="CD1858" s="604" t="s">
        <v>33</v>
      </c>
    </row>
    <row r="1859" spans="9:82">
      <c r="I1859" s="578" t="str">
        <f t="shared" si="172"/>
        <v>2014gestUnknownPeri</v>
      </c>
      <c r="J1859" s="604">
        <v>2014</v>
      </c>
      <c r="K1859" s="604" t="s">
        <v>450</v>
      </c>
      <c r="L1859" s="604" t="s">
        <v>63</v>
      </c>
      <c r="M1859" s="604">
        <v>20</v>
      </c>
      <c r="N1859" s="604">
        <v>14</v>
      </c>
      <c r="O1859" s="604" t="s">
        <v>119</v>
      </c>
      <c r="P1859" s="604" t="s">
        <v>483</v>
      </c>
      <c r="Q1859" s="499"/>
      <c r="BY1859" s="696" t="str">
        <f t="shared" si="174"/>
        <v>2009TotalOverallSUDI</v>
      </c>
      <c r="BZ1859" s="604">
        <v>2009</v>
      </c>
      <c r="CA1859" s="604" t="s">
        <v>44</v>
      </c>
      <c r="CB1859" s="604" t="s">
        <v>104</v>
      </c>
      <c r="CC1859" s="604">
        <v>66</v>
      </c>
      <c r="CD1859" s="604" t="s">
        <v>33</v>
      </c>
    </row>
    <row r="1860" spans="9:82">
      <c r="I1860" s="578" t="str">
        <f t="shared" ref="I1860:I1923" si="175">J1860&amp;K1860&amp;L1860&amp;P1860</f>
        <v>2015gest&lt;28Peri</v>
      </c>
      <c r="J1860" s="604">
        <v>2015</v>
      </c>
      <c r="K1860" s="604" t="s">
        <v>450</v>
      </c>
      <c r="L1860" s="604" t="s">
        <v>375</v>
      </c>
      <c r="M1860" s="604">
        <v>302</v>
      </c>
      <c r="N1860" s="604">
        <v>498</v>
      </c>
      <c r="O1860" s="604">
        <v>606.4</v>
      </c>
      <c r="P1860" s="604" t="s">
        <v>483</v>
      </c>
      <c r="Q1860" s="499"/>
      <c r="BY1860" s="696" t="str">
        <f t="shared" si="174"/>
        <v>2010TotalOverallSUDI</v>
      </c>
      <c r="BZ1860" s="604">
        <v>2010</v>
      </c>
      <c r="CA1860" s="604" t="s">
        <v>44</v>
      </c>
      <c r="CB1860" s="604" t="s">
        <v>104</v>
      </c>
      <c r="CC1860" s="604">
        <v>60</v>
      </c>
      <c r="CD1860" s="604" t="s">
        <v>33</v>
      </c>
    </row>
    <row r="1861" spans="9:82">
      <c r="I1861" s="578" t="str">
        <f t="shared" si="175"/>
        <v>2015gest28-31Peri</v>
      </c>
      <c r="J1861" s="604">
        <v>2015</v>
      </c>
      <c r="K1861" s="604" t="s">
        <v>450</v>
      </c>
      <c r="L1861" s="604" t="s">
        <v>395</v>
      </c>
      <c r="M1861" s="604">
        <v>36</v>
      </c>
      <c r="N1861" s="604">
        <v>507</v>
      </c>
      <c r="O1861" s="604">
        <v>71</v>
      </c>
      <c r="P1861" s="604" t="s">
        <v>483</v>
      </c>
      <c r="Q1861" s="499"/>
      <c r="BY1861" s="696" t="str">
        <f t="shared" si="174"/>
        <v>2011TotalOverallSUDI</v>
      </c>
      <c r="BZ1861" s="604">
        <v>2011</v>
      </c>
      <c r="CA1861" s="604" t="s">
        <v>44</v>
      </c>
      <c r="CB1861" s="604" t="s">
        <v>104</v>
      </c>
      <c r="CC1861" s="604">
        <v>54</v>
      </c>
      <c r="CD1861" s="604" t="s">
        <v>33</v>
      </c>
    </row>
    <row r="1862" spans="9:82">
      <c r="I1862" s="578" t="str">
        <f t="shared" si="175"/>
        <v>2015gest32-36Peri</v>
      </c>
      <c r="J1862" s="604">
        <v>2015</v>
      </c>
      <c r="K1862" s="604" t="s">
        <v>450</v>
      </c>
      <c r="L1862" s="604" t="s">
        <v>136</v>
      </c>
      <c r="M1862" s="604">
        <v>64</v>
      </c>
      <c r="N1862" s="604">
        <v>3912</v>
      </c>
      <c r="O1862" s="604">
        <v>16.399999999999999</v>
      </c>
      <c r="P1862" s="604" t="s">
        <v>483</v>
      </c>
      <c r="Q1862" s="499"/>
      <c r="BY1862" s="696" t="str">
        <f t="shared" si="174"/>
        <v>2012TotalOverallSUDI</v>
      </c>
      <c r="BZ1862" s="604">
        <v>2012</v>
      </c>
      <c r="CA1862" s="604" t="s">
        <v>44</v>
      </c>
      <c r="CB1862" s="604" t="s">
        <v>104</v>
      </c>
      <c r="CC1862" s="604">
        <v>37</v>
      </c>
      <c r="CD1862" s="604" t="s">
        <v>33</v>
      </c>
    </row>
    <row r="1863" spans="9:82">
      <c r="I1863" s="578" t="str">
        <f t="shared" si="175"/>
        <v>2015gest37-41Peri</v>
      </c>
      <c r="J1863" s="604">
        <v>2015</v>
      </c>
      <c r="K1863" s="604" t="s">
        <v>450</v>
      </c>
      <c r="L1863" s="604" t="s">
        <v>137</v>
      </c>
      <c r="M1863" s="604">
        <v>105</v>
      </c>
      <c r="N1863" s="604">
        <v>56381</v>
      </c>
      <c r="O1863" s="604">
        <v>1.9</v>
      </c>
      <c r="P1863" s="604" t="s">
        <v>483</v>
      </c>
      <c r="Q1863" s="499"/>
      <c r="BY1863" s="696" t="str">
        <f t="shared" si="174"/>
        <v>2013TotalOverallSUDI</v>
      </c>
      <c r="BZ1863" s="604">
        <v>2013</v>
      </c>
      <c r="CA1863" s="604" t="s">
        <v>44</v>
      </c>
      <c r="CB1863" s="604" t="s">
        <v>104</v>
      </c>
      <c r="CC1863" s="604">
        <v>41</v>
      </c>
      <c r="CD1863" s="604" t="s">
        <v>33</v>
      </c>
    </row>
    <row r="1864" spans="9:82">
      <c r="I1864" s="578" t="str">
        <f t="shared" si="175"/>
        <v>2015gest42+Peri</v>
      </c>
      <c r="J1864" s="604">
        <v>2015</v>
      </c>
      <c r="K1864" s="604" t="s">
        <v>450</v>
      </c>
      <c r="L1864" s="604" t="s">
        <v>138</v>
      </c>
      <c r="M1864" s="604">
        <v>5</v>
      </c>
      <c r="N1864" s="604">
        <v>1184</v>
      </c>
      <c r="O1864" s="604">
        <v>4.2</v>
      </c>
      <c r="P1864" s="604" t="s">
        <v>483</v>
      </c>
      <c r="Q1864" s="499"/>
      <c r="BY1864" s="696" t="str">
        <f t="shared" si="174"/>
        <v>2014TotalOverallSUDI</v>
      </c>
      <c r="BZ1864" s="604">
        <v>2014</v>
      </c>
      <c r="CA1864" s="604" t="s">
        <v>44</v>
      </c>
      <c r="CB1864" s="604" t="s">
        <v>104</v>
      </c>
      <c r="CC1864" s="604">
        <v>45</v>
      </c>
      <c r="CD1864" s="604" t="s">
        <v>33</v>
      </c>
    </row>
    <row r="1865" spans="9:82">
      <c r="I1865" s="578" t="str">
        <f t="shared" si="175"/>
        <v>2015gestUnknownPeri</v>
      </c>
      <c r="J1865" s="604">
        <v>2015</v>
      </c>
      <c r="K1865" s="604" t="s">
        <v>450</v>
      </c>
      <c r="L1865" s="604" t="s">
        <v>63</v>
      </c>
      <c r="M1865" s="604">
        <v>16</v>
      </c>
      <c r="N1865" s="604">
        <v>24</v>
      </c>
      <c r="O1865" s="604" t="s">
        <v>119</v>
      </c>
      <c r="P1865" s="604" t="s">
        <v>483</v>
      </c>
      <c r="Q1865" s="499"/>
      <c r="BY1865" s="696" t="str">
        <f t="shared" si="174"/>
        <v>2015TotalOverallSUDI</v>
      </c>
      <c r="BZ1865" s="604">
        <v>2015</v>
      </c>
      <c r="CA1865" s="604" t="s">
        <v>44</v>
      </c>
      <c r="CB1865" s="604" t="s">
        <v>104</v>
      </c>
      <c r="CC1865" s="604">
        <v>44</v>
      </c>
      <c r="CD1865" s="604" t="s">
        <v>33</v>
      </c>
    </row>
    <row r="1866" spans="9:82">
      <c r="I1866" s="578" t="str">
        <f t="shared" si="175"/>
        <v>2016gest&lt;28Peri</v>
      </c>
      <c r="J1866" s="604">
        <v>2016</v>
      </c>
      <c r="K1866" s="604" t="s">
        <v>450</v>
      </c>
      <c r="L1866" s="604" t="s">
        <v>375</v>
      </c>
      <c r="M1866" s="604">
        <v>305</v>
      </c>
      <c r="N1866" s="604">
        <v>487</v>
      </c>
      <c r="O1866" s="604">
        <v>626.29999999999995</v>
      </c>
      <c r="P1866" s="604" t="s">
        <v>483</v>
      </c>
      <c r="Q1866" s="499"/>
      <c r="BY1866" s="696" t="str">
        <f t="shared" si="174"/>
        <v>2016TotalOverallSUDI</v>
      </c>
      <c r="BZ1866" s="604">
        <v>2016</v>
      </c>
      <c r="CA1866" s="604" t="s">
        <v>44</v>
      </c>
      <c r="CB1866" s="604" t="s">
        <v>104</v>
      </c>
      <c r="CC1866" s="604">
        <v>42</v>
      </c>
      <c r="CD1866" s="604" t="s">
        <v>33</v>
      </c>
    </row>
    <row r="1867" spans="9:82">
      <c r="I1867" s="578" t="str">
        <f t="shared" si="175"/>
        <v>2016gest28-31Peri</v>
      </c>
      <c r="J1867" s="604">
        <v>2016</v>
      </c>
      <c r="K1867" s="604" t="s">
        <v>450</v>
      </c>
      <c r="L1867" s="604" t="s">
        <v>395</v>
      </c>
      <c r="M1867" s="604">
        <v>46</v>
      </c>
      <c r="N1867" s="604">
        <v>455</v>
      </c>
      <c r="O1867" s="604">
        <v>101.1</v>
      </c>
      <c r="P1867" s="604" t="s">
        <v>483</v>
      </c>
      <c r="Q1867" s="499"/>
      <c r="BY1867" s="696" t="str">
        <f t="shared" si="174"/>
        <v/>
      </c>
    </row>
    <row r="1868" spans="9:82">
      <c r="I1868" s="578" t="str">
        <f t="shared" si="175"/>
        <v>2016gest32-36Peri</v>
      </c>
      <c r="J1868" s="604">
        <v>2016</v>
      </c>
      <c r="K1868" s="604" t="s">
        <v>450</v>
      </c>
      <c r="L1868" s="604" t="s">
        <v>136</v>
      </c>
      <c r="M1868" s="604">
        <v>66</v>
      </c>
      <c r="N1868" s="604">
        <v>3870</v>
      </c>
      <c r="O1868" s="604">
        <v>17.100000000000001</v>
      </c>
      <c r="P1868" s="604" t="s">
        <v>483</v>
      </c>
      <c r="Q1868" s="499"/>
      <c r="BY1868" s="696" t="str">
        <f t="shared" si="174"/>
        <v/>
      </c>
    </row>
    <row r="1869" spans="9:82">
      <c r="I1869" s="578" t="str">
        <f t="shared" si="175"/>
        <v>2016gest37-41Peri</v>
      </c>
      <c r="J1869" s="604">
        <v>2016</v>
      </c>
      <c r="K1869" s="604" t="s">
        <v>450</v>
      </c>
      <c r="L1869" s="604" t="s">
        <v>137</v>
      </c>
      <c r="M1869" s="604">
        <v>111</v>
      </c>
      <c r="N1869" s="604">
        <v>54985</v>
      </c>
      <c r="O1869" s="604">
        <v>2</v>
      </c>
      <c r="P1869" s="604" t="s">
        <v>483</v>
      </c>
      <c r="Q1869" s="499"/>
      <c r="BY1869" s="696" t="str">
        <f t="shared" si="174"/>
        <v/>
      </c>
    </row>
    <row r="1870" spans="9:82">
      <c r="I1870" s="578" t="str">
        <f t="shared" si="175"/>
        <v>2016gest42+Peri</v>
      </c>
      <c r="J1870" s="604">
        <v>2016</v>
      </c>
      <c r="K1870" s="604" t="s">
        <v>450</v>
      </c>
      <c r="L1870" s="604" t="s">
        <v>138</v>
      </c>
      <c r="M1870" s="604">
        <v>3</v>
      </c>
      <c r="N1870" s="604">
        <v>1017</v>
      </c>
      <c r="O1870" s="604">
        <v>2.9</v>
      </c>
      <c r="P1870" s="604" t="s">
        <v>483</v>
      </c>
      <c r="Q1870" s="499"/>
      <c r="BY1870" s="696" t="str">
        <f t="shared" si="174"/>
        <v/>
      </c>
    </row>
    <row r="1871" spans="9:82">
      <c r="I1871" s="578" t="str">
        <f t="shared" si="175"/>
        <v>2016gestUnknownPeri</v>
      </c>
      <c r="J1871" s="604">
        <v>2016</v>
      </c>
      <c r="K1871" s="604" t="s">
        <v>450</v>
      </c>
      <c r="L1871" s="604" t="s">
        <v>63</v>
      </c>
      <c r="M1871" s="604">
        <v>15</v>
      </c>
      <c r="N1871" s="604">
        <v>35</v>
      </c>
      <c r="O1871" s="604" t="s">
        <v>119</v>
      </c>
      <c r="P1871" s="604" t="s">
        <v>483</v>
      </c>
      <c r="Q1871" s="499"/>
    </row>
    <row r="1872" spans="9:82">
      <c r="I1872" s="578" t="str">
        <f t="shared" si="175"/>
        <v>1996dhbNorthlandPeri</v>
      </c>
      <c r="J1872" s="604">
        <v>1996</v>
      </c>
      <c r="K1872" s="604" t="s">
        <v>448</v>
      </c>
      <c r="L1872" s="604" t="s">
        <v>85</v>
      </c>
      <c r="M1872" s="604">
        <v>19</v>
      </c>
      <c r="N1872" s="604">
        <v>2249</v>
      </c>
      <c r="O1872" s="604">
        <v>8.4</v>
      </c>
      <c r="P1872" s="604" t="s">
        <v>483</v>
      </c>
      <c r="Q1872" s="499"/>
    </row>
    <row r="1873" spans="9:17">
      <c r="I1873" s="578" t="str">
        <f t="shared" si="175"/>
        <v>1996dhbWaitemataPeri</v>
      </c>
      <c r="J1873" s="604">
        <v>1996</v>
      </c>
      <c r="K1873" s="604" t="s">
        <v>448</v>
      </c>
      <c r="L1873" s="604" t="s">
        <v>86</v>
      </c>
      <c r="M1873" s="604">
        <v>49</v>
      </c>
      <c r="N1873" s="604">
        <v>6359</v>
      </c>
      <c r="O1873" s="604">
        <v>7.7</v>
      </c>
      <c r="P1873" s="604" t="s">
        <v>483</v>
      </c>
      <c r="Q1873" s="499"/>
    </row>
    <row r="1874" spans="9:17">
      <c r="I1874" s="578" t="str">
        <f t="shared" si="175"/>
        <v>1996dhbAucklandPeri</v>
      </c>
      <c r="J1874" s="604">
        <v>1996</v>
      </c>
      <c r="K1874" s="604" t="s">
        <v>448</v>
      </c>
      <c r="L1874" s="604" t="s">
        <v>87</v>
      </c>
      <c r="M1874" s="604">
        <v>56</v>
      </c>
      <c r="N1874" s="604">
        <v>6029</v>
      </c>
      <c r="O1874" s="604">
        <v>9.3000000000000007</v>
      </c>
      <c r="P1874" s="604" t="s">
        <v>483</v>
      </c>
      <c r="Q1874" s="499"/>
    </row>
    <row r="1875" spans="9:17">
      <c r="I1875" s="578" t="str">
        <f t="shared" si="175"/>
        <v>1996dhbCounties ManukauPeri</v>
      </c>
      <c r="J1875" s="604">
        <v>1996</v>
      </c>
      <c r="K1875" s="604" t="s">
        <v>448</v>
      </c>
      <c r="L1875" s="604" t="s">
        <v>88</v>
      </c>
      <c r="M1875" s="604">
        <v>63</v>
      </c>
      <c r="N1875" s="604">
        <v>6919</v>
      </c>
      <c r="O1875" s="604">
        <v>9.1</v>
      </c>
      <c r="P1875" s="604" t="s">
        <v>483</v>
      </c>
      <c r="Q1875" s="499"/>
    </row>
    <row r="1876" spans="9:17">
      <c r="I1876" s="578" t="str">
        <f t="shared" si="175"/>
        <v>1996dhbWaikatoPeri</v>
      </c>
      <c r="J1876" s="604">
        <v>1996</v>
      </c>
      <c r="K1876" s="604" t="s">
        <v>448</v>
      </c>
      <c r="L1876" s="604" t="s">
        <v>89</v>
      </c>
      <c r="M1876" s="604">
        <v>60</v>
      </c>
      <c r="N1876" s="604">
        <v>4987</v>
      </c>
      <c r="O1876" s="604">
        <v>12</v>
      </c>
      <c r="P1876" s="604" t="s">
        <v>483</v>
      </c>
      <c r="Q1876" s="499"/>
    </row>
    <row r="1877" spans="9:17">
      <c r="I1877" s="578" t="str">
        <f t="shared" si="175"/>
        <v>1996dhbLakesPeri</v>
      </c>
      <c r="J1877" s="604">
        <v>1996</v>
      </c>
      <c r="K1877" s="604" t="s">
        <v>448</v>
      </c>
      <c r="L1877" s="604" t="s">
        <v>90</v>
      </c>
      <c r="M1877" s="604">
        <v>14</v>
      </c>
      <c r="N1877" s="604">
        <v>1742</v>
      </c>
      <c r="O1877" s="604">
        <v>8</v>
      </c>
      <c r="P1877" s="604" t="s">
        <v>483</v>
      </c>
      <c r="Q1877" s="499"/>
    </row>
    <row r="1878" spans="9:17">
      <c r="I1878" s="578" t="str">
        <f t="shared" si="175"/>
        <v>1996dhbBay of PlentyPeri</v>
      </c>
      <c r="J1878" s="604">
        <v>1996</v>
      </c>
      <c r="K1878" s="604" t="s">
        <v>448</v>
      </c>
      <c r="L1878" s="604" t="s">
        <v>91</v>
      </c>
      <c r="M1878" s="604">
        <v>21</v>
      </c>
      <c r="N1878" s="604">
        <v>2590</v>
      </c>
      <c r="O1878" s="604">
        <v>8.1</v>
      </c>
      <c r="P1878" s="604" t="s">
        <v>483</v>
      </c>
      <c r="Q1878" s="499"/>
    </row>
    <row r="1879" spans="9:17">
      <c r="I1879" s="578" t="str">
        <f t="shared" si="175"/>
        <v>1996dhbTairawhitiPeri</v>
      </c>
      <c r="J1879" s="604">
        <v>1996</v>
      </c>
      <c r="K1879" s="604" t="s">
        <v>448</v>
      </c>
      <c r="L1879" s="604" t="s">
        <v>433</v>
      </c>
      <c r="M1879" s="604">
        <v>5</v>
      </c>
      <c r="N1879" s="604">
        <v>876</v>
      </c>
      <c r="O1879" s="604">
        <v>5.7</v>
      </c>
      <c r="P1879" s="604" t="s">
        <v>483</v>
      </c>
      <c r="Q1879" s="499"/>
    </row>
    <row r="1880" spans="9:17">
      <c r="I1880" s="578" t="str">
        <f t="shared" si="175"/>
        <v>1996dhbHawke's BayPeri</v>
      </c>
      <c r="J1880" s="604">
        <v>1996</v>
      </c>
      <c r="K1880" s="604" t="s">
        <v>448</v>
      </c>
      <c r="L1880" s="604" t="s">
        <v>92</v>
      </c>
      <c r="M1880" s="604">
        <v>33</v>
      </c>
      <c r="N1880" s="604">
        <v>2425</v>
      </c>
      <c r="O1880" s="604">
        <v>13.6</v>
      </c>
      <c r="P1880" s="604" t="s">
        <v>483</v>
      </c>
      <c r="Q1880" s="499"/>
    </row>
    <row r="1881" spans="9:17">
      <c r="I1881" s="578" t="str">
        <f t="shared" si="175"/>
        <v>1996dhbTaranakiPeri</v>
      </c>
      <c r="J1881" s="604">
        <v>1996</v>
      </c>
      <c r="K1881" s="604" t="s">
        <v>448</v>
      </c>
      <c r="L1881" s="604" t="s">
        <v>93</v>
      </c>
      <c r="M1881" s="604">
        <v>26</v>
      </c>
      <c r="N1881" s="604">
        <v>1557</v>
      </c>
      <c r="O1881" s="604">
        <v>16.7</v>
      </c>
      <c r="P1881" s="604" t="s">
        <v>483</v>
      </c>
      <c r="Q1881" s="499"/>
    </row>
    <row r="1882" spans="9:17">
      <c r="I1882" s="578" t="str">
        <f t="shared" si="175"/>
        <v>1996dhbMidCentralPeri</v>
      </c>
      <c r="J1882" s="604">
        <v>1996</v>
      </c>
      <c r="K1882" s="604" t="s">
        <v>448</v>
      </c>
      <c r="L1882" s="604" t="s">
        <v>94</v>
      </c>
      <c r="M1882" s="604">
        <v>31</v>
      </c>
      <c r="N1882" s="604">
        <v>2451</v>
      </c>
      <c r="O1882" s="604">
        <v>12.6</v>
      </c>
      <c r="P1882" s="604" t="s">
        <v>483</v>
      </c>
      <c r="Q1882" s="499"/>
    </row>
    <row r="1883" spans="9:17">
      <c r="I1883" s="578" t="str">
        <f t="shared" si="175"/>
        <v>1996dhbWhanganuiPeri</v>
      </c>
      <c r="J1883" s="604">
        <v>1996</v>
      </c>
      <c r="K1883" s="604" t="s">
        <v>448</v>
      </c>
      <c r="L1883" s="604" t="s">
        <v>95</v>
      </c>
      <c r="M1883" s="604">
        <v>15</v>
      </c>
      <c r="N1883" s="604">
        <v>1088</v>
      </c>
      <c r="O1883" s="604">
        <v>13.8</v>
      </c>
      <c r="P1883" s="604" t="s">
        <v>483</v>
      </c>
      <c r="Q1883" s="499"/>
    </row>
    <row r="1884" spans="9:17">
      <c r="I1884" s="578" t="str">
        <f t="shared" si="175"/>
        <v>1996dhbCapital &amp; CoastPeri</v>
      </c>
      <c r="J1884" s="604">
        <v>1996</v>
      </c>
      <c r="K1884" s="604" t="s">
        <v>448</v>
      </c>
      <c r="L1884" s="604" t="s">
        <v>96</v>
      </c>
      <c r="M1884" s="604">
        <v>32</v>
      </c>
      <c r="N1884" s="604">
        <v>3667</v>
      </c>
      <c r="O1884" s="604">
        <v>8.6999999999999993</v>
      </c>
      <c r="P1884" s="604" t="s">
        <v>483</v>
      </c>
      <c r="Q1884" s="499"/>
    </row>
    <row r="1885" spans="9:17">
      <c r="I1885" s="578" t="str">
        <f t="shared" si="175"/>
        <v>1996dhbHutt ValleyPeri</v>
      </c>
      <c r="J1885" s="604">
        <v>1996</v>
      </c>
      <c r="K1885" s="604" t="s">
        <v>448</v>
      </c>
      <c r="L1885" s="604" t="s">
        <v>97</v>
      </c>
      <c r="M1885" s="604">
        <v>15</v>
      </c>
      <c r="N1885" s="604">
        <v>2147</v>
      </c>
      <c r="O1885" s="604">
        <v>7</v>
      </c>
      <c r="P1885" s="604" t="s">
        <v>483</v>
      </c>
      <c r="Q1885" s="499"/>
    </row>
    <row r="1886" spans="9:17">
      <c r="I1886" s="578" t="str">
        <f t="shared" si="175"/>
        <v>1996dhbWairarapaPeri</v>
      </c>
      <c r="J1886" s="604">
        <v>1996</v>
      </c>
      <c r="K1886" s="604" t="s">
        <v>448</v>
      </c>
      <c r="L1886" s="604" t="s">
        <v>98</v>
      </c>
      <c r="M1886" s="604">
        <v>13</v>
      </c>
      <c r="N1886" s="604">
        <v>579</v>
      </c>
      <c r="O1886" s="604">
        <v>22.5</v>
      </c>
      <c r="P1886" s="604" t="s">
        <v>483</v>
      </c>
      <c r="Q1886" s="499"/>
    </row>
    <row r="1887" spans="9:17">
      <c r="I1887" s="578" t="str">
        <f t="shared" si="175"/>
        <v>1996dhbNelson MarlboroughPeri</v>
      </c>
      <c r="J1887" s="604">
        <v>1996</v>
      </c>
      <c r="K1887" s="604" t="s">
        <v>448</v>
      </c>
      <c r="L1887" s="604" t="s">
        <v>99</v>
      </c>
      <c r="M1887" s="604">
        <v>12</v>
      </c>
      <c r="N1887" s="604">
        <v>1485</v>
      </c>
      <c r="O1887" s="604">
        <v>8.1</v>
      </c>
      <c r="P1887" s="604" t="s">
        <v>483</v>
      </c>
      <c r="Q1887" s="499"/>
    </row>
    <row r="1888" spans="9:17">
      <c r="I1888" s="578" t="str">
        <f t="shared" si="175"/>
        <v>1996dhbWest CoastPeri</v>
      </c>
      <c r="J1888" s="604">
        <v>1996</v>
      </c>
      <c r="K1888" s="604" t="s">
        <v>448</v>
      </c>
      <c r="L1888" s="604" t="s">
        <v>100</v>
      </c>
      <c r="M1888" s="604">
        <v>2</v>
      </c>
      <c r="N1888" s="604">
        <v>493</v>
      </c>
      <c r="O1888" s="604">
        <v>4.0999999999999996</v>
      </c>
      <c r="P1888" s="604" t="s">
        <v>483</v>
      </c>
      <c r="Q1888" s="499"/>
    </row>
    <row r="1889" spans="9:17">
      <c r="I1889" s="578" t="str">
        <f t="shared" si="175"/>
        <v>1996dhbCanterburyPeri</v>
      </c>
      <c r="J1889" s="604">
        <v>1996</v>
      </c>
      <c r="K1889" s="604" t="s">
        <v>448</v>
      </c>
      <c r="L1889" s="604" t="s">
        <v>101</v>
      </c>
      <c r="M1889" s="604">
        <v>65</v>
      </c>
      <c r="N1889" s="604">
        <v>5591</v>
      </c>
      <c r="O1889" s="604">
        <v>11.6</v>
      </c>
      <c r="P1889" s="604" t="s">
        <v>483</v>
      </c>
      <c r="Q1889" s="499"/>
    </row>
    <row r="1890" spans="9:17">
      <c r="I1890" s="578" t="str">
        <f t="shared" si="175"/>
        <v>1996dhbSouth CanterburyPeri</v>
      </c>
      <c r="J1890" s="604">
        <v>1996</v>
      </c>
      <c r="K1890" s="604" t="s">
        <v>448</v>
      </c>
      <c r="L1890" s="604" t="s">
        <v>102</v>
      </c>
      <c r="M1890" s="604">
        <v>7</v>
      </c>
      <c r="N1890" s="604">
        <v>705</v>
      </c>
      <c r="O1890" s="604">
        <v>9.9</v>
      </c>
      <c r="P1890" s="604" t="s">
        <v>483</v>
      </c>
      <c r="Q1890" s="499"/>
    </row>
    <row r="1891" spans="9:17">
      <c r="I1891" s="578" t="str">
        <f t="shared" si="175"/>
        <v>1996dhbSouthernPeri</v>
      </c>
      <c r="J1891" s="604">
        <v>1996</v>
      </c>
      <c r="K1891" s="604" t="s">
        <v>448</v>
      </c>
      <c r="L1891" s="604" t="s">
        <v>103</v>
      </c>
      <c r="M1891" s="604">
        <v>43</v>
      </c>
      <c r="N1891" s="604">
        <v>3745</v>
      </c>
      <c r="O1891" s="604">
        <v>11.5</v>
      </c>
      <c r="P1891" s="604" t="s">
        <v>483</v>
      </c>
      <c r="Q1891" s="499"/>
    </row>
    <row r="1892" spans="9:17">
      <c r="I1892" s="578" t="str">
        <f t="shared" si="175"/>
        <v>1996dhbUnknownPeri</v>
      </c>
      <c r="J1892" s="604">
        <v>1996</v>
      </c>
      <c r="K1892" s="604" t="s">
        <v>448</v>
      </c>
      <c r="L1892" s="604" t="s">
        <v>63</v>
      </c>
      <c r="M1892" s="604">
        <v>1</v>
      </c>
      <c r="N1892" s="604">
        <v>159</v>
      </c>
      <c r="O1892" s="604" t="s">
        <v>119</v>
      </c>
      <c r="P1892" s="604" t="s">
        <v>483</v>
      </c>
      <c r="Q1892" s="499"/>
    </row>
    <row r="1893" spans="9:17">
      <c r="I1893" s="578" t="str">
        <f t="shared" si="175"/>
        <v>1997dhbNorthlandPeri</v>
      </c>
      <c r="J1893" s="604">
        <v>1997</v>
      </c>
      <c r="K1893" s="604" t="s">
        <v>448</v>
      </c>
      <c r="L1893" s="604" t="s">
        <v>85</v>
      </c>
      <c r="M1893" s="604">
        <v>18</v>
      </c>
      <c r="N1893" s="604">
        <v>2226</v>
      </c>
      <c r="O1893" s="604">
        <v>8.1</v>
      </c>
      <c r="P1893" s="604" t="s">
        <v>483</v>
      </c>
      <c r="Q1893" s="499"/>
    </row>
    <row r="1894" spans="9:17">
      <c r="I1894" s="578" t="str">
        <f t="shared" si="175"/>
        <v>1997dhbWaitemataPeri</v>
      </c>
      <c r="J1894" s="604">
        <v>1997</v>
      </c>
      <c r="K1894" s="604" t="s">
        <v>448</v>
      </c>
      <c r="L1894" s="604" t="s">
        <v>86</v>
      </c>
      <c r="M1894" s="604">
        <v>56</v>
      </c>
      <c r="N1894" s="604">
        <v>6397</v>
      </c>
      <c r="O1894" s="604">
        <v>8.8000000000000007</v>
      </c>
      <c r="P1894" s="604" t="s">
        <v>483</v>
      </c>
      <c r="Q1894" s="499"/>
    </row>
    <row r="1895" spans="9:17">
      <c r="I1895" s="578" t="str">
        <f t="shared" si="175"/>
        <v>1997dhbAucklandPeri</v>
      </c>
      <c r="J1895" s="604">
        <v>1997</v>
      </c>
      <c r="K1895" s="604" t="s">
        <v>448</v>
      </c>
      <c r="L1895" s="604" t="s">
        <v>87</v>
      </c>
      <c r="M1895" s="604">
        <v>62</v>
      </c>
      <c r="N1895" s="604">
        <v>5966</v>
      </c>
      <c r="O1895" s="604">
        <v>10.4</v>
      </c>
      <c r="P1895" s="604" t="s">
        <v>483</v>
      </c>
      <c r="Q1895" s="499"/>
    </row>
    <row r="1896" spans="9:17">
      <c r="I1896" s="578" t="str">
        <f t="shared" si="175"/>
        <v>1997dhbCounties ManukauPeri</v>
      </c>
      <c r="J1896" s="604">
        <v>1997</v>
      </c>
      <c r="K1896" s="604" t="s">
        <v>448</v>
      </c>
      <c r="L1896" s="604" t="s">
        <v>88</v>
      </c>
      <c r="M1896" s="604">
        <v>71</v>
      </c>
      <c r="N1896" s="604">
        <v>7019</v>
      </c>
      <c r="O1896" s="604">
        <v>10.1</v>
      </c>
      <c r="P1896" s="604" t="s">
        <v>483</v>
      </c>
      <c r="Q1896" s="499"/>
    </row>
    <row r="1897" spans="9:17">
      <c r="I1897" s="578" t="str">
        <f t="shared" si="175"/>
        <v>1997dhbWaikatoPeri</v>
      </c>
      <c r="J1897" s="604">
        <v>1997</v>
      </c>
      <c r="K1897" s="604" t="s">
        <v>448</v>
      </c>
      <c r="L1897" s="604" t="s">
        <v>89</v>
      </c>
      <c r="M1897" s="604">
        <v>49</v>
      </c>
      <c r="N1897" s="604">
        <v>5272</v>
      </c>
      <c r="O1897" s="604">
        <v>9.3000000000000007</v>
      </c>
      <c r="P1897" s="604" t="s">
        <v>483</v>
      </c>
      <c r="Q1897" s="499"/>
    </row>
    <row r="1898" spans="9:17">
      <c r="I1898" s="578" t="str">
        <f t="shared" si="175"/>
        <v>1997dhbLakesPeri</v>
      </c>
      <c r="J1898" s="604">
        <v>1997</v>
      </c>
      <c r="K1898" s="604" t="s">
        <v>448</v>
      </c>
      <c r="L1898" s="604" t="s">
        <v>90</v>
      </c>
      <c r="M1898" s="604">
        <v>30</v>
      </c>
      <c r="N1898" s="604">
        <v>1903</v>
      </c>
      <c r="O1898" s="604">
        <v>15.8</v>
      </c>
      <c r="P1898" s="604" t="s">
        <v>483</v>
      </c>
      <c r="Q1898" s="499"/>
    </row>
    <row r="1899" spans="9:17">
      <c r="I1899" s="578" t="str">
        <f t="shared" si="175"/>
        <v>1997dhbBay of PlentyPeri</v>
      </c>
      <c r="J1899" s="604">
        <v>1997</v>
      </c>
      <c r="K1899" s="604" t="s">
        <v>448</v>
      </c>
      <c r="L1899" s="604" t="s">
        <v>91</v>
      </c>
      <c r="M1899" s="604">
        <v>25</v>
      </c>
      <c r="N1899" s="604">
        <v>2761</v>
      </c>
      <c r="O1899" s="604">
        <v>9.1</v>
      </c>
      <c r="P1899" s="604" t="s">
        <v>483</v>
      </c>
      <c r="Q1899" s="499"/>
    </row>
    <row r="1900" spans="9:17">
      <c r="I1900" s="578" t="str">
        <f t="shared" si="175"/>
        <v>1997dhbTairawhitiPeri</v>
      </c>
      <c r="J1900" s="604">
        <v>1997</v>
      </c>
      <c r="K1900" s="604" t="s">
        <v>448</v>
      </c>
      <c r="L1900" s="604" t="s">
        <v>433</v>
      </c>
      <c r="M1900" s="604">
        <v>6</v>
      </c>
      <c r="N1900" s="604">
        <v>840</v>
      </c>
      <c r="O1900" s="604">
        <v>7.1</v>
      </c>
      <c r="P1900" s="604" t="s">
        <v>483</v>
      </c>
      <c r="Q1900" s="499"/>
    </row>
    <row r="1901" spans="9:17">
      <c r="I1901" s="578" t="str">
        <f t="shared" si="175"/>
        <v>1997dhbHawke's BayPeri</v>
      </c>
      <c r="J1901" s="604">
        <v>1997</v>
      </c>
      <c r="K1901" s="604" t="s">
        <v>448</v>
      </c>
      <c r="L1901" s="604" t="s">
        <v>92</v>
      </c>
      <c r="M1901" s="604">
        <v>19</v>
      </c>
      <c r="N1901" s="604">
        <v>2316</v>
      </c>
      <c r="O1901" s="604">
        <v>8.1999999999999993</v>
      </c>
      <c r="P1901" s="604" t="s">
        <v>483</v>
      </c>
      <c r="Q1901" s="499"/>
    </row>
    <row r="1902" spans="9:17">
      <c r="I1902" s="578" t="str">
        <f t="shared" si="175"/>
        <v>1997dhbTaranakiPeri</v>
      </c>
      <c r="J1902" s="604">
        <v>1997</v>
      </c>
      <c r="K1902" s="604" t="s">
        <v>448</v>
      </c>
      <c r="L1902" s="604" t="s">
        <v>93</v>
      </c>
      <c r="M1902" s="604">
        <v>18</v>
      </c>
      <c r="N1902" s="604">
        <v>1516</v>
      </c>
      <c r="O1902" s="604">
        <v>11.9</v>
      </c>
      <c r="P1902" s="604" t="s">
        <v>483</v>
      </c>
      <c r="Q1902" s="499"/>
    </row>
    <row r="1903" spans="9:17">
      <c r="I1903" s="578" t="str">
        <f t="shared" si="175"/>
        <v>1997dhbMidCentralPeri</v>
      </c>
      <c r="J1903" s="604">
        <v>1997</v>
      </c>
      <c r="K1903" s="604" t="s">
        <v>448</v>
      </c>
      <c r="L1903" s="604" t="s">
        <v>94</v>
      </c>
      <c r="M1903" s="604">
        <v>24</v>
      </c>
      <c r="N1903" s="604">
        <v>2402</v>
      </c>
      <c r="O1903" s="604">
        <v>10</v>
      </c>
      <c r="P1903" s="604" t="s">
        <v>483</v>
      </c>
      <c r="Q1903" s="499"/>
    </row>
    <row r="1904" spans="9:17">
      <c r="I1904" s="578" t="str">
        <f t="shared" si="175"/>
        <v>1997dhbWhanganuiPeri</v>
      </c>
      <c r="J1904" s="604">
        <v>1997</v>
      </c>
      <c r="K1904" s="604" t="s">
        <v>448</v>
      </c>
      <c r="L1904" s="604" t="s">
        <v>95</v>
      </c>
      <c r="M1904" s="604">
        <v>10</v>
      </c>
      <c r="N1904" s="604">
        <v>1088</v>
      </c>
      <c r="O1904" s="604">
        <v>9.1999999999999993</v>
      </c>
      <c r="P1904" s="604" t="s">
        <v>483</v>
      </c>
      <c r="Q1904" s="499"/>
    </row>
    <row r="1905" spans="9:17">
      <c r="I1905" s="578" t="str">
        <f t="shared" si="175"/>
        <v>1997dhbCapital &amp; CoastPeri</v>
      </c>
      <c r="J1905" s="604">
        <v>1997</v>
      </c>
      <c r="K1905" s="604" t="s">
        <v>448</v>
      </c>
      <c r="L1905" s="604" t="s">
        <v>96</v>
      </c>
      <c r="M1905" s="604">
        <v>33</v>
      </c>
      <c r="N1905" s="604">
        <v>3593</v>
      </c>
      <c r="O1905" s="604">
        <v>9.1999999999999993</v>
      </c>
      <c r="P1905" s="604" t="s">
        <v>483</v>
      </c>
      <c r="Q1905" s="499"/>
    </row>
    <row r="1906" spans="9:17">
      <c r="I1906" s="578" t="str">
        <f t="shared" si="175"/>
        <v>1997dhbHutt ValleyPeri</v>
      </c>
      <c r="J1906" s="604">
        <v>1997</v>
      </c>
      <c r="K1906" s="604" t="s">
        <v>448</v>
      </c>
      <c r="L1906" s="604" t="s">
        <v>97</v>
      </c>
      <c r="M1906" s="604">
        <v>24</v>
      </c>
      <c r="N1906" s="604">
        <v>2133</v>
      </c>
      <c r="O1906" s="604">
        <v>11.3</v>
      </c>
      <c r="P1906" s="604" t="s">
        <v>483</v>
      </c>
      <c r="Q1906" s="499"/>
    </row>
    <row r="1907" spans="9:17">
      <c r="I1907" s="578" t="str">
        <f t="shared" si="175"/>
        <v>1997dhbWairarapaPeri</v>
      </c>
      <c r="J1907" s="604">
        <v>1997</v>
      </c>
      <c r="K1907" s="604" t="s">
        <v>448</v>
      </c>
      <c r="L1907" s="604" t="s">
        <v>98</v>
      </c>
      <c r="M1907" s="604">
        <v>11</v>
      </c>
      <c r="N1907" s="604">
        <v>572</v>
      </c>
      <c r="O1907" s="604">
        <v>19.2</v>
      </c>
      <c r="P1907" s="604" t="s">
        <v>483</v>
      </c>
      <c r="Q1907" s="499"/>
    </row>
    <row r="1908" spans="9:17">
      <c r="I1908" s="578" t="str">
        <f t="shared" si="175"/>
        <v>1997dhbNelson MarlboroughPeri</v>
      </c>
      <c r="J1908" s="604">
        <v>1997</v>
      </c>
      <c r="K1908" s="604" t="s">
        <v>448</v>
      </c>
      <c r="L1908" s="604" t="s">
        <v>99</v>
      </c>
      <c r="M1908" s="604">
        <v>15</v>
      </c>
      <c r="N1908" s="604">
        <v>1558</v>
      </c>
      <c r="O1908" s="604">
        <v>9.6</v>
      </c>
      <c r="P1908" s="604" t="s">
        <v>483</v>
      </c>
      <c r="Q1908" s="499"/>
    </row>
    <row r="1909" spans="9:17">
      <c r="I1909" s="578" t="str">
        <f t="shared" si="175"/>
        <v>1997dhbWest CoastPeri</v>
      </c>
      <c r="J1909" s="604">
        <v>1997</v>
      </c>
      <c r="K1909" s="604" t="s">
        <v>448</v>
      </c>
      <c r="L1909" s="604" t="s">
        <v>100</v>
      </c>
      <c r="M1909" s="604">
        <v>7</v>
      </c>
      <c r="N1909" s="604">
        <v>433</v>
      </c>
      <c r="O1909" s="604">
        <v>16.2</v>
      </c>
      <c r="P1909" s="604" t="s">
        <v>483</v>
      </c>
      <c r="Q1909" s="499"/>
    </row>
    <row r="1910" spans="9:17">
      <c r="I1910" s="578" t="str">
        <f t="shared" si="175"/>
        <v>1997dhbCanterburyPeri</v>
      </c>
      <c r="J1910" s="604">
        <v>1997</v>
      </c>
      <c r="K1910" s="604" t="s">
        <v>448</v>
      </c>
      <c r="L1910" s="604" t="s">
        <v>101</v>
      </c>
      <c r="M1910" s="604">
        <v>67</v>
      </c>
      <c r="N1910" s="604">
        <v>5716</v>
      </c>
      <c r="O1910" s="604">
        <v>11.7</v>
      </c>
      <c r="P1910" s="604" t="s">
        <v>483</v>
      </c>
      <c r="Q1910" s="499"/>
    </row>
    <row r="1911" spans="9:17">
      <c r="I1911" s="578" t="str">
        <f t="shared" si="175"/>
        <v>1997dhbSouth CanterburyPeri</v>
      </c>
      <c r="J1911" s="604">
        <v>1997</v>
      </c>
      <c r="K1911" s="604" t="s">
        <v>448</v>
      </c>
      <c r="L1911" s="604" t="s">
        <v>102</v>
      </c>
      <c r="M1911" s="604">
        <v>6</v>
      </c>
      <c r="N1911" s="604">
        <v>659</v>
      </c>
      <c r="O1911" s="604">
        <v>9.1</v>
      </c>
      <c r="P1911" s="604" t="s">
        <v>483</v>
      </c>
      <c r="Q1911" s="499"/>
    </row>
    <row r="1912" spans="9:17">
      <c r="I1912" s="578" t="str">
        <f t="shared" si="175"/>
        <v>1997dhbSouthernPeri</v>
      </c>
      <c r="J1912" s="604">
        <v>1997</v>
      </c>
      <c r="K1912" s="604" t="s">
        <v>448</v>
      </c>
      <c r="L1912" s="604" t="s">
        <v>103</v>
      </c>
      <c r="M1912" s="604">
        <v>36</v>
      </c>
      <c r="N1912" s="604">
        <v>3645</v>
      </c>
      <c r="O1912" s="604">
        <v>9.9</v>
      </c>
      <c r="P1912" s="604" t="s">
        <v>483</v>
      </c>
      <c r="Q1912" s="499"/>
    </row>
    <row r="1913" spans="9:17">
      <c r="I1913" s="578" t="str">
        <f t="shared" si="175"/>
        <v>1997dhbUnknownPeri</v>
      </c>
      <c r="J1913" s="604">
        <v>1997</v>
      </c>
      <c r="K1913" s="604" t="s">
        <v>448</v>
      </c>
      <c r="L1913" s="604" t="s">
        <v>63</v>
      </c>
      <c r="M1913" s="604">
        <v>1</v>
      </c>
      <c r="N1913" s="604">
        <v>136</v>
      </c>
      <c r="O1913" s="604" t="s">
        <v>119</v>
      </c>
      <c r="P1913" s="604" t="s">
        <v>483</v>
      </c>
      <c r="Q1913" s="499"/>
    </row>
    <row r="1914" spans="9:17">
      <c r="I1914" s="578" t="str">
        <f t="shared" si="175"/>
        <v>1998dhbNorthlandPeri</v>
      </c>
      <c r="J1914" s="604">
        <v>1998</v>
      </c>
      <c r="K1914" s="604" t="s">
        <v>448</v>
      </c>
      <c r="L1914" s="604" t="s">
        <v>85</v>
      </c>
      <c r="M1914" s="604">
        <v>18</v>
      </c>
      <c r="N1914" s="604">
        <v>2227</v>
      </c>
      <c r="O1914" s="604">
        <v>8.1</v>
      </c>
      <c r="P1914" s="604" t="s">
        <v>483</v>
      </c>
      <c r="Q1914" s="499"/>
    </row>
    <row r="1915" spans="9:17">
      <c r="I1915" s="578" t="str">
        <f t="shared" si="175"/>
        <v>1998dhbWaitemataPeri</v>
      </c>
      <c r="J1915" s="604">
        <v>1998</v>
      </c>
      <c r="K1915" s="604" t="s">
        <v>448</v>
      </c>
      <c r="L1915" s="604" t="s">
        <v>86</v>
      </c>
      <c r="M1915" s="604">
        <v>52</v>
      </c>
      <c r="N1915" s="604">
        <v>6395</v>
      </c>
      <c r="O1915" s="604">
        <v>8.1</v>
      </c>
      <c r="P1915" s="604" t="s">
        <v>483</v>
      </c>
      <c r="Q1915" s="499"/>
    </row>
    <row r="1916" spans="9:17">
      <c r="I1916" s="578" t="str">
        <f t="shared" si="175"/>
        <v>1998dhbAucklandPeri</v>
      </c>
      <c r="J1916" s="604">
        <v>1998</v>
      </c>
      <c r="K1916" s="604" t="s">
        <v>448</v>
      </c>
      <c r="L1916" s="604" t="s">
        <v>87</v>
      </c>
      <c r="M1916" s="604">
        <v>44</v>
      </c>
      <c r="N1916" s="604">
        <v>5953</v>
      </c>
      <c r="O1916" s="604">
        <v>7.4</v>
      </c>
      <c r="P1916" s="604" t="s">
        <v>483</v>
      </c>
      <c r="Q1916" s="499"/>
    </row>
    <row r="1917" spans="9:17">
      <c r="I1917" s="578" t="str">
        <f t="shared" si="175"/>
        <v>1998dhbCounties ManukauPeri</v>
      </c>
      <c r="J1917" s="604">
        <v>1998</v>
      </c>
      <c r="K1917" s="604" t="s">
        <v>448</v>
      </c>
      <c r="L1917" s="604" t="s">
        <v>88</v>
      </c>
      <c r="M1917" s="604">
        <v>88</v>
      </c>
      <c r="N1917" s="604">
        <v>7046</v>
      </c>
      <c r="O1917" s="604">
        <v>12.5</v>
      </c>
      <c r="P1917" s="604" t="s">
        <v>483</v>
      </c>
      <c r="Q1917" s="499"/>
    </row>
    <row r="1918" spans="9:17">
      <c r="I1918" s="578" t="str">
        <f t="shared" si="175"/>
        <v>1998dhbWaikatoPeri</v>
      </c>
      <c r="J1918" s="604">
        <v>1998</v>
      </c>
      <c r="K1918" s="604" t="s">
        <v>448</v>
      </c>
      <c r="L1918" s="604" t="s">
        <v>89</v>
      </c>
      <c r="M1918" s="604">
        <v>32</v>
      </c>
      <c r="N1918" s="604">
        <v>5263</v>
      </c>
      <c r="O1918" s="604">
        <v>6.1</v>
      </c>
      <c r="P1918" s="604" t="s">
        <v>483</v>
      </c>
      <c r="Q1918" s="499"/>
    </row>
    <row r="1919" spans="9:17">
      <c r="I1919" s="578" t="str">
        <f t="shared" si="175"/>
        <v>1998dhbLakesPeri</v>
      </c>
      <c r="J1919" s="604">
        <v>1998</v>
      </c>
      <c r="K1919" s="604" t="s">
        <v>448</v>
      </c>
      <c r="L1919" s="604" t="s">
        <v>90</v>
      </c>
      <c r="M1919" s="604">
        <v>16</v>
      </c>
      <c r="N1919" s="604">
        <v>1889</v>
      </c>
      <c r="O1919" s="604">
        <v>8.5</v>
      </c>
      <c r="P1919" s="604" t="s">
        <v>483</v>
      </c>
      <c r="Q1919" s="499"/>
    </row>
    <row r="1920" spans="9:17">
      <c r="I1920" s="578" t="str">
        <f t="shared" si="175"/>
        <v>1998dhbBay of PlentyPeri</v>
      </c>
      <c r="J1920" s="604">
        <v>1998</v>
      </c>
      <c r="K1920" s="604" t="s">
        <v>448</v>
      </c>
      <c r="L1920" s="604" t="s">
        <v>91</v>
      </c>
      <c r="M1920" s="604">
        <v>18</v>
      </c>
      <c r="N1920" s="604">
        <v>2759</v>
      </c>
      <c r="O1920" s="604">
        <v>6.5</v>
      </c>
      <c r="P1920" s="604" t="s">
        <v>483</v>
      </c>
      <c r="Q1920" s="499"/>
    </row>
    <row r="1921" spans="9:17">
      <c r="I1921" s="578" t="str">
        <f t="shared" si="175"/>
        <v>1998dhbTairawhitiPeri</v>
      </c>
      <c r="J1921" s="604">
        <v>1998</v>
      </c>
      <c r="K1921" s="604" t="s">
        <v>448</v>
      </c>
      <c r="L1921" s="604" t="s">
        <v>433</v>
      </c>
      <c r="M1921" s="604">
        <v>4</v>
      </c>
      <c r="N1921" s="604">
        <v>839</v>
      </c>
      <c r="O1921" s="604">
        <v>4.8</v>
      </c>
      <c r="P1921" s="604" t="s">
        <v>483</v>
      </c>
      <c r="Q1921" s="499"/>
    </row>
    <row r="1922" spans="9:17">
      <c r="I1922" s="578" t="str">
        <f t="shared" si="175"/>
        <v>1998dhbHawke's BayPeri</v>
      </c>
      <c r="J1922" s="604">
        <v>1998</v>
      </c>
      <c r="K1922" s="604" t="s">
        <v>448</v>
      </c>
      <c r="L1922" s="604" t="s">
        <v>92</v>
      </c>
      <c r="M1922" s="604">
        <v>19</v>
      </c>
      <c r="N1922" s="604">
        <v>2315</v>
      </c>
      <c r="O1922" s="604">
        <v>8.1999999999999993</v>
      </c>
      <c r="P1922" s="604" t="s">
        <v>483</v>
      </c>
      <c r="Q1922" s="499"/>
    </row>
    <row r="1923" spans="9:17">
      <c r="I1923" s="578" t="str">
        <f t="shared" si="175"/>
        <v>1998dhbTaranakiPeri</v>
      </c>
      <c r="J1923" s="604">
        <v>1998</v>
      </c>
      <c r="K1923" s="604" t="s">
        <v>448</v>
      </c>
      <c r="L1923" s="604" t="s">
        <v>93</v>
      </c>
      <c r="M1923" s="604">
        <v>14</v>
      </c>
      <c r="N1923" s="604">
        <v>1513</v>
      </c>
      <c r="O1923" s="604">
        <v>9.3000000000000007</v>
      </c>
      <c r="P1923" s="604" t="s">
        <v>483</v>
      </c>
      <c r="Q1923" s="499"/>
    </row>
    <row r="1924" spans="9:17">
      <c r="I1924" s="578" t="str">
        <f t="shared" ref="I1924:I1987" si="176">J1924&amp;K1924&amp;L1924&amp;P1924</f>
        <v>1998dhbMidCentralPeri</v>
      </c>
      <c r="J1924" s="604">
        <v>1998</v>
      </c>
      <c r="K1924" s="604" t="s">
        <v>448</v>
      </c>
      <c r="L1924" s="604" t="s">
        <v>94</v>
      </c>
      <c r="M1924" s="604">
        <v>26</v>
      </c>
      <c r="N1924" s="604">
        <v>2399</v>
      </c>
      <c r="O1924" s="604">
        <v>10.8</v>
      </c>
      <c r="P1924" s="604" t="s">
        <v>483</v>
      </c>
      <c r="Q1924" s="499"/>
    </row>
    <row r="1925" spans="9:17">
      <c r="I1925" s="578" t="str">
        <f t="shared" si="176"/>
        <v>1998dhbWhanganuiPeri</v>
      </c>
      <c r="J1925" s="604">
        <v>1998</v>
      </c>
      <c r="K1925" s="604" t="s">
        <v>448</v>
      </c>
      <c r="L1925" s="604" t="s">
        <v>95</v>
      </c>
      <c r="M1925" s="604">
        <v>9</v>
      </c>
      <c r="N1925" s="604">
        <v>1090</v>
      </c>
      <c r="O1925" s="604">
        <v>8.3000000000000007</v>
      </c>
      <c r="P1925" s="604" t="s">
        <v>483</v>
      </c>
      <c r="Q1925" s="499"/>
    </row>
    <row r="1926" spans="9:17">
      <c r="I1926" s="578" t="str">
        <f t="shared" si="176"/>
        <v>1998dhbCapital &amp; CoastPeri</v>
      </c>
      <c r="J1926" s="604">
        <v>1998</v>
      </c>
      <c r="K1926" s="604" t="s">
        <v>448</v>
      </c>
      <c r="L1926" s="604" t="s">
        <v>96</v>
      </c>
      <c r="M1926" s="604">
        <v>33</v>
      </c>
      <c r="N1926" s="604">
        <v>3595</v>
      </c>
      <c r="O1926" s="604">
        <v>9.1999999999999993</v>
      </c>
      <c r="P1926" s="604" t="s">
        <v>483</v>
      </c>
      <c r="Q1926" s="499"/>
    </row>
    <row r="1927" spans="9:17">
      <c r="I1927" s="578" t="str">
        <f t="shared" si="176"/>
        <v>1998dhbHutt ValleyPeri</v>
      </c>
      <c r="J1927" s="604">
        <v>1998</v>
      </c>
      <c r="K1927" s="604" t="s">
        <v>448</v>
      </c>
      <c r="L1927" s="604" t="s">
        <v>97</v>
      </c>
      <c r="M1927" s="604">
        <v>17</v>
      </c>
      <c r="N1927" s="604">
        <v>2126</v>
      </c>
      <c r="O1927" s="604">
        <v>8</v>
      </c>
      <c r="P1927" s="604" t="s">
        <v>483</v>
      </c>
      <c r="Q1927" s="499"/>
    </row>
    <row r="1928" spans="9:17">
      <c r="I1928" s="578" t="str">
        <f t="shared" si="176"/>
        <v>1998dhbWairarapaPeri</v>
      </c>
      <c r="J1928" s="604">
        <v>1998</v>
      </c>
      <c r="K1928" s="604" t="s">
        <v>448</v>
      </c>
      <c r="L1928" s="604" t="s">
        <v>98</v>
      </c>
      <c r="M1928" s="604">
        <v>4</v>
      </c>
      <c r="N1928" s="604">
        <v>566</v>
      </c>
      <c r="O1928" s="604">
        <v>7.1</v>
      </c>
      <c r="P1928" s="604" t="s">
        <v>483</v>
      </c>
      <c r="Q1928" s="499"/>
    </row>
    <row r="1929" spans="9:17">
      <c r="I1929" s="578" t="str">
        <f t="shared" si="176"/>
        <v>1998dhbNelson MarlboroughPeri</v>
      </c>
      <c r="J1929" s="604">
        <v>1998</v>
      </c>
      <c r="K1929" s="604" t="s">
        <v>448</v>
      </c>
      <c r="L1929" s="604" t="s">
        <v>99</v>
      </c>
      <c r="M1929" s="604">
        <v>12</v>
      </c>
      <c r="N1929" s="604">
        <v>1553</v>
      </c>
      <c r="O1929" s="604">
        <v>7.7</v>
      </c>
      <c r="P1929" s="604" t="s">
        <v>483</v>
      </c>
      <c r="Q1929" s="499"/>
    </row>
    <row r="1930" spans="9:17">
      <c r="I1930" s="578" t="str">
        <f t="shared" si="176"/>
        <v>1998dhbWest CoastPeri</v>
      </c>
      <c r="J1930" s="604">
        <v>1998</v>
      </c>
      <c r="K1930" s="604" t="s">
        <v>448</v>
      </c>
      <c r="L1930" s="604" t="s">
        <v>100</v>
      </c>
      <c r="M1930" s="604">
        <v>3</v>
      </c>
      <c r="N1930" s="604">
        <v>429</v>
      </c>
      <c r="O1930" s="604">
        <v>7</v>
      </c>
      <c r="P1930" s="604" t="s">
        <v>483</v>
      </c>
      <c r="Q1930" s="499"/>
    </row>
    <row r="1931" spans="9:17">
      <c r="I1931" s="578" t="str">
        <f t="shared" si="176"/>
        <v>1998dhbCanterburyPeri</v>
      </c>
      <c r="J1931" s="604">
        <v>1998</v>
      </c>
      <c r="K1931" s="604" t="s">
        <v>448</v>
      </c>
      <c r="L1931" s="604" t="s">
        <v>101</v>
      </c>
      <c r="M1931" s="604">
        <v>42</v>
      </c>
      <c r="N1931" s="604">
        <v>5701</v>
      </c>
      <c r="O1931" s="604">
        <v>7.4</v>
      </c>
      <c r="P1931" s="604" t="s">
        <v>483</v>
      </c>
      <c r="Q1931" s="499"/>
    </row>
    <row r="1932" spans="9:17">
      <c r="I1932" s="578" t="str">
        <f t="shared" si="176"/>
        <v>1998dhbSouth CanterburyPeri</v>
      </c>
      <c r="J1932" s="604">
        <v>1998</v>
      </c>
      <c r="K1932" s="604" t="s">
        <v>448</v>
      </c>
      <c r="L1932" s="604" t="s">
        <v>102</v>
      </c>
      <c r="M1932" s="604">
        <v>9</v>
      </c>
      <c r="N1932" s="604">
        <v>658</v>
      </c>
      <c r="O1932" s="604">
        <v>13.7</v>
      </c>
      <c r="P1932" s="604" t="s">
        <v>483</v>
      </c>
      <c r="Q1932" s="499"/>
    </row>
    <row r="1933" spans="9:17">
      <c r="I1933" s="578" t="str">
        <f t="shared" si="176"/>
        <v>1998dhbSouthernPeri</v>
      </c>
      <c r="J1933" s="604">
        <v>1998</v>
      </c>
      <c r="K1933" s="604" t="s">
        <v>448</v>
      </c>
      <c r="L1933" s="604" t="s">
        <v>103</v>
      </c>
      <c r="M1933" s="604">
        <v>24</v>
      </c>
      <c r="N1933" s="604">
        <v>3631</v>
      </c>
      <c r="O1933" s="604">
        <v>6.6</v>
      </c>
      <c r="P1933" s="604" t="s">
        <v>483</v>
      </c>
      <c r="Q1933" s="499"/>
    </row>
    <row r="1934" spans="9:17">
      <c r="I1934" s="578" t="str">
        <f t="shared" si="176"/>
        <v>1998dhbUnknownPeri</v>
      </c>
      <c r="J1934" s="604">
        <v>1998</v>
      </c>
      <c r="K1934" s="604" t="s">
        <v>448</v>
      </c>
      <c r="L1934" s="604" t="s">
        <v>63</v>
      </c>
      <c r="M1934" s="604">
        <v>0</v>
      </c>
      <c r="N1934" s="604">
        <v>135</v>
      </c>
      <c r="O1934" s="604" t="s">
        <v>119</v>
      </c>
      <c r="P1934" s="604" t="s">
        <v>483</v>
      </c>
      <c r="Q1934" s="499"/>
    </row>
    <row r="1935" spans="9:17">
      <c r="I1935" s="578" t="str">
        <f t="shared" si="176"/>
        <v>1999dhbNorthlandPeri</v>
      </c>
      <c r="J1935" s="604">
        <v>1999</v>
      </c>
      <c r="K1935" s="604" t="s">
        <v>448</v>
      </c>
      <c r="L1935" s="604" t="s">
        <v>85</v>
      </c>
      <c r="M1935" s="604">
        <v>18</v>
      </c>
      <c r="N1935" s="604">
        <v>2170</v>
      </c>
      <c r="O1935" s="604">
        <v>8.3000000000000007</v>
      </c>
      <c r="P1935" s="604" t="s">
        <v>483</v>
      </c>
      <c r="Q1935" s="499"/>
    </row>
    <row r="1936" spans="9:17">
      <c r="I1936" s="578" t="str">
        <f t="shared" si="176"/>
        <v>1999dhbWaitemataPeri</v>
      </c>
      <c r="J1936" s="604">
        <v>1999</v>
      </c>
      <c r="K1936" s="604" t="s">
        <v>448</v>
      </c>
      <c r="L1936" s="604" t="s">
        <v>86</v>
      </c>
      <c r="M1936" s="604">
        <v>66</v>
      </c>
      <c r="N1936" s="604">
        <v>6472</v>
      </c>
      <c r="O1936" s="604">
        <v>10.199999999999999</v>
      </c>
      <c r="P1936" s="604" t="s">
        <v>483</v>
      </c>
      <c r="Q1936" s="499"/>
    </row>
    <row r="1937" spans="9:17">
      <c r="I1937" s="578" t="str">
        <f t="shared" si="176"/>
        <v>1999dhbAucklandPeri</v>
      </c>
      <c r="J1937" s="604">
        <v>1999</v>
      </c>
      <c r="K1937" s="604" t="s">
        <v>448</v>
      </c>
      <c r="L1937" s="604" t="s">
        <v>87</v>
      </c>
      <c r="M1937" s="604">
        <v>47</v>
      </c>
      <c r="N1937" s="604">
        <v>5931</v>
      </c>
      <c r="O1937" s="604">
        <v>7.9</v>
      </c>
      <c r="P1937" s="604" t="s">
        <v>483</v>
      </c>
      <c r="Q1937" s="499"/>
    </row>
    <row r="1938" spans="9:17">
      <c r="I1938" s="578" t="str">
        <f t="shared" si="176"/>
        <v>1999dhbCounties ManukauPeri</v>
      </c>
      <c r="J1938" s="604">
        <v>1999</v>
      </c>
      <c r="K1938" s="604" t="s">
        <v>448</v>
      </c>
      <c r="L1938" s="604" t="s">
        <v>88</v>
      </c>
      <c r="M1938" s="604">
        <v>82</v>
      </c>
      <c r="N1938" s="604">
        <v>7276</v>
      </c>
      <c r="O1938" s="604">
        <v>11.3</v>
      </c>
      <c r="P1938" s="604" t="s">
        <v>483</v>
      </c>
      <c r="Q1938" s="499"/>
    </row>
    <row r="1939" spans="9:17">
      <c r="I1939" s="578" t="str">
        <f t="shared" si="176"/>
        <v>1999dhbWaikatoPeri</v>
      </c>
      <c r="J1939" s="604">
        <v>1999</v>
      </c>
      <c r="K1939" s="604" t="s">
        <v>448</v>
      </c>
      <c r="L1939" s="604" t="s">
        <v>89</v>
      </c>
      <c r="M1939" s="604">
        <v>45</v>
      </c>
      <c r="N1939" s="604">
        <v>5230</v>
      </c>
      <c r="O1939" s="604">
        <v>8.6</v>
      </c>
      <c r="P1939" s="604" t="s">
        <v>483</v>
      </c>
      <c r="Q1939" s="499"/>
    </row>
    <row r="1940" spans="9:17">
      <c r="I1940" s="578" t="str">
        <f t="shared" si="176"/>
        <v>1999dhbLakesPeri</v>
      </c>
      <c r="J1940" s="604">
        <v>1999</v>
      </c>
      <c r="K1940" s="604" t="s">
        <v>448</v>
      </c>
      <c r="L1940" s="604" t="s">
        <v>90</v>
      </c>
      <c r="M1940" s="604">
        <v>16</v>
      </c>
      <c r="N1940" s="604">
        <v>1706</v>
      </c>
      <c r="O1940" s="604">
        <v>9.4</v>
      </c>
      <c r="P1940" s="604" t="s">
        <v>483</v>
      </c>
      <c r="Q1940" s="499"/>
    </row>
    <row r="1941" spans="9:17">
      <c r="I1941" s="578" t="str">
        <f t="shared" si="176"/>
        <v>1999dhbBay of PlentyPeri</v>
      </c>
      <c r="J1941" s="604">
        <v>1999</v>
      </c>
      <c r="K1941" s="604" t="s">
        <v>448</v>
      </c>
      <c r="L1941" s="604" t="s">
        <v>91</v>
      </c>
      <c r="M1941" s="604">
        <v>31</v>
      </c>
      <c r="N1941" s="604">
        <v>2719</v>
      </c>
      <c r="O1941" s="604">
        <v>11.4</v>
      </c>
      <c r="P1941" s="604" t="s">
        <v>483</v>
      </c>
      <c r="Q1941" s="499"/>
    </row>
    <row r="1942" spans="9:17">
      <c r="I1942" s="578" t="str">
        <f t="shared" si="176"/>
        <v>1999dhbTairawhitiPeri</v>
      </c>
      <c r="J1942" s="604">
        <v>1999</v>
      </c>
      <c r="K1942" s="604" t="s">
        <v>448</v>
      </c>
      <c r="L1942" s="604" t="s">
        <v>433</v>
      </c>
      <c r="M1942" s="604">
        <v>8</v>
      </c>
      <c r="N1942" s="604">
        <v>778</v>
      </c>
      <c r="O1942" s="604">
        <v>10.3</v>
      </c>
      <c r="P1942" s="604" t="s">
        <v>483</v>
      </c>
      <c r="Q1942" s="499"/>
    </row>
    <row r="1943" spans="9:17">
      <c r="I1943" s="578" t="str">
        <f t="shared" si="176"/>
        <v>1999dhbHawke's BayPeri</v>
      </c>
      <c r="J1943" s="604">
        <v>1999</v>
      </c>
      <c r="K1943" s="604" t="s">
        <v>448</v>
      </c>
      <c r="L1943" s="604" t="s">
        <v>92</v>
      </c>
      <c r="M1943" s="604">
        <v>26</v>
      </c>
      <c r="N1943" s="604">
        <v>2184</v>
      </c>
      <c r="O1943" s="604">
        <v>11.9</v>
      </c>
      <c r="P1943" s="604" t="s">
        <v>483</v>
      </c>
      <c r="Q1943" s="499"/>
    </row>
    <row r="1944" spans="9:17">
      <c r="I1944" s="578" t="str">
        <f t="shared" si="176"/>
        <v>1999dhbTaranakiPeri</v>
      </c>
      <c r="J1944" s="604">
        <v>1999</v>
      </c>
      <c r="K1944" s="604" t="s">
        <v>448</v>
      </c>
      <c r="L1944" s="604" t="s">
        <v>93</v>
      </c>
      <c r="M1944" s="604">
        <v>19</v>
      </c>
      <c r="N1944" s="604">
        <v>1512</v>
      </c>
      <c r="O1944" s="604">
        <v>12.6</v>
      </c>
      <c r="P1944" s="604" t="s">
        <v>483</v>
      </c>
      <c r="Q1944" s="499"/>
    </row>
    <row r="1945" spans="9:17">
      <c r="I1945" s="578" t="str">
        <f t="shared" si="176"/>
        <v>1999dhbMidCentralPeri</v>
      </c>
      <c r="J1945" s="604">
        <v>1999</v>
      </c>
      <c r="K1945" s="604" t="s">
        <v>448</v>
      </c>
      <c r="L1945" s="604" t="s">
        <v>94</v>
      </c>
      <c r="M1945" s="604">
        <v>22</v>
      </c>
      <c r="N1945" s="604">
        <v>2209</v>
      </c>
      <c r="O1945" s="604">
        <v>10</v>
      </c>
      <c r="P1945" s="604" t="s">
        <v>483</v>
      </c>
      <c r="Q1945" s="499"/>
    </row>
    <row r="1946" spans="9:17">
      <c r="I1946" s="578" t="str">
        <f t="shared" si="176"/>
        <v>1999dhbWhanganuiPeri</v>
      </c>
      <c r="J1946" s="604">
        <v>1999</v>
      </c>
      <c r="K1946" s="604" t="s">
        <v>448</v>
      </c>
      <c r="L1946" s="604" t="s">
        <v>95</v>
      </c>
      <c r="M1946" s="604">
        <v>10</v>
      </c>
      <c r="N1946" s="604">
        <v>965</v>
      </c>
      <c r="O1946" s="604">
        <v>10.4</v>
      </c>
      <c r="P1946" s="604" t="s">
        <v>483</v>
      </c>
      <c r="Q1946" s="499"/>
    </row>
    <row r="1947" spans="9:17">
      <c r="I1947" s="578" t="str">
        <f t="shared" si="176"/>
        <v>1999dhbCapital &amp; CoastPeri</v>
      </c>
      <c r="J1947" s="604">
        <v>1999</v>
      </c>
      <c r="K1947" s="604" t="s">
        <v>448</v>
      </c>
      <c r="L1947" s="604" t="s">
        <v>96</v>
      </c>
      <c r="M1947" s="604">
        <v>44</v>
      </c>
      <c r="N1947" s="604">
        <v>3845</v>
      </c>
      <c r="O1947" s="604">
        <v>11.4</v>
      </c>
      <c r="P1947" s="604" t="s">
        <v>483</v>
      </c>
      <c r="Q1947" s="499"/>
    </row>
    <row r="1948" spans="9:17">
      <c r="I1948" s="578" t="str">
        <f t="shared" si="176"/>
        <v>1999dhbHutt ValleyPeri</v>
      </c>
      <c r="J1948" s="604">
        <v>1999</v>
      </c>
      <c r="K1948" s="604" t="s">
        <v>448</v>
      </c>
      <c r="L1948" s="604" t="s">
        <v>97</v>
      </c>
      <c r="M1948" s="604">
        <v>24</v>
      </c>
      <c r="N1948" s="604">
        <v>2122</v>
      </c>
      <c r="O1948" s="604">
        <v>11.3</v>
      </c>
      <c r="P1948" s="604" t="s">
        <v>483</v>
      </c>
      <c r="Q1948" s="499"/>
    </row>
    <row r="1949" spans="9:17">
      <c r="I1949" s="578" t="str">
        <f t="shared" si="176"/>
        <v>1999dhbWairarapaPeri</v>
      </c>
      <c r="J1949" s="604">
        <v>1999</v>
      </c>
      <c r="K1949" s="604" t="s">
        <v>448</v>
      </c>
      <c r="L1949" s="604" t="s">
        <v>98</v>
      </c>
      <c r="M1949" s="604">
        <v>5</v>
      </c>
      <c r="N1949" s="604">
        <v>557</v>
      </c>
      <c r="O1949" s="604">
        <v>9</v>
      </c>
      <c r="P1949" s="604" t="s">
        <v>483</v>
      </c>
      <c r="Q1949" s="499"/>
    </row>
    <row r="1950" spans="9:17">
      <c r="I1950" s="578" t="str">
        <f t="shared" si="176"/>
        <v>1999dhbNelson MarlboroughPeri</v>
      </c>
      <c r="J1950" s="604">
        <v>1999</v>
      </c>
      <c r="K1950" s="604" t="s">
        <v>448</v>
      </c>
      <c r="L1950" s="604" t="s">
        <v>99</v>
      </c>
      <c r="M1950" s="604">
        <v>18</v>
      </c>
      <c r="N1950" s="604">
        <v>1508</v>
      </c>
      <c r="O1950" s="604">
        <v>11.9</v>
      </c>
      <c r="P1950" s="604" t="s">
        <v>483</v>
      </c>
      <c r="Q1950" s="499"/>
    </row>
    <row r="1951" spans="9:17">
      <c r="I1951" s="578" t="str">
        <f t="shared" si="176"/>
        <v>1999dhbWest CoastPeri</v>
      </c>
      <c r="J1951" s="604">
        <v>1999</v>
      </c>
      <c r="K1951" s="604" t="s">
        <v>448</v>
      </c>
      <c r="L1951" s="604" t="s">
        <v>100</v>
      </c>
      <c r="M1951" s="604">
        <v>3</v>
      </c>
      <c r="N1951" s="604">
        <v>404</v>
      </c>
      <c r="O1951" s="604">
        <v>7.4</v>
      </c>
      <c r="P1951" s="604" t="s">
        <v>483</v>
      </c>
      <c r="Q1951" s="499"/>
    </row>
    <row r="1952" spans="9:17">
      <c r="I1952" s="578" t="str">
        <f t="shared" si="176"/>
        <v>1999dhbCanterburyPeri</v>
      </c>
      <c r="J1952" s="604">
        <v>1999</v>
      </c>
      <c r="K1952" s="604" t="s">
        <v>448</v>
      </c>
      <c r="L1952" s="604" t="s">
        <v>101</v>
      </c>
      <c r="M1952" s="604">
        <v>59</v>
      </c>
      <c r="N1952" s="604">
        <v>5621</v>
      </c>
      <c r="O1952" s="604">
        <v>10.5</v>
      </c>
      <c r="P1952" s="604" t="s">
        <v>483</v>
      </c>
      <c r="Q1952" s="499"/>
    </row>
    <row r="1953" spans="9:17">
      <c r="I1953" s="578" t="str">
        <f t="shared" si="176"/>
        <v>1999dhbSouth CanterburyPeri</v>
      </c>
      <c r="J1953" s="604">
        <v>1999</v>
      </c>
      <c r="K1953" s="604" t="s">
        <v>448</v>
      </c>
      <c r="L1953" s="604" t="s">
        <v>102</v>
      </c>
      <c r="M1953" s="604">
        <v>8</v>
      </c>
      <c r="N1953" s="604">
        <v>621</v>
      </c>
      <c r="O1953" s="604">
        <v>12.9</v>
      </c>
      <c r="P1953" s="604" t="s">
        <v>483</v>
      </c>
      <c r="Q1953" s="499"/>
    </row>
    <row r="1954" spans="9:17">
      <c r="I1954" s="578" t="str">
        <f t="shared" si="176"/>
        <v>1999dhbSouthernPeri</v>
      </c>
      <c r="J1954" s="604">
        <v>1999</v>
      </c>
      <c r="K1954" s="604" t="s">
        <v>448</v>
      </c>
      <c r="L1954" s="604" t="s">
        <v>103</v>
      </c>
      <c r="M1954" s="604">
        <v>30</v>
      </c>
      <c r="N1954" s="604">
        <v>3437</v>
      </c>
      <c r="O1954" s="604">
        <v>8.6999999999999993</v>
      </c>
      <c r="P1954" s="604" t="s">
        <v>483</v>
      </c>
      <c r="Q1954" s="499"/>
    </row>
    <row r="1955" spans="9:17">
      <c r="I1955" s="578" t="str">
        <f t="shared" si="176"/>
        <v>1999dhbUnknownPeri</v>
      </c>
      <c r="J1955" s="604">
        <v>1999</v>
      </c>
      <c r="K1955" s="604" t="s">
        <v>448</v>
      </c>
      <c r="L1955" s="604" t="s">
        <v>63</v>
      </c>
      <c r="M1955" s="604">
        <v>1</v>
      </c>
      <c r="N1955" s="604">
        <v>580</v>
      </c>
      <c r="O1955" s="604" t="s">
        <v>119</v>
      </c>
      <c r="P1955" s="604" t="s">
        <v>483</v>
      </c>
      <c r="Q1955" s="499"/>
    </row>
    <row r="1956" spans="9:17">
      <c r="I1956" s="578" t="str">
        <f t="shared" si="176"/>
        <v>2000dhbNorthlandPeri</v>
      </c>
      <c r="J1956" s="604">
        <v>2000</v>
      </c>
      <c r="K1956" s="604" t="s">
        <v>448</v>
      </c>
      <c r="L1956" s="604" t="s">
        <v>85</v>
      </c>
      <c r="M1956" s="604">
        <v>20</v>
      </c>
      <c r="N1956" s="604">
        <v>2136</v>
      </c>
      <c r="O1956" s="604">
        <v>9.4</v>
      </c>
      <c r="P1956" s="604" t="s">
        <v>483</v>
      </c>
      <c r="Q1956" s="499"/>
    </row>
    <row r="1957" spans="9:17">
      <c r="I1957" s="578" t="str">
        <f t="shared" si="176"/>
        <v>2000dhbWaitemataPeri</v>
      </c>
      <c r="J1957" s="604">
        <v>2000</v>
      </c>
      <c r="K1957" s="604" t="s">
        <v>448</v>
      </c>
      <c r="L1957" s="604" t="s">
        <v>86</v>
      </c>
      <c r="M1957" s="604">
        <v>59</v>
      </c>
      <c r="N1957" s="604">
        <v>6604</v>
      </c>
      <c r="O1957" s="604">
        <v>8.9</v>
      </c>
      <c r="P1957" s="604" t="s">
        <v>483</v>
      </c>
      <c r="Q1957" s="499"/>
    </row>
    <row r="1958" spans="9:17">
      <c r="I1958" s="578" t="str">
        <f t="shared" si="176"/>
        <v>2000dhbAucklandPeri</v>
      </c>
      <c r="J1958" s="604">
        <v>2000</v>
      </c>
      <c r="K1958" s="604" t="s">
        <v>448</v>
      </c>
      <c r="L1958" s="604" t="s">
        <v>87</v>
      </c>
      <c r="M1958" s="604">
        <v>60</v>
      </c>
      <c r="N1958" s="604">
        <v>6061</v>
      </c>
      <c r="O1958" s="604">
        <v>9.9</v>
      </c>
      <c r="P1958" s="604" t="s">
        <v>483</v>
      </c>
      <c r="Q1958" s="499"/>
    </row>
    <row r="1959" spans="9:17">
      <c r="I1959" s="578" t="str">
        <f t="shared" si="176"/>
        <v>2000dhbCounties ManukauPeri</v>
      </c>
      <c r="J1959" s="604">
        <v>2000</v>
      </c>
      <c r="K1959" s="604" t="s">
        <v>448</v>
      </c>
      <c r="L1959" s="604" t="s">
        <v>88</v>
      </c>
      <c r="M1959" s="604">
        <v>83</v>
      </c>
      <c r="N1959" s="604">
        <v>7359</v>
      </c>
      <c r="O1959" s="604">
        <v>11.3</v>
      </c>
      <c r="P1959" s="604" t="s">
        <v>483</v>
      </c>
      <c r="Q1959" s="499"/>
    </row>
    <row r="1960" spans="9:17">
      <c r="I1960" s="578" t="str">
        <f t="shared" si="176"/>
        <v>2000dhbWaikatoPeri</v>
      </c>
      <c r="J1960" s="604">
        <v>2000</v>
      </c>
      <c r="K1960" s="604" t="s">
        <v>448</v>
      </c>
      <c r="L1960" s="604" t="s">
        <v>89</v>
      </c>
      <c r="M1960" s="604">
        <v>43</v>
      </c>
      <c r="N1960" s="604">
        <v>4818</v>
      </c>
      <c r="O1960" s="604">
        <v>8.9</v>
      </c>
      <c r="P1960" s="604" t="s">
        <v>483</v>
      </c>
      <c r="Q1960" s="499"/>
    </row>
    <row r="1961" spans="9:17">
      <c r="I1961" s="578" t="str">
        <f t="shared" si="176"/>
        <v>2000dhbLakesPeri</v>
      </c>
      <c r="J1961" s="604">
        <v>2000</v>
      </c>
      <c r="K1961" s="604" t="s">
        <v>448</v>
      </c>
      <c r="L1961" s="604" t="s">
        <v>90</v>
      </c>
      <c r="M1961" s="604">
        <v>20</v>
      </c>
      <c r="N1961" s="604">
        <v>1588</v>
      </c>
      <c r="O1961" s="604">
        <v>12.6</v>
      </c>
      <c r="P1961" s="604" t="s">
        <v>483</v>
      </c>
      <c r="Q1961" s="499"/>
    </row>
    <row r="1962" spans="9:17">
      <c r="I1962" s="578" t="str">
        <f t="shared" si="176"/>
        <v>2000dhbBay of PlentyPeri</v>
      </c>
      <c r="J1962" s="604">
        <v>2000</v>
      </c>
      <c r="K1962" s="604" t="s">
        <v>448</v>
      </c>
      <c r="L1962" s="604" t="s">
        <v>91</v>
      </c>
      <c r="M1962" s="604">
        <v>19</v>
      </c>
      <c r="N1962" s="604">
        <v>2644</v>
      </c>
      <c r="O1962" s="604">
        <v>7.2</v>
      </c>
      <c r="P1962" s="604" t="s">
        <v>483</v>
      </c>
      <c r="Q1962" s="499"/>
    </row>
    <row r="1963" spans="9:17">
      <c r="I1963" s="578" t="str">
        <f t="shared" si="176"/>
        <v>2000dhbTairawhitiPeri</v>
      </c>
      <c r="J1963" s="604">
        <v>2000</v>
      </c>
      <c r="K1963" s="604" t="s">
        <v>448</v>
      </c>
      <c r="L1963" s="604" t="s">
        <v>433</v>
      </c>
      <c r="M1963" s="604">
        <v>6</v>
      </c>
      <c r="N1963" s="604">
        <v>778</v>
      </c>
      <c r="O1963" s="604">
        <v>7.7</v>
      </c>
      <c r="P1963" s="604" t="s">
        <v>483</v>
      </c>
      <c r="Q1963" s="499"/>
    </row>
    <row r="1964" spans="9:17">
      <c r="I1964" s="578" t="str">
        <f t="shared" si="176"/>
        <v>2000dhbHawke's BayPeri</v>
      </c>
      <c r="J1964" s="604">
        <v>2000</v>
      </c>
      <c r="K1964" s="604" t="s">
        <v>448</v>
      </c>
      <c r="L1964" s="604" t="s">
        <v>92</v>
      </c>
      <c r="M1964" s="604">
        <v>23</v>
      </c>
      <c r="N1964" s="604">
        <v>2190</v>
      </c>
      <c r="O1964" s="604">
        <v>10.5</v>
      </c>
      <c r="P1964" s="604" t="s">
        <v>483</v>
      </c>
      <c r="Q1964" s="499"/>
    </row>
    <row r="1965" spans="9:17">
      <c r="I1965" s="578" t="str">
        <f t="shared" si="176"/>
        <v>2000dhbTaranakiPeri</v>
      </c>
      <c r="J1965" s="604">
        <v>2000</v>
      </c>
      <c r="K1965" s="604" t="s">
        <v>448</v>
      </c>
      <c r="L1965" s="604" t="s">
        <v>93</v>
      </c>
      <c r="M1965" s="604">
        <v>10</v>
      </c>
      <c r="N1965" s="604">
        <v>1430</v>
      </c>
      <c r="O1965" s="604">
        <v>7</v>
      </c>
      <c r="P1965" s="604" t="s">
        <v>483</v>
      </c>
      <c r="Q1965" s="499"/>
    </row>
    <row r="1966" spans="9:17">
      <c r="I1966" s="578" t="str">
        <f t="shared" si="176"/>
        <v>2000dhbMidCentralPeri</v>
      </c>
      <c r="J1966" s="604">
        <v>2000</v>
      </c>
      <c r="K1966" s="604" t="s">
        <v>448</v>
      </c>
      <c r="L1966" s="604" t="s">
        <v>94</v>
      </c>
      <c r="M1966" s="604">
        <v>18</v>
      </c>
      <c r="N1966" s="604">
        <v>2303</v>
      </c>
      <c r="O1966" s="604">
        <v>7.8</v>
      </c>
      <c r="P1966" s="604" t="s">
        <v>483</v>
      </c>
      <c r="Q1966" s="499"/>
    </row>
    <row r="1967" spans="9:17">
      <c r="I1967" s="578" t="str">
        <f t="shared" si="176"/>
        <v>2000dhbWhanganuiPeri</v>
      </c>
      <c r="J1967" s="604">
        <v>2000</v>
      </c>
      <c r="K1967" s="604" t="s">
        <v>448</v>
      </c>
      <c r="L1967" s="604" t="s">
        <v>95</v>
      </c>
      <c r="M1967" s="604">
        <v>9</v>
      </c>
      <c r="N1967" s="604">
        <v>1000</v>
      </c>
      <c r="O1967" s="604">
        <v>9</v>
      </c>
      <c r="P1967" s="604" t="s">
        <v>483</v>
      </c>
      <c r="Q1967" s="499"/>
    </row>
    <row r="1968" spans="9:17">
      <c r="I1968" s="578" t="str">
        <f t="shared" si="176"/>
        <v>2000dhbCapital &amp; CoastPeri</v>
      </c>
      <c r="J1968" s="604">
        <v>2000</v>
      </c>
      <c r="K1968" s="604" t="s">
        <v>448</v>
      </c>
      <c r="L1968" s="604" t="s">
        <v>96</v>
      </c>
      <c r="M1968" s="604">
        <v>30</v>
      </c>
      <c r="N1968" s="604">
        <v>3778</v>
      </c>
      <c r="O1968" s="604">
        <v>7.9</v>
      </c>
      <c r="P1968" s="604" t="s">
        <v>483</v>
      </c>
      <c r="Q1968" s="499"/>
    </row>
    <row r="1969" spans="9:17">
      <c r="I1969" s="578" t="str">
        <f t="shared" si="176"/>
        <v>2000dhbHutt ValleyPeri</v>
      </c>
      <c r="J1969" s="604">
        <v>2000</v>
      </c>
      <c r="K1969" s="604" t="s">
        <v>448</v>
      </c>
      <c r="L1969" s="604" t="s">
        <v>97</v>
      </c>
      <c r="M1969" s="604">
        <v>24</v>
      </c>
      <c r="N1969" s="604">
        <v>2105</v>
      </c>
      <c r="O1969" s="604">
        <v>11.4</v>
      </c>
      <c r="P1969" s="604" t="s">
        <v>483</v>
      </c>
      <c r="Q1969" s="499"/>
    </row>
    <row r="1970" spans="9:17">
      <c r="I1970" s="578" t="str">
        <f t="shared" si="176"/>
        <v>2000dhbWairarapaPeri</v>
      </c>
      <c r="J1970" s="604">
        <v>2000</v>
      </c>
      <c r="K1970" s="604" t="s">
        <v>448</v>
      </c>
      <c r="L1970" s="604" t="s">
        <v>98</v>
      </c>
      <c r="M1970" s="604">
        <v>5</v>
      </c>
      <c r="N1970" s="604">
        <v>498</v>
      </c>
      <c r="O1970" s="604">
        <v>10</v>
      </c>
      <c r="P1970" s="604" t="s">
        <v>483</v>
      </c>
      <c r="Q1970" s="499"/>
    </row>
    <row r="1971" spans="9:17">
      <c r="I1971" s="578" t="str">
        <f t="shared" si="176"/>
        <v>2000dhbNelson MarlboroughPeri</v>
      </c>
      <c r="J1971" s="604">
        <v>2000</v>
      </c>
      <c r="K1971" s="604" t="s">
        <v>448</v>
      </c>
      <c r="L1971" s="604" t="s">
        <v>99</v>
      </c>
      <c r="M1971" s="604">
        <v>14</v>
      </c>
      <c r="N1971" s="604">
        <v>1552</v>
      </c>
      <c r="O1971" s="604">
        <v>9</v>
      </c>
      <c r="P1971" s="604" t="s">
        <v>483</v>
      </c>
      <c r="Q1971" s="499"/>
    </row>
    <row r="1972" spans="9:17">
      <c r="I1972" s="578" t="str">
        <f t="shared" si="176"/>
        <v>2000dhbWest CoastPeri</v>
      </c>
      <c r="J1972" s="604">
        <v>2000</v>
      </c>
      <c r="K1972" s="604" t="s">
        <v>448</v>
      </c>
      <c r="L1972" s="604" t="s">
        <v>100</v>
      </c>
      <c r="M1972" s="604">
        <v>4</v>
      </c>
      <c r="N1972" s="604">
        <v>365</v>
      </c>
      <c r="O1972" s="604">
        <v>11</v>
      </c>
      <c r="P1972" s="604" t="s">
        <v>483</v>
      </c>
      <c r="Q1972" s="499"/>
    </row>
    <row r="1973" spans="9:17">
      <c r="I1973" s="578" t="str">
        <f t="shared" si="176"/>
        <v>2000dhbCanterburyPeri</v>
      </c>
      <c r="J1973" s="604">
        <v>2000</v>
      </c>
      <c r="K1973" s="604" t="s">
        <v>448</v>
      </c>
      <c r="L1973" s="604" t="s">
        <v>101</v>
      </c>
      <c r="M1973" s="604">
        <v>54</v>
      </c>
      <c r="N1973" s="604">
        <v>5582</v>
      </c>
      <c r="O1973" s="604">
        <v>9.6999999999999993</v>
      </c>
      <c r="P1973" s="604" t="s">
        <v>483</v>
      </c>
      <c r="Q1973" s="499"/>
    </row>
    <row r="1974" spans="9:17">
      <c r="I1974" s="578" t="str">
        <f t="shared" si="176"/>
        <v>2000dhbSouth CanterburyPeri</v>
      </c>
      <c r="J1974" s="604">
        <v>2000</v>
      </c>
      <c r="K1974" s="604" t="s">
        <v>448</v>
      </c>
      <c r="L1974" s="604" t="s">
        <v>102</v>
      </c>
      <c r="M1974" s="604">
        <v>9</v>
      </c>
      <c r="N1974" s="604">
        <v>630</v>
      </c>
      <c r="O1974" s="604">
        <v>14.3</v>
      </c>
      <c r="P1974" s="604" t="s">
        <v>483</v>
      </c>
      <c r="Q1974" s="499"/>
    </row>
    <row r="1975" spans="9:17">
      <c r="I1975" s="578" t="str">
        <f t="shared" si="176"/>
        <v>2000dhbSouthernPeri</v>
      </c>
      <c r="J1975" s="604">
        <v>2000</v>
      </c>
      <c r="K1975" s="604" t="s">
        <v>448</v>
      </c>
      <c r="L1975" s="604" t="s">
        <v>103</v>
      </c>
      <c r="M1975" s="604">
        <v>33</v>
      </c>
      <c r="N1975" s="604">
        <v>3459</v>
      </c>
      <c r="O1975" s="604">
        <v>9.5</v>
      </c>
      <c r="P1975" s="604" t="s">
        <v>483</v>
      </c>
      <c r="Q1975" s="499"/>
    </row>
    <row r="1976" spans="9:17">
      <c r="I1976" s="578" t="str">
        <f t="shared" si="176"/>
        <v>2000dhbUnknownPeri</v>
      </c>
      <c r="J1976" s="604">
        <v>2000</v>
      </c>
      <c r="K1976" s="604" t="s">
        <v>448</v>
      </c>
      <c r="L1976" s="604" t="s">
        <v>63</v>
      </c>
      <c r="M1976" s="604">
        <v>0</v>
      </c>
      <c r="N1976" s="604">
        <v>483</v>
      </c>
      <c r="O1976" s="604" t="s">
        <v>119</v>
      </c>
      <c r="P1976" s="604" t="s">
        <v>483</v>
      </c>
      <c r="Q1976" s="499"/>
    </row>
    <row r="1977" spans="9:17">
      <c r="I1977" s="578" t="str">
        <f t="shared" si="176"/>
        <v>2001dhbNorthlandPeri</v>
      </c>
      <c r="J1977" s="604">
        <v>2001</v>
      </c>
      <c r="K1977" s="604" t="s">
        <v>448</v>
      </c>
      <c r="L1977" s="604" t="s">
        <v>85</v>
      </c>
      <c r="M1977" s="604">
        <v>26</v>
      </c>
      <c r="N1977" s="604">
        <v>2018</v>
      </c>
      <c r="O1977" s="604">
        <v>12.9</v>
      </c>
      <c r="P1977" s="604" t="s">
        <v>483</v>
      </c>
      <c r="Q1977" s="499"/>
    </row>
    <row r="1978" spans="9:17">
      <c r="I1978" s="578" t="str">
        <f t="shared" si="176"/>
        <v>2001dhbWaitemataPeri</v>
      </c>
      <c r="J1978" s="604">
        <v>2001</v>
      </c>
      <c r="K1978" s="604" t="s">
        <v>448</v>
      </c>
      <c r="L1978" s="604" t="s">
        <v>86</v>
      </c>
      <c r="M1978" s="604">
        <v>60</v>
      </c>
      <c r="N1978" s="604">
        <v>6489</v>
      </c>
      <c r="O1978" s="604">
        <v>9.1999999999999993</v>
      </c>
      <c r="P1978" s="604" t="s">
        <v>483</v>
      </c>
      <c r="Q1978" s="499"/>
    </row>
    <row r="1979" spans="9:17">
      <c r="I1979" s="578" t="str">
        <f t="shared" si="176"/>
        <v>2001dhbAucklandPeri</v>
      </c>
      <c r="J1979" s="604">
        <v>2001</v>
      </c>
      <c r="K1979" s="604" t="s">
        <v>448</v>
      </c>
      <c r="L1979" s="604" t="s">
        <v>87</v>
      </c>
      <c r="M1979" s="604">
        <v>50</v>
      </c>
      <c r="N1979" s="604">
        <v>6013</v>
      </c>
      <c r="O1979" s="604">
        <v>8.3000000000000007</v>
      </c>
      <c r="P1979" s="604" t="s">
        <v>483</v>
      </c>
      <c r="Q1979" s="499"/>
    </row>
    <row r="1980" spans="9:17">
      <c r="I1980" s="578" t="str">
        <f t="shared" si="176"/>
        <v>2001dhbCounties ManukauPeri</v>
      </c>
      <c r="J1980" s="604">
        <v>2001</v>
      </c>
      <c r="K1980" s="604" t="s">
        <v>448</v>
      </c>
      <c r="L1980" s="604" t="s">
        <v>88</v>
      </c>
      <c r="M1980" s="604">
        <v>77</v>
      </c>
      <c r="N1980" s="604">
        <v>7271</v>
      </c>
      <c r="O1980" s="604">
        <v>10.6</v>
      </c>
      <c r="P1980" s="604" t="s">
        <v>483</v>
      </c>
      <c r="Q1980" s="499"/>
    </row>
    <row r="1981" spans="9:17">
      <c r="I1981" s="578" t="str">
        <f t="shared" si="176"/>
        <v>2001dhbWaikatoPeri</v>
      </c>
      <c r="J1981" s="604">
        <v>2001</v>
      </c>
      <c r="K1981" s="604" t="s">
        <v>448</v>
      </c>
      <c r="L1981" s="604" t="s">
        <v>89</v>
      </c>
      <c r="M1981" s="604">
        <v>38</v>
      </c>
      <c r="N1981" s="604">
        <v>4923</v>
      </c>
      <c r="O1981" s="604">
        <v>7.7</v>
      </c>
      <c r="P1981" s="604" t="s">
        <v>483</v>
      </c>
      <c r="Q1981" s="499"/>
    </row>
    <row r="1982" spans="9:17">
      <c r="I1982" s="578" t="str">
        <f t="shared" si="176"/>
        <v>2001dhbLakesPeri</v>
      </c>
      <c r="J1982" s="604">
        <v>2001</v>
      </c>
      <c r="K1982" s="604" t="s">
        <v>448</v>
      </c>
      <c r="L1982" s="604" t="s">
        <v>90</v>
      </c>
      <c r="M1982" s="604">
        <v>13</v>
      </c>
      <c r="N1982" s="604">
        <v>1532</v>
      </c>
      <c r="O1982" s="604">
        <v>8.5</v>
      </c>
      <c r="P1982" s="604" t="s">
        <v>483</v>
      </c>
      <c r="Q1982" s="499"/>
    </row>
    <row r="1983" spans="9:17">
      <c r="I1983" s="578" t="str">
        <f t="shared" si="176"/>
        <v>2001dhbBay of PlentyPeri</v>
      </c>
      <c r="J1983" s="604">
        <v>2001</v>
      </c>
      <c r="K1983" s="604" t="s">
        <v>448</v>
      </c>
      <c r="L1983" s="604" t="s">
        <v>91</v>
      </c>
      <c r="M1983" s="604">
        <v>24</v>
      </c>
      <c r="N1983" s="604">
        <v>2619</v>
      </c>
      <c r="O1983" s="604">
        <v>9.1999999999999993</v>
      </c>
      <c r="P1983" s="604" t="s">
        <v>483</v>
      </c>
      <c r="Q1983" s="499"/>
    </row>
    <row r="1984" spans="9:17">
      <c r="I1984" s="578" t="str">
        <f t="shared" si="176"/>
        <v>2001dhbTairawhitiPeri</v>
      </c>
      <c r="J1984" s="604">
        <v>2001</v>
      </c>
      <c r="K1984" s="604" t="s">
        <v>448</v>
      </c>
      <c r="L1984" s="604" t="s">
        <v>433</v>
      </c>
      <c r="M1984" s="604">
        <v>11</v>
      </c>
      <c r="N1984" s="604">
        <v>773</v>
      </c>
      <c r="O1984" s="604">
        <v>14.2</v>
      </c>
      <c r="P1984" s="604" t="s">
        <v>483</v>
      </c>
      <c r="Q1984" s="499"/>
    </row>
    <row r="1985" spans="9:17">
      <c r="I1985" s="578" t="str">
        <f t="shared" si="176"/>
        <v>2001dhbHawke's BayPeri</v>
      </c>
      <c r="J1985" s="604">
        <v>2001</v>
      </c>
      <c r="K1985" s="604" t="s">
        <v>448</v>
      </c>
      <c r="L1985" s="604" t="s">
        <v>92</v>
      </c>
      <c r="M1985" s="604">
        <v>21</v>
      </c>
      <c r="N1985" s="604">
        <v>2158</v>
      </c>
      <c r="O1985" s="604">
        <v>9.6999999999999993</v>
      </c>
      <c r="P1985" s="604" t="s">
        <v>483</v>
      </c>
      <c r="Q1985" s="499"/>
    </row>
    <row r="1986" spans="9:17">
      <c r="I1986" s="578" t="str">
        <f t="shared" si="176"/>
        <v>2001dhbTaranakiPeri</v>
      </c>
      <c r="J1986" s="604">
        <v>2001</v>
      </c>
      <c r="K1986" s="604" t="s">
        <v>448</v>
      </c>
      <c r="L1986" s="604" t="s">
        <v>93</v>
      </c>
      <c r="M1986" s="604">
        <v>17</v>
      </c>
      <c r="N1986" s="604">
        <v>1379</v>
      </c>
      <c r="O1986" s="604">
        <v>12.3</v>
      </c>
      <c r="P1986" s="604" t="s">
        <v>483</v>
      </c>
      <c r="Q1986" s="499"/>
    </row>
    <row r="1987" spans="9:17">
      <c r="I1987" s="578" t="str">
        <f t="shared" si="176"/>
        <v>2001dhbMidCentralPeri</v>
      </c>
      <c r="J1987" s="604">
        <v>2001</v>
      </c>
      <c r="K1987" s="604" t="s">
        <v>448</v>
      </c>
      <c r="L1987" s="604" t="s">
        <v>94</v>
      </c>
      <c r="M1987" s="604">
        <v>25</v>
      </c>
      <c r="N1987" s="604">
        <v>2167</v>
      </c>
      <c r="O1987" s="604">
        <v>11.5</v>
      </c>
      <c r="P1987" s="604" t="s">
        <v>483</v>
      </c>
      <c r="Q1987" s="499"/>
    </row>
    <row r="1988" spans="9:17">
      <c r="I1988" s="578" t="str">
        <f t="shared" ref="I1988:I2051" si="177">J1988&amp;K1988&amp;L1988&amp;P1988</f>
        <v>2001dhbWhanganuiPeri</v>
      </c>
      <c r="J1988" s="604">
        <v>2001</v>
      </c>
      <c r="K1988" s="604" t="s">
        <v>448</v>
      </c>
      <c r="L1988" s="604" t="s">
        <v>95</v>
      </c>
      <c r="M1988" s="604">
        <v>8</v>
      </c>
      <c r="N1988" s="604">
        <v>907</v>
      </c>
      <c r="O1988" s="604">
        <v>8.8000000000000007</v>
      </c>
      <c r="P1988" s="604" t="s">
        <v>483</v>
      </c>
      <c r="Q1988" s="499"/>
    </row>
    <row r="1989" spans="9:17">
      <c r="I1989" s="578" t="str">
        <f t="shared" si="177"/>
        <v>2001dhbCapital &amp; CoastPeri</v>
      </c>
      <c r="J1989" s="604">
        <v>2001</v>
      </c>
      <c r="K1989" s="604" t="s">
        <v>448</v>
      </c>
      <c r="L1989" s="604" t="s">
        <v>96</v>
      </c>
      <c r="M1989" s="604">
        <v>32</v>
      </c>
      <c r="N1989" s="604">
        <v>3729</v>
      </c>
      <c r="O1989" s="604">
        <v>8.6</v>
      </c>
      <c r="P1989" s="604" t="s">
        <v>483</v>
      </c>
      <c r="Q1989" s="499"/>
    </row>
    <row r="1990" spans="9:17">
      <c r="I1990" s="578" t="str">
        <f t="shared" si="177"/>
        <v>2001dhbHutt ValleyPeri</v>
      </c>
      <c r="J1990" s="604">
        <v>2001</v>
      </c>
      <c r="K1990" s="604" t="s">
        <v>448</v>
      </c>
      <c r="L1990" s="604" t="s">
        <v>97</v>
      </c>
      <c r="M1990" s="604">
        <v>22</v>
      </c>
      <c r="N1990" s="604">
        <v>2179</v>
      </c>
      <c r="O1990" s="604">
        <v>10.1</v>
      </c>
      <c r="P1990" s="604" t="s">
        <v>483</v>
      </c>
      <c r="Q1990" s="499"/>
    </row>
    <row r="1991" spans="9:17">
      <c r="I1991" s="578" t="str">
        <f t="shared" si="177"/>
        <v>2001dhbWairarapaPeri</v>
      </c>
      <c r="J1991" s="604">
        <v>2001</v>
      </c>
      <c r="K1991" s="604" t="s">
        <v>448</v>
      </c>
      <c r="L1991" s="604" t="s">
        <v>98</v>
      </c>
      <c r="M1991" s="604">
        <v>9</v>
      </c>
      <c r="N1991" s="604">
        <v>502</v>
      </c>
      <c r="O1991" s="604">
        <v>17.899999999999999</v>
      </c>
      <c r="P1991" s="604" t="s">
        <v>483</v>
      </c>
      <c r="Q1991" s="499"/>
    </row>
    <row r="1992" spans="9:17">
      <c r="I1992" s="578" t="str">
        <f t="shared" si="177"/>
        <v>2001dhbNelson MarlboroughPeri</v>
      </c>
      <c r="J1992" s="604">
        <v>2001</v>
      </c>
      <c r="K1992" s="604" t="s">
        <v>448</v>
      </c>
      <c r="L1992" s="604" t="s">
        <v>99</v>
      </c>
      <c r="M1992" s="604">
        <v>14</v>
      </c>
      <c r="N1992" s="604">
        <v>1499</v>
      </c>
      <c r="O1992" s="604">
        <v>9.3000000000000007</v>
      </c>
      <c r="P1992" s="604" t="s">
        <v>483</v>
      </c>
      <c r="Q1992" s="499"/>
    </row>
    <row r="1993" spans="9:17">
      <c r="I1993" s="578" t="str">
        <f t="shared" si="177"/>
        <v>2001dhbWest CoastPeri</v>
      </c>
      <c r="J1993" s="604">
        <v>2001</v>
      </c>
      <c r="K1993" s="604" t="s">
        <v>448</v>
      </c>
      <c r="L1993" s="604" t="s">
        <v>100</v>
      </c>
      <c r="M1993" s="604">
        <v>4</v>
      </c>
      <c r="N1993" s="604">
        <v>399</v>
      </c>
      <c r="O1993" s="604">
        <v>10</v>
      </c>
      <c r="P1993" s="604" t="s">
        <v>483</v>
      </c>
      <c r="Q1993" s="499"/>
    </row>
    <row r="1994" spans="9:17">
      <c r="I1994" s="578" t="str">
        <f t="shared" si="177"/>
        <v>2001dhbCanterburyPeri</v>
      </c>
      <c r="J1994" s="604">
        <v>2001</v>
      </c>
      <c r="K1994" s="604" t="s">
        <v>448</v>
      </c>
      <c r="L1994" s="604" t="s">
        <v>101</v>
      </c>
      <c r="M1994" s="604">
        <v>46</v>
      </c>
      <c r="N1994" s="604">
        <v>5686</v>
      </c>
      <c r="O1994" s="604">
        <v>8.1</v>
      </c>
      <c r="P1994" s="604" t="s">
        <v>483</v>
      </c>
      <c r="Q1994" s="499"/>
    </row>
    <row r="1995" spans="9:17">
      <c r="I1995" s="578" t="str">
        <f t="shared" si="177"/>
        <v>2001dhbSouth CanterburyPeri</v>
      </c>
      <c r="J1995" s="604">
        <v>2001</v>
      </c>
      <c r="K1995" s="604" t="s">
        <v>448</v>
      </c>
      <c r="L1995" s="604" t="s">
        <v>102</v>
      </c>
      <c r="M1995" s="604">
        <v>4</v>
      </c>
      <c r="N1995" s="604">
        <v>594</v>
      </c>
      <c r="O1995" s="604">
        <v>6.7</v>
      </c>
      <c r="P1995" s="604" t="s">
        <v>483</v>
      </c>
      <c r="Q1995" s="499"/>
    </row>
    <row r="1996" spans="9:17">
      <c r="I1996" s="578" t="str">
        <f t="shared" si="177"/>
        <v>2001dhbSouthernPeri</v>
      </c>
      <c r="J1996" s="604">
        <v>2001</v>
      </c>
      <c r="K1996" s="604" t="s">
        <v>448</v>
      </c>
      <c r="L1996" s="604" t="s">
        <v>103</v>
      </c>
      <c r="M1996" s="604">
        <v>27</v>
      </c>
      <c r="N1996" s="604">
        <v>3282</v>
      </c>
      <c r="O1996" s="604">
        <v>8.1999999999999993</v>
      </c>
      <c r="P1996" s="604" t="s">
        <v>483</v>
      </c>
      <c r="Q1996" s="499"/>
    </row>
    <row r="1997" spans="9:17">
      <c r="I1997" s="578" t="str">
        <f t="shared" si="177"/>
        <v>2001dhbUnknownPeri</v>
      </c>
      <c r="J1997" s="604">
        <v>2001</v>
      </c>
      <c r="K1997" s="604" t="s">
        <v>448</v>
      </c>
      <c r="L1997" s="604" t="s">
        <v>63</v>
      </c>
      <c r="M1997" s="604">
        <v>1</v>
      </c>
      <c r="N1997" s="604">
        <v>491</v>
      </c>
      <c r="O1997" s="604" t="s">
        <v>119</v>
      </c>
      <c r="P1997" s="604" t="s">
        <v>483</v>
      </c>
      <c r="Q1997" s="499"/>
    </row>
    <row r="1998" spans="9:17">
      <c r="I1998" s="578" t="str">
        <f t="shared" si="177"/>
        <v>2002dhbNorthlandPeri</v>
      </c>
      <c r="J1998" s="604">
        <v>2002</v>
      </c>
      <c r="K1998" s="604" t="s">
        <v>448</v>
      </c>
      <c r="L1998" s="604" t="s">
        <v>85</v>
      </c>
      <c r="M1998" s="604">
        <v>16</v>
      </c>
      <c r="N1998" s="604">
        <v>1928</v>
      </c>
      <c r="O1998" s="604">
        <v>8.3000000000000007</v>
      </c>
      <c r="P1998" s="604" t="s">
        <v>483</v>
      </c>
      <c r="Q1998" s="499"/>
    </row>
    <row r="1999" spans="9:17">
      <c r="I1999" s="578" t="str">
        <f t="shared" si="177"/>
        <v>2002dhbWaitemataPeri</v>
      </c>
      <c r="J1999" s="604">
        <v>2002</v>
      </c>
      <c r="K1999" s="604" t="s">
        <v>448</v>
      </c>
      <c r="L1999" s="604" t="s">
        <v>86</v>
      </c>
      <c r="M1999" s="604">
        <v>63</v>
      </c>
      <c r="N1999" s="604">
        <v>6504</v>
      </c>
      <c r="O1999" s="604">
        <v>9.6999999999999993</v>
      </c>
      <c r="P1999" s="604" t="s">
        <v>483</v>
      </c>
      <c r="Q1999" s="499"/>
    </row>
    <row r="2000" spans="9:17">
      <c r="I2000" s="578" t="str">
        <f t="shared" si="177"/>
        <v>2002dhbAucklandPeri</v>
      </c>
      <c r="J2000" s="604">
        <v>2002</v>
      </c>
      <c r="K2000" s="604" t="s">
        <v>448</v>
      </c>
      <c r="L2000" s="604" t="s">
        <v>87</v>
      </c>
      <c r="M2000" s="604">
        <v>59</v>
      </c>
      <c r="N2000" s="604">
        <v>5946</v>
      </c>
      <c r="O2000" s="604">
        <v>9.9</v>
      </c>
      <c r="P2000" s="604" t="s">
        <v>483</v>
      </c>
      <c r="Q2000" s="499"/>
    </row>
    <row r="2001" spans="9:17">
      <c r="I2001" s="578" t="str">
        <f t="shared" si="177"/>
        <v>2002dhbCounties ManukauPeri</v>
      </c>
      <c r="J2001" s="604">
        <v>2002</v>
      </c>
      <c r="K2001" s="604" t="s">
        <v>448</v>
      </c>
      <c r="L2001" s="604" t="s">
        <v>88</v>
      </c>
      <c r="M2001" s="604">
        <v>76</v>
      </c>
      <c r="N2001" s="604">
        <v>7252</v>
      </c>
      <c r="O2001" s="604">
        <v>10.5</v>
      </c>
      <c r="P2001" s="604" t="s">
        <v>483</v>
      </c>
      <c r="Q2001" s="499"/>
    </row>
    <row r="2002" spans="9:17">
      <c r="I2002" s="578" t="str">
        <f t="shared" si="177"/>
        <v>2002dhbWaikatoPeri</v>
      </c>
      <c r="J2002" s="604">
        <v>2002</v>
      </c>
      <c r="K2002" s="604" t="s">
        <v>448</v>
      </c>
      <c r="L2002" s="604" t="s">
        <v>89</v>
      </c>
      <c r="M2002" s="604">
        <v>50</v>
      </c>
      <c r="N2002" s="604">
        <v>4645</v>
      </c>
      <c r="O2002" s="604">
        <v>10.8</v>
      </c>
      <c r="P2002" s="604" t="s">
        <v>483</v>
      </c>
      <c r="Q2002" s="499"/>
    </row>
    <row r="2003" spans="9:17">
      <c r="I2003" s="578" t="str">
        <f t="shared" si="177"/>
        <v>2002dhbLakesPeri</v>
      </c>
      <c r="J2003" s="604">
        <v>2002</v>
      </c>
      <c r="K2003" s="604" t="s">
        <v>448</v>
      </c>
      <c r="L2003" s="604" t="s">
        <v>90</v>
      </c>
      <c r="M2003" s="604">
        <v>22</v>
      </c>
      <c r="N2003" s="604">
        <v>1512</v>
      </c>
      <c r="O2003" s="604">
        <v>14.6</v>
      </c>
      <c r="P2003" s="604" t="s">
        <v>483</v>
      </c>
      <c r="Q2003" s="499"/>
    </row>
    <row r="2004" spans="9:17">
      <c r="I2004" s="578" t="str">
        <f t="shared" si="177"/>
        <v>2002dhbBay of PlentyPeri</v>
      </c>
      <c r="J2004" s="604">
        <v>2002</v>
      </c>
      <c r="K2004" s="604" t="s">
        <v>448</v>
      </c>
      <c r="L2004" s="604" t="s">
        <v>91</v>
      </c>
      <c r="M2004" s="604">
        <v>31</v>
      </c>
      <c r="N2004" s="604">
        <v>2582</v>
      </c>
      <c r="O2004" s="604">
        <v>12</v>
      </c>
      <c r="P2004" s="604" t="s">
        <v>483</v>
      </c>
      <c r="Q2004" s="499"/>
    </row>
    <row r="2005" spans="9:17">
      <c r="I2005" s="578" t="str">
        <f t="shared" si="177"/>
        <v>2002dhbTairawhitiPeri</v>
      </c>
      <c r="J2005" s="604">
        <v>2002</v>
      </c>
      <c r="K2005" s="604" t="s">
        <v>448</v>
      </c>
      <c r="L2005" s="604" t="s">
        <v>433</v>
      </c>
      <c r="M2005" s="604">
        <v>10</v>
      </c>
      <c r="N2005" s="604">
        <v>765</v>
      </c>
      <c r="O2005" s="604">
        <v>13.1</v>
      </c>
      <c r="P2005" s="604" t="s">
        <v>483</v>
      </c>
      <c r="Q2005" s="499"/>
    </row>
    <row r="2006" spans="9:17">
      <c r="I2006" s="578" t="str">
        <f t="shared" si="177"/>
        <v>2002dhbHawke's BayPeri</v>
      </c>
      <c r="J2006" s="604">
        <v>2002</v>
      </c>
      <c r="K2006" s="604" t="s">
        <v>448</v>
      </c>
      <c r="L2006" s="604" t="s">
        <v>92</v>
      </c>
      <c r="M2006" s="604">
        <v>21</v>
      </c>
      <c r="N2006" s="604">
        <v>2065</v>
      </c>
      <c r="O2006" s="604">
        <v>10.199999999999999</v>
      </c>
      <c r="P2006" s="604" t="s">
        <v>483</v>
      </c>
      <c r="Q2006" s="499"/>
    </row>
    <row r="2007" spans="9:17">
      <c r="I2007" s="578" t="str">
        <f t="shared" si="177"/>
        <v>2002dhbTaranakiPeri</v>
      </c>
      <c r="J2007" s="604">
        <v>2002</v>
      </c>
      <c r="K2007" s="604" t="s">
        <v>448</v>
      </c>
      <c r="L2007" s="604" t="s">
        <v>93</v>
      </c>
      <c r="M2007" s="604">
        <v>19</v>
      </c>
      <c r="N2007" s="604">
        <v>1322</v>
      </c>
      <c r="O2007" s="604">
        <v>14.4</v>
      </c>
      <c r="P2007" s="604" t="s">
        <v>483</v>
      </c>
      <c r="Q2007" s="499"/>
    </row>
    <row r="2008" spans="9:17">
      <c r="I2008" s="578" t="str">
        <f t="shared" si="177"/>
        <v>2002dhbMidCentralPeri</v>
      </c>
      <c r="J2008" s="604">
        <v>2002</v>
      </c>
      <c r="K2008" s="604" t="s">
        <v>448</v>
      </c>
      <c r="L2008" s="604" t="s">
        <v>94</v>
      </c>
      <c r="M2008" s="604">
        <v>20</v>
      </c>
      <c r="N2008" s="604">
        <v>1988</v>
      </c>
      <c r="O2008" s="604">
        <v>10.1</v>
      </c>
      <c r="P2008" s="604" t="s">
        <v>483</v>
      </c>
      <c r="Q2008" s="499"/>
    </row>
    <row r="2009" spans="9:17">
      <c r="I2009" s="578" t="str">
        <f t="shared" si="177"/>
        <v>2002dhbWhanganuiPeri</v>
      </c>
      <c r="J2009" s="604">
        <v>2002</v>
      </c>
      <c r="K2009" s="604" t="s">
        <v>448</v>
      </c>
      <c r="L2009" s="604" t="s">
        <v>95</v>
      </c>
      <c r="M2009" s="604">
        <v>8</v>
      </c>
      <c r="N2009" s="604">
        <v>866</v>
      </c>
      <c r="O2009" s="604">
        <v>9.1999999999999993</v>
      </c>
      <c r="P2009" s="604" t="s">
        <v>483</v>
      </c>
      <c r="Q2009" s="499"/>
    </row>
    <row r="2010" spans="9:17">
      <c r="I2010" s="578" t="str">
        <f t="shared" si="177"/>
        <v>2002dhbCapital &amp; CoastPeri</v>
      </c>
      <c r="J2010" s="604">
        <v>2002</v>
      </c>
      <c r="K2010" s="604" t="s">
        <v>448</v>
      </c>
      <c r="L2010" s="604" t="s">
        <v>96</v>
      </c>
      <c r="M2010" s="604">
        <v>38</v>
      </c>
      <c r="N2010" s="604">
        <v>3588</v>
      </c>
      <c r="O2010" s="604">
        <v>10.6</v>
      </c>
      <c r="P2010" s="604" t="s">
        <v>483</v>
      </c>
      <c r="Q2010" s="499"/>
    </row>
    <row r="2011" spans="9:17">
      <c r="I2011" s="578" t="str">
        <f t="shared" si="177"/>
        <v>2002dhbHutt ValleyPeri</v>
      </c>
      <c r="J2011" s="604">
        <v>2002</v>
      </c>
      <c r="K2011" s="604" t="s">
        <v>448</v>
      </c>
      <c r="L2011" s="604" t="s">
        <v>97</v>
      </c>
      <c r="M2011" s="604">
        <v>18</v>
      </c>
      <c r="N2011" s="604">
        <v>1905</v>
      </c>
      <c r="O2011" s="604">
        <v>9.4</v>
      </c>
      <c r="P2011" s="604" t="s">
        <v>483</v>
      </c>
      <c r="Q2011" s="499"/>
    </row>
    <row r="2012" spans="9:17">
      <c r="I2012" s="578" t="str">
        <f t="shared" si="177"/>
        <v>2002dhbWairarapaPeri</v>
      </c>
      <c r="J2012" s="604">
        <v>2002</v>
      </c>
      <c r="K2012" s="604" t="s">
        <v>448</v>
      </c>
      <c r="L2012" s="604" t="s">
        <v>98</v>
      </c>
      <c r="M2012" s="604">
        <v>2</v>
      </c>
      <c r="N2012" s="604">
        <v>463</v>
      </c>
      <c r="O2012" s="604">
        <v>4.3</v>
      </c>
      <c r="P2012" s="604" t="s">
        <v>483</v>
      </c>
      <c r="Q2012" s="499"/>
    </row>
    <row r="2013" spans="9:17">
      <c r="I2013" s="578" t="str">
        <f t="shared" si="177"/>
        <v>2002dhbNelson MarlboroughPeri</v>
      </c>
      <c r="J2013" s="604">
        <v>2002</v>
      </c>
      <c r="K2013" s="604" t="s">
        <v>448</v>
      </c>
      <c r="L2013" s="604" t="s">
        <v>99</v>
      </c>
      <c r="M2013" s="604">
        <v>20</v>
      </c>
      <c r="N2013" s="604">
        <v>1453</v>
      </c>
      <c r="O2013" s="604">
        <v>13.8</v>
      </c>
      <c r="P2013" s="604" t="s">
        <v>483</v>
      </c>
      <c r="Q2013" s="499"/>
    </row>
    <row r="2014" spans="9:17">
      <c r="I2014" s="578" t="str">
        <f t="shared" si="177"/>
        <v>2002dhbWest CoastPeri</v>
      </c>
      <c r="J2014" s="604">
        <v>2002</v>
      </c>
      <c r="K2014" s="604" t="s">
        <v>448</v>
      </c>
      <c r="L2014" s="604" t="s">
        <v>100</v>
      </c>
      <c r="M2014" s="604">
        <v>5</v>
      </c>
      <c r="N2014" s="604">
        <v>334</v>
      </c>
      <c r="O2014" s="604">
        <v>15</v>
      </c>
      <c r="P2014" s="604" t="s">
        <v>483</v>
      </c>
      <c r="Q2014" s="499"/>
    </row>
    <row r="2015" spans="9:17">
      <c r="I2015" s="578" t="str">
        <f t="shared" si="177"/>
        <v>2002dhbCanterburyPeri</v>
      </c>
      <c r="J2015" s="604">
        <v>2002</v>
      </c>
      <c r="K2015" s="604" t="s">
        <v>448</v>
      </c>
      <c r="L2015" s="604" t="s">
        <v>101</v>
      </c>
      <c r="M2015" s="604">
        <v>51</v>
      </c>
      <c r="N2015" s="604">
        <v>5378</v>
      </c>
      <c r="O2015" s="604">
        <v>9.5</v>
      </c>
      <c r="P2015" s="604" t="s">
        <v>483</v>
      </c>
      <c r="Q2015" s="499"/>
    </row>
    <row r="2016" spans="9:17">
      <c r="I2016" s="578" t="str">
        <f t="shared" si="177"/>
        <v>2002dhbSouth CanterburyPeri</v>
      </c>
      <c r="J2016" s="604">
        <v>2002</v>
      </c>
      <c r="K2016" s="604" t="s">
        <v>448</v>
      </c>
      <c r="L2016" s="604" t="s">
        <v>102</v>
      </c>
      <c r="M2016" s="604">
        <v>9</v>
      </c>
      <c r="N2016" s="604">
        <v>552</v>
      </c>
      <c r="O2016" s="604">
        <v>16.3</v>
      </c>
      <c r="P2016" s="604" t="s">
        <v>483</v>
      </c>
      <c r="Q2016" s="499"/>
    </row>
    <row r="2017" spans="9:17">
      <c r="I2017" s="578" t="str">
        <f t="shared" si="177"/>
        <v>2002dhbSouthernPeri</v>
      </c>
      <c r="J2017" s="604">
        <v>2002</v>
      </c>
      <c r="K2017" s="604" t="s">
        <v>448</v>
      </c>
      <c r="L2017" s="604" t="s">
        <v>103</v>
      </c>
      <c r="M2017" s="604">
        <v>36</v>
      </c>
      <c r="N2017" s="604">
        <v>3314</v>
      </c>
      <c r="O2017" s="604">
        <v>10.9</v>
      </c>
      <c r="P2017" s="604" t="s">
        <v>483</v>
      </c>
      <c r="Q2017" s="499"/>
    </row>
    <row r="2018" spans="9:17">
      <c r="I2018" s="578" t="str">
        <f t="shared" si="177"/>
        <v>2002dhbUnknownPeri</v>
      </c>
      <c r="J2018" s="604">
        <v>2002</v>
      </c>
      <c r="K2018" s="604" t="s">
        <v>448</v>
      </c>
      <c r="L2018" s="604" t="s">
        <v>63</v>
      </c>
      <c r="M2018" s="604">
        <v>1</v>
      </c>
      <c r="N2018" s="604">
        <v>543</v>
      </c>
      <c r="O2018" s="604" t="s">
        <v>119</v>
      </c>
      <c r="P2018" s="604" t="s">
        <v>483</v>
      </c>
      <c r="Q2018" s="499"/>
    </row>
    <row r="2019" spans="9:17">
      <c r="I2019" s="578" t="str">
        <f t="shared" si="177"/>
        <v>2003dhbNorthlandPeri</v>
      </c>
      <c r="J2019" s="604">
        <v>2003</v>
      </c>
      <c r="K2019" s="604" t="s">
        <v>448</v>
      </c>
      <c r="L2019" s="604" t="s">
        <v>85</v>
      </c>
      <c r="M2019" s="604">
        <v>26</v>
      </c>
      <c r="N2019" s="604">
        <v>2041</v>
      </c>
      <c r="O2019" s="604">
        <v>12.7</v>
      </c>
      <c r="P2019" s="604" t="s">
        <v>483</v>
      </c>
      <c r="Q2019" s="499"/>
    </row>
    <row r="2020" spans="9:17">
      <c r="I2020" s="578" t="str">
        <f t="shared" si="177"/>
        <v>2003dhbWaitemataPeri</v>
      </c>
      <c r="J2020" s="604">
        <v>2003</v>
      </c>
      <c r="K2020" s="604" t="s">
        <v>448</v>
      </c>
      <c r="L2020" s="604" t="s">
        <v>86</v>
      </c>
      <c r="M2020" s="604">
        <v>54</v>
      </c>
      <c r="N2020" s="604">
        <v>6866</v>
      </c>
      <c r="O2020" s="604">
        <v>7.9</v>
      </c>
      <c r="P2020" s="604" t="s">
        <v>483</v>
      </c>
      <c r="Q2020" s="499"/>
    </row>
    <row r="2021" spans="9:17">
      <c r="I2021" s="578" t="str">
        <f t="shared" si="177"/>
        <v>2003dhbAucklandPeri</v>
      </c>
      <c r="J2021" s="604">
        <v>2003</v>
      </c>
      <c r="K2021" s="604" t="s">
        <v>448</v>
      </c>
      <c r="L2021" s="604" t="s">
        <v>87</v>
      </c>
      <c r="M2021" s="604">
        <v>61</v>
      </c>
      <c r="N2021" s="604">
        <v>6015</v>
      </c>
      <c r="O2021" s="604">
        <v>10.1</v>
      </c>
      <c r="P2021" s="604" t="s">
        <v>483</v>
      </c>
      <c r="Q2021" s="499"/>
    </row>
    <row r="2022" spans="9:17">
      <c r="I2022" s="578" t="str">
        <f t="shared" si="177"/>
        <v>2003dhbCounties ManukauPeri</v>
      </c>
      <c r="J2022" s="604">
        <v>2003</v>
      </c>
      <c r="K2022" s="604" t="s">
        <v>448</v>
      </c>
      <c r="L2022" s="604" t="s">
        <v>88</v>
      </c>
      <c r="M2022" s="604">
        <v>88</v>
      </c>
      <c r="N2022" s="604">
        <v>7604</v>
      </c>
      <c r="O2022" s="604">
        <v>11.6</v>
      </c>
      <c r="P2022" s="604" t="s">
        <v>483</v>
      </c>
      <c r="Q2022" s="499"/>
    </row>
    <row r="2023" spans="9:17">
      <c r="I2023" s="578" t="str">
        <f t="shared" si="177"/>
        <v>2003dhbWaikatoPeri</v>
      </c>
      <c r="J2023" s="604">
        <v>2003</v>
      </c>
      <c r="K2023" s="604" t="s">
        <v>448</v>
      </c>
      <c r="L2023" s="604" t="s">
        <v>89</v>
      </c>
      <c r="M2023" s="604">
        <v>47</v>
      </c>
      <c r="N2023" s="604">
        <v>4842</v>
      </c>
      <c r="O2023" s="604">
        <v>9.6999999999999993</v>
      </c>
      <c r="P2023" s="604" t="s">
        <v>483</v>
      </c>
      <c r="Q2023" s="499"/>
    </row>
    <row r="2024" spans="9:17">
      <c r="I2024" s="578" t="str">
        <f t="shared" si="177"/>
        <v>2003dhbLakesPeri</v>
      </c>
      <c r="J2024" s="604">
        <v>2003</v>
      </c>
      <c r="K2024" s="604" t="s">
        <v>448</v>
      </c>
      <c r="L2024" s="604" t="s">
        <v>90</v>
      </c>
      <c r="M2024" s="604">
        <v>17</v>
      </c>
      <c r="N2024" s="604">
        <v>1567</v>
      </c>
      <c r="O2024" s="604">
        <v>10.8</v>
      </c>
      <c r="P2024" s="604" t="s">
        <v>483</v>
      </c>
      <c r="Q2024" s="499"/>
    </row>
    <row r="2025" spans="9:17">
      <c r="I2025" s="578" t="str">
        <f t="shared" si="177"/>
        <v>2003dhbBay of PlentyPeri</v>
      </c>
      <c r="J2025" s="604">
        <v>2003</v>
      </c>
      <c r="K2025" s="604" t="s">
        <v>448</v>
      </c>
      <c r="L2025" s="604" t="s">
        <v>91</v>
      </c>
      <c r="M2025" s="604">
        <v>21</v>
      </c>
      <c r="N2025" s="604">
        <v>2617</v>
      </c>
      <c r="O2025" s="604">
        <v>8</v>
      </c>
      <c r="P2025" s="604" t="s">
        <v>483</v>
      </c>
      <c r="Q2025" s="499"/>
    </row>
    <row r="2026" spans="9:17">
      <c r="I2026" s="578" t="str">
        <f t="shared" si="177"/>
        <v>2003dhbTairawhitiPeri</v>
      </c>
      <c r="J2026" s="604">
        <v>2003</v>
      </c>
      <c r="K2026" s="604" t="s">
        <v>448</v>
      </c>
      <c r="L2026" s="604" t="s">
        <v>433</v>
      </c>
      <c r="M2026" s="604">
        <v>5</v>
      </c>
      <c r="N2026" s="604">
        <v>706</v>
      </c>
      <c r="O2026" s="604">
        <v>7.1</v>
      </c>
      <c r="P2026" s="604" t="s">
        <v>483</v>
      </c>
      <c r="Q2026" s="499"/>
    </row>
    <row r="2027" spans="9:17">
      <c r="I2027" s="578" t="str">
        <f t="shared" si="177"/>
        <v>2003dhbHawke's BayPeri</v>
      </c>
      <c r="J2027" s="604">
        <v>2003</v>
      </c>
      <c r="K2027" s="604" t="s">
        <v>448</v>
      </c>
      <c r="L2027" s="604" t="s">
        <v>92</v>
      </c>
      <c r="M2027" s="604">
        <v>11</v>
      </c>
      <c r="N2027" s="604">
        <v>2086</v>
      </c>
      <c r="O2027" s="604">
        <v>5.3</v>
      </c>
      <c r="P2027" s="604" t="s">
        <v>483</v>
      </c>
      <c r="Q2027" s="499"/>
    </row>
    <row r="2028" spans="9:17">
      <c r="I2028" s="578" t="str">
        <f t="shared" si="177"/>
        <v>2003dhbTaranakiPeri</v>
      </c>
      <c r="J2028" s="604">
        <v>2003</v>
      </c>
      <c r="K2028" s="604" t="s">
        <v>448</v>
      </c>
      <c r="L2028" s="604" t="s">
        <v>93</v>
      </c>
      <c r="M2028" s="604">
        <v>10</v>
      </c>
      <c r="N2028" s="604">
        <v>1385</v>
      </c>
      <c r="O2028" s="604">
        <v>7.2</v>
      </c>
      <c r="P2028" s="604" t="s">
        <v>483</v>
      </c>
      <c r="Q2028" s="499"/>
    </row>
    <row r="2029" spans="9:17">
      <c r="I2029" s="578" t="str">
        <f t="shared" si="177"/>
        <v>2003dhbMidCentralPeri</v>
      </c>
      <c r="J2029" s="604">
        <v>2003</v>
      </c>
      <c r="K2029" s="604" t="s">
        <v>448</v>
      </c>
      <c r="L2029" s="604" t="s">
        <v>94</v>
      </c>
      <c r="M2029" s="604">
        <v>14</v>
      </c>
      <c r="N2029" s="604">
        <v>2046</v>
      </c>
      <c r="O2029" s="604">
        <v>6.8</v>
      </c>
      <c r="P2029" s="604" t="s">
        <v>483</v>
      </c>
      <c r="Q2029" s="499"/>
    </row>
    <row r="2030" spans="9:17">
      <c r="I2030" s="578" t="str">
        <f t="shared" si="177"/>
        <v>2003dhbWhanganuiPeri</v>
      </c>
      <c r="J2030" s="604">
        <v>2003</v>
      </c>
      <c r="K2030" s="604" t="s">
        <v>448</v>
      </c>
      <c r="L2030" s="604" t="s">
        <v>95</v>
      </c>
      <c r="M2030" s="604">
        <v>12</v>
      </c>
      <c r="N2030" s="604">
        <v>850</v>
      </c>
      <c r="O2030" s="604">
        <v>14.1</v>
      </c>
      <c r="P2030" s="604" t="s">
        <v>483</v>
      </c>
      <c r="Q2030" s="499"/>
    </row>
    <row r="2031" spans="9:17">
      <c r="I2031" s="578" t="str">
        <f t="shared" si="177"/>
        <v>2003dhbCapital &amp; CoastPeri</v>
      </c>
      <c r="J2031" s="604">
        <v>2003</v>
      </c>
      <c r="K2031" s="604" t="s">
        <v>448</v>
      </c>
      <c r="L2031" s="604" t="s">
        <v>96</v>
      </c>
      <c r="M2031" s="604">
        <v>39</v>
      </c>
      <c r="N2031" s="604">
        <v>3831</v>
      </c>
      <c r="O2031" s="604">
        <v>10.199999999999999</v>
      </c>
      <c r="P2031" s="604" t="s">
        <v>483</v>
      </c>
      <c r="Q2031" s="499"/>
    </row>
    <row r="2032" spans="9:17">
      <c r="I2032" s="578" t="str">
        <f t="shared" si="177"/>
        <v>2003dhbHutt ValleyPeri</v>
      </c>
      <c r="J2032" s="604">
        <v>2003</v>
      </c>
      <c r="K2032" s="604" t="s">
        <v>448</v>
      </c>
      <c r="L2032" s="604" t="s">
        <v>97</v>
      </c>
      <c r="M2032" s="604">
        <v>16</v>
      </c>
      <c r="N2032" s="604">
        <v>2065</v>
      </c>
      <c r="O2032" s="604">
        <v>7.7</v>
      </c>
      <c r="P2032" s="604" t="s">
        <v>483</v>
      </c>
      <c r="Q2032" s="499"/>
    </row>
    <row r="2033" spans="9:17">
      <c r="I2033" s="578" t="str">
        <f t="shared" si="177"/>
        <v>2003dhbWairarapaPeri</v>
      </c>
      <c r="J2033" s="604">
        <v>2003</v>
      </c>
      <c r="K2033" s="604" t="s">
        <v>448</v>
      </c>
      <c r="L2033" s="604" t="s">
        <v>98</v>
      </c>
      <c r="M2033" s="604">
        <v>4</v>
      </c>
      <c r="N2033" s="604">
        <v>438</v>
      </c>
      <c r="O2033" s="604">
        <v>9.1</v>
      </c>
      <c r="P2033" s="604" t="s">
        <v>483</v>
      </c>
      <c r="Q2033" s="499"/>
    </row>
    <row r="2034" spans="9:17">
      <c r="I2034" s="578" t="str">
        <f t="shared" si="177"/>
        <v>2003dhbNelson MarlboroughPeri</v>
      </c>
      <c r="J2034" s="604">
        <v>2003</v>
      </c>
      <c r="K2034" s="604" t="s">
        <v>448</v>
      </c>
      <c r="L2034" s="604" t="s">
        <v>99</v>
      </c>
      <c r="M2034" s="604">
        <v>10</v>
      </c>
      <c r="N2034" s="604">
        <v>1530</v>
      </c>
      <c r="O2034" s="604">
        <v>6.5</v>
      </c>
      <c r="P2034" s="604" t="s">
        <v>483</v>
      </c>
      <c r="Q2034" s="499"/>
    </row>
    <row r="2035" spans="9:17">
      <c r="I2035" s="578" t="str">
        <f t="shared" si="177"/>
        <v>2003dhbWest CoastPeri</v>
      </c>
      <c r="J2035" s="604">
        <v>2003</v>
      </c>
      <c r="K2035" s="604" t="s">
        <v>448</v>
      </c>
      <c r="L2035" s="604" t="s">
        <v>100</v>
      </c>
      <c r="M2035" s="604">
        <v>7</v>
      </c>
      <c r="N2035" s="604">
        <v>338</v>
      </c>
      <c r="O2035" s="604">
        <v>20.7</v>
      </c>
      <c r="P2035" s="604" t="s">
        <v>483</v>
      </c>
      <c r="Q2035" s="499"/>
    </row>
    <row r="2036" spans="9:17">
      <c r="I2036" s="578" t="str">
        <f t="shared" si="177"/>
        <v>2003dhbCanterburyPeri</v>
      </c>
      <c r="J2036" s="604">
        <v>2003</v>
      </c>
      <c r="K2036" s="604" t="s">
        <v>448</v>
      </c>
      <c r="L2036" s="604" t="s">
        <v>101</v>
      </c>
      <c r="M2036" s="604">
        <v>56</v>
      </c>
      <c r="N2036" s="604">
        <v>5711</v>
      </c>
      <c r="O2036" s="604">
        <v>9.8000000000000007</v>
      </c>
      <c r="P2036" s="604" t="s">
        <v>483</v>
      </c>
      <c r="Q2036" s="499"/>
    </row>
    <row r="2037" spans="9:17">
      <c r="I2037" s="578" t="str">
        <f t="shared" si="177"/>
        <v>2003dhbSouth CanterburyPeri</v>
      </c>
      <c r="J2037" s="604">
        <v>2003</v>
      </c>
      <c r="K2037" s="604" t="s">
        <v>448</v>
      </c>
      <c r="L2037" s="604" t="s">
        <v>102</v>
      </c>
      <c r="M2037" s="604">
        <v>2</v>
      </c>
      <c r="N2037" s="604">
        <v>594</v>
      </c>
      <c r="O2037" s="604">
        <v>3.4</v>
      </c>
      <c r="P2037" s="604" t="s">
        <v>483</v>
      </c>
      <c r="Q2037" s="499"/>
    </row>
    <row r="2038" spans="9:17">
      <c r="I2038" s="578" t="str">
        <f t="shared" si="177"/>
        <v>2003dhbSouthernPeri</v>
      </c>
      <c r="J2038" s="604">
        <v>2003</v>
      </c>
      <c r="K2038" s="604" t="s">
        <v>448</v>
      </c>
      <c r="L2038" s="604" t="s">
        <v>103</v>
      </c>
      <c r="M2038" s="604">
        <v>33</v>
      </c>
      <c r="N2038" s="604">
        <v>3314</v>
      </c>
      <c r="O2038" s="604">
        <v>10</v>
      </c>
      <c r="P2038" s="604" t="s">
        <v>483</v>
      </c>
      <c r="Q2038" s="499"/>
    </row>
    <row r="2039" spans="9:17">
      <c r="I2039" s="578" t="str">
        <f t="shared" si="177"/>
        <v>2003dhbUnknownPeri</v>
      </c>
      <c r="J2039" s="604">
        <v>2003</v>
      </c>
      <c r="K2039" s="604" t="s">
        <v>448</v>
      </c>
      <c r="L2039" s="604" t="s">
        <v>63</v>
      </c>
      <c r="M2039" s="604">
        <v>1</v>
      </c>
      <c r="N2039" s="604">
        <v>523</v>
      </c>
      <c r="O2039" s="604" t="s">
        <v>119</v>
      </c>
      <c r="P2039" s="604" t="s">
        <v>483</v>
      </c>
      <c r="Q2039" s="499"/>
    </row>
    <row r="2040" spans="9:17">
      <c r="I2040" s="578" t="str">
        <f t="shared" si="177"/>
        <v>2004dhbNorthlandPeri</v>
      </c>
      <c r="J2040" s="604">
        <v>2004</v>
      </c>
      <c r="K2040" s="604" t="s">
        <v>448</v>
      </c>
      <c r="L2040" s="604" t="s">
        <v>85</v>
      </c>
      <c r="M2040" s="604">
        <v>27</v>
      </c>
      <c r="N2040" s="604">
        <v>2106</v>
      </c>
      <c r="O2040" s="604">
        <v>12.8</v>
      </c>
      <c r="P2040" s="604" t="s">
        <v>483</v>
      </c>
      <c r="Q2040" s="499"/>
    </row>
    <row r="2041" spans="9:17">
      <c r="I2041" s="578" t="str">
        <f t="shared" si="177"/>
        <v>2004dhbWaitemataPeri</v>
      </c>
      <c r="J2041" s="604">
        <v>2004</v>
      </c>
      <c r="K2041" s="604" t="s">
        <v>448</v>
      </c>
      <c r="L2041" s="604" t="s">
        <v>86</v>
      </c>
      <c r="M2041" s="604">
        <v>69</v>
      </c>
      <c r="N2041" s="604">
        <v>7188</v>
      </c>
      <c r="O2041" s="604">
        <v>9.6</v>
      </c>
      <c r="P2041" s="604" t="s">
        <v>483</v>
      </c>
      <c r="Q2041" s="499"/>
    </row>
    <row r="2042" spans="9:17">
      <c r="I2042" s="578" t="str">
        <f t="shared" si="177"/>
        <v>2004dhbAucklandPeri</v>
      </c>
      <c r="J2042" s="604">
        <v>2004</v>
      </c>
      <c r="K2042" s="604" t="s">
        <v>448</v>
      </c>
      <c r="L2042" s="604" t="s">
        <v>87</v>
      </c>
      <c r="M2042" s="604">
        <v>81</v>
      </c>
      <c r="N2042" s="604">
        <v>6358</v>
      </c>
      <c r="O2042" s="604">
        <v>12.7</v>
      </c>
      <c r="P2042" s="604" t="s">
        <v>483</v>
      </c>
      <c r="Q2042" s="499"/>
    </row>
    <row r="2043" spans="9:17">
      <c r="I2043" s="578" t="str">
        <f t="shared" si="177"/>
        <v>2004dhbCounties ManukauPeri</v>
      </c>
      <c r="J2043" s="604">
        <v>2004</v>
      </c>
      <c r="K2043" s="604" t="s">
        <v>448</v>
      </c>
      <c r="L2043" s="604" t="s">
        <v>88</v>
      </c>
      <c r="M2043" s="604">
        <v>108</v>
      </c>
      <c r="N2043" s="604">
        <v>8008</v>
      </c>
      <c r="O2043" s="604">
        <v>13.5</v>
      </c>
      <c r="P2043" s="604" t="s">
        <v>483</v>
      </c>
      <c r="Q2043" s="499"/>
    </row>
    <row r="2044" spans="9:17">
      <c r="I2044" s="578" t="str">
        <f t="shared" si="177"/>
        <v>2004dhbWaikatoPeri</v>
      </c>
      <c r="J2044" s="604">
        <v>2004</v>
      </c>
      <c r="K2044" s="604" t="s">
        <v>448</v>
      </c>
      <c r="L2044" s="604" t="s">
        <v>89</v>
      </c>
      <c r="M2044" s="604">
        <v>56</v>
      </c>
      <c r="N2044" s="604">
        <v>5001</v>
      </c>
      <c r="O2044" s="604">
        <v>11.2</v>
      </c>
      <c r="P2044" s="604" t="s">
        <v>483</v>
      </c>
      <c r="Q2044" s="499"/>
    </row>
    <row r="2045" spans="9:17">
      <c r="I2045" s="578" t="str">
        <f t="shared" si="177"/>
        <v>2004dhbLakesPeri</v>
      </c>
      <c r="J2045" s="604">
        <v>2004</v>
      </c>
      <c r="K2045" s="604" t="s">
        <v>448</v>
      </c>
      <c r="L2045" s="604" t="s">
        <v>90</v>
      </c>
      <c r="M2045" s="604">
        <v>19</v>
      </c>
      <c r="N2045" s="604">
        <v>1674</v>
      </c>
      <c r="O2045" s="604">
        <v>11.4</v>
      </c>
      <c r="P2045" s="604" t="s">
        <v>483</v>
      </c>
      <c r="Q2045" s="499"/>
    </row>
    <row r="2046" spans="9:17">
      <c r="I2046" s="578" t="str">
        <f t="shared" si="177"/>
        <v>2004dhbBay of PlentyPeri</v>
      </c>
      <c r="J2046" s="604">
        <v>2004</v>
      </c>
      <c r="K2046" s="604" t="s">
        <v>448</v>
      </c>
      <c r="L2046" s="604" t="s">
        <v>91</v>
      </c>
      <c r="M2046" s="604">
        <v>29</v>
      </c>
      <c r="N2046" s="604">
        <v>2780</v>
      </c>
      <c r="O2046" s="604">
        <v>10.4</v>
      </c>
      <c r="P2046" s="604" t="s">
        <v>483</v>
      </c>
      <c r="Q2046" s="499"/>
    </row>
    <row r="2047" spans="9:17">
      <c r="I2047" s="578" t="str">
        <f t="shared" si="177"/>
        <v>2004dhbTairawhitiPeri</v>
      </c>
      <c r="J2047" s="604">
        <v>2004</v>
      </c>
      <c r="K2047" s="604" t="s">
        <v>448</v>
      </c>
      <c r="L2047" s="604" t="s">
        <v>433</v>
      </c>
      <c r="M2047" s="604">
        <v>6</v>
      </c>
      <c r="N2047" s="604">
        <v>765</v>
      </c>
      <c r="O2047" s="604">
        <v>7.8</v>
      </c>
      <c r="P2047" s="604" t="s">
        <v>483</v>
      </c>
      <c r="Q2047" s="499"/>
    </row>
    <row r="2048" spans="9:17">
      <c r="I2048" s="578" t="str">
        <f t="shared" si="177"/>
        <v>2004dhbHawke's BayPeri</v>
      </c>
      <c r="J2048" s="604">
        <v>2004</v>
      </c>
      <c r="K2048" s="604" t="s">
        <v>448</v>
      </c>
      <c r="L2048" s="604" t="s">
        <v>92</v>
      </c>
      <c r="M2048" s="604">
        <v>24</v>
      </c>
      <c r="N2048" s="604">
        <v>2202</v>
      </c>
      <c r="O2048" s="604">
        <v>10.9</v>
      </c>
      <c r="P2048" s="604" t="s">
        <v>483</v>
      </c>
      <c r="Q2048" s="499"/>
    </row>
    <row r="2049" spans="9:17">
      <c r="I2049" s="578" t="str">
        <f t="shared" si="177"/>
        <v>2004dhbTaranakiPeri</v>
      </c>
      <c r="J2049" s="604">
        <v>2004</v>
      </c>
      <c r="K2049" s="604" t="s">
        <v>448</v>
      </c>
      <c r="L2049" s="604" t="s">
        <v>93</v>
      </c>
      <c r="M2049" s="604">
        <v>15</v>
      </c>
      <c r="N2049" s="604">
        <v>1349</v>
      </c>
      <c r="O2049" s="604">
        <v>11.1</v>
      </c>
      <c r="P2049" s="604" t="s">
        <v>483</v>
      </c>
      <c r="Q2049" s="499"/>
    </row>
    <row r="2050" spans="9:17">
      <c r="I2050" s="578" t="str">
        <f t="shared" si="177"/>
        <v>2004dhbMidCentralPeri</v>
      </c>
      <c r="J2050" s="604">
        <v>2004</v>
      </c>
      <c r="K2050" s="604" t="s">
        <v>448</v>
      </c>
      <c r="L2050" s="604" t="s">
        <v>94</v>
      </c>
      <c r="M2050" s="604">
        <v>18</v>
      </c>
      <c r="N2050" s="604">
        <v>2095</v>
      </c>
      <c r="O2050" s="604">
        <v>8.6</v>
      </c>
      <c r="P2050" s="604" t="s">
        <v>483</v>
      </c>
      <c r="Q2050" s="499"/>
    </row>
    <row r="2051" spans="9:17">
      <c r="I2051" s="578" t="str">
        <f t="shared" si="177"/>
        <v>2004dhbWhanganuiPeri</v>
      </c>
      <c r="J2051" s="604">
        <v>2004</v>
      </c>
      <c r="K2051" s="604" t="s">
        <v>448</v>
      </c>
      <c r="L2051" s="604" t="s">
        <v>95</v>
      </c>
      <c r="M2051" s="604">
        <v>11</v>
      </c>
      <c r="N2051" s="604">
        <v>825</v>
      </c>
      <c r="O2051" s="604">
        <v>13.3</v>
      </c>
      <c r="P2051" s="604" t="s">
        <v>483</v>
      </c>
      <c r="Q2051" s="499"/>
    </row>
    <row r="2052" spans="9:17">
      <c r="I2052" s="578" t="str">
        <f t="shared" ref="I2052:I2115" si="178">J2052&amp;K2052&amp;L2052&amp;P2052</f>
        <v>2004dhbCapital &amp; CoastPeri</v>
      </c>
      <c r="J2052" s="604">
        <v>2004</v>
      </c>
      <c r="K2052" s="604" t="s">
        <v>448</v>
      </c>
      <c r="L2052" s="604" t="s">
        <v>96</v>
      </c>
      <c r="M2052" s="604">
        <v>42</v>
      </c>
      <c r="N2052" s="604">
        <v>3726</v>
      </c>
      <c r="O2052" s="604">
        <v>11.3</v>
      </c>
      <c r="P2052" s="604" t="s">
        <v>483</v>
      </c>
      <c r="Q2052" s="499"/>
    </row>
    <row r="2053" spans="9:17">
      <c r="I2053" s="578" t="str">
        <f t="shared" si="178"/>
        <v>2004dhbHutt ValleyPeri</v>
      </c>
      <c r="J2053" s="604">
        <v>2004</v>
      </c>
      <c r="K2053" s="604" t="s">
        <v>448</v>
      </c>
      <c r="L2053" s="604" t="s">
        <v>97</v>
      </c>
      <c r="M2053" s="604">
        <v>18</v>
      </c>
      <c r="N2053" s="604">
        <v>2046</v>
      </c>
      <c r="O2053" s="604">
        <v>8.8000000000000007</v>
      </c>
      <c r="P2053" s="604" t="s">
        <v>483</v>
      </c>
      <c r="Q2053" s="499"/>
    </row>
    <row r="2054" spans="9:17">
      <c r="I2054" s="578" t="str">
        <f t="shared" si="178"/>
        <v>2004dhbWairarapaPeri</v>
      </c>
      <c r="J2054" s="604">
        <v>2004</v>
      </c>
      <c r="K2054" s="604" t="s">
        <v>448</v>
      </c>
      <c r="L2054" s="604" t="s">
        <v>98</v>
      </c>
      <c r="M2054" s="604">
        <v>11</v>
      </c>
      <c r="N2054" s="604">
        <v>531</v>
      </c>
      <c r="O2054" s="604">
        <v>20.7</v>
      </c>
      <c r="P2054" s="604" t="s">
        <v>483</v>
      </c>
      <c r="Q2054" s="499"/>
    </row>
    <row r="2055" spans="9:17">
      <c r="I2055" s="578" t="str">
        <f t="shared" si="178"/>
        <v>2004dhbNelson MarlboroughPeri</v>
      </c>
      <c r="J2055" s="604">
        <v>2004</v>
      </c>
      <c r="K2055" s="604" t="s">
        <v>448</v>
      </c>
      <c r="L2055" s="604" t="s">
        <v>99</v>
      </c>
      <c r="M2055" s="604">
        <v>18</v>
      </c>
      <c r="N2055" s="604">
        <v>1637</v>
      </c>
      <c r="O2055" s="604">
        <v>11</v>
      </c>
      <c r="P2055" s="604" t="s">
        <v>483</v>
      </c>
      <c r="Q2055" s="499"/>
    </row>
    <row r="2056" spans="9:17">
      <c r="I2056" s="578" t="str">
        <f t="shared" si="178"/>
        <v>2004dhbWest CoastPeri</v>
      </c>
      <c r="J2056" s="604">
        <v>2004</v>
      </c>
      <c r="K2056" s="604" t="s">
        <v>448</v>
      </c>
      <c r="L2056" s="604" t="s">
        <v>100</v>
      </c>
      <c r="M2056" s="604">
        <v>5</v>
      </c>
      <c r="N2056" s="604">
        <v>403</v>
      </c>
      <c r="O2056" s="604">
        <v>12.4</v>
      </c>
      <c r="P2056" s="604" t="s">
        <v>483</v>
      </c>
      <c r="Q2056" s="499"/>
    </row>
    <row r="2057" spans="9:17">
      <c r="I2057" s="578" t="str">
        <f t="shared" si="178"/>
        <v>2004dhbCanterburyPeri</v>
      </c>
      <c r="J2057" s="604">
        <v>2004</v>
      </c>
      <c r="K2057" s="604" t="s">
        <v>448</v>
      </c>
      <c r="L2057" s="604" t="s">
        <v>101</v>
      </c>
      <c r="M2057" s="604">
        <v>67</v>
      </c>
      <c r="N2057" s="604">
        <v>6123</v>
      </c>
      <c r="O2057" s="604">
        <v>10.9</v>
      </c>
      <c r="P2057" s="604" t="s">
        <v>483</v>
      </c>
      <c r="Q2057" s="499"/>
    </row>
    <row r="2058" spans="9:17">
      <c r="I2058" s="578" t="str">
        <f t="shared" si="178"/>
        <v>2004dhbSouth CanterburyPeri</v>
      </c>
      <c r="J2058" s="604">
        <v>2004</v>
      </c>
      <c r="K2058" s="604" t="s">
        <v>448</v>
      </c>
      <c r="L2058" s="604" t="s">
        <v>102</v>
      </c>
      <c r="M2058" s="604">
        <v>6</v>
      </c>
      <c r="N2058" s="604">
        <v>573</v>
      </c>
      <c r="O2058" s="604">
        <v>10.5</v>
      </c>
      <c r="P2058" s="604" t="s">
        <v>483</v>
      </c>
      <c r="Q2058" s="499"/>
    </row>
    <row r="2059" spans="9:17">
      <c r="I2059" s="578" t="str">
        <f t="shared" si="178"/>
        <v>2004dhbSouthernPeri</v>
      </c>
      <c r="J2059" s="604">
        <v>2004</v>
      </c>
      <c r="K2059" s="604" t="s">
        <v>448</v>
      </c>
      <c r="L2059" s="604" t="s">
        <v>103</v>
      </c>
      <c r="M2059" s="604">
        <v>35</v>
      </c>
      <c r="N2059" s="604">
        <v>3483</v>
      </c>
      <c r="O2059" s="604">
        <v>10</v>
      </c>
      <c r="P2059" s="604" t="s">
        <v>483</v>
      </c>
      <c r="Q2059" s="499"/>
    </row>
    <row r="2060" spans="9:17">
      <c r="I2060" s="578" t="str">
        <f t="shared" si="178"/>
        <v>2004dhbUnknownPeri</v>
      </c>
      <c r="J2060" s="604">
        <v>2004</v>
      </c>
      <c r="K2060" s="604" t="s">
        <v>448</v>
      </c>
      <c r="L2060" s="604" t="s">
        <v>63</v>
      </c>
      <c r="M2060" s="604">
        <v>1</v>
      </c>
      <c r="N2060" s="604">
        <v>356</v>
      </c>
      <c r="O2060" s="604" t="s">
        <v>119</v>
      </c>
      <c r="P2060" s="604" t="s">
        <v>483</v>
      </c>
      <c r="Q2060" s="499"/>
    </row>
    <row r="2061" spans="9:17">
      <c r="I2061" s="578" t="str">
        <f t="shared" si="178"/>
        <v>2005dhbNorthlandPeri</v>
      </c>
      <c r="J2061" s="604">
        <v>2005</v>
      </c>
      <c r="K2061" s="604" t="s">
        <v>448</v>
      </c>
      <c r="L2061" s="604" t="s">
        <v>85</v>
      </c>
      <c r="M2061" s="604">
        <v>21</v>
      </c>
      <c r="N2061" s="604">
        <v>2152</v>
      </c>
      <c r="O2061" s="604">
        <v>9.8000000000000007</v>
      </c>
      <c r="P2061" s="604" t="s">
        <v>483</v>
      </c>
      <c r="Q2061" s="499"/>
    </row>
    <row r="2062" spans="9:17">
      <c r="I2062" s="578" t="str">
        <f t="shared" si="178"/>
        <v>2005dhbWaitemataPeri</v>
      </c>
      <c r="J2062" s="604">
        <v>2005</v>
      </c>
      <c r="K2062" s="604" t="s">
        <v>448</v>
      </c>
      <c r="L2062" s="604" t="s">
        <v>86</v>
      </c>
      <c r="M2062" s="604">
        <v>67</v>
      </c>
      <c r="N2062" s="604">
        <v>7001</v>
      </c>
      <c r="O2062" s="604">
        <v>9.6</v>
      </c>
      <c r="P2062" s="604" t="s">
        <v>483</v>
      </c>
      <c r="Q2062" s="499"/>
    </row>
    <row r="2063" spans="9:17">
      <c r="I2063" s="578" t="str">
        <f t="shared" si="178"/>
        <v>2005dhbAucklandPeri</v>
      </c>
      <c r="J2063" s="604">
        <v>2005</v>
      </c>
      <c r="K2063" s="604" t="s">
        <v>448</v>
      </c>
      <c r="L2063" s="604" t="s">
        <v>87</v>
      </c>
      <c r="M2063" s="604">
        <v>43</v>
      </c>
      <c r="N2063" s="604">
        <v>6269</v>
      </c>
      <c r="O2063" s="604">
        <v>6.9</v>
      </c>
      <c r="P2063" s="604" t="s">
        <v>483</v>
      </c>
      <c r="Q2063" s="499"/>
    </row>
    <row r="2064" spans="9:17">
      <c r="I2064" s="578" t="str">
        <f t="shared" si="178"/>
        <v>2005dhbCounties ManukauPeri</v>
      </c>
      <c r="J2064" s="604">
        <v>2005</v>
      </c>
      <c r="K2064" s="604" t="s">
        <v>448</v>
      </c>
      <c r="L2064" s="604" t="s">
        <v>88</v>
      </c>
      <c r="M2064" s="604">
        <v>89</v>
      </c>
      <c r="N2064" s="604">
        <v>8126</v>
      </c>
      <c r="O2064" s="604">
        <v>11</v>
      </c>
      <c r="P2064" s="604" t="s">
        <v>483</v>
      </c>
      <c r="Q2064" s="499"/>
    </row>
    <row r="2065" spans="9:17">
      <c r="I2065" s="578" t="str">
        <f t="shared" si="178"/>
        <v>2005dhbWaikatoPeri</v>
      </c>
      <c r="J2065" s="604">
        <v>2005</v>
      </c>
      <c r="K2065" s="604" t="s">
        <v>448</v>
      </c>
      <c r="L2065" s="604" t="s">
        <v>89</v>
      </c>
      <c r="M2065" s="604">
        <v>43</v>
      </c>
      <c r="N2065" s="604">
        <v>5143</v>
      </c>
      <c r="O2065" s="604">
        <v>8.4</v>
      </c>
      <c r="P2065" s="604" t="s">
        <v>483</v>
      </c>
      <c r="Q2065" s="499"/>
    </row>
    <row r="2066" spans="9:17">
      <c r="I2066" s="578" t="str">
        <f t="shared" si="178"/>
        <v>2005dhbLakesPeri</v>
      </c>
      <c r="J2066" s="604">
        <v>2005</v>
      </c>
      <c r="K2066" s="604" t="s">
        <v>448</v>
      </c>
      <c r="L2066" s="604" t="s">
        <v>90</v>
      </c>
      <c r="M2066" s="604">
        <v>21</v>
      </c>
      <c r="N2066" s="604">
        <v>1591</v>
      </c>
      <c r="O2066" s="604">
        <v>13.2</v>
      </c>
      <c r="P2066" s="604" t="s">
        <v>483</v>
      </c>
      <c r="Q2066" s="499"/>
    </row>
    <row r="2067" spans="9:17">
      <c r="I2067" s="578" t="str">
        <f t="shared" si="178"/>
        <v>2005dhbBay of PlentyPeri</v>
      </c>
      <c r="J2067" s="604">
        <v>2005</v>
      </c>
      <c r="K2067" s="604" t="s">
        <v>448</v>
      </c>
      <c r="L2067" s="604" t="s">
        <v>91</v>
      </c>
      <c r="M2067" s="604">
        <v>34</v>
      </c>
      <c r="N2067" s="604">
        <v>2816</v>
      </c>
      <c r="O2067" s="604">
        <v>12.1</v>
      </c>
      <c r="P2067" s="604" t="s">
        <v>483</v>
      </c>
      <c r="Q2067" s="499"/>
    </row>
    <row r="2068" spans="9:17">
      <c r="I2068" s="578" t="str">
        <f t="shared" si="178"/>
        <v>2005dhbTairawhitiPeri</v>
      </c>
      <c r="J2068" s="604">
        <v>2005</v>
      </c>
      <c r="K2068" s="604" t="s">
        <v>448</v>
      </c>
      <c r="L2068" s="604" t="s">
        <v>433</v>
      </c>
      <c r="M2068" s="604">
        <v>10</v>
      </c>
      <c r="N2068" s="604">
        <v>807</v>
      </c>
      <c r="O2068" s="604">
        <v>12.4</v>
      </c>
      <c r="P2068" s="604" t="s">
        <v>483</v>
      </c>
      <c r="Q2068" s="499"/>
    </row>
    <row r="2069" spans="9:17">
      <c r="I2069" s="578" t="str">
        <f t="shared" si="178"/>
        <v>2005dhbHawke's BayPeri</v>
      </c>
      <c r="J2069" s="604">
        <v>2005</v>
      </c>
      <c r="K2069" s="604" t="s">
        <v>448</v>
      </c>
      <c r="L2069" s="604" t="s">
        <v>92</v>
      </c>
      <c r="M2069" s="604">
        <v>16</v>
      </c>
      <c r="N2069" s="604">
        <v>2170</v>
      </c>
      <c r="O2069" s="604">
        <v>7.4</v>
      </c>
      <c r="P2069" s="604" t="s">
        <v>483</v>
      </c>
      <c r="Q2069" s="499"/>
    </row>
    <row r="2070" spans="9:17">
      <c r="I2070" s="578" t="str">
        <f t="shared" si="178"/>
        <v>2005dhbTaranakiPeri</v>
      </c>
      <c r="J2070" s="604">
        <v>2005</v>
      </c>
      <c r="K2070" s="604" t="s">
        <v>448</v>
      </c>
      <c r="L2070" s="604" t="s">
        <v>93</v>
      </c>
      <c r="M2070" s="604">
        <v>11</v>
      </c>
      <c r="N2070" s="604">
        <v>1445</v>
      </c>
      <c r="O2070" s="604">
        <v>7.6</v>
      </c>
      <c r="P2070" s="604" t="s">
        <v>483</v>
      </c>
      <c r="Q2070" s="499"/>
    </row>
    <row r="2071" spans="9:17">
      <c r="I2071" s="578" t="str">
        <f t="shared" si="178"/>
        <v>2005dhbMidCentralPeri</v>
      </c>
      <c r="J2071" s="604">
        <v>2005</v>
      </c>
      <c r="K2071" s="604" t="s">
        <v>448</v>
      </c>
      <c r="L2071" s="604" t="s">
        <v>94</v>
      </c>
      <c r="M2071" s="604">
        <v>22</v>
      </c>
      <c r="N2071" s="604">
        <v>2273</v>
      </c>
      <c r="O2071" s="604">
        <v>9.6999999999999993</v>
      </c>
      <c r="P2071" s="604" t="s">
        <v>483</v>
      </c>
      <c r="Q2071" s="499"/>
    </row>
    <row r="2072" spans="9:17">
      <c r="I2072" s="578" t="str">
        <f t="shared" si="178"/>
        <v>2005dhbWhanganuiPeri</v>
      </c>
      <c r="J2072" s="604">
        <v>2005</v>
      </c>
      <c r="K2072" s="604" t="s">
        <v>448</v>
      </c>
      <c r="L2072" s="604" t="s">
        <v>95</v>
      </c>
      <c r="M2072" s="604">
        <v>9</v>
      </c>
      <c r="N2072" s="604">
        <v>831</v>
      </c>
      <c r="O2072" s="604">
        <v>10.8</v>
      </c>
      <c r="P2072" s="604" t="s">
        <v>483</v>
      </c>
      <c r="Q2072" s="499"/>
    </row>
    <row r="2073" spans="9:17">
      <c r="I2073" s="578" t="str">
        <f t="shared" si="178"/>
        <v>2005dhbCapital &amp; CoastPeri</v>
      </c>
      <c r="J2073" s="604">
        <v>2005</v>
      </c>
      <c r="K2073" s="604" t="s">
        <v>448</v>
      </c>
      <c r="L2073" s="604" t="s">
        <v>96</v>
      </c>
      <c r="M2073" s="604">
        <v>34</v>
      </c>
      <c r="N2073" s="604">
        <v>3754</v>
      </c>
      <c r="O2073" s="604">
        <v>9.1</v>
      </c>
      <c r="P2073" s="604" t="s">
        <v>483</v>
      </c>
      <c r="Q2073" s="499"/>
    </row>
    <row r="2074" spans="9:17">
      <c r="I2074" s="578" t="str">
        <f t="shared" si="178"/>
        <v>2005dhbHutt ValleyPeri</v>
      </c>
      <c r="J2074" s="604">
        <v>2005</v>
      </c>
      <c r="K2074" s="604" t="s">
        <v>448</v>
      </c>
      <c r="L2074" s="604" t="s">
        <v>97</v>
      </c>
      <c r="M2074" s="604">
        <v>19</v>
      </c>
      <c r="N2074" s="604">
        <v>2026</v>
      </c>
      <c r="O2074" s="604">
        <v>9.4</v>
      </c>
      <c r="P2074" s="604" t="s">
        <v>483</v>
      </c>
      <c r="Q2074" s="499"/>
    </row>
    <row r="2075" spans="9:17">
      <c r="I2075" s="578" t="str">
        <f t="shared" si="178"/>
        <v>2005dhbWairarapaPeri</v>
      </c>
      <c r="J2075" s="604">
        <v>2005</v>
      </c>
      <c r="K2075" s="604" t="s">
        <v>448</v>
      </c>
      <c r="L2075" s="604" t="s">
        <v>98</v>
      </c>
      <c r="M2075" s="604">
        <v>3</v>
      </c>
      <c r="N2075" s="604">
        <v>478</v>
      </c>
      <c r="O2075" s="604">
        <v>6.3</v>
      </c>
      <c r="P2075" s="604" t="s">
        <v>483</v>
      </c>
      <c r="Q2075" s="499"/>
    </row>
    <row r="2076" spans="9:17">
      <c r="I2076" s="578" t="str">
        <f t="shared" si="178"/>
        <v>2005dhbNelson MarlboroughPeri</v>
      </c>
      <c r="J2076" s="604">
        <v>2005</v>
      </c>
      <c r="K2076" s="604" t="s">
        <v>448</v>
      </c>
      <c r="L2076" s="604" t="s">
        <v>99</v>
      </c>
      <c r="M2076" s="604">
        <v>13</v>
      </c>
      <c r="N2076" s="604">
        <v>1525</v>
      </c>
      <c r="O2076" s="604">
        <v>8.5</v>
      </c>
      <c r="P2076" s="604" t="s">
        <v>483</v>
      </c>
      <c r="Q2076" s="499"/>
    </row>
    <row r="2077" spans="9:17">
      <c r="I2077" s="578" t="str">
        <f t="shared" si="178"/>
        <v>2005dhbWest CoastPeri</v>
      </c>
      <c r="J2077" s="604">
        <v>2005</v>
      </c>
      <c r="K2077" s="604" t="s">
        <v>448</v>
      </c>
      <c r="L2077" s="604" t="s">
        <v>100</v>
      </c>
      <c r="M2077" s="604">
        <v>3</v>
      </c>
      <c r="N2077" s="604">
        <v>344</v>
      </c>
      <c r="O2077" s="604">
        <v>8.6999999999999993</v>
      </c>
      <c r="P2077" s="604" t="s">
        <v>483</v>
      </c>
      <c r="Q2077" s="499"/>
    </row>
    <row r="2078" spans="9:17">
      <c r="I2078" s="578" t="str">
        <f t="shared" si="178"/>
        <v>2005dhbCanterburyPeri</v>
      </c>
      <c r="J2078" s="604">
        <v>2005</v>
      </c>
      <c r="K2078" s="604" t="s">
        <v>448</v>
      </c>
      <c r="L2078" s="604" t="s">
        <v>101</v>
      </c>
      <c r="M2078" s="604">
        <v>61</v>
      </c>
      <c r="N2078" s="604">
        <v>6099</v>
      </c>
      <c r="O2078" s="604">
        <v>10</v>
      </c>
      <c r="P2078" s="604" t="s">
        <v>483</v>
      </c>
      <c r="Q2078" s="499"/>
    </row>
    <row r="2079" spans="9:17">
      <c r="I2079" s="578" t="str">
        <f t="shared" si="178"/>
        <v>2005dhbSouth CanterburyPeri</v>
      </c>
      <c r="J2079" s="604">
        <v>2005</v>
      </c>
      <c r="K2079" s="604" t="s">
        <v>448</v>
      </c>
      <c r="L2079" s="604" t="s">
        <v>102</v>
      </c>
      <c r="M2079" s="604">
        <v>9</v>
      </c>
      <c r="N2079" s="604">
        <v>593</v>
      </c>
      <c r="O2079" s="604">
        <v>15.2</v>
      </c>
      <c r="P2079" s="604" t="s">
        <v>483</v>
      </c>
      <c r="Q2079" s="499"/>
    </row>
    <row r="2080" spans="9:17">
      <c r="I2080" s="578" t="str">
        <f t="shared" si="178"/>
        <v>2005dhbSouthernPeri</v>
      </c>
      <c r="J2080" s="604">
        <v>2005</v>
      </c>
      <c r="K2080" s="604" t="s">
        <v>448</v>
      </c>
      <c r="L2080" s="604" t="s">
        <v>103</v>
      </c>
      <c r="M2080" s="604">
        <v>22</v>
      </c>
      <c r="N2080" s="604">
        <v>3439</v>
      </c>
      <c r="O2080" s="604">
        <v>6.4</v>
      </c>
      <c r="P2080" s="604" t="s">
        <v>483</v>
      </c>
      <c r="Q2080" s="499"/>
    </row>
    <row r="2081" spans="9:17">
      <c r="I2081" s="578" t="str">
        <f t="shared" si="178"/>
        <v>2005dhbUnknownPeri</v>
      </c>
      <c r="J2081" s="604">
        <v>2005</v>
      </c>
      <c r="K2081" s="604" t="s">
        <v>448</v>
      </c>
      <c r="L2081" s="604" t="s">
        <v>63</v>
      </c>
      <c r="M2081" s="604">
        <v>1</v>
      </c>
      <c r="N2081" s="604">
        <v>248</v>
      </c>
      <c r="O2081" s="604" t="s">
        <v>119</v>
      </c>
      <c r="P2081" s="604" t="s">
        <v>483</v>
      </c>
      <c r="Q2081" s="499"/>
    </row>
    <row r="2082" spans="9:17">
      <c r="I2082" s="578" t="str">
        <f t="shared" si="178"/>
        <v>2006dhbNorthlandPeri</v>
      </c>
      <c r="J2082" s="604">
        <v>2006</v>
      </c>
      <c r="K2082" s="604" t="s">
        <v>448</v>
      </c>
      <c r="L2082" s="604" t="s">
        <v>85</v>
      </c>
      <c r="M2082" s="604">
        <v>24</v>
      </c>
      <c r="N2082" s="604">
        <v>2317</v>
      </c>
      <c r="O2082" s="604">
        <v>10.4</v>
      </c>
      <c r="P2082" s="604" t="s">
        <v>483</v>
      </c>
      <c r="Q2082" s="499"/>
    </row>
    <row r="2083" spans="9:17">
      <c r="I2083" s="578" t="str">
        <f t="shared" si="178"/>
        <v>2006dhbWaitemataPeri</v>
      </c>
      <c r="J2083" s="604">
        <v>2006</v>
      </c>
      <c r="K2083" s="604" t="s">
        <v>448</v>
      </c>
      <c r="L2083" s="604" t="s">
        <v>86</v>
      </c>
      <c r="M2083" s="604">
        <v>61</v>
      </c>
      <c r="N2083" s="604">
        <v>7370</v>
      </c>
      <c r="O2083" s="604">
        <v>8.3000000000000007</v>
      </c>
      <c r="P2083" s="604" t="s">
        <v>483</v>
      </c>
      <c r="Q2083" s="499"/>
    </row>
    <row r="2084" spans="9:17">
      <c r="I2084" s="578" t="str">
        <f t="shared" si="178"/>
        <v>2006dhbAucklandPeri</v>
      </c>
      <c r="J2084" s="604">
        <v>2006</v>
      </c>
      <c r="K2084" s="604" t="s">
        <v>448</v>
      </c>
      <c r="L2084" s="604" t="s">
        <v>87</v>
      </c>
      <c r="M2084" s="604">
        <v>57</v>
      </c>
      <c r="N2084" s="604">
        <v>6328</v>
      </c>
      <c r="O2084" s="604">
        <v>9</v>
      </c>
      <c r="P2084" s="604" t="s">
        <v>483</v>
      </c>
      <c r="Q2084" s="499"/>
    </row>
    <row r="2085" spans="9:17">
      <c r="I2085" s="578" t="str">
        <f t="shared" si="178"/>
        <v>2006dhbCounties ManukauPeri</v>
      </c>
      <c r="J2085" s="604">
        <v>2006</v>
      </c>
      <c r="K2085" s="604" t="s">
        <v>448</v>
      </c>
      <c r="L2085" s="604" t="s">
        <v>88</v>
      </c>
      <c r="M2085" s="604">
        <v>82</v>
      </c>
      <c r="N2085" s="604">
        <v>8330</v>
      </c>
      <c r="O2085" s="604">
        <v>9.8000000000000007</v>
      </c>
      <c r="P2085" s="604" t="s">
        <v>483</v>
      </c>
      <c r="Q2085" s="499"/>
    </row>
    <row r="2086" spans="9:17">
      <c r="I2086" s="578" t="str">
        <f t="shared" si="178"/>
        <v>2006dhbWaikatoPeri</v>
      </c>
      <c r="J2086" s="604">
        <v>2006</v>
      </c>
      <c r="K2086" s="604" t="s">
        <v>448</v>
      </c>
      <c r="L2086" s="604" t="s">
        <v>89</v>
      </c>
      <c r="M2086" s="604">
        <v>55</v>
      </c>
      <c r="N2086" s="604">
        <v>5098</v>
      </c>
      <c r="O2086" s="604">
        <v>10.8</v>
      </c>
      <c r="P2086" s="604" t="s">
        <v>483</v>
      </c>
      <c r="Q2086" s="499"/>
    </row>
    <row r="2087" spans="9:17">
      <c r="I2087" s="578" t="str">
        <f t="shared" si="178"/>
        <v>2006dhbLakesPeri</v>
      </c>
      <c r="J2087" s="604">
        <v>2006</v>
      </c>
      <c r="K2087" s="604" t="s">
        <v>448</v>
      </c>
      <c r="L2087" s="604" t="s">
        <v>90</v>
      </c>
      <c r="M2087" s="604">
        <v>10</v>
      </c>
      <c r="N2087" s="604">
        <v>1640</v>
      </c>
      <c r="O2087" s="604">
        <v>6.1</v>
      </c>
      <c r="P2087" s="604" t="s">
        <v>483</v>
      </c>
      <c r="Q2087" s="499"/>
    </row>
    <row r="2088" spans="9:17">
      <c r="I2088" s="578" t="str">
        <f t="shared" si="178"/>
        <v>2006dhbBay of PlentyPeri</v>
      </c>
      <c r="J2088" s="604">
        <v>2006</v>
      </c>
      <c r="K2088" s="604" t="s">
        <v>448</v>
      </c>
      <c r="L2088" s="604" t="s">
        <v>91</v>
      </c>
      <c r="M2088" s="604">
        <v>18</v>
      </c>
      <c r="N2088" s="604">
        <v>2837</v>
      </c>
      <c r="O2088" s="604">
        <v>6.3</v>
      </c>
      <c r="P2088" s="604" t="s">
        <v>483</v>
      </c>
      <c r="Q2088" s="499"/>
    </row>
    <row r="2089" spans="9:17">
      <c r="I2089" s="578" t="str">
        <f t="shared" si="178"/>
        <v>2006dhbTairawhitiPeri</v>
      </c>
      <c r="J2089" s="604">
        <v>2006</v>
      </c>
      <c r="K2089" s="604" t="s">
        <v>448</v>
      </c>
      <c r="L2089" s="604" t="s">
        <v>433</v>
      </c>
      <c r="M2089" s="604">
        <v>9</v>
      </c>
      <c r="N2089" s="604">
        <v>752</v>
      </c>
      <c r="O2089" s="604">
        <v>12</v>
      </c>
      <c r="P2089" s="604" t="s">
        <v>483</v>
      </c>
      <c r="Q2089" s="499"/>
    </row>
    <row r="2090" spans="9:17">
      <c r="I2090" s="578" t="str">
        <f t="shared" si="178"/>
        <v>2006dhbHawke's BayPeri</v>
      </c>
      <c r="J2090" s="604">
        <v>2006</v>
      </c>
      <c r="K2090" s="604" t="s">
        <v>448</v>
      </c>
      <c r="L2090" s="604" t="s">
        <v>92</v>
      </c>
      <c r="M2090" s="604">
        <v>19</v>
      </c>
      <c r="N2090" s="604">
        <v>2222</v>
      </c>
      <c r="O2090" s="604">
        <v>8.6</v>
      </c>
      <c r="P2090" s="604" t="s">
        <v>483</v>
      </c>
      <c r="Q2090" s="499"/>
    </row>
    <row r="2091" spans="9:17">
      <c r="I2091" s="578" t="str">
        <f t="shared" si="178"/>
        <v>2006dhbTaranakiPeri</v>
      </c>
      <c r="J2091" s="604">
        <v>2006</v>
      </c>
      <c r="K2091" s="604" t="s">
        <v>448</v>
      </c>
      <c r="L2091" s="604" t="s">
        <v>93</v>
      </c>
      <c r="M2091" s="604">
        <v>15</v>
      </c>
      <c r="N2091" s="604">
        <v>1491</v>
      </c>
      <c r="O2091" s="604">
        <v>10.1</v>
      </c>
      <c r="P2091" s="604" t="s">
        <v>483</v>
      </c>
      <c r="Q2091" s="499"/>
    </row>
    <row r="2092" spans="9:17">
      <c r="I2092" s="578" t="str">
        <f t="shared" si="178"/>
        <v>2006dhbMidCentralPeri</v>
      </c>
      <c r="J2092" s="604">
        <v>2006</v>
      </c>
      <c r="K2092" s="604" t="s">
        <v>448</v>
      </c>
      <c r="L2092" s="604" t="s">
        <v>94</v>
      </c>
      <c r="M2092" s="604">
        <v>13</v>
      </c>
      <c r="N2092" s="604">
        <v>2279</v>
      </c>
      <c r="O2092" s="604">
        <v>5.7</v>
      </c>
      <c r="P2092" s="604" t="s">
        <v>483</v>
      </c>
      <c r="Q2092" s="499"/>
    </row>
    <row r="2093" spans="9:17">
      <c r="I2093" s="578" t="str">
        <f t="shared" si="178"/>
        <v>2006dhbWhanganuiPeri</v>
      </c>
      <c r="J2093" s="604">
        <v>2006</v>
      </c>
      <c r="K2093" s="604" t="s">
        <v>448</v>
      </c>
      <c r="L2093" s="604" t="s">
        <v>95</v>
      </c>
      <c r="M2093" s="604">
        <v>7</v>
      </c>
      <c r="N2093" s="604">
        <v>900</v>
      </c>
      <c r="O2093" s="604">
        <v>7.8</v>
      </c>
      <c r="P2093" s="604" t="s">
        <v>483</v>
      </c>
      <c r="Q2093" s="499"/>
    </row>
    <row r="2094" spans="9:17">
      <c r="I2094" s="578" t="str">
        <f t="shared" si="178"/>
        <v>2006dhbCapital &amp; CoastPeri</v>
      </c>
      <c r="J2094" s="604">
        <v>2006</v>
      </c>
      <c r="K2094" s="604" t="s">
        <v>448</v>
      </c>
      <c r="L2094" s="604" t="s">
        <v>96</v>
      </c>
      <c r="M2094" s="604">
        <v>34</v>
      </c>
      <c r="N2094" s="604">
        <v>3919</v>
      </c>
      <c r="O2094" s="604">
        <v>8.6999999999999993</v>
      </c>
      <c r="P2094" s="604" t="s">
        <v>483</v>
      </c>
      <c r="Q2094" s="499"/>
    </row>
    <row r="2095" spans="9:17">
      <c r="I2095" s="578" t="str">
        <f t="shared" si="178"/>
        <v>2006dhbHutt ValleyPeri</v>
      </c>
      <c r="J2095" s="604">
        <v>2006</v>
      </c>
      <c r="K2095" s="604" t="s">
        <v>448</v>
      </c>
      <c r="L2095" s="604" t="s">
        <v>97</v>
      </c>
      <c r="M2095" s="604">
        <v>23</v>
      </c>
      <c r="N2095" s="604">
        <v>2017</v>
      </c>
      <c r="O2095" s="604">
        <v>11.4</v>
      </c>
      <c r="P2095" s="604" t="s">
        <v>483</v>
      </c>
      <c r="Q2095" s="499"/>
    </row>
    <row r="2096" spans="9:17">
      <c r="I2096" s="578" t="str">
        <f t="shared" si="178"/>
        <v>2006dhbWairarapaPeri</v>
      </c>
      <c r="J2096" s="604">
        <v>2006</v>
      </c>
      <c r="K2096" s="604" t="s">
        <v>448</v>
      </c>
      <c r="L2096" s="604" t="s">
        <v>98</v>
      </c>
      <c r="M2096" s="604">
        <v>5</v>
      </c>
      <c r="N2096" s="604">
        <v>526</v>
      </c>
      <c r="O2096" s="604">
        <v>9.5</v>
      </c>
      <c r="P2096" s="604" t="s">
        <v>483</v>
      </c>
      <c r="Q2096" s="499"/>
    </row>
    <row r="2097" spans="9:17">
      <c r="I2097" s="578" t="str">
        <f t="shared" si="178"/>
        <v>2006dhbNelson MarlboroughPeri</v>
      </c>
      <c r="J2097" s="604">
        <v>2006</v>
      </c>
      <c r="K2097" s="604" t="s">
        <v>448</v>
      </c>
      <c r="L2097" s="604" t="s">
        <v>99</v>
      </c>
      <c r="M2097" s="604">
        <v>15</v>
      </c>
      <c r="N2097" s="604">
        <v>1581</v>
      </c>
      <c r="O2097" s="604">
        <v>9.5</v>
      </c>
      <c r="P2097" s="604" t="s">
        <v>483</v>
      </c>
      <c r="Q2097" s="499"/>
    </row>
    <row r="2098" spans="9:17">
      <c r="I2098" s="578" t="str">
        <f t="shared" si="178"/>
        <v>2006dhbWest CoastPeri</v>
      </c>
      <c r="J2098" s="604">
        <v>2006</v>
      </c>
      <c r="K2098" s="604" t="s">
        <v>448</v>
      </c>
      <c r="L2098" s="604" t="s">
        <v>100</v>
      </c>
      <c r="M2098" s="604">
        <v>2</v>
      </c>
      <c r="N2098" s="604">
        <v>398</v>
      </c>
      <c r="O2098" s="604">
        <v>5</v>
      </c>
      <c r="P2098" s="604" t="s">
        <v>483</v>
      </c>
      <c r="Q2098" s="499"/>
    </row>
    <row r="2099" spans="9:17">
      <c r="I2099" s="578" t="str">
        <f t="shared" si="178"/>
        <v>2006dhbCanterburyPeri</v>
      </c>
      <c r="J2099" s="604">
        <v>2006</v>
      </c>
      <c r="K2099" s="604" t="s">
        <v>448</v>
      </c>
      <c r="L2099" s="604" t="s">
        <v>101</v>
      </c>
      <c r="M2099" s="604">
        <v>47</v>
      </c>
      <c r="N2099" s="604">
        <v>6244</v>
      </c>
      <c r="O2099" s="604">
        <v>7.5</v>
      </c>
      <c r="P2099" s="604" t="s">
        <v>483</v>
      </c>
      <c r="Q2099" s="499"/>
    </row>
    <row r="2100" spans="9:17">
      <c r="I2100" s="578" t="str">
        <f t="shared" si="178"/>
        <v>2006dhbSouth CanterburyPeri</v>
      </c>
      <c r="J2100" s="604">
        <v>2006</v>
      </c>
      <c r="K2100" s="604" t="s">
        <v>448</v>
      </c>
      <c r="L2100" s="604" t="s">
        <v>102</v>
      </c>
      <c r="M2100" s="604">
        <v>1</v>
      </c>
      <c r="N2100" s="604">
        <v>606</v>
      </c>
      <c r="O2100" s="604">
        <v>1.7</v>
      </c>
      <c r="P2100" s="604" t="s">
        <v>483</v>
      </c>
      <c r="Q2100" s="499"/>
    </row>
    <row r="2101" spans="9:17">
      <c r="I2101" s="578" t="str">
        <f t="shared" si="178"/>
        <v>2006dhbSouthernPeri</v>
      </c>
      <c r="J2101" s="604">
        <v>2006</v>
      </c>
      <c r="K2101" s="604" t="s">
        <v>448</v>
      </c>
      <c r="L2101" s="604" t="s">
        <v>103</v>
      </c>
      <c r="M2101" s="604">
        <v>45</v>
      </c>
      <c r="N2101" s="604">
        <v>3472</v>
      </c>
      <c r="O2101" s="604">
        <v>13</v>
      </c>
      <c r="P2101" s="604" t="s">
        <v>483</v>
      </c>
      <c r="Q2101" s="499"/>
    </row>
    <row r="2102" spans="9:17">
      <c r="I2102" s="578" t="str">
        <f t="shared" si="178"/>
        <v>2006dhbUnknownPeri</v>
      </c>
      <c r="J2102" s="604">
        <v>2006</v>
      </c>
      <c r="K2102" s="604" t="s">
        <v>448</v>
      </c>
      <c r="L2102" s="604" t="s">
        <v>63</v>
      </c>
      <c r="M2102" s="604">
        <v>4</v>
      </c>
      <c r="N2102" s="604">
        <v>356</v>
      </c>
      <c r="O2102" s="604" t="s">
        <v>119</v>
      </c>
      <c r="P2102" s="604" t="s">
        <v>483</v>
      </c>
      <c r="Q2102" s="499"/>
    </row>
    <row r="2103" spans="9:17">
      <c r="I2103" s="578" t="str">
        <f t="shared" si="178"/>
        <v>2007dhbNorthlandPeri</v>
      </c>
      <c r="J2103" s="604">
        <v>2007</v>
      </c>
      <c r="K2103" s="604" t="s">
        <v>448</v>
      </c>
      <c r="L2103" s="604" t="s">
        <v>85</v>
      </c>
      <c r="M2103" s="604">
        <v>25</v>
      </c>
      <c r="N2103" s="604">
        <v>2391</v>
      </c>
      <c r="O2103" s="604">
        <v>10.5</v>
      </c>
      <c r="P2103" s="604" t="s">
        <v>483</v>
      </c>
      <c r="Q2103" s="499"/>
    </row>
    <row r="2104" spans="9:17">
      <c r="I2104" s="578" t="str">
        <f t="shared" si="178"/>
        <v>2007dhbWaitemataPeri</v>
      </c>
      <c r="J2104" s="604">
        <v>2007</v>
      </c>
      <c r="K2104" s="604" t="s">
        <v>448</v>
      </c>
      <c r="L2104" s="604" t="s">
        <v>86</v>
      </c>
      <c r="M2104" s="604">
        <v>80</v>
      </c>
      <c r="N2104" s="604">
        <v>7904</v>
      </c>
      <c r="O2104" s="604">
        <v>10.1</v>
      </c>
      <c r="P2104" s="604" t="s">
        <v>483</v>
      </c>
      <c r="Q2104" s="499"/>
    </row>
    <row r="2105" spans="9:17">
      <c r="I2105" s="578" t="str">
        <f t="shared" si="178"/>
        <v>2007dhbAucklandPeri</v>
      </c>
      <c r="J2105" s="604">
        <v>2007</v>
      </c>
      <c r="K2105" s="604" t="s">
        <v>448</v>
      </c>
      <c r="L2105" s="604" t="s">
        <v>87</v>
      </c>
      <c r="M2105" s="604">
        <v>63</v>
      </c>
      <c r="N2105" s="604">
        <v>6786</v>
      </c>
      <c r="O2105" s="604">
        <v>9.3000000000000007</v>
      </c>
      <c r="P2105" s="604" t="s">
        <v>483</v>
      </c>
      <c r="Q2105" s="499"/>
    </row>
    <row r="2106" spans="9:17">
      <c r="I2106" s="578" t="str">
        <f t="shared" si="178"/>
        <v>2007dhbCounties ManukauPeri</v>
      </c>
      <c r="J2106" s="604">
        <v>2007</v>
      </c>
      <c r="K2106" s="604" t="s">
        <v>448</v>
      </c>
      <c r="L2106" s="604" t="s">
        <v>88</v>
      </c>
      <c r="M2106" s="604">
        <v>93</v>
      </c>
      <c r="N2106" s="604">
        <v>9069</v>
      </c>
      <c r="O2106" s="604">
        <v>10.3</v>
      </c>
      <c r="P2106" s="604" t="s">
        <v>483</v>
      </c>
      <c r="Q2106" s="499"/>
    </row>
    <row r="2107" spans="9:17">
      <c r="I2107" s="578" t="str">
        <f t="shared" si="178"/>
        <v>2007dhbWaikatoPeri</v>
      </c>
      <c r="J2107" s="604">
        <v>2007</v>
      </c>
      <c r="K2107" s="604" t="s">
        <v>448</v>
      </c>
      <c r="L2107" s="604" t="s">
        <v>89</v>
      </c>
      <c r="M2107" s="604">
        <v>56</v>
      </c>
      <c r="N2107" s="604">
        <v>5671</v>
      </c>
      <c r="O2107" s="604">
        <v>9.9</v>
      </c>
      <c r="P2107" s="604" t="s">
        <v>483</v>
      </c>
      <c r="Q2107" s="499"/>
    </row>
    <row r="2108" spans="9:17">
      <c r="I2108" s="578" t="str">
        <f t="shared" si="178"/>
        <v>2007dhbLakesPeri</v>
      </c>
      <c r="J2108" s="604">
        <v>2007</v>
      </c>
      <c r="K2108" s="604" t="s">
        <v>448</v>
      </c>
      <c r="L2108" s="604" t="s">
        <v>90</v>
      </c>
      <c r="M2108" s="604">
        <v>14</v>
      </c>
      <c r="N2108" s="604">
        <v>1700</v>
      </c>
      <c r="O2108" s="604">
        <v>8.1999999999999993</v>
      </c>
      <c r="P2108" s="604" t="s">
        <v>483</v>
      </c>
      <c r="Q2108" s="499"/>
    </row>
    <row r="2109" spans="9:17">
      <c r="I2109" s="578" t="str">
        <f t="shared" si="178"/>
        <v>2007dhbBay of PlentyPeri</v>
      </c>
      <c r="J2109" s="604">
        <v>2007</v>
      </c>
      <c r="K2109" s="604" t="s">
        <v>448</v>
      </c>
      <c r="L2109" s="604" t="s">
        <v>91</v>
      </c>
      <c r="M2109" s="604">
        <v>27</v>
      </c>
      <c r="N2109" s="604">
        <v>3070</v>
      </c>
      <c r="O2109" s="604">
        <v>8.8000000000000007</v>
      </c>
      <c r="P2109" s="604" t="s">
        <v>483</v>
      </c>
      <c r="Q2109" s="499"/>
    </row>
    <row r="2110" spans="9:17">
      <c r="I2110" s="578" t="str">
        <f t="shared" si="178"/>
        <v>2007dhbTairawhitiPeri</v>
      </c>
      <c r="J2110" s="604">
        <v>2007</v>
      </c>
      <c r="K2110" s="604" t="s">
        <v>448</v>
      </c>
      <c r="L2110" s="604" t="s">
        <v>433</v>
      </c>
      <c r="M2110" s="604">
        <v>5</v>
      </c>
      <c r="N2110" s="604">
        <v>839</v>
      </c>
      <c r="O2110" s="604">
        <v>6</v>
      </c>
      <c r="P2110" s="604" t="s">
        <v>483</v>
      </c>
      <c r="Q2110" s="499"/>
    </row>
    <row r="2111" spans="9:17">
      <c r="I2111" s="578" t="str">
        <f t="shared" si="178"/>
        <v>2007dhbHawke's BayPeri</v>
      </c>
      <c r="J2111" s="604">
        <v>2007</v>
      </c>
      <c r="K2111" s="604" t="s">
        <v>448</v>
      </c>
      <c r="L2111" s="604" t="s">
        <v>92</v>
      </c>
      <c r="M2111" s="604">
        <v>15</v>
      </c>
      <c r="N2111" s="604">
        <v>2389</v>
      </c>
      <c r="O2111" s="604">
        <v>6.3</v>
      </c>
      <c r="P2111" s="604" t="s">
        <v>483</v>
      </c>
      <c r="Q2111" s="499"/>
    </row>
    <row r="2112" spans="9:17">
      <c r="I2112" s="578" t="str">
        <f t="shared" si="178"/>
        <v>2007dhbTaranakiPeri</v>
      </c>
      <c r="J2112" s="604">
        <v>2007</v>
      </c>
      <c r="K2112" s="604" t="s">
        <v>448</v>
      </c>
      <c r="L2112" s="604" t="s">
        <v>93</v>
      </c>
      <c r="M2112" s="604">
        <v>9</v>
      </c>
      <c r="N2112" s="604">
        <v>1632</v>
      </c>
      <c r="O2112" s="604">
        <v>5.5</v>
      </c>
      <c r="P2112" s="604" t="s">
        <v>483</v>
      </c>
      <c r="Q2112" s="499"/>
    </row>
    <row r="2113" spans="9:17">
      <c r="I2113" s="578" t="str">
        <f t="shared" si="178"/>
        <v>2007dhbMidCentralPeri</v>
      </c>
      <c r="J2113" s="604">
        <v>2007</v>
      </c>
      <c r="K2113" s="604" t="s">
        <v>448</v>
      </c>
      <c r="L2113" s="604" t="s">
        <v>94</v>
      </c>
      <c r="M2113" s="604">
        <v>23</v>
      </c>
      <c r="N2113" s="604">
        <v>2370</v>
      </c>
      <c r="O2113" s="604">
        <v>9.6999999999999993</v>
      </c>
      <c r="P2113" s="604" t="s">
        <v>483</v>
      </c>
      <c r="Q2113" s="499"/>
    </row>
    <row r="2114" spans="9:17">
      <c r="I2114" s="578" t="str">
        <f t="shared" si="178"/>
        <v>2007dhbWhanganuiPeri</v>
      </c>
      <c r="J2114" s="604">
        <v>2007</v>
      </c>
      <c r="K2114" s="604" t="s">
        <v>448</v>
      </c>
      <c r="L2114" s="604" t="s">
        <v>95</v>
      </c>
      <c r="M2114" s="604">
        <v>9</v>
      </c>
      <c r="N2114" s="604">
        <v>914</v>
      </c>
      <c r="O2114" s="604">
        <v>9.8000000000000007</v>
      </c>
      <c r="P2114" s="604" t="s">
        <v>483</v>
      </c>
      <c r="Q2114" s="499"/>
    </row>
    <row r="2115" spans="9:17">
      <c r="I2115" s="578" t="str">
        <f t="shared" si="178"/>
        <v>2007dhbCapital &amp; CoastPeri</v>
      </c>
      <c r="J2115" s="604">
        <v>2007</v>
      </c>
      <c r="K2115" s="604" t="s">
        <v>448</v>
      </c>
      <c r="L2115" s="604" t="s">
        <v>96</v>
      </c>
      <c r="M2115" s="604">
        <v>39</v>
      </c>
      <c r="N2115" s="604">
        <v>4088</v>
      </c>
      <c r="O2115" s="604">
        <v>9.5</v>
      </c>
      <c r="P2115" s="604" t="s">
        <v>483</v>
      </c>
      <c r="Q2115" s="499"/>
    </row>
    <row r="2116" spans="9:17">
      <c r="I2116" s="578" t="str">
        <f t="shared" ref="I2116:I2179" si="179">J2116&amp;K2116&amp;L2116&amp;P2116</f>
        <v>2007dhbHutt ValleyPeri</v>
      </c>
      <c r="J2116" s="604">
        <v>2007</v>
      </c>
      <c r="K2116" s="604" t="s">
        <v>448</v>
      </c>
      <c r="L2116" s="604" t="s">
        <v>97</v>
      </c>
      <c r="M2116" s="604">
        <v>25</v>
      </c>
      <c r="N2116" s="604">
        <v>2283</v>
      </c>
      <c r="O2116" s="604">
        <v>11</v>
      </c>
      <c r="P2116" s="604" t="s">
        <v>483</v>
      </c>
      <c r="Q2116" s="499"/>
    </row>
    <row r="2117" spans="9:17">
      <c r="I2117" s="578" t="str">
        <f t="shared" si="179"/>
        <v>2007dhbWairarapaPeri</v>
      </c>
      <c r="J2117" s="604">
        <v>2007</v>
      </c>
      <c r="K2117" s="604" t="s">
        <v>448</v>
      </c>
      <c r="L2117" s="604" t="s">
        <v>98</v>
      </c>
      <c r="M2117" s="604">
        <v>4</v>
      </c>
      <c r="N2117" s="604">
        <v>543</v>
      </c>
      <c r="O2117" s="604">
        <v>7.4</v>
      </c>
      <c r="P2117" s="604" t="s">
        <v>483</v>
      </c>
      <c r="Q2117" s="499"/>
    </row>
    <row r="2118" spans="9:17">
      <c r="I2118" s="578" t="str">
        <f t="shared" si="179"/>
        <v>2007dhbNelson MarlboroughPeri</v>
      </c>
      <c r="J2118" s="604">
        <v>2007</v>
      </c>
      <c r="K2118" s="604" t="s">
        <v>448</v>
      </c>
      <c r="L2118" s="604" t="s">
        <v>99</v>
      </c>
      <c r="M2118" s="604">
        <v>22</v>
      </c>
      <c r="N2118" s="604">
        <v>1730</v>
      </c>
      <c r="O2118" s="604">
        <v>12.7</v>
      </c>
      <c r="P2118" s="604" t="s">
        <v>483</v>
      </c>
      <c r="Q2118" s="499"/>
    </row>
    <row r="2119" spans="9:17">
      <c r="I2119" s="578" t="str">
        <f t="shared" si="179"/>
        <v>2007dhbWest CoastPeri</v>
      </c>
      <c r="J2119" s="604">
        <v>2007</v>
      </c>
      <c r="K2119" s="604" t="s">
        <v>448</v>
      </c>
      <c r="L2119" s="604" t="s">
        <v>100</v>
      </c>
      <c r="M2119" s="604">
        <v>6</v>
      </c>
      <c r="N2119" s="604">
        <v>412</v>
      </c>
      <c r="O2119" s="604">
        <v>14.6</v>
      </c>
      <c r="P2119" s="604" t="s">
        <v>483</v>
      </c>
      <c r="Q2119" s="499"/>
    </row>
    <row r="2120" spans="9:17">
      <c r="I2120" s="578" t="str">
        <f t="shared" si="179"/>
        <v>2007dhbCanterburyPeri</v>
      </c>
      <c r="J2120" s="604">
        <v>2007</v>
      </c>
      <c r="K2120" s="604" t="s">
        <v>448</v>
      </c>
      <c r="L2120" s="604" t="s">
        <v>101</v>
      </c>
      <c r="M2120" s="604">
        <v>53</v>
      </c>
      <c r="N2120" s="604">
        <v>6947</v>
      </c>
      <c r="O2120" s="604">
        <v>7.6</v>
      </c>
      <c r="P2120" s="604" t="s">
        <v>483</v>
      </c>
      <c r="Q2120" s="499"/>
    </row>
    <row r="2121" spans="9:17">
      <c r="I2121" s="578" t="str">
        <f t="shared" si="179"/>
        <v>2007dhbSouth CanterburyPeri</v>
      </c>
      <c r="J2121" s="604">
        <v>2007</v>
      </c>
      <c r="K2121" s="604" t="s">
        <v>448</v>
      </c>
      <c r="L2121" s="604" t="s">
        <v>102</v>
      </c>
      <c r="M2121" s="604">
        <v>5</v>
      </c>
      <c r="N2121" s="604">
        <v>680</v>
      </c>
      <c r="O2121" s="604">
        <v>7.4</v>
      </c>
      <c r="P2121" s="604" t="s">
        <v>483</v>
      </c>
      <c r="Q2121" s="499"/>
    </row>
    <row r="2122" spans="9:17">
      <c r="I2122" s="578" t="str">
        <f t="shared" si="179"/>
        <v>2007dhbSouthernPeri</v>
      </c>
      <c r="J2122" s="604">
        <v>2007</v>
      </c>
      <c r="K2122" s="604" t="s">
        <v>448</v>
      </c>
      <c r="L2122" s="604" t="s">
        <v>103</v>
      </c>
      <c r="M2122" s="604">
        <v>30</v>
      </c>
      <c r="N2122" s="604">
        <v>3766</v>
      </c>
      <c r="O2122" s="604">
        <v>8</v>
      </c>
      <c r="P2122" s="604" t="s">
        <v>483</v>
      </c>
      <c r="Q2122" s="499"/>
    </row>
    <row r="2123" spans="9:17">
      <c r="I2123" s="578" t="str">
        <f t="shared" si="179"/>
        <v>2007dhbUnknownPeri</v>
      </c>
      <c r="J2123" s="604">
        <v>2007</v>
      </c>
      <c r="K2123" s="604" t="s">
        <v>448</v>
      </c>
      <c r="L2123" s="604" t="s">
        <v>63</v>
      </c>
      <c r="M2123" s="604">
        <v>1</v>
      </c>
      <c r="N2123" s="604">
        <v>407</v>
      </c>
      <c r="O2123" s="604" t="s">
        <v>119</v>
      </c>
      <c r="P2123" s="604" t="s">
        <v>483</v>
      </c>
      <c r="Q2123" s="499"/>
    </row>
    <row r="2124" spans="9:17">
      <c r="I2124" s="578" t="str">
        <f t="shared" si="179"/>
        <v>2008dhbNorthlandPeri</v>
      </c>
      <c r="J2124" s="604">
        <v>2008</v>
      </c>
      <c r="K2124" s="604" t="s">
        <v>448</v>
      </c>
      <c r="L2124" s="604" t="s">
        <v>85</v>
      </c>
      <c r="M2124" s="604">
        <v>32</v>
      </c>
      <c r="N2124" s="604">
        <v>2389</v>
      </c>
      <c r="O2124" s="604">
        <v>13.4</v>
      </c>
      <c r="P2124" s="604" t="s">
        <v>483</v>
      </c>
      <c r="Q2124" s="499"/>
    </row>
    <row r="2125" spans="9:17">
      <c r="I2125" s="578" t="str">
        <f t="shared" si="179"/>
        <v>2008dhbWaitemataPeri</v>
      </c>
      <c r="J2125" s="604">
        <v>2008</v>
      </c>
      <c r="K2125" s="604" t="s">
        <v>448</v>
      </c>
      <c r="L2125" s="604" t="s">
        <v>86</v>
      </c>
      <c r="M2125" s="604">
        <v>79</v>
      </c>
      <c r="N2125" s="604">
        <v>8014</v>
      </c>
      <c r="O2125" s="604">
        <v>9.9</v>
      </c>
      <c r="P2125" s="604" t="s">
        <v>483</v>
      </c>
      <c r="Q2125" s="499"/>
    </row>
    <row r="2126" spans="9:17">
      <c r="I2126" s="578" t="str">
        <f t="shared" si="179"/>
        <v>2008dhbAucklandPeri</v>
      </c>
      <c r="J2126" s="604">
        <v>2008</v>
      </c>
      <c r="K2126" s="604" t="s">
        <v>448</v>
      </c>
      <c r="L2126" s="604" t="s">
        <v>87</v>
      </c>
      <c r="M2126" s="604">
        <v>65</v>
      </c>
      <c r="N2126" s="604">
        <v>6637</v>
      </c>
      <c r="O2126" s="604">
        <v>9.8000000000000007</v>
      </c>
      <c r="P2126" s="604" t="s">
        <v>483</v>
      </c>
      <c r="Q2126" s="499"/>
    </row>
    <row r="2127" spans="9:17">
      <c r="I2127" s="578" t="str">
        <f t="shared" si="179"/>
        <v>2008dhbCounties ManukauPeri</v>
      </c>
      <c r="J2127" s="604">
        <v>2008</v>
      </c>
      <c r="K2127" s="604" t="s">
        <v>448</v>
      </c>
      <c r="L2127" s="604" t="s">
        <v>88</v>
      </c>
      <c r="M2127" s="604">
        <v>122</v>
      </c>
      <c r="N2127" s="604">
        <v>9153</v>
      </c>
      <c r="O2127" s="604">
        <v>13.3</v>
      </c>
      <c r="P2127" s="604" t="s">
        <v>483</v>
      </c>
      <c r="Q2127" s="499"/>
    </row>
    <row r="2128" spans="9:17">
      <c r="I2128" s="578" t="str">
        <f t="shared" si="179"/>
        <v>2008dhbWaikatoPeri</v>
      </c>
      <c r="J2128" s="604">
        <v>2008</v>
      </c>
      <c r="K2128" s="604" t="s">
        <v>448</v>
      </c>
      <c r="L2128" s="604" t="s">
        <v>89</v>
      </c>
      <c r="M2128" s="604">
        <v>58</v>
      </c>
      <c r="N2128" s="604">
        <v>5886</v>
      </c>
      <c r="O2128" s="604">
        <v>9.9</v>
      </c>
      <c r="P2128" s="604" t="s">
        <v>483</v>
      </c>
      <c r="Q2128" s="499"/>
    </row>
    <row r="2129" spans="9:17">
      <c r="I2129" s="578" t="str">
        <f t="shared" si="179"/>
        <v>2008dhbLakesPeri</v>
      </c>
      <c r="J2129" s="604">
        <v>2008</v>
      </c>
      <c r="K2129" s="604" t="s">
        <v>448</v>
      </c>
      <c r="L2129" s="604" t="s">
        <v>90</v>
      </c>
      <c r="M2129" s="604">
        <v>33</v>
      </c>
      <c r="N2129" s="604">
        <v>1751</v>
      </c>
      <c r="O2129" s="604">
        <v>18.8</v>
      </c>
      <c r="P2129" s="604" t="s">
        <v>483</v>
      </c>
      <c r="Q2129" s="499"/>
    </row>
    <row r="2130" spans="9:17">
      <c r="I2130" s="578" t="str">
        <f t="shared" si="179"/>
        <v>2008dhbBay of PlentyPeri</v>
      </c>
      <c r="J2130" s="604">
        <v>2008</v>
      </c>
      <c r="K2130" s="604" t="s">
        <v>448</v>
      </c>
      <c r="L2130" s="604" t="s">
        <v>91</v>
      </c>
      <c r="M2130" s="604">
        <v>36</v>
      </c>
      <c r="N2130" s="604">
        <v>3072</v>
      </c>
      <c r="O2130" s="604">
        <v>11.7</v>
      </c>
      <c r="P2130" s="604" t="s">
        <v>483</v>
      </c>
      <c r="Q2130" s="499"/>
    </row>
    <row r="2131" spans="9:17">
      <c r="I2131" s="578" t="str">
        <f t="shared" si="179"/>
        <v>2008dhbTairawhitiPeri</v>
      </c>
      <c r="J2131" s="604">
        <v>2008</v>
      </c>
      <c r="K2131" s="604" t="s">
        <v>448</v>
      </c>
      <c r="L2131" s="604" t="s">
        <v>433</v>
      </c>
      <c r="M2131" s="604">
        <v>13</v>
      </c>
      <c r="N2131" s="604">
        <v>873</v>
      </c>
      <c r="O2131" s="604">
        <v>14.9</v>
      </c>
      <c r="P2131" s="604" t="s">
        <v>483</v>
      </c>
      <c r="Q2131" s="499"/>
    </row>
    <row r="2132" spans="9:17">
      <c r="I2132" s="578" t="str">
        <f t="shared" si="179"/>
        <v>2008dhbHawke's BayPeri</v>
      </c>
      <c r="J2132" s="604">
        <v>2008</v>
      </c>
      <c r="K2132" s="604" t="s">
        <v>448</v>
      </c>
      <c r="L2132" s="604" t="s">
        <v>92</v>
      </c>
      <c r="M2132" s="604">
        <v>16</v>
      </c>
      <c r="N2132" s="604">
        <v>2416</v>
      </c>
      <c r="O2132" s="604">
        <v>6.6</v>
      </c>
      <c r="P2132" s="604" t="s">
        <v>483</v>
      </c>
      <c r="Q2132" s="499"/>
    </row>
    <row r="2133" spans="9:17">
      <c r="I2133" s="578" t="str">
        <f t="shared" si="179"/>
        <v>2008dhbTaranakiPeri</v>
      </c>
      <c r="J2133" s="604">
        <v>2008</v>
      </c>
      <c r="K2133" s="604" t="s">
        <v>448</v>
      </c>
      <c r="L2133" s="604" t="s">
        <v>93</v>
      </c>
      <c r="M2133" s="604">
        <v>18</v>
      </c>
      <c r="N2133" s="604">
        <v>1636</v>
      </c>
      <c r="O2133" s="604">
        <v>11</v>
      </c>
      <c r="P2133" s="604" t="s">
        <v>483</v>
      </c>
      <c r="Q2133" s="499"/>
    </row>
    <row r="2134" spans="9:17">
      <c r="I2134" s="578" t="str">
        <f t="shared" si="179"/>
        <v>2008dhbMidCentralPeri</v>
      </c>
      <c r="J2134" s="604">
        <v>2008</v>
      </c>
      <c r="K2134" s="604" t="s">
        <v>448</v>
      </c>
      <c r="L2134" s="604" t="s">
        <v>94</v>
      </c>
      <c r="M2134" s="604">
        <v>28</v>
      </c>
      <c r="N2134" s="604">
        <v>2480</v>
      </c>
      <c r="O2134" s="604">
        <v>11.3</v>
      </c>
      <c r="P2134" s="604" t="s">
        <v>483</v>
      </c>
      <c r="Q2134" s="499"/>
    </row>
    <row r="2135" spans="9:17">
      <c r="I2135" s="578" t="str">
        <f t="shared" si="179"/>
        <v>2008dhbWhanganuiPeri</v>
      </c>
      <c r="J2135" s="604">
        <v>2008</v>
      </c>
      <c r="K2135" s="604" t="s">
        <v>448</v>
      </c>
      <c r="L2135" s="604" t="s">
        <v>95</v>
      </c>
      <c r="M2135" s="604">
        <v>11</v>
      </c>
      <c r="N2135" s="604">
        <v>959</v>
      </c>
      <c r="O2135" s="604">
        <v>11.5</v>
      </c>
      <c r="P2135" s="604" t="s">
        <v>483</v>
      </c>
      <c r="Q2135" s="499"/>
    </row>
    <row r="2136" spans="9:17">
      <c r="I2136" s="578" t="str">
        <f t="shared" si="179"/>
        <v>2008dhbCapital &amp; CoastPeri</v>
      </c>
      <c r="J2136" s="604">
        <v>2008</v>
      </c>
      <c r="K2136" s="604" t="s">
        <v>448</v>
      </c>
      <c r="L2136" s="604" t="s">
        <v>96</v>
      </c>
      <c r="M2136" s="604">
        <v>38</v>
      </c>
      <c r="N2136" s="604">
        <v>4164</v>
      </c>
      <c r="O2136" s="604">
        <v>9.1</v>
      </c>
      <c r="P2136" s="604" t="s">
        <v>483</v>
      </c>
      <c r="Q2136" s="499"/>
    </row>
    <row r="2137" spans="9:17">
      <c r="I2137" s="578" t="str">
        <f t="shared" si="179"/>
        <v>2008dhbHutt ValleyPeri</v>
      </c>
      <c r="J2137" s="604">
        <v>2008</v>
      </c>
      <c r="K2137" s="604" t="s">
        <v>448</v>
      </c>
      <c r="L2137" s="604" t="s">
        <v>97</v>
      </c>
      <c r="M2137" s="604">
        <v>25</v>
      </c>
      <c r="N2137" s="604">
        <v>2270</v>
      </c>
      <c r="O2137" s="604">
        <v>11</v>
      </c>
      <c r="P2137" s="604" t="s">
        <v>483</v>
      </c>
      <c r="Q2137" s="499"/>
    </row>
    <row r="2138" spans="9:17">
      <c r="I2138" s="578" t="str">
        <f t="shared" si="179"/>
        <v>2008dhbWairarapaPeri</v>
      </c>
      <c r="J2138" s="604">
        <v>2008</v>
      </c>
      <c r="K2138" s="604" t="s">
        <v>448</v>
      </c>
      <c r="L2138" s="604" t="s">
        <v>98</v>
      </c>
      <c r="M2138" s="604">
        <v>4</v>
      </c>
      <c r="N2138" s="604">
        <v>534</v>
      </c>
      <c r="O2138" s="604">
        <v>7.5</v>
      </c>
      <c r="P2138" s="604" t="s">
        <v>483</v>
      </c>
      <c r="Q2138" s="499"/>
    </row>
    <row r="2139" spans="9:17">
      <c r="I2139" s="578" t="str">
        <f t="shared" si="179"/>
        <v>2008dhbNelson MarlboroughPeri</v>
      </c>
      <c r="J2139" s="604">
        <v>2008</v>
      </c>
      <c r="K2139" s="604" t="s">
        <v>448</v>
      </c>
      <c r="L2139" s="604" t="s">
        <v>99</v>
      </c>
      <c r="M2139" s="604">
        <v>14</v>
      </c>
      <c r="N2139" s="604">
        <v>1769</v>
      </c>
      <c r="O2139" s="604">
        <v>7.9</v>
      </c>
      <c r="P2139" s="604" t="s">
        <v>483</v>
      </c>
      <c r="Q2139" s="499"/>
    </row>
    <row r="2140" spans="9:17">
      <c r="I2140" s="578" t="str">
        <f t="shared" si="179"/>
        <v>2008dhbWest CoastPeri</v>
      </c>
      <c r="J2140" s="604">
        <v>2008</v>
      </c>
      <c r="K2140" s="604" t="s">
        <v>448</v>
      </c>
      <c r="L2140" s="604" t="s">
        <v>100</v>
      </c>
      <c r="M2140" s="604">
        <v>3</v>
      </c>
      <c r="N2140" s="604">
        <v>455</v>
      </c>
      <c r="O2140" s="604">
        <v>6.6</v>
      </c>
      <c r="P2140" s="604" t="s">
        <v>483</v>
      </c>
      <c r="Q2140" s="499"/>
    </row>
    <row r="2141" spans="9:17">
      <c r="I2141" s="578" t="str">
        <f t="shared" si="179"/>
        <v>2008dhbCanterburyPeri</v>
      </c>
      <c r="J2141" s="604">
        <v>2008</v>
      </c>
      <c r="K2141" s="604" t="s">
        <v>448</v>
      </c>
      <c r="L2141" s="604" t="s">
        <v>101</v>
      </c>
      <c r="M2141" s="604">
        <v>61</v>
      </c>
      <c r="N2141" s="604">
        <v>6709</v>
      </c>
      <c r="O2141" s="604">
        <v>9.1</v>
      </c>
      <c r="P2141" s="604" t="s">
        <v>483</v>
      </c>
      <c r="Q2141" s="499"/>
    </row>
    <row r="2142" spans="9:17">
      <c r="I2142" s="578" t="str">
        <f t="shared" si="179"/>
        <v>2008dhbSouth CanterburyPeri</v>
      </c>
      <c r="J2142" s="604">
        <v>2008</v>
      </c>
      <c r="K2142" s="604" t="s">
        <v>448</v>
      </c>
      <c r="L2142" s="604" t="s">
        <v>102</v>
      </c>
      <c r="M2142" s="604">
        <v>7</v>
      </c>
      <c r="N2142" s="604">
        <v>648</v>
      </c>
      <c r="O2142" s="604">
        <v>10.8</v>
      </c>
      <c r="P2142" s="604" t="s">
        <v>483</v>
      </c>
      <c r="Q2142" s="499"/>
    </row>
    <row r="2143" spans="9:17">
      <c r="I2143" s="578" t="str">
        <f t="shared" si="179"/>
        <v>2008dhbSouthernPeri</v>
      </c>
      <c r="J2143" s="604">
        <v>2008</v>
      </c>
      <c r="K2143" s="604" t="s">
        <v>448</v>
      </c>
      <c r="L2143" s="604" t="s">
        <v>103</v>
      </c>
      <c r="M2143" s="604">
        <v>38</v>
      </c>
      <c r="N2143" s="604">
        <v>3780</v>
      </c>
      <c r="O2143" s="604">
        <v>10.1</v>
      </c>
      <c r="P2143" s="604" t="s">
        <v>483</v>
      </c>
      <c r="Q2143" s="499"/>
    </row>
    <row r="2144" spans="9:17">
      <c r="I2144" s="578" t="str">
        <f t="shared" si="179"/>
        <v>2008dhbUnknownPeri</v>
      </c>
      <c r="J2144" s="604">
        <v>2008</v>
      </c>
      <c r="K2144" s="604" t="s">
        <v>448</v>
      </c>
      <c r="L2144" s="604" t="s">
        <v>63</v>
      </c>
      <c r="M2144" s="604">
        <v>0</v>
      </c>
      <c r="N2144" s="604">
        <v>294</v>
      </c>
      <c r="O2144" s="604" t="s">
        <v>119</v>
      </c>
      <c r="P2144" s="604" t="s">
        <v>483</v>
      </c>
      <c r="Q2144" s="499"/>
    </row>
    <row r="2145" spans="9:17">
      <c r="I2145" s="578" t="str">
        <f t="shared" si="179"/>
        <v>2009dhbNorthlandPeri</v>
      </c>
      <c r="J2145" s="604">
        <v>2009</v>
      </c>
      <c r="K2145" s="604" t="s">
        <v>448</v>
      </c>
      <c r="L2145" s="604" t="s">
        <v>85</v>
      </c>
      <c r="M2145" s="604">
        <v>19</v>
      </c>
      <c r="N2145" s="604">
        <v>2246</v>
      </c>
      <c r="O2145" s="604">
        <v>8.5</v>
      </c>
      <c r="P2145" s="604" t="s">
        <v>483</v>
      </c>
      <c r="Q2145" s="499"/>
    </row>
    <row r="2146" spans="9:17">
      <c r="I2146" s="578" t="str">
        <f t="shared" si="179"/>
        <v>2009dhbWaitemataPeri</v>
      </c>
      <c r="J2146" s="604">
        <v>2009</v>
      </c>
      <c r="K2146" s="604" t="s">
        <v>448</v>
      </c>
      <c r="L2146" s="604" t="s">
        <v>86</v>
      </c>
      <c r="M2146" s="604">
        <v>79</v>
      </c>
      <c r="N2146" s="604">
        <v>7757</v>
      </c>
      <c r="O2146" s="604">
        <v>10.199999999999999</v>
      </c>
      <c r="P2146" s="604" t="s">
        <v>483</v>
      </c>
      <c r="Q2146" s="499"/>
    </row>
    <row r="2147" spans="9:17">
      <c r="I2147" s="578" t="str">
        <f t="shared" si="179"/>
        <v>2009dhbAucklandPeri</v>
      </c>
      <c r="J2147" s="604">
        <v>2009</v>
      </c>
      <c r="K2147" s="604" t="s">
        <v>448</v>
      </c>
      <c r="L2147" s="604" t="s">
        <v>87</v>
      </c>
      <c r="M2147" s="604">
        <v>62</v>
      </c>
      <c r="N2147" s="604">
        <v>6780</v>
      </c>
      <c r="O2147" s="604">
        <v>9.1</v>
      </c>
      <c r="P2147" s="604" t="s">
        <v>483</v>
      </c>
      <c r="Q2147" s="499"/>
    </row>
    <row r="2148" spans="9:17">
      <c r="I2148" s="578" t="str">
        <f t="shared" si="179"/>
        <v>2009dhbCounties ManukauPeri</v>
      </c>
      <c r="J2148" s="604">
        <v>2009</v>
      </c>
      <c r="K2148" s="604" t="s">
        <v>448</v>
      </c>
      <c r="L2148" s="604" t="s">
        <v>88</v>
      </c>
      <c r="M2148" s="604">
        <v>115</v>
      </c>
      <c r="N2148" s="604">
        <v>8680</v>
      </c>
      <c r="O2148" s="604">
        <v>13.2</v>
      </c>
      <c r="P2148" s="604" t="s">
        <v>483</v>
      </c>
      <c r="Q2148" s="499"/>
    </row>
    <row r="2149" spans="9:17">
      <c r="I2149" s="578" t="str">
        <f t="shared" si="179"/>
        <v>2009dhbWaikatoPeri</v>
      </c>
      <c r="J2149" s="604">
        <v>2009</v>
      </c>
      <c r="K2149" s="604" t="s">
        <v>448</v>
      </c>
      <c r="L2149" s="604" t="s">
        <v>89</v>
      </c>
      <c r="M2149" s="604">
        <v>60</v>
      </c>
      <c r="N2149" s="604">
        <v>5594</v>
      </c>
      <c r="O2149" s="604">
        <v>10.7</v>
      </c>
      <c r="P2149" s="604" t="s">
        <v>483</v>
      </c>
      <c r="Q2149" s="499"/>
    </row>
    <row r="2150" spans="9:17">
      <c r="I2150" s="578" t="str">
        <f t="shared" si="179"/>
        <v>2009dhbLakesPeri</v>
      </c>
      <c r="J2150" s="604">
        <v>2009</v>
      </c>
      <c r="K2150" s="604" t="s">
        <v>448</v>
      </c>
      <c r="L2150" s="604" t="s">
        <v>90</v>
      </c>
      <c r="M2150" s="604">
        <v>16</v>
      </c>
      <c r="N2150" s="604">
        <v>1696</v>
      </c>
      <c r="O2150" s="604">
        <v>9.4</v>
      </c>
      <c r="P2150" s="604" t="s">
        <v>483</v>
      </c>
      <c r="Q2150" s="499"/>
    </row>
    <row r="2151" spans="9:17">
      <c r="I2151" s="578" t="str">
        <f t="shared" si="179"/>
        <v>2009dhbBay of PlentyPeri</v>
      </c>
      <c r="J2151" s="604">
        <v>2009</v>
      </c>
      <c r="K2151" s="604" t="s">
        <v>448</v>
      </c>
      <c r="L2151" s="604" t="s">
        <v>91</v>
      </c>
      <c r="M2151" s="604">
        <v>17</v>
      </c>
      <c r="N2151" s="604">
        <v>2911</v>
      </c>
      <c r="O2151" s="604">
        <v>5.8</v>
      </c>
      <c r="P2151" s="604" t="s">
        <v>483</v>
      </c>
      <c r="Q2151" s="499"/>
    </row>
    <row r="2152" spans="9:17">
      <c r="I2152" s="578" t="str">
        <f t="shared" si="179"/>
        <v>2009dhbTairawhitiPeri</v>
      </c>
      <c r="J2152" s="604">
        <v>2009</v>
      </c>
      <c r="K2152" s="604" t="s">
        <v>448</v>
      </c>
      <c r="L2152" s="604" t="s">
        <v>433</v>
      </c>
      <c r="M2152" s="604">
        <v>3</v>
      </c>
      <c r="N2152" s="604">
        <v>747</v>
      </c>
      <c r="O2152" s="604">
        <v>4</v>
      </c>
      <c r="P2152" s="604" t="s">
        <v>483</v>
      </c>
      <c r="Q2152" s="499"/>
    </row>
    <row r="2153" spans="9:17">
      <c r="I2153" s="578" t="str">
        <f t="shared" si="179"/>
        <v>2009dhbHawke's BayPeri</v>
      </c>
      <c r="J2153" s="604">
        <v>2009</v>
      </c>
      <c r="K2153" s="604" t="s">
        <v>448</v>
      </c>
      <c r="L2153" s="604" t="s">
        <v>92</v>
      </c>
      <c r="M2153" s="604">
        <v>20</v>
      </c>
      <c r="N2153" s="604">
        <v>2410</v>
      </c>
      <c r="O2153" s="604">
        <v>8.3000000000000007</v>
      </c>
      <c r="P2153" s="604" t="s">
        <v>483</v>
      </c>
      <c r="Q2153" s="499"/>
    </row>
    <row r="2154" spans="9:17">
      <c r="I2154" s="578" t="str">
        <f t="shared" si="179"/>
        <v>2009dhbTaranakiPeri</v>
      </c>
      <c r="J2154" s="604">
        <v>2009</v>
      </c>
      <c r="K2154" s="604" t="s">
        <v>448</v>
      </c>
      <c r="L2154" s="604" t="s">
        <v>93</v>
      </c>
      <c r="M2154" s="604">
        <v>10</v>
      </c>
      <c r="N2154" s="604">
        <v>1609</v>
      </c>
      <c r="O2154" s="604">
        <v>6.2</v>
      </c>
      <c r="P2154" s="604" t="s">
        <v>483</v>
      </c>
      <c r="Q2154" s="499"/>
    </row>
    <row r="2155" spans="9:17">
      <c r="I2155" s="578" t="str">
        <f t="shared" si="179"/>
        <v>2009dhbMidCentralPeri</v>
      </c>
      <c r="J2155" s="604">
        <v>2009</v>
      </c>
      <c r="K2155" s="604" t="s">
        <v>448</v>
      </c>
      <c r="L2155" s="604" t="s">
        <v>94</v>
      </c>
      <c r="M2155" s="604">
        <v>34</v>
      </c>
      <c r="N2155" s="604">
        <v>2229</v>
      </c>
      <c r="O2155" s="604">
        <v>15.3</v>
      </c>
      <c r="P2155" s="604" t="s">
        <v>483</v>
      </c>
      <c r="Q2155" s="499"/>
    </row>
    <row r="2156" spans="9:17">
      <c r="I2156" s="578" t="str">
        <f t="shared" si="179"/>
        <v>2009dhbWhanganuiPeri</v>
      </c>
      <c r="J2156" s="604">
        <v>2009</v>
      </c>
      <c r="K2156" s="604" t="s">
        <v>448</v>
      </c>
      <c r="L2156" s="604" t="s">
        <v>95</v>
      </c>
      <c r="M2156" s="604">
        <v>13</v>
      </c>
      <c r="N2156" s="604">
        <v>936</v>
      </c>
      <c r="O2156" s="604">
        <v>13.9</v>
      </c>
      <c r="P2156" s="604" t="s">
        <v>483</v>
      </c>
      <c r="Q2156" s="499"/>
    </row>
    <row r="2157" spans="9:17">
      <c r="I2157" s="578" t="str">
        <f t="shared" si="179"/>
        <v>2009dhbCapital &amp; CoastPeri</v>
      </c>
      <c r="J2157" s="604">
        <v>2009</v>
      </c>
      <c r="K2157" s="604" t="s">
        <v>448</v>
      </c>
      <c r="L2157" s="604" t="s">
        <v>96</v>
      </c>
      <c r="M2157" s="604">
        <v>40</v>
      </c>
      <c r="N2157" s="604">
        <v>4014</v>
      </c>
      <c r="O2157" s="604">
        <v>10</v>
      </c>
      <c r="P2157" s="604" t="s">
        <v>483</v>
      </c>
      <c r="Q2157" s="499"/>
    </row>
    <row r="2158" spans="9:17">
      <c r="I2158" s="578" t="str">
        <f t="shared" si="179"/>
        <v>2009dhbHutt ValleyPeri</v>
      </c>
      <c r="J2158" s="604">
        <v>2009</v>
      </c>
      <c r="K2158" s="604" t="s">
        <v>448</v>
      </c>
      <c r="L2158" s="604" t="s">
        <v>97</v>
      </c>
      <c r="M2158" s="604">
        <v>18</v>
      </c>
      <c r="N2158" s="604">
        <v>2217</v>
      </c>
      <c r="O2158" s="604">
        <v>8.1</v>
      </c>
      <c r="P2158" s="604" t="s">
        <v>483</v>
      </c>
      <c r="Q2158" s="499"/>
    </row>
    <row r="2159" spans="9:17">
      <c r="I2159" s="578" t="str">
        <f t="shared" si="179"/>
        <v>2009dhbWairarapaPeri</v>
      </c>
      <c r="J2159" s="604">
        <v>2009</v>
      </c>
      <c r="K2159" s="604" t="s">
        <v>448</v>
      </c>
      <c r="L2159" s="604" t="s">
        <v>98</v>
      </c>
      <c r="M2159" s="604">
        <v>5</v>
      </c>
      <c r="N2159" s="604">
        <v>559</v>
      </c>
      <c r="O2159" s="604">
        <v>8.9</v>
      </c>
      <c r="P2159" s="604" t="s">
        <v>483</v>
      </c>
      <c r="Q2159" s="499"/>
    </row>
    <row r="2160" spans="9:17">
      <c r="I2160" s="578" t="str">
        <f t="shared" si="179"/>
        <v>2009dhbNelson MarlboroughPeri</v>
      </c>
      <c r="J2160" s="604">
        <v>2009</v>
      </c>
      <c r="K2160" s="604" t="s">
        <v>448</v>
      </c>
      <c r="L2160" s="604" t="s">
        <v>99</v>
      </c>
      <c r="M2160" s="604">
        <v>13</v>
      </c>
      <c r="N2160" s="604">
        <v>1672</v>
      </c>
      <c r="O2160" s="604">
        <v>7.8</v>
      </c>
      <c r="P2160" s="604" t="s">
        <v>483</v>
      </c>
      <c r="Q2160" s="499"/>
    </row>
    <row r="2161" spans="9:17">
      <c r="I2161" s="578" t="str">
        <f t="shared" si="179"/>
        <v>2009dhbWest CoastPeri</v>
      </c>
      <c r="J2161" s="604">
        <v>2009</v>
      </c>
      <c r="K2161" s="604" t="s">
        <v>448</v>
      </c>
      <c r="L2161" s="604" t="s">
        <v>100</v>
      </c>
      <c r="M2161" s="604">
        <v>3</v>
      </c>
      <c r="N2161" s="604">
        <v>433</v>
      </c>
      <c r="O2161" s="604">
        <v>6.9</v>
      </c>
      <c r="P2161" s="604" t="s">
        <v>483</v>
      </c>
      <c r="Q2161" s="499"/>
    </row>
    <row r="2162" spans="9:17">
      <c r="I2162" s="578" t="str">
        <f t="shared" si="179"/>
        <v>2009dhbCanterburyPeri</v>
      </c>
      <c r="J2162" s="604">
        <v>2009</v>
      </c>
      <c r="K2162" s="604" t="s">
        <v>448</v>
      </c>
      <c r="L2162" s="604" t="s">
        <v>101</v>
      </c>
      <c r="M2162" s="604">
        <v>67</v>
      </c>
      <c r="N2162" s="604">
        <v>6585</v>
      </c>
      <c r="O2162" s="604">
        <v>10.199999999999999</v>
      </c>
      <c r="P2162" s="604" t="s">
        <v>483</v>
      </c>
      <c r="Q2162" s="499"/>
    </row>
    <row r="2163" spans="9:17">
      <c r="I2163" s="578" t="str">
        <f t="shared" si="179"/>
        <v>2009dhbSouth CanterburyPeri</v>
      </c>
      <c r="J2163" s="604">
        <v>2009</v>
      </c>
      <c r="K2163" s="604" t="s">
        <v>448</v>
      </c>
      <c r="L2163" s="604" t="s">
        <v>102</v>
      </c>
      <c r="M2163" s="604">
        <v>8</v>
      </c>
      <c r="N2163" s="604">
        <v>660</v>
      </c>
      <c r="O2163" s="604">
        <v>12.1</v>
      </c>
      <c r="P2163" s="604" t="s">
        <v>483</v>
      </c>
      <c r="Q2163" s="499"/>
    </row>
    <row r="2164" spans="9:17">
      <c r="I2164" s="578" t="str">
        <f t="shared" si="179"/>
        <v>2009dhbSouthernPeri</v>
      </c>
      <c r="J2164" s="604">
        <v>2009</v>
      </c>
      <c r="K2164" s="604" t="s">
        <v>448</v>
      </c>
      <c r="L2164" s="604" t="s">
        <v>103</v>
      </c>
      <c r="M2164" s="604">
        <v>30</v>
      </c>
      <c r="N2164" s="604">
        <v>3758</v>
      </c>
      <c r="O2164" s="604">
        <v>8</v>
      </c>
      <c r="P2164" s="604" t="s">
        <v>483</v>
      </c>
      <c r="Q2164" s="499"/>
    </row>
    <row r="2165" spans="9:17">
      <c r="I2165" s="578" t="str">
        <f t="shared" si="179"/>
        <v>2009dhbUnknownPeri</v>
      </c>
      <c r="J2165" s="604">
        <v>2009</v>
      </c>
      <c r="K2165" s="604" t="s">
        <v>448</v>
      </c>
      <c r="L2165" s="604" t="s">
        <v>63</v>
      </c>
      <c r="M2165" s="604">
        <v>2</v>
      </c>
      <c r="N2165" s="604">
        <v>274</v>
      </c>
      <c r="O2165" s="604" t="s">
        <v>119</v>
      </c>
      <c r="P2165" s="604" t="s">
        <v>483</v>
      </c>
      <c r="Q2165" s="499"/>
    </row>
    <row r="2166" spans="9:17">
      <c r="I2166" s="578" t="str">
        <f t="shared" si="179"/>
        <v>2010dhbNorthlandPeri</v>
      </c>
      <c r="J2166" s="604">
        <v>2010</v>
      </c>
      <c r="K2166" s="604" t="s">
        <v>448</v>
      </c>
      <c r="L2166" s="604" t="s">
        <v>85</v>
      </c>
      <c r="M2166" s="604">
        <v>33</v>
      </c>
      <c r="N2166" s="604">
        <v>2478</v>
      </c>
      <c r="O2166" s="604">
        <v>13.3</v>
      </c>
      <c r="P2166" s="604" t="s">
        <v>483</v>
      </c>
      <c r="Q2166" s="499"/>
    </row>
    <row r="2167" spans="9:17">
      <c r="I2167" s="578" t="str">
        <f t="shared" si="179"/>
        <v>2010dhbWaitemataPeri</v>
      </c>
      <c r="J2167" s="604">
        <v>2010</v>
      </c>
      <c r="K2167" s="604" t="s">
        <v>448</v>
      </c>
      <c r="L2167" s="604" t="s">
        <v>86</v>
      </c>
      <c r="M2167" s="604">
        <v>68</v>
      </c>
      <c r="N2167" s="604">
        <v>8156</v>
      </c>
      <c r="O2167" s="604">
        <v>8.3000000000000007</v>
      </c>
      <c r="P2167" s="604" t="s">
        <v>483</v>
      </c>
      <c r="Q2167" s="499"/>
    </row>
    <row r="2168" spans="9:17">
      <c r="I2168" s="578" t="str">
        <f t="shared" si="179"/>
        <v>2010dhbAucklandPeri</v>
      </c>
      <c r="J2168" s="604">
        <v>2010</v>
      </c>
      <c r="K2168" s="604" t="s">
        <v>448</v>
      </c>
      <c r="L2168" s="604" t="s">
        <v>87</v>
      </c>
      <c r="M2168" s="604">
        <v>69</v>
      </c>
      <c r="N2168" s="604">
        <v>6755</v>
      </c>
      <c r="O2168" s="604">
        <v>10.199999999999999</v>
      </c>
      <c r="P2168" s="604" t="s">
        <v>483</v>
      </c>
      <c r="Q2168" s="499"/>
    </row>
    <row r="2169" spans="9:17">
      <c r="I2169" s="578" t="str">
        <f t="shared" si="179"/>
        <v>2010dhbCounties ManukauPeri</v>
      </c>
      <c r="J2169" s="604">
        <v>2010</v>
      </c>
      <c r="K2169" s="604" t="s">
        <v>448</v>
      </c>
      <c r="L2169" s="604" t="s">
        <v>88</v>
      </c>
      <c r="M2169" s="604">
        <v>96</v>
      </c>
      <c r="N2169" s="604">
        <v>8918</v>
      </c>
      <c r="O2169" s="604">
        <v>10.8</v>
      </c>
      <c r="P2169" s="604" t="s">
        <v>483</v>
      </c>
      <c r="Q2169" s="499"/>
    </row>
    <row r="2170" spans="9:17">
      <c r="I2170" s="578" t="str">
        <f t="shared" si="179"/>
        <v>2010dhbWaikatoPeri</v>
      </c>
      <c r="J2170" s="604">
        <v>2010</v>
      </c>
      <c r="K2170" s="604" t="s">
        <v>448</v>
      </c>
      <c r="L2170" s="604" t="s">
        <v>89</v>
      </c>
      <c r="M2170" s="604">
        <v>53</v>
      </c>
      <c r="N2170" s="604">
        <v>5736</v>
      </c>
      <c r="O2170" s="604">
        <v>9.1999999999999993</v>
      </c>
      <c r="P2170" s="604" t="s">
        <v>483</v>
      </c>
      <c r="Q2170" s="499"/>
    </row>
    <row r="2171" spans="9:17">
      <c r="I2171" s="578" t="str">
        <f t="shared" si="179"/>
        <v>2010dhbLakesPeri</v>
      </c>
      <c r="J2171" s="604">
        <v>2010</v>
      </c>
      <c r="K2171" s="604" t="s">
        <v>448</v>
      </c>
      <c r="L2171" s="604" t="s">
        <v>90</v>
      </c>
      <c r="M2171" s="604">
        <v>18</v>
      </c>
      <c r="N2171" s="604">
        <v>1634</v>
      </c>
      <c r="O2171" s="604">
        <v>11</v>
      </c>
      <c r="P2171" s="604" t="s">
        <v>483</v>
      </c>
      <c r="Q2171" s="499"/>
    </row>
    <row r="2172" spans="9:17">
      <c r="I2172" s="578" t="str">
        <f t="shared" si="179"/>
        <v>2010dhbBay of PlentyPeri</v>
      </c>
      <c r="J2172" s="604">
        <v>2010</v>
      </c>
      <c r="K2172" s="604" t="s">
        <v>448</v>
      </c>
      <c r="L2172" s="604" t="s">
        <v>91</v>
      </c>
      <c r="M2172" s="604">
        <v>27</v>
      </c>
      <c r="N2172" s="604">
        <v>3002</v>
      </c>
      <c r="O2172" s="604">
        <v>9</v>
      </c>
      <c r="P2172" s="604" t="s">
        <v>483</v>
      </c>
      <c r="Q2172" s="499"/>
    </row>
    <row r="2173" spans="9:17">
      <c r="I2173" s="578" t="str">
        <f t="shared" si="179"/>
        <v>2010dhbTairawhitiPeri</v>
      </c>
      <c r="J2173" s="604">
        <v>2010</v>
      </c>
      <c r="K2173" s="604" t="s">
        <v>448</v>
      </c>
      <c r="L2173" s="604" t="s">
        <v>433</v>
      </c>
      <c r="M2173" s="604">
        <v>12</v>
      </c>
      <c r="N2173" s="604">
        <v>813</v>
      </c>
      <c r="O2173" s="604">
        <v>14.8</v>
      </c>
      <c r="P2173" s="604" t="s">
        <v>483</v>
      </c>
      <c r="Q2173" s="499"/>
    </row>
    <row r="2174" spans="9:17">
      <c r="I2174" s="578" t="str">
        <f t="shared" si="179"/>
        <v>2010dhbHawke's BayPeri</v>
      </c>
      <c r="J2174" s="604">
        <v>2010</v>
      </c>
      <c r="K2174" s="604" t="s">
        <v>448</v>
      </c>
      <c r="L2174" s="604" t="s">
        <v>92</v>
      </c>
      <c r="M2174" s="604">
        <v>27</v>
      </c>
      <c r="N2174" s="604">
        <v>2352</v>
      </c>
      <c r="O2174" s="604">
        <v>11.5</v>
      </c>
      <c r="P2174" s="604" t="s">
        <v>483</v>
      </c>
      <c r="Q2174" s="499"/>
    </row>
    <row r="2175" spans="9:17">
      <c r="I2175" s="578" t="str">
        <f t="shared" si="179"/>
        <v>2010dhbTaranakiPeri</v>
      </c>
      <c r="J2175" s="604">
        <v>2010</v>
      </c>
      <c r="K2175" s="604" t="s">
        <v>448</v>
      </c>
      <c r="L2175" s="604" t="s">
        <v>93</v>
      </c>
      <c r="M2175" s="604">
        <v>17</v>
      </c>
      <c r="N2175" s="604">
        <v>1622</v>
      </c>
      <c r="O2175" s="604">
        <v>10.5</v>
      </c>
      <c r="P2175" s="604" t="s">
        <v>483</v>
      </c>
      <c r="Q2175" s="499"/>
    </row>
    <row r="2176" spans="9:17">
      <c r="I2176" s="578" t="str">
        <f t="shared" si="179"/>
        <v>2010dhbMidCentralPeri</v>
      </c>
      <c r="J2176" s="604">
        <v>2010</v>
      </c>
      <c r="K2176" s="604" t="s">
        <v>448</v>
      </c>
      <c r="L2176" s="604" t="s">
        <v>94</v>
      </c>
      <c r="M2176" s="604">
        <v>28</v>
      </c>
      <c r="N2176" s="604">
        <v>2393</v>
      </c>
      <c r="O2176" s="604">
        <v>11.7</v>
      </c>
      <c r="P2176" s="604" t="s">
        <v>483</v>
      </c>
      <c r="Q2176" s="499"/>
    </row>
    <row r="2177" spans="9:17">
      <c r="I2177" s="578" t="str">
        <f t="shared" si="179"/>
        <v>2010dhbWhanganuiPeri</v>
      </c>
      <c r="J2177" s="604">
        <v>2010</v>
      </c>
      <c r="K2177" s="604" t="s">
        <v>448</v>
      </c>
      <c r="L2177" s="604" t="s">
        <v>95</v>
      </c>
      <c r="M2177" s="604">
        <v>9</v>
      </c>
      <c r="N2177" s="604">
        <v>918</v>
      </c>
      <c r="O2177" s="604">
        <v>9.8000000000000007</v>
      </c>
      <c r="P2177" s="604" t="s">
        <v>483</v>
      </c>
      <c r="Q2177" s="499"/>
    </row>
    <row r="2178" spans="9:17">
      <c r="I2178" s="578" t="str">
        <f t="shared" si="179"/>
        <v>2010dhbCapital &amp; CoastPeri</v>
      </c>
      <c r="J2178" s="604">
        <v>2010</v>
      </c>
      <c r="K2178" s="604" t="s">
        <v>448</v>
      </c>
      <c r="L2178" s="604" t="s">
        <v>96</v>
      </c>
      <c r="M2178" s="604">
        <v>30</v>
      </c>
      <c r="N2178" s="604">
        <v>4019</v>
      </c>
      <c r="O2178" s="604">
        <v>7.5</v>
      </c>
      <c r="P2178" s="604" t="s">
        <v>483</v>
      </c>
      <c r="Q2178" s="499"/>
    </row>
    <row r="2179" spans="9:17">
      <c r="I2179" s="578" t="str">
        <f t="shared" si="179"/>
        <v>2010dhbHutt ValleyPeri</v>
      </c>
      <c r="J2179" s="604">
        <v>2010</v>
      </c>
      <c r="K2179" s="604" t="s">
        <v>448</v>
      </c>
      <c r="L2179" s="604" t="s">
        <v>97</v>
      </c>
      <c r="M2179" s="604">
        <v>23</v>
      </c>
      <c r="N2179" s="604">
        <v>2170</v>
      </c>
      <c r="O2179" s="604">
        <v>10.6</v>
      </c>
      <c r="P2179" s="604" t="s">
        <v>483</v>
      </c>
      <c r="Q2179" s="499"/>
    </row>
    <row r="2180" spans="9:17">
      <c r="I2180" s="578" t="str">
        <f t="shared" ref="I2180:I2243" si="180">J2180&amp;K2180&amp;L2180&amp;P2180</f>
        <v>2010dhbWairarapaPeri</v>
      </c>
      <c r="J2180" s="604">
        <v>2010</v>
      </c>
      <c r="K2180" s="604" t="s">
        <v>448</v>
      </c>
      <c r="L2180" s="604" t="s">
        <v>98</v>
      </c>
      <c r="M2180" s="604">
        <v>10</v>
      </c>
      <c r="N2180" s="604">
        <v>555</v>
      </c>
      <c r="O2180" s="604">
        <v>18</v>
      </c>
      <c r="P2180" s="604" t="s">
        <v>483</v>
      </c>
      <c r="Q2180" s="499"/>
    </row>
    <row r="2181" spans="9:17">
      <c r="I2181" s="578" t="str">
        <f t="shared" si="180"/>
        <v>2010dhbNelson MarlboroughPeri</v>
      </c>
      <c r="J2181" s="604">
        <v>2010</v>
      </c>
      <c r="K2181" s="604" t="s">
        <v>448</v>
      </c>
      <c r="L2181" s="604" t="s">
        <v>99</v>
      </c>
      <c r="M2181" s="604">
        <v>12</v>
      </c>
      <c r="N2181" s="604">
        <v>1731</v>
      </c>
      <c r="O2181" s="604">
        <v>6.9</v>
      </c>
      <c r="P2181" s="604" t="s">
        <v>483</v>
      </c>
      <c r="Q2181" s="499"/>
    </row>
    <row r="2182" spans="9:17">
      <c r="I2182" s="578" t="str">
        <f t="shared" si="180"/>
        <v>2010dhbWest CoastPeri</v>
      </c>
      <c r="J2182" s="604">
        <v>2010</v>
      </c>
      <c r="K2182" s="604" t="s">
        <v>448</v>
      </c>
      <c r="L2182" s="604" t="s">
        <v>100</v>
      </c>
      <c r="M2182" s="604">
        <v>5</v>
      </c>
      <c r="N2182" s="604">
        <v>435</v>
      </c>
      <c r="O2182" s="604">
        <v>11.5</v>
      </c>
      <c r="P2182" s="604" t="s">
        <v>483</v>
      </c>
      <c r="Q2182" s="499"/>
    </row>
    <row r="2183" spans="9:17">
      <c r="I2183" s="578" t="str">
        <f t="shared" si="180"/>
        <v>2010dhbCanterburyPeri</v>
      </c>
      <c r="J2183" s="604">
        <v>2010</v>
      </c>
      <c r="K2183" s="604" t="s">
        <v>448</v>
      </c>
      <c r="L2183" s="604" t="s">
        <v>101</v>
      </c>
      <c r="M2183" s="604">
        <v>79</v>
      </c>
      <c r="N2183" s="604">
        <v>6742</v>
      </c>
      <c r="O2183" s="604">
        <v>11.7</v>
      </c>
      <c r="P2183" s="604" t="s">
        <v>483</v>
      </c>
      <c r="Q2183" s="499"/>
    </row>
    <row r="2184" spans="9:17">
      <c r="I2184" s="578" t="str">
        <f t="shared" si="180"/>
        <v>2010dhbSouth CanterburyPeri</v>
      </c>
      <c r="J2184" s="604">
        <v>2010</v>
      </c>
      <c r="K2184" s="604" t="s">
        <v>448</v>
      </c>
      <c r="L2184" s="604" t="s">
        <v>102</v>
      </c>
      <c r="M2184" s="604">
        <v>8</v>
      </c>
      <c r="N2184" s="604">
        <v>632</v>
      </c>
      <c r="O2184" s="604">
        <v>12.7</v>
      </c>
      <c r="P2184" s="604" t="s">
        <v>483</v>
      </c>
      <c r="Q2184" s="499"/>
    </row>
    <row r="2185" spans="9:17">
      <c r="I2185" s="578" t="str">
        <f t="shared" si="180"/>
        <v>2010dhbSouthernPeri</v>
      </c>
      <c r="J2185" s="604">
        <v>2010</v>
      </c>
      <c r="K2185" s="604" t="s">
        <v>448</v>
      </c>
      <c r="L2185" s="604" t="s">
        <v>103</v>
      </c>
      <c r="M2185" s="604">
        <v>32</v>
      </c>
      <c r="N2185" s="604">
        <v>3796</v>
      </c>
      <c r="O2185" s="604">
        <v>8.4</v>
      </c>
      <c r="P2185" s="604" t="s">
        <v>483</v>
      </c>
      <c r="Q2185" s="499"/>
    </row>
    <row r="2186" spans="9:17">
      <c r="I2186" s="578" t="str">
        <f t="shared" si="180"/>
        <v>2010dhbUnknownPeri</v>
      </c>
      <c r="J2186" s="604">
        <v>2010</v>
      </c>
      <c r="K2186" s="604" t="s">
        <v>448</v>
      </c>
      <c r="L2186" s="604" t="s">
        <v>63</v>
      </c>
      <c r="M2186" s="604">
        <v>5</v>
      </c>
      <c r="N2186" s="604">
        <v>311</v>
      </c>
      <c r="O2186" s="604" t="s">
        <v>119</v>
      </c>
      <c r="P2186" s="604" t="s">
        <v>483</v>
      </c>
      <c r="Q2186" s="499"/>
    </row>
    <row r="2187" spans="9:17">
      <c r="I2187" s="578" t="str">
        <f t="shared" si="180"/>
        <v>2011dhbNorthlandPeri</v>
      </c>
      <c r="J2187" s="604">
        <v>2011</v>
      </c>
      <c r="K2187" s="604" t="s">
        <v>448</v>
      </c>
      <c r="L2187" s="604" t="s">
        <v>85</v>
      </c>
      <c r="M2187" s="604">
        <v>21</v>
      </c>
      <c r="N2187" s="604">
        <v>2275</v>
      </c>
      <c r="O2187" s="604">
        <v>9.1999999999999993</v>
      </c>
      <c r="P2187" s="604" t="s">
        <v>483</v>
      </c>
      <c r="Q2187" s="499"/>
    </row>
    <row r="2188" spans="9:17">
      <c r="I2188" s="578" t="str">
        <f t="shared" si="180"/>
        <v>2011dhbWaitemataPeri</v>
      </c>
      <c r="J2188" s="604">
        <v>2011</v>
      </c>
      <c r="K2188" s="604" t="s">
        <v>448</v>
      </c>
      <c r="L2188" s="604" t="s">
        <v>86</v>
      </c>
      <c r="M2188" s="604">
        <v>64</v>
      </c>
      <c r="N2188" s="604">
        <v>7934</v>
      </c>
      <c r="O2188" s="604">
        <v>8.1</v>
      </c>
      <c r="P2188" s="604" t="s">
        <v>483</v>
      </c>
      <c r="Q2188" s="499"/>
    </row>
    <row r="2189" spans="9:17">
      <c r="I2189" s="578" t="str">
        <f t="shared" si="180"/>
        <v>2011dhbAucklandPeri</v>
      </c>
      <c r="J2189" s="604">
        <v>2011</v>
      </c>
      <c r="K2189" s="604" t="s">
        <v>448</v>
      </c>
      <c r="L2189" s="604" t="s">
        <v>87</v>
      </c>
      <c r="M2189" s="604">
        <v>68</v>
      </c>
      <c r="N2189" s="604">
        <v>6581</v>
      </c>
      <c r="O2189" s="604">
        <v>10.3</v>
      </c>
      <c r="P2189" s="604" t="s">
        <v>483</v>
      </c>
      <c r="Q2189" s="499"/>
    </row>
    <row r="2190" spans="9:17">
      <c r="I2190" s="578" t="str">
        <f t="shared" si="180"/>
        <v>2011dhbCounties ManukauPeri</v>
      </c>
      <c r="J2190" s="604">
        <v>2011</v>
      </c>
      <c r="K2190" s="604" t="s">
        <v>448</v>
      </c>
      <c r="L2190" s="604" t="s">
        <v>88</v>
      </c>
      <c r="M2190" s="604">
        <v>109</v>
      </c>
      <c r="N2190" s="604">
        <v>8681</v>
      </c>
      <c r="O2190" s="604">
        <v>12.6</v>
      </c>
      <c r="P2190" s="604" t="s">
        <v>483</v>
      </c>
      <c r="Q2190" s="499"/>
    </row>
    <row r="2191" spans="9:17">
      <c r="I2191" s="578" t="str">
        <f t="shared" si="180"/>
        <v>2011dhbWaikatoPeri</v>
      </c>
      <c r="J2191" s="604">
        <v>2011</v>
      </c>
      <c r="K2191" s="604" t="s">
        <v>448</v>
      </c>
      <c r="L2191" s="604" t="s">
        <v>89</v>
      </c>
      <c r="M2191" s="604">
        <v>59</v>
      </c>
      <c r="N2191" s="604">
        <v>5441</v>
      </c>
      <c r="O2191" s="604">
        <v>10.8</v>
      </c>
      <c r="P2191" s="604" t="s">
        <v>483</v>
      </c>
      <c r="Q2191" s="499"/>
    </row>
    <row r="2192" spans="9:17">
      <c r="I2192" s="578" t="str">
        <f t="shared" si="180"/>
        <v>2011dhbLakesPeri</v>
      </c>
      <c r="J2192" s="604">
        <v>2011</v>
      </c>
      <c r="K2192" s="604" t="s">
        <v>448</v>
      </c>
      <c r="L2192" s="604" t="s">
        <v>90</v>
      </c>
      <c r="M2192" s="604">
        <v>17</v>
      </c>
      <c r="N2192" s="604">
        <v>1564</v>
      </c>
      <c r="O2192" s="604">
        <v>10.9</v>
      </c>
      <c r="P2192" s="604" t="s">
        <v>483</v>
      </c>
      <c r="Q2192" s="499"/>
    </row>
    <row r="2193" spans="9:17">
      <c r="I2193" s="578" t="str">
        <f t="shared" si="180"/>
        <v>2011dhbBay of PlentyPeri</v>
      </c>
      <c r="J2193" s="604">
        <v>2011</v>
      </c>
      <c r="K2193" s="604" t="s">
        <v>448</v>
      </c>
      <c r="L2193" s="604" t="s">
        <v>91</v>
      </c>
      <c r="M2193" s="604">
        <v>21</v>
      </c>
      <c r="N2193" s="604">
        <v>2990</v>
      </c>
      <c r="O2193" s="604">
        <v>7</v>
      </c>
      <c r="P2193" s="604" t="s">
        <v>483</v>
      </c>
      <c r="Q2193" s="499"/>
    </row>
    <row r="2194" spans="9:17">
      <c r="I2194" s="578" t="str">
        <f t="shared" si="180"/>
        <v>2011dhbTairawhitiPeri</v>
      </c>
      <c r="J2194" s="604">
        <v>2011</v>
      </c>
      <c r="K2194" s="604" t="s">
        <v>448</v>
      </c>
      <c r="L2194" s="604" t="s">
        <v>433</v>
      </c>
      <c r="M2194" s="604">
        <v>8</v>
      </c>
      <c r="N2194" s="604">
        <v>760</v>
      </c>
      <c r="O2194" s="604">
        <v>10.5</v>
      </c>
      <c r="P2194" s="604" t="s">
        <v>483</v>
      </c>
      <c r="Q2194" s="499"/>
    </row>
    <row r="2195" spans="9:17">
      <c r="I2195" s="578" t="str">
        <f t="shared" si="180"/>
        <v>2011dhbHawke's BayPeri</v>
      </c>
      <c r="J2195" s="604">
        <v>2011</v>
      </c>
      <c r="K2195" s="604" t="s">
        <v>448</v>
      </c>
      <c r="L2195" s="604" t="s">
        <v>92</v>
      </c>
      <c r="M2195" s="604">
        <v>30</v>
      </c>
      <c r="N2195" s="604">
        <v>2270</v>
      </c>
      <c r="O2195" s="604">
        <v>13.2</v>
      </c>
      <c r="P2195" s="604" t="s">
        <v>483</v>
      </c>
      <c r="Q2195" s="499"/>
    </row>
    <row r="2196" spans="9:17">
      <c r="I2196" s="578" t="str">
        <f t="shared" si="180"/>
        <v>2011dhbTaranakiPeri</v>
      </c>
      <c r="J2196" s="604">
        <v>2011</v>
      </c>
      <c r="K2196" s="604" t="s">
        <v>448</v>
      </c>
      <c r="L2196" s="604" t="s">
        <v>93</v>
      </c>
      <c r="M2196" s="604">
        <v>18</v>
      </c>
      <c r="N2196" s="604">
        <v>1579</v>
      </c>
      <c r="O2196" s="604">
        <v>11.4</v>
      </c>
      <c r="P2196" s="604" t="s">
        <v>483</v>
      </c>
      <c r="Q2196" s="499"/>
    </row>
    <row r="2197" spans="9:17">
      <c r="I2197" s="578" t="str">
        <f t="shared" si="180"/>
        <v>2011dhbMidCentralPeri</v>
      </c>
      <c r="J2197" s="604">
        <v>2011</v>
      </c>
      <c r="K2197" s="604" t="s">
        <v>448</v>
      </c>
      <c r="L2197" s="604" t="s">
        <v>94</v>
      </c>
      <c r="M2197" s="604">
        <v>21</v>
      </c>
      <c r="N2197" s="604">
        <v>2378</v>
      </c>
      <c r="O2197" s="604">
        <v>8.8000000000000007</v>
      </c>
      <c r="P2197" s="604" t="s">
        <v>483</v>
      </c>
      <c r="Q2197" s="499"/>
    </row>
    <row r="2198" spans="9:17">
      <c r="I2198" s="578" t="str">
        <f t="shared" si="180"/>
        <v>2011dhbWhanganuiPeri</v>
      </c>
      <c r="J2198" s="604">
        <v>2011</v>
      </c>
      <c r="K2198" s="604" t="s">
        <v>448</v>
      </c>
      <c r="L2198" s="604" t="s">
        <v>95</v>
      </c>
      <c r="M2198" s="604">
        <v>10</v>
      </c>
      <c r="N2198" s="604">
        <v>832</v>
      </c>
      <c r="O2198" s="604">
        <v>12</v>
      </c>
      <c r="P2198" s="604" t="s">
        <v>483</v>
      </c>
      <c r="Q2198" s="499"/>
    </row>
    <row r="2199" spans="9:17">
      <c r="I2199" s="578" t="str">
        <f t="shared" si="180"/>
        <v>2011dhbCapital &amp; CoastPeri</v>
      </c>
      <c r="J2199" s="604">
        <v>2011</v>
      </c>
      <c r="K2199" s="604" t="s">
        <v>448</v>
      </c>
      <c r="L2199" s="604" t="s">
        <v>96</v>
      </c>
      <c r="M2199" s="604">
        <v>30</v>
      </c>
      <c r="N2199" s="604">
        <v>3902</v>
      </c>
      <c r="O2199" s="604">
        <v>7.7</v>
      </c>
      <c r="P2199" s="604" t="s">
        <v>483</v>
      </c>
      <c r="Q2199" s="499"/>
    </row>
    <row r="2200" spans="9:17">
      <c r="I2200" s="578" t="str">
        <f t="shared" si="180"/>
        <v>2011dhbHutt ValleyPeri</v>
      </c>
      <c r="J2200" s="604">
        <v>2011</v>
      </c>
      <c r="K2200" s="604" t="s">
        <v>448</v>
      </c>
      <c r="L2200" s="604" t="s">
        <v>97</v>
      </c>
      <c r="M2200" s="604">
        <v>24</v>
      </c>
      <c r="N2200" s="604">
        <v>2074</v>
      </c>
      <c r="O2200" s="604">
        <v>11.6</v>
      </c>
      <c r="P2200" s="604" t="s">
        <v>483</v>
      </c>
      <c r="Q2200" s="499"/>
    </row>
    <row r="2201" spans="9:17">
      <c r="I2201" s="578" t="str">
        <f t="shared" si="180"/>
        <v>2011dhbWairarapaPeri</v>
      </c>
      <c r="J2201" s="604">
        <v>2011</v>
      </c>
      <c r="K2201" s="604" t="s">
        <v>448</v>
      </c>
      <c r="L2201" s="604" t="s">
        <v>98</v>
      </c>
      <c r="M2201" s="604">
        <v>2</v>
      </c>
      <c r="N2201" s="604">
        <v>535</v>
      </c>
      <c r="O2201" s="604">
        <v>3.7</v>
      </c>
      <c r="P2201" s="604" t="s">
        <v>483</v>
      </c>
      <c r="Q2201" s="499"/>
    </row>
    <row r="2202" spans="9:17">
      <c r="I2202" s="578" t="str">
        <f t="shared" si="180"/>
        <v>2011dhbNelson MarlboroughPeri</v>
      </c>
      <c r="J2202" s="604">
        <v>2011</v>
      </c>
      <c r="K2202" s="604" t="s">
        <v>448</v>
      </c>
      <c r="L2202" s="604" t="s">
        <v>99</v>
      </c>
      <c r="M2202" s="604">
        <v>12</v>
      </c>
      <c r="N2202" s="604">
        <v>1658</v>
      </c>
      <c r="O2202" s="604">
        <v>7.2</v>
      </c>
      <c r="P2202" s="604" t="s">
        <v>483</v>
      </c>
      <c r="Q2202" s="499"/>
    </row>
    <row r="2203" spans="9:17">
      <c r="I2203" s="578" t="str">
        <f t="shared" si="180"/>
        <v>2011dhbWest CoastPeri</v>
      </c>
      <c r="J2203" s="604">
        <v>2011</v>
      </c>
      <c r="K2203" s="604" t="s">
        <v>448</v>
      </c>
      <c r="L2203" s="604" t="s">
        <v>100</v>
      </c>
      <c r="M2203" s="604">
        <v>5</v>
      </c>
      <c r="N2203" s="604">
        <v>439</v>
      </c>
      <c r="O2203" s="604">
        <v>11.4</v>
      </c>
      <c r="P2203" s="604" t="s">
        <v>483</v>
      </c>
      <c r="Q2203" s="499"/>
    </row>
    <row r="2204" spans="9:17">
      <c r="I2204" s="578" t="str">
        <f t="shared" si="180"/>
        <v>2011dhbCanterburyPeri</v>
      </c>
      <c r="J2204" s="604">
        <v>2011</v>
      </c>
      <c r="K2204" s="604" t="s">
        <v>448</v>
      </c>
      <c r="L2204" s="604" t="s">
        <v>101</v>
      </c>
      <c r="M2204" s="604">
        <v>58</v>
      </c>
      <c r="N2204" s="604">
        <v>6164</v>
      </c>
      <c r="O2204" s="604">
        <v>9.4</v>
      </c>
      <c r="P2204" s="604" t="s">
        <v>483</v>
      </c>
      <c r="Q2204" s="499"/>
    </row>
    <row r="2205" spans="9:17">
      <c r="I2205" s="578" t="str">
        <f t="shared" si="180"/>
        <v>2011dhbSouth CanterburyPeri</v>
      </c>
      <c r="J2205" s="604">
        <v>2011</v>
      </c>
      <c r="K2205" s="604" t="s">
        <v>448</v>
      </c>
      <c r="L2205" s="604" t="s">
        <v>102</v>
      </c>
      <c r="M2205" s="604">
        <v>5</v>
      </c>
      <c r="N2205" s="604">
        <v>587</v>
      </c>
      <c r="O2205" s="604">
        <v>8.5</v>
      </c>
      <c r="P2205" s="604" t="s">
        <v>483</v>
      </c>
      <c r="Q2205" s="499"/>
    </row>
    <row r="2206" spans="9:17">
      <c r="I2206" s="578" t="str">
        <f t="shared" si="180"/>
        <v>2011dhbSouthernPeri</v>
      </c>
      <c r="J2206" s="604">
        <v>2011</v>
      </c>
      <c r="K2206" s="604" t="s">
        <v>448</v>
      </c>
      <c r="L2206" s="604" t="s">
        <v>103</v>
      </c>
      <c r="M2206" s="604">
        <v>38</v>
      </c>
      <c r="N2206" s="604">
        <v>3738</v>
      </c>
      <c r="O2206" s="604">
        <v>10.199999999999999</v>
      </c>
      <c r="P2206" s="604" t="s">
        <v>483</v>
      </c>
      <c r="Q2206" s="499"/>
    </row>
    <row r="2207" spans="9:17">
      <c r="I2207" s="578" t="str">
        <f t="shared" si="180"/>
        <v>2011dhbUnknownPeri</v>
      </c>
      <c r="J2207" s="604">
        <v>2011</v>
      </c>
      <c r="K2207" s="604" t="s">
        <v>448</v>
      </c>
      <c r="L2207" s="604" t="s">
        <v>63</v>
      </c>
      <c r="M2207" s="604">
        <v>2</v>
      </c>
      <c r="N2207" s="604">
        <v>243</v>
      </c>
      <c r="O2207" s="604" t="s">
        <v>119</v>
      </c>
      <c r="P2207" s="604" t="s">
        <v>483</v>
      </c>
      <c r="Q2207" s="499"/>
    </row>
    <row r="2208" spans="9:17">
      <c r="I2208" s="578" t="str">
        <f t="shared" si="180"/>
        <v>2012dhbNorthlandPeri</v>
      </c>
      <c r="J2208" s="604">
        <v>2012</v>
      </c>
      <c r="K2208" s="604" t="s">
        <v>448</v>
      </c>
      <c r="L2208" s="604" t="s">
        <v>85</v>
      </c>
      <c r="M2208" s="604">
        <v>28</v>
      </c>
      <c r="N2208" s="604">
        <v>2408</v>
      </c>
      <c r="O2208" s="604">
        <v>11.6</v>
      </c>
      <c r="P2208" s="604" t="s">
        <v>483</v>
      </c>
      <c r="Q2208" s="499"/>
    </row>
    <row r="2209" spans="9:17">
      <c r="I2209" s="578" t="str">
        <f t="shared" si="180"/>
        <v>2012dhbWaitemataPeri</v>
      </c>
      <c r="J2209" s="604">
        <v>2012</v>
      </c>
      <c r="K2209" s="604" t="s">
        <v>448</v>
      </c>
      <c r="L2209" s="604" t="s">
        <v>86</v>
      </c>
      <c r="M2209" s="604">
        <v>71</v>
      </c>
      <c r="N2209" s="604">
        <v>8011</v>
      </c>
      <c r="O2209" s="604">
        <v>8.9</v>
      </c>
      <c r="P2209" s="604" t="s">
        <v>483</v>
      </c>
      <c r="Q2209" s="499"/>
    </row>
    <row r="2210" spans="9:17">
      <c r="I2210" s="578" t="str">
        <f t="shared" si="180"/>
        <v>2012dhbAucklandPeri</v>
      </c>
      <c r="J2210" s="604">
        <v>2012</v>
      </c>
      <c r="K2210" s="604" t="s">
        <v>448</v>
      </c>
      <c r="L2210" s="604" t="s">
        <v>87</v>
      </c>
      <c r="M2210" s="604">
        <v>76</v>
      </c>
      <c r="N2210" s="604">
        <v>6607</v>
      </c>
      <c r="O2210" s="604">
        <v>11.5</v>
      </c>
      <c r="P2210" s="604" t="s">
        <v>483</v>
      </c>
      <c r="Q2210" s="499"/>
    </row>
    <row r="2211" spans="9:17">
      <c r="I2211" s="578" t="str">
        <f t="shared" si="180"/>
        <v>2012dhbCounties ManukauPeri</v>
      </c>
      <c r="J2211" s="604">
        <v>2012</v>
      </c>
      <c r="K2211" s="604" t="s">
        <v>448</v>
      </c>
      <c r="L2211" s="604" t="s">
        <v>88</v>
      </c>
      <c r="M2211" s="604">
        <v>102</v>
      </c>
      <c r="N2211" s="604">
        <v>8816</v>
      </c>
      <c r="O2211" s="604">
        <v>11.6</v>
      </c>
      <c r="P2211" s="604" t="s">
        <v>483</v>
      </c>
      <c r="Q2211" s="499"/>
    </row>
    <row r="2212" spans="9:17">
      <c r="I2212" s="578" t="str">
        <f t="shared" si="180"/>
        <v>2012dhbWaikatoPeri</v>
      </c>
      <c r="J2212" s="604">
        <v>2012</v>
      </c>
      <c r="K2212" s="604" t="s">
        <v>448</v>
      </c>
      <c r="L2212" s="604" t="s">
        <v>89</v>
      </c>
      <c r="M2212" s="604">
        <v>64</v>
      </c>
      <c r="N2212" s="604">
        <v>5528</v>
      </c>
      <c r="O2212" s="604">
        <v>11.6</v>
      </c>
      <c r="P2212" s="604" t="s">
        <v>483</v>
      </c>
      <c r="Q2212" s="499"/>
    </row>
    <row r="2213" spans="9:17">
      <c r="I2213" s="578" t="str">
        <f t="shared" si="180"/>
        <v>2012dhbLakesPeri</v>
      </c>
      <c r="J2213" s="604">
        <v>2012</v>
      </c>
      <c r="K2213" s="604" t="s">
        <v>448</v>
      </c>
      <c r="L2213" s="604" t="s">
        <v>90</v>
      </c>
      <c r="M2213" s="604">
        <v>14</v>
      </c>
      <c r="N2213" s="604">
        <v>1528</v>
      </c>
      <c r="O2213" s="604">
        <v>9.1999999999999993</v>
      </c>
      <c r="P2213" s="604" t="s">
        <v>483</v>
      </c>
      <c r="Q2213" s="499"/>
    </row>
    <row r="2214" spans="9:17">
      <c r="I2214" s="578" t="str">
        <f t="shared" si="180"/>
        <v>2012dhbBay of PlentyPeri</v>
      </c>
      <c r="J2214" s="604">
        <v>2012</v>
      </c>
      <c r="K2214" s="604" t="s">
        <v>448</v>
      </c>
      <c r="L2214" s="604" t="s">
        <v>91</v>
      </c>
      <c r="M2214" s="604">
        <v>30</v>
      </c>
      <c r="N2214" s="604">
        <v>2997</v>
      </c>
      <c r="O2214" s="604">
        <v>10</v>
      </c>
      <c r="P2214" s="604" t="s">
        <v>483</v>
      </c>
      <c r="Q2214" s="499"/>
    </row>
    <row r="2215" spans="9:17">
      <c r="I2215" s="578" t="str">
        <f t="shared" si="180"/>
        <v>2012dhbTairawhitiPeri</v>
      </c>
      <c r="J2215" s="604">
        <v>2012</v>
      </c>
      <c r="K2215" s="604" t="s">
        <v>448</v>
      </c>
      <c r="L2215" s="604" t="s">
        <v>433</v>
      </c>
      <c r="M2215" s="604">
        <v>7</v>
      </c>
      <c r="N2215" s="604">
        <v>725</v>
      </c>
      <c r="O2215" s="604">
        <v>9.6999999999999993</v>
      </c>
      <c r="P2215" s="604" t="s">
        <v>483</v>
      </c>
      <c r="Q2215" s="499"/>
    </row>
    <row r="2216" spans="9:17">
      <c r="I2216" s="578" t="str">
        <f t="shared" si="180"/>
        <v>2012dhbHawke's BayPeri</v>
      </c>
      <c r="J2216" s="604">
        <v>2012</v>
      </c>
      <c r="K2216" s="604" t="s">
        <v>448</v>
      </c>
      <c r="L2216" s="604" t="s">
        <v>92</v>
      </c>
      <c r="M2216" s="604">
        <v>15</v>
      </c>
      <c r="N2216" s="604">
        <v>2297</v>
      </c>
      <c r="O2216" s="604">
        <v>6.5</v>
      </c>
      <c r="P2216" s="604" t="s">
        <v>483</v>
      </c>
      <c r="Q2216" s="499"/>
    </row>
    <row r="2217" spans="9:17">
      <c r="I2217" s="578" t="str">
        <f t="shared" si="180"/>
        <v>2012dhbTaranakiPeri</v>
      </c>
      <c r="J2217" s="604">
        <v>2012</v>
      </c>
      <c r="K2217" s="604" t="s">
        <v>448</v>
      </c>
      <c r="L2217" s="604" t="s">
        <v>93</v>
      </c>
      <c r="M2217" s="604">
        <v>9</v>
      </c>
      <c r="N2217" s="604">
        <v>1559</v>
      </c>
      <c r="O2217" s="604">
        <v>5.8</v>
      </c>
      <c r="P2217" s="604" t="s">
        <v>483</v>
      </c>
      <c r="Q2217" s="499"/>
    </row>
    <row r="2218" spans="9:17">
      <c r="I2218" s="578" t="str">
        <f t="shared" si="180"/>
        <v>2012dhbMidCentralPeri</v>
      </c>
      <c r="J2218" s="604">
        <v>2012</v>
      </c>
      <c r="K2218" s="604" t="s">
        <v>448</v>
      </c>
      <c r="L2218" s="604" t="s">
        <v>94</v>
      </c>
      <c r="M2218" s="604">
        <v>23</v>
      </c>
      <c r="N2218" s="604">
        <v>2199</v>
      </c>
      <c r="O2218" s="604">
        <v>10.5</v>
      </c>
      <c r="P2218" s="604" t="s">
        <v>483</v>
      </c>
      <c r="Q2218" s="499"/>
    </row>
    <row r="2219" spans="9:17">
      <c r="I2219" s="578" t="str">
        <f t="shared" si="180"/>
        <v>2012dhbWhanganuiPeri</v>
      </c>
      <c r="J2219" s="604">
        <v>2012</v>
      </c>
      <c r="K2219" s="604" t="s">
        <v>448</v>
      </c>
      <c r="L2219" s="604" t="s">
        <v>95</v>
      </c>
      <c r="M2219" s="604">
        <v>16</v>
      </c>
      <c r="N2219" s="604">
        <v>858</v>
      </c>
      <c r="O2219" s="604">
        <v>18.600000000000001</v>
      </c>
      <c r="P2219" s="604" t="s">
        <v>483</v>
      </c>
      <c r="Q2219" s="499"/>
    </row>
    <row r="2220" spans="9:17">
      <c r="I2220" s="578" t="str">
        <f t="shared" si="180"/>
        <v>2012dhbCapital &amp; CoastPeri</v>
      </c>
      <c r="J2220" s="604">
        <v>2012</v>
      </c>
      <c r="K2220" s="604" t="s">
        <v>448</v>
      </c>
      <c r="L2220" s="604" t="s">
        <v>96</v>
      </c>
      <c r="M2220" s="604">
        <v>32</v>
      </c>
      <c r="N2220" s="604">
        <v>3861</v>
      </c>
      <c r="O2220" s="604">
        <v>8.3000000000000007</v>
      </c>
      <c r="P2220" s="604" t="s">
        <v>483</v>
      </c>
      <c r="Q2220" s="499"/>
    </row>
    <row r="2221" spans="9:17">
      <c r="I2221" s="578" t="str">
        <f t="shared" si="180"/>
        <v>2012dhbHutt ValleyPeri</v>
      </c>
      <c r="J2221" s="604">
        <v>2012</v>
      </c>
      <c r="K2221" s="604" t="s">
        <v>448</v>
      </c>
      <c r="L2221" s="604" t="s">
        <v>97</v>
      </c>
      <c r="M2221" s="604">
        <v>14</v>
      </c>
      <c r="N2221" s="604">
        <v>2052</v>
      </c>
      <c r="O2221" s="604">
        <v>6.8</v>
      </c>
      <c r="P2221" s="604" t="s">
        <v>483</v>
      </c>
      <c r="Q2221" s="499"/>
    </row>
    <row r="2222" spans="9:17">
      <c r="I2222" s="578" t="str">
        <f t="shared" si="180"/>
        <v>2012dhbWairarapaPeri</v>
      </c>
      <c r="J2222" s="604">
        <v>2012</v>
      </c>
      <c r="K2222" s="604" t="s">
        <v>448</v>
      </c>
      <c r="L2222" s="604" t="s">
        <v>98</v>
      </c>
      <c r="M2222" s="604">
        <v>4</v>
      </c>
      <c r="N2222" s="604">
        <v>517</v>
      </c>
      <c r="O2222" s="604">
        <v>7.7</v>
      </c>
      <c r="P2222" s="604" t="s">
        <v>483</v>
      </c>
      <c r="Q2222" s="499"/>
    </row>
    <row r="2223" spans="9:17">
      <c r="I2223" s="578" t="str">
        <f t="shared" si="180"/>
        <v>2012dhbNelson MarlboroughPeri</v>
      </c>
      <c r="J2223" s="604">
        <v>2012</v>
      </c>
      <c r="K2223" s="604" t="s">
        <v>448</v>
      </c>
      <c r="L2223" s="604" t="s">
        <v>99</v>
      </c>
      <c r="M2223" s="604">
        <v>7</v>
      </c>
      <c r="N2223" s="604">
        <v>1548</v>
      </c>
      <c r="O2223" s="604">
        <v>4.5</v>
      </c>
      <c r="P2223" s="604" t="s">
        <v>483</v>
      </c>
      <c r="Q2223" s="499"/>
    </row>
    <row r="2224" spans="9:17">
      <c r="I2224" s="578" t="str">
        <f t="shared" si="180"/>
        <v>2012dhbWest CoastPeri</v>
      </c>
      <c r="J2224" s="604">
        <v>2012</v>
      </c>
      <c r="K2224" s="604" t="s">
        <v>448</v>
      </c>
      <c r="L2224" s="604" t="s">
        <v>100</v>
      </c>
      <c r="M2224" s="604">
        <v>3</v>
      </c>
      <c r="N2224" s="604">
        <v>420</v>
      </c>
      <c r="O2224" s="604">
        <v>7.1</v>
      </c>
      <c r="P2224" s="604" t="s">
        <v>483</v>
      </c>
      <c r="Q2224" s="499"/>
    </row>
    <row r="2225" spans="9:17">
      <c r="I2225" s="578" t="str">
        <f t="shared" si="180"/>
        <v>2012dhbCanterburyPeri</v>
      </c>
      <c r="J2225" s="604">
        <v>2012</v>
      </c>
      <c r="K2225" s="604" t="s">
        <v>448</v>
      </c>
      <c r="L2225" s="604" t="s">
        <v>101</v>
      </c>
      <c r="M2225" s="604">
        <v>57</v>
      </c>
      <c r="N2225" s="604">
        <v>6085</v>
      </c>
      <c r="O2225" s="604">
        <v>9.4</v>
      </c>
      <c r="P2225" s="604" t="s">
        <v>483</v>
      </c>
      <c r="Q2225" s="499"/>
    </row>
    <row r="2226" spans="9:17">
      <c r="I2226" s="578" t="str">
        <f t="shared" si="180"/>
        <v>2012dhbSouth CanterburyPeri</v>
      </c>
      <c r="J2226" s="604">
        <v>2012</v>
      </c>
      <c r="K2226" s="604" t="s">
        <v>448</v>
      </c>
      <c r="L2226" s="604" t="s">
        <v>102</v>
      </c>
      <c r="M2226" s="604">
        <v>4</v>
      </c>
      <c r="N2226" s="604">
        <v>629</v>
      </c>
      <c r="O2226" s="604">
        <v>6.4</v>
      </c>
      <c r="P2226" s="604" t="s">
        <v>483</v>
      </c>
      <c r="Q2226" s="499"/>
    </row>
    <row r="2227" spans="9:17">
      <c r="I2227" s="578" t="str">
        <f t="shared" si="180"/>
        <v>2012dhbSouthernPeri</v>
      </c>
      <c r="J2227" s="604">
        <v>2012</v>
      </c>
      <c r="K2227" s="604" t="s">
        <v>448</v>
      </c>
      <c r="L2227" s="604" t="s">
        <v>103</v>
      </c>
      <c r="M2227" s="604">
        <v>28</v>
      </c>
      <c r="N2227" s="604">
        <v>3642</v>
      </c>
      <c r="O2227" s="604">
        <v>7.7</v>
      </c>
      <c r="P2227" s="604" t="s">
        <v>483</v>
      </c>
      <c r="Q2227" s="499"/>
    </row>
    <row r="2228" spans="9:17">
      <c r="I2228" s="578" t="str">
        <f t="shared" si="180"/>
        <v>2012dhbUnknownPeri</v>
      </c>
      <c r="J2228" s="604">
        <v>2012</v>
      </c>
      <c r="K2228" s="604" t="s">
        <v>448</v>
      </c>
      <c r="L2228" s="604" t="s">
        <v>63</v>
      </c>
      <c r="M2228" s="604">
        <v>4</v>
      </c>
      <c r="N2228" s="604">
        <v>196</v>
      </c>
      <c r="O2228" s="604" t="s">
        <v>119</v>
      </c>
      <c r="P2228" s="604" t="s">
        <v>483</v>
      </c>
      <c r="Q2228" s="499"/>
    </row>
    <row r="2229" spans="9:17">
      <c r="I2229" s="578" t="str">
        <f t="shared" si="180"/>
        <v>2013dhbNorthlandPeri</v>
      </c>
      <c r="J2229" s="604">
        <v>2013</v>
      </c>
      <c r="K2229" s="604" t="s">
        <v>448</v>
      </c>
      <c r="L2229" s="604" t="s">
        <v>85</v>
      </c>
      <c r="M2229" s="604">
        <v>26</v>
      </c>
      <c r="N2229" s="604">
        <v>2215</v>
      </c>
      <c r="O2229" s="604">
        <v>11.7</v>
      </c>
      <c r="P2229" s="604" t="s">
        <v>483</v>
      </c>
      <c r="Q2229" s="499"/>
    </row>
    <row r="2230" spans="9:17">
      <c r="I2230" s="578" t="str">
        <f t="shared" si="180"/>
        <v>2013dhbWaitemataPeri</v>
      </c>
      <c r="J2230" s="604">
        <v>2013</v>
      </c>
      <c r="K2230" s="604" t="s">
        <v>448</v>
      </c>
      <c r="L2230" s="604" t="s">
        <v>86</v>
      </c>
      <c r="M2230" s="604">
        <v>65</v>
      </c>
      <c r="N2230" s="604">
        <v>7729</v>
      </c>
      <c r="O2230" s="604">
        <v>8.4</v>
      </c>
      <c r="P2230" s="604" t="s">
        <v>483</v>
      </c>
      <c r="Q2230" s="499"/>
    </row>
    <row r="2231" spans="9:17">
      <c r="I2231" s="578" t="str">
        <f t="shared" si="180"/>
        <v>2013dhbAucklandPeri</v>
      </c>
      <c r="J2231" s="604">
        <v>2013</v>
      </c>
      <c r="K2231" s="604" t="s">
        <v>448</v>
      </c>
      <c r="L2231" s="604" t="s">
        <v>87</v>
      </c>
      <c r="M2231" s="604">
        <v>64</v>
      </c>
      <c r="N2231" s="604">
        <v>6262</v>
      </c>
      <c r="O2231" s="604">
        <v>10.199999999999999</v>
      </c>
      <c r="P2231" s="604" t="s">
        <v>483</v>
      </c>
      <c r="Q2231" s="499"/>
    </row>
    <row r="2232" spans="9:17">
      <c r="I2232" s="578" t="str">
        <f t="shared" si="180"/>
        <v>2013dhbCounties ManukauPeri</v>
      </c>
      <c r="J2232" s="604">
        <v>2013</v>
      </c>
      <c r="K2232" s="604" t="s">
        <v>448</v>
      </c>
      <c r="L2232" s="604" t="s">
        <v>88</v>
      </c>
      <c r="M2232" s="604">
        <v>102</v>
      </c>
      <c r="N2232" s="604">
        <v>8412</v>
      </c>
      <c r="O2232" s="604">
        <v>12.1</v>
      </c>
      <c r="P2232" s="604" t="s">
        <v>483</v>
      </c>
      <c r="Q2232" s="499"/>
    </row>
    <row r="2233" spans="9:17">
      <c r="I2233" s="578" t="str">
        <f t="shared" si="180"/>
        <v>2013dhbWaikatoPeri</v>
      </c>
      <c r="J2233" s="604">
        <v>2013</v>
      </c>
      <c r="K2233" s="604" t="s">
        <v>448</v>
      </c>
      <c r="L2233" s="604" t="s">
        <v>89</v>
      </c>
      <c r="M2233" s="604">
        <v>49</v>
      </c>
      <c r="N2233" s="604">
        <v>5322</v>
      </c>
      <c r="O2233" s="604">
        <v>9.1999999999999993</v>
      </c>
      <c r="P2233" s="604" t="s">
        <v>483</v>
      </c>
      <c r="Q2233" s="499"/>
    </row>
    <row r="2234" spans="9:17">
      <c r="I2234" s="578" t="str">
        <f t="shared" si="180"/>
        <v>2013dhbLakesPeri</v>
      </c>
      <c r="J2234" s="604">
        <v>2013</v>
      </c>
      <c r="K2234" s="604" t="s">
        <v>448</v>
      </c>
      <c r="L2234" s="604" t="s">
        <v>90</v>
      </c>
      <c r="M2234" s="604">
        <v>14</v>
      </c>
      <c r="N2234" s="604">
        <v>1490</v>
      </c>
      <c r="O2234" s="604">
        <v>9.4</v>
      </c>
      <c r="P2234" s="604" t="s">
        <v>483</v>
      </c>
      <c r="Q2234" s="499"/>
    </row>
    <row r="2235" spans="9:17">
      <c r="I2235" s="578" t="str">
        <f t="shared" si="180"/>
        <v>2013dhbBay of PlentyPeri</v>
      </c>
      <c r="J2235" s="604">
        <v>2013</v>
      </c>
      <c r="K2235" s="604" t="s">
        <v>448</v>
      </c>
      <c r="L2235" s="604" t="s">
        <v>91</v>
      </c>
      <c r="M2235" s="604">
        <v>20</v>
      </c>
      <c r="N2235" s="604">
        <v>2817</v>
      </c>
      <c r="O2235" s="604">
        <v>7.1</v>
      </c>
      <c r="P2235" s="604" t="s">
        <v>483</v>
      </c>
      <c r="Q2235" s="499"/>
    </row>
    <row r="2236" spans="9:17">
      <c r="I2236" s="578" t="str">
        <f t="shared" si="180"/>
        <v>2013dhbTairawhitiPeri</v>
      </c>
      <c r="J2236" s="604">
        <v>2013</v>
      </c>
      <c r="K2236" s="604" t="s">
        <v>448</v>
      </c>
      <c r="L2236" s="604" t="s">
        <v>433</v>
      </c>
      <c r="M2236" s="604">
        <v>7</v>
      </c>
      <c r="N2236" s="604">
        <v>719</v>
      </c>
      <c r="O2236" s="604">
        <v>9.6999999999999993</v>
      </c>
      <c r="P2236" s="604" t="s">
        <v>483</v>
      </c>
      <c r="Q2236" s="499"/>
    </row>
    <row r="2237" spans="9:17">
      <c r="I2237" s="578" t="str">
        <f t="shared" si="180"/>
        <v>2013dhbHawke's BayPeri</v>
      </c>
      <c r="J2237" s="604">
        <v>2013</v>
      </c>
      <c r="K2237" s="604" t="s">
        <v>448</v>
      </c>
      <c r="L2237" s="604" t="s">
        <v>92</v>
      </c>
      <c r="M2237" s="604">
        <v>24</v>
      </c>
      <c r="N2237" s="604">
        <v>2223</v>
      </c>
      <c r="O2237" s="604">
        <v>10.8</v>
      </c>
      <c r="P2237" s="604" t="s">
        <v>483</v>
      </c>
      <c r="Q2237" s="499"/>
    </row>
    <row r="2238" spans="9:17">
      <c r="I2238" s="578" t="str">
        <f t="shared" si="180"/>
        <v>2013dhbTaranakiPeri</v>
      </c>
      <c r="J2238" s="604">
        <v>2013</v>
      </c>
      <c r="K2238" s="604" t="s">
        <v>448</v>
      </c>
      <c r="L2238" s="604" t="s">
        <v>93</v>
      </c>
      <c r="M2238" s="604">
        <v>14</v>
      </c>
      <c r="N2238" s="604">
        <v>1532</v>
      </c>
      <c r="O2238" s="604">
        <v>9.1</v>
      </c>
      <c r="P2238" s="604" t="s">
        <v>483</v>
      </c>
      <c r="Q2238" s="499"/>
    </row>
    <row r="2239" spans="9:17">
      <c r="I2239" s="578" t="str">
        <f t="shared" si="180"/>
        <v>2013dhbMidCentralPeri</v>
      </c>
      <c r="J2239" s="604">
        <v>2013</v>
      </c>
      <c r="K2239" s="604" t="s">
        <v>448</v>
      </c>
      <c r="L2239" s="604" t="s">
        <v>94</v>
      </c>
      <c r="M2239" s="604">
        <v>21</v>
      </c>
      <c r="N2239" s="604">
        <v>2158</v>
      </c>
      <c r="O2239" s="604">
        <v>9.6999999999999993</v>
      </c>
      <c r="P2239" s="604" t="s">
        <v>483</v>
      </c>
      <c r="Q2239" s="499"/>
    </row>
    <row r="2240" spans="9:17">
      <c r="I2240" s="578" t="str">
        <f t="shared" si="180"/>
        <v>2013dhbWhanganuiPeri</v>
      </c>
      <c r="J2240" s="604">
        <v>2013</v>
      </c>
      <c r="K2240" s="604" t="s">
        <v>448</v>
      </c>
      <c r="L2240" s="604" t="s">
        <v>95</v>
      </c>
      <c r="M2240" s="604">
        <v>5</v>
      </c>
      <c r="N2240" s="604">
        <v>871</v>
      </c>
      <c r="O2240" s="604">
        <v>5.7</v>
      </c>
      <c r="P2240" s="604" t="s">
        <v>483</v>
      </c>
      <c r="Q2240" s="499"/>
    </row>
    <row r="2241" spans="9:17">
      <c r="I2241" s="578" t="str">
        <f t="shared" si="180"/>
        <v>2013dhbCapital &amp; CoastPeri</v>
      </c>
      <c r="J2241" s="604">
        <v>2013</v>
      </c>
      <c r="K2241" s="604" t="s">
        <v>448</v>
      </c>
      <c r="L2241" s="604" t="s">
        <v>96</v>
      </c>
      <c r="M2241" s="604">
        <v>23</v>
      </c>
      <c r="N2241" s="604">
        <v>3655</v>
      </c>
      <c r="O2241" s="604">
        <v>6.3</v>
      </c>
      <c r="P2241" s="604" t="s">
        <v>483</v>
      </c>
      <c r="Q2241" s="499"/>
    </row>
    <row r="2242" spans="9:17">
      <c r="I2242" s="578" t="str">
        <f t="shared" si="180"/>
        <v>2013dhbHutt ValleyPeri</v>
      </c>
      <c r="J2242" s="604">
        <v>2013</v>
      </c>
      <c r="K2242" s="604" t="s">
        <v>448</v>
      </c>
      <c r="L2242" s="604" t="s">
        <v>97</v>
      </c>
      <c r="M2242" s="604">
        <v>13</v>
      </c>
      <c r="N2242" s="604">
        <v>1910</v>
      </c>
      <c r="O2242" s="604">
        <v>6.8</v>
      </c>
      <c r="P2242" s="604" t="s">
        <v>483</v>
      </c>
      <c r="Q2242" s="499"/>
    </row>
    <row r="2243" spans="9:17">
      <c r="I2243" s="578" t="str">
        <f t="shared" si="180"/>
        <v>2013dhbWairarapaPeri</v>
      </c>
      <c r="J2243" s="604">
        <v>2013</v>
      </c>
      <c r="K2243" s="604" t="s">
        <v>448</v>
      </c>
      <c r="L2243" s="604" t="s">
        <v>98</v>
      </c>
      <c r="M2243" s="604">
        <v>11</v>
      </c>
      <c r="N2243" s="604">
        <v>507</v>
      </c>
      <c r="O2243" s="604">
        <v>21.7</v>
      </c>
      <c r="P2243" s="604" t="s">
        <v>483</v>
      </c>
      <c r="Q2243" s="499"/>
    </row>
    <row r="2244" spans="9:17">
      <c r="I2244" s="578" t="str">
        <f t="shared" ref="I2244:I2307" si="181">J2244&amp;K2244&amp;L2244&amp;P2244</f>
        <v>2013dhbNelson MarlboroughPeri</v>
      </c>
      <c r="J2244" s="604">
        <v>2013</v>
      </c>
      <c r="K2244" s="604" t="s">
        <v>448</v>
      </c>
      <c r="L2244" s="604" t="s">
        <v>99</v>
      </c>
      <c r="M2244" s="604">
        <v>13</v>
      </c>
      <c r="N2244" s="604">
        <v>1565</v>
      </c>
      <c r="O2244" s="604">
        <v>8.3000000000000007</v>
      </c>
      <c r="P2244" s="604" t="s">
        <v>483</v>
      </c>
      <c r="Q2244" s="499"/>
    </row>
    <row r="2245" spans="9:17">
      <c r="I2245" s="578" t="str">
        <f t="shared" si="181"/>
        <v>2013dhbWest CoastPeri</v>
      </c>
      <c r="J2245" s="604">
        <v>2013</v>
      </c>
      <c r="K2245" s="604" t="s">
        <v>448</v>
      </c>
      <c r="L2245" s="604" t="s">
        <v>100</v>
      </c>
      <c r="M2245" s="604">
        <v>5</v>
      </c>
      <c r="N2245" s="604">
        <v>396</v>
      </c>
      <c r="O2245" s="604">
        <v>12.6</v>
      </c>
      <c r="P2245" s="604" t="s">
        <v>483</v>
      </c>
      <c r="Q2245" s="499"/>
    </row>
    <row r="2246" spans="9:17">
      <c r="I2246" s="578" t="str">
        <f t="shared" si="181"/>
        <v>2013dhbCanterburyPeri</v>
      </c>
      <c r="J2246" s="604">
        <v>2013</v>
      </c>
      <c r="K2246" s="604" t="s">
        <v>448</v>
      </c>
      <c r="L2246" s="604" t="s">
        <v>101</v>
      </c>
      <c r="M2246" s="604">
        <v>46</v>
      </c>
      <c r="N2246" s="604">
        <v>5980</v>
      </c>
      <c r="O2246" s="604">
        <v>7.7</v>
      </c>
      <c r="P2246" s="604" t="s">
        <v>483</v>
      </c>
      <c r="Q2246" s="499"/>
    </row>
    <row r="2247" spans="9:17">
      <c r="I2247" s="578" t="str">
        <f t="shared" si="181"/>
        <v>2013dhbSouth CanterburyPeri</v>
      </c>
      <c r="J2247" s="604">
        <v>2013</v>
      </c>
      <c r="K2247" s="604" t="s">
        <v>448</v>
      </c>
      <c r="L2247" s="604" t="s">
        <v>102</v>
      </c>
      <c r="M2247" s="604">
        <v>8</v>
      </c>
      <c r="N2247" s="604">
        <v>634</v>
      </c>
      <c r="O2247" s="604">
        <v>12.6</v>
      </c>
      <c r="P2247" s="604" t="s">
        <v>483</v>
      </c>
      <c r="Q2247" s="499"/>
    </row>
    <row r="2248" spans="9:17">
      <c r="I2248" s="578" t="str">
        <f t="shared" si="181"/>
        <v>2013dhbSouthernPeri</v>
      </c>
      <c r="J2248" s="604">
        <v>2013</v>
      </c>
      <c r="K2248" s="604" t="s">
        <v>448</v>
      </c>
      <c r="L2248" s="604" t="s">
        <v>103</v>
      </c>
      <c r="M2248" s="604">
        <v>23</v>
      </c>
      <c r="N2248" s="604">
        <v>3496</v>
      </c>
      <c r="O2248" s="604">
        <v>6.6</v>
      </c>
      <c r="P2248" s="604" t="s">
        <v>483</v>
      </c>
      <c r="Q2248" s="499"/>
    </row>
    <row r="2249" spans="9:17">
      <c r="I2249" s="578" t="str">
        <f t="shared" si="181"/>
        <v>2013dhbUnknownPeri</v>
      </c>
      <c r="J2249" s="604">
        <v>2013</v>
      </c>
      <c r="K2249" s="604" t="s">
        <v>448</v>
      </c>
      <c r="L2249" s="604" t="s">
        <v>63</v>
      </c>
      <c r="M2249" s="604">
        <v>6</v>
      </c>
      <c r="N2249" s="604">
        <v>201</v>
      </c>
      <c r="O2249" s="604" t="s">
        <v>119</v>
      </c>
      <c r="P2249" s="604" t="s">
        <v>483</v>
      </c>
      <c r="Q2249" s="499"/>
    </row>
    <row r="2250" spans="9:17">
      <c r="I2250" s="578" t="str">
        <f t="shared" si="181"/>
        <v>2014dhbNorthlandPeri</v>
      </c>
      <c r="J2250" s="604">
        <v>2014</v>
      </c>
      <c r="K2250" s="604" t="s">
        <v>448</v>
      </c>
      <c r="L2250" s="604" t="s">
        <v>85</v>
      </c>
      <c r="M2250" s="604">
        <v>31</v>
      </c>
      <c r="N2250" s="604">
        <v>2150</v>
      </c>
      <c r="O2250" s="604">
        <v>14.4</v>
      </c>
      <c r="P2250" s="604" t="s">
        <v>483</v>
      </c>
      <c r="Q2250" s="499"/>
    </row>
    <row r="2251" spans="9:17">
      <c r="I2251" s="578" t="str">
        <f t="shared" si="181"/>
        <v>2014dhbWaitemataPeri</v>
      </c>
      <c r="J2251" s="604">
        <v>2014</v>
      </c>
      <c r="K2251" s="604" t="s">
        <v>448</v>
      </c>
      <c r="L2251" s="604" t="s">
        <v>86</v>
      </c>
      <c r="M2251" s="604">
        <v>62</v>
      </c>
      <c r="N2251" s="604">
        <v>7776</v>
      </c>
      <c r="O2251" s="604">
        <v>8</v>
      </c>
      <c r="P2251" s="604" t="s">
        <v>483</v>
      </c>
      <c r="Q2251" s="499"/>
    </row>
    <row r="2252" spans="9:17">
      <c r="I2252" s="578" t="str">
        <f t="shared" si="181"/>
        <v>2014dhbAucklandPeri</v>
      </c>
      <c r="J2252" s="604">
        <v>2014</v>
      </c>
      <c r="K2252" s="604" t="s">
        <v>448</v>
      </c>
      <c r="L2252" s="604" t="s">
        <v>87</v>
      </c>
      <c r="M2252" s="604">
        <v>60</v>
      </c>
      <c r="N2252" s="604">
        <v>6116</v>
      </c>
      <c r="O2252" s="604">
        <v>9.8000000000000007</v>
      </c>
      <c r="P2252" s="604" t="s">
        <v>483</v>
      </c>
      <c r="Q2252" s="499"/>
    </row>
    <row r="2253" spans="9:17">
      <c r="I2253" s="578" t="str">
        <f t="shared" si="181"/>
        <v>2014dhbCounties ManukauPeri</v>
      </c>
      <c r="J2253" s="604">
        <v>2014</v>
      </c>
      <c r="K2253" s="604" t="s">
        <v>448</v>
      </c>
      <c r="L2253" s="604" t="s">
        <v>88</v>
      </c>
      <c r="M2253" s="604">
        <v>124</v>
      </c>
      <c r="N2253" s="604">
        <v>8159</v>
      </c>
      <c r="O2253" s="604">
        <v>15.2</v>
      </c>
      <c r="P2253" s="604" t="s">
        <v>483</v>
      </c>
      <c r="Q2253" s="499"/>
    </row>
    <row r="2254" spans="9:17">
      <c r="I2254" s="578" t="str">
        <f t="shared" si="181"/>
        <v>2014dhbWaikatoPeri</v>
      </c>
      <c r="J2254" s="604">
        <v>2014</v>
      </c>
      <c r="K2254" s="604" t="s">
        <v>448</v>
      </c>
      <c r="L2254" s="604" t="s">
        <v>89</v>
      </c>
      <c r="M2254" s="604">
        <v>68</v>
      </c>
      <c r="N2254" s="604">
        <v>5275</v>
      </c>
      <c r="O2254" s="604">
        <v>12.9</v>
      </c>
      <c r="P2254" s="604" t="s">
        <v>483</v>
      </c>
      <c r="Q2254" s="499"/>
    </row>
    <row r="2255" spans="9:17">
      <c r="I2255" s="578" t="str">
        <f t="shared" si="181"/>
        <v>2014dhbLakesPeri</v>
      </c>
      <c r="J2255" s="604">
        <v>2014</v>
      </c>
      <c r="K2255" s="604" t="s">
        <v>448</v>
      </c>
      <c r="L2255" s="604" t="s">
        <v>90</v>
      </c>
      <c r="M2255" s="604">
        <v>20</v>
      </c>
      <c r="N2255" s="604">
        <v>1378</v>
      </c>
      <c r="O2255" s="604">
        <v>14.5</v>
      </c>
      <c r="P2255" s="604" t="s">
        <v>483</v>
      </c>
      <c r="Q2255" s="499"/>
    </row>
    <row r="2256" spans="9:17">
      <c r="I2256" s="578" t="str">
        <f t="shared" si="181"/>
        <v>2014dhbBay of PlentyPeri</v>
      </c>
      <c r="J2256" s="604">
        <v>2014</v>
      </c>
      <c r="K2256" s="604" t="s">
        <v>448</v>
      </c>
      <c r="L2256" s="604" t="s">
        <v>91</v>
      </c>
      <c r="M2256" s="604">
        <v>43</v>
      </c>
      <c r="N2256" s="604">
        <v>2715</v>
      </c>
      <c r="O2256" s="604">
        <v>15.8</v>
      </c>
      <c r="P2256" s="604" t="s">
        <v>483</v>
      </c>
      <c r="Q2256" s="499"/>
    </row>
    <row r="2257" spans="9:17">
      <c r="I2257" s="578" t="str">
        <f t="shared" si="181"/>
        <v>2014dhbTairawhitiPeri</v>
      </c>
      <c r="J2257" s="604">
        <v>2014</v>
      </c>
      <c r="K2257" s="604" t="s">
        <v>448</v>
      </c>
      <c r="L2257" s="604" t="s">
        <v>433</v>
      </c>
      <c r="M2257" s="604">
        <v>5</v>
      </c>
      <c r="N2257" s="604">
        <v>675</v>
      </c>
      <c r="O2257" s="604">
        <v>7.4</v>
      </c>
      <c r="P2257" s="604" t="s">
        <v>483</v>
      </c>
      <c r="Q2257" s="499"/>
    </row>
    <row r="2258" spans="9:17">
      <c r="I2258" s="578" t="str">
        <f t="shared" si="181"/>
        <v>2014dhbHawke's BayPeri</v>
      </c>
      <c r="J2258" s="604">
        <v>2014</v>
      </c>
      <c r="K2258" s="604" t="s">
        <v>448</v>
      </c>
      <c r="L2258" s="604" t="s">
        <v>92</v>
      </c>
      <c r="M2258" s="604">
        <v>20</v>
      </c>
      <c r="N2258" s="604">
        <v>2108</v>
      </c>
      <c r="O2258" s="604">
        <v>9.5</v>
      </c>
      <c r="P2258" s="604" t="s">
        <v>483</v>
      </c>
      <c r="Q2258" s="499"/>
    </row>
    <row r="2259" spans="9:17">
      <c r="I2259" s="578" t="str">
        <f t="shared" si="181"/>
        <v>2014dhbTaranakiPeri</v>
      </c>
      <c r="J2259" s="604">
        <v>2014</v>
      </c>
      <c r="K2259" s="604" t="s">
        <v>448</v>
      </c>
      <c r="L2259" s="604" t="s">
        <v>93</v>
      </c>
      <c r="M2259" s="604">
        <v>19</v>
      </c>
      <c r="N2259" s="604">
        <v>1546</v>
      </c>
      <c r="O2259" s="604">
        <v>12.3</v>
      </c>
      <c r="P2259" s="604" t="s">
        <v>483</v>
      </c>
      <c r="Q2259" s="499"/>
    </row>
    <row r="2260" spans="9:17">
      <c r="I2260" s="578" t="str">
        <f t="shared" si="181"/>
        <v>2014dhbMidCentralPeri</v>
      </c>
      <c r="J2260" s="604">
        <v>2014</v>
      </c>
      <c r="K2260" s="604" t="s">
        <v>448</v>
      </c>
      <c r="L2260" s="604" t="s">
        <v>94</v>
      </c>
      <c r="M2260" s="604">
        <v>11</v>
      </c>
      <c r="N2260" s="604">
        <v>2102</v>
      </c>
      <c r="O2260" s="604">
        <v>5.2</v>
      </c>
      <c r="P2260" s="604" t="s">
        <v>483</v>
      </c>
      <c r="Q2260" s="499"/>
    </row>
    <row r="2261" spans="9:17">
      <c r="I2261" s="578" t="str">
        <f t="shared" si="181"/>
        <v>2014dhbWhanganuiPeri</v>
      </c>
      <c r="J2261" s="604">
        <v>2014</v>
      </c>
      <c r="K2261" s="604" t="s">
        <v>448</v>
      </c>
      <c r="L2261" s="604" t="s">
        <v>95</v>
      </c>
      <c r="M2261" s="604">
        <v>5</v>
      </c>
      <c r="N2261" s="604">
        <v>803</v>
      </c>
      <c r="O2261" s="604">
        <v>6.2</v>
      </c>
      <c r="P2261" s="604" t="s">
        <v>483</v>
      </c>
      <c r="Q2261" s="499"/>
    </row>
    <row r="2262" spans="9:17">
      <c r="I2262" s="578" t="str">
        <f t="shared" si="181"/>
        <v>2014dhbCapital &amp; CoastPeri</v>
      </c>
      <c r="J2262" s="604">
        <v>2014</v>
      </c>
      <c r="K2262" s="604" t="s">
        <v>448</v>
      </c>
      <c r="L2262" s="604" t="s">
        <v>96</v>
      </c>
      <c r="M2262" s="604">
        <v>25</v>
      </c>
      <c r="N2262" s="604">
        <v>3575</v>
      </c>
      <c r="O2262" s="604">
        <v>7</v>
      </c>
      <c r="P2262" s="604" t="s">
        <v>483</v>
      </c>
      <c r="Q2262" s="499"/>
    </row>
    <row r="2263" spans="9:17">
      <c r="I2263" s="578" t="str">
        <f t="shared" si="181"/>
        <v>2014dhbHutt ValleyPeri</v>
      </c>
      <c r="J2263" s="604">
        <v>2014</v>
      </c>
      <c r="K2263" s="604" t="s">
        <v>448</v>
      </c>
      <c r="L2263" s="604" t="s">
        <v>97</v>
      </c>
      <c r="M2263" s="604">
        <v>19</v>
      </c>
      <c r="N2263" s="604">
        <v>1830</v>
      </c>
      <c r="O2263" s="604">
        <v>10.4</v>
      </c>
      <c r="P2263" s="604" t="s">
        <v>483</v>
      </c>
      <c r="Q2263" s="499"/>
    </row>
    <row r="2264" spans="9:17">
      <c r="I2264" s="578" t="str">
        <f t="shared" si="181"/>
        <v>2014dhbWairarapaPeri</v>
      </c>
      <c r="J2264" s="604">
        <v>2014</v>
      </c>
      <c r="K2264" s="604" t="s">
        <v>448</v>
      </c>
      <c r="L2264" s="604" t="s">
        <v>98</v>
      </c>
      <c r="M2264" s="604">
        <v>2</v>
      </c>
      <c r="N2264" s="604">
        <v>494</v>
      </c>
      <c r="O2264" s="604">
        <v>4</v>
      </c>
      <c r="P2264" s="604" t="s">
        <v>483</v>
      </c>
      <c r="Q2264" s="499"/>
    </row>
    <row r="2265" spans="9:17">
      <c r="I2265" s="578" t="str">
        <f t="shared" si="181"/>
        <v>2014dhbNelson MarlboroughPeri</v>
      </c>
      <c r="J2265" s="604">
        <v>2014</v>
      </c>
      <c r="K2265" s="604" t="s">
        <v>448</v>
      </c>
      <c r="L2265" s="604" t="s">
        <v>99</v>
      </c>
      <c r="M2265" s="604">
        <v>20</v>
      </c>
      <c r="N2265" s="604">
        <v>1462</v>
      </c>
      <c r="O2265" s="604">
        <v>13.7</v>
      </c>
      <c r="P2265" s="604" t="s">
        <v>483</v>
      </c>
      <c r="Q2265" s="499"/>
    </row>
    <row r="2266" spans="9:17">
      <c r="I2266" s="578" t="str">
        <f t="shared" si="181"/>
        <v>2014dhbWest CoastPeri</v>
      </c>
      <c r="J2266" s="604">
        <v>2014</v>
      </c>
      <c r="K2266" s="604" t="s">
        <v>448</v>
      </c>
      <c r="L2266" s="604" t="s">
        <v>100</v>
      </c>
      <c r="M2266" s="604">
        <v>3</v>
      </c>
      <c r="N2266" s="604">
        <v>382</v>
      </c>
      <c r="O2266" s="604">
        <v>7.9</v>
      </c>
      <c r="P2266" s="604" t="s">
        <v>483</v>
      </c>
      <c r="Q2266" s="499"/>
    </row>
    <row r="2267" spans="9:17">
      <c r="I2267" s="578" t="str">
        <f t="shared" si="181"/>
        <v>2014dhbCanterburyPeri</v>
      </c>
      <c r="J2267" s="604">
        <v>2014</v>
      </c>
      <c r="K2267" s="604" t="s">
        <v>448</v>
      </c>
      <c r="L2267" s="604" t="s">
        <v>101</v>
      </c>
      <c r="M2267" s="604">
        <v>69</v>
      </c>
      <c r="N2267" s="604">
        <v>6048</v>
      </c>
      <c r="O2267" s="604">
        <v>11.4</v>
      </c>
      <c r="P2267" s="604" t="s">
        <v>483</v>
      </c>
      <c r="Q2267" s="499"/>
    </row>
    <row r="2268" spans="9:17">
      <c r="I2268" s="578" t="str">
        <f t="shared" si="181"/>
        <v>2014dhbSouth CanterburyPeri</v>
      </c>
      <c r="J2268" s="604">
        <v>2014</v>
      </c>
      <c r="K2268" s="604" t="s">
        <v>448</v>
      </c>
      <c r="L2268" s="604" t="s">
        <v>102</v>
      </c>
      <c r="M2268" s="604">
        <v>6</v>
      </c>
      <c r="N2268" s="604">
        <v>628</v>
      </c>
      <c r="O2268" s="604">
        <v>9.6</v>
      </c>
      <c r="P2268" s="604" t="s">
        <v>483</v>
      </c>
      <c r="Q2268" s="499"/>
    </row>
    <row r="2269" spans="9:17">
      <c r="I2269" s="578" t="str">
        <f t="shared" si="181"/>
        <v>2014dhbSouthernPeri</v>
      </c>
      <c r="J2269" s="604">
        <v>2014</v>
      </c>
      <c r="K2269" s="604" t="s">
        <v>448</v>
      </c>
      <c r="L2269" s="604" t="s">
        <v>103</v>
      </c>
      <c r="M2269" s="604">
        <v>39</v>
      </c>
      <c r="N2269" s="604">
        <v>3295</v>
      </c>
      <c r="O2269" s="604">
        <v>11.8</v>
      </c>
      <c r="P2269" s="604" t="s">
        <v>483</v>
      </c>
      <c r="Q2269" s="499"/>
    </row>
    <row r="2270" spans="9:17">
      <c r="I2270" s="578" t="str">
        <f t="shared" si="181"/>
        <v>2014dhbUnknownPeri</v>
      </c>
      <c r="J2270" s="604">
        <v>2014</v>
      </c>
      <c r="K2270" s="604" t="s">
        <v>448</v>
      </c>
      <c r="L2270" s="604" t="s">
        <v>63</v>
      </c>
      <c r="M2270" s="604">
        <v>4</v>
      </c>
      <c r="N2270" s="604">
        <v>215</v>
      </c>
      <c r="O2270" s="604" t="s">
        <v>119</v>
      </c>
      <c r="P2270" s="604" t="s">
        <v>483</v>
      </c>
      <c r="Q2270" s="499"/>
    </row>
    <row r="2271" spans="9:17">
      <c r="I2271" s="578" t="str">
        <f t="shared" si="181"/>
        <v>2015dhbNorthlandPeri</v>
      </c>
      <c r="J2271" s="604">
        <v>2015</v>
      </c>
      <c r="K2271" s="604" t="s">
        <v>448</v>
      </c>
      <c r="L2271" s="604" t="s">
        <v>85</v>
      </c>
      <c r="M2271" s="604">
        <v>17</v>
      </c>
      <c r="N2271" s="604">
        <v>2301</v>
      </c>
      <c r="O2271" s="604">
        <v>7.4</v>
      </c>
      <c r="P2271" s="604" t="s">
        <v>483</v>
      </c>
      <c r="Q2271" s="499"/>
    </row>
    <row r="2272" spans="9:17">
      <c r="I2272" s="578" t="str">
        <f t="shared" si="181"/>
        <v>2015dhbWaitemataPeri</v>
      </c>
      <c r="J2272" s="604">
        <v>2015</v>
      </c>
      <c r="K2272" s="604" t="s">
        <v>448</v>
      </c>
      <c r="L2272" s="604" t="s">
        <v>86</v>
      </c>
      <c r="M2272" s="604">
        <v>53</v>
      </c>
      <c r="N2272" s="604">
        <v>8133</v>
      </c>
      <c r="O2272" s="604">
        <v>6.5</v>
      </c>
      <c r="P2272" s="604" t="s">
        <v>483</v>
      </c>
      <c r="Q2272" s="499"/>
    </row>
    <row r="2273" spans="9:17">
      <c r="I2273" s="578" t="str">
        <f t="shared" si="181"/>
        <v>2015dhbAucklandPeri</v>
      </c>
      <c r="J2273" s="604">
        <v>2015</v>
      </c>
      <c r="K2273" s="604" t="s">
        <v>448</v>
      </c>
      <c r="L2273" s="604" t="s">
        <v>87</v>
      </c>
      <c r="M2273" s="604">
        <v>51</v>
      </c>
      <c r="N2273" s="604">
        <v>6298</v>
      </c>
      <c r="O2273" s="604">
        <v>8.1</v>
      </c>
      <c r="P2273" s="604" t="s">
        <v>483</v>
      </c>
      <c r="Q2273" s="499"/>
    </row>
    <row r="2274" spans="9:17">
      <c r="I2274" s="578" t="str">
        <f t="shared" si="181"/>
        <v>2015dhbCounties ManukauPeri</v>
      </c>
      <c r="J2274" s="604">
        <v>2015</v>
      </c>
      <c r="K2274" s="604" t="s">
        <v>448</v>
      </c>
      <c r="L2274" s="604" t="s">
        <v>88</v>
      </c>
      <c r="M2274" s="604">
        <v>85</v>
      </c>
      <c r="N2274" s="604">
        <v>8614</v>
      </c>
      <c r="O2274" s="604">
        <v>9.9</v>
      </c>
      <c r="P2274" s="604" t="s">
        <v>483</v>
      </c>
      <c r="Q2274" s="499"/>
    </row>
    <row r="2275" spans="9:17">
      <c r="I2275" s="578" t="str">
        <f t="shared" si="181"/>
        <v>2015dhbWaikatoPeri</v>
      </c>
      <c r="J2275" s="604">
        <v>2015</v>
      </c>
      <c r="K2275" s="604" t="s">
        <v>448</v>
      </c>
      <c r="L2275" s="604" t="s">
        <v>89</v>
      </c>
      <c r="M2275" s="604">
        <v>47</v>
      </c>
      <c r="N2275" s="604">
        <v>5725</v>
      </c>
      <c r="O2275" s="604">
        <v>8.1999999999999993</v>
      </c>
      <c r="P2275" s="604" t="s">
        <v>483</v>
      </c>
      <c r="Q2275" s="499"/>
    </row>
    <row r="2276" spans="9:17">
      <c r="I2276" s="578" t="str">
        <f t="shared" si="181"/>
        <v>2015dhbLakesPeri</v>
      </c>
      <c r="J2276" s="604">
        <v>2015</v>
      </c>
      <c r="K2276" s="604" t="s">
        <v>448</v>
      </c>
      <c r="L2276" s="604" t="s">
        <v>90</v>
      </c>
      <c r="M2276" s="604">
        <v>13</v>
      </c>
      <c r="N2276" s="604">
        <v>1603</v>
      </c>
      <c r="O2276" s="604">
        <v>8.1</v>
      </c>
      <c r="P2276" s="604" t="s">
        <v>483</v>
      </c>
      <c r="Q2276" s="499"/>
    </row>
    <row r="2277" spans="9:17">
      <c r="I2277" s="578" t="str">
        <f t="shared" si="181"/>
        <v>2015dhbBay of PlentyPeri</v>
      </c>
      <c r="J2277" s="604">
        <v>2015</v>
      </c>
      <c r="K2277" s="604" t="s">
        <v>448</v>
      </c>
      <c r="L2277" s="604" t="s">
        <v>91</v>
      </c>
      <c r="M2277" s="604">
        <v>24</v>
      </c>
      <c r="N2277" s="604">
        <v>2966</v>
      </c>
      <c r="O2277" s="604">
        <v>8.1</v>
      </c>
      <c r="P2277" s="604" t="s">
        <v>483</v>
      </c>
      <c r="Q2277" s="499"/>
    </row>
    <row r="2278" spans="9:17">
      <c r="I2278" s="578" t="str">
        <f t="shared" si="181"/>
        <v>2015dhbTairawhitiPeri</v>
      </c>
      <c r="J2278" s="604">
        <v>2015</v>
      </c>
      <c r="K2278" s="604" t="s">
        <v>448</v>
      </c>
      <c r="L2278" s="604" t="s">
        <v>433</v>
      </c>
      <c r="M2278" s="604">
        <v>6</v>
      </c>
      <c r="N2278" s="604">
        <v>745</v>
      </c>
      <c r="O2278" s="604">
        <v>8.1</v>
      </c>
      <c r="P2278" s="604" t="s">
        <v>483</v>
      </c>
      <c r="Q2278" s="499"/>
    </row>
    <row r="2279" spans="9:17">
      <c r="I2279" s="578" t="str">
        <f t="shared" si="181"/>
        <v>2015dhbHawke's BayPeri</v>
      </c>
      <c r="J2279" s="604">
        <v>2015</v>
      </c>
      <c r="K2279" s="604" t="s">
        <v>448</v>
      </c>
      <c r="L2279" s="604" t="s">
        <v>92</v>
      </c>
      <c r="M2279" s="604">
        <v>15</v>
      </c>
      <c r="N2279" s="604">
        <v>2219</v>
      </c>
      <c r="O2279" s="604">
        <v>6.8</v>
      </c>
      <c r="P2279" s="604" t="s">
        <v>483</v>
      </c>
      <c r="Q2279" s="499"/>
    </row>
    <row r="2280" spans="9:17">
      <c r="I2280" s="578" t="str">
        <f t="shared" si="181"/>
        <v>2015dhbTaranakiPeri</v>
      </c>
      <c r="J2280" s="604">
        <v>2015</v>
      </c>
      <c r="K2280" s="604" t="s">
        <v>448</v>
      </c>
      <c r="L2280" s="604" t="s">
        <v>93</v>
      </c>
      <c r="M2280" s="604">
        <v>12</v>
      </c>
      <c r="N2280" s="604">
        <v>1645</v>
      </c>
      <c r="O2280" s="604">
        <v>7.3</v>
      </c>
      <c r="P2280" s="604" t="s">
        <v>483</v>
      </c>
      <c r="Q2280" s="499"/>
    </row>
    <row r="2281" spans="9:17">
      <c r="I2281" s="578" t="str">
        <f t="shared" si="181"/>
        <v>2015dhbMidCentralPeri</v>
      </c>
      <c r="J2281" s="604">
        <v>2015</v>
      </c>
      <c r="K2281" s="604" t="s">
        <v>448</v>
      </c>
      <c r="L2281" s="604" t="s">
        <v>94</v>
      </c>
      <c r="M2281" s="604">
        <v>22</v>
      </c>
      <c r="N2281" s="604">
        <v>2229</v>
      </c>
      <c r="O2281" s="604">
        <v>9.9</v>
      </c>
      <c r="P2281" s="604" t="s">
        <v>483</v>
      </c>
      <c r="Q2281" s="499"/>
    </row>
    <row r="2282" spans="9:17">
      <c r="I2282" s="578" t="str">
        <f t="shared" si="181"/>
        <v>2015dhbWhanganuiPeri</v>
      </c>
      <c r="J2282" s="604">
        <v>2015</v>
      </c>
      <c r="K2282" s="604" t="s">
        <v>448</v>
      </c>
      <c r="L2282" s="604" t="s">
        <v>95</v>
      </c>
      <c r="M2282" s="604">
        <v>9</v>
      </c>
      <c r="N2282" s="604">
        <v>881</v>
      </c>
      <c r="O2282" s="604">
        <v>10.199999999999999</v>
      </c>
      <c r="P2282" s="604" t="s">
        <v>483</v>
      </c>
      <c r="Q2282" s="499"/>
    </row>
    <row r="2283" spans="9:17">
      <c r="I2283" s="578" t="str">
        <f t="shared" si="181"/>
        <v>2015dhbCapital &amp; CoastPeri</v>
      </c>
      <c r="J2283" s="604">
        <v>2015</v>
      </c>
      <c r="K2283" s="604" t="s">
        <v>448</v>
      </c>
      <c r="L2283" s="604" t="s">
        <v>96</v>
      </c>
      <c r="M2283" s="604">
        <v>31</v>
      </c>
      <c r="N2283" s="604">
        <v>3640</v>
      </c>
      <c r="O2283" s="604">
        <v>8.5</v>
      </c>
      <c r="P2283" s="604" t="s">
        <v>483</v>
      </c>
      <c r="Q2283" s="499"/>
    </row>
    <row r="2284" spans="9:17">
      <c r="I2284" s="578" t="str">
        <f t="shared" si="181"/>
        <v>2015dhbHutt ValleyPeri</v>
      </c>
      <c r="J2284" s="604">
        <v>2015</v>
      </c>
      <c r="K2284" s="604" t="s">
        <v>448</v>
      </c>
      <c r="L2284" s="604" t="s">
        <v>97</v>
      </c>
      <c r="M2284" s="604">
        <v>19</v>
      </c>
      <c r="N2284" s="604">
        <v>2104</v>
      </c>
      <c r="O2284" s="604">
        <v>9</v>
      </c>
      <c r="P2284" s="604" t="s">
        <v>483</v>
      </c>
      <c r="Q2284" s="499"/>
    </row>
    <row r="2285" spans="9:17">
      <c r="I2285" s="578" t="str">
        <f t="shared" si="181"/>
        <v>2015dhbWairarapaPeri</v>
      </c>
      <c r="J2285" s="604">
        <v>2015</v>
      </c>
      <c r="K2285" s="604" t="s">
        <v>448</v>
      </c>
      <c r="L2285" s="604" t="s">
        <v>98</v>
      </c>
      <c r="M2285" s="604">
        <v>4</v>
      </c>
      <c r="N2285" s="604">
        <v>496</v>
      </c>
      <c r="O2285" s="604">
        <v>8.1</v>
      </c>
      <c r="P2285" s="604" t="s">
        <v>483</v>
      </c>
      <c r="Q2285" s="499"/>
    </row>
    <row r="2286" spans="9:17">
      <c r="I2286" s="578" t="str">
        <f t="shared" si="181"/>
        <v>2015dhbNelson MarlboroughPeri</v>
      </c>
      <c r="J2286" s="604">
        <v>2015</v>
      </c>
      <c r="K2286" s="604" t="s">
        <v>448</v>
      </c>
      <c r="L2286" s="604" t="s">
        <v>99</v>
      </c>
      <c r="M2286" s="604">
        <v>10</v>
      </c>
      <c r="N2286" s="604">
        <v>1498</v>
      </c>
      <c r="O2286" s="604">
        <v>6.7</v>
      </c>
      <c r="P2286" s="604" t="s">
        <v>483</v>
      </c>
      <c r="Q2286" s="499"/>
    </row>
    <row r="2287" spans="9:17">
      <c r="I2287" s="578" t="str">
        <f t="shared" si="181"/>
        <v>2015dhbWest CoastPeri</v>
      </c>
      <c r="J2287" s="604">
        <v>2015</v>
      </c>
      <c r="K2287" s="604" t="s">
        <v>448</v>
      </c>
      <c r="L2287" s="604" t="s">
        <v>100</v>
      </c>
      <c r="M2287" s="604">
        <v>5</v>
      </c>
      <c r="N2287" s="604">
        <v>394</v>
      </c>
      <c r="O2287" s="604">
        <v>12.7</v>
      </c>
      <c r="P2287" s="604" t="s">
        <v>483</v>
      </c>
      <c r="Q2287" s="499"/>
    </row>
    <row r="2288" spans="9:17">
      <c r="I2288" s="578" t="str">
        <f t="shared" si="181"/>
        <v>2015dhbCanterburyPeri</v>
      </c>
      <c r="J2288" s="604">
        <v>2015</v>
      </c>
      <c r="K2288" s="604" t="s">
        <v>448</v>
      </c>
      <c r="L2288" s="604" t="s">
        <v>101</v>
      </c>
      <c r="M2288" s="604">
        <v>65</v>
      </c>
      <c r="N2288" s="604">
        <v>6489</v>
      </c>
      <c r="O2288" s="604">
        <v>10</v>
      </c>
      <c r="P2288" s="604" t="s">
        <v>483</v>
      </c>
      <c r="Q2288" s="499"/>
    </row>
    <row r="2289" spans="9:17">
      <c r="I2289" s="578" t="str">
        <f t="shared" si="181"/>
        <v>2015dhbSouth CanterburyPeri</v>
      </c>
      <c r="J2289" s="604">
        <v>2015</v>
      </c>
      <c r="K2289" s="604" t="s">
        <v>448</v>
      </c>
      <c r="L2289" s="604" t="s">
        <v>102</v>
      </c>
      <c r="M2289" s="604">
        <v>3</v>
      </c>
      <c r="N2289" s="604">
        <v>683</v>
      </c>
      <c r="O2289" s="604">
        <v>4.4000000000000004</v>
      </c>
      <c r="P2289" s="604" t="s">
        <v>483</v>
      </c>
      <c r="Q2289" s="499"/>
    </row>
    <row r="2290" spans="9:17">
      <c r="I2290" s="578" t="str">
        <f t="shared" si="181"/>
        <v>2015dhbSouthernPeri</v>
      </c>
      <c r="J2290" s="604">
        <v>2015</v>
      </c>
      <c r="K2290" s="604" t="s">
        <v>448</v>
      </c>
      <c r="L2290" s="604" t="s">
        <v>103</v>
      </c>
      <c r="M2290" s="604">
        <v>34</v>
      </c>
      <c r="N2290" s="604">
        <v>3672</v>
      </c>
      <c r="O2290" s="604">
        <v>9.3000000000000007</v>
      </c>
      <c r="P2290" s="604" t="s">
        <v>483</v>
      </c>
      <c r="Q2290" s="499"/>
    </row>
    <row r="2291" spans="9:17">
      <c r="I2291" s="578" t="str">
        <f t="shared" si="181"/>
        <v>2015dhbUnknownPeri</v>
      </c>
      <c r="J2291" s="604">
        <v>2015</v>
      </c>
      <c r="K2291" s="604" t="s">
        <v>448</v>
      </c>
      <c r="L2291" s="604" t="s">
        <v>63</v>
      </c>
      <c r="M2291" s="604">
        <v>3</v>
      </c>
      <c r="N2291" s="604">
        <v>171</v>
      </c>
      <c r="O2291" s="604" t="s">
        <v>119</v>
      </c>
      <c r="P2291" s="604" t="s">
        <v>483</v>
      </c>
      <c r="Q2291" s="499"/>
    </row>
    <row r="2292" spans="9:17">
      <c r="I2292" s="578" t="str">
        <f t="shared" si="181"/>
        <v>2016dhbNorthlandPeri</v>
      </c>
      <c r="J2292" s="604">
        <v>2016</v>
      </c>
      <c r="K2292" s="604" t="s">
        <v>448</v>
      </c>
      <c r="L2292" s="604" t="s">
        <v>85</v>
      </c>
      <c r="M2292" s="604">
        <v>25</v>
      </c>
      <c r="N2292" s="604">
        <v>2340</v>
      </c>
      <c r="O2292" s="604">
        <v>10.7</v>
      </c>
      <c r="P2292" s="604" t="s">
        <v>483</v>
      </c>
      <c r="Q2292" s="499"/>
    </row>
    <row r="2293" spans="9:17">
      <c r="I2293" s="578" t="str">
        <f t="shared" si="181"/>
        <v>2016dhbWaitemataPeri</v>
      </c>
      <c r="J2293" s="604">
        <v>2016</v>
      </c>
      <c r="K2293" s="604" t="s">
        <v>448</v>
      </c>
      <c r="L2293" s="604" t="s">
        <v>86</v>
      </c>
      <c r="M2293" s="604">
        <v>56</v>
      </c>
      <c r="N2293" s="604">
        <v>8093</v>
      </c>
      <c r="O2293" s="604">
        <v>6.9</v>
      </c>
      <c r="P2293" s="604" t="s">
        <v>483</v>
      </c>
      <c r="Q2293" s="499"/>
    </row>
    <row r="2294" spans="9:17">
      <c r="I2294" s="578" t="str">
        <f t="shared" si="181"/>
        <v>2016dhbAucklandPeri</v>
      </c>
      <c r="J2294" s="604">
        <v>2016</v>
      </c>
      <c r="K2294" s="604" t="s">
        <v>448</v>
      </c>
      <c r="L2294" s="604" t="s">
        <v>87</v>
      </c>
      <c r="M2294" s="604">
        <v>49</v>
      </c>
      <c r="N2294" s="604">
        <v>5944</v>
      </c>
      <c r="O2294" s="604">
        <v>8.1999999999999993</v>
      </c>
      <c r="P2294" s="604" t="s">
        <v>483</v>
      </c>
      <c r="Q2294" s="499"/>
    </row>
    <row r="2295" spans="9:17">
      <c r="I2295" s="578" t="str">
        <f t="shared" si="181"/>
        <v>2016dhbCounties ManukauPeri</v>
      </c>
      <c r="J2295" s="604">
        <v>2016</v>
      </c>
      <c r="K2295" s="604" t="s">
        <v>448</v>
      </c>
      <c r="L2295" s="604" t="s">
        <v>88</v>
      </c>
      <c r="M2295" s="604">
        <v>100</v>
      </c>
      <c r="N2295" s="604">
        <v>8441</v>
      </c>
      <c r="O2295" s="604">
        <v>11.8</v>
      </c>
      <c r="P2295" s="604" t="s">
        <v>483</v>
      </c>
      <c r="Q2295" s="499"/>
    </row>
    <row r="2296" spans="9:17">
      <c r="I2296" s="578" t="str">
        <f t="shared" si="181"/>
        <v>2016dhbWaikatoPeri</v>
      </c>
      <c r="J2296" s="604">
        <v>2016</v>
      </c>
      <c r="K2296" s="604" t="s">
        <v>448</v>
      </c>
      <c r="L2296" s="604" t="s">
        <v>89</v>
      </c>
      <c r="M2296" s="604">
        <v>72</v>
      </c>
      <c r="N2296" s="604">
        <v>5565</v>
      </c>
      <c r="O2296" s="604">
        <v>12.9</v>
      </c>
      <c r="P2296" s="604" t="s">
        <v>483</v>
      </c>
      <c r="Q2296" s="499"/>
    </row>
    <row r="2297" spans="9:17">
      <c r="I2297" s="578" t="str">
        <f t="shared" si="181"/>
        <v>2016dhbLakesPeri</v>
      </c>
      <c r="J2297" s="604">
        <v>2016</v>
      </c>
      <c r="K2297" s="604" t="s">
        <v>448</v>
      </c>
      <c r="L2297" s="604" t="s">
        <v>90</v>
      </c>
      <c r="M2297" s="604">
        <v>13</v>
      </c>
      <c r="N2297" s="604">
        <v>1582</v>
      </c>
      <c r="O2297" s="604">
        <v>8.1999999999999993</v>
      </c>
      <c r="P2297" s="604" t="s">
        <v>483</v>
      </c>
      <c r="Q2297" s="499"/>
    </row>
    <row r="2298" spans="9:17">
      <c r="I2298" s="578" t="str">
        <f t="shared" si="181"/>
        <v>2016dhbBay of PlentyPeri</v>
      </c>
      <c r="J2298" s="604">
        <v>2016</v>
      </c>
      <c r="K2298" s="604" t="s">
        <v>448</v>
      </c>
      <c r="L2298" s="604" t="s">
        <v>91</v>
      </c>
      <c r="M2298" s="604">
        <v>30</v>
      </c>
      <c r="N2298" s="604">
        <v>2959</v>
      </c>
      <c r="O2298" s="604">
        <v>10.1</v>
      </c>
      <c r="P2298" s="604" t="s">
        <v>483</v>
      </c>
      <c r="Q2298" s="499"/>
    </row>
    <row r="2299" spans="9:17">
      <c r="I2299" s="578" t="str">
        <f t="shared" si="181"/>
        <v>2016dhbTairawhitiPeri</v>
      </c>
      <c r="J2299" s="604">
        <v>2016</v>
      </c>
      <c r="K2299" s="604" t="s">
        <v>448</v>
      </c>
      <c r="L2299" s="604" t="s">
        <v>433</v>
      </c>
      <c r="M2299" s="604">
        <v>2</v>
      </c>
      <c r="N2299" s="604">
        <v>771</v>
      </c>
      <c r="O2299" s="604">
        <v>2.6</v>
      </c>
      <c r="P2299" s="604" t="s">
        <v>483</v>
      </c>
      <c r="Q2299" s="499"/>
    </row>
    <row r="2300" spans="9:17">
      <c r="I2300" s="578" t="str">
        <f t="shared" si="181"/>
        <v>2016dhbHawke's BayPeri</v>
      </c>
      <c r="J2300" s="604">
        <v>2016</v>
      </c>
      <c r="K2300" s="604" t="s">
        <v>448</v>
      </c>
      <c r="L2300" s="604" t="s">
        <v>92</v>
      </c>
      <c r="M2300" s="604">
        <v>7</v>
      </c>
      <c r="N2300" s="604">
        <v>2105</v>
      </c>
      <c r="O2300" s="604">
        <v>3.3</v>
      </c>
      <c r="P2300" s="604" t="s">
        <v>483</v>
      </c>
      <c r="Q2300" s="499"/>
    </row>
    <row r="2301" spans="9:17">
      <c r="I2301" s="578" t="str">
        <f t="shared" si="181"/>
        <v>2016dhbTaranakiPeri</v>
      </c>
      <c r="J2301" s="604">
        <v>2016</v>
      </c>
      <c r="K2301" s="604" t="s">
        <v>448</v>
      </c>
      <c r="L2301" s="604" t="s">
        <v>93</v>
      </c>
      <c r="M2301" s="604">
        <v>15</v>
      </c>
      <c r="N2301" s="604">
        <v>1504</v>
      </c>
      <c r="O2301" s="604">
        <v>10</v>
      </c>
      <c r="P2301" s="604" t="s">
        <v>483</v>
      </c>
      <c r="Q2301" s="499"/>
    </row>
    <row r="2302" spans="9:17">
      <c r="I2302" s="578" t="str">
        <f t="shared" si="181"/>
        <v>2016dhbMidCentralPeri</v>
      </c>
      <c r="J2302" s="604">
        <v>2016</v>
      </c>
      <c r="K2302" s="604" t="s">
        <v>448</v>
      </c>
      <c r="L2302" s="604" t="s">
        <v>94</v>
      </c>
      <c r="M2302" s="604">
        <v>16</v>
      </c>
      <c r="N2302" s="604">
        <v>2117</v>
      </c>
      <c r="O2302" s="604">
        <v>7.6</v>
      </c>
      <c r="P2302" s="604" t="s">
        <v>483</v>
      </c>
      <c r="Q2302" s="499"/>
    </row>
    <row r="2303" spans="9:17">
      <c r="I2303" s="578" t="str">
        <f t="shared" si="181"/>
        <v>2016dhbWhanganuiPeri</v>
      </c>
      <c r="J2303" s="604">
        <v>2016</v>
      </c>
      <c r="K2303" s="604" t="s">
        <v>448</v>
      </c>
      <c r="L2303" s="604" t="s">
        <v>95</v>
      </c>
      <c r="M2303" s="604">
        <v>7</v>
      </c>
      <c r="N2303" s="604">
        <v>847</v>
      </c>
      <c r="O2303" s="604">
        <v>8.3000000000000007</v>
      </c>
      <c r="P2303" s="604" t="s">
        <v>483</v>
      </c>
      <c r="Q2303" s="499"/>
    </row>
    <row r="2304" spans="9:17">
      <c r="I2304" s="578" t="str">
        <f t="shared" si="181"/>
        <v>2016dhbCapital &amp; CoastPeri</v>
      </c>
      <c r="J2304" s="604">
        <v>2016</v>
      </c>
      <c r="K2304" s="604" t="s">
        <v>448</v>
      </c>
      <c r="L2304" s="604" t="s">
        <v>96</v>
      </c>
      <c r="M2304" s="604">
        <v>25</v>
      </c>
      <c r="N2304" s="604">
        <v>3545</v>
      </c>
      <c r="O2304" s="604">
        <v>7.1</v>
      </c>
      <c r="P2304" s="604" t="s">
        <v>483</v>
      </c>
      <c r="Q2304" s="499"/>
    </row>
    <row r="2305" spans="9:17">
      <c r="I2305" s="578" t="str">
        <f t="shared" si="181"/>
        <v>2016dhbHutt ValleyPeri</v>
      </c>
      <c r="J2305" s="604">
        <v>2016</v>
      </c>
      <c r="K2305" s="604" t="s">
        <v>448</v>
      </c>
      <c r="L2305" s="604" t="s">
        <v>97</v>
      </c>
      <c r="M2305" s="604">
        <v>13</v>
      </c>
      <c r="N2305" s="604">
        <v>2011</v>
      </c>
      <c r="O2305" s="604">
        <v>6.5</v>
      </c>
      <c r="P2305" s="604" t="s">
        <v>483</v>
      </c>
      <c r="Q2305" s="499"/>
    </row>
    <row r="2306" spans="9:17">
      <c r="I2306" s="578" t="str">
        <f t="shared" si="181"/>
        <v>2016dhbWairarapaPeri</v>
      </c>
      <c r="J2306" s="604">
        <v>2016</v>
      </c>
      <c r="K2306" s="604" t="s">
        <v>448</v>
      </c>
      <c r="L2306" s="604" t="s">
        <v>98</v>
      </c>
      <c r="M2306" s="604">
        <v>6</v>
      </c>
      <c r="N2306" s="604">
        <v>486</v>
      </c>
      <c r="O2306" s="604">
        <v>12.3</v>
      </c>
      <c r="P2306" s="604" t="s">
        <v>483</v>
      </c>
      <c r="Q2306" s="499"/>
    </row>
    <row r="2307" spans="9:17">
      <c r="I2307" s="578" t="str">
        <f t="shared" si="181"/>
        <v>2016dhbNelson MarlboroughPeri</v>
      </c>
      <c r="J2307" s="604">
        <v>2016</v>
      </c>
      <c r="K2307" s="604" t="s">
        <v>448</v>
      </c>
      <c r="L2307" s="604" t="s">
        <v>99</v>
      </c>
      <c r="M2307" s="604">
        <v>4</v>
      </c>
      <c r="N2307" s="604">
        <v>1543</v>
      </c>
      <c r="O2307" s="604">
        <v>2.6</v>
      </c>
      <c r="P2307" s="604" t="s">
        <v>483</v>
      </c>
      <c r="Q2307" s="499"/>
    </row>
    <row r="2308" spans="9:17">
      <c r="I2308" s="578" t="str">
        <f t="shared" ref="I2308:I2371" si="182">J2308&amp;K2308&amp;L2308&amp;P2308</f>
        <v>2016dhbWest CoastPeri</v>
      </c>
      <c r="J2308" s="604">
        <v>2016</v>
      </c>
      <c r="K2308" s="604" t="s">
        <v>448</v>
      </c>
      <c r="L2308" s="604" t="s">
        <v>100</v>
      </c>
      <c r="M2308" s="604">
        <v>10</v>
      </c>
      <c r="N2308" s="604">
        <v>335</v>
      </c>
      <c r="O2308" s="604">
        <v>29.9</v>
      </c>
      <c r="P2308" s="604" t="s">
        <v>483</v>
      </c>
      <c r="Q2308" s="499"/>
    </row>
    <row r="2309" spans="9:17">
      <c r="I2309" s="578" t="str">
        <f t="shared" si="182"/>
        <v>2016dhbCanterburyPeri</v>
      </c>
      <c r="J2309" s="604">
        <v>2016</v>
      </c>
      <c r="K2309" s="604" t="s">
        <v>448</v>
      </c>
      <c r="L2309" s="604" t="s">
        <v>101</v>
      </c>
      <c r="M2309" s="604">
        <v>55</v>
      </c>
      <c r="N2309" s="604">
        <v>6443</v>
      </c>
      <c r="O2309" s="604">
        <v>8.5</v>
      </c>
      <c r="P2309" s="604" t="s">
        <v>483</v>
      </c>
      <c r="Q2309" s="499"/>
    </row>
    <row r="2310" spans="9:17">
      <c r="I2310" s="578" t="str">
        <f t="shared" si="182"/>
        <v>2016dhbSouth CanterburyPeri</v>
      </c>
      <c r="J2310" s="604">
        <v>2016</v>
      </c>
      <c r="K2310" s="604" t="s">
        <v>448</v>
      </c>
      <c r="L2310" s="604" t="s">
        <v>102</v>
      </c>
      <c r="M2310" s="604">
        <v>5</v>
      </c>
      <c r="N2310" s="604">
        <v>644</v>
      </c>
      <c r="O2310" s="604">
        <v>7.8</v>
      </c>
      <c r="P2310" s="604" t="s">
        <v>483</v>
      </c>
      <c r="Q2310" s="499"/>
    </row>
    <row r="2311" spans="9:17">
      <c r="I2311" s="578" t="str">
        <f t="shared" si="182"/>
        <v>2016dhbSouthernPeri</v>
      </c>
      <c r="J2311" s="604">
        <v>2016</v>
      </c>
      <c r="K2311" s="604" t="s">
        <v>448</v>
      </c>
      <c r="L2311" s="604" t="s">
        <v>103</v>
      </c>
      <c r="M2311" s="604">
        <v>34</v>
      </c>
      <c r="N2311" s="604">
        <v>3442</v>
      </c>
      <c r="O2311" s="604">
        <v>9.9</v>
      </c>
      <c r="P2311" s="604" t="s">
        <v>483</v>
      </c>
      <c r="Q2311" s="499"/>
    </row>
    <row r="2312" spans="9:17">
      <c r="I2312" s="578" t="str">
        <f t="shared" si="182"/>
        <v>2016dhbUnknownPeri</v>
      </c>
      <c r="J2312" s="604">
        <v>2016</v>
      </c>
      <c r="K2312" s="604" t="s">
        <v>448</v>
      </c>
      <c r="L2312" s="604" t="s">
        <v>63</v>
      </c>
      <c r="M2312" s="604">
        <v>2</v>
      </c>
      <c r="N2312" s="604">
        <v>132</v>
      </c>
      <c r="O2312" s="604" t="s">
        <v>119</v>
      </c>
      <c r="P2312" s="604" t="s">
        <v>483</v>
      </c>
      <c r="Q2312" s="499"/>
    </row>
    <row r="2313" spans="9:17">
      <c r="I2313" s="578" t="str">
        <f t="shared" si="182"/>
        <v>1996OverallTotalNeo</v>
      </c>
      <c r="J2313" s="604">
        <v>1996</v>
      </c>
      <c r="K2313" s="604" t="s">
        <v>104</v>
      </c>
      <c r="L2313" s="604" t="s">
        <v>44</v>
      </c>
      <c r="M2313" s="604">
        <v>223</v>
      </c>
      <c r="N2313" s="604">
        <v>57434</v>
      </c>
      <c r="O2313" s="604">
        <v>3.9</v>
      </c>
      <c r="P2313" s="604" t="s">
        <v>484</v>
      </c>
      <c r="Q2313" s="499"/>
    </row>
    <row r="2314" spans="9:17">
      <c r="I2314" s="578" t="str">
        <f t="shared" si="182"/>
        <v>1997OverallTotalNeo</v>
      </c>
      <c r="J2314" s="604">
        <v>1997</v>
      </c>
      <c r="K2314" s="604" t="s">
        <v>104</v>
      </c>
      <c r="L2314" s="604" t="s">
        <v>44</v>
      </c>
      <c r="M2314" s="604">
        <v>209</v>
      </c>
      <c r="N2314" s="604">
        <v>57734</v>
      </c>
      <c r="O2314" s="604">
        <v>3.6</v>
      </c>
      <c r="P2314" s="604" t="s">
        <v>484</v>
      </c>
      <c r="Q2314" s="499"/>
    </row>
    <row r="2315" spans="9:17">
      <c r="I2315" s="578" t="str">
        <f t="shared" si="182"/>
        <v>1998OverallTotalNeo</v>
      </c>
      <c r="J2315" s="604">
        <v>1998</v>
      </c>
      <c r="K2315" s="604" t="s">
        <v>104</v>
      </c>
      <c r="L2315" s="604" t="s">
        <v>44</v>
      </c>
      <c r="M2315" s="604">
        <v>171</v>
      </c>
      <c r="N2315" s="604">
        <v>57734</v>
      </c>
      <c r="O2315" s="604">
        <v>3</v>
      </c>
      <c r="P2315" s="604" t="s">
        <v>484</v>
      </c>
      <c r="Q2315" s="499"/>
    </row>
    <row r="2316" spans="9:17">
      <c r="I2316" s="578" t="str">
        <f t="shared" si="182"/>
        <v>1999OverallTotalNeo</v>
      </c>
      <c r="J2316" s="604">
        <v>1999</v>
      </c>
      <c r="K2316" s="604" t="s">
        <v>104</v>
      </c>
      <c r="L2316" s="604" t="s">
        <v>44</v>
      </c>
      <c r="M2316" s="604">
        <v>182</v>
      </c>
      <c r="N2316" s="604">
        <v>57421</v>
      </c>
      <c r="O2316" s="604">
        <v>3.2</v>
      </c>
      <c r="P2316" s="604" t="s">
        <v>484</v>
      </c>
      <c r="Q2316" s="499"/>
    </row>
    <row r="2317" spans="9:17">
      <c r="I2317" s="578" t="str">
        <f t="shared" si="182"/>
        <v>2000OverallTotalNeo</v>
      </c>
      <c r="J2317" s="604">
        <v>2000</v>
      </c>
      <c r="K2317" s="604" t="s">
        <v>104</v>
      </c>
      <c r="L2317" s="604" t="s">
        <v>44</v>
      </c>
      <c r="M2317" s="604">
        <v>216</v>
      </c>
      <c r="N2317" s="604">
        <v>56994</v>
      </c>
      <c r="O2317" s="604">
        <v>3.8</v>
      </c>
      <c r="P2317" s="604" t="s">
        <v>484</v>
      </c>
      <c r="Q2317" s="499"/>
    </row>
    <row r="2318" spans="9:17">
      <c r="I2318" s="578" t="str">
        <f t="shared" si="182"/>
        <v>2001OverallTotalNeo</v>
      </c>
      <c r="J2318" s="604">
        <v>2001</v>
      </c>
      <c r="K2318" s="604" t="s">
        <v>104</v>
      </c>
      <c r="L2318" s="604" t="s">
        <v>44</v>
      </c>
      <c r="M2318" s="604">
        <v>170</v>
      </c>
      <c r="N2318" s="604">
        <v>56224</v>
      </c>
      <c r="O2318" s="604">
        <v>3</v>
      </c>
      <c r="P2318" s="604" t="s">
        <v>484</v>
      </c>
      <c r="Q2318" s="499"/>
    </row>
    <row r="2319" spans="9:17">
      <c r="I2319" s="578" t="str">
        <f t="shared" si="182"/>
        <v>2002OverallTotalNeo</v>
      </c>
      <c r="J2319" s="604">
        <v>2002</v>
      </c>
      <c r="K2319" s="604" t="s">
        <v>104</v>
      </c>
      <c r="L2319" s="604" t="s">
        <v>44</v>
      </c>
      <c r="M2319" s="604">
        <v>221</v>
      </c>
      <c r="N2319" s="604">
        <v>54515</v>
      </c>
      <c r="O2319" s="604">
        <v>4.0999999999999996</v>
      </c>
      <c r="P2319" s="604" t="s">
        <v>484</v>
      </c>
      <c r="Q2319" s="499"/>
    </row>
    <row r="2320" spans="9:17">
      <c r="I2320" s="578" t="str">
        <f t="shared" si="182"/>
        <v>2003OverallTotalNeo</v>
      </c>
      <c r="J2320" s="604">
        <v>2003</v>
      </c>
      <c r="K2320" s="604" t="s">
        <v>104</v>
      </c>
      <c r="L2320" s="604" t="s">
        <v>44</v>
      </c>
      <c r="M2320" s="604">
        <v>184</v>
      </c>
      <c r="N2320" s="604">
        <v>56576</v>
      </c>
      <c r="O2320" s="604">
        <v>3.3</v>
      </c>
      <c r="P2320" s="604" t="s">
        <v>484</v>
      </c>
      <c r="Q2320" s="499"/>
    </row>
    <row r="2321" spans="9:17">
      <c r="I2321" s="578" t="str">
        <f t="shared" si="182"/>
        <v>2004OverallTotalNeo</v>
      </c>
      <c r="J2321" s="604">
        <v>2004</v>
      </c>
      <c r="K2321" s="604" t="s">
        <v>104</v>
      </c>
      <c r="L2321" s="604" t="s">
        <v>44</v>
      </c>
      <c r="M2321" s="604">
        <v>197</v>
      </c>
      <c r="N2321" s="604">
        <v>58723</v>
      </c>
      <c r="O2321" s="604">
        <v>3.4</v>
      </c>
      <c r="P2321" s="604" t="s">
        <v>484</v>
      </c>
      <c r="Q2321" s="499"/>
    </row>
    <row r="2322" spans="9:17">
      <c r="I2322" s="578" t="str">
        <f t="shared" si="182"/>
        <v>2005OverallTotalNeo</v>
      </c>
      <c r="J2322" s="604">
        <v>2005</v>
      </c>
      <c r="K2322" s="604" t="s">
        <v>104</v>
      </c>
      <c r="L2322" s="604" t="s">
        <v>44</v>
      </c>
      <c r="M2322" s="604">
        <v>183</v>
      </c>
      <c r="N2322" s="604">
        <v>58727</v>
      </c>
      <c r="O2322" s="604">
        <v>3.1</v>
      </c>
      <c r="P2322" s="604" t="s">
        <v>484</v>
      </c>
      <c r="Q2322" s="499"/>
    </row>
    <row r="2323" spans="9:17">
      <c r="I2323" s="578" t="str">
        <f t="shared" si="182"/>
        <v>2006OverallTotalNeo</v>
      </c>
      <c r="J2323" s="604">
        <v>2006</v>
      </c>
      <c r="K2323" s="604" t="s">
        <v>104</v>
      </c>
      <c r="L2323" s="604" t="s">
        <v>44</v>
      </c>
      <c r="M2323" s="604">
        <v>165</v>
      </c>
      <c r="N2323" s="604">
        <v>60274</v>
      </c>
      <c r="O2323" s="604">
        <v>2.7</v>
      </c>
      <c r="P2323" s="604" t="s">
        <v>484</v>
      </c>
      <c r="Q2323" s="499"/>
    </row>
    <row r="2324" spans="9:17">
      <c r="I2324" s="578" t="str">
        <f t="shared" si="182"/>
        <v>2007OverallTotalNeo</v>
      </c>
      <c r="J2324" s="604">
        <v>2007</v>
      </c>
      <c r="K2324" s="604" t="s">
        <v>104</v>
      </c>
      <c r="L2324" s="604" t="s">
        <v>44</v>
      </c>
      <c r="M2324" s="604">
        <v>166</v>
      </c>
      <c r="N2324" s="604">
        <v>65121</v>
      </c>
      <c r="O2324" s="604">
        <v>2.5</v>
      </c>
      <c r="P2324" s="604" t="s">
        <v>484</v>
      </c>
      <c r="Q2324" s="499"/>
    </row>
    <row r="2325" spans="9:17">
      <c r="I2325" s="578" t="str">
        <f t="shared" si="182"/>
        <v>2008OverallTotalNeo</v>
      </c>
      <c r="J2325" s="604">
        <v>2008</v>
      </c>
      <c r="K2325" s="604" t="s">
        <v>104</v>
      </c>
      <c r="L2325" s="604" t="s">
        <v>44</v>
      </c>
      <c r="M2325" s="604">
        <v>187</v>
      </c>
      <c r="N2325" s="604">
        <v>65333</v>
      </c>
      <c r="O2325" s="604">
        <v>2.9</v>
      </c>
      <c r="P2325" s="604" t="s">
        <v>484</v>
      </c>
      <c r="Q2325" s="499"/>
    </row>
    <row r="2326" spans="9:17">
      <c r="I2326" s="578" t="str">
        <f t="shared" si="182"/>
        <v>2009OverallTotalNeo</v>
      </c>
      <c r="J2326" s="604">
        <v>2009</v>
      </c>
      <c r="K2326" s="604" t="s">
        <v>104</v>
      </c>
      <c r="L2326" s="604" t="s">
        <v>44</v>
      </c>
      <c r="M2326" s="604">
        <v>197</v>
      </c>
      <c r="N2326" s="604">
        <v>63285</v>
      </c>
      <c r="O2326" s="604">
        <v>3.1</v>
      </c>
      <c r="P2326" s="604" t="s">
        <v>484</v>
      </c>
      <c r="Q2326" s="499"/>
    </row>
    <row r="2327" spans="9:17">
      <c r="I2327" s="578" t="str">
        <f t="shared" si="182"/>
        <v>2010OverallTotalNeo</v>
      </c>
      <c r="J2327" s="604">
        <v>2010</v>
      </c>
      <c r="K2327" s="604" t="s">
        <v>104</v>
      </c>
      <c r="L2327" s="604" t="s">
        <v>44</v>
      </c>
      <c r="M2327" s="604">
        <v>234</v>
      </c>
      <c r="N2327" s="604">
        <v>64699</v>
      </c>
      <c r="O2327" s="604">
        <v>3.6</v>
      </c>
      <c r="P2327" s="604" t="s">
        <v>484</v>
      </c>
      <c r="Q2327" s="499"/>
    </row>
    <row r="2328" spans="9:17">
      <c r="I2328" s="578" t="str">
        <f t="shared" si="182"/>
        <v>2011OverallTotalNeo</v>
      </c>
      <c r="J2328" s="604">
        <v>2011</v>
      </c>
      <c r="K2328" s="604" t="s">
        <v>104</v>
      </c>
      <c r="L2328" s="604" t="s">
        <v>44</v>
      </c>
      <c r="M2328" s="604">
        <v>197</v>
      </c>
      <c r="N2328" s="604">
        <v>62174</v>
      </c>
      <c r="O2328" s="604">
        <v>3.2</v>
      </c>
      <c r="P2328" s="604" t="s">
        <v>484</v>
      </c>
      <c r="Q2328" s="499"/>
    </row>
    <row r="2329" spans="9:17">
      <c r="I2329" s="578" t="str">
        <f t="shared" si="182"/>
        <v>2012OverallTotalNeo</v>
      </c>
      <c r="J2329" s="604">
        <v>2012</v>
      </c>
      <c r="K2329" s="604" t="s">
        <v>104</v>
      </c>
      <c r="L2329" s="604" t="s">
        <v>44</v>
      </c>
      <c r="M2329" s="604">
        <v>194</v>
      </c>
      <c r="N2329" s="604">
        <v>62035</v>
      </c>
      <c r="O2329" s="604">
        <v>3.1</v>
      </c>
      <c r="P2329" s="604" t="s">
        <v>484</v>
      </c>
      <c r="Q2329" s="499"/>
    </row>
    <row r="2330" spans="9:17">
      <c r="I2330" s="578" t="str">
        <f t="shared" si="182"/>
        <v>2013OverallTotalNeo</v>
      </c>
      <c r="J2330" s="604">
        <v>2013</v>
      </c>
      <c r="K2330" s="604" t="s">
        <v>104</v>
      </c>
      <c r="L2330" s="604" t="s">
        <v>44</v>
      </c>
      <c r="M2330" s="604">
        <v>198</v>
      </c>
      <c r="N2330" s="604">
        <v>59701</v>
      </c>
      <c r="O2330" s="604">
        <v>3.3</v>
      </c>
      <c r="P2330" s="604" t="s">
        <v>484</v>
      </c>
      <c r="Q2330" s="499"/>
    </row>
    <row r="2331" spans="9:17">
      <c r="I2331" s="578" t="str">
        <f t="shared" si="182"/>
        <v>2014OverallTotalNeo</v>
      </c>
      <c r="J2331" s="604">
        <v>2014</v>
      </c>
      <c r="K2331" s="604" t="s">
        <v>104</v>
      </c>
      <c r="L2331" s="604" t="s">
        <v>44</v>
      </c>
      <c r="M2331" s="604">
        <v>240</v>
      </c>
      <c r="N2331" s="604">
        <v>58285</v>
      </c>
      <c r="O2331" s="604">
        <v>4.0999999999999996</v>
      </c>
      <c r="P2331" s="604" t="s">
        <v>484</v>
      </c>
      <c r="Q2331" s="499"/>
    </row>
    <row r="2332" spans="9:17">
      <c r="I2332" s="578" t="str">
        <f t="shared" si="182"/>
        <v>2015OverallTotalNeo</v>
      </c>
      <c r="J2332" s="604">
        <v>2015</v>
      </c>
      <c r="K2332" s="604" t="s">
        <v>104</v>
      </c>
      <c r="L2332" s="604" t="s">
        <v>44</v>
      </c>
      <c r="M2332" s="604">
        <v>175</v>
      </c>
      <c r="N2332" s="604">
        <v>62122</v>
      </c>
      <c r="O2332" s="604">
        <v>2.8</v>
      </c>
      <c r="P2332" s="604" t="s">
        <v>484</v>
      </c>
      <c r="Q2332" s="499"/>
    </row>
    <row r="2333" spans="9:17">
      <c r="I2333" s="578" t="str">
        <f t="shared" si="182"/>
        <v>2016OverallTotalNeo</v>
      </c>
      <c r="J2333" s="604">
        <v>2016</v>
      </c>
      <c r="K2333" s="604" t="s">
        <v>104</v>
      </c>
      <c r="L2333" s="604" t="s">
        <v>44</v>
      </c>
      <c r="M2333" s="604">
        <v>161</v>
      </c>
      <c r="N2333" s="604">
        <v>60436</v>
      </c>
      <c r="O2333" s="604">
        <v>2.7</v>
      </c>
      <c r="P2333" s="604" t="s">
        <v>484</v>
      </c>
      <c r="Q2333" s="499"/>
    </row>
    <row r="2334" spans="9:17">
      <c r="I2334" s="578" t="str">
        <f t="shared" si="182"/>
        <v>1996age&lt;20Neo</v>
      </c>
      <c r="J2334" s="604">
        <v>1996</v>
      </c>
      <c r="K2334" s="604" t="s">
        <v>453</v>
      </c>
      <c r="L2334" s="604" t="s">
        <v>339</v>
      </c>
      <c r="M2334" s="604">
        <v>12</v>
      </c>
      <c r="N2334" s="604">
        <v>4412</v>
      </c>
      <c r="O2334" s="604">
        <v>2.7</v>
      </c>
      <c r="P2334" s="604" t="s">
        <v>484</v>
      </c>
      <c r="Q2334" s="499"/>
    </row>
    <row r="2335" spans="9:17">
      <c r="I2335" s="578" t="str">
        <f t="shared" si="182"/>
        <v>1996age20-24Neo</v>
      </c>
      <c r="J2335" s="604">
        <v>1996</v>
      </c>
      <c r="K2335" s="604" t="s">
        <v>453</v>
      </c>
      <c r="L2335" s="604" t="s">
        <v>130</v>
      </c>
      <c r="M2335" s="604">
        <v>58</v>
      </c>
      <c r="N2335" s="604">
        <v>11417</v>
      </c>
      <c r="O2335" s="604">
        <v>5.0999999999999996</v>
      </c>
      <c r="P2335" s="604" t="s">
        <v>484</v>
      </c>
      <c r="Q2335" s="499"/>
    </row>
    <row r="2336" spans="9:17">
      <c r="I2336" s="578" t="str">
        <f t="shared" si="182"/>
        <v>1996age25-29Neo</v>
      </c>
      <c r="J2336" s="604">
        <v>1996</v>
      </c>
      <c r="K2336" s="604" t="s">
        <v>453</v>
      </c>
      <c r="L2336" s="604" t="s">
        <v>131</v>
      </c>
      <c r="M2336" s="604">
        <v>63</v>
      </c>
      <c r="N2336" s="604">
        <v>17456</v>
      </c>
      <c r="O2336" s="604">
        <v>3.6</v>
      </c>
      <c r="P2336" s="604" t="s">
        <v>484</v>
      </c>
      <c r="Q2336" s="499"/>
    </row>
    <row r="2337" spans="9:17">
      <c r="I2337" s="578" t="str">
        <f t="shared" si="182"/>
        <v>1996age30-34Neo</v>
      </c>
      <c r="J2337" s="604">
        <v>1996</v>
      </c>
      <c r="K2337" s="604" t="s">
        <v>453</v>
      </c>
      <c r="L2337" s="604" t="s">
        <v>132</v>
      </c>
      <c r="M2337" s="604">
        <v>55</v>
      </c>
      <c r="N2337" s="604">
        <v>16299</v>
      </c>
      <c r="O2337" s="604">
        <v>3.4</v>
      </c>
      <c r="P2337" s="604" t="s">
        <v>484</v>
      </c>
      <c r="Q2337" s="499"/>
    </row>
    <row r="2338" spans="9:17">
      <c r="I2338" s="578" t="str">
        <f t="shared" si="182"/>
        <v>1996age35-39Neo</v>
      </c>
      <c r="J2338" s="604">
        <v>1996</v>
      </c>
      <c r="K2338" s="604" t="s">
        <v>453</v>
      </c>
      <c r="L2338" s="604" t="s">
        <v>133</v>
      </c>
      <c r="M2338" s="604">
        <v>26</v>
      </c>
      <c r="N2338" s="604">
        <v>6726</v>
      </c>
      <c r="O2338" s="604">
        <v>3.9</v>
      </c>
      <c r="P2338" s="604" t="s">
        <v>484</v>
      </c>
      <c r="Q2338" s="499"/>
    </row>
    <row r="2339" spans="9:17">
      <c r="I2339" s="578" t="str">
        <f t="shared" si="182"/>
        <v>1996age40+Neo</v>
      </c>
      <c r="J2339" s="604">
        <v>1996</v>
      </c>
      <c r="K2339" s="604" t="s">
        <v>453</v>
      </c>
      <c r="L2339" s="604" t="s">
        <v>134</v>
      </c>
      <c r="M2339" s="604">
        <v>8</v>
      </c>
      <c r="N2339" s="604">
        <v>1124</v>
      </c>
      <c r="O2339" s="604">
        <v>7.1</v>
      </c>
      <c r="P2339" s="604" t="s">
        <v>484</v>
      </c>
      <c r="Q2339" s="499"/>
    </row>
    <row r="2340" spans="9:17">
      <c r="I2340" s="578" t="str">
        <f t="shared" si="182"/>
        <v>1996ageUnknownNeo</v>
      </c>
      <c r="J2340" s="604">
        <v>1996</v>
      </c>
      <c r="K2340" s="604" t="s">
        <v>453</v>
      </c>
      <c r="L2340" s="604" t="s">
        <v>63</v>
      </c>
      <c r="M2340" s="604">
        <v>1</v>
      </c>
      <c r="N2340" s="604">
        <v>0</v>
      </c>
      <c r="O2340" s="604" t="s">
        <v>119</v>
      </c>
      <c r="P2340" s="604" t="s">
        <v>484</v>
      </c>
      <c r="Q2340" s="499"/>
    </row>
    <row r="2341" spans="9:17">
      <c r="I2341" s="578" t="str">
        <f t="shared" si="182"/>
        <v>1997age&lt;20Neo</v>
      </c>
      <c r="J2341" s="604">
        <v>1997</v>
      </c>
      <c r="K2341" s="604" t="s">
        <v>453</v>
      </c>
      <c r="L2341" s="604" t="s">
        <v>339</v>
      </c>
      <c r="M2341" s="604">
        <v>23</v>
      </c>
      <c r="N2341" s="604">
        <v>4403</v>
      </c>
      <c r="O2341" s="604">
        <v>5.2</v>
      </c>
      <c r="P2341" s="604" t="s">
        <v>484</v>
      </c>
      <c r="Q2341" s="499"/>
    </row>
    <row r="2342" spans="9:17">
      <c r="I2342" s="578" t="str">
        <f t="shared" si="182"/>
        <v>1997age20-24Neo</v>
      </c>
      <c r="J2342" s="604">
        <v>1997</v>
      </c>
      <c r="K2342" s="604" t="s">
        <v>453</v>
      </c>
      <c r="L2342" s="604" t="s">
        <v>130</v>
      </c>
      <c r="M2342" s="604">
        <v>47</v>
      </c>
      <c r="N2342" s="604">
        <v>10833</v>
      </c>
      <c r="O2342" s="604">
        <v>4.3</v>
      </c>
      <c r="P2342" s="604" t="s">
        <v>484</v>
      </c>
      <c r="Q2342" s="499"/>
    </row>
    <row r="2343" spans="9:17">
      <c r="I2343" s="578" t="str">
        <f t="shared" si="182"/>
        <v>1997age25-29Neo</v>
      </c>
      <c r="J2343" s="604">
        <v>1997</v>
      </c>
      <c r="K2343" s="604" t="s">
        <v>453</v>
      </c>
      <c r="L2343" s="604" t="s">
        <v>131</v>
      </c>
      <c r="M2343" s="604">
        <v>57</v>
      </c>
      <c r="N2343" s="604">
        <v>17156</v>
      </c>
      <c r="O2343" s="604">
        <v>3.3</v>
      </c>
      <c r="P2343" s="604" t="s">
        <v>484</v>
      </c>
      <c r="Q2343" s="499"/>
    </row>
    <row r="2344" spans="9:17">
      <c r="I2344" s="578" t="str">
        <f t="shared" si="182"/>
        <v>1997age30-34Neo</v>
      </c>
      <c r="J2344" s="604">
        <v>1997</v>
      </c>
      <c r="K2344" s="604" t="s">
        <v>453</v>
      </c>
      <c r="L2344" s="604" t="s">
        <v>132</v>
      </c>
      <c r="M2344" s="604">
        <v>51</v>
      </c>
      <c r="N2344" s="604">
        <v>16688</v>
      </c>
      <c r="O2344" s="604">
        <v>3.1</v>
      </c>
      <c r="P2344" s="604" t="s">
        <v>484</v>
      </c>
      <c r="Q2344" s="499"/>
    </row>
    <row r="2345" spans="9:17">
      <c r="I2345" s="578" t="str">
        <f t="shared" si="182"/>
        <v>1997age35-39Neo</v>
      </c>
      <c r="J2345" s="604">
        <v>1997</v>
      </c>
      <c r="K2345" s="604" t="s">
        <v>453</v>
      </c>
      <c r="L2345" s="604" t="s">
        <v>133</v>
      </c>
      <c r="M2345" s="604">
        <v>21</v>
      </c>
      <c r="N2345" s="604">
        <v>7397</v>
      </c>
      <c r="O2345" s="604">
        <v>2.8</v>
      </c>
      <c r="P2345" s="604" t="s">
        <v>484</v>
      </c>
      <c r="Q2345" s="499"/>
    </row>
    <row r="2346" spans="9:17">
      <c r="I2346" s="578" t="str">
        <f t="shared" si="182"/>
        <v>1997age40+Neo</v>
      </c>
      <c r="J2346" s="604">
        <v>1997</v>
      </c>
      <c r="K2346" s="604" t="s">
        <v>453</v>
      </c>
      <c r="L2346" s="604" t="s">
        <v>134</v>
      </c>
      <c r="M2346" s="604">
        <v>7</v>
      </c>
      <c r="N2346" s="604">
        <v>1257</v>
      </c>
      <c r="O2346" s="604">
        <v>5.6</v>
      </c>
      <c r="P2346" s="604" t="s">
        <v>484</v>
      </c>
      <c r="Q2346" s="499"/>
    </row>
    <row r="2347" spans="9:17">
      <c r="I2347" s="578" t="str">
        <f t="shared" si="182"/>
        <v>1997ageUnknownNeo</v>
      </c>
      <c r="J2347" s="604">
        <v>1997</v>
      </c>
      <c r="K2347" s="604" t="s">
        <v>453</v>
      </c>
      <c r="L2347" s="604" t="s">
        <v>63</v>
      </c>
      <c r="M2347" s="604">
        <v>3</v>
      </c>
      <c r="N2347" s="604">
        <v>0</v>
      </c>
      <c r="O2347" s="604" t="s">
        <v>119</v>
      </c>
      <c r="P2347" s="604" t="s">
        <v>484</v>
      </c>
      <c r="Q2347" s="499"/>
    </row>
    <row r="2348" spans="9:17">
      <c r="I2348" s="578" t="str">
        <f t="shared" si="182"/>
        <v>1998age&lt;20Neo</v>
      </c>
      <c r="J2348" s="604">
        <v>1998</v>
      </c>
      <c r="K2348" s="604" t="s">
        <v>453</v>
      </c>
      <c r="L2348" s="604" t="s">
        <v>339</v>
      </c>
      <c r="M2348" s="604">
        <v>11</v>
      </c>
      <c r="N2348" s="604">
        <v>4403</v>
      </c>
      <c r="O2348" s="604">
        <v>2.5</v>
      </c>
      <c r="P2348" s="604" t="s">
        <v>484</v>
      </c>
      <c r="Q2348" s="499"/>
    </row>
    <row r="2349" spans="9:17">
      <c r="I2349" s="578" t="str">
        <f t="shared" si="182"/>
        <v>1998age20-24Neo</v>
      </c>
      <c r="J2349" s="604">
        <v>1998</v>
      </c>
      <c r="K2349" s="604" t="s">
        <v>453</v>
      </c>
      <c r="L2349" s="604" t="s">
        <v>130</v>
      </c>
      <c r="M2349" s="604">
        <v>45</v>
      </c>
      <c r="N2349" s="604">
        <v>10833</v>
      </c>
      <c r="O2349" s="604">
        <v>4.2</v>
      </c>
      <c r="P2349" s="604" t="s">
        <v>484</v>
      </c>
      <c r="Q2349" s="499"/>
    </row>
    <row r="2350" spans="9:17">
      <c r="I2350" s="578" t="str">
        <f t="shared" si="182"/>
        <v>1998age25-29Neo</v>
      </c>
      <c r="J2350" s="604">
        <v>1998</v>
      </c>
      <c r="K2350" s="604" t="s">
        <v>453</v>
      </c>
      <c r="L2350" s="604" t="s">
        <v>131</v>
      </c>
      <c r="M2350" s="604">
        <v>35</v>
      </c>
      <c r="N2350" s="604">
        <v>17156</v>
      </c>
      <c r="O2350" s="604">
        <v>2</v>
      </c>
      <c r="P2350" s="604" t="s">
        <v>484</v>
      </c>
      <c r="Q2350" s="499"/>
    </row>
    <row r="2351" spans="9:17">
      <c r="I2351" s="578" t="str">
        <f t="shared" si="182"/>
        <v>1998age30-34Neo</v>
      </c>
      <c r="J2351" s="604">
        <v>1998</v>
      </c>
      <c r="K2351" s="604" t="s">
        <v>453</v>
      </c>
      <c r="L2351" s="604" t="s">
        <v>132</v>
      </c>
      <c r="M2351" s="604">
        <v>49</v>
      </c>
      <c r="N2351" s="604">
        <v>16688</v>
      </c>
      <c r="O2351" s="604">
        <v>2.9</v>
      </c>
      <c r="P2351" s="604" t="s">
        <v>484</v>
      </c>
      <c r="Q2351" s="499"/>
    </row>
    <row r="2352" spans="9:17">
      <c r="I2352" s="578" t="str">
        <f t="shared" si="182"/>
        <v>1998age35-39Neo</v>
      </c>
      <c r="J2352" s="604">
        <v>1998</v>
      </c>
      <c r="K2352" s="604" t="s">
        <v>453</v>
      </c>
      <c r="L2352" s="604" t="s">
        <v>133</v>
      </c>
      <c r="M2352" s="604">
        <v>21</v>
      </c>
      <c r="N2352" s="604">
        <v>7397</v>
      </c>
      <c r="O2352" s="604">
        <v>2.8</v>
      </c>
      <c r="P2352" s="604" t="s">
        <v>484</v>
      </c>
      <c r="Q2352" s="499"/>
    </row>
    <row r="2353" spans="9:17">
      <c r="I2353" s="578" t="str">
        <f t="shared" si="182"/>
        <v>1998age40+Neo</v>
      </c>
      <c r="J2353" s="604">
        <v>1998</v>
      </c>
      <c r="K2353" s="604" t="s">
        <v>453</v>
      </c>
      <c r="L2353" s="604" t="s">
        <v>134</v>
      </c>
      <c r="M2353" s="604">
        <v>6</v>
      </c>
      <c r="N2353" s="604">
        <v>1257</v>
      </c>
      <c r="O2353" s="604">
        <v>4.8</v>
      </c>
      <c r="P2353" s="604" t="s">
        <v>484</v>
      </c>
      <c r="Q2353" s="499"/>
    </row>
    <row r="2354" spans="9:17">
      <c r="I2354" s="578" t="str">
        <f t="shared" si="182"/>
        <v>1998ageUnknownNeo</v>
      </c>
      <c r="J2354" s="604">
        <v>1998</v>
      </c>
      <c r="K2354" s="604" t="s">
        <v>453</v>
      </c>
      <c r="L2354" s="604" t="s">
        <v>63</v>
      </c>
      <c r="M2354" s="604">
        <v>4</v>
      </c>
      <c r="N2354" s="604">
        <v>0</v>
      </c>
      <c r="O2354" s="604" t="s">
        <v>119</v>
      </c>
      <c r="P2354" s="604" t="s">
        <v>484</v>
      </c>
      <c r="Q2354" s="499"/>
    </row>
    <row r="2355" spans="9:17">
      <c r="I2355" s="578" t="str">
        <f t="shared" si="182"/>
        <v>1999age&lt;20Neo</v>
      </c>
      <c r="J2355" s="604">
        <v>1999</v>
      </c>
      <c r="K2355" s="604" t="s">
        <v>453</v>
      </c>
      <c r="L2355" s="604" t="s">
        <v>339</v>
      </c>
      <c r="M2355" s="604">
        <v>19</v>
      </c>
      <c r="N2355" s="604">
        <v>3889</v>
      </c>
      <c r="O2355" s="604">
        <v>4.9000000000000004</v>
      </c>
      <c r="P2355" s="604" t="s">
        <v>484</v>
      </c>
      <c r="Q2355" s="499"/>
    </row>
    <row r="2356" spans="9:17">
      <c r="I2356" s="578" t="str">
        <f t="shared" si="182"/>
        <v>1999age20-24Neo</v>
      </c>
      <c r="J2356" s="604">
        <v>1999</v>
      </c>
      <c r="K2356" s="604" t="s">
        <v>453</v>
      </c>
      <c r="L2356" s="604" t="s">
        <v>130</v>
      </c>
      <c r="M2356" s="604">
        <v>31</v>
      </c>
      <c r="N2356" s="604">
        <v>10070</v>
      </c>
      <c r="O2356" s="604">
        <v>3.1</v>
      </c>
      <c r="P2356" s="604" t="s">
        <v>484</v>
      </c>
      <c r="Q2356" s="499"/>
    </row>
    <row r="2357" spans="9:17">
      <c r="I2357" s="578" t="str">
        <f t="shared" si="182"/>
        <v>1999age25-29Neo</v>
      </c>
      <c r="J2357" s="604">
        <v>1999</v>
      </c>
      <c r="K2357" s="604" t="s">
        <v>453</v>
      </c>
      <c r="L2357" s="604" t="s">
        <v>131</v>
      </c>
      <c r="M2357" s="604">
        <v>54</v>
      </c>
      <c r="N2357" s="604">
        <v>16548</v>
      </c>
      <c r="O2357" s="604">
        <v>3.3</v>
      </c>
      <c r="P2357" s="604" t="s">
        <v>484</v>
      </c>
      <c r="Q2357" s="499"/>
    </row>
    <row r="2358" spans="9:17">
      <c r="I2358" s="578" t="str">
        <f t="shared" si="182"/>
        <v>1999age30-34Neo</v>
      </c>
      <c r="J2358" s="604">
        <v>1999</v>
      </c>
      <c r="K2358" s="604" t="s">
        <v>453</v>
      </c>
      <c r="L2358" s="604" t="s">
        <v>132</v>
      </c>
      <c r="M2358" s="604">
        <v>45</v>
      </c>
      <c r="N2358" s="604">
        <v>17187</v>
      </c>
      <c r="O2358" s="604">
        <v>2.6</v>
      </c>
      <c r="P2358" s="604" t="s">
        <v>484</v>
      </c>
      <c r="Q2358" s="499"/>
    </row>
    <row r="2359" spans="9:17">
      <c r="I2359" s="578" t="str">
        <f t="shared" si="182"/>
        <v>1999age35-39Neo</v>
      </c>
      <c r="J2359" s="604">
        <v>1999</v>
      </c>
      <c r="K2359" s="604" t="s">
        <v>453</v>
      </c>
      <c r="L2359" s="604" t="s">
        <v>133</v>
      </c>
      <c r="M2359" s="604">
        <v>25</v>
      </c>
      <c r="N2359" s="604">
        <v>8266</v>
      </c>
      <c r="O2359" s="604">
        <v>3</v>
      </c>
      <c r="P2359" s="604" t="s">
        <v>484</v>
      </c>
      <c r="Q2359" s="499"/>
    </row>
    <row r="2360" spans="9:17">
      <c r="I2360" s="578" t="str">
        <f t="shared" si="182"/>
        <v>1999age40+Neo</v>
      </c>
      <c r="J2360" s="604">
        <v>1999</v>
      </c>
      <c r="K2360" s="604" t="s">
        <v>453</v>
      </c>
      <c r="L2360" s="604" t="s">
        <v>134</v>
      </c>
      <c r="M2360" s="604">
        <v>7</v>
      </c>
      <c r="N2360" s="604">
        <v>1458</v>
      </c>
      <c r="O2360" s="604">
        <v>4.8</v>
      </c>
      <c r="P2360" s="604" t="s">
        <v>484</v>
      </c>
      <c r="Q2360" s="499"/>
    </row>
    <row r="2361" spans="9:17">
      <c r="I2361" s="578" t="str">
        <f t="shared" si="182"/>
        <v>1999ageUnknownNeo</v>
      </c>
      <c r="J2361" s="604">
        <v>1999</v>
      </c>
      <c r="K2361" s="604" t="s">
        <v>453</v>
      </c>
      <c r="L2361" s="604" t="s">
        <v>63</v>
      </c>
      <c r="M2361" s="604">
        <v>1</v>
      </c>
      <c r="N2361" s="604">
        <v>3</v>
      </c>
      <c r="O2361" s="604" t="s">
        <v>119</v>
      </c>
      <c r="P2361" s="604" t="s">
        <v>484</v>
      </c>
      <c r="Q2361" s="499"/>
    </row>
    <row r="2362" spans="9:17">
      <c r="I2362" s="578" t="str">
        <f t="shared" si="182"/>
        <v>2000age&lt;20Neo</v>
      </c>
      <c r="J2362" s="604">
        <v>2000</v>
      </c>
      <c r="K2362" s="604" t="s">
        <v>453</v>
      </c>
      <c r="L2362" s="604" t="s">
        <v>339</v>
      </c>
      <c r="M2362" s="604">
        <v>19</v>
      </c>
      <c r="N2362" s="604">
        <v>3823</v>
      </c>
      <c r="O2362" s="604">
        <v>5</v>
      </c>
      <c r="P2362" s="604" t="s">
        <v>484</v>
      </c>
      <c r="Q2362" s="499"/>
    </row>
    <row r="2363" spans="9:17">
      <c r="I2363" s="578" t="str">
        <f t="shared" si="182"/>
        <v>2000age20-24Neo</v>
      </c>
      <c r="J2363" s="604">
        <v>2000</v>
      </c>
      <c r="K2363" s="604" t="s">
        <v>453</v>
      </c>
      <c r="L2363" s="604" t="s">
        <v>130</v>
      </c>
      <c r="M2363" s="604">
        <v>37</v>
      </c>
      <c r="N2363" s="604">
        <v>9937</v>
      </c>
      <c r="O2363" s="604">
        <v>3.7</v>
      </c>
      <c r="P2363" s="604" t="s">
        <v>484</v>
      </c>
      <c r="Q2363" s="499"/>
    </row>
    <row r="2364" spans="9:17">
      <c r="I2364" s="578" t="str">
        <f t="shared" si="182"/>
        <v>2000age25-29Neo</v>
      </c>
      <c r="J2364" s="604">
        <v>2000</v>
      </c>
      <c r="K2364" s="604" t="s">
        <v>453</v>
      </c>
      <c r="L2364" s="604" t="s">
        <v>131</v>
      </c>
      <c r="M2364" s="604">
        <v>52</v>
      </c>
      <c r="N2364" s="604">
        <v>15892</v>
      </c>
      <c r="O2364" s="604">
        <v>3.3</v>
      </c>
      <c r="P2364" s="604" t="s">
        <v>484</v>
      </c>
      <c r="Q2364" s="499"/>
    </row>
    <row r="2365" spans="9:17">
      <c r="I2365" s="578" t="str">
        <f t="shared" si="182"/>
        <v>2000age30-34Neo</v>
      </c>
      <c r="J2365" s="604">
        <v>2000</v>
      </c>
      <c r="K2365" s="604" t="s">
        <v>453</v>
      </c>
      <c r="L2365" s="604" t="s">
        <v>132</v>
      </c>
      <c r="M2365" s="604">
        <v>68</v>
      </c>
      <c r="N2365" s="604">
        <v>17282</v>
      </c>
      <c r="O2365" s="604">
        <v>3.9</v>
      </c>
      <c r="P2365" s="604" t="s">
        <v>484</v>
      </c>
      <c r="Q2365" s="499"/>
    </row>
    <row r="2366" spans="9:17">
      <c r="I2366" s="578" t="str">
        <f t="shared" si="182"/>
        <v>2000age35-39Neo</v>
      </c>
      <c r="J2366" s="604">
        <v>2000</v>
      </c>
      <c r="K2366" s="604" t="s">
        <v>453</v>
      </c>
      <c r="L2366" s="604" t="s">
        <v>133</v>
      </c>
      <c r="M2366" s="604">
        <v>32</v>
      </c>
      <c r="N2366" s="604">
        <v>8493</v>
      </c>
      <c r="O2366" s="604">
        <v>3.8</v>
      </c>
      <c r="P2366" s="604" t="s">
        <v>484</v>
      </c>
      <c r="Q2366" s="499"/>
    </row>
    <row r="2367" spans="9:17">
      <c r="I2367" s="578" t="str">
        <f t="shared" si="182"/>
        <v>2000age40+Neo</v>
      </c>
      <c r="J2367" s="604">
        <v>2000</v>
      </c>
      <c r="K2367" s="604" t="s">
        <v>453</v>
      </c>
      <c r="L2367" s="604" t="s">
        <v>134</v>
      </c>
      <c r="M2367" s="604">
        <v>6</v>
      </c>
      <c r="N2367" s="604">
        <v>1567</v>
      </c>
      <c r="O2367" s="604">
        <v>3.8</v>
      </c>
      <c r="P2367" s="604" t="s">
        <v>484</v>
      </c>
      <c r="Q2367" s="499"/>
    </row>
    <row r="2368" spans="9:17">
      <c r="I2368" s="578" t="str">
        <f t="shared" si="182"/>
        <v>2000ageUnknownNeo</v>
      </c>
      <c r="J2368" s="604">
        <v>2000</v>
      </c>
      <c r="K2368" s="604" t="s">
        <v>453</v>
      </c>
      <c r="L2368" s="604" t="s">
        <v>63</v>
      </c>
      <c r="M2368" s="604">
        <v>2</v>
      </c>
      <c r="N2368" s="604">
        <v>0</v>
      </c>
      <c r="O2368" s="604" t="s">
        <v>119</v>
      </c>
      <c r="P2368" s="604" t="s">
        <v>484</v>
      </c>
      <c r="Q2368" s="499"/>
    </row>
    <row r="2369" spans="9:17">
      <c r="I2369" s="578" t="str">
        <f t="shared" si="182"/>
        <v>2001age&lt;20Neo</v>
      </c>
      <c r="J2369" s="604">
        <v>2001</v>
      </c>
      <c r="K2369" s="604" t="s">
        <v>453</v>
      </c>
      <c r="L2369" s="604" t="s">
        <v>339</v>
      </c>
      <c r="M2369" s="604">
        <v>24</v>
      </c>
      <c r="N2369" s="604">
        <v>3783</v>
      </c>
      <c r="O2369" s="604">
        <v>6.3</v>
      </c>
      <c r="P2369" s="604" t="s">
        <v>484</v>
      </c>
      <c r="Q2369" s="499"/>
    </row>
    <row r="2370" spans="9:17">
      <c r="I2370" s="578" t="str">
        <f t="shared" si="182"/>
        <v>2001age20-24Neo</v>
      </c>
      <c r="J2370" s="604">
        <v>2001</v>
      </c>
      <c r="K2370" s="604" t="s">
        <v>453</v>
      </c>
      <c r="L2370" s="604" t="s">
        <v>130</v>
      </c>
      <c r="M2370" s="604">
        <v>38</v>
      </c>
      <c r="N2370" s="604">
        <v>9825</v>
      </c>
      <c r="O2370" s="604">
        <v>3.9</v>
      </c>
      <c r="P2370" s="604" t="s">
        <v>484</v>
      </c>
      <c r="Q2370" s="499"/>
    </row>
    <row r="2371" spans="9:17">
      <c r="I2371" s="578" t="str">
        <f t="shared" si="182"/>
        <v>2001age25-29Neo</v>
      </c>
      <c r="J2371" s="604">
        <v>2001</v>
      </c>
      <c r="K2371" s="604" t="s">
        <v>453</v>
      </c>
      <c r="L2371" s="604" t="s">
        <v>131</v>
      </c>
      <c r="M2371" s="604">
        <v>43</v>
      </c>
      <c r="N2371" s="604">
        <v>15208</v>
      </c>
      <c r="O2371" s="604">
        <v>2.8</v>
      </c>
      <c r="P2371" s="604" t="s">
        <v>484</v>
      </c>
      <c r="Q2371" s="499"/>
    </row>
    <row r="2372" spans="9:17">
      <c r="I2372" s="578" t="str">
        <f t="shared" ref="I2372:I2435" si="183">J2372&amp;K2372&amp;L2372&amp;P2372</f>
        <v>2001age30-34Neo</v>
      </c>
      <c r="J2372" s="604">
        <v>2001</v>
      </c>
      <c r="K2372" s="604" t="s">
        <v>453</v>
      </c>
      <c r="L2372" s="604" t="s">
        <v>132</v>
      </c>
      <c r="M2372" s="604">
        <v>45</v>
      </c>
      <c r="N2372" s="604">
        <v>17158</v>
      </c>
      <c r="O2372" s="604">
        <v>2.6</v>
      </c>
      <c r="P2372" s="604" t="s">
        <v>484</v>
      </c>
      <c r="Q2372" s="499"/>
    </row>
    <row r="2373" spans="9:17">
      <c r="I2373" s="578" t="str">
        <f t="shared" si="183"/>
        <v>2001age35-39Neo</v>
      </c>
      <c r="J2373" s="604">
        <v>2001</v>
      </c>
      <c r="K2373" s="604" t="s">
        <v>453</v>
      </c>
      <c r="L2373" s="604" t="s">
        <v>133</v>
      </c>
      <c r="M2373" s="604">
        <v>14</v>
      </c>
      <c r="N2373" s="604">
        <v>8586</v>
      </c>
      <c r="O2373" s="604">
        <v>1.6</v>
      </c>
      <c r="P2373" s="604" t="s">
        <v>484</v>
      </c>
      <c r="Q2373" s="499"/>
    </row>
    <row r="2374" spans="9:17">
      <c r="I2374" s="578" t="str">
        <f t="shared" si="183"/>
        <v>2001age40+Neo</v>
      </c>
      <c r="J2374" s="604">
        <v>2001</v>
      </c>
      <c r="K2374" s="604" t="s">
        <v>453</v>
      </c>
      <c r="L2374" s="604" t="s">
        <v>134</v>
      </c>
      <c r="M2374" s="604">
        <v>6</v>
      </c>
      <c r="N2374" s="604">
        <v>1664</v>
      </c>
      <c r="O2374" s="604">
        <v>3.6</v>
      </c>
      <c r="P2374" s="604" t="s">
        <v>484</v>
      </c>
      <c r="Q2374" s="499"/>
    </row>
    <row r="2375" spans="9:17">
      <c r="I2375" s="578" t="str">
        <f t="shared" si="183"/>
        <v>2001ageUnknownNeo</v>
      </c>
      <c r="J2375" s="604">
        <v>2001</v>
      </c>
      <c r="K2375" s="604" t="s">
        <v>453</v>
      </c>
      <c r="L2375" s="604" t="s">
        <v>63</v>
      </c>
      <c r="M2375" s="604">
        <v>0</v>
      </c>
      <c r="N2375" s="604">
        <v>0</v>
      </c>
      <c r="O2375" s="604" t="s">
        <v>119</v>
      </c>
      <c r="P2375" s="604" t="s">
        <v>484</v>
      </c>
      <c r="Q2375" s="499"/>
    </row>
    <row r="2376" spans="9:17">
      <c r="I2376" s="578" t="str">
        <f t="shared" si="183"/>
        <v>2002age&lt;20Neo</v>
      </c>
      <c r="J2376" s="604">
        <v>2002</v>
      </c>
      <c r="K2376" s="604" t="s">
        <v>453</v>
      </c>
      <c r="L2376" s="604" t="s">
        <v>339</v>
      </c>
      <c r="M2376" s="604">
        <v>23</v>
      </c>
      <c r="N2376" s="604">
        <v>3637</v>
      </c>
      <c r="O2376" s="604">
        <v>6.3</v>
      </c>
      <c r="P2376" s="604" t="s">
        <v>484</v>
      </c>
      <c r="Q2376" s="499"/>
    </row>
    <row r="2377" spans="9:17">
      <c r="I2377" s="578" t="str">
        <f t="shared" si="183"/>
        <v>2002age20-24Neo</v>
      </c>
      <c r="J2377" s="604">
        <v>2002</v>
      </c>
      <c r="K2377" s="604" t="s">
        <v>453</v>
      </c>
      <c r="L2377" s="604" t="s">
        <v>130</v>
      </c>
      <c r="M2377" s="604">
        <v>43</v>
      </c>
      <c r="N2377" s="604">
        <v>9337</v>
      </c>
      <c r="O2377" s="604">
        <v>4.5999999999999996</v>
      </c>
      <c r="P2377" s="604" t="s">
        <v>484</v>
      </c>
      <c r="Q2377" s="499"/>
    </row>
    <row r="2378" spans="9:17">
      <c r="I2378" s="578" t="str">
        <f t="shared" si="183"/>
        <v>2002age25-29Neo</v>
      </c>
      <c r="J2378" s="604">
        <v>2002</v>
      </c>
      <c r="K2378" s="604" t="s">
        <v>453</v>
      </c>
      <c r="L2378" s="604" t="s">
        <v>131</v>
      </c>
      <c r="M2378" s="604">
        <v>46</v>
      </c>
      <c r="N2378" s="604">
        <v>13906</v>
      </c>
      <c r="O2378" s="604">
        <v>3.3</v>
      </c>
      <c r="P2378" s="604" t="s">
        <v>484</v>
      </c>
      <c r="Q2378" s="499"/>
    </row>
    <row r="2379" spans="9:17">
      <c r="I2379" s="578" t="str">
        <f t="shared" si="183"/>
        <v>2002age30-34Neo</v>
      </c>
      <c r="J2379" s="604">
        <v>2002</v>
      </c>
      <c r="K2379" s="604" t="s">
        <v>453</v>
      </c>
      <c r="L2379" s="604" t="s">
        <v>132</v>
      </c>
      <c r="M2379" s="604">
        <v>63</v>
      </c>
      <c r="N2379" s="604">
        <v>17067</v>
      </c>
      <c r="O2379" s="604">
        <v>3.7</v>
      </c>
      <c r="P2379" s="604" t="s">
        <v>484</v>
      </c>
      <c r="Q2379" s="499"/>
    </row>
    <row r="2380" spans="9:17">
      <c r="I2380" s="578" t="str">
        <f t="shared" si="183"/>
        <v>2002age35-39Neo</v>
      </c>
      <c r="J2380" s="604">
        <v>2002</v>
      </c>
      <c r="K2380" s="604" t="s">
        <v>453</v>
      </c>
      <c r="L2380" s="604" t="s">
        <v>133</v>
      </c>
      <c r="M2380" s="604">
        <v>39</v>
      </c>
      <c r="N2380" s="604">
        <v>8738</v>
      </c>
      <c r="O2380" s="604">
        <v>4.5</v>
      </c>
      <c r="P2380" s="604" t="s">
        <v>484</v>
      </c>
      <c r="Q2380" s="499"/>
    </row>
    <row r="2381" spans="9:17">
      <c r="I2381" s="578" t="str">
        <f t="shared" si="183"/>
        <v>2002age40+Neo</v>
      </c>
      <c r="J2381" s="604">
        <v>2002</v>
      </c>
      <c r="K2381" s="604" t="s">
        <v>453</v>
      </c>
      <c r="L2381" s="604" t="s">
        <v>134</v>
      </c>
      <c r="M2381" s="604">
        <v>7</v>
      </c>
      <c r="N2381" s="604">
        <v>1830</v>
      </c>
      <c r="O2381" s="604">
        <v>3.8</v>
      </c>
      <c r="P2381" s="604" t="s">
        <v>484</v>
      </c>
      <c r="Q2381" s="499"/>
    </row>
    <row r="2382" spans="9:17">
      <c r="I2382" s="578" t="str">
        <f t="shared" si="183"/>
        <v>2002ageUnknownNeo</v>
      </c>
      <c r="J2382" s="604">
        <v>2002</v>
      </c>
      <c r="K2382" s="604" t="s">
        <v>453</v>
      </c>
      <c r="L2382" s="604" t="s">
        <v>63</v>
      </c>
      <c r="M2382" s="604">
        <v>0</v>
      </c>
      <c r="N2382" s="604">
        <v>0</v>
      </c>
      <c r="O2382" s="604" t="s">
        <v>119</v>
      </c>
      <c r="P2382" s="604" t="s">
        <v>484</v>
      </c>
      <c r="Q2382" s="499"/>
    </row>
    <row r="2383" spans="9:17">
      <c r="I2383" s="578" t="str">
        <f t="shared" si="183"/>
        <v>2003age&lt;20Neo</v>
      </c>
      <c r="J2383" s="604">
        <v>2003</v>
      </c>
      <c r="K2383" s="604" t="s">
        <v>453</v>
      </c>
      <c r="L2383" s="604" t="s">
        <v>339</v>
      </c>
      <c r="M2383" s="604">
        <v>16</v>
      </c>
      <c r="N2383" s="604">
        <v>3795</v>
      </c>
      <c r="O2383" s="604">
        <v>4.2</v>
      </c>
      <c r="P2383" s="604" t="s">
        <v>484</v>
      </c>
      <c r="Q2383" s="499"/>
    </row>
    <row r="2384" spans="9:17">
      <c r="I2384" s="578" t="str">
        <f t="shared" si="183"/>
        <v>2003age20-24Neo</v>
      </c>
      <c r="J2384" s="604">
        <v>2003</v>
      </c>
      <c r="K2384" s="604" t="s">
        <v>453</v>
      </c>
      <c r="L2384" s="604" t="s">
        <v>130</v>
      </c>
      <c r="M2384" s="604">
        <v>49</v>
      </c>
      <c r="N2384" s="604">
        <v>9548</v>
      </c>
      <c r="O2384" s="604">
        <v>5.0999999999999996</v>
      </c>
      <c r="P2384" s="604" t="s">
        <v>484</v>
      </c>
      <c r="Q2384" s="499"/>
    </row>
    <row r="2385" spans="9:17">
      <c r="I2385" s="578" t="str">
        <f t="shared" si="183"/>
        <v>2003age25-29Neo</v>
      </c>
      <c r="J2385" s="604">
        <v>2003</v>
      </c>
      <c r="K2385" s="604" t="s">
        <v>453</v>
      </c>
      <c r="L2385" s="604" t="s">
        <v>131</v>
      </c>
      <c r="M2385" s="604">
        <v>39</v>
      </c>
      <c r="N2385" s="604">
        <v>14104</v>
      </c>
      <c r="O2385" s="604">
        <v>2.8</v>
      </c>
      <c r="P2385" s="604" t="s">
        <v>484</v>
      </c>
      <c r="Q2385" s="499"/>
    </row>
    <row r="2386" spans="9:17">
      <c r="I2386" s="578" t="str">
        <f t="shared" si="183"/>
        <v>2003age30-34Neo</v>
      </c>
      <c r="J2386" s="604">
        <v>2003</v>
      </c>
      <c r="K2386" s="604" t="s">
        <v>453</v>
      </c>
      <c r="L2386" s="604" t="s">
        <v>132</v>
      </c>
      <c r="M2386" s="604">
        <v>43</v>
      </c>
      <c r="N2386" s="604">
        <v>17664</v>
      </c>
      <c r="O2386" s="604">
        <v>2.4</v>
      </c>
      <c r="P2386" s="604" t="s">
        <v>484</v>
      </c>
      <c r="Q2386" s="499"/>
    </row>
    <row r="2387" spans="9:17">
      <c r="I2387" s="578" t="str">
        <f t="shared" si="183"/>
        <v>2003age35-39Neo</v>
      </c>
      <c r="J2387" s="604">
        <v>2003</v>
      </c>
      <c r="K2387" s="604" t="s">
        <v>453</v>
      </c>
      <c r="L2387" s="604" t="s">
        <v>133</v>
      </c>
      <c r="M2387" s="604">
        <v>29</v>
      </c>
      <c r="N2387" s="604">
        <v>9384</v>
      </c>
      <c r="O2387" s="604">
        <v>3.1</v>
      </c>
      <c r="P2387" s="604" t="s">
        <v>484</v>
      </c>
      <c r="Q2387" s="499"/>
    </row>
    <row r="2388" spans="9:17">
      <c r="I2388" s="578" t="str">
        <f t="shared" si="183"/>
        <v>2003age40+Neo</v>
      </c>
      <c r="J2388" s="604">
        <v>2003</v>
      </c>
      <c r="K2388" s="604" t="s">
        <v>453</v>
      </c>
      <c r="L2388" s="604" t="s">
        <v>134</v>
      </c>
      <c r="M2388" s="604">
        <v>8</v>
      </c>
      <c r="N2388" s="604">
        <v>2081</v>
      </c>
      <c r="O2388" s="604">
        <v>3.8</v>
      </c>
      <c r="P2388" s="604" t="s">
        <v>484</v>
      </c>
      <c r="Q2388" s="499"/>
    </row>
    <row r="2389" spans="9:17">
      <c r="I2389" s="578" t="str">
        <f t="shared" si="183"/>
        <v>2003ageUnknownNeo</v>
      </c>
      <c r="J2389" s="604">
        <v>2003</v>
      </c>
      <c r="K2389" s="604" t="s">
        <v>453</v>
      </c>
      <c r="L2389" s="604" t="s">
        <v>63</v>
      </c>
      <c r="M2389" s="604">
        <v>0</v>
      </c>
      <c r="N2389" s="604">
        <v>0</v>
      </c>
      <c r="O2389" s="604" t="s">
        <v>119</v>
      </c>
      <c r="P2389" s="604" t="s">
        <v>484</v>
      </c>
      <c r="Q2389" s="499"/>
    </row>
    <row r="2390" spans="9:17">
      <c r="I2390" s="578" t="str">
        <f t="shared" si="183"/>
        <v>2004age&lt;20Neo</v>
      </c>
      <c r="J2390" s="604">
        <v>2004</v>
      </c>
      <c r="K2390" s="604" t="s">
        <v>453</v>
      </c>
      <c r="L2390" s="604" t="s">
        <v>339</v>
      </c>
      <c r="M2390" s="604">
        <v>25</v>
      </c>
      <c r="N2390" s="604">
        <v>4095</v>
      </c>
      <c r="O2390" s="604">
        <v>6.1</v>
      </c>
      <c r="P2390" s="604" t="s">
        <v>484</v>
      </c>
      <c r="Q2390" s="499"/>
    </row>
    <row r="2391" spans="9:17">
      <c r="I2391" s="578" t="str">
        <f t="shared" si="183"/>
        <v>2004age20-24Neo</v>
      </c>
      <c r="J2391" s="604">
        <v>2004</v>
      </c>
      <c r="K2391" s="604" t="s">
        <v>453</v>
      </c>
      <c r="L2391" s="604" t="s">
        <v>130</v>
      </c>
      <c r="M2391" s="604">
        <v>33</v>
      </c>
      <c r="N2391" s="604">
        <v>10153</v>
      </c>
      <c r="O2391" s="604">
        <v>3.3</v>
      </c>
      <c r="P2391" s="604" t="s">
        <v>484</v>
      </c>
      <c r="Q2391" s="499"/>
    </row>
    <row r="2392" spans="9:17">
      <c r="I2392" s="578" t="str">
        <f t="shared" si="183"/>
        <v>2004age25-29Neo</v>
      </c>
      <c r="J2392" s="604">
        <v>2004</v>
      </c>
      <c r="K2392" s="604" t="s">
        <v>453</v>
      </c>
      <c r="L2392" s="604" t="s">
        <v>131</v>
      </c>
      <c r="M2392" s="604">
        <v>41</v>
      </c>
      <c r="N2392" s="604">
        <v>14254</v>
      </c>
      <c r="O2392" s="604">
        <v>2.9</v>
      </c>
      <c r="P2392" s="604" t="s">
        <v>484</v>
      </c>
      <c r="Q2392" s="499"/>
    </row>
    <row r="2393" spans="9:17">
      <c r="I2393" s="578" t="str">
        <f t="shared" si="183"/>
        <v>2004age30-34Neo</v>
      </c>
      <c r="J2393" s="604">
        <v>2004</v>
      </c>
      <c r="K2393" s="604" t="s">
        <v>453</v>
      </c>
      <c r="L2393" s="604" t="s">
        <v>132</v>
      </c>
      <c r="M2393" s="604">
        <v>65</v>
      </c>
      <c r="N2393" s="604">
        <v>18417</v>
      </c>
      <c r="O2393" s="604">
        <v>3.5</v>
      </c>
      <c r="P2393" s="604" t="s">
        <v>484</v>
      </c>
      <c r="Q2393" s="499"/>
    </row>
    <row r="2394" spans="9:17">
      <c r="I2394" s="578" t="str">
        <f t="shared" si="183"/>
        <v>2004age35-39Neo</v>
      </c>
      <c r="J2394" s="604">
        <v>2004</v>
      </c>
      <c r="K2394" s="604" t="s">
        <v>453</v>
      </c>
      <c r="L2394" s="604" t="s">
        <v>133</v>
      </c>
      <c r="M2394" s="604">
        <v>24</v>
      </c>
      <c r="N2394" s="604">
        <v>9675</v>
      </c>
      <c r="O2394" s="604">
        <v>2.5</v>
      </c>
      <c r="P2394" s="604" t="s">
        <v>484</v>
      </c>
      <c r="Q2394" s="499"/>
    </row>
    <row r="2395" spans="9:17">
      <c r="I2395" s="578" t="str">
        <f t="shared" si="183"/>
        <v>2004age40+Neo</v>
      </c>
      <c r="J2395" s="604">
        <v>2004</v>
      </c>
      <c r="K2395" s="604" t="s">
        <v>453</v>
      </c>
      <c r="L2395" s="604" t="s">
        <v>134</v>
      </c>
      <c r="M2395" s="604">
        <v>8</v>
      </c>
      <c r="N2395" s="604">
        <v>2129</v>
      </c>
      <c r="O2395" s="604">
        <v>3.8</v>
      </c>
      <c r="P2395" s="604" t="s">
        <v>484</v>
      </c>
      <c r="Q2395" s="499"/>
    </row>
    <row r="2396" spans="9:17">
      <c r="I2396" s="578" t="str">
        <f t="shared" si="183"/>
        <v>2004ageUnknownNeo</v>
      </c>
      <c r="J2396" s="604">
        <v>2004</v>
      </c>
      <c r="K2396" s="604" t="s">
        <v>453</v>
      </c>
      <c r="L2396" s="604" t="s">
        <v>63</v>
      </c>
      <c r="M2396" s="604">
        <v>1</v>
      </c>
      <c r="N2396" s="604">
        <v>0</v>
      </c>
      <c r="O2396" s="604" t="s">
        <v>119</v>
      </c>
      <c r="P2396" s="604" t="s">
        <v>484</v>
      </c>
      <c r="Q2396" s="499"/>
    </row>
    <row r="2397" spans="9:17">
      <c r="I2397" s="578" t="str">
        <f t="shared" si="183"/>
        <v>2005age&lt;20Neo</v>
      </c>
      <c r="J2397" s="604">
        <v>2005</v>
      </c>
      <c r="K2397" s="604" t="s">
        <v>453</v>
      </c>
      <c r="L2397" s="604" t="s">
        <v>339</v>
      </c>
      <c r="M2397" s="604">
        <v>23</v>
      </c>
      <c r="N2397" s="604">
        <v>4245</v>
      </c>
      <c r="O2397" s="604">
        <v>5.4</v>
      </c>
      <c r="P2397" s="604" t="s">
        <v>484</v>
      </c>
      <c r="Q2397" s="499"/>
    </row>
    <row r="2398" spans="9:17">
      <c r="I2398" s="578" t="str">
        <f t="shared" si="183"/>
        <v>2005age20-24Neo</v>
      </c>
      <c r="J2398" s="604">
        <v>2005</v>
      </c>
      <c r="K2398" s="604" t="s">
        <v>453</v>
      </c>
      <c r="L2398" s="604" t="s">
        <v>130</v>
      </c>
      <c r="M2398" s="604">
        <v>33</v>
      </c>
      <c r="N2398" s="604">
        <v>10022</v>
      </c>
      <c r="O2398" s="604">
        <v>3.3</v>
      </c>
      <c r="P2398" s="604" t="s">
        <v>484</v>
      </c>
      <c r="Q2398" s="499"/>
    </row>
    <row r="2399" spans="9:17">
      <c r="I2399" s="578" t="str">
        <f t="shared" si="183"/>
        <v>2005age25-29Neo</v>
      </c>
      <c r="J2399" s="604">
        <v>2005</v>
      </c>
      <c r="K2399" s="604" t="s">
        <v>453</v>
      </c>
      <c r="L2399" s="604" t="s">
        <v>131</v>
      </c>
      <c r="M2399" s="604">
        <v>41</v>
      </c>
      <c r="N2399" s="604">
        <v>14057</v>
      </c>
      <c r="O2399" s="604">
        <v>2.9</v>
      </c>
      <c r="P2399" s="604" t="s">
        <v>484</v>
      </c>
      <c r="Q2399" s="499"/>
    </row>
    <row r="2400" spans="9:17">
      <c r="I2400" s="578" t="str">
        <f t="shared" si="183"/>
        <v>2005age30-34Neo</v>
      </c>
      <c r="J2400" s="604">
        <v>2005</v>
      </c>
      <c r="K2400" s="604" t="s">
        <v>453</v>
      </c>
      <c r="L2400" s="604" t="s">
        <v>132</v>
      </c>
      <c r="M2400" s="604">
        <v>49</v>
      </c>
      <c r="N2400" s="604">
        <v>18155</v>
      </c>
      <c r="O2400" s="604">
        <v>2.7</v>
      </c>
      <c r="P2400" s="604" t="s">
        <v>484</v>
      </c>
      <c r="Q2400" s="499"/>
    </row>
    <row r="2401" spans="9:17">
      <c r="I2401" s="578" t="str">
        <f t="shared" si="183"/>
        <v>2005age35-39Neo</v>
      </c>
      <c r="J2401" s="604">
        <v>2005</v>
      </c>
      <c r="K2401" s="604" t="s">
        <v>453</v>
      </c>
      <c r="L2401" s="604" t="s">
        <v>133</v>
      </c>
      <c r="M2401" s="604">
        <v>21</v>
      </c>
      <c r="N2401" s="604">
        <v>10120</v>
      </c>
      <c r="O2401" s="604">
        <v>2.1</v>
      </c>
      <c r="P2401" s="604" t="s">
        <v>484</v>
      </c>
      <c r="Q2401" s="499"/>
    </row>
    <row r="2402" spans="9:17">
      <c r="I2402" s="578" t="str">
        <f t="shared" si="183"/>
        <v>2005age40+Neo</v>
      </c>
      <c r="J2402" s="604">
        <v>2005</v>
      </c>
      <c r="K2402" s="604" t="s">
        <v>453</v>
      </c>
      <c r="L2402" s="604" t="s">
        <v>134</v>
      </c>
      <c r="M2402" s="604">
        <v>16</v>
      </c>
      <c r="N2402" s="604">
        <v>2128</v>
      </c>
      <c r="O2402" s="604">
        <v>7.5</v>
      </c>
      <c r="P2402" s="604" t="s">
        <v>484</v>
      </c>
      <c r="Q2402" s="499"/>
    </row>
    <row r="2403" spans="9:17">
      <c r="I2403" s="578" t="str">
        <f t="shared" si="183"/>
        <v>2005ageUnknownNeo</v>
      </c>
      <c r="J2403" s="604">
        <v>2005</v>
      </c>
      <c r="K2403" s="604" t="s">
        <v>453</v>
      </c>
      <c r="L2403" s="604" t="s">
        <v>63</v>
      </c>
      <c r="M2403" s="604">
        <v>0</v>
      </c>
      <c r="N2403" s="604">
        <v>0</v>
      </c>
      <c r="O2403" s="604" t="s">
        <v>119</v>
      </c>
      <c r="P2403" s="604" t="s">
        <v>484</v>
      </c>
      <c r="Q2403" s="499"/>
    </row>
    <row r="2404" spans="9:17">
      <c r="I2404" s="578" t="str">
        <f t="shared" si="183"/>
        <v>2006age&lt;20Neo</v>
      </c>
      <c r="J2404" s="604">
        <v>2006</v>
      </c>
      <c r="K2404" s="604" t="s">
        <v>453</v>
      </c>
      <c r="L2404" s="604" t="s">
        <v>339</v>
      </c>
      <c r="M2404" s="604">
        <v>23</v>
      </c>
      <c r="N2404" s="604">
        <v>4455</v>
      </c>
      <c r="O2404" s="604">
        <v>5.2</v>
      </c>
      <c r="P2404" s="604" t="s">
        <v>484</v>
      </c>
      <c r="Q2404" s="499"/>
    </row>
    <row r="2405" spans="9:17">
      <c r="I2405" s="578" t="str">
        <f t="shared" si="183"/>
        <v>2006age20-24Neo</v>
      </c>
      <c r="J2405" s="604">
        <v>2006</v>
      </c>
      <c r="K2405" s="604" t="s">
        <v>453</v>
      </c>
      <c r="L2405" s="604" t="s">
        <v>130</v>
      </c>
      <c r="M2405" s="604">
        <v>35</v>
      </c>
      <c r="N2405" s="604">
        <v>10647</v>
      </c>
      <c r="O2405" s="604">
        <v>3.3</v>
      </c>
      <c r="P2405" s="604" t="s">
        <v>484</v>
      </c>
      <c r="Q2405" s="499"/>
    </row>
    <row r="2406" spans="9:17">
      <c r="I2406" s="578" t="str">
        <f t="shared" si="183"/>
        <v>2006age25-29Neo</v>
      </c>
      <c r="J2406" s="604">
        <v>2006</v>
      </c>
      <c r="K2406" s="604" t="s">
        <v>453</v>
      </c>
      <c r="L2406" s="604" t="s">
        <v>131</v>
      </c>
      <c r="M2406" s="604">
        <v>42</v>
      </c>
      <c r="N2406" s="604">
        <v>14386</v>
      </c>
      <c r="O2406" s="604">
        <v>2.9</v>
      </c>
      <c r="P2406" s="604" t="s">
        <v>484</v>
      </c>
      <c r="Q2406" s="499"/>
    </row>
    <row r="2407" spans="9:17">
      <c r="I2407" s="578" t="str">
        <f t="shared" si="183"/>
        <v>2006age30-34Neo</v>
      </c>
      <c r="J2407" s="604">
        <v>2006</v>
      </c>
      <c r="K2407" s="604" t="s">
        <v>453</v>
      </c>
      <c r="L2407" s="604" t="s">
        <v>132</v>
      </c>
      <c r="M2407" s="604">
        <v>37</v>
      </c>
      <c r="N2407" s="604">
        <v>18090</v>
      </c>
      <c r="O2407" s="604">
        <v>2</v>
      </c>
      <c r="P2407" s="604" t="s">
        <v>484</v>
      </c>
      <c r="Q2407" s="499"/>
    </row>
    <row r="2408" spans="9:17">
      <c r="I2408" s="578" t="str">
        <f t="shared" si="183"/>
        <v>2006age35-39Neo</v>
      </c>
      <c r="J2408" s="604">
        <v>2006</v>
      </c>
      <c r="K2408" s="604" t="s">
        <v>453</v>
      </c>
      <c r="L2408" s="604" t="s">
        <v>133</v>
      </c>
      <c r="M2408" s="604">
        <v>18</v>
      </c>
      <c r="N2408" s="604">
        <v>10499</v>
      </c>
      <c r="O2408" s="604">
        <v>1.7</v>
      </c>
      <c r="P2408" s="604" t="s">
        <v>484</v>
      </c>
      <c r="Q2408" s="499"/>
    </row>
    <row r="2409" spans="9:17">
      <c r="I2409" s="578" t="str">
        <f t="shared" si="183"/>
        <v>2006age40+Neo</v>
      </c>
      <c r="J2409" s="604">
        <v>2006</v>
      </c>
      <c r="K2409" s="604" t="s">
        <v>453</v>
      </c>
      <c r="L2409" s="604" t="s">
        <v>134</v>
      </c>
      <c r="M2409" s="604">
        <v>9</v>
      </c>
      <c r="N2409" s="604">
        <v>2197</v>
      </c>
      <c r="O2409" s="604">
        <v>4.0999999999999996</v>
      </c>
      <c r="P2409" s="604" t="s">
        <v>484</v>
      </c>
      <c r="Q2409" s="499"/>
    </row>
    <row r="2410" spans="9:17">
      <c r="I2410" s="578" t="str">
        <f t="shared" si="183"/>
        <v>2006ageUnknownNeo</v>
      </c>
      <c r="J2410" s="604">
        <v>2006</v>
      </c>
      <c r="K2410" s="604" t="s">
        <v>453</v>
      </c>
      <c r="L2410" s="604" t="s">
        <v>63</v>
      </c>
      <c r="M2410" s="604">
        <v>1</v>
      </c>
      <c r="N2410" s="604">
        <v>0</v>
      </c>
      <c r="O2410" s="604" t="s">
        <v>119</v>
      </c>
      <c r="P2410" s="604" t="s">
        <v>484</v>
      </c>
      <c r="Q2410" s="499"/>
    </row>
    <row r="2411" spans="9:17">
      <c r="I2411" s="578" t="str">
        <f t="shared" si="183"/>
        <v>2007age&lt;20Neo</v>
      </c>
      <c r="J2411" s="604">
        <v>2007</v>
      </c>
      <c r="K2411" s="604" t="s">
        <v>453</v>
      </c>
      <c r="L2411" s="604" t="s">
        <v>339</v>
      </c>
      <c r="M2411" s="604">
        <v>17</v>
      </c>
      <c r="N2411" s="604">
        <v>5051</v>
      </c>
      <c r="O2411" s="604">
        <v>3.4</v>
      </c>
      <c r="P2411" s="604" t="s">
        <v>484</v>
      </c>
      <c r="Q2411" s="499"/>
    </row>
    <row r="2412" spans="9:17">
      <c r="I2412" s="578" t="str">
        <f t="shared" si="183"/>
        <v>2007age20-24Neo</v>
      </c>
      <c r="J2412" s="604">
        <v>2007</v>
      </c>
      <c r="K2412" s="604" t="s">
        <v>453</v>
      </c>
      <c r="L2412" s="604" t="s">
        <v>130</v>
      </c>
      <c r="M2412" s="604">
        <v>33</v>
      </c>
      <c r="N2412" s="604">
        <v>11423</v>
      </c>
      <c r="O2412" s="604">
        <v>2.9</v>
      </c>
      <c r="P2412" s="604" t="s">
        <v>484</v>
      </c>
      <c r="Q2412" s="499"/>
    </row>
    <row r="2413" spans="9:17">
      <c r="I2413" s="578" t="str">
        <f t="shared" si="183"/>
        <v>2007age25-29Neo</v>
      </c>
      <c r="J2413" s="604">
        <v>2007</v>
      </c>
      <c r="K2413" s="604" t="s">
        <v>453</v>
      </c>
      <c r="L2413" s="604" t="s">
        <v>131</v>
      </c>
      <c r="M2413" s="604">
        <v>45</v>
      </c>
      <c r="N2413" s="604">
        <v>15815</v>
      </c>
      <c r="O2413" s="604">
        <v>2.8</v>
      </c>
      <c r="P2413" s="604" t="s">
        <v>484</v>
      </c>
      <c r="Q2413" s="499"/>
    </row>
    <row r="2414" spans="9:17">
      <c r="I2414" s="578" t="str">
        <f t="shared" si="183"/>
        <v>2007age30-34Neo</v>
      </c>
      <c r="J2414" s="604">
        <v>2007</v>
      </c>
      <c r="K2414" s="604" t="s">
        <v>453</v>
      </c>
      <c r="L2414" s="604" t="s">
        <v>132</v>
      </c>
      <c r="M2414" s="604">
        <v>39</v>
      </c>
      <c r="N2414" s="604">
        <v>18716</v>
      </c>
      <c r="O2414" s="604">
        <v>2.1</v>
      </c>
      <c r="P2414" s="604" t="s">
        <v>484</v>
      </c>
      <c r="Q2414" s="499"/>
    </row>
    <row r="2415" spans="9:17">
      <c r="I2415" s="578" t="str">
        <f t="shared" si="183"/>
        <v>2007age35-39Neo</v>
      </c>
      <c r="J2415" s="604">
        <v>2007</v>
      </c>
      <c r="K2415" s="604" t="s">
        <v>453</v>
      </c>
      <c r="L2415" s="604" t="s">
        <v>133</v>
      </c>
      <c r="M2415" s="604">
        <v>24</v>
      </c>
      <c r="N2415" s="604">
        <v>11704</v>
      </c>
      <c r="O2415" s="604">
        <v>2.1</v>
      </c>
      <c r="P2415" s="604" t="s">
        <v>484</v>
      </c>
      <c r="Q2415" s="499"/>
    </row>
    <row r="2416" spans="9:17">
      <c r="I2416" s="578" t="str">
        <f t="shared" si="183"/>
        <v>2007age40+Neo</v>
      </c>
      <c r="J2416" s="604">
        <v>2007</v>
      </c>
      <c r="K2416" s="604" t="s">
        <v>453</v>
      </c>
      <c r="L2416" s="604" t="s">
        <v>134</v>
      </c>
      <c r="M2416" s="604">
        <v>6</v>
      </c>
      <c r="N2416" s="604">
        <v>2412</v>
      </c>
      <c r="O2416" s="604">
        <v>2.5</v>
      </c>
      <c r="P2416" s="604" t="s">
        <v>484</v>
      </c>
      <c r="Q2416" s="499"/>
    </row>
    <row r="2417" spans="9:17">
      <c r="I2417" s="578" t="str">
        <f t="shared" si="183"/>
        <v>2007ageUnknownNeo</v>
      </c>
      <c r="J2417" s="604">
        <v>2007</v>
      </c>
      <c r="K2417" s="604" t="s">
        <v>453</v>
      </c>
      <c r="L2417" s="604" t="s">
        <v>63</v>
      </c>
      <c r="M2417" s="604">
        <v>2</v>
      </c>
      <c r="N2417" s="604">
        <v>0</v>
      </c>
      <c r="O2417" s="604" t="s">
        <v>119</v>
      </c>
      <c r="P2417" s="604" t="s">
        <v>484</v>
      </c>
      <c r="Q2417" s="499"/>
    </row>
    <row r="2418" spans="9:17">
      <c r="I2418" s="578" t="str">
        <f t="shared" si="183"/>
        <v>2008age&lt;20Neo</v>
      </c>
      <c r="J2418" s="604">
        <v>2008</v>
      </c>
      <c r="K2418" s="604" t="s">
        <v>453</v>
      </c>
      <c r="L2418" s="604" t="s">
        <v>339</v>
      </c>
      <c r="M2418" s="604">
        <v>26</v>
      </c>
      <c r="N2418" s="604">
        <v>5310</v>
      </c>
      <c r="O2418" s="604">
        <v>4.9000000000000004</v>
      </c>
      <c r="P2418" s="604" t="s">
        <v>484</v>
      </c>
      <c r="Q2418" s="499"/>
    </row>
    <row r="2419" spans="9:17">
      <c r="I2419" s="578" t="str">
        <f t="shared" si="183"/>
        <v>2008age20-24Neo</v>
      </c>
      <c r="J2419" s="604">
        <v>2008</v>
      </c>
      <c r="K2419" s="604" t="s">
        <v>453</v>
      </c>
      <c r="L2419" s="604" t="s">
        <v>130</v>
      </c>
      <c r="M2419" s="604">
        <v>40</v>
      </c>
      <c r="N2419" s="604">
        <v>11795</v>
      </c>
      <c r="O2419" s="604">
        <v>3.4</v>
      </c>
      <c r="P2419" s="604" t="s">
        <v>484</v>
      </c>
      <c r="Q2419" s="499"/>
    </row>
    <row r="2420" spans="9:17">
      <c r="I2420" s="578" t="str">
        <f t="shared" si="183"/>
        <v>2008age25-29Neo</v>
      </c>
      <c r="J2420" s="604">
        <v>2008</v>
      </c>
      <c r="K2420" s="604" t="s">
        <v>453</v>
      </c>
      <c r="L2420" s="604" t="s">
        <v>131</v>
      </c>
      <c r="M2420" s="604">
        <v>41</v>
      </c>
      <c r="N2420" s="604">
        <v>15901</v>
      </c>
      <c r="O2420" s="604">
        <v>2.6</v>
      </c>
      <c r="P2420" s="604" t="s">
        <v>484</v>
      </c>
      <c r="Q2420" s="499"/>
    </row>
    <row r="2421" spans="9:17">
      <c r="I2421" s="578" t="str">
        <f t="shared" si="183"/>
        <v>2008age30-34Neo</v>
      </c>
      <c r="J2421" s="604">
        <v>2008</v>
      </c>
      <c r="K2421" s="604" t="s">
        <v>453</v>
      </c>
      <c r="L2421" s="604" t="s">
        <v>132</v>
      </c>
      <c r="M2421" s="604">
        <v>44</v>
      </c>
      <c r="N2421" s="604">
        <v>18009</v>
      </c>
      <c r="O2421" s="604">
        <v>2.4</v>
      </c>
      <c r="P2421" s="604" t="s">
        <v>484</v>
      </c>
      <c r="Q2421" s="499"/>
    </row>
    <row r="2422" spans="9:17">
      <c r="I2422" s="578" t="str">
        <f t="shared" si="183"/>
        <v>2008age35-39Neo</v>
      </c>
      <c r="J2422" s="604">
        <v>2008</v>
      </c>
      <c r="K2422" s="604" t="s">
        <v>453</v>
      </c>
      <c r="L2422" s="604" t="s">
        <v>133</v>
      </c>
      <c r="M2422" s="604">
        <v>30</v>
      </c>
      <c r="N2422" s="604">
        <v>11900</v>
      </c>
      <c r="O2422" s="604">
        <v>2.5</v>
      </c>
      <c r="P2422" s="604" t="s">
        <v>484</v>
      </c>
      <c r="Q2422" s="499"/>
    </row>
    <row r="2423" spans="9:17">
      <c r="I2423" s="578" t="str">
        <f t="shared" si="183"/>
        <v>2008age40+Neo</v>
      </c>
      <c r="J2423" s="604">
        <v>2008</v>
      </c>
      <c r="K2423" s="604" t="s">
        <v>453</v>
      </c>
      <c r="L2423" s="604" t="s">
        <v>134</v>
      </c>
      <c r="M2423" s="604">
        <v>3</v>
      </c>
      <c r="N2423" s="604">
        <v>2418</v>
      </c>
      <c r="O2423" s="604">
        <v>1.2</v>
      </c>
      <c r="P2423" s="604" t="s">
        <v>484</v>
      </c>
      <c r="Q2423" s="499"/>
    </row>
    <row r="2424" spans="9:17">
      <c r="I2424" s="578" t="str">
        <f t="shared" si="183"/>
        <v>2008ageUnknownNeo</v>
      </c>
      <c r="J2424" s="604">
        <v>2008</v>
      </c>
      <c r="K2424" s="604" t="s">
        <v>453</v>
      </c>
      <c r="L2424" s="604" t="s">
        <v>63</v>
      </c>
      <c r="M2424" s="604">
        <v>3</v>
      </c>
      <c r="N2424" s="604">
        <v>0</v>
      </c>
      <c r="O2424" s="604" t="s">
        <v>119</v>
      </c>
      <c r="P2424" s="604" t="s">
        <v>484</v>
      </c>
      <c r="Q2424" s="499"/>
    </row>
    <row r="2425" spans="9:17">
      <c r="I2425" s="578" t="str">
        <f t="shared" si="183"/>
        <v>2009age&lt;20Neo</v>
      </c>
      <c r="J2425" s="604">
        <v>2009</v>
      </c>
      <c r="K2425" s="604" t="s">
        <v>453</v>
      </c>
      <c r="L2425" s="604" t="s">
        <v>339</v>
      </c>
      <c r="M2425" s="604">
        <v>28</v>
      </c>
      <c r="N2425" s="604">
        <v>4735</v>
      </c>
      <c r="O2425" s="604">
        <v>5.9</v>
      </c>
      <c r="P2425" s="604" t="s">
        <v>484</v>
      </c>
      <c r="Q2425" s="499"/>
    </row>
    <row r="2426" spans="9:17">
      <c r="I2426" s="578" t="str">
        <f t="shared" si="183"/>
        <v>2009age20-24Neo</v>
      </c>
      <c r="J2426" s="604">
        <v>2009</v>
      </c>
      <c r="K2426" s="604" t="s">
        <v>453</v>
      </c>
      <c r="L2426" s="604" t="s">
        <v>130</v>
      </c>
      <c r="M2426" s="604">
        <v>60</v>
      </c>
      <c r="N2426" s="604">
        <v>11699</v>
      </c>
      <c r="O2426" s="604">
        <v>5.0999999999999996</v>
      </c>
      <c r="P2426" s="604" t="s">
        <v>484</v>
      </c>
      <c r="Q2426" s="499"/>
    </row>
    <row r="2427" spans="9:17">
      <c r="I2427" s="578" t="str">
        <f t="shared" si="183"/>
        <v>2009age25-29Neo</v>
      </c>
      <c r="J2427" s="604">
        <v>2009</v>
      </c>
      <c r="K2427" s="604" t="s">
        <v>453</v>
      </c>
      <c r="L2427" s="604" t="s">
        <v>131</v>
      </c>
      <c r="M2427" s="604">
        <v>36</v>
      </c>
      <c r="N2427" s="604">
        <v>15518</v>
      </c>
      <c r="O2427" s="604">
        <v>2.2999999999999998</v>
      </c>
      <c r="P2427" s="604" t="s">
        <v>484</v>
      </c>
      <c r="Q2427" s="499"/>
    </row>
    <row r="2428" spans="9:17">
      <c r="I2428" s="578" t="str">
        <f t="shared" si="183"/>
        <v>2009age30-34Neo</v>
      </c>
      <c r="J2428" s="604">
        <v>2009</v>
      </c>
      <c r="K2428" s="604" t="s">
        <v>453</v>
      </c>
      <c r="L2428" s="604" t="s">
        <v>132</v>
      </c>
      <c r="M2428" s="604">
        <v>39</v>
      </c>
      <c r="N2428" s="604">
        <v>17463</v>
      </c>
      <c r="O2428" s="604">
        <v>2.2000000000000002</v>
      </c>
      <c r="P2428" s="604" t="s">
        <v>484</v>
      </c>
      <c r="Q2428" s="499"/>
    </row>
    <row r="2429" spans="9:17">
      <c r="I2429" s="578" t="str">
        <f t="shared" si="183"/>
        <v>2009age35-39Neo</v>
      </c>
      <c r="J2429" s="604">
        <v>2009</v>
      </c>
      <c r="K2429" s="604" t="s">
        <v>453</v>
      </c>
      <c r="L2429" s="604" t="s">
        <v>133</v>
      </c>
      <c r="M2429" s="604">
        <v>27</v>
      </c>
      <c r="N2429" s="604">
        <v>11391</v>
      </c>
      <c r="O2429" s="604">
        <v>2.4</v>
      </c>
      <c r="P2429" s="604" t="s">
        <v>484</v>
      </c>
      <c r="Q2429" s="499"/>
    </row>
    <row r="2430" spans="9:17">
      <c r="I2430" s="578" t="str">
        <f t="shared" si="183"/>
        <v>2009age40+Neo</v>
      </c>
      <c r="J2430" s="604">
        <v>2009</v>
      </c>
      <c r="K2430" s="604" t="s">
        <v>453</v>
      </c>
      <c r="L2430" s="604" t="s">
        <v>134</v>
      </c>
      <c r="M2430" s="604">
        <v>6</v>
      </c>
      <c r="N2430" s="604">
        <v>2479</v>
      </c>
      <c r="O2430" s="604">
        <v>2.4</v>
      </c>
      <c r="P2430" s="604" t="s">
        <v>484</v>
      </c>
      <c r="Q2430" s="499"/>
    </row>
    <row r="2431" spans="9:17">
      <c r="I2431" s="578" t="str">
        <f t="shared" si="183"/>
        <v>2009ageUnknownNeo</v>
      </c>
      <c r="J2431" s="604">
        <v>2009</v>
      </c>
      <c r="K2431" s="604" t="s">
        <v>453</v>
      </c>
      <c r="L2431" s="604" t="s">
        <v>63</v>
      </c>
      <c r="M2431" s="604">
        <v>1</v>
      </c>
      <c r="N2431" s="604">
        <v>0</v>
      </c>
      <c r="O2431" s="604" t="s">
        <v>119</v>
      </c>
      <c r="P2431" s="604" t="s">
        <v>484</v>
      </c>
      <c r="Q2431" s="499"/>
    </row>
    <row r="2432" spans="9:17">
      <c r="I2432" s="578" t="str">
        <f t="shared" si="183"/>
        <v>2010age&lt;20Neo</v>
      </c>
      <c r="J2432" s="604">
        <v>2010</v>
      </c>
      <c r="K2432" s="604" t="s">
        <v>453</v>
      </c>
      <c r="L2432" s="604" t="s">
        <v>339</v>
      </c>
      <c r="M2432" s="604">
        <v>25</v>
      </c>
      <c r="N2432" s="604">
        <v>4600</v>
      </c>
      <c r="O2432" s="604">
        <v>5.4</v>
      </c>
      <c r="P2432" s="604" t="s">
        <v>484</v>
      </c>
      <c r="Q2432" s="499"/>
    </row>
    <row r="2433" spans="9:17">
      <c r="I2433" s="578" t="str">
        <f t="shared" si="183"/>
        <v>2010age20-24Neo</v>
      </c>
      <c r="J2433" s="604">
        <v>2010</v>
      </c>
      <c r="K2433" s="604" t="s">
        <v>453</v>
      </c>
      <c r="L2433" s="604" t="s">
        <v>130</v>
      </c>
      <c r="M2433" s="604">
        <v>41</v>
      </c>
      <c r="N2433" s="604">
        <v>12034</v>
      </c>
      <c r="O2433" s="604">
        <v>3.4</v>
      </c>
      <c r="P2433" s="604" t="s">
        <v>484</v>
      </c>
      <c r="Q2433" s="499"/>
    </row>
    <row r="2434" spans="9:17">
      <c r="I2434" s="578" t="str">
        <f t="shared" si="183"/>
        <v>2010age25-29Neo</v>
      </c>
      <c r="J2434" s="604">
        <v>2010</v>
      </c>
      <c r="K2434" s="604" t="s">
        <v>453</v>
      </c>
      <c r="L2434" s="604" t="s">
        <v>131</v>
      </c>
      <c r="M2434" s="604">
        <v>55</v>
      </c>
      <c r="N2434" s="604">
        <v>16132</v>
      </c>
      <c r="O2434" s="604">
        <v>3.4</v>
      </c>
      <c r="P2434" s="604" t="s">
        <v>484</v>
      </c>
      <c r="Q2434" s="499"/>
    </row>
    <row r="2435" spans="9:17">
      <c r="I2435" s="578" t="str">
        <f t="shared" si="183"/>
        <v>2010age30-34Neo</v>
      </c>
      <c r="J2435" s="604">
        <v>2010</v>
      </c>
      <c r="K2435" s="604" t="s">
        <v>453</v>
      </c>
      <c r="L2435" s="604" t="s">
        <v>132</v>
      </c>
      <c r="M2435" s="604">
        <v>45</v>
      </c>
      <c r="N2435" s="604">
        <v>17871</v>
      </c>
      <c r="O2435" s="604">
        <v>2.5</v>
      </c>
      <c r="P2435" s="604" t="s">
        <v>484</v>
      </c>
      <c r="Q2435" s="499"/>
    </row>
    <row r="2436" spans="9:17">
      <c r="I2436" s="578" t="str">
        <f t="shared" ref="I2436:I2499" si="184">J2436&amp;K2436&amp;L2436&amp;P2436</f>
        <v>2010age35-39Neo</v>
      </c>
      <c r="J2436" s="604">
        <v>2010</v>
      </c>
      <c r="K2436" s="604" t="s">
        <v>453</v>
      </c>
      <c r="L2436" s="604" t="s">
        <v>133</v>
      </c>
      <c r="M2436" s="604">
        <v>50</v>
      </c>
      <c r="N2436" s="604">
        <v>11413</v>
      </c>
      <c r="O2436" s="604">
        <v>4.4000000000000004</v>
      </c>
      <c r="P2436" s="604" t="s">
        <v>484</v>
      </c>
      <c r="Q2436" s="499"/>
    </row>
    <row r="2437" spans="9:17">
      <c r="I2437" s="578" t="str">
        <f t="shared" si="184"/>
        <v>2010age40+Neo</v>
      </c>
      <c r="J2437" s="604">
        <v>2010</v>
      </c>
      <c r="K2437" s="604" t="s">
        <v>453</v>
      </c>
      <c r="L2437" s="604" t="s">
        <v>134</v>
      </c>
      <c r="M2437" s="604">
        <v>14</v>
      </c>
      <c r="N2437" s="604">
        <v>2649</v>
      </c>
      <c r="O2437" s="604">
        <v>5.3</v>
      </c>
      <c r="P2437" s="604" t="s">
        <v>484</v>
      </c>
      <c r="Q2437" s="499"/>
    </row>
    <row r="2438" spans="9:17">
      <c r="I2438" s="578" t="str">
        <f t="shared" si="184"/>
        <v>2010ageUnknownNeo</v>
      </c>
      <c r="J2438" s="604">
        <v>2010</v>
      </c>
      <c r="K2438" s="604" t="s">
        <v>453</v>
      </c>
      <c r="L2438" s="604" t="s">
        <v>63</v>
      </c>
      <c r="M2438" s="604">
        <v>4</v>
      </c>
      <c r="N2438" s="604">
        <v>0</v>
      </c>
      <c r="O2438" s="604" t="s">
        <v>119</v>
      </c>
      <c r="P2438" s="604" t="s">
        <v>484</v>
      </c>
      <c r="Q2438" s="499"/>
    </row>
    <row r="2439" spans="9:17">
      <c r="I2439" s="578" t="str">
        <f t="shared" si="184"/>
        <v>2011age&lt;20Neo</v>
      </c>
      <c r="J2439" s="604">
        <v>2011</v>
      </c>
      <c r="K2439" s="604" t="s">
        <v>453</v>
      </c>
      <c r="L2439" s="604" t="s">
        <v>339</v>
      </c>
      <c r="M2439" s="604">
        <v>30</v>
      </c>
      <c r="N2439" s="604">
        <v>4065</v>
      </c>
      <c r="O2439" s="604">
        <v>7.4</v>
      </c>
      <c r="P2439" s="604" t="s">
        <v>484</v>
      </c>
      <c r="Q2439" s="499"/>
    </row>
    <row r="2440" spans="9:17">
      <c r="I2440" s="578" t="str">
        <f t="shared" si="184"/>
        <v>2011age20-24Neo</v>
      </c>
      <c r="J2440" s="604">
        <v>2011</v>
      </c>
      <c r="K2440" s="604" t="s">
        <v>453</v>
      </c>
      <c r="L2440" s="604" t="s">
        <v>130</v>
      </c>
      <c r="M2440" s="604">
        <v>38</v>
      </c>
      <c r="N2440" s="604">
        <v>11604</v>
      </c>
      <c r="O2440" s="604">
        <v>3.3</v>
      </c>
      <c r="P2440" s="604" t="s">
        <v>484</v>
      </c>
      <c r="Q2440" s="499"/>
    </row>
    <row r="2441" spans="9:17">
      <c r="I2441" s="578" t="str">
        <f t="shared" si="184"/>
        <v>2011age25-29Neo</v>
      </c>
      <c r="J2441" s="604">
        <v>2011</v>
      </c>
      <c r="K2441" s="604" t="s">
        <v>453</v>
      </c>
      <c r="L2441" s="604" t="s">
        <v>131</v>
      </c>
      <c r="M2441" s="604">
        <v>39</v>
      </c>
      <c r="N2441" s="604">
        <v>15636</v>
      </c>
      <c r="O2441" s="604">
        <v>2.5</v>
      </c>
      <c r="P2441" s="604" t="s">
        <v>484</v>
      </c>
      <c r="Q2441" s="499"/>
    </row>
    <row r="2442" spans="9:17">
      <c r="I2442" s="578" t="str">
        <f t="shared" si="184"/>
        <v>2011age30-34Neo</v>
      </c>
      <c r="J2442" s="604">
        <v>2011</v>
      </c>
      <c r="K2442" s="604" t="s">
        <v>453</v>
      </c>
      <c r="L2442" s="604" t="s">
        <v>132</v>
      </c>
      <c r="M2442" s="604">
        <v>43</v>
      </c>
      <c r="N2442" s="604">
        <v>17359</v>
      </c>
      <c r="O2442" s="604">
        <v>2.5</v>
      </c>
      <c r="P2442" s="604" t="s">
        <v>484</v>
      </c>
      <c r="Q2442" s="499"/>
    </row>
    <row r="2443" spans="9:17">
      <c r="I2443" s="578" t="str">
        <f t="shared" si="184"/>
        <v>2011age35-39Neo</v>
      </c>
      <c r="J2443" s="604">
        <v>2011</v>
      </c>
      <c r="K2443" s="604" t="s">
        <v>453</v>
      </c>
      <c r="L2443" s="604" t="s">
        <v>133</v>
      </c>
      <c r="M2443" s="604">
        <v>37</v>
      </c>
      <c r="N2443" s="604">
        <v>10940</v>
      </c>
      <c r="O2443" s="604">
        <v>3.4</v>
      </c>
      <c r="P2443" s="604" t="s">
        <v>484</v>
      </c>
      <c r="Q2443" s="499"/>
    </row>
    <row r="2444" spans="9:17">
      <c r="I2444" s="578" t="str">
        <f t="shared" si="184"/>
        <v>2011age40+Neo</v>
      </c>
      <c r="J2444" s="604">
        <v>2011</v>
      </c>
      <c r="K2444" s="604" t="s">
        <v>453</v>
      </c>
      <c r="L2444" s="604" t="s">
        <v>134</v>
      </c>
      <c r="M2444" s="604">
        <v>9</v>
      </c>
      <c r="N2444" s="604">
        <v>2570</v>
      </c>
      <c r="O2444" s="604">
        <v>3.5</v>
      </c>
      <c r="P2444" s="604" t="s">
        <v>484</v>
      </c>
      <c r="Q2444" s="499"/>
    </row>
    <row r="2445" spans="9:17">
      <c r="I2445" s="578" t="str">
        <f t="shared" si="184"/>
        <v>2011ageUnknownNeo</v>
      </c>
      <c r="J2445" s="604">
        <v>2011</v>
      </c>
      <c r="K2445" s="604" t="s">
        <v>453</v>
      </c>
      <c r="L2445" s="604" t="s">
        <v>63</v>
      </c>
      <c r="M2445" s="604">
        <v>1</v>
      </c>
      <c r="N2445" s="604">
        <v>0</v>
      </c>
      <c r="O2445" s="604" t="s">
        <v>119</v>
      </c>
      <c r="P2445" s="604" t="s">
        <v>484</v>
      </c>
      <c r="Q2445" s="499"/>
    </row>
    <row r="2446" spans="9:17">
      <c r="I2446" s="578" t="str">
        <f t="shared" si="184"/>
        <v>2012age&lt;20Neo</v>
      </c>
      <c r="J2446" s="604">
        <v>2012</v>
      </c>
      <c r="K2446" s="604" t="s">
        <v>453</v>
      </c>
      <c r="L2446" s="604" t="s">
        <v>339</v>
      </c>
      <c r="M2446" s="604">
        <v>19</v>
      </c>
      <c r="N2446" s="604">
        <v>3881</v>
      </c>
      <c r="O2446" s="604">
        <v>4.9000000000000004</v>
      </c>
      <c r="P2446" s="604" t="s">
        <v>484</v>
      </c>
      <c r="Q2446" s="499"/>
    </row>
    <row r="2447" spans="9:17">
      <c r="I2447" s="578" t="str">
        <f t="shared" si="184"/>
        <v>2012age20-24Neo</v>
      </c>
      <c r="J2447" s="604">
        <v>2012</v>
      </c>
      <c r="K2447" s="604" t="s">
        <v>453</v>
      </c>
      <c r="L2447" s="604" t="s">
        <v>130</v>
      </c>
      <c r="M2447" s="604">
        <v>43</v>
      </c>
      <c r="N2447" s="604">
        <v>11530</v>
      </c>
      <c r="O2447" s="604">
        <v>3.7</v>
      </c>
      <c r="P2447" s="604" t="s">
        <v>484</v>
      </c>
      <c r="Q2447" s="499"/>
    </row>
    <row r="2448" spans="9:17">
      <c r="I2448" s="578" t="str">
        <f t="shared" si="184"/>
        <v>2012age25-29Neo</v>
      </c>
      <c r="J2448" s="604">
        <v>2012</v>
      </c>
      <c r="K2448" s="604" t="s">
        <v>453</v>
      </c>
      <c r="L2448" s="604" t="s">
        <v>131</v>
      </c>
      <c r="M2448" s="604">
        <v>49</v>
      </c>
      <c r="N2448" s="604">
        <v>15863</v>
      </c>
      <c r="O2448" s="604">
        <v>3.1</v>
      </c>
      <c r="P2448" s="604" t="s">
        <v>484</v>
      </c>
      <c r="Q2448" s="499"/>
    </row>
    <row r="2449" spans="9:17">
      <c r="I2449" s="578" t="str">
        <f t="shared" si="184"/>
        <v>2012age30-34Neo</v>
      </c>
      <c r="J2449" s="604">
        <v>2012</v>
      </c>
      <c r="K2449" s="604" t="s">
        <v>453</v>
      </c>
      <c r="L2449" s="604" t="s">
        <v>132</v>
      </c>
      <c r="M2449" s="604">
        <v>37</v>
      </c>
      <c r="N2449" s="604">
        <v>17635</v>
      </c>
      <c r="O2449" s="604">
        <v>2.1</v>
      </c>
      <c r="P2449" s="604" t="s">
        <v>484</v>
      </c>
      <c r="Q2449" s="499"/>
    </row>
    <row r="2450" spans="9:17">
      <c r="I2450" s="578" t="str">
        <f t="shared" si="184"/>
        <v>2012age35-39Neo</v>
      </c>
      <c r="J2450" s="604">
        <v>2012</v>
      </c>
      <c r="K2450" s="604" t="s">
        <v>453</v>
      </c>
      <c r="L2450" s="604" t="s">
        <v>133</v>
      </c>
      <c r="M2450" s="604">
        <v>33</v>
      </c>
      <c r="N2450" s="604">
        <v>10460</v>
      </c>
      <c r="O2450" s="604">
        <v>3.2</v>
      </c>
      <c r="P2450" s="604" t="s">
        <v>484</v>
      </c>
      <c r="Q2450" s="499"/>
    </row>
    <row r="2451" spans="9:17">
      <c r="I2451" s="578" t="str">
        <f t="shared" si="184"/>
        <v>2012age40+Neo</v>
      </c>
      <c r="J2451" s="604">
        <v>2012</v>
      </c>
      <c r="K2451" s="604" t="s">
        <v>453</v>
      </c>
      <c r="L2451" s="604" t="s">
        <v>134</v>
      </c>
      <c r="M2451" s="604">
        <v>11</v>
      </c>
      <c r="N2451" s="604">
        <v>2666</v>
      </c>
      <c r="O2451" s="604">
        <v>4.0999999999999996</v>
      </c>
      <c r="P2451" s="604" t="s">
        <v>484</v>
      </c>
      <c r="Q2451" s="499"/>
    </row>
    <row r="2452" spans="9:17">
      <c r="I2452" s="578" t="str">
        <f t="shared" si="184"/>
        <v>2012ageUnknownNeo</v>
      </c>
      <c r="J2452" s="604">
        <v>2012</v>
      </c>
      <c r="K2452" s="604" t="s">
        <v>453</v>
      </c>
      <c r="L2452" s="604" t="s">
        <v>63</v>
      </c>
      <c r="M2452" s="604">
        <v>2</v>
      </c>
      <c r="N2452" s="604">
        <v>0</v>
      </c>
      <c r="O2452" s="604" t="s">
        <v>119</v>
      </c>
      <c r="P2452" s="604" t="s">
        <v>484</v>
      </c>
      <c r="Q2452" s="499"/>
    </row>
    <row r="2453" spans="9:17">
      <c r="I2453" s="578" t="str">
        <f t="shared" si="184"/>
        <v>2013age&lt;20Neo</v>
      </c>
      <c r="J2453" s="604">
        <v>2013</v>
      </c>
      <c r="K2453" s="604" t="s">
        <v>453</v>
      </c>
      <c r="L2453" s="604" t="s">
        <v>339</v>
      </c>
      <c r="M2453" s="604">
        <v>29</v>
      </c>
      <c r="N2453" s="604">
        <v>3409</v>
      </c>
      <c r="O2453" s="604">
        <v>8.5</v>
      </c>
      <c r="P2453" s="604" t="s">
        <v>484</v>
      </c>
      <c r="Q2453" s="499"/>
    </row>
    <row r="2454" spans="9:17">
      <c r="I2454" s="578" t="str">
        <f t="shared" si="184"/>
        <v>2013age20-24Neo</v>
      </c>
      <c r="J2454" s="604">
        <v>2013</v>
      </c>
      <c r="K2454" s="604" t="s">
        <v>453</v>
      </c>
      <c r="L2454" s="604" t="s">
        <v>130</v>
      </c>
      <c r="M2454" s="604">
        <v>47</v>
      </c>
      <c r="N2454" s="604">
        <v>10983</v>
      </c>
      <c r="O2454" s="604">
        <v>4.3</v>
      </c>
      <c r="P2454" s="604" t="s">
        <v>484</v>
      </c>
      <c r="Q2454" s="499"/>
    </row>
    <row r="2455" spans="9:17">
      <c r="I2455" s="578" t="str">
        <f t="shared" si="184"/>
        <v>2013age25-29Neo</v>
      </c>
      <c r="J2455" s="604">
        <v>2013</v>
      </c>
      <c r="K2455" s="604" t="s">
        <v>453</v>
      </c>
      <c r="L2455" s="604" t="s">
        <v>131</v>
      </c>
      <c r="M2455" s="604">
        <v>48</v>
      </c>
      <c r="N2455" s="604">
        <v>15486</v>
      </c>
      <c r="O2455" s="604">
        <v>3.1</v>
      </c>
      <c r="P2455" s="604" t="s">
        <v>484</v>
      </c>
      <c r="Q2455" s="499"/>
    </row>
    <row r="2456" spans="9:17">
      <c r="I2456" s="578" t="str">
        <f t="shared" si="184"/>
        <v>2013age30-34Neo</v>
      </c>
      <c r="J2456" s="604">
        <v>2013</v>
      </c>
      <c r="K2456" s="604" t="s">
        <v>453</v>
      </c>
      <c r="L2456" s="604" t="s">
        <v>132</v>
      </c>
      <c r="M2456" s="604">
        <v>33</v>
      </c>
      <c r="N2456" s="604">
        <v>16970</v>
      </c>
      <c r="O2456" s="604">
        <v>1.9</v>
      </c>
      <c r="P2456" s="604" t="s">
        <v>484</v>
      </c>
      <c r="Q2456" s="499"/>
    </row>
    <row r="2457" spans="9:17">
      <c r="I2457" s="578" t="str">
        <f t="shared" si="184"/>
        <v>2013age35-39Neo</v>
      </c>
      <c r="J2457" s="604">
        <v>2013</v>
      </c>
      <c r="K2457" s="604" t="s">
        <v>453</v>
      </c>
      <c r="L2457" s="604" t="s">
        <v>133</v>
      </c>
      <c r="M2457" s="604">
        <v>27</v>
      </c>
      <c r="N2457" s="604">
        <v>10235</v>
      </c>
      <c r="O2457" s="604">
        <v>2.6</v>
      </c>
      <c r="P2457" s="604" t="s">
        <v>484</v>
      </c>
      <c r="Q2457" s="499"/>
    </row>
    <row r="2458" spans="9:17">
      <c r="I2458" s="578" t="str">
        <f t="shared" si="184"/>
        <v>2013age40+Neo</v>
      </c>
      <c r="J2458" s="604">
        <v>2013</v>
      </c>
      <c r="K2458" s="604" t="s">
        <v>453</v>
      </c>
      <c r="L2458" s="604" t="s">
        <v>134</v>
      </c>
      <c r="M2458" s="604">
        <v>14</v>
      </c>
      <c r="N2458" s="604">
        <v>2618</v>
      </c>
      <c r="O2458" s="604">
        <v>5.3</v>
      </c>
      <c r="P2458" s="604" t="s">
        <v>484</v>
      </c>
      <c r="Q2458" s="499"/>
    </row>
    <row r="2459" spans="9:17">
      <c r="I2459" s="578" t="str">
        <f t="shared" si="184"/>
        <v>2013ageUnknownNeo</v>
      </c>
      <c r="J2459" s="604">
        <v>2013</v>
      </c>
      <c r="K2459" s="604" t="s">
        <v>453</v>
      </c>
      <c r="L2459" s="604" t="s">
        <v>63</v>
      </c>
      <c r="M2459" s="604">
        <v>0</v>
      </c>
      <c r="N2459" s="604">
        <v>0</v>
      </c>
      <c r="O2459" s="604" t="s">
        <v>119</v>
      </c>
      <c r="P2459" s="604" t="s">
        <v>484</v>
      </c>
      <c r="Q2459" s="499"/>
    </row>
    <row r="2460" spans="9:17">
      <c r="I2460" s="578" t="str">
        <f t="shared" si="184"/>
        <v>2014age&lt;20Neo</v>
      </c>
      <c r="J2460" s="604">
        <v>2014</v>
      </c>
      <c r="K2460" s="604" t="s">
        <v>453</v>
      </c>
      <c r="L2460" s="604" t="s">
        <v>339</v>
      </c>
      <c r="M2460" s="604">
        <v>19</v>
      </c>
      <c r="N2460" s="604">
        <v>3017</v>
      </c>
      <c r="O2460" s="604">
        <v>6.3</v>
      </c>
      <c r="P2460" s="604" t="s">
        <v>484</v>
      </c>
      <c r="Q2460" s="499"/>
    </row>
    <row r="2461" spans="9:17">
      <c r="I2461" s="578" t="str">
        <f t="shared" si="184"/>
        <v>2014age20-24Neo</v>
      </c>
      <c r="J2461" s="604">
        <v>2014</v>
      </c>
      <c r="K2461" s="604" t="s">
        <v>453</v>
      </c>
      <c r="L2461" s="604" t="s">
        <v>130</v>
      </c>
      <c r="M2461" s="604">
        <v>42</v>
      </c>
      <c r="N2461" s="604">
        <v>10235</v>
      </c>
      <c r="O2461" s="604">
        <v>4.0999999999999996</v>
      </c>
      <c r="P2461" s="604" t="s">
        <v>484</v>
      </c>
      <c r="Q2461" s="499"/>
    </row>
    <row r="2462" spans="9:17">
      <c r="I2462" s="578" t="str">
        <f t="shared" si="184"/>
        <v>2014age25-29Neo</v>
      </c>
      <c r="J2462" s="604">
        <v>2014</v>
      </c>
      <c r="K2462" s="604" t="s">
        <v>453</v>
      </c>
      <c r="L2462" s="604" t="s">
        <v>131</v>
      </c>
      <c r="M2462" s="604">
        <v>62</v>
      </c>
      <c r="N2462" s="604">
        <v>15519</v>
      </c>
      <c r="O2462" s="604">
        <v>4</v>
      </c>
      <c r="P2462" s="604" t="s">
        <v>484</v>
      </c>
      <c r="Q2462" s="499"/>
    </row>
    <row r="2463" spans="9:17">
      <c r="I2463" s="578" t="str">
        <f t="shared" si="184"/>
        <v>2014age30-34Neo</v>
      </c>
      <c r="J2463" s="604">
        <v>2014</v>
      </c>
      <c r="K2463" s="604" t="s">
        <v>453</v>
      </c>
      <c r="L2463" s="604" t="s">
        <v>132</v>
      </c>
      <c r="M2463" s="604">
        <v>68</v>
      </c>
      <c r="N2463" s="604">
        <v>17375</v>
      </c>
      <c r="O2463" s="604">
        <v>3.9</v>
      </c>
      <c r="P2463" s="604" t="s">
        <v>484</v>
      </c>
      <c r="Q2463" s="499"/>
    </row>
    <row r="2464" spans="9:17">
      <c r="I2464" s="578" t="str">
        <f t="shared" si="184"/>
        <v>2014age35-39Neo</v>
      </c>
      <c r="J2464" s="604">
        <v>2014</v>
      </c>
      <c r="K2464" s="604" t="s">
        <v>453</v>
      </c>
      <c r="L2464" s="604" t="s">
        <v>133</v>
      </c>
      <c r="M2464" s="604">
        <v>34</v>
      </c>
      <c r="N2464" s="604">
        <v>9639</v>
      </c>
      <c r="O2464" s="604">
        <v>3.5</v>
      </c>
      <c r="P2464" s="604" t="s">
        <v>484</v>
      </c>
      <c r="Q2464" s="499"/>
    </row>
    <row r="2465" spans="9:17">
      <c r="I2465" s="578" t="str">
        <f t="shared" si="184"/>
        <v>2014age40+Neo</v>
      </c>
      <c r="J2465" s="604">
        <v>2014</v>
      </c>
      <c r="K2465" s="604" t="s">
        <v>453</v>
      </c>
      <c r="L2465" s="604" t="s">
        <v>134</v>
      </c>
      <c r="M2465" s="604">
        <v>10</v>
      </c>
      <c r="N2465" s="604">
        <v>2500</v>
      </c>
      <c r="O2465" s="604">
        <v>4</v>
      </c>
      <c r="P2465" s="604" t="s">
        <v>484</v>
      </c>
      <c r="Q2465" s="499"/>
    </row>
    <row r="2466" spans="9:17">
      <c r="I2466" s="578" t="str">
        <f t="shared" si="184"/>
        <v>2014ageUnknownNeo</v>
      </c>
      <c r="J2466" s="604">
        <v>2014</v>
      </c>
      <c r="K2466" s="604" t="s">
        <v>453</v>
      </c>
      <c r="L2466" s="604" t="s">
        <v>63</v>
      </c>
      <c r="M2466" s="604">
        <v>5</v>
      </c>
      <c r="N2466" s="604">
        <v>0</v>
      </c>
      <c r="O2466" s="604" t="s">
        <v>119</v>
      </c>
      <c r="P2466" s="604" t="s">
        <v>484</v>
      </c>
      <c r="Q2466" s="499"/>
    </row>
    <row r="2467" spans="9:17">
      <c r="I2467" s="578" t="str">
        <f t="shared" si="184"/>
        <v>2015age&lt;20Neo</v>
      </c>
      <c r="J2467" s="604">
        <v>2015</v>
      </c>
      <c r="K2467" s="604" t="s">
        <v>453</v>
      </c>
      <c r="L2467" s="604" t="s">
        <v>339</v>
      </c>
      <c r="M2467" s="604">
        <v>12</v>
      </c>
      <c r="N2467" s="604">
        <v>2977</v>
      </c>
      <c r="O2467" s="604">
        <v>4</v>
      </c>
      <c r="P2467" s="604" t="s">
        <v>484</v>
      </c>
      <c r="Q2467" s="499"/>
    </row>
    <row r="2468" spans="9:17">
      <c r="I2468" s="578" t="str">
        <f t="shared" si="184"/>
        <v>2015age20-24Neo</v>
      </c>
      <c r="J2468" s="604">
        <v>2015</v>
      </c>
      <c r="K2468" s="604" t="s">
        <v>453</v>
      </c>
      <c r="L2468" s="604" t="s">
        <v>130</v>
      </c>
      <c r="M2468" s="604">
        <v>28</v>
      </c>
      <c r="N2468" s="604">
        <v>10795</v>
      </c>
      <c r="O2468" s="604">
        <v>2.6</v>
      </c>
      <c r="P2468" s="604" t="s">
        <v>484</v>
      </c>
      <c r="Q2468" s="499"/>
    </row>
    <row r="2469" spans="9:17">
      <c r="I2469" s="578" t="str">
        <f t="shared" si="184"/>
        <v>2015age25-29Neo</v>
      </c>
      <c r="J2469" s="604">
        <v>2015</v>
      </c>
      <c r="K2469" s="604" t="s">
        <v>453</v>
      </c>
      <c r="L2469" s="604" t="s">
        <v>131</v>
      </c>
      <c r="M2469" s="604">
        <v>41</v>
      </c>
      <c r="N2469" s="604">
        <v>16661</v>
      </c>
      <c r="O2469" s="604">
        <v>2.5</v>
      </c>
      <c r="P2469" s="604" t="s">
        <v>484</v>
      </c>
      <c r="Q2469" s="499"/>
    </row>
    <row r="2470" spans="9:17">
      <c r="I2470" s="578" t="str">
        <f t="shared" si="184"/>
        <v>2015age30-34Neo</v>
      </c>
      <c r="J2470" s="604">
        <v>2015</v>
      </c>
      <c r="K2470" s="604" t="s">
        <v>453</v>
      </c>
      <c r="L2470" s="604" t="s">
        <v>132</v>
      </c>
      <c r="M2470" s="604">
        <v>54</v>
      </c>
      <c r="N2470" s="604">
        <v>18793</v>
      </c>
      <c r="O2470" s="604">
        <v>2.9</v>
      </c>
      <c r="P2470" s="604" t="s">
        <v>484</v>
      </c>
      <c r="Q2470" s="499"/>
    </row>
    <row r="2471" spans="9:17">
      <c r="I2471" s="578" t="str">
        <f t="shared" si="184"/>
        <v>2015age35-39Neo</v>
      </c>
      <c r="J2471" s="604">
        <v>2015</v>
      </c>
      <c r="K2471" s="604" t="s">
        <v>453</v>
      </c>
      <c r="L2471" s="604" t="s">
        <v>133</v>
      </c>
      <c r="M2471" s="604">
        <v>31</v>
      </c>
      <c r="N2471" s="604">
        <v>10321</v>
      </c>
      <c r="O2471" s="604">
        <v>3</v>
      </c>
      <c r="P2471" s="604" t="s">
        <v>484</v>
      </c>
      <c r="Q2471" s="499"/>
    </row>
    <row r="2472" spans="9:17">
      <c r="I2472" s="578" t="str">
        <f t="shared" si="184"/>
        <v>2015age40+Neo</v>
      </c>
      <c r="J2472" s="604">
        <v>2015</v>
      </c>
      <c r="K2472" s="604" t="s">
        <v>453</v>
      </c>
      <c r="L2472" s="604" t="s">
        <v>134</v>
      </c>
      <c r="M2472" s="604">
        <v>8</v>
      </c>
      <c r="N2472" s="604">
        <v>2575</v>
      </c>
      <c r="O2472" s="604">
        <v>3.1</v>
      </c>
      <c r="P2472" s="604" t="s">
        <v>484</v>
      </c>
      <c r="Q2472" s="499"/>
    </row>
    <row r="2473" spans="9:17">
      <c r="I2473" s="578" t="str">
        <f t="shared" si="184"/>
        <v>2015ageUnknownNeo</v>
      </c>
      <c r="J2473" s="604">
        <v>2015</v>
      </c>
      <c r="K2473" s="604" t="s">
        <v>453</v>
      </c>
      <c r="L2473" s="604" t="s">
        <v>63</v>
      </c>
      <c r="M2473" s="604">
        <v>1</v>
      </c>
      <c r="N2473" s="604">
        <v>0</v>
      </c>
      <c r="O2473" s="604" t="s">
        <v>119</v>
      </c>
      <c r="P2473" s="604" t="s">
        <v>484</v>
      </c>
      <c r="Q2473" s="499"/>
    </row>
    <row r="2474" spans="9:17">
      <c r="I2474" s="578" t="str">
        <f t="shared" si="184"/>
        <v>2016age&lt;20Neo</v>
      </c>
      <c r="J2474" s="604">
        <v>2016</v>
      </c>
      <c r="K2474" s="604" t="s">
        <v>453</v>
      </c>
      <c r="L2474" s="604" t="s">
        <v>339</v>
      </c>
      <c r="M2474" s="604">
        <v>17</v>
      </c>
      <c r="N2474" s="604">
        <v>2559</v>
      </c>
      <c r="O2474" s="604">
        <v>6.6</v>
      </c>
      <c r="P2474" s="604" t="s">
        <v>484</v>
      </c>
      <c r="Q2474" s="499"/>
    </row>
    <row r="2475" spans="9:17">
      <c r="I2475" s="578" t="str">
        <f t="shared" si="184"/>
        <v>2016age20-24Neo</v>
      </c>
      <c r="J2475" s="604">
        <v>2016</v>
      </c>
      <c r="K2475" s="604" t="s">
        <v>453</v>
      </c>
      <c r="L2475" s="604" t="s">
        <v>130</v>
      </c>
      <c r="M2475" s="604">
        <v>42</v>
      </c>
      <c r="N2475" s="604">
        <v>9934</v>
      </c>
      <c r="O2475" s="604">
        <v>4.2</v>
      </c>
      <c r="P2475" s="604" t="s">
        <v>484</v>
      </c>
      <c r="Q2475" s="499"/>
    </row>
    <row r="2476" spans="9:17">
      <c r="I2476" s="578" t="str">
        <f t="shared" si="184"/>
        <v>2016age25-29Neo</v>
      </c>
      <c r="J2476" s="604">
        <v>2016</v>
      </c>
      <c r="K2476" s="604" t="s">
        <v>453</v>
      </c>
      <c r="L2476" s="604" t="s">
        <v>131</v>
      </c>
      <c r="M2476" s="604">
        <v>30</v>
      </c>
      <c r="N2476" s="604">
        <v>16664</v>
      </c>
      <c r="O2476" s="604">
        <v>1.8</v>
      </c>
      <c r="P2476" s="604" t="s">
        <v>484</v>
      </c>
      <c r="Q2476" s="499"/>
    </row>
    <row r="2477" spans="9:17">
      <c r="I2477" s="578" t="str">
        <f t="shared" si="184"/>
        <v>2016age30-34Neo</v>
      </c>
      <c r="J2477" s="604">
        <v>2016</v>
      </c>
      <c r="K2477" s="604" t="s">
        <v>453</v>
      </c>
      <c r="L2477" s="604" t="s">
        <v>132</v>
      </c>
      <c r="M2477" s="604">
        <v>41</v>
      </c>
      <c r="N2477" s="604">
        <v>18720</v>
      </c>
      <c r="O2477" s="604">
        <v>2.2000000000000002</v>
      </c>
      <c r="P2477" s="604" t="s">
        <v>484</v>
      </c>
      <c r="Q2477" s="499"/>
    </row>
    <row r="2478" spans="9:17">
      <c r="I2478" s="578" t="str">
        <f t="shared" si="184"/>
        <v>2016age35-39Neo</v>
      </c>
      <c r="J2478" s="604">
        <v>2016</v>
      </c>
      <c r="K2478" s="604" t="s">
        <v>453</v>
      </c>
      <c r="L2478" s="604" t="s">
        <v>133</v>
      </c>
      <c r="M2478" s="604">
        <v>19</v>
      </c>
      <c r="N2478" s="604">
        <v>10105</v>
      </c>
      <c r="O2478" s="604">
        <v>1.9</v>
      </c>
      <c r="P2478" s="604" t="s">
        <v>484</v>
      </c>
      <c r="Q2478" s="499"/>
    </row>
    <row r="2479" spans="9:17">
      <c r="I2479" s="578" t="str">
        <f t="shared" si="184"/>
        <v>2016age40+Neo</v>
      </c>
      <c r="J2479" s="604">
        <v>2016</v>
      </c>
      <c r="K2479" s="604" t="s">
        <v>453</v>
      </c>
      <c r="L2479" s="604" t="s">
        <v>134</v>
      </c>
      <c r="M2479" s="604">
        <v>12</v>
      </c>
      <c r="N2479" s="604">
        <v>2454</v>
      </c>
      <c r="O2479" s="604">
        <v>4.9000000000000004</v>
      </c>
      <c r="P2479" s="604" t="s">
        <v>484</v>
      </c>
      <c r="Q2479" s="499"/>
    </row>
    <row r="2480" spans="9:17">
      <c r="I2480" s="578" t="str">
        <f t="shared" si="184"/>
        <v>2016ageUnknownNeo</v>
      </c>
      <c r="J2480" s="604">
        <v>2016</v>
      </c>
      <c r="K2480" s="604" t="s">
        <v>453</v>
      </c>
      <c r="L2480" s="604" t="s">
        <v>63</v>
      </c>
      <c r="M2480" s="604">
        <v>0</v>
      </c>
      <c r="N2480" s="604">
        <v>0</v>
      </c>
      <c r="O2480" s="604" t="s">
        <v>119</v>
      </c>
      <c r="P2480" s="604" t="s">
        <v>484</v>
      </c>
      <c r="Q2480" s="499"/>
    </row>
    <row r="2481" spans="9:17">
      <c r="I2481" s="578" t="str">
        <f t="shared" si="184"/>
        <v>1996sexMaleNeo</v>
      </c>
      <c r="J2481" s="604">
        <v>1996</v>
      </c>
      <c r="K2481" s="604" t="s">
        <v>451</v>
      </c>
      <c r="L2481" s="604" t="s">
        <v>70</v>
      </c>
      <c r="M2481" s="604">
        <v>125</v>
      </c>
      <c r="N2481" s="604">
        <v>29549</v>
      </c>
      <c r="O2481" s="604">
        <v>4.2</v>
      </c>
      <c r="P2481" s="604" t="s">
        <v>484</v>
      </c>
      <c r="Q2481" s="499"/>
    </row>
    <row r="2482" spans="9:17">
      <c r="I2482" s="578" t="str">
        <f t="shared" si="184"/>
        <v>1996sexFemaleNeo</v>
      </c>
      <c r="J2482" s="604">
        <v>1996</v>
      </c>
      <c r="K2482" s="604" t="s">
        <v>451</v>
      </c>
      <c r="L2482" s="604" t="s">
        <v>71</v>
      </c>
      <c r="M2482" s="604">
        <v>98</v>
      </c>
      <c r="N2482" s="604">
        <v>27885</v>
      </c>
      <c r="O2482" s="604">
        <v>3.5</v>
      </c>
      <c r="P2482" s="604" t="s">
        <v>484</v>
      </c>
      <c r="Q2482" s="499"/>
    </row>
    <row r="2483" spans="9:17">
      <c r="I2483" s="578" t="str">
        <f t="shared" si="184"/>
        <v>1996sexInd/UnkNeo</v>
      </c>
      <c r="J2483" s="604">
        <v>1996</v>
      </c>
      <c r="K2483" s="604" t="s">
        <v>451</v>
      </c>
      <c r="L2483" s="604" t="s">
        <v>458</v>
      </c>
      <c r="M2483" s="604">
        <v>0</v>
      </c>
      <c r="N2483" s="604">
        <v>0</v>
      </c>
      <c r="O2483" s="604" t="s">
        <v>119</v>
      </c>
      <c r="P2483" s="604" t="s">
        <v>484</v>
      </c>
      <c r="Q2483" s="499"/>
    </row>
    <row r="2484" spans="9:17">
      <c r="I2484" s="578" t="str">
        <f t="shared" si="184"/>
        <v>1997sexMaleNeo</v>
      </c>
      <c r="J2484" s="604">
        <v>1997</v>
      </c>
      <c r="K2484" s="604" t="s">
        <v>451</v>
      </c>
      <c r="L2484" s="604" t="s">
        <v>70</v>
      </c>
      <c r="M2484" s="604">
        <v>111</v>
      </c>
      <c r="N2484" s="604">
        <v>29493</v>
      </c>
      <c r="O2484" s="604">
        <v>3.8</v>
      </c>
      <c r="P2484" s="604" t="s">
        <v>484</v>
      </c>
      <c r="Q2484" s="499"/>
    </row>
    <row r="2485" spans="9:17">
      <c r="I2485" s="578" t="str">
        <f t="shared" si="184"/>
        <v>1997sexFemaleNeo</v>
      </c>
      <c r="J2485" s="604">
        <v>1997</v>
      </c>
      <c r="K2485" s="604" t="s">
        <v>451</v>
      </c>
      <c r="L2485" s="604" t="s">
        <v>71</v>
      </c>
      <c r="M2485" s="604">
        <v>98</v>
      </c>
      <c r="N2485" s="604">
        <v>28241</v>
      </c>
      <c r="O2485" s="604">
        <v>3.5</v>
      </c>
      <c r="P2485" s="604" t="s">
        <v>484</v>
      </c>
      <c r="Q2485" s="499"/>
    </row>
    <row r="2486" spans="9:17">
      <c r="I2486" s="578" t="str">
        <f t="shared" si="184"/>
        <v>1997sexInd/UnkNeo</v>
      </c>
      <c r="J2486" s="604">
        <v>1997</v>
      </c>
      <c r="K2486" s="604" t="s">
        <v>451</v>
      </c>
      <c r="L2486" s="604" t="s">
        <v>458</v>
      </c>
      <c r="M2486" s="604">
        <v>0</v>
      </c>
      <c r="N2486" s="604">
        <v>0</v>
      </c>
      <c r="O2486" s="604" t="s">
        <v>119</v>
      </c>
      <c r="P2486" s="604" t="s">
        <v>484</v>
      </c>
      <c r="Q2486" s="499"/>
    </row>
    <row r="2487" spans="9:17">
      <c r="I2487" s="578" t="str">
        <f t="shared" si="184"/>
        <v>1998sexMaleNeo</v>
      </c>
      <c r="J2487" s="604">
        <v>1998</v>
      </c>
      <c r="K2487" s="604" t="s">
        <v>451</v>
      </c>
      <c r="L2487" s="604" t="s">
        <v>70</v>
      </c>
      <c r="M2487" s="604">
        <v>101</v>
      </c>
      <c r="N2487" s="604">
        <v>29493</v>
      </c>
      <c r="O2487" s="604">
        <v>3.4</v>
      </c>
      <c r="P2487" s="604" t="s">
        <v>484</v>
      </c>
      <c r="Q2487" s="499"/>
    </row>
    <row r="2488" spans="9:17">
      <c r="I2488" s="578" t="str">
        <f t="shared" si="184"/>
        <v>1998sexFemaleNeo</v>
      </c>
      <c r="J2488" s="604">
        <v>1998</v>
      </c>
      <c r="K2488" s="604" t="s">
        <v>451</v>
      </c>
      <c r="L2488" s="604" t="s">
        <v>71</v>
      </c>
      <c r="M2488" s="604">
        <v>70</v>
      </c>
      <c r="N2488" s="604">
        <v>28241</v>
      </c>
      <c r="O2488" s="604">
        <v>2.5</v>
      </c>
      <c r="P2488" s="604" t="s">
        <v>484</v>
      </c>
      <c r="Q2488" s="499"/>
    </row>
    <row r="2489" spans="9:17">
      <c r="I2489" s="578" t="str">
        <f t="shared" si="184"/>
        <v>1998sexInd/UnkNeo</v>
      </c>
      <c r="J2489" s="604">
        <v>1998</v>
      </c>
      <c r="K2489" s="604" t="s">
        <v>451</v>
      </c>
      <c r="L2489" s="604" t="s">
        <v>458</v>
      </c>
      <c r="M2489" s="604">
        <v>0</v>
      </c>
      <c r="N2489" s="604">
        <v>0</v>
      </c>
      <c r="O2489" s="604" t="s">
        <v>119</v>
      </c>
      <c r="P2489" s="604" t="s">
        <v>484</v>
      </c>
      <c r="Q2489" s="499"/>
    </row>
    <row r="2490" spans="9:17">
      <c r="I2490" s="578" t="str">
        <f t="shared" si="184"/>
        <v>1999sexMaleNeo</v>
      </c>
      <c r="J2490" s="604">
        <v>1999</v>
      </c>
      <c r="K2490" s="604" t="s">
        <v>451</v>
      </c>
      <c r="L2490" s="604" t="s">
        <v>70</v>
      </c>
      <c r="M2490" s="604">
        <v>100</v>
      </c>
      <c r="N2490" s="604">
        <v>29372</v>
      </c>
      <c r="O2490" s="604">
        <v>3.4</v>
      </c>
      <c r="P2490" s="604" t="s">
        <v>484</v>
      </c>
      <c r="Q2490" s="499"/>
    </row>
    <row r="2491" spans="9:17">
      <c r="I2491" s="578" t="str">
        <f t="shared" si="184"/>
        <v>1999sexFemaleNeo</v>
      </c>
      <c r="J2491" s="604">
        <v>1999</v>
      </c>
      <c r="K2491" s="604" t="s">
        <v>451</v>
      </c>
      <c r="L2491" s="604" t="s">
        <v>71</v>
      </c>
      <c r="M2491" s="604">
        <v>82</v>
      </c>
      <c r="N2491" s="604">
        <v>28049</v>
      </c>
      <c r="O2491" s="604">
        <v>2.9</v>
      </c>
      <c r="P2491" s="604" t="s">
        <v>484</v>
      </c>
      <c r="Q2491" s="499"/>
    </row>
    <row r="2492" spans="9:17">
      <c r="I2492" s="578" t="str">
        <f t="shared" si="184"/>
        <v>1999sexInd/UnkNeo</v>
      </c>
      <c r="J2492" s="604">
        <v>1999</v>
      </c>
      <c r="K2492" s="604" t="s">
        <v>451</v>
      </c>
      <c r="L2492" s="604" t="s">
        <v>458</v>
      </c>
      <c r="M2492" s="604">
        <v>0</v>
      </c>
      <c r="N2492" s="604">
        <v>0</v>
      </c>
      <c r="O2492" s="604" t="s">
        <v>119</v>
      </c>
      <c r="P2492" s="604" t="s">
        <v>484</v>
      </c>
      <c r="Q2492" s="499"/>
    </row>
    <row r="2493" spans="9:17">
      <c r="I2493" s="578" t="str">
        <f t="shared" si="184"/>
        <v>2000sexMaleNeo</v>
      </c>
      <c r="J2493" s="604">
        <v>2000</v>
      </c>
      <c r="K2493" s="604" t="s">
        <v>451</v>
      </c>
      <c r="L2493" s="604" t="s">
        <v>70</v>
      </c>
      <c r="M2493" s="604">
        <v>118</v>
      </c>
      <c r="N2493" s="604">
        <v>29351</v>
      </c>
      <c r="O2493" s="604">
        <v>4</v>
      </c>
      <c r="P2493" s="604" t="s">
        <v>484</v>
      </c>
      <c r="Q2493" s="499"/>
    </row>
    <row r="2494" spans="9:17">
      <c r="I2494" s="578" t="str">
        <f t="shared" si="184"/>
        <v>2000sexFemaleNeo</v>
      </c>
      <c r="J2494" s="604">
        <v>2000</v>
      </c>
      <c r="K2494" s="604" t="s">
        <v>451</v>
      </c>
      <c r="L2494" s="604" t="s">
        <v>71</v>
      </c>
      <c r="M2494" s="604">
        <v>98</v>
      </c>
      <c r="N2494" s="604">
        <v>27643</v>
      </c>
      <c r="O2494" s="604">
        <v>3.5</v>
      </c>
      <c r="P2494" s="604" t="s">
        <v>484</v>
      </c>
      <c r="Q2494" s="499"/>
    </row>
    <row r="2495" spans="9:17">
      <c r="I2495" s="578" t="str">
        <f t="shared" si="184"/>
        <v>2000sexInd/UnkNeo</v>
      </c>
      <c r="J2495" s="604">
        <v>2000</v>
      </c>
      <c r="K2495" s="604" t="s">
        <v>451</v>
      </c>
      <c r="L2495" s="604" t="s">
        <v>458</v>
      </c>
      <c r="M2495" s="604">
        <v>0</v>
      </c>
      <c r="N2495" s="604">
        <v>0</v>
      </c>
      <c r="O2495" s="604" t="s">
        <v>119</v>
      </c>
      <c r="P2495" s="604" t="s">
        <v>484</v>
      </c>
      <c r="Q2495" s="499"/>
    </row>
    <row r="2496" spans="9:17">
      <c r="I2496" s="578" t="str">
        <f t="shared" si="184"/>
        <v>2001sexMaleNeo</v>
      </c>
      <c r="J2496" s="604">
        <v>2001</v>
      </c>
      <c r="K2496" s="604" t="s">
        <v>451</v>
      </c>
      <c r="L2496" s="604" t="s">
        <v>70</v>
      </c>
      <c r="M2496" s="604">
        <v>89</v>
      </c>
      <c r="N2496" s="604">
        <v>28575</v>
      </c>
      <c r="O2496" s="604">
        <v>3.1</v>
      </c>
      <c r="P2496" s="604" t="s">
        <v>484</v>
      </c>
      <c r="Q2496" s="499"/>
    </row>
    <row r="2497" spans="9:17">
      <c r="I2497" s="578" t="str">
        <f t="shared" si="184"/>
        <v>2001sexFemaleNeo</v>
      </c>
      <c r="J2497" s="604">
        <v>2001</v>
      </c>
      <c r="K2497" s="604" t="s">
        <v>451</v>
      </c>
      <c r="L2497" s="604" t="s">
        <v>71</v>
      </c>
      <c r="M2497" s="604">
        <v>81</v>
      </c>
      <c r="N2497" s="604">
        <v>27649</v>
      </c>
      <c r="O2497" s="604">
        <v>2.9</v>
      </c>
      <c r="P2497" s="604" t="s">
        <v>484</v>
      </c>
      <c r="Q2497" s="499"/>
    </row>
    <row r="2498" spans="9:17">
      <c r="I2498" s="578" t="str">
        <f t="shared" si="184"/>
        <v>2001sexInd/UnkNeo</v>
      </c>
      <c r="J2498" s="604">
        <v>2001</v>
      </c>
      <c r="K2498" s="604" t="s">
        <v>451</v>
      </c>
      <c r="L2498" s="604" t="s">
        <v>458</v>
      </c>
      <c r="M2498" s="604">
        <v>0</v>
      </c>
      <c r="N2498" s="604">
        <v>0</v>
      </c>
      <c r="O2498" s="604" t="s">
        <v>119</v>
      </c>
      <c r="P2498" s="604" t="s">
        <v>484</v>
      </c>
      <c r="Q2498" s="499"/>
    </row>
    <row r="2499" spans="9:17">
      <c r="I2499" s="578" t="str">
        <f t="shared" si="184"/>
        <v>2002sexMaleNeo</v>
      </c>
      <c r="J2499" s="604">
        <v>2002</v>
      </c>
      <c r="K2499" s="604" t="s">
        <v>451</v>
      </c>
      <c r="L2499" s="604" t="s">
        <v>70</v>
      </c>
      <c r="M2499" s="604">
        <v>120</v>
      </c>
      <c r="N2499" s="604">
        <v>27822</v>
      </c>
      <c r="O2499" s="604">
        <v>4.3</v>
      </c>
      <c r="P2499" s="604" t="s">
        <v>484</v>
      </c>
      <c r="Q2499" s="499"/>
    </row>
    <row r="2500" spans="9:17">
      <c r="I2500" s="578" t="str">
        <f t="shared" ref="I2500:I2563" si="185">J2500&amp;K2500&amp;L2500&amp;P2500</f>
        <v>2002sexFemaleNeo</v>
      </c>
      <c r="J2500" s="604">
        <v>2002</v>
      </c>
      <c r="K2500" s="604" t="s">
        <v>451</v>
      </c>
      <c r="L2500" s="604" t="s">
        <v>71</v>
      </c>
      <c r="M2500" s="604">
        <v>101</v>
      </c>
      <c r="N2500" s="604">
        <v>26693</v>
      </c>
      <c r="O2500" s="604">
        <v>3.8</v>
      </c>
      <c r="P2500" s="604" t="s">
        <v>484</v>
      </c>
      <c r="Q2500" s="499"/>
    </row>
    <row r="2501" spans="9:17">
      <c r="I2501" s="578" t="str">
        <f t="shared" si="185"/>
        <v>2002sexInd/UnkNeo</v>
      </c>
      <c r="J2501" s="604">
        <v>2002</v>
      </c>
      <c r="K2501" s="604" t="s">
        <v>451</v>
      </c>
      <c r="L2501" s="604" t="s">
        <v>458</v>
      </c>
      <c r="M2501" s="604">
        <v>0</v>
      </c>
      <c r="N2501" s="604">
        <v>0</v>
      </c>
      <c r="O2501" s="604" t="s">
        <v>119</v>
      </c>
      <c r="P2501" s="604" t="s">
        <v>484</v>
      </c>
      <c r="Q2501" s="499"/>
    </row>
    <row r="2502" spans="9:17">
      <c r="I2502" s="578" t="str">
        <f t="shared" si="185"/>
        <v>2003sexMaleNeo</v>
      </c>
      <c r="J2502" s="604">
        <v>2003</v>
      </c>
      <c r="K2502" s="604" t="s">
        <v>451</v>
      </c>
      <c r="L2502" s="604" t="s">
        <v>70</v>
      </c>
      <c r="M2502" s="604">
        <v>104</v>
      </c>
      <c r="N2502" s="604">
        <v>29050</v>
      </c>
      <c r="O2502" s="604">
        <v>3.6</v>
      </c>
      <c r="P2502" s="604" t="s">
        <v>484</v>
      </c>
      <c r="Q2502" s="499"/>
    </row>
    <row r="2503" spans="9:17">
      <c r="I2503" s="578" t="str">
        <f t="shared" si="185"/>
        <v>2003sexFemaleNeo</v>
      </c>
      <c r="J2503" s="604">
        <v>2003</v>
      </c>
      <c r="K2503" s="604" t="s">
        <v>451</v>
      </c>
      <c r="L2503" s="604" t="s">
        <v>71</v>
      </c>
      <c r="M2503" s="604">
        <v>80</v>
      </c>
      <c r="N2503" s="604">
        <v>27526</v>
      </c>
      <c r="O2503" s="604">
        <v>2.9</v>
      </c>
      <c r="P2503" s="604" t="s">
        <v>484</v>
      </c>
      <c r="Q2503" s="499"/>
    </row>
    <row r="2504" spans="9:17">
      <c r="I2504" s="578" t="str">
        <f t="shared" si="185"/>
        <v>2003sexInd/UnkNeo</v>
      </c>
      <c r="J2504" s="604">
        <v>2003</v>
      </c>
      <c r="K2504" s="604" t="s">
        <v>451</v>
      </c>
      <c r="L2504" s="604" t="s">
        <v>458</v>
      </c>
      <c r="M2504" s="604">
        <v>0</v>
      </c>
      <c r="N2504" s="604">
        <v>0</v>
      </c>
      <c r="O2504" s="604" t="s">
        <v>119</v>
      </c>
      <c r="P2504" s="604" t="s">
        <v>484</v>
      </c>
      <c r="Q2504" s="499"/>
    </row>
    <row r="2505" spans="9:17">
      <c r="I2505" s="578" t="str">
        <f t="shared" si="185"/>
        <v>2004sexMaleNeo</v>
      </c>
      <c r="J2505" s="604">
        <v>2004</v>
      </c>
      <c r="K2505" s="604" t="s">
        <v>451</v>
      </c>
      <c r="L2505" s="604" t="s">
        <v>70</v>
      </c>
      <c r="M2505" s="604">
        <v>103</v>
      </c>
      <c r="N2505" s="604">
        <v>30091</v>
      </c>
      <c r="O2505" s="604">
        <v>3.4</v>
      </c>
      <c r="P2505" s="604" t="s">
        <v>484</v>
      </c>
      <c r="Q2505" s="499"/>
    </row>
    <row r="2506" spans="9:17">
      <c r="I2506" s="578" t="str">
        <f t="shared" si="185"/>
        <v>2004sexFemaleNeo</v>
      </c>
      <c r="J2506" s="604">
        <v>2004</v>
      </c>
      <c r="K2506" s="604" t="s">
        <v>451</v>
      </c>
      <c r="L2506" s="604" t="s">
        <v>71</v>
      </c>
      <c r="M2506" s="604">
        <v>94</v>
      </c>
      <c r="N2506" s="604">
        <v>28632</v>
      </c>
      <c r="O2506" s="604">
        <v>3.3</v>
      </c>
      <c r="P2506" s="604" t="s">
        <v>484</v>
      </c>
      <c r="Q2506" s="499"/>
    </row>
    <row r="2507" spans="9:17">
      <c r="I2507" s="578" t="str">
        <f t="shared" si="185"/>
        <v>2004sexInd/UnkNeo</v>
      </c>
      <c r="J2507" s="604">
        <v>2004</v>
      </c>
      <c r="K2507" s="604" t="s">
        <v>451</v>
      </c>
      <c r="L2507" s="604" t="s">
        <v>458</v>
      </c>
      <c r="M2507" s="604">
        <v>0</v>
      </c>
      <c r="N2507" s="604">
        <v>0</v>
      </c>
      <c r="O2507" s="604" t="s">
        <v>119</v>
      </c>
      <c r="P2507" s="604" t="s">
        <v>484</v>
      </c>
      <c r="Q2507" s="499"/>
    </row>
    <row r="2508" spans="9:17">
      <c r="I2508" s="578" t="str">
        <f t="shared" si="185"/>
        <v>2005sexMaleNeo</v>
      </c>
      <c r="J2508" s="604">
        <v>2005</v>
      </c>
      <c r="K2508" s="604" t="s">
        <v>451</v>
      </c>
      <c r="L2508" s="604" t="s">
        <v>70</v>
      </c>
      <c r="M2508" s="604">
        <v>112</v>
      </c>
      <c r="N2508" s="604">
        <v>30067</v>
      </c>
      <c r="O2508" s="604">
        <v>3.7</v>
      </c>
      <c r="P2508" s="604" t="s">
        <v>484</v>
      </c>
      <c r="Q2508" s="499"/>
    </row>
    <row r="2509" spans="9:17">
      <c r="I2509" s="578" t="str">
        <f t="shared" si="185"/>
        <v>2005sexFemaleNeo</v>
      </c>
      <c r="J2509" s="604">
        <v>2005</v>
      </c>
      <c r="K2509" s="604" t="s">
        <v>451</v>
      </c>
      <c r="L2509" s="604" t="s">
        <v>71</v>
      </c>
      <c r="M2509" s="604">
        <v>71</v>
      </c>
      <c r="N2509" s="604">
        <v>28660</v>
      </c>
      <c r="O2509" s="604">
        <v>2.5</v>
      </c>
      <c r="P2509" s="604" t="s">
        <v>484</v>
      </c>
      <c r="Q2509" s="499"/>
    </row>
    <row r="2510" spans="9:17">
      <c r="I2510" s="578" t="str">
        <f t="shared" si="185"/>
        <v>2005sexInd/UnkNeo</v>
      </c>
      <c r="J2510" s="604">
        <v>2005</v>
      </c>
      <c r="K2510" s="604" t="s">
        <v>451</v>
      </c>
      <c r="L2510" s="604" t="s">
        <v>458</v>
      </c>
      <c r="M2510" s="604">
        <v>0</v>
      </c>
      <c r="N2510" s="604">
        <v>0</v>
      </c>
      <c r="O2510" s="604" t="s">
        <v>119</v>
      </c>
      <c r="P2510" s="604" t="s">
        <v>484</v>
      </c>
      <c r="Q2510" s="499"/>
    </row>
    <row r="2511" spans="9:17">
      <c r="I2511" s="578" t="str">
        <f t="shared" si="185"/>
        <v>2006sexMaleNeo</v>
      </c>
      <c r="J2511" s="604">
        <v>2006</v>
      </c>
      <c r="K2511" s="604" t="s">
        <v>451</v>
      </c>
      <c r="L2511" s="604" t="s">
        <v>70</v>
      </c>
      <c r="M2511" s="604">
        <v>87</v>
      </c>
      <c r="N2511" s="604">
        <v>30808</v>
      </c>
      <c r="O2511" s="604">
        <v>2.8</v>
      </c>
      <c r="P2511" s="604" t="s">
        <v>484</v>
      </c>
      <c r="Q2511" s="499"/>
    </row>
    <row r="2512" spans="9:17">
      <c r="I2512" s="578" t="str">
        <f t="shared" si="185"/>
        <v>2006sexFemaleNeo</v>
      </c>
      <c r="J2512" s="604">
        <v>2006</v>
      </c>
      <c r="K2512" s="604" t="s">
        <v>451</v>
      </c>
      <c r="L2512" s="604" t="s">
        <v>71</v>
      </c>
      <c r="M2512" s="604">
        <v>78</v>
      </c>
      <c r="N2512" s="604">
        <v>29466</v>
      </c>
      <c r="O2512" s="604">
        <v>2.6</v>
      </c>
      <c r="P2512" s="604" t="s">
        <v>484</v>
      </c>
      <c r="Q2512" s="499"/>
    </row>
    <row r="2513" spans="9:17">
      <c r="I2513" s="578" t="str">
        <f t="shared" si="185"/>
        <v>2006sexInd/UnkNeo</v>
      </c>
      <c r="J2513" s="604">
        <v>2006</v>
      </c>
      <c r="K2513" s="604" t="s">
        <v>451</v>
      </c>
      <c r="L2513" s="604" t="s">
        <v>458</v>
      </c>
      <c r="M2513" s="604">
        <v>0</v>
      </c>
      <c r="N2513" s="604">
        <v>0</v>
      </c>
      <c r="O2513" s="604" t="s">
        <v>119</v>
      </c>
      <c r="P2513" s="604" t="s">
        <v>484</v>
      </c>
      <c r="Q2513" s="499"/>
    </row>
    <row r="2514" spans="9:17">
      <c r="I2514" s="578" t="str">
        <f t="shared" si="185"/>
        <v>2007sexMaleNeo</v>
      </c>
      <c r="J2514" s="604">
        <v>2007</v>
      </c>
      <c r="K2514" s="604" t="s">
        <v>451</v>
      </c>
      <c r="L2514" s="604" t="s">
        <v>70</v>
      </c>
      <c r="M2514" s="604">
        <v>88</v>
      </c>
      <c r="N2514" s="604">
        <v>33569</v>
      </c>
      <c r="O2514" s="604">
        <v>2.6</v>
      </c>
      <c r="P2514" s="604" t="s">
        <v>484</v>
      </c>
      <c r="Q2514" s="499"/>
    </row>
    <row r="2515" spans="9:17">
      <c r="I2515" s="578" t="str">
        <f t="shared" si="185"/>
        <v>2007sexFemaleNeo</v>
      </c>
      <c r="J2515" s="604">
        <v>2007</v>
      </c>
      <c r="K2515" s="604" t="s">
        <v>451</v>
      </c>
      <c r="L2515" s="604" t="s">
        <v>71</v>
      </c>
      <c r="M2515" s="604">
        <v>78</v>
      </c>
      <c r="N2515" s="604">
        <v>31552</v>
      </c>
      <c r="O2515" s="604">
        <v>2.5</v>
      </c>
      <c r="P2515" s="604" t="s">
        <v>484</v>
      </c>
      <c r="Q2515" s="499"/>
    </row>
    <row r="2516" spans="9:17">
      <c r="I2516" s="578" t="str">
        <f t="shared" si="185"/>
        <v>2007sexInd/UnkNeo</v>
      </c>
      <c r="J2516" s="604">
        <v>2007</v>
      </c>
      <c r="K2516" s="604" t="s">
        <v>451</v>
      </c>
      <c r="L2516" s="604" t="s">
        <v>458</v>
      </c>
      <c r="M2516" s="604">
        <v>0</v>
      </c>
      <c r="N2516" s="604">
        <v>0</v>
      </c>
      <c r="O2516" s="604" t="s">
        <v>119</v>
      </c>
      <c r="P2516" s="604" t="s">
        <v>484</v>
      </c>
      <c r="Q2516" s="499"/>
    </row>
    <row r="2517" spans="9:17">
      <c r="I2517" s="578" t="str">
        <f t="shared" si="185"/>
        <v>2008sexMaleNeo</v>
      </c>
      <c r="J2517" s="604">
        <v>2008</v>
      </c>
      <c r="K2517" s="604" t="s">
        <v>451</v>
      </c>
      <c r="L2517" s="604" t="s">
        <v>70</v>
      </c>
      <c r="M2517" s="604">
        <v>117</v>
      </c>
      <c r="N2517" s="604">
        <v>33622</v>
      </c>
      <c r="O2517" s="604">
        <v>3.5</v>
      </c>
      <c r="P2517" s="604" t="s">
        <v>484</v>
      </c>
      <c r="Q2517" s="499"/>
    </row>
    <row r="2518" spans="9:17">
      <c r="I2518" s="578" t="str">
        <f t="shared" si="185"/>
        <v>2008sexFemaleNeo</v>
      </c>
      <c r="J2518" s="604">
        <v>2008</v>
      </c>
      <c r="K2518" s="604" t="s">
        <v>451</v>
      </c>
      <c r="L2518" s="604" t="s">
        <v>71</v>
      </c>
      <c r="M2518" s="604">
        <v>70</v>
      </c>
      <c r="N2518" s="604">
        <v>31711</v>
      </c>
      <c r="O2518" s="604">
        <v>2.2000000000000002</v>
      </c>
      <c r="P2518" s="604" t="s">
        <v>484</v>
      </c>
      <c r="Q2518" s="499"/>
    </row>
    <row r="2519" spans="9:17">
      <c r="I2519" s="578" t="str">
        <f t="shared" si="185"/>
        <v>2008sexInd/UnkNeo</v>
      </c>
      <c r="J2519" s="604">
        <v>2008</v>
      </c>
      <c r="K2519" s="604" t="s">
        <v>451</v>
      </c>
      <c r="L2519" s="604" t="s">
        <v>458</v>
      </c>
      <c r="M2519" s="604">
        <v>0</v>
      </c>
      <c r="N2519" s="604">
        <v>0</v>
      </c>
      <c r="O2519" s="604" t="s">
        <v>119</v>
      </c>
      <c r="P2519" s="604" t="s">
        <v>484</v>
      </c>
      <c r="Q2519" s="499"/>
    </row>
    <row r="2520" spans="9:17">
      <c r="I2520" s="578" t="str">
        <f t="shared" si="185"/>
        <v>2009sexMaleNeo</v>
      </c>
      <c r="J2520" s="604">
        <v>2009</v>
      </c>
      <c r="K2520" s="604" t="s">
        <v>451</v>
      </c>
      <c r="L2520" s="604" t="s">
        <v>70</v>
      </c>
      <c r="M2520" s="604">
        <v>105</v>
      </c>
      <c r="N2520" s="604">
        <v>32482</v>
      </c>
      <c r="O2520" s="604">
        <v>3.2</v>
      </c>
      <c r="P2520" s="604" t="s">
        <v>484</v>
      </c>
      <c r="Q2520" s="499"/>
    </row>
    <row r="2521" spans="9:17">
      <c r="I2521" s="578" t="str">
        <f t="shared" si="185"/>
        <v>2009sexFemaleNeo</v>
      </c>
      <c r="J2521" s="604">
        <v>2009</v>
      </c>
      <c r="K2521" s="604" t="s">
        <v>451</v>
      </c>
      <c r="L2521" s="604" t="s">
        <v>71</v>
      </c>
      <c r="M2521" s="604">
        <v>92</v>
      </c>
      <c r="N2521" s="604">
        <v>30803</v>
      </c>
      <c r="O2521" s="604">
        <v>3</v>
      </c>
      <c r="P2521" s="604" t="s">
        <v>484</v>
      </c>
      <c r="Q2521" s="499"/>
    </row>
    <row r="2522" spans="9:17">
      <c r="I2522" s="578" t="str">
        <f t="shared" si="185"/>
        <v>2009sexInd/UnkNeo</v>
      </c>
      <c r="J2522" s="604">
        <v>2009</v>
      </c>
      <c r="K2522" s="604" t="s">
        <v>451</v>
      </c>
      <c r="L2522" s="604" t="s">
        <v>458</v>
      </c>
      <c r="M2522" s="604">
        <v>0</v>
      </c>
      <c r="N2522" s="604">
        <v>0</v>
      </c>
      <c r="O2522" s="604" t="s">
        <v>119</v>
      </c>
      <c r="P2522" s="604" t="s">
        <v>484</v>
      </c>
      <c r="Q2522" s="499"/>
    </row>
    <row r="2523" spans="9:17">
      <c r="I2523" s="578" t="str">
        <f t="shared" si="185"/>
        <v>2010sexMaleNeo</v>
      </c>
      <c r="J2523" s="604">
        <v>2010</v>
      </c>
      <c r="K2523" s="604" t="s">
        <v>451</v>
      </c>
      <c r="L2523" s="604" t="s">
        <v>70</v>
      </c>
      <c r="M2523" s="604">
        <v>137</v>
      </c>
      <c r="N2523" s="604">
        <v>33319</v>
      </c>
      <c r="O2523" s="604">
        <v>4.0999999999999996</v>
      </c>
      <c r="P2523" s="604" t="s">
        <v>484</v>
      </c>
      <c r="Q2523" s="499"/>
    </row>
    <row r="2524" spans="9:17">
      <c r="I2524" s="578" t="str">
        <f t="shared" si="185"/>
        <v>2010sexFemaleNeo</v>
      </c>
      <c r="J2524" s="604">
        <v>2010</v>
      </c>
      <c r="K2524" s="604" t="s">
        <v>451</v>
      </c>
      <c r="L2524" s="604" t="s">
        <v>71</v>
      </c>
      <c r="M2524" s="604">
        <v>97</v>
      </c>
      <c r="N2524" s="604">
        <v>31380</v>
      </c>
      <c r="O2524" s="604">
        <v>3.1</v>
      </c>
      <c r="P2524" s="604" t="s">
        <v>484</v>
      </c>
      <c r="Q2524" s="499"/>
    </row>
    <row r="2525" spans="9:17">
      <c r="I2525" s="578" t="str">
        <f t="shared" si="185"/>
        <v>2010sexInd/UnkNeo</v>
      </c>
      <c r="J2525" s="604">
        <v>2010</v>
      </c>
      <c r="K2525" s="604" t="s">
        <v>451</v>
      </c>
      <c r="L2525" s="604" t="s">
        <v>458</v>
      </c>
      <c r="M2525" s="604">
        <v>0</v>
      </c>
      <c r="N2525" s="604">
        <v>0</v>
      </c>
      <c r="O2525" s="604" t="s">
        <v>119</v>
      </c>
      <c r="P2525" s="604" t="s">
        <v>484</v>
      </c>
      <c r="Q2525" s="499"/>
    </row>
    <row r="2526" spans="9:17">
      <c r="I2526" s="578" t="str">
        <f t="shared" si="185"/>
        <v>2011sexMaleNeo</v>
      </c>
      <c r="J2526" s="604">
        <v>2011</v>
      </c>
      <c r="K2526" s="604" t="s">
        <v>451</v>
      </c>
      <c r="L2526" s="604" t="s">
        <v>70</v>
      </c>
      <c r="M2526" s="604">
        <v>103</v>
      </c>
      <c r="N2526" s="604">
        <v>31894</v>
      </c>
      <c r="O2526" s="604">
        <v>3.2</v>
      </c>
      <c r="P2526" s="604" t="s">
        <v>484</v>
      </c>
      <c r="Q2526" s="499"/>
    </row>
    <row r="2527" spans="9:17">
      <c r="I2527" s="578" t="str">
        <f t="shared" si="185"/>
        <v>2011sexFemaleNeo</v>
      </c>
      <c r="J2527" s="604">
        <v>2011</v>
      </c>
      <c r="K2527" s="604" t="s">
        <v>451</v>
      </c>
      <c r="L2527" s="604" t="s">
        <v>71</v>
      </c>
      <c r="M2527" s="604">
        <v>94</v>
      </c>
      <c r="N2527" s="604">
        <v>30280</v>
      </c>
      <c r="O2527" s="604">
        <v>3.1</v>
      </c>
      <c r="P2527" s="604" t="s">
        <v>484</v>
      </c>
      <c r="Q2527" s="499"/>
    </row>
    <row r="2528" spans="9:17">
      <c r="I2528" s="578" t="str">
        <f t="shared" si="185"/>
        <v>2011sexInd/UnkNeo</v>
      </c>
      <c r="J2528" s="604">
        <v>2011</v>
      </c>
      <c r="K2528" s="604" t="s">
        <v>451</v>
      </c>
      <c r="L2528" s="604" t="s">
        <v>458</v>
      </c>
      <c r="M2528" s="604">
        <v>0</v>
      </c>
      <c r="N2528" s="604">
        <v>0</v>
      </c>
      <c r="O2528" s="604" t="s">
        <v>119</v>
      </c>
      <c r="P2528" s="604" t="s">
        <v>484</v>
      </c>
      <c r="Q2528" s="499"/>
    </row>
    <row r="2529" spans="9:17">
      <c r="I2529" s="578" t="str">
        <f t="shared" si="185"/>
        <v>2012sexMaleNeo</v>
      </c>
      <c r="J2529" s="604">
        <v>2012</v>
      </c>
      <c r="K2529" s="604" t="s">
        <v>451</v>
      </c>
      <c r="L2529" s="604" t="s">
        <v>70</v>
      </c>
      <c r="M2529" s="604">
        <v>104</v>
      </c>
      <c r="N2529" s="604">
        <v>31698</v>
      </c>
      <c r="O2529" s="604">
        <v>3.3</v>
      </c>
      <c r="P2529" s="604" t="s">
        <v>484</v>
      </c>
      <c r="Q2529" s="499"/>
    </row>
    <row r="2530" spans="9:17">
      <c r="I2530" s="578" t="str">
        <f t="shared" si="185"/>
        <v>2012sexFemaleNeo</v>
      </c>
      <c r="J2530" s="604">
        <v>2012</v>
      </c>
      <c r="K2530" s="604" t="s">
        <v>451</v>
      </c>
      <c r="L2530" s="604" t="s">
        <v>71</v>
      </c>
      <c r="M2530" s="604">
        <v>90</v>
      </c>
      <c r="N2530" s="604">
        <v>30337</v>
      </c>
      <c r="O2530" s="604">
        <v>3</v>
      </c>
      <c r="P2530" s="604" t="s">
        <v>484</v>
      </c>
      <c r="Q2530" s="499"/>
    </row>
    <row r="2531" spans="9:17">
      <c r="I2531" s="578" t="str">
        <f t="shared" si="185"/>
        <v>2012sexInd/UnkNeo</v>
      </c>
      <c r="J2531" s="604">
        <v>2012</v>
      </c>
      <c r="K2531" s="604" t="s">
        <v>451</v>
      </c>
      <c r="L2531" s="604" t="s">
        <v>458</v>
      </c>
      <c r="M2531" s="604">
        <v>0</v>
      </c>
      <c r="N2531" s="604">
        <v>0</v>
      </c>
      <c r="O2531" s="604" t="s">
        <v>119</v>
      </c>
      <c r="P2531" s="604" t="s">
        <v>484</v>
      </c>
      <c r="Q2531" s="499"/>
    </row>
    <row r="2532" spans="9:17">
      <c r="I2532" s="578" t="str">
        <f t="shared" si="185"/>
        <v>2013sexMaleNeo</v>
      </c>
      <c r="J2532" s="604">
        <v>2013</v>
      </c>
      <c r="K2532" s="604" t="s">
        <v>451</v>
      </c>
      <c r="L2532" s="604" t="s">
        <v>70</v>
      </c>
      <c r="M2532" s="604">
        <v>115</v>
      </c>
      <c r="N2532" s="604">
        <v>30626</v>
      </c>
      <c r="O2532" s="604">
        <v>3.8</v>
      </c>
      <c r="P2532" s="604" t="s">
        <v>484</v>
      </c>
      <c r="Q2532" s="499"/>
    </row>
    <row r="2533" spans="9:17">
      <c r="I2533" s="578" t="str">
        <f t="shared" si="185"/>
        <v>2013sexFemaleNeo</v>
      </c>
      <c r="J2533" s="604">
        <v>2013</v>
      </c>
      <c r="K2533" s="604" t="s">
        <v>451</v>
      </c>
      <c r="L2533" s="604" t="s">
        <v>71</v>
      </c>
      <c r="M2533" s="604">
        <v>83</v>
      </c>
      <c r="N2533" s="604">
        <v>29075</v>
      </c>
      <c r="O2533" s="604">
        <v>2.9</v>
      </c>
      <c r="P2533" s="604" t="s">
        <v>484</v>
      </c>
      <c r="Q2533" s="499"/>
    </row>
    <row r="2534" spans="9:17">
      <c r="I2534" s="578" t="str">
        <f t="shared" si="185"/>
        <v>2013sexInd/UnkNeo</v>
      </c>
      <c r="J2534" s="604">
        <v>2013</v>
      </c>
      <c r="K2534" s="604" t="s">
        <v>451</v>
      </c>
      <c r="L2534" s="604" t="s">
        <v>458</v>
      </c>
      <c r="M2534" s="604">
        <v>0</v>
      </c>
      <c r="N2534" s="604">
        <v>0</v>
      </c>
      <c r="O2534" s="604" t="s">
        <v>119</v>
      </c>
      <c r="P2534" s="604" t="s">
        <v>484</v>
      </c>
      <c r="Q2534" s="499"/>
    </row>
    <row r="2535" spans="9:17">
      <c r="I2535" s="578" t="str">
        <f t="shared" si="185"/>
        <v>2014sexMaleNeo</v>
      </c>
      <c r="J2535" s="604">
        <v>2014</v>
      </c>
      <c r="K2535" s="604" t="s">
        <v>451</v>
      </c>
      <c r="L2535" s="604" t="s">
        <v>70</v>
      </c>
      <c r="M2535" s="604">
        <v>125</v>
      </c>
      <c r="N2535" s="604">
        <v>30135</v>
      </c>
      <c r="O2535" s="604">
        <v>4.0999999999999996</v>
      </c>
      <c r="P2535" s="604" t="s">
        <v>484</v>
      </c>
      <c r="Q2535" s="499"/>
    </row>
    <row r="2536" spans="9:17">
      <c r="I2536" s="578" t="str">
        <f t="shared" si="185"/>
        <v>2014sexFemaleNeo</v>
      </c>
      <c r="J2536" s="604">
        <v>2014</v>
      </c>
      <c r="K2536" s="604" t="s">
        <v>451</v>
      </c>
      <c r="L2536" s="604" t="s">
        <v>71</v>
      </c>
      <c r="M2536" s="604">
        <v>115</v>
      </c>
      <c r="N2536" s="604">
        <v>28150</v>
      </c>
      <c r="O2536" s="604">
        <v>4.0999999999999996</v>
      </c>
      <c r="P2536" s="604" t="s">
        <v>484</v>
      </c>
      <c r="Q2536" s="499"/>
    </row>
    <row r="2537" spans="9:17">
      <c r="I2537" s="578" t="str">
        <f t="shared" si="185"/>
        <v>2014sexInd/UnkNeo</v>
      </c>
      <c r="J2537" s="604">
        <v>2014</v>
      </c>
      <c r="K2537" s="604" t="s">
        <v>451</v>
      </c>
      <c r="L2537" s="604" t="s">
        <v>458</v>
      </c>
      <c r="M2537" s="604">
        <v>0</v>
      </c>
      <c r="N2537" s="604">
        <v>0</v>
      </c>
      <c r="O2537" s="604" t="s">
        <v>119</v>
      </c>
      <c r="P2537" s="604" t="s">
        <v>484</v>
      </c>
      <c r="Q2537" s="499"/>
    </row>
    <row r="2538" spans="9:17">
      <c r="I2538" s="578" t="str">
        <f t="shared" si="185"/>
        <v>2015sexMaleNeo</v>
      </c>
      <c r="J2538" s="604">
        <v>2015</v>
      </c>
      <c r="K2538" s="604" t="s">
        <v>451</v>
      </c>
      <c r="L2538" s="604" t="s">
        <v>70</v>
      </c>
      <c r="M2538" s="604">
        <v>93</v>
      </c>
      <c r="N2538" s="604">
        <v>31923</v>
      </c>
      <c r="O2538" s="604">
        <v>2.9</v>
      </c>
      <c r="P2538" s="604" t="s">
        <v>484</v>
      </c>
      <c r="Q2538" s="499"/>
    </row>
    <row r="2539" spans="9:17">
      <c r="I2539" s="578" t="str">
        <f t="shared" si="185"/>
        <v>2015sexFemaleNeo</v>
      </c>
      <c r="J2539" s="604">
        <v>2015</v>
      </c>
      <c r="K2539" s="604" t="s">
        <v>451</v>
      </c>
      <c r="L2539" s="604" t="s">
        <v>71</v>
      </c>
      <c r="M2539" s="604">
        <v>82</v>
      </c>
      <c r="N2539" s="604">
        <v>30199</v>
      </c>
      <c r="O2539" s="604">
        <v>2.7</v>
      </c>
      <c r="P2539" s="604" t="s">
        <v>484</v>
      </c>
      <c r="Q2539" s="499"/>
    </row>
    <row r="2540" spans="9:17">
      <c r="I2540" s="578" t="str">
        <f t="shared" si="185"/>
        <v>2015sexInd/UnkNeo</v>
      </c>
      <c r="J2540" s="604">
        <v>2015</v>
      </c>
      <c r="K2540" s="604" t="s">
        <v>451</v>
      </c>
      <c r="L2540" s="604" t="s">
        <v>458</v>
      </c>
      <c r="M2540" s="604">
        <v>0</v>
      </c>
      <c r="N2540" s="604">
        <v>0</v>
      </c>
      <c r="O2540" s="604" t="s">
        <v>119</v>
      </c>
      <c r="P2540" s="604" t="s">
        <v>484</v>
      </c>
      <c r="Q2540" s="499"/>
    </row>
    <row r="2541" spans="9:17">
      <c r="I2541" s="578" t="str">
        <f t="shared" si="185"/>
        <v>2016sexMaleNeo</v>
      </c>
      <c r="J2541" s="604">
        <v>2016</v>
      </c>
      <c r="K2541" s="604" t="s">
        <v>451</v>
      </c>
      <c r="L2541" s="604" t="s">
        <v>70</v>
      </c>
      <c r="M2541" s="604">
        <v>80</v>
      </c>
      <c r="N2541" s="604">
        <v>31009</v>
      </c>
      <c r="O2541" s="604">
        <v>2.6</v>
      </c>
      <c r="P2541" s="604" t="s">
        <v>484</v>
      </c>
      <c r="Q2541" s="499"/>
    </row>
    <row r="2542" spans="9:17">
      <c r="I2542" s="578" t="str">
        <f t="shared" si="185"/>
        <v>2016sexFemaleNeo</v>
      </c>
      <c r="J2542" s="604">
        <v>2016</v>
      </c>
      <c r="K2542" s="604" t="s">
        <v>451</v>
      </c>
      <c r="L2542" s="604" t="s">
        <v>71</v>
      </c>
      <c r="M2542" s="604">
        <v>81</v>
      </c>
      <c r="N2542" s="604">
        <v>29427</v>
      </c>
      <c r="O2542" s="604">
        <v>2.8</v>
      </c>
      <c r="P2542" s="604" t="s">
        <v>484</v>
      </c>
      <c r="Q2542" s="499"/>
    </row>
    <row r="2543" spans="9:17">
      <c r="I2543" s="578" t="str">
        <f t="shared" si="185"/>
        <v>2016sexInd/UnkNeo</v>
      </c>
      <c r="J2543" s="604">
        <v>2016</v>
      </c>
      <c r="K2543" s="604" t="s">
        <v>451</v>
      </c>
      <c r="L2543" s="604" t="s">
        <v>458</v>
      </c>
      <c r="M2543" s="604">
        <v>0</v>
      </c>
      <c r="N2543" s="604">
        <v>0</v>
      </c>
      <c r="O2543" s="604" t="s">
        <v>119</v>
      </c>
      <c r="P2543" s="604" t="s">
        <v>484</v>
      </c>
      <c r="Q2543" s="499"/>
    </row>
    <row r="2544" spans="9:17">
      <c r="I2544" s="578" t="str">
        <f t="shared" si="185"/>
        <v>1996ethMaoriNeo</v>
      </c>
      <c r="J2544" s="604">
        <v>1996</v>
      </c>
      <c r="K2544" s="604" t="s">
        <v>449</v>
      </c>
      <c r="L2544" s="604" t="s">
        <v>129</v>
      </c>
      <c r="M2544" s="604">
        <v>77</v>
      </c>
      <c r="N2544" s="604">
        <v>16011</v>
      </c>
      <c r="O2544" s="604">
        <v>4.8</v>
      </c>
      <c r="P2544" s="604" t="s">
        <v>484</v>
      </c>
      <c r="Q2544" s="499"/>
    </row>
    <row r="2545" spans="9:17">
      <c r="I2545" s="578" t="str">
        <f t="shared" si="185"/>
        <v>1996ethPacific peoplesNeo</v>
      </c>
      <c r="J2545" s="604">
        <v>1996</v>
      </c>
      <c r="K2545" s="604" t="s">
        <v>449</v>
      </c>
      <c r="L2545" s="604" t="s">
        <v>320</v>
      </c>
      <c r="M2545" s="604">
        <v>18</v>
      </c>
      <c r="N2545" s="604">
        <v>5726</v>
      </c>
      <c r="O2545" s="604">
        <v>3.1</v>
      </c>
      <c r="P2545" s="604" t="s">
        <v>484</v>
      </c>
      <c r="Q2545" s="499"/>
    </row>
    <row r="2546" spans="9:17">
      <c r="I2546" s="578" t="str">
        <f t="shared" si="185"/>
        <v>1996ethAsianNeo</v>
      </c>
      <c r="J2546" s="604">
        <v>1996</v>
      </c>
      <c r="K2546" s="604" t="s">
        <v>449</v>
      </c>
      <c r="L2546" s="604" t="s">
        <v>355</v>
      </c>
      <c r="M2546" s="604">
        <v>9</v>
      </c>
      <c r="N2546" s="604">
        <v>3394</v>
      </c>
      <c r="O2546" s="604">
        <v>2.7</v>
      </c>
      <c r="P2546" s="604" t="s">
        <v>484</v>
      </c>
      <c r="Q2546" s="499"/>
    </row>
    <row r="2547" spans="9:17">
      <c r="I2547" s="578" t="str">
        <f t="shared" si="185"/>
        <v>1996ethEuropean or OtherNeo</v>
      </c>
      <c r="J2547" s="604">
        <v>1996</v>
      </c>
      <c r="K2547" s="604" t="s">
        <v>449</v>
      </c>
      <c r="L2547" s="604" t="s">
        <v>356</v>
      </c>
      <c r="M2547" s="604">
        <v>119</v>
      </c>
      <c r="N2547" s="604">
        <v>32303</v>
      </c>
      <c r="O2547" s="604">
        <v>3.7</v>
      </c>
      <c r="P2547" s="604" t="s">
        <v>484</v>
      </c>
      <c r="Q2547" s="499"/>
    </row>
    <row r="2548" spans="9:17">
      <c r="I2548" s="578" t="str">
        <f t="shared" si="185"/>
        <v>1997ethMaoriNeo</v>
      </c>
      <c r="J2548" s="604">
        <v>1997</v>
      </c>
      <c r="K2548" s="604" t="s">
        <v>449</v>
      </c>
      <c r="L2548" s="604" t="s">
        <v>129</v>
      </c>
      <c r="M2548" s="604">
        <v>77</v>
      </c>
      <c r="N2548" s="604">
        <v>16309</v>
      </c>
      <c r="O2548" s="604">
        <v>4.7</v>
      </c>
      <c r="P2548" s="604" t="s">
        <v>484</v>
      </c>
      <c r="Q2548" s="499"/>
    </row>
    <row r="2549" spans="9:17">
      <c r="I2549" s="578" t="str">
        <f t="shared" si="185"/>
        <v>1997ethPacific peoplesNeo</v>
      </c>
      <c r="J2549" s="604">
        <v>1997</v>
      </c>
      <c r="K2549" s="604" t="s">
        <v>449</v>
      </c>
      <c r="L2549" s="604" t="s">
        <v>320</v>
      </c>
      <c r="M2549" s="604">
        <v>29</v>
      </c>
      <c r="N2549" s="604">
        <v>5696</v>
      </c>
      <c r="O2549" s="604">
        <v>5.0999999999999996</v>
      </c>
      <c r="P2549" s="604" t="s">
        <v>484</v>
      </c>
      <c r="Q2549" s="499"/>
    </row>
    <row r="2550" spans="9:17">
      <c r="I2550" s="578" t="str">
        <f t="shared" si="185"/>
        <v>1997ethAsianNeo</v>
      </c>
      <c r="J2550" s="604">
        <v>1997</v>
      </c>
      <c r="K2550" s="604" t="s">
        <v>449</v>
      </c>
      <c r="L2550" s="604" t="s">
        <v>355</v>
      </c>
      <c r="M2550" s="604">
        <v>6</v>
      </c>
      <c r="N2550" s="604">
        <v>3802</v>
      </c>
      <c r="O2550" s="604">
        <v>1.6</v>
      </c>
      <c r="P2550" s="604" t="s">
        <v>484</v>
      </c>
      <c r="Q2550" s="499"/>
    </row>
    <row r="2551" spans="9:17">
      <c r="I2551" s="578" t="str">
        <f t="shared" si="185"/>
        <v>1997ethEuropean or OtherNeo</v>
      </c>
      <c r="J2551" s="604">
        <v>1997</v>
      </c>
      <c r="K2551" s="604" t="s">
        <v>449</v>
      </c>
      <c r="L2551" s="604" t="s">
        <v>356</v>
      </c>
      <c r="M2551" s="604">
        <v>97</v>
      </c>
      <c r="N2551" s="604">
        <v>31927</v>
      </c>
      <c r="O2551" s="604">
        <v>3</v>
      </c>
      <c r="P2551" s="604" t="s">
        <v>484</v>
      </c>
      <c r="Q2551" s="499"/>
    </row>
    <row r="2552" spans="9:17">
      <c r="I2552" s="578" t="str">
        <f t="shared" si="185"/>
        <v>1998ethMaoriNeo</v>
      </c>
      <c r="J2552" s="604">
        <v>1998</v>
      </c>
      <c r="K2552" s="604" t="s">
        <v>449</v>
      </c>
      <c r="L2552" s="604" t="s">
        <v>129</v>
      </c>
      <c r="M2552" s="604">
        <v>55</v>
      </c>
      <c r="N2552" s="604">
        <v>16309</v>
      </c>
      <c r="O2552" s="604">
        <v>3.4</v>
      </c>
      <c r="P2552" s="604" t="s">
        <v>484</v>
      </c>
      <c r="Q2552" s="499"/>
    </row>
    <row r="2553" spans="9:17">
      <c r="I2553" s="578" t="str">
        <f t="shared" si="185"/>
        <v>1998ethPacific peoplesNeo</v>
      </c>
      <c r="J2553" s="604">
        <v>1998</v>
      </c>
      <c r="K2553" s="604" t="s">
        <v>449</v>
      </c>
      <c r="L2553" s="604" t="s">
        <v>320</v>
      </c>
      <c r="M2553" s="604">
        <v>25</v>
      </c>
      <c r="N2553" s="604">
        <v>5696</v>
      </c>
      <c r="O2553" s="604">
        <v>4.4000000000000004</v>
      </c>
      <c r="P2553" s="604" t="s">
        <v>484</v>
      </c>
      <c r="Q2553" s="499"/>
    </row>
    <row r="2554" spans="9:17">
      <c r="I2554" s="578" t="str">
        <f t="shared" si="185"/>
        <v>1998ethAsianNeo</v>
      </c>
      <c r="J2554" s="604">
        <v>1998</v>
      </c>
      <c r="K2554" s="604" t="s">
        <v>449</v>
      </c>
      <c r="L2554" s="604" t="s">
        <v>355</v>
      </c>
      <c r="M2554" s="604">
        <v>7</v>
      </c>
      <c r="N2554" s="604">
        <v>3802</v>
      </c>
      <c r="O2554" s="604">
        <v>1.8</v>
      </c>
      <c r="P2554" s="604" t="s">
        <v>484</v>
      </c>
      <c r="Q2554" s="499"/>
    </row>
    <row r="2555" spans="9:17">
      <c r="I2555" s="578" t="str">
        <f t="shared" si="185"/>
        <v>1998ethEuropean or OtherNeo</v>
      </c>
      <c r="J2555" s="604">
        <v>1998</v>
      </c>
      <c r="K2555" s="604" t="s">
        <v>449</v>
      </c>
      <c r="L2555" s="604" t="s">
        <v>356</v>
      </c>
      <c r="M2555" s="604">
        <v>84</v>
      </c>
      <c r="N2555" s="604">
        <v>31927</v>
      </c>
      <c r="O2555" s="604">
        <v>2.6</v>
      </c>
      <c r="P2555" s="604" t="s">
        <v>484</v>
      </c>
      <c r="Q2555" s="499"/>
    </row>
    <row r="2556" spans="9:17">
      <c r="I2556" s="578" t="str">
        <f t="shared" si="185"/>
        <v>1999ethMaoriNeo</v>
      </c>
      <c r="J2556" s="604">
        <v>1999</v>
      </c>
      <c r="K2556" s="604" t="s">
        <v>449</v>
      </c>
      <c r="L2556" s="604" t="s">
        <v>129</v>
      </c>
      <c r="M2556" s="604">
        <v>60</v>
      </c>
      <c r="N2556" s="604">
        <v>16027</v>
      </c>
      <c r="O2556" s="604">
        <v>3.7</v>
      </c>
      <c r="P2556" s="604" t="s">
        <v>484</v>
      </c>
      <c r="Q2556" s="499"/>
    </row>
    <row r="2557" spans="9:17">
      <c r="I2557" s="578" t="str">
        <f t="shared" si="185"/>
        <v>1999ethPacific peoplesNeo</v>
      </c>
      <c r="J2557" s="604">
        <v>1999</v>
      </c>
      <c r="K2557" s="604" t="s">
        <v>449</v>
      </c>
      <c r="L2557" s="604" t="s">
        <v>320</v>
      </c>
      <c r="M2557" s="604">
        <v>18</v>
      </c>
      <c r="N2557" s="604">
        <v>6223</v>
      </c>
      <c r="O2557" s="604">
        <v>2.9</v>
      </c>
      <c r="P2557" s="604" t="s">
        <v>484</v>
      </c>
      <c r="Q2557" s="499"/>
    </row>
    <row r="2558" spans="9:17">
      <c r="I2558" s="578" t="str">
        <f t="shared" si="185"/>
        <v>1999ethAsianNeo</v>
      </c>
      <c r="J2558" s="604">
        <v>1999</v>
      </c>
      <c r="K2558" s="604" t="s">
        <v>449</v>
      </c>
      <c r="L2558" s="604" t="s">
        <v>355</v>
      </c>
      <c r="M2558" s="604">
        <v>10</v>
      </c>
      <c r="N2558" s="604">
        <v>3980</v>
      </c>
      <c r="O2558" s="604">
        <v>2.5</v>
      </c>
      <c r="P2558" s="604" t="s">
        <v>484</v>
      </c>
      <c r="Q2558" s="499"/>
    </row>
    <row r="2559" spans="9:17">
      <c r="I2559" s="578" t="str">
        <f t="shared" si="185"/>
        <v>1999ethEuropean or OtherNeo</v>
      </c>
      <c r="J2559" s="604">
        <v>1999</v>
      </c>
      <c r="K2559" s="604" t="s">
        <v>449</v>
      </c>
      <c r="L2559" s="604" t="s">
        <v>356</v>
      </c>
      <c r="M2559" s="604">
        <v>94</v>
      </c>
      <c r="N2559" s="604">
        <v>31191</v>
      </c>
      <c r="O2559" s="604">
        <v>3</v>
      </c>
      <c r="P2559" s="604" t="s">
        <v>484</v>
      </c>
      <c r="Q2559" s="499"/>
    </row>
    <row r="2560" spans="9:17">
      <c r="I2560" s="578" t="str">
        <f t="shared" si="185"/>
        <v>2000ethMaoriNeo</v>
      </c>
      <c r="J2560" s="604">
        <v>2000</v>
      </c>
      <c r="K2560" s="604" t="s">
        <v>449</v>
      </c>
      <c r="L2560" s="604" t="s">
        <v>129</v>
      </c>
      <c r="M2560" s="604">
        <v>60</v>
      </c>
      <c r="N2560" s="604">
        <v>15867</v>
      </c>
      <c r="O2560" s="604">
        <v>3.8</v>
      </c>
      <c r="P2560" s="604" t="s">
        <v>484</v>
      </c>
      <c r="Q2560" s="499"/>
    </row>
    <row r="2561" spans="9:17">
      <c r="I2561" s="578" t="str">
        <f t="shared" si="185"/>
        <v>2000ethPacific peoplesNeo</v>
      </c>
      <c r="J2561" s="604">
        <v>2000</v>
      </c>
      <c r="K2561" s="604" t="s">
        <v>449</v>
      </c>
      <c r="L2561" s="604" t="s">
        <v>320</v>
      </c>
      <c r="M2561" s="604">
        <v>41</v>
      </c>
      <c r="N2561" s="604">
        <v>6149</v>
      </c>
      <c r="O2561" s="604">
        <v>6.7</v>
      </c>
      <c r="P2561" s="604" t="s">
        <v>484</v>
      </c>
      <c r="Q2561" s="499"/>
    </row>
    <row r="2562" spans="9:17">
      <c r="I2562" s="578" t="str">
        <f t="shared" si="185"/>
        <v>2000ethAsianNeo</v>
      </c>
      <c r="J2562" s="604">
        <v>2000</v>
      </c>
      <c r="K2562" s="604" t="s">
        <v>449</v>
      </c>
      <c r="L2562" s="604" t="s">
        <v>355</v>
      </c>
      <c r="M2562" s="604">
        <v>6</v>
      </c>
      <c r="N2562" s="604">
        <v>4222</v>
      </c>
      <c r="O2562" s="604">
        <v>1.4</v>
      </c>
      <c r="P2562" s="604" t="s">
        <v>484</v>
      </c>
      <c r="Q2562" s="499"/>
    </row>
    <row r="2563" spans="9:17">
      <c r="I2563" s="578" t="str">
        <f t="shared" si="185"/>
        <v>2000ethEuropean or OtherNeo</v>
      </c>
      <c r="J2563" s="604">
        <v>2000</v>
      </c>
      <c r="K2563" s="604" t="s">
        <v>449</v>
      </c>
      <c r="L2563" s="604" t="s">
        <v>356</v>
      </c>
      <c r="M2563" s="604">
        <v>109</v>
      </c>
      <c r="N2563" s="604">
        <v>30756</v>
      </c>
      <c r="O2563" s="604">
        <v>3.5</v>
      </c>
      <c r="P2563" s="604" t="s">
        <v>484</v>
      </c>
      <c r="Q2563" s="499"/>
    </row>
    <row r="2564" spans="9:17">
      <c r="I2564" s="578" t="str">
        <f t="shared" ref="I2564:I2627" si="186">J2564&amp;K2564&amp;L2564&amp;P2564</f>
        <v>2001ethMaoriNeo</v>
      </c>
      <c r="J2564" s="604">
        <v>2001</v>
      </c>
      <c r="K2564" s="604" t="s">
        <v>449</v>
      </c>
      <c r="L2564" s="604" t="s">
        <v>129</v>
      </c>
      <c r="M2564" s="604">
        <v>61</v>
      </c>
      <c r="N2564" s="604">
        <v>15869</v>
      </c>
      <c r="O2564" s="604">
        <v>3.8</v>
      </c>
      <c r="P2564" s="604" t="s">
        <v>484</v>
      </c>
      <c r="Q2564" s="499"/>
    </row>
    <row r="2565" spans="9:17">
      <c r="I2565" s="578" t="str">
        <f t="shared" si="186"/>
        <v>2001ethPacific peoplesNeo</v>
      </c>
      <c r="J2565" s="604">
        <v>2001</v>
      </c>
      <c r="K2565" s="604" t="s">
        <v>449</v>
      </c>
      <c r="L2565" s="604" t="s">
        <v>320</v>
      </c>
      <c r="M2565" s="604">
        <v>21</v>
      </c>
      <c r="N2565" s="604">
        <v>6140</v>
      </c>
      <c r="O2565" s="604">
        <v>3.4</v>
      </c>
      <c r="P2565" s="604" t="s">
        <v>484</v>
      </c>
      <c r="Q2565" s="499"/>
    </row>
    <row r="2566" spans="9:17">
      <c r="I2566" s="578" t="str">
        <f t="shared" si="186"/>
        <v>2001ethAsianNeo</v>
      </c>
      <c r="J2566" s="604">
        <v>2001</v>
      </c>
      <c r="K2566" s="604" t="s">
        <v>449</v>
      </c>
      <c r="L2566" s="604" t="s">
        <v>355</v>
      </c>
      <c r="M2566" s="604">
        <v>9</v>
      </c>
      <c r="N2566" s="604">
        <v>4041</v>
      </c>
      <c r="O2566" s="604">
        <v>2.2000000000000002</v>
      </c>
      <c r="P2566" s="604" t="s">
        <v>484</v>
      </c>
      <c r="Q2566" s="499"/>
    </row>
    <row r="2567" spans="9:17">
      <c r="I2567" s="578" t="str">
        <f t="shared" si="186"/>
        <v>2001ethEuropean or OtherNeo</v>
      </c>
      <c r="J2567" s="604">
        <v>2001</v>
      </c>
      <c r="K2567" s="604" t="s">
        <v>449</v>
      </c>
      <c r="L2567" s="604" t="s">
        <v>356</v>
      </c>
      <c r="M2567" s="604">
        <v>79</v>
      </c>
      <c r="N2567" s="604">
        <v>30174</v>
      </c>
      <c r="O2567" s="604">
        <v>2.6</v>
      </c>
      <c r="P2567" s="604" t="s">
        <v>484</v>
      </c>
      <c r="Q2567" s="499"/>
    </row>
    <row r="2568" spans="9:17">
      <c r="I2568" s="578" t="str">
        <f t="shared" si="186"/>
        <v>2002ethMaoriNeo</v>
      </c>
      <c r="J2568" s="604">
        <v>2002</v>
      </c>
      <c r="K2568" s="604" t="s">
        <v>449</v>
      </c>
      <c r="L2568" s="604" t="s">
        <v>129</v>
      </c>
      <c r="M2568" s="604">
        <v>78</v>
      </c>
      <c r="N2568" s="604">
        <v>14905</v>
      </c>
      <c r="O2568" s="604">
        <v>5.2</v>
      </c>
      <c r="P2568" s="604" t="s">
        <v>484</v>
      </c>
      <c r="Q2568" s="499"/>
    </row>
    <row r="2569" spans="9:17">
      <c r="I2569" s="578" t="str">
        <f t="shared" si="186"/>
        <v>2002ethPacific peoplesNeo</v>
      </c>
      <c r="J2569" s="604">
        <v>2002</v>
      </c>
      <c r="K2569" s="604" t="s">
        <v>449</v>
      </c>
      <c r="L2569" s="604" t="s">
        <v>320</v>
      </c>
      <c r="M2569" s="604">
        <v>26</v>
      </c>
      <c r="N2569" s="604">
        <v>5977</v>
      </c>
      <c r="O2569" s="604">
        <v>4.4000000000000004</v>
      </c>
      <c r="P2569" s="604" t="s">
        <v>484</v>
      </c>
      <c r="Q2569" s="499"/>
    </row>
    <row r="2570" spans="9:17">
      <c r="I2570" s="578" t="str">
        <f t="shared" si="186"/>
        <v>2002ethAsianNeo</v>
      </c>
      <c r="J2570" s="604">
        <v>2002</v>
      </c>
      <c r="K2570" s="604" t="s">
        <v>449</v>
      </c>
      <c r="L2570" s="604" t="s">
        <v>355</v>
      </c>
      <c r="M2570" s="604">
        <v>12</v>
      </c>
      <c r="N2570" s="604">
        <v>4599</v>
      </c>
      <c r="O2570" s="604">
        <v>2.6</v>
      </c>
      <c r="P2570" s="604" t="s">
        <v>484</v>
      </c>
      <c r="Q2570" s="499"/>
    </row>
    <row r="2571" spans="9:17">
      <c r="I2571" s="578" t="str">
        <f t="shared" si="186"/>
        <v>2002ethEuropean or OtherNeo</v>
      </c>
      <c r="J2571" s="604">
        <v>2002</v>
      </c>
      <c r="K2571" s="604" t="s">
        <v>449</v>
      </c>
      <c r="L2571" s="604" t="s">
        <v>356</v>
      </c>
      <c r="M2571" s="604">
        <v>105</v>
      </c>
      <c r="N2571" s="604">
        <v>29034</v>
      </c>
      <c r="O2571" s="604">
        <v>3.6</v>
      </c>
      <c r="P2571" s="604" t="s">
        <v>484</v>
      </c>
      <c r="Q2571" s="499"/>
    </row>
    <row r="2572" spans="9:17">
      <c r="I2572" s="578" t="str">
        <f t="shared" si="186"/>
        <v>2003ethMaoriNeo</v>
      </c>
      <c r="J2572" s="604">
        <v>2003</v>
      </c>
      <c r="K2572" s="604" t="s">
        <v>449</v>
      </c>
      <c r="L2572" s="604" t="s">
        <v>129</v>
      </c>
      <c r="M2572" s="604">
        <v>55</v>
      </c>
      <c r="N2572" s="604">
        <v>15682</v>
      </c>
      <c r="O2572" s="604">
        <v>3.5</v>
      </c>
      <c r="P2572" s="604" t="s">
        <v>484</v>
      </c>
      <c r="Q2572" s="499"/>
    </row>
    <row r="2573" spans="9:17">
      <c r="I2573" s="578" t="str">
        <f t="shared" si="186"/>
        <v>2003ethPacific peoplesNeo</v>
      </c>
      <c r="J2573" s="604">
        <v>2003</v>
      </c>
      <c r="K2573" s="604" t="s">
        <v>449</v>
      </c>
      <c r="L2573" s="604" t="s">
        <v>320</v>
      </c>
      <c r="M2573" s="604">
        <v>30</v>
      </c>
      <c r="N2573" s="604">
        <v>6146</v>
      </c>
      <c r="O2573" s="604">
        <v>4.9000000000000004</v>
      </c>
      <c r="P2573" s="604" t="s">
        <v>484</v>
      </c>
      <c r="Q2573" s="499"/>
    </row>
    <row r="2574" spans="9:17">
      <c r="I2574" s="578" t="str">
        <f t="shared" si="186"/>
        <v>2003ethAsianNeo</v>
      </c>
      <c r="J2574" s="604">
        <v>2003</v>
      </c>
      <c r="K2574" s="604" t="s">
        <v>449</v>
      </c>
      <c r="L2574" s="604" t="s">
        <v>355</v>
      </c>
      <c r="M2574" s="604">
        <v>15</v>
      </c>
      <c r="N2574" s="604">
        <v>5223</v>
      </c>
      <c r="O2574" s="604">
        <v>2.9</v>
      </c>
      <c r="P2574" s="604" t="s">
        <v>484</v>
      </c>
      <c r="Q2574" s="499"/>
    </row>
    <row r="2575" spans="9:17">
      <c r="I2575" s="578" t="str">
        <f t="shared" si="186"/>
        <v>2003ethEuropean or OtherNeo</v>
      </c>
      <c r="J2575" s="604">
        <v>2003</v>
      </c>
      <c r="K2575" s="604" t="s">
        <v>449</v>
      </c>
      <c r="L2575" s="604" t="s">
        <v>356</v>
      </c>
      <c r="M2575" s="604">
        <v>84</v>
      </c>
      <c r="N2575" s="604">
        <v>29525</v>
      </c>
      <c r="O2575" s="604">
        <v>2.8</v>
      </c>
      <c r="P2575" s="604" t="s">
        <v>484</v>
      </c>
      <c r="Q2575" s="499"/>
    </row>
    <row r="2576" spans="9:17">
      <c r="I2576" s="578" t="str">
        <f t="shared" si="186"/>
        <v>2004ethMaoriNeo</v>
      </c>
      <c r="J2576" s="604">
        <v>2004</v>
      </c>
      <c r="K2576" s="604" t="s">
        <v>449</v>
      </c>
      <c r="L2576" s="604" t="s">
        <v>129</v>
      </c>
      <c r="M2576" s="604">
        <v>47</v>
      </c>
      <c r="N2576" s="604">
        <v>16520</v>
      </c>
      <c r="O2576" s="604">
        <v>2.8</v>
      </c>
      <c r="P2576" s="604" t="s">
        <v>484</v>
      </c>
      <c r="Q2576" s="499"/>
    </row>
    <row r="2577" spans="9:17">
      <c r="I2577" s="578" t="str">
        <f t="shared" si="186"/>
        <v>2004ethPacific peoplesNeo</v>
      </c>
      <c r="J2577" s="604">
        <v>2004</v>
      </c>
      <c r="K2577" s="604" t="s">
        <v>449</v>
      </c>
      <c r="L2577" s="604" t="s">
        <v>320</v>
      </c>
      <c r="M2577" s="604">
        <v>31</v>
      </c>
      <c r="N2577" s="604">
        <v>6345</v>
      </c>
      <c r="O2577" s="604">
        <v>4.9000000000000004</v>
      </c>
      <c r="P2577" s="604" t="s">
        <v>484</v>
      </c>
      <c r="Q2577" s="499"/>
    </row>
    <row r="2578" spans="9:17">
      <c r="I2578" s="578" t="str">
        <f t="shared" si="186"/>
        <v>2004ethAsianNeo</v>
      </c>
      <c r="J2578" s="604">
        <v>2004</v>
      </c>
      <c r="K2578" s="604" t="s">
        <v>449</v>
      </c>
      <c r="L2578" s="604" t="s">
        <v>355</v>
      </c>
      <c r="M2578" s="604">
        <v>20</v>
      </c>
      <c r="N2578" s="604">
        <v>5647</v>
      </c>
      <c r="O2578" s="604">
        <v>3.5</v>
      </c>
      <c r="P2578" s="604" t="s">
        <v>484</v>
      </c>
      <c r="Q2578" s="499"/>
    </row>
    <row r="2579" spans="9:17">
      <c r="I2579" s="578" t="str">
        <f t="shared" si="186"/>
        <v>2004ethEuropean or OtherNeo</v>
      </c>
      <c r="J2579" s="604">
        <v>2004</v>
      </c>
      <c r="K2579" s="604" t="s">
        <v>449</v>
      </c>
      <c r="L2579" s="604" t="s">
        <v>356</v>
      </c>
      <c r="M2579" s="604">
        <v>99</v>
      </c>
      <c r="N2579" s="604">
        <v>30211</v>
      </c>
      <c r="O2579" s="604">
        <v>3.3</v>
      </c>
      <c r="P2579" s="604" t="s">
        <v>484</v>
      </c>
      <c r="Q2579" s="499"/>
    </row>
    <row r="2580" spans="9:17">
      <c r="I2580" s="578" t="str">
        <f t="shared" si="186"/>
        <v>2005ethMaoriNeo</v>
      </c>
      <c r="J2580" s="604">
        <v>2005</v>
      </c>
      <c r="K2580" s="604" t="s">
        <v>449</v>
      </c>
      <c r="L2580" s="604" t="s">
        <v>129</v>
      </c>
      <c r="M2580" s="604">
        <v>57</v>
      </c>
      <c r="N2580" s="604">
        <v>17004</v>
      </c>
      <c r="O2580" s="604">
        <v>3.4</v>
      </c>
      <c r="P2580" s="604" t="s">
        <v>484</v>
      </c>
      <c r="Q2580" s="499"/>
    </row>
    <row r="2581" spans="9:17">
      <c r="I2581" s="578" t="str">
        <f t="shared" si="186"/>
        <v>2005ethPacific peoplesNeo</v>
      </c>
      <c r="J2581" s="604">
        <v>2005</v>
      </c>
      <c r="K2581" s="604" t="s">
        <v>449</v>
      </c>
      <c r="L2581" s="604" t="s">
        <v>320</v>
      </c>
      <c r="M2581" s="604">
        <v>29</v>
      </c>
      <c r="N2581" s="604">
        <v>6238</v>
      </c>
      <c r="O2581" s="604">
        <v>4.5999999999999996</v>
      </c>
      <c r="P2581" s="604" t="s">
        <v>484</v>
      </c>
      <c r="Q2581" s="499"/>
    </row>
    <row r="2582" spans="9:17">
      <c r="I2582" s="578" t="str">
        <f t="shared" si="186"/>
        <v>2005ethAsianNeo</v>
      </c>
      <c r="J2582" s="604">
        <v>2005</v>
      </c>
      <c r="K2582" s="604" t="s">
        <v>449</v>
      </c>
      <c r="L2582" s="604" t="s">
        <v>355</v>
      </c>
      <c r="M2582" s="604">
        <v>14</v>
      </c>
      <c r="N2582" s="604">
        <v>5495</v>
      </c>
      <c r="O2582" s="604">
        <v>2.5</v>
      </c>
      <c r="P2582" s="604" t="s">
        <v>484</v>
      </c>
      <c r="Q2582" s="499"/>
    </row>
    <row r="2583" spans="9:17">
      <c r="I2583" s="578" t="str">
        <f t="shared" si="186"/>
        <v>2005ethEuropean or OtherNeo</v>
      </c>
      <c r="J2583" s="604">
        <v>2005</v>
      </c>
      <c r="K2583" s="604" t="s">
        <v>449</v>
      </c>
      <c r="L2583" s="604" t="s">
        <v>356</v>
      </c>
      <c r="M2583" s="604">
        <v>83</v>
      </c>
      <c r="N2583" s="604">
        <v>29990</v>
      </c>
      <c r="O2583" s="604">
        <v>2.8</v>
      </c>
      <c r="P2583" s="604" t="s">
        <v>484</v>
      </c>
      <c r="Q2583" s="499"/>
    </row>
    <row r="2584" spans="9:17">
      <c r="I2584" s="578" t="str">
        <f t="shared" si="186"/>
        <v>2006ethMaoriNeo</v>
      </c>
      <c r="J2584" s="604">
        <v>2006</v>
      </c>
      <c r="K2584" s="604" t="s">
        <v>449</v>
      </c>
      <c r="L2584" s="604" t="s">
        <v>129</v>
      </c>
      <c r="M2584" s="604">
        <v>62</v>
      </c>
      <c r="N2584" s="604">
        <v>17935</v>
      </c>
      <c r="O2584" s="604">
        <v>3.5</v>
      </c>
      <c r="P2584" s="604" t="s">
        <v>484</v>
      </c>
      <c r="Q2584" s="499"/>
    </row>
    <row r="2585" spans="9:17">
      <c r="I2585" s="578" t="str">
        <f t="shared" si="186"/>
        <v>2006ethPacific peoplesNeo</v>
      </c>
      <c r="J2585" s="604">
        <v>2006</v>
      </c>
      <c r="K2585" s="604" t="s">
        <v>449</v>
      </c>
      <c r="L2585" s="604" t="s">
        <v>320</v>
      </c>
      <c r="M2585" s="604">
        <v>18</v>
      </c>
      <c r="N2585" s="604">
        <v>6408</v>
      </c>
      <c r="O2585" s="604">
        <v>2.8</v>
      </c>
      <c r="P2585" s="604" t="s">
        <v>484</v>
      </c>
      <c r="Q2585" s="499"/>
    </row>
    <row r="2586" spans="9:17">
      <c r="I2586" s="578" t="str">
        <f t="shared" si="186"/>
        <v>2006ethAsianNeo</v>
      </c>
      <c r="J2586" s="604">
        <v>2006</v>
      </c>
      <c r="K2586" s="604" t="s">
        <v>449</v>
      </c>
      <c r="L2586" s="604" t="s">
        <v>355</v>
      </c>
      <c r="M2586" s="604">
        <v>14</v>
      </c>
      <c r="N2586" s="604">
        <v>5389</v>
      </c>
      <c r="O2586" s="604">
        <v>2.6</v>
      </c>
      <c r="P2586" s="604" t="s">
        <v>484</v>
      </c>
      <c r="Q2586" s="499"/>
    </row>
    <row r="2587" spans="9:17">
      <c r="I2587" s="578" t="str">
        <f t="shared" si="186"/>
        <v>2006ethEuropean or OtherNeo</v>
      </c>
      <c r="J2587" s="604">
        <v>2006</v>
      </c>
      <c r="K2587" s="604" t="s">
        <v>449</v>
      </c>
      <c r="L2587" s="604" t="s">
        <v>356</v>
      </c>
      <c r="M2587" s="604">
        <v>71</v>
      </c>
      <c r="N2587" s="604">
        <v>30542</v>
      </c>
      <c r="O2587" s="604">
        <v>2.2999999999999998</v>
      </c>
      <c r="P2587" s="604" t="s">
        <v>484</v>
      </c>
      <c r="Q2587" s="499"/>
    </row>
    <row r="2588" spans="9:17">
      <c r="I2588" s="578" t="str">
        <f t="shared" si="186"/>
        <v>2007ethMaoriNeo</v>
      </c>
      <c r="J2588" s="604">
        <v>2007</v>
      </c>
      <c r="K2588" s="604" t="s">
        <v>449</v>
      </c>
      <c r="L2588" s="604" t="s">
        <v>129</v>
      </c>
      <c r="M2588" s="604">
        <v>53</v>
      </c>
      <c r="N2588" s="604">
        <v>19338</v>
      </c>
      <c r="O2588" s="604">
        <v>2.7</v>
      </c>
      <c r="P2588" s="604" t="s">
        <v>484</v>
      </c>
      <c r="Q2588" s="499"/>
    </row>
    <row r="2589" spans="9:17">
      <c r="I2589" s="578" t="str">
        <f t="shared" si="186"/>
        <v>2007ethPacific peoplesNeo</v>
      </c>
      <c r="J2589" s="604">
        <v>2007</v>
      </c>
      <c r="K2589" s="604" t="s">
        <v>449</v>
      </c>
      <c r="L2589" s="604" t="s">
        <v>320</v>
      </c>
      <c r="M2589" s="604">
        <v>22</v>
      </c>
      <c r="N2589" s="604">
        <v>7005</v>
      </c>
      <c r="O2589" s="604">
        <v>3.1</v>
      </c>
      <c r="P2589" s="604" t="s">
        <v>484</v>
      </c>
      <c r="Q2589" s="499"/>
    </row>
    <row r="2590" spans="9:17">
      <c r="I2590" s="578" t="str">
        <f t="shared" si="186"/>
        <v>2007ethAsianNeo</v>
      </c>
      <c r="J2590" s="604">
        <v>2007</v>
      </c>
      <c r="K2590" s="604" t="s">
        <v>449</v>
      </c>
      <c r="L2590" s="604" t="s">
        <v>355</v>
      </c>
      <c r="M2590" s="604">
        <v>9</v>
      </c>
      <c r="N2590" s="604">
        <v>6386</v>
      </c>
      <c r="O2590" s="604">
        <v>1.4</v>
      </c>
      <c r="P2590" s="604" t="s">
        <v>484</v>
      </c>
      <c r="Q2590" s="499"/>
    </row>
    <row r="2591" spans="9:17">
      <c r="I2591" s="578" t="str">
        <f t="shared" si="186"/>
        <v>2007ethEuropean or OtherNeo</v>
      </c>
      <c r="J2591" s="604">
        <v>2007</v>
      </c>
      <c r="K2591" s="604" t="s">
        <v>449</v>
      </c>
      <c r="L2591" s="604" t="s">
        <v>356</v>
      </c>
      <c r="M2591" s="604">
        <v>82</v>
      </c>
      <c r="N2591" s="604">
        <v>32392</v>
      </c>
      <c r="O2591" s="604">
        <v>2.5</v>
      </c>
      <c r="P2591" s="604" t="s">
        <v>484</v>
      </c>
      <c r="Q2591" s="499"/>
    </row>
    <row r="2592" spans="9:17">
      <c r="I2592" s="578" t="str">
        <f t="shared" si="186"/>
        <v>2008ethMaoriNeo</v>
      </c>
      <c r="J2592" s="604">
        <v>2008</v>
      </c>
      <c r="K2592" s="604" t="s">
        <v>449</v>
      </c>
      <c r="L2592" s="604" t="s">
        <v>129</v>
      </c>
      <c r="M2592" s="604">
        <v>68</v>
      </c>
      <c r="N2592" s="604">
        <v>19452</v>
      </c>
      <c r="O2592" s="604">
        <v>3.5</v>
      </c>
      <c r="P2592" s="604" t="s">
        <v>484</v>
      </c>
      <c r="Q2592" s="499"/>
    </row>
    <row r="2593" spans="9:17">
      <c r="I2593" s="578" t="str">
        <f t="shared" si="186"/>
        <v>2008ethPacific peoplesNeo</v>
      </c>
      <c r="J2593" s="604">
        <v>2008</v>
      </c>
      <c r="K2593" s="604" t="s">
        <v>449</v>
      </c>
      <c r="L2593" s="604" t="s">
        <v>320</v>
      </c>
      <c r="M2593" s="604">
        <v>26</v>
      </c>
      <c r="N2593" s="604">
        <v>7221</v>
      </c>
      <c r="O2593" s="604">
        <v>3.6</v>
      </c>
      <c r="P2593" s="604" t="s">
        <v>484</v>
      </c>
      <c r="Q2593" s="499"/>
    </row>
    <row r="2594" spans="9:17">
      <c r="I2594" s="578" t="str">
        <f t="shared" si="186"/>
        <v>2008ethAsianNeo</v>
      </c>
      <c r="J2594" s="604">
        <v>2008</v>
      </c>
      <c r="K2594" s="604" t="s">
        <v>449</v>
      </c>
      <c r="L2594" s="604" t="s">
        <v>355</v>
      </c>
      <c r="M2594" s="604">
        <v>13</v>
      </c>
      <c r="N2594" s="604">
        <v>6557</v>
      </c>
      <c r="O2594" s="604">
        <v>2</v>
      </c>
      <c r="P2594" s="604" t="s">
        <v>484</v>
      </c>
      <c r="Q2594" s="499"/>
    </row>
    <row r="2595" spans="9:17">
      <c r="I2595" s="578" t="str">
        <f t="shared" si="186"/>
        <v>2008ethEuropean or OtherNeo</v>
      </c>
      <c r="J2595" s="604">
        <v>2008</v>
      </c>
      <c r="K2595" s="604" t="s">
        <v>449</v>
      </c>
      <c r="L2595" s="604" t="s">
        <v>356</v>
      </c>
      <c r="M2595" s="604">
        <v>80</v>
      </c>
      <c r="N2595" s="604">
        <v>32103</v>
      </c>
      <c r="O2595" s="604">
        <v>2.5</v>
      </c>
      <c r="P2595" s="604" t="s">
        <v>484</v>
      </c>
      <c r="Q2595" s="499"/>
    </row>
    <row r="2596" spans="9:17">
      <c r="I2596" s="578" t="str">
        <f t="shared" si="186"/>
        <v>2009ethMaoriNeo</v>
      </c>
      <c r="J2596" s="604">
        <v>2009</v>
      </c>
      <c r="K2596" s="604" t="s">
        <v>449</v>
      </c>
      <c r="L2596" s="604" t="s">
        <v>129</v>
      </c>
      <c r="M2596" s="604">
        <v>71</v>
      </c>
      <c r="N2596" s="604">
        <v>18470</v>
      </c>
      <c r="O2596" s="604">
        <v>3.8</v>
      </c>
      <c r="P2596" s="604" t="s">
        <v>484</v>
      </c>
      <c r="Q2596" s="499"/>
    </row>
    <row r="2597" spans="9:17">
      <c r="I2597" s="578" t="str">
        <f t="shared" si="186"/>
        <v>2009ethPacific peoplesNeo</v>
      </c>
      <c r="J2597" s="604">
        <v>2009</v>
      </c>
      <c r="K2597" s="604" t="s">
        <v>449</v>
      </c>
      <c r="L2597" s="604" t="s">
        <v>320</v>
      </c>
      <c r="M2597" s="604">
        <v>25</v>
      </c>
      <c r="N2597" s="604">
        <v>7124</v>
      </c>
      <c r="O2597" s="604">
        <v>3.5</v>
      </c>
      <c r="P2597" s="604" t="s">
        <v>484</v>
      </c>
      <c r="Q2597" s="499"/>
    </row>
    <row r="2598" spans="9:17">
      <c r="I2598" s="578" t="str">
        <f t="shared" si="186"/>
        <v>2009ethAsianNeo</v>
      </c>
      <c r="J2598" s="604">
        <v>2009</v>
      </c>
      <c r="K2598" s="604" t="s">
        <v>449</v>
      </c>
      <c r="L2598" s="604" t="s">
        <v>355</v>
      </c>
      <c r="M2598" s="604">
        <v>17</v>
      </c>
      <c r="N2598" s="604">
        <v>6763</v>
      </c>
      <c r="O2598" s="604">
        <v>2.5</v>
      </c>
      <c r="P2598" s="604" t="s">
        <v>484</v>
      </c>
      <c r="Q2598" s="499"/>
    </row>
    <row r="2599" spans="9:17">
      <c r="I2599" s="578" t="str">
        <f t="shared" si="186"/>
        <v>2009ethEuropean or OtherNeo</v>
      </c>
      <c r="J2599" s="604">
        <v>2009</v>
      </c>
      <c r="K2599" s="604" t="s">
        <v>449</v>
      </c>
      <c r="L2599" s="604" t="s">
        <v>356</v>
      </c>
      <c r="M2599" s="604">
        <v>84</v>
      </c>
      <c r="N2599" s="604">
        <v>30928</v>
      </c>
      <c r="O2599" s="604">
        <v>2.7</v>
      </c>
      <c r="P2599" s="604" t="s">
        <v>484</v>
      </c>
      <c r="Q2599" s="499"/>
    </row>
    <row r="2600" spans="9:17">
      <c r="I2600" s="578" t="str">
        <f t="shared" si="186"/>
        <v>2010ethMaoriNeo</v>
      </c>
      <c r="J2600" s="604">
        <v>2010</v>
      </c>
      <c r="K2600" s="604" t="s">
        <v>449</v>
      </c>
      <c r="L2600" s="604" t="s">
        <v>129</v>
      </c>
      <c r="M2600" s="604">
        <v>68</v>
      </c>
      <c r="N2600" s="604">
        <v>18893</v>
      </c>
      <c r="O2600" s="604">
        <v>3.6</v>
      </c>
      <c r="P2600" s="604" t="s">
        <v>484</v>
      </c>
      <c r="Q2600" s="499"/>
    </row>
    <row r="2601" spans="9:17">
      <c r="I2601" s="578" t="str">
        <f t="shared" si="186"/>
        <v>2010ethPacific peoplesNeo</v>
      </c>
      <c r="J2601" s="604">
        <v>2010</v>
      </c>
      <c r="K2601" s="604" t="s">
        <v>449</v>
      </c>
      <c r="L2601" s="604" t="s">
        <v>320</v>
      </c>
      <c r="M2601" s="604">
        <v>42</v>
      </c>
      <c r="N2601" s="604">
        <v>7261</v>
      </c>
      <c r="O2601" s="604">
        <v>5.8</v>
      </c>
      <c r="P2601" s="604" t="s">
        <v>484</v>
      </c>
      <c r="Q2601" s="499"/>
    </row>
    <row r="2602" spans="9:17">
      <c r="I2602" s="578" t="str">
        <f t="shared" si="186"/>
        <v>2010ethAsianNeo</v>
      </c>
      <c r="J2602" s="604">
        <v>2010</v>
      </c>
      <c r="K2602" s="604" t="s">
        <v>449</v>
      </c>
      <c r="L2602" s="604" t="s">
        <v>355</v>
      </c>
      <c r="M2602" s="604">
        <v>20</v>
      </c>
      <c r="N2602" s="604">
        <v>7451</v>
      </c>
      <c r="O2602" s="604">
        <v>2.7</v>
      </c>
      <c r="P2602" s="604" t="s">
        <v>484</v>
      </c>
      <c r="Q2602" s="499"/>
    </row>
    <row r="2603" spans="9:17">
      <c r="I2603" s="578" t="str">
        <f t="shared" si="186"/>
        <v>2010ethEuropean or OtherNeo</v>
      </c>
      <c r="J2603" s="604">
        <v>2010</v>
      </c>
      <c r="K2603" s="604" t="s">
        <v>449</v>
      </c>
      <c r="L2603" s="604" t="s">
        <v>356</v>
      </c>
      <c r="M2603" s="604">
        <v>104</v>
      </c>
      <c r="N2603" s="604">
        <v>31094</v>
      </c>
      <c r="O2603" s="604">
        <v>3.3</v>
      </c>
      <c r="P2603" s="604" t="s">
        <v>484</v>
      </c>
      <c r="Q2603" s="499"/>
    </row>
    <row r="2604" spans="9:17">
      <c r="I2604" s="578" t="str">
        <f t="shared" si="186"/>
        <v>2011ethMaoriNeo</v>
      </c>
      <c r="J2604" s="604">
        <v>2011</v>
      </c>
      <c r="K2604" s="604" t="s">
        <v>449</v>
      </c>
      <c r="L2604" s="604" t="s">
        <v>129</v>
      </c>
      <c r="M2604" s="604">
        <v>72</v>
      </c>
      <c r="N2604" s="604">
        <v>18034</v>
      </c>
      <c r="O2604" s="604">
        <v>4</v>
      </c>
      <c r="P2604" s="604" t="s">
        <v>484</v>
      </c>
      <c r="Q2604" s="499"/>
    </row>
    <row r="2605" spans="9:17">
      <c r="I2605" s="578" t="str">
        <f t="shared" si="186"/>
        <v>2011ethPacific peoplesNeo</v>
      </c>
      <c r="J2605" s="604">
        <v>2011</v>
      </c>
      <c r="K2605" s="604" t="s">
        <v>449</v>
      </c>
      <c r="L2605" s="604" t="s">
        <v>320</v>
      </c>
      <c r="M2605" s="604">
        <v>24</v>
      </c>
      <c r="N2605" s="604">
        <v>7141</v>
      </c>
      <c r="O2605" s="604">
        <v>3.4</v>
      </c>
      <c r="P2605" s="604" t="s">
        <v>484</v>
      </c>
      <c r="Q2605" s="499"/>
    </row>
    <row r="2606" spans="9:17">
      <c r="I2606" s="578" t="str">
        <f t="shared" si="186"/>
        <v>2011ethAsianNeo</v>
      </c>
      <c r="J2606" s="604">
        <v>2011</v>
      </c>
      <c r="K2606" s="604" t="s">
        <v>449</v>
      </c>
      <c r="L2606" s="604" t="s">
        <v>355</v>
      </c>
      <c r="M2606" s="604">
        <v>18</v>
      </c>
      <c r="N2606" s="604">
        <v>7517</v>
      </c>
      <c r="O2606" s="604">
        <v>2.4</v>
      </c>
      <c r="P2606" s="604" t="s">
        <v>484</v>
      </c>
      <c r="Q2606" s="499"/>
    </row>
    <row r="2607" spans="9:17">
      <c r="I2607" s="578" t="str">
        <f t="shared" si="186"/>
        <v>2011ethEuropean or OtherNeo</v>
      </c>
      <c r="J2607" s="604">
        <v>2011</v>
      </c>
      <c r="K2607" s="604" t="s">
        <v>449</v>
      </c>
      <c r="L2607" s="604" t="s">
        <v>356</v>
      </c>
      <c r="M2607" s="604">
        <v>83</v>
      </c>
      <c r="N2607" s="604">
        <v>29482</v>
      </c>
      <c r="O2607" s="604">
        <v>2.8</v>
      </c>
      <c r="P2607" s="604" t="s">
        <v>484</v>
      </c>
      <c r="Q2607" s="499"/>
    </row>
    <row r="2608" spans="9:17">
      <c r="I2608" s="578" t="str">
        <f t="shared" si="186"/>
        <v>2012ethMaoriNeo</v>
      </c>
      <c r="J2608" s="604">
        <v>2012</v>
      </c>
      <c r="K2608" s="604" t="s">
        <v>449</v>
      </c>
      <c r="L2608" s="604" t="s">
        <v>129</v>
      </c>
      <c r="M2608" s="604">
        <v>59</v>
      </c>
      <c r="N2608" s="604">
        <v>17948</v>
      </c>
      <c r="O2608" s="604">
        <v>3.3</v>
      </c>
      <c r="P2608" s="604" t="s">
        <v>484</v>
      </c>
      <c r="Q2608" s="499"/>
    </row>
    <row r="2609" spans="9:17">
      <c r="I2609" s="578" t="str">
        <f t="shared" si="186"/>
        <v>2012ethPacific peoplesNeo</v>
      </c>
      <c r="J2609" s="604">
        <v>2012</v>
      </c>
      <c r="K2609" s="604" t="s">
        <v>449</v>
      </c>
      <c r="L2609" s="604" t="s">
        <v>320</v>
      </c>
      <c r="M2609" s="604">
        <v>33</v>
      </c>
      <c r="N2609" s="604">
        <v>6955</v>
      </c>
      <c r="O2609" s="604">
        <v>4.7</v>
      </c>
      <c r="P2609" s="604" t="s">
        <v>484</v>
      </c>
      <c r="Q2609" s="499"/>
    </row>
    <row r="2610" spans="9:17">
      <c r="I2610" s="578" t="str">
        <f t="shared" si="186"/>
        <v>2012ethAsianNeo</v>
      </c>
      <c r="J2610" s="604">
        <v>2012</v>
      </c>
      <c r="K2610" s="604" t="s">
        <v>449</v>
      </c>
      <c r="L2610" s="604" t="s">
        <v>355</v>
      </c>
      <c r="M2610" s="604">
        <v>21</v>
      </c>
      <c r="N2610" s="604">
        <v>8613</v>
      </c>
      <c r="O2610" s="604">
        <v>2.4</v>
      </c>
      <c r="P2610" s="604" t="s">
        <v>484</v>
      </c>
      <c r="Q2610" s="499"/>
    </row>
    <row r="2611" spans="9:17">
      <c r="I2611" s="578" t="str">
        <f t="shared" si="186"/>
        <v>2012ethEuropean or OtherNeo</v>
      </c>
      <c r="J2611" s="604">
        <v>2012</v>
      </c>
      <c r="K2611" s="604" t="s">
        <v>449</v>
      </c>
      <c r="L2611" s="604" t="s">
        <v>356</v>
      </c>
      <c r="M2611" s="604">
        <v>81</v>
      </c>
      <c r="N2611" s="604">
        <v>28519</v>
      </c>
      <c r="O2611" s="604">
        <v>2.8</v>
      </c>
      <c r="P2611" s="604" t="s">
        <v>484</v>
      </c>
      <c r="Q2611" s="499"/>
    </row>
    <row r="2612" spans="9:17">
      <c r="I2612" s="578" t="str">
        <f t="shared" si="186"/>
        <v>2013ethMaoriNeo</v>
      </c>
      <c r="J2612" s="604">
        <v>2013</v>
      </c>
      <c r="K2612" s="604" t="s">
        <v>449</v>
      </c>
      <c r="L2612" s="604" t="s">
        <v>129</v>
      </c>
      <c r="M2612" s="604">
        <v>58</v>
      </c>
      <c r="N2612" s="604">
        <v>17149</v>
      </c>
      <c r="O2612" s="604">
        <v>3.4</v>
      </c>
      <c r="P2612" s="604" t="s">
        <v>484</v>
      </c>
      <c r="Q2612" s="499"/>
    </row>
    <row r="2613" spans="9:17">
      <c r="I2613" s="578" t="str">
        <f t="shared" si="186"/>
        <v>2013ethPacific peoplesNeo</v>
      </c>
      <c r="J2613" s="604">
        <v>2013</v>
      </c>
      <c r="K2613" s="604" t="s">
        <v>449</v>
      </c>
      <c r="L2613" s="604" t="s">
        <v>320</v>
      </c>
      <c r="M2613" s="604">
        <v>33</v>
      </c>
      <c r="N2613" s="604">
        <v>6438</v>
      </c>
      <c r="O2613" s="604">
        <v>5.0999999999999996</v>
      </c>
      <c r="P2613" s="604" t="s">
        <v>484</v>
      </c>
      <c r="Q2613" s="499"/>
    </row>
    <row r="2614" spans="9:17">
      <c r="I2614" s="578" t="str">
        <f t="shared" si="186"/>
        <v>2013ethAsianNeo</v>
      </c>
      <c r="J2614" s="604">
        <v>2013</v>
      </c>
      <c r="K2614" s="604" t="s">
        <v>449</v>
      </c>
      <c r="L2614" s="604" t="s">
        <v>355</v>
      </c>
      <c r="M2614" s="604">
        <v>24</v>
      </c>
      <c r="N2614" s="604">
        <v>8707</v>
      </c>
      <c r="O2614" s="604">
        <v>2.8</v>
      </c>
      <c r="P2614" s="604" t="s">
        <v>484</v>
      </c>
      <c r="Q2614" s="499"/>
    </row>
    <row r="2615" spans="9:17">
      <c r="I2615" s="578" t="str">
        <f t="shared" si="186"/>
        <v>2013ethEuropean or OtherNeo</v>
      </c>
      <c r="J2615" s="604">
        <v>2013</v>
      </c>
      <c r="K2615" s="604" t="s">
        <v>449</v>
      </c>
      <c r="L2615" s="604" t="s">
        <v>356</v>
      </c>
      <c r="M2615" s="604">
        <v>83</v>
      </c>
      <c r="N2615" s="604">
        <v>27407</v>
      </c>
      <c r="O2615" s="604">
        <v>3</v>
      </c>
      <c r="P2615" s="604" t="s">
        <v>484</v>
      </c>
      <c r="Q2615" s="499"/>
    </row>
    <row r="2616" spans="9:17">
      <c r="I2616" s="578" t="str">
        <f t="shared" si="186"/>
        <v>2014ethMaoriNeo</v>
      </c>
      <c r="J2616" s="604">
        <v>2014</v>
      </c>
      <c r="K2616" s="604" t="s">
        <v>449</v>
      </c>
      <c r="L2616" s="604" t="s">
        <v>129</v>
      </c>
      <c r="M2616" s="604">
        <v>66</v>
      </c>
      <c r="N2616" s="604">
        <v>16479</v>
      </c>
      <c r="O2616" s="604">
        <v>4</v>
      </c>
      <c r="P2616" s="604" t="s">
        <v>484</v>
      </c>
      <c r="Q2616" s="499"/>
    </row>
    <row r="2617" spans="9:17">
      <c r="I2617" s="578" t="str">
        <f t="shared" si="186"/>
        <v>2014ethPacific peoplesNeo</v>
      </c>
      <c r="J2617" s="604">
        <v>2014</v>
      </c>
      <c r="K2617" s="604" t="s">
        <v>449</v>
      </c>
      <c r="L2617" s="604" t="s">
        <v>320</v>
      </c>
      <c r="M2617" s="604">
        <v>31</v>
      </c>
      <c r="N2617" s="604">
        <v>6196</v>
      </c>
      <c r="O2617" s="604">
        <v>5</v>
      </c>
      <c r="P2617" s="604" t="s">
        <v>484</v>
      </c>
      <c r="Q2617" s="499"/>
    </row>
    <row r="2618" spans="9:17">
      <c r="I2618" s="578" t="str">
        <f t="shared" si="186"/>
        <v>2014ethAsianNeo</v>
      </c>
      <c r="J2618" s="604">
        <v>2014</v>
      </c>
      <c r="K2618" s="604" t="s">
        <v>449</v>
      </c>
      <c r="L2618" s="604" t="s">
        <v>355</v>
      </c>
      <c r="M2618" s="604">
        <v>40</v>
      </c>
      <c r="N2618" s="604">
        <v>9320</v>
      </c>
      <c r="O2618" s="604">
        <v>4.3</v>
      </c>
      <c r="P2618" s="604" t="s">
        <v>484</v>
      </c>
      <c r="Q2618" s="499"/>
    </row>
    <row r="2619" spans="9:17">
      <c r="I2619" s="578" t="str">
        <f t="shared" si="186"/>
        <v>2014ethEuropean or OtherNeo</v>
      </c>
      <c r="J2619" s="604">
        <v>2014</v>
      </c>
      <c r="K2619" s="604" t="s">
        <v>449</v>
      </c>
      <c r="L2619" s="604" t="s">
        <v>356</v>
      </c>
      <c r="M2619" s="604">
        <v>103</v>
      </c>
      <c r="N2619" s="604">
        <v>26290</v>
      </c>
      <c r="O2619" s="604">
        <v>3.9</v>
      </c>
      <c r="P2619" s="604" t="s">
        <v>484</v>
      </c>
      <c r="Q2619" s="499"/>
    </row>
    <row r="2620" spans="9:17">
      <c r="I2620" s="578" t="str">
        <f t="shared" si="186"/>
        <v>2015ethMaoriNeo</v>
      </c>
      <c r="J2620" s="604">
        <v>2015</v>
      </c>
      <c r="K2620" s="604" t="s">
        <v>449</v>
      </c>
      <c r="L2620" s="604" t="s">
        <v>129</v>
      </c>
      <c r="M2620" s="604">
        <v>54</v>
      </c>
      <c r="N2620" s="604">
        <v>17781</v>
      </c>
      <c r="O2620" s="604">
        <v>3</v>
      </c>
      <c r="P2620" s="604" t="s">
        <v>484</v>
      </c>
      <c r="Q2620" s="499"/>
    </row>
    <row r="2621" spans="9:17">
      <c r="I2621" s="578" t="str">
        <f t="shared" si="186"/>
        <v>2015ethPacific peoplesNeo</v>
      </c>
      <c r="J2621" s="604">
        <v>2015</v>
      </c>
      <c r="K2621" s="604" t="s">
        <v>449</v>
      </c>
      <c r="L2621" s="604" t="s">
        <v>320</v>
      </c>
      <c r="M2621" s="604">
        <v>26</v>
      </c>
      <c r="N2621" s="604">
        <v>6377</v>
      </c>
      <c r="O2621" s="604">
        <v>4.0999999999999996</v>
      </c>
      <c r="P2621" s="604" t="s">
        <v>484</v>
      </c>
      <c r="Q2621" s="499"/>
    </row>
    <row r="2622" spans="9:17">
      <c r="I2622" s="578" t="str">
        <f t="shared" si="186"/>
        <v>2015ethAsianNeo</v>
      </c>
      <c r="J2622" s="604">
        <v>2015</v>
      </c>
      <c r="K2622" s="604" t="s">
        <v>449</v>
      </c>
      <c r="L2622" s="604" t="s">
        <v>355</v>
      </c>
      <c r="M2622" s="604">
        <v>32</v>
      </c>
      <c r="N2622" s="604">
        <v>10189</v>
      </c>
      <c r="O2622" s="604">
        <v>3.1</v>
      </c>
      <c r="P2622" s="604" t="s">
        <v>484</v>
      </c>
      <c r="Q2622" s="499"/>
    </row>
    <row r="2623" spans="9:17">
      <c r="I2623" s="578" t="str">
        <f t="shared" si="186"/>
        <v>2015ethEuropean or OtherNeo</v>
      </c>
      <c r="J2623" s="604">
        <v>2015</v>
      </c>
      <c r="K2623" s="604" t="s">
        <v>449</v>
      </c>
      <c r="L2623" s="604" t="s">
        <v>356</v>
      </c>
      <c r="M2623" s="604">
        <v>63</v>
      </c>
      <c r="N2623" s="604">
        <v>27775</v>
      </c>
      <c r="O2623" s="604">
        <v>2.2999999999999998</v>
      </c>
      <c r="P2623" s="604" t="s">
        <v>484</v>
      </c>
      <c r="Q2623" s="499"/>
    </row>
    <row r="2624" spans="9:17">
      <c r="I2624" s="578" t="str">
        <f t="shared" si="186"/>
        <v>2016ethMaoriNeo</v>
      </c>
      <c r="J2624" s="604">
        <v>2016</v>
      </c>
      <c r="K2624" s="604" t="s">
        <v>449</v>
      </c>
      <c r="L2624" s="604" t="s">
        <v>129</v>
      </c>
      <c r="M2624" s="604">
        <v>64</v>
      </c>
      <c r="N2624" s="604">
        <v>17329</v>
      </c>
      <c r="O2624" s="604">
        <v>3.7</v>
      </c>
      <c r="P2624" s="604" t="s">
        <v>484</v>
      </c>
      <c r="Q2624" s="499"/>
    </row>
    <row r="2625" spans="9:17">
      <c r="I2625" s="578" t="str">
        <f t="shared" si="186"/>
        <v>2016ethPacific peoplesNeo</v>
      </c>
      <c r="J2625" s="604">
        <v>2016</v>
      </c>
      <c r="K2625" s="604" t="s">
        <v>449</v>
      </c>
      <c r="L2625" s="604" t="s">
        <v>320</v>
      </c>
      <c r="M2625" s="604">
        <v>25</v>
      </c>
      <c r="N2625" s="604">
        <v>5976</v>
      </c>
      <c r="O2625" s="604">
        <v>4.2</v>
      </c>
      <c r="P2625" s="604" t="s">
        <v>484</v>
      </c>
      <c r="Q2625" s="499"/>
    </row>
    <row r="2626" spans="9:17">
      <c r="I2626" s="578" t="str">
        <f t="shared" si="186"/>
        <v>2016ethAsianNeo</v>
      </c>
      <c r="J2626" s="604">
        <v>2016</v>
      </c>
      <c r="K2626" s="604" t="s">
        <v>449</v>
      </c>
      <c r="L2626" s="604" t="s">
        <v>355</v>
      </c>
      <c r="M2626" s="604">
        <v>24</v>
      </c>
      <c r="N2626" s="604">
        <v>10902</v>
      </c>
      <c r="O2626" s="604">
        <v>2.2000000000000002</v>
      </c>
      <c r="P2626" s="604" t="s">
        <v>484</v>
      </c>
      <c r="Q2626" s="499"/>
    </row>
    <row r="2627" spans="9:17">
      <c r="I2627" s="578" t="str">
        <f t="shared" si="186"/>
        <v>2016ethEuropean or OtherNeo</v>
      </c>
      <c r="J2627" s="604">
        <v>2016</v>
      </c>
      <c r="K2627" s="604" t="s">
        <v>449</v>
      </c>
      <c r="L2627" s="604" t="s">
        <v>356</v>
      </c>
      <c r="M2627" s="604">
        <v>48</v>
      </c>
      <c r="N2627" s="604">
        <v>26229</v>
      </c>
      <c r="O2627" s="604">
        <v>1.8</v>
      </c>
      <c r="P2627" s="604" t="s">
        <v>484</v>
      </c>
      <c r="Q2627" s="499"/>
    </row>
    <row r="2628" spans="9:17">
      <c r="I2628" s="578" t="str">
        <f t="shared" ref="I2628:I2691" si="187">J2628&amp;K2628&amp;L2628&amp;P2628</f>
        <v>1996depQuin 1Neo</v>
      </c>
      <c r="J2628" s="604">
        <v>1996</v>
      </c>
      <c r="K2628" s="604" t="s">
        <v>454</v>
      </c>
      <c r="L2628" s="604" t="s">
        <v>421</v>
      </c>
      <c r="M2628" s="604">
        <v>14</v>
      </c>
      <c r="N2628" s="604">
        <v>6224</v>
      </c>
      <c r="O2628" s="604">
        <v>2.2000000000000002</v>
      </c>
      <c r="P2628" s="604" t="s">
        <v>484</v>
      </c>
      <c r="Q2628" s="499"/>
    </row>
    <row r="2629" spans="9:17">
      <c r="I2629" s="578" t="str">
        <f t="shared" si="187"/>
        <v>1996depQuin 2Neo</v>
      </c>
      <c r="J2629" s="604">
        <v>1996</v>
      </c>
      <c r="K2629" s="604" t="s">
        <v>454</v>
      </c>
      <c r="L2629" s="604" t="s">
        <v>422</v>
      </c>
      <c r="M2629" s="604">
        <v>37</v>
      </c>
      <c r="N2629" s="604">
        <v>7213</v>
      </c>
      <c r="O2629" s="604">
        <v>5.0999999999999996</v>
      </c>
      <c r="P2629" s="604" t="s">
        <v>484</v>
      </c>
      <c r="Q2629" s="499"/>
    </row>
    <row r="2630" spans="9:17">
      <c r="I2630" s="578" t="str">
        <f t="shared" si="187"/>
        <v>1996depQuin 3Neo</v>
      </c>
      <c r="J2630" s="604">
        <v>1996</v>
      </c>
      <c r="K2630" s="604" t="s">
        <v>454</v>
      </c>
      <c r="L2630" s="604" t="s">
        <v>423</v>
      </c>
      <c r="M2630" s="604">
        <v>20</v>
      </c>
      <c r="N2630" s="604">
        <v>9023</v>
      </c>
      <c r="O2630" s="604">
        <v>2.2000000000000002</v>
      </c>
      <c r="P2630" s="604" t="s">
        <v>484</v>
      </c>
      <c r="Q2630" s="499"/>
    </row>
    <row r="2631" spans="9:17">
      <c r="I2631" s="578" t="str">
        <f t="shared" si="187"/>
        <v>1996depQuin 4Neo</v>
      </c>
      <c r="J2631" s="604">
        <v>1996</v>
      </c>
      <c r="K2631" s="604" t="s">
        <v>454</v>
      </c>
      <c r="L2631" s="604" t="s">
        <v>424</v>
      </c>
      <c r="M2631" s="604">
        <v>60</v>
      </c>
      <c r="N2631" s="604">
        <v>11553</v>
      </c>
      <c r="O2631" s="604">
        <v>5.2</v>
      </c>
      <c r="P2631" s="604" t="s">
        <v>484</v>
      </c>
      <c r="Q2631" s="499"/>
    </row>
    <row r="2632" spans="9:17">
      <c r="I2632" s="578" t="str">
        <f t="shared" si="187"/>
        <v>1996depQuin 5Neo</v>
      </c>
      <c r="J2632" s="604">
        <v>1996</v>
      </c>
      <c r="K2632" s="604" t="s">
        <v>454</v>
      </c>
      <c r="L2632" s="604" t="s">
        <v>425</v>
      </c>
      <c r="M2632" s="604">
        <v>67</v>
      </c>
      <c r="N2632" s="604">
        <v>15161</v>
      </c>
      <c r="O2632" s="604">
        <v>4.4000000000000004</v>
      </c>
      <c r="P2632" s="604" t="s">
        <v>484</v>
      </c>
      <c r="Q2632" s="499"/>
    </row>
    <row r="2633" spans="9:17">
      <c r="I2633" s="578" t="str">
        <f t="shared" si="187"/>
        <v>1996depQuin 9Neo</v>
      </c>
      <c r="J2633" s="604">
        <v>1996</v>
      </c>
      <c r="K2633" s="604" t="s">
        <v>454</v>
      </c>
      <c r="L2633" s="604" t="s">
        <v>426</v>
      </c>
      <c r="M2633" s="604">
        <v>25</v>
      </c>
      <c r="N2633" s="604">
        <v>8260</v>
      </c>
      <c r="O2633" s="604" t="s">
        <v>119</v>
      </c>
      <c r="P2633" s="604" t="s">
        <v>484</v>
      </c>
      <c r="Q2633" s="499"/>
    </row>
    <row r="2634" spans="9:17">
      <c r="I2634" s="578" t="str">
        <f t="shared" si="187"/>
        <v>1997depQuin 1Neo</v>
      </c>
      <c r="J2634" s="604">
        <v>1997</v>
      </c>
      <c r="K2634" s="604" t="s">
        <v>454</v>
      </c>
      <c r="L2634" s="604" t="s">
        <v>421</v>
      </c>
      <c r="M2634" s="604">
        <v>17</v>
      </c>
      <c r="N2634" s="604">
        <v>6314</v>
      </c>
      <c r="O2634" s="604">
        <v>2.7</v>
      </c>
      <c r="P2634" s="604" t="s">
        <v>484</v>
      </c>
      <c r="Q2634" s="499"/>
    </row>
    <row r="2635" spans="9:17">
      <c r="I2635" s="578" t="str">
        <f t="shared" si="187"/>
        <v>1997depQuin 2Neo</v>
      </c>
      <c r="J2635" s="604">
        <v>1997</v>
      </c>
      <c r="K2635" s="604" t="s">
        <v>454</v>
      </c>
      <c r="L2635" s="604" t="s">
        <v>422</v>
      </c>
      <c r="M2635" s="604">
        <v>21</v>
      </c>
      <c r="N2635" s="604">
        <v>7191</v>
      </c>
      <c r="O2635" s="604">
        <v>2.9</v>
      </c>
      <c r="P2635" s="604" t="s">
        <v>484</v>
      </c>
      <c r="Q2635" s="499"/>
    </row>
    <row r="2636" spans="9:17">
      <c r="I2636" s="578" t="str">
        <f t="shared" si="187"/>
        <v>1997depQuin 3Neo</v>
      </c>
      <c r="J2636" s="604">
        <v>1997</v>
      </c>
      <c r="K2636" s="604" t="s">
        <v>454</v>
      </c>
      <c r="L2636" s="604" t="s">
        <v>423</v>
      </c>
      <c r="M2636" s="604">
        <v>33</v>
      </c>
      <c r="N2636" s="604">
        <v>9059</v>
      </c>
      <c r="O2636" s="604">
        <v>3.6</v>
      </c>
      <c r="P2636" s="604" t="s">
        <v>484</v>
      </c>
      <c r="Q2636" s="499"/>
    </row>
    <row r="2637" spans="9:17">
      <c r="I2637" s="578" t="str">
        <f t="shared" si="187"/>
        <v>1997depQuin 4Neo</v>
      </c>
      <c r="J2637" s="604">
        <v>1997</v>
      </c>
      <c r="K2637" s="604" t="s">
        <v>454</v>
      </c>
      <c r="L2637" s="604" t="s">
        <v>424</v>
      </c>
      <c r="M2637" s="604">
        <v>52</v>
      </c>
      <c r="N2637" s="604">
        <v>11648</v>
      </c>
      <c r="O2637" s="604">
        <v>4.5</v>
      </c>
      <c r="P2637" s="604" t="s">
        <v>484</v>
      </c>
      <c r="Q2637" s="499"/>
    </row>
    <row r="2638" spans="9:17">
      <c r="I2638" s="578" t="str">
        <f t="shared" si="187"/>
        <v>1997depQuin 5Neo</v>
      </c>
      <c r="J2638" s="604">
        <v>1997</v>
      </c>
      <c r="K2638" s="604" t="s">
        <v>454</v>
      </c>
      <c r="L2638" s="604" t="s">
        <v>425</v>
      </c>
      <c r="M2638" s="604">
        <v>54</v>
      </c>
      <c r="N2638" s="604">
        <v>15072</v>
      </c>
      <c r="O2638" s="604">
        <v>3.6</v>
      </c>
      <c r="P2638" s="604" t="s">
        <v>484</v>
      </c>
      <c r="Q2638" s="499"/>
    </row>
    <row r="2639" spans="9:17">
      <c r="I2639" s="578" t="str">
        <f t="shared" si="187"/>
        <v>1997depQuin 9Neo</v>
      </c>
      <c r="J2639" s="604">
        <v>1997</v>
      </c>
      <c r="K2639" s="604" t="s">
        <v>454</v>
      </c>
      <c r="L2639" s="604" t="s">
        <v>426</v>
      </c>
      <c r="M2639" s="604">
        <v>32</v>
      </c>
      <c r="N2639" s="604">
        <v>8450</v>
      </c>
      <c r="O2639" s="604" t="s">
        <v>119</v>
      </c>
      <c r="P2639" s="604" t="s">
        <v>484</v>
      </c>
      <c r="Q2639" s="499"/>
    </row>
    <row r="2640" spans="9:17">
      <c r="I2640" s="578" t="str">
        <f t="shared" si="187"/>
        <v>1998depQuin 1Neo</v>
      </c>
      <c r="J2640" s="604">
        <v>1998</v>
      </c>
      <c r="K2640" s="604" t="s">
        <v>454</v>
      </c>
      <c r="L2640" s="604" t="s">
        <v>421</v>
      </c>
      <c r="M2640" s="604">
        <v>13</v>
      </c>
      <c r="N2640" s="604">
        <v>6314</v>
      </c>
      <c r="O2640" s="604">
        <v>2.1</v>
      </c>
      <c r="P2640" s="604" t="s">
        <v>484</v>
      </c>
      <c r="Q2640" s="499"/>
    </row>
    <row r="2641" spans="9:17">
      <c r="I2641" s="578" t="str">
        <f t="shared" si="187"/>
        <v>1998depQuin 2Neo</v>
      </c>
      <c r="J2641" s="604">
        <v>1998</v>
      </c>
      <c r="K2641" s="604" t="s">
        <v>454</v>
      </c>
      <c r="L2641" s="604" t="s">
        <v>422</v>
      </c>
      <c r="M2641" s="604">
        <v>23</v>
      </c>
      <c r="N2641" s="604">
        <v>7191</v>
      </c>
      <c r="O2641" s="604">
        <v>3.2</v>
      </c>
      <c r="P2641" s="604" t="s">
        <v>484</v>
      </c>
      <c r="Q2641" s="499"/>
    </row>
    <row r="2642" spans="9:17">
      <c r="I2642" s="578" t="str">
        <f t="shared" si="187"/>
        <v>1998depQuin 3Neo</v>
      </c>
      <c r="J2642" s="604">
        <v>1998</v>
      </c>
      <c r="K2642" s="604" t="s">
        <v>454</v>
      </c>
      <c r="L2642" s="604" t="s">
        <v>423</v>
      </c>
      <c r="M2642" s="604">
        <v>30</v>
      </c>
      <c r="N2642" s="604">
        <v>9059</v>
      </c>
      <c r="O2642" s="604">
        <v>3.3</v>
      </c>
      <c r="P2642" s="604" t="s">
        <v>484</v>
      </c>
      <c r="Q2642" s="499"/>
    </row>
    <row r="2643" spans="9:17">
      <c r="I2643" s="578" t="str">
        <f t="shared" si="187"/>
        <v>1998depQuin 4Neo</v>
      </c>
      <c r="J2643" s="604">
        <v>1998</v>
      </c>
      <c r="K2643" s="604" t="s">
        <v>454</v>
      </c>
      <c r="L2643" s="604" t="s">
        <v>424</v>
      </c>
      <c r="M2643" s="604">
        <v>37</v>
      </c>
      <c r="N2643" s="604">
        <v>11648</v>
      </c>
      <c r="O2643" s="604">
        <v>3.2</v>
      </c>
      <c r="P2643" s="604" t="s">
        <v>484</v>
      </c>
      <c r="Q2643" s="499"/>
    </row>
    <row r="2644" spans="9:17">
      <c r="I2644" s="578" t="str">
        <f t="shared" si="187"/>
        <v>1998depQuin 5Neo</v>
      </c>
      <c r="J2644" s="604">
        <v>1998</v>
      </c>
      <c r="K2644" s="604" t="s">
        <v>454</v>
      </c>
      <c r="L2644" s="604" t="s">
        <v>425</v>
      </c>
      <c r="M2644" s="604">
        <v>53</v>
      </c>
      <c r="N2644" s="604">
        <v>15072</v>
      </c>
      <c r="O2644" s="604">
        <v>3.5</v>
      </c>
      <c r="P2644" s="604" t="s">
        <v>484</v>
      </c>
      <c r="Q2644" s="499"/>
    </row>
    <row r="2645" spans="9:17">
      <c r="I2645" s="578" t="str">
        <f t="shared" si="187"/>
        <v>1998depQuin 9Neo</v>
      </c>
      <c r="J2645" s="604">
        <v>1998</v>
      </c>
      <c r="K2645" s="604" t="s">
        <v>454</v>
      </c>
      <c r="L2645" s="604" t="s">
        <v>426</v>
      </c>
      <c r="M2645" s="604">
        <v>15</v>
      </c>
      <c r="N2645" s="604">
        <v>8450</v>
      </c>
      <c r="O2645" s="604" t="s">
        <v>119</v>
      </c>
      <c r="P2645" s="604" t="s">
        <v>484</v>
      </c>
      <c r="Q2645" s="499"/>
    </row>
    <row r="2646" spans="9:17">
      <c r="I2646" s="578" t="str">
        <f t="shared" si="187"/>
        <v>1999depQuin 1Neo</v>
      </c>
      <c r="J2646" s="604">
        <v>1999</v>
      </c>
      <c r="K2646" s="604" t="s">
        <v>454</v>
      </c>
      <c r="L2646" s="604" t="s">
        <v>421</v>
      </c>
      <c r="M2646" s="604">
        <v>17</v>
      </c>
      <c r="N2646" s="604">
        <v>7250</v>
      </c>
      <c r="O2646" s="604">
        <v>2.2999999999999998</v>
      </c>
      <c r="P2646" s="604" t="s">
        <v>484</v>
      </c>
      <c r="Q2646" s="499"/>
    </row>
    <row r="2647" spans="9:17">
      <c r="I2647" s="578" t="str">
        <f t="shared" si="187"/>
        <v>1999depQuin 2Neo</v>
      </c>
      <c r="J2647" s="604">
        <v>1999</v>
      </c>
      <c r="K2647" s="604" t="s">
        <v>454</v>
      </c>
      <c r="L2647" s="604" t="s">
        <v>422</v>
      </c>
      <c r="M2647" s="604">
        <v>29</v>
      </c>
      <c r="N2647" s="604">
        <v>8066</v>
      </c>
      <c r="O2647" s="604">
        <v>3.6</v>
      </c>
      <c r="P2647" s="604" t="s">
        <v>484</v>
      </c>
      <c r="Q2647" s="499"/>
    </row>
    <row r="2648" spans="9:17">
      <c r="I2648" s="578" t="str">
        <f t="shared" si="187"/>
        <v>1999depQuin 3Neo</v>
      </c>
      <c r="J2648" s="604">
        <v>1999</v>
      </c>
      <c r="K2648" s="604" t="s">
        <v>454</v>
      </c>
      <c r="L2648" s="604" t="s">
        <v>423</v>
      </c>
      <c r="M2648" s="604">
        <v>21</v>
      </c>
      <c r="N2648" s="604">
        <v>9708</v>
      </c>
      <c r="O2648" s="604">
        <v>2.2000000000000002</v>
      </c>
      <c r="P2648" s="604" t="s">
        <v>484</v>
      </c>
      <c r="Q2648" s="499"/>
    </row>
    <row r="2649" spans="9:17">
      <c r="I2649" s="578" t="str">
        <f t="shared" si="187"/>
        <v>1999depQuin 4Neo</v>
      </c>
      <c r="J2649" s="604">
        <v>1999</v>
      </c>
      <c r="K2649" s="604" t="s">
        <v>454</v>
      </c>
      <c r="L2649" s="604" t="s">
        <v>424</v>
      </c>
      <c r="M2649" s="604">
        <v>46</v>
      </c>
      <c r="N2649" s="604">
        <v>12198</v>
      </c>
      <c r="O2649" s="604">
        <v>3.8</v>
      </c>
      <c r="P2649" s="604" t="s">
        <v>484</v>
      </c>
      <c r="Q2649" s="499"/>
    </row>
    <row r="2650" spans="9:17">
      <c r="I2650" s="578" t="str">
        <f t="shared" si="187"/>
        <v>1999depQuin 5Neo</v>
      </c>
      <c r="J2650" s="604">
        <v>1999</v>
      </c>
      <c r="K2650" s="604" t="s">
        <v>454</v>
      </c>
      <c r="L2650" s="604" t="s">
        <v>425</v>
      </c>
      <c r="M2650" s="604">
        <v>54</v>
      </c>
      <c r="N2650" s="604">
        <v>14745</v>
      </c>
      <c r="O2650" s="604">
        <v>3.7</v>
      </c>
      <c r="P2650" s="604" t="s">
        <v>484</v>
      </c>
      <c r="Q2650" s="499"/>
    </row>
    <row r="2651" spans="9:17">
      <c r="I2651" s="578" t="str">
        <f t="shared" si="187"/>
        <v>1999depQuin 9Neo</v>
      </c>
      <c r="J2651" s="604">
        <v>1999</v>
      </c>
      <c r="K2651" s="604" t="s">
        <v>454</v>
      </c>
      <c r="L2651" s="604" t="s">
        <v>426</v>
      </c>
      <c r="M2651" s="604">
        <v>15</v>
      </c>
      <c r="N2651" s="604">
        <v>5454</v>
      </c>
      <c r="O2651" s="604" t="s">
        <v>119</v>
      </c>
      <c r="P2651" s="604" t="s">
        <v>484</v>
      </c>
      <c r="Q2651" s="499"/>
    </row>
    <row r="2652" spans="9:17">
      <c r="I2652" s="578" t="str">
        <f t="shared" si="187"/>
        <v>2000depQuin 1Neo</v>
      </c>
      <c r="J2652" s="604">
        <v>2000</v>
      </c>
      <c r="K2652" s="604" t="s">
        <v>454</v>
      </c>
      <c r="L2652" s="604" t="s">
        <v>421</v>
      </c>
      <c r="M2652" s="604">
        <v>18</v>
      </c>
      <c r="N2652" s="604">
        <v>7052</v>
      </c>
      <c r="O2652" s="604">
        <v>2.6</v>
      </c>
      <c r="P2652" s="604" t="s">
        <v>484</v>
      </c>
      <c r="Q2652" s="499"/>
    </row>
    <row r="2653" spans="9:17">
      <c r="I2653" s="578" t="str">
        <f t="shared" si="187"/>
        <v>2000depQuin 2Neo</v>
      </c>
      <c r="J2653" s="604">
        <v>2000</v>
      </c>
      <c r="K2653" s="604" t="s">
        <v>454</v>
      </c>
      <c r="L2653" s="604" t="s">
        <v>422</v>
      </c>
      <c r="M2653" s="604">
        <v>29</v>
      </c>
      <c r="N2653" s="604">
        <v>8032</v>
      </c>
      <c r="O2653" s="604">
        <v>3.6</v>
      </c>
      <c r="P2653" s="604" t="s">
        <v>484</v>
      </c>
      <c r="Q2653" s="499"/>
    </row>
    <row r="2654" spans="9:17">
      <c r="I2654" s="578" t="str">
        <f t="shared" si="187"/>
        <v>2000depQuin 3Neo</v>
      </c>
      <c r="J2654" s="604">
        <v>2000</v>
      </c>
      <c r="K2654" s="604" t="s">
        <v>454</v>
      </c>
      <c r="L2654" s="604" t="s">
        <v>423</v>
      </c>
      <c r="M2654" s="604">
        <v>38</v>
      </c>
      <c r="N2654" s="604">
        <v>9828</v>
      </c>
      <c r="O2654" s="604">
        <v>3.9</v>
      </c>
      <c r="P2654" s="604" t="s">
        <v>484</v>
      </c>
      <c r="Q2654" s="499"/>
    </row>
    <row r="2655" spans="9:17">
      <c r="I2655" s="578" t="str">
        <f t="shared" si="187"/>
        <v>2000depQuin 4Neo</v>
      </c>
      <c r="J2655" s="604">
        <v>2000</v>
      </c>
      <c r="K2655" s="604" t="s">
        <v>454</v>
      </c>
      <c r="L2655" s="604" t="s">
        <v>424</v>
      </c>
      <c r="M2655" s="604">
        <v>46</v>
      </c>
      <c r="N2655" s="604">
        <v>12434</v>
      </c>
      <c r="O2655" s="604">
        <v>3.7</v>
      </c>
      <c r="P2655" s="604" t="s">
        <v>484</v>
      </c>
      <c r="Q2655" s="499"/>
    </row>
    <row r="2656" spans="9:17">
      <c r="I2656" s="578" t="str">
        <f t="shared" si="187"/>
        <v>2000depQuin 5Neo</v>
      </c>
      <c r="J2656" s="604">
        <v>2000</v>
      </c>
      <c r="K2656" s="604" t="s">
        <v>454</v>
      </c>
      <c r="L2656" s="604" t="s">
        <v>425</v>
      </c>
      <c r="M2656" s="604">
        <v>58</v>
      </c>
      <c r="N2656" s="604">
        <v>14106</v>
      </c>
      <c r="O2656" s="604">
        <v>4.0999999999999996</v>
      </c>
      <c r="P2656" s="604" t="s">
        <v>484</v>
      </c>
      <c r="Q2656" s="499"/>
    </row>
    <row r="2657" spans="9:17">
      <c r="I2657" s="578" t="str">
        <f t="shared" si="187"/>
        <v>2000depQuin 9Neo</v>
      </c>
      <c r="J2657" s="604">
        <v>2000</v>
      </c>
      <c r="K2657" s="604" t="s">
        <v>454</v>
      </c>
      <c r="L2657" s="604" t="s">
        <v>426</v>
      </c>
      <c r="M2657" s="604">
        <v>27</v>
      </c>
      <c r="N2657" s="604">
        <v>5542</v>
      </c>
      <c r="O2657" s="604" t="s">
        <v>119</v>
      </c>
      <c r="P2657" s="604" t="s">
        <v>484</v>
      </c>
      <c r="Q2657" s="499"/>
    </row>
    <row r="2658" spans="9:17">
      <c r="I2658" s="578" t="str">
        <f t="shared" si="187"/>
        <v>2001depQuin 1Neo</v>
      </c>
      <c r="J2658" s="604">
        <v>2001</v>
      </c>
      <c r="K2658" s="604" t="s">
        <v>454</v>
      </c>
      <c r="L2658" s="604" t="s">
        <v>421</v>
      </c>
      <c r="M2658" s="604">
        <v>14</v>
      </c>
      <c r="N2658" s="604">
        <v>7106</v>
      </c>
      <c r="O2658" s="604">
        <v>2</v>
      </c>
      <c r="P2658" s="604" t="s">
        <v>484</v>
      </c>
      <c r="Q2658" s="499"/>
    </row>
    <row r="2659" spans="9:17">
      <c r="I2659" s="578" t="str">
        <f t="shared" si="187"/>
        <v>2001depQuin 2Neo</v>
      </c>
      <c r="J2659" s="604">
        <v>2001</v>
      </c>
      <c r="K2659" s="604" t="s">
        <v>454</v>
      </c>
      <c r="L2659" s="604" t="s">
        <v>422</v>
      </c>
      <c r="M2659" s="604">
        <v>12</v>
      </c>
      <c r="N2659" s="604">
        <v>8027</v>
      </c>
      <c r="O2659" s="604">
        <v>1.5</v>
      </c>
      <c r="P2659" s="604" t="s">
        <v>484</v>
      </c>
      <c r="Q2659" s="499"/>
    </row>
    <row r="2660" spans="9:17">
      <c r="I2660" s="578" t="str">
        <f t="shared" si="187"/>
        <v>2001depQuin 3Neo</v>
      </c>
      <c r="J2660" s="604">
        <v>2001</v>
      </c>
      <c r="K2660" s="604" t="s">
        <v>454</v>
      </c>
      <c r="L2660" s="604" t="s">
        <v>423</v>
      </c>
      <c r="M2660" s="604">
        <v>19</v>
      </c>
      <c r="N2660" s="604">
        <v>9618</v>
      </c>
      <c r="O2660" s="604">
        <v>2</v>
      </c>
      <c r="P2660" s="604" t="s">
        <v>484</v>
      </c>
      <c r="Q2660" s="499"/>
    </row>
    <row r="2661" spans="9:17">
      <c r="I2661" s="578" t="str">
        <f t="shared" si="187"/>
        <v>2001depQuin 4Neo</v>
      </c>
      <c r="J2661" s="604">
        <v>2001</v>
      </c>
      <c r="K2661" s="604" t="s">
        <v>454</v>
      </c>
      <c r="L2661" s="604" t="s">
        <v>424</v>
      </c>
      <c r="M2661" s="604">
        <v>47</v>
      </c>
      <c r="N2661" s="604">
        <v>11942</v>
      </c>
      <c r="O2661" s="604">
        <v>3.9</v>
      </c>
      <c r="P2661" s="604" t="s">
        <v>484</v>
      </c>
      <c r="Q2661" s="499"/>
    </row>
    <row r="2662" spans="9:17">
      <c r="I2662" s="578" t="str">
        <f t="shared" si="187"/>
        <v>2001depQuin 5Neo</v>
      </c>
      <c r="J2662" s="604">
        <v>2001</v>
      </c>
      <c r="K2662" s="604" t="s">
        <v>454</v>
      </c>
      <c r="L2662" s="604" t="s">
        <v>425</v>
      </c>
      <c r="M2662" s="604">
        <v>64</v>
      </c>
      <c r="N2662" s="604">
        <v>13913</v>
      </c>
      <c r="O2662" s="604">
        <v>4.5999999999999996</v>
      </c>
      <c r="P2662" s="604" t="s">
        <v>484</v>
      </c>
      <c r="Q2662" s="499"/>
    </row>
    <row r="2663" spans="9:17">
      <c r="I2663" s="578" t="str">
        <f t="shared" si="187"/>
        <v>2001depQuin 9Neo</v>
      </c>
      <c r="J2663" s="604">
        <v>2001</v>
      </c>
      <c r="K2663" s="604" t="s">
        <v>454</v>
      </c>
      <c r="L2663" s="604" t="s">
        <v>426</v>
      </c>
      <c r="M2663" s="604">
        <v>14</v>
      </c>
      <c r="N2663" s="604">
        <v>5618</v>
      </c>
      <c r="O2663" s="604" t="s">
        <v>119</v>
      </c>
      <c r="P2663" s="604" t="s">
        <v>484</v>
      </c>
      <c r="Q2663" s="499"/>
    </row>
    <row r="2664" spans="9:17">
      <c r="I2664" s="578" t="str">
        <f t="shared" si="187"/>
        <v>2002depQuin 1Neo</v>
      </c>
      <c r="J2664" s="604">
        <v>2002</v>
      </c>
      <c r="K2664" s="604" t="s">
        <v>454</v>
      </c>
      <c r="L2664" s="604" t="s">
        <v>421</v>
      </c>
      <c r="M2664" s="604">
        <v>21</v>
      </c>
      <c r="N2664" s="604">
        <v>7804</v>
      </c>
      <c r="O2664" s="604">
        <v>2.7</v>
      </c>
      <c r="P2664" s="604" t="s">
        <v>484</v>
      </c>
      <c r="Q2664" s="499"/>
    </row>
    <row r="2665" spans="9:17">
      <c r="I2665" s="578" t="str">
        <f t="shared" si="187"/>
        <v>2002depQuin 2Neo</v>
      </c>
      <c r="J2665" s="604">
        <v>2002</v>
      </c>
      <c r="K2665" s="604" t="s">
        <v>454</v>
      </c>
      <c r="L2665" s="604" t="s">
        <v>422</v>
      </c>
      <c r="M2665" s="604">
        <v>35</v>
      </c>
      <c r="N2665" s="604">
        <v>8158</v>
      </c>
      <c r="O2665" s="604">
        <v>4.3</v>
      </c>
      <c r="P2665" s="604" t="s">
        <v>484</v>
      </c>
      <c r="Q2665" s="499"/>
    </row>
    <row r="2666" spans="9:17">
      <c r="I2666" s="578" t="str">
        <f t="shared" si="187"/>
        <v>2002depQuin 3Neo</v>
      </c>
      <c r="J2666" s="604">
        <v>2002</v>
      </c>
      <c r="K2666" s="604" t="s">
        <v>454</v>
      </c>
      <c r="L2666" s="604" t="s">
        <v>423</v>
      </c>
      <c r="M2666" s="604">
        <v>38</v>
      </c>
      <c r="N2666" s="604">
        <v>9762</v>
      </c>
      <c r="O2666" s="604">
        <v>3.9</v>
      </c>
      <c r="P2666" s="604" t="s">
        <v>484</v>
      </c>
      <c r="Q2666" s="499"/>
    </row>
    <row r="2667" spans="9:17">
      <c r="I2667" s="578" t="str">
        <f t="shared" si="187"/>
        <v>2002depQuin 4Neo</v>
      </c>
      <c r="J2667" s="604">
        <v>2002</v>
      </c>
      <c r="K2667" s="604" t="s">
        <v>454</v>
      </c>
      <c r="L2667" s="604" t="s">
        <v>424</v>
      </c>
      <c r="M2667" s="604">
        <v>35</v>
      </c>
      <c r="N2667" s="604">
        <v>11700</v>
      </c>
      <c r="O2667" s="604">
        <v>3</v>
      </c>
      <c r="P2667" s="604" t="s">
        <v>484</v>
      </c>
      <c r="Q2667" s="499"/>
    </row>
    <row r="2668" spans="9:17">
      <c r="I2668" s="578" t="str">
        <f t="shared" si="187"/>
        <v>2002depQuin 5Neo</v>
      </c>
      <c r="J2668" s="604">
        <v>2002</v>
      </c>
      <c r="K2668" s="604" t="s">
        <v>454</v>
      </c>
      <c r="L2668" s="604" t="s">
        <v>425</v>
      </c>
      <c r="M2668" s="604">
        <v>72</v>
      </c>
      <c r="N2668" s="604">
        <v>13542</v>
      </c>
      <c r="O2668" s="604">
        <v>5.3</v>
      </c>
      <c r="P2668" s="604" t="s">
        <v>484</v>
      </c>
      <c r="Q2668" s="499"/>
    </row>
    <row r="2669" spans="9:17">
      <c r="I2669" s="578" t="str">
        <f t="shared" si="187"/>
        <v>2002depQuin 9Neo</v>
      </c>
      <c r="J2669" s="604">
        <v>2002</v>
      </c>
      <c r="K2669" s="604" t="s">
        <v>454</v>
      </c>
      <c r="L2669" s="604" t="s">
        <v>426</v>
      </c>
      <c r="M2669" s="604">
        <v>20</v>
      </c>
      <c r="N2669" s="604">
        <v>3549</v>
      </c>
      <c r="O2669" s="604" t="s">
        <v>119</v>
      </c>
      <c r="P2669" s="604" t="s">
        <v>484</v>
      </c>
      <c r="Q2669" s="499"/>
    </row>
    <row r="2670" spans="9:17">
      <c r="I2670" s="578" t="str">
        <f t="shared" si="187"/>
        <v>2003depQuin 1Neo</v>
      </c>
      <c r="J2670" s="604">
        <v>2003</v>
      </c>
      <c r="K2670" s="604" t="s">
        <v>454</v>
      </c>
      <c r="L2670" s="604" t="s">
        <v>421</v>
      </c>
      <c r="M2670" s="604">
        <v>15</v>
      </c>
      <c r="N2670" s="604">
        <v>7940</v>
      </c>
      <c r="O2670" s="604">
        <v>1.9</v>
      </c>
      <c r="P2670" s="604" t="s">
        <v>484</v>
      </c>
      <c r="Q2670" s="499"/>
    </row>
    <row r="2671" spans="9:17">
      <c r="I2671" s="578" t="str">
        <f t="shared" si="187"/>
        <v>2003depQuin 2Neo</v>
      </c>
      <c r="J2671" s="604">
        <v>2003</v>
      </c>
      <c r="K2671" s="604" t="s">
        <v>454</v>
      </c>
      <c r="L2671" s="604" t="s">
        <v>422</v>
      </c>
      <c r="M2671" s="604">
        <v>20</v>
      </c>
      <c r="N2671" s="604">
        <v>8596</v>
      </c>
      <c r="O2671" s="604">
        <v>2.2999999999999998</v>
      </c>
      <c r="P2671" s="604" t="s">
        <v>484</v>
      </c>
      <c r="Q2671" s="499"/>
    </row>
    <row r="2672" spans="9:17">
      <c r="I2672" s="578" t="str">
        <f t="shared" si="187"/>
        <v>2003depQuin 3Neo</v>
      </c>
      <c r="J2672" s="604">
        <v>2003</v>
      </c>
      <c r="K2672" s="604" t="s">
        <v>454</v>
      </c>
      <c r="L2672" s="604" t="s">
        <v>423</v>
      </c>
      <c r="M2672" s="604">
        <v>36</v>
      </c>
      <c r="N2672" s="604">
        <v>10109</v>
      </c>
      <c r="O2672" s="604">
        <v>3.6</v>
      </c>
      <c r="P2672" s="604" t="s">
        <v>484</v>
      </c>
      <c r="Q2672" s="499"/>
    </row>
    <row r="2673" spans="9:17">
      <c r="I2673" s="578" t="str">
        <f t="shared" si="187"/>
        <v>2003depQuin 4Neo</v>
      </c>
      <c r="J2673" s="604">
        <v>2003</v>
      </c>
      <c r="K2673" s="604" t="s">
        <v>454</v>
      </c>
      <c r="L2673" s="604" t="s">
        <v>424</v>
      </c>
      <c r="M2673" s="604">
        <v>44</v>
      </c>
      <c r="N2673" s="604">
        <v>12037</v>
      </c>
      <c r="O2673" s="604">
        <v>3.7</v>
      </c>
      <c r="P2673" s="604" t="s">
        <v>484</v>
      </c>
      <c r="Q2673" s="499"/>
    </row>
    <row r="2674" spans="9:17">
      <c r="I2674" s="578" t="str">
        <f t="shared" si="187"/>
        <v>2003depQuin 5Neo</v>
      </c>
      <c r="J2674" s="604">
        <v>2003</v>
      </c>
      <c r="K2674" s="604" t="s">
        <v>454</v>
      </c>
      <c r="L2674" s="604" t="s">
        <v>425</v>
      </c>
      <c r="M2674" s="604">
        <v>56</v>
      </c>
      <c r="N2674" s="604">
        <v>14244</v>
      </c>
      <c r="O2674" s="604">
        <v>3.9</v>
      </c>
      <c r="P2674" s="604" t="s">
        <v>484</v>
      </c>
      <c r="Q2674" s="499"/>
    </row>
    <row r="2675" spans="9:17">
      <c r="I2675" s="578" t="str">
        <f t="shared" si="187"/>
        <v>2003depQuin 9Neo</v>
      </c>
      <c r="J2675" s="604">
        <v>2003</v>
      </c>
      <c r="K2675" s="604" t="s">
        <v>454</v>
      </c>
      <c r="L2675" s="604" t="s">
        <v>426</v>
      </c>
      <c r="M2675" s="604">
        <v>13</v>
      </c>
      <c r="N2675" s="604">
        <v>3650</v>
      </c>
      <c r="O2675" s="604" t="s">
        <v>119</v>
      </c>
      <c r="P2675" s="604" t="s">
        <v>484</v>
      </c>
      <c r="Q2675" s="499"/>
    </row>
    <row r="2676" spans="9:17">
      <c r="I2676" s="578" t="str">
        <f t="shared" si="187"/>
        <v>2004depQuin 1Neo</v>
      </c>
      <c r="J2676" s="604">
        <v>2004</v>
      </c>
      <c r="K2676" s="604" t="s">
        <v>454</v>
      </c>
      <c r="L2676" s="604" t="s">
        <v>421</v>
      </c>
      <c r="M2676" s="604">
        <v>29</v>
      </c>
      <c r="N2676" s="604">
        <v>8248</v>
      </c>
      <c r="O2676" s="604">
        <v>3.5</v>
      </c>
      <c r="P2676" s="604" t="s">
        <v>484</v>
      </c>
      <c r="Q2676" s="499"/>
    </row>
    <row r="2677" spans="9:17">
      <c r="I2677" s="578" t="str">
        <f t="shared" si="187"/>
        <v>2004depQuin 2Neo</v>
      </c>
      <c r="J2677" s="604">
        <v>2004</v>
      </c>
      <c r="K2677" s="604" t="s">
        <v>454</v>
      </c>
      <c r="L2677" s="604" t="s">
        <v>422</v>
      </c>
      <c r="M2677" s="604">
        <v>28</v>
      </c>
      <c r="N2677" s="604">
        <v>8758</v>
      </c>
      <c r="O2677" s="604">
        <v>3.2</v>
      </c>
      <c r="P2677" s="604" t="s">
        <v>484</v>
      </c>
      <c r="Q2677" s="499"/>
    </row>
    <row r="2678" spans="9:17">
      <c r="I2678" s="578" t="str">
        <f t="shared" si="187"/>
        <v>2004depQuin 3Neo</v>
      </c>
      <c r="J2678" s="604">
        <v>2004</v>
      </c>
      <c r="K2678" s="604" t="s">
        <v>454</v>
      </c>
      <c r="L2678" s="604" t="s">
        <v>423</v>
      </c>
      <c r="M2678" s="604">
        <v>29</v>
      </c>
      <c r="N2678" s="604">
        <v>10519</v>
      </c>
      <c r="O2678" s="604">
        <v>2.8</v>
      </c>
      <c r="P2678" s="604" t="s">
        <v>484</v>
      </c>
      <c r="Q2678" s="499"/>
    </row>
    <row r="2679" spans="9:17">
      <c r="I2679" s="578" t="str">
        <f t="shared" si="187"/>
        <v>2004depQuin 4Neo</v>
      </c>
      <c r="J2679" s="604">
        <v>2004</v>
      </c>
      <c r="K2679" s="604" t="s">
        <v>454</v>
      </c>
      <c r="L2679" s="604" t="s">
        <v>424</v>
      </c>
      <c r="M2679" s="604">
        <v>36</v>
      </c>
      <c r="N2679" s="604">
        <v>12617</v>
      </c>
      <c r="O2679" s="604">
        <v>2.9</v>
      </c>
      <c r="P2679" s="604" t="s">
        <v>484</v>
      </c>
      <c r="Q2679" s="499"/>
    </row>
    <row r="2680" spans="9:17">
      <c r="I2680" s="578" t="str">
        <f t="shared" si="187"/>
        <v>2004depQuin 5Neo</v>
      </c>
      <c r="J2680" s="604">
        <v>2004</v>
      </c>
      <c r="K2680" s="604" t="s">
        <v>454</v>
      </c>
      <c r="L2680" s="604" t="s">
        <v>425</v>
      </c>
      <c r="M2680" s="604">
        <v>62</v>
      </c>
      <c r="N2680" s="604">
        <v>14784</v>
      </c>
      <c r="O2680" s="604">
        <v>4.2</v>
      </c>
      <c r="P2680" s="604" t="s">
        <v>484</v>
      </c>
      <c r="Q2680" s="499"/>
    </row>
    <row r="2681" spans="9:17">
      <c r="I2681" s="578" t="str">
        <f t="shared" si="187"/>
        <v>2004depQuin 9Neo</v>
      </c>
      <c r="J2681" s="604">
        <v>2004</v>
      </c>
      <c r="K2681" s="604" t="s">
        <v>454</v>
      </c>
      <c r="L2681" s="604" t="s">
        <v>426</v>
      </c>
      <c r="M2681" s="604">
        <v>13</v>
      </c>
      <c r="N2681" s="604">
        <v>3797</v>
      </c>
      <c r="O2681" s="604" t="s">
        <v>119</v>
      </c>
      <c r="P2681" s="604" t="s">
        <v>484</v>
      </c>
      <c r="Q2681" s="499"/>
    </row>
    <row r="2682" spans="9:17">
      <c r="I2682" s="578" t="str">
        <f t="shared" si="187"/>
        <v>2005depQuin 1Neo</v>
      </c>
      <c r="J2682" s="604">
        <v>2005</v>
      </c>
      <c r="K2682" s="604" t="s">
        <v>454</v>
      </c>
      <c r="L2682" s="604" t="s">
        <v>421</v>
      </c>
      <c r="M2682" s="604">
        <v>17</v>
      </c>
      <c r="N2682" s="604">
        <v>8469</v>
      </c>
      <c r="O2682" s="604">
        <v>2</v>
      </c>
      <c r="P2682" s="604" t="s">
        <v>484</v>
      </c>
      <c r="Q2682" s="499"/>
    </row>
    <row r="2683" spans="9:17">
      <c r="I2683" s="578" t="str">
        <f t="shared" si="187"/>
        <v>2005depQuin 2Neo</v>
      </c>
      <c r="J2683" s="604">
        <v>2005</v>
      </c>
      <c r="K2683" s="604" t="s">
        <v>454</v>
      </c>
      <c r="L2683" s="604" t="s">
        <v>422</v>
      </c>
      <c r="M2683" s="604">
        <v>24</v>
      </c>
      <c r="N2683" s="604">
        <v>8862</v>
      </c>
      <c r="O2683" s="604">
        <v>2.7</v>
      </c>
      <c r="P2683" s="604" t="s">
        <v>484</v>
      </c>
      <c r="Q2683" s="499"/>
    </row>
    <row r="2684" spans="9:17">
      <c r="I2684" s="578" t="str">
        <f t="shared" si="187"/>
        <v>2005depQuin 3Neo</v>
      </c>
      <c r="J2684" s="604">
        <v>2005</v>
      </c>
      <c r="K2684" s="604" t="s">
        <v>454</v>
      </c>
      <c r="L2684" s="604" t="s">
        <v>423</v>
      </c>
      <c r="M2684" s="604">
        <v>21</v>
      </c>
      <c r="N2684" s="604">
        <v>10417</v>
      </c>
      <c r="O2684" s="604">
        <v>2</v>
      </c>
      <c r="P2684" s="604" t="s">
        <v>484</v>
      </c>
      <c r="Q2684" s="499"/>
    </row>
    <row r="2685" spans="9:17">
      <c r="I2685" s="578" t="str">
        <f t="shared" si="187"/>
        <v>2005depQuin 4Neo</v>
      </c>
      <c r="J2685" s="604">
        <v>2005</v>
      </c>
      <c r="K2685" s="604" t="s">
        <v>454</v>
      </c>
      <c r="L2685" s="604" t="s">
        <v>424</v>
      </c>
      <c r="M2685" s="604">
        <v>44</v>
      </c>
      <c r="N2685" s="604">
        <v>12478</v>
      </c>
      <c r="O2685" s="604">
        <v>3.5</v>
      </c>
      <c r="P2685" s="604" t="s">
        <v>484</v>
      </c>
      <c r="Q2685" s="499"/>
    </row>
    <row r="2686" spans="9:17">
      <c r="I2686" s="578" t="str">
        <f t="shared" si="187"/>
        <v>2005depQuin 5Neo</v>
      </c>
      <c r="J2686" s="604">
        <v>2005</v>
      </c>
      <c r="K2686" s="604" t="s">
        <v>454</v>
      </c>
      <c r="L2686" s="604" t="s">
        <v>425</v>
      </c>
      <c r="M2686" s="604">
        <v>69</v>
      </c>
      <c r="N2686" s="604">
        <v>14813</v>
      </c>
      <c r="O2686" s="604">
        <v>4.7</v>
      </c>
      <c r="P2686" s="604" t="s">
        <v>484</v>
      </c>
      <c r="Q2686" s="499"/>
    </row>
    <row r="2687" spans="9:17">
      <c r="I2687" s="578" t="str">
        <f t="shared" si="187"/>
        <v>2005depQuin 9Neo</v>
      </c>
      <c r="J2687" s="604">
        <v>2005</v>
      </c>
      <c r="K2687" s="604" t="s">
        <v>454</v>
      </c>
      <c r="L2687" s="604" t="s">
        <v>426</v>
      </c>
      <c r="M2687" s="604">
        <v>8</v>
      </c>
      <c r="N2687" s="604">
        <v>3688</v>
      </c>
      <c r="O2687" s="604" t="s">
        <v>119</v>
      </c>
      <c r="P2687" s="604" t="s">
        <v>484</v>
      </c>
      <c r="Q2687" s="499"/>
    </row>
    <row r="2688" spans="9:17">
      <c r="I2688" s="578" t="str">
        <f t="shared" si="187"/>
        <v>2006depQuin 1Neo</v>
      </c>
      <c r="J2688" s="604">
        <v>2006</v>
      </c>
      <c r="K2688" s="604" t="s">
        <v>454</v>
      </c>
      <c r="L2688" s="604" t="s">
        <v>421</v>
      </c>
      <c r="M2688" s="604">
        <v>15</v>
      </c>
      <c r="N2688" s="604">
        <v>8545</v>
      </c>
      <c r="O2688" s="604">
        <v>1.8</v>
      </c>
      <c r="P2688" s="604" t="s">
        <v>484</v>
      </c>
      <c r="Q2688" s="499"/>
    </row>
    <row r="2689" spans="9:17">
      <c r="I2689" s="578" t="str">
        <f t="shared" si="187"/>
        <v>2006depQuin 2Neo</v>
      </c>
      <c r="J2689" s="604">
        <v>2006</v>
      </c>
      <c r="K2689" s="604" t="s">
        <v>454</v>
      </c>
      <c r="L2689" s="604" t="s">
        <v>422</v>
      </c>
      <c r="M2689" s="604">
        <v>20</v>
      </c>
      <c r="N2689" s="604">
        <v>8970</v>
      </c>
      <c r="O2689" s="604">
        <v>2.2000000000000002</v>
      </c>
      <c r="P2689" s="604" t="s">
        <v>484</v>
      </c>
      <c r="Q2689" s="499"/>
    </row>
    <row r="2690" spans="9:17">
      <c r="I2690" s="578" t="str">
        <f t="shared" si="187"/>
        <v>2006depQuin 3Neo</v>
      </c>
      <c r="J2690" s="604">
        <v>2006</v>
      </c>
      <c r="K2690" s="604" t="s">
        <v>454</v>
      </c>
      <c r="L2690" s="604" t="s">
        <v>423</v>
      </c>
      <c r="M2690" s="604">
        <v>26</v>
      </c>
      <c r="N2690" s="604">
        <v>10890</v>
      </c>
      <c r="O2690" s="604">
        <v>2.4</v>
      </c>
      <c r="P2690" s="604" t="s">
        <v>484</v>
      </c>
      <c r="Q2690" s="499"/>
    </row>
    <row r="2691" spans="9:17">
      <c r="I2691" s="578" t="str">
        <f t="shared" si="187"/>
        <v>2006depQuin 4Neo</v>
      </c>
      <c r="J2691" s="604">
        <v>2006</v>
      </c>
      <c r="K2691" s="604" t="s">
        <v>454</v>
      </c>
      <c r="L2691" s="604" t="s">
        <v>424</v>
      </c>
      <c r="M2691" s="604">
        <v>37</v>
      </c>
      <c r="N2691" s="604">
        <v>12831</v>
      </c>
      <c r="O2691" s="604">
        <v>2.9</v>
      </c>
      <c r="P2691" s="604" t="s">
        <v>484</v>
      </c>
      <c r="Q2691" s="499"/>
    </row>
    <row r="2692" spans="9:17">
      <c r="I2692" s="578" t="str">
        <f t="shared" ref="I2692:I2755" si="188">J2692&amp;K2692&amp;L2692&amp;P2692</f>
        <v>2006depQuin 5Neo</v>
      </c>
      <c r="J2692" s="604">
        <v>2006</v>
      </c>
      <c r="K2692" s="604" t="s">
        <v>454</v>
      </c>
      <c r="L2692" s="604" t="s">
        <v>425</v>
      </c>
      <c r="M2692" s="604">
        <v>56</v>
      </c>
      <c r="N2692" s="604">
        <v>15033</v>
      </c>
      <c r="O2692" s="604">
        <v>3.7</v>
      </c>
      <c r="P2692" s="604" t="s">
        <v>484</v>
      </c>
      <c r="Q2692" s="499"/>
    </row>
    <row r="2693" spans="9:17">
      <c r="I2693" s="578" t="str">
        <f t="shared" si="188"/>
        <v>2006depQuin 9Neo</v>
      </c>
      <c r="J2693" s="604">
        <v>2006</v>
      </c>
      <c r="K2693" s="604" t="s">
        <v>454</v>
      </c>
      <c r="L2693" s="604" t="s">
        <v>426</v>
      </c>
      <c r="M2693" s="604">
        <v>11</v>
      </c>
      <c r="N2693" s="604">
        <v>4005</v>
      </c>
      <c r="O2693" s="604" t="s">
        <v>119</v>
      </c>
      <c r="P2693" s="604" t="s">
        <v>484</v>
      </c>
      <c r="Q2693" s="499"/>
    </row>
    <row r="2694" spans="9:17">
      <c r="I2694" s="578" t="str">
        <f t="shared" si="188"/>
        <v>2007depQuin 1Neo</v>
      </c>
      <c r="J2694" s="604">
        <v>2007</v>
      </c>
      <c r="K2694" s="604" t="s">
        <v>454</v>
      </c>
      <c r="L2694" s="604" t="s">
        <v>421</v>
      </c>
      <c r="M2694" s="604">
        <v>10</v>
      </c>
      <c r="N2694" s="604">
        <v>9191</v>
      </c>
      <c r="O2694" s="604">
        <v>1.1000000000000001</v>
      </c>
      <c r="P2694" s="604" t="s">
        <v>484</v>
      </c>
      <c r="Q2694" s="499"/>
    </row>
    <row r="2695" spans="9:17">
      <c r="I2695" s="578" t="str">
        <f t="shared" si="188"/>
        <v>2007depQuin 2Neo</v>
      </c>
      <c r="J2695" s="604">
        <v>2007</v>
      </c>
      <c r="K2695" s="604" t="s">
        <v>454</v>
      </c>
      <c r="L2695" s="604" t="s">
        <v>422</v>
      </c>
      <c r="M2695" s="604">
        <v>30</v>
      </c>
      <c r="N2695" s="604">
        <v>9712</v>
      </c>
      <c r="O2695" s="604">
        <v>3.1</v>
      </c>
      <c r="P2695" s="604" t="s">
        <v>484</v>
      </c>
      <c r="Q2695" s="499"/>
    </row>
    <row r="2696" spans="9:17">
      <c r="I2696" s="578" t="str">
        <f t="shared" si="188"/>
        <v>2007depQuin 3Neo</v>
      </c>
      <c r="J2696" s="604">
        <v>2007</v>
      </c>
      <c r="K2696" s="604" t="s">
        <v>454</v>
      </c>
      <c r="L2696" s="604" t="s">
        <v>423</v>
      </c>
      <c r="M2696" s="604">
        <v>25</v>
      </c>
      <c r="N2696" s="604">
        <v>11599</v>
      </c>
      <c r="O2696" s="604">
        <v>2.2000000000000002</v>
      </c>
      <c r="P2696" s="604" t="s">
        <v>484</v>
      </c>
      <c r="Q2696" s="499"/>
    </row>
    <row r="2697" spans="9:17">
      <c r="I2697" s="578" t="str">
        <f t="shared" si="188"/>
        <v>2007depQuin 4Neo</v>
      </c>
      <c r="J2697" s="604">
        <v>2007</v>
      </c>
      <c r="K2697" s="604" t="s">
        <v>454</v>
      </c>
      <c r="L2697" s="604" t="s">
        <v>424</v>
      </c>
      <c r="M2697" s="604">
        <v>41</v>
      </c>
      <c r="N2697" s="604">
        <v>14079</v>
      </c>
      <c r="O2697" s="604">
        <v>2.9</v>
      </c>
      <c r="P2697" s="604" t="s">
        <v>484</v>
      </c>
      <c r="Q2697" s="499"/>
    </row>
    <row r="2698" spans="9:17">
      <c r="I2698" s="578" t="str">
        <f t="shared" si="188"/>
        <v>2007depQuin 5Neo</v>
      </c>
      <c r="J2698" s="604">
        <v>2007</v>
      </c>
      <c r="K2698" s="604" t="s">
        <v>454</v>
      </c>
      <c r="L2698" s="604" t="s">
        <v>425</v>
      </c>
      <c r="M2698" s="604">
        <v>55</v>
      </c>
      <c r="N2698" s="604">
        <v>16131</v>
      </c>
      <c r="O2698" s="604">
        <v>3.4</v>
      </c>
      <c r="P2698" s="604" t="s">
        <v>484</v>
      </c>
      <c r="Q2698" s="499"/>
    </row>
    <row r="2699" spans="9:17">
      <c r="I2699" s="578" t="str">
        <f t="shared" si="188"/>
        <v>2007depQuin 9Neo</v>
      </c>
      <c r="J2699" s="604">
        <v>2007</v>
      </c>
      <c r="K2699" s="604" t="s">
        <v>454</v>
      </c>
      <c r="L2699" s="604" t="s">
        <v>426</v>
      </c>
      <c r="M2699" s="604">
        <v>5</v>
      </c>
      <c r="N2699" s="604">
        <v>4409</v>
      </c>
      <c r="O2699" s="604" t="s">
        <v>119</v>
      </c>
      <c r="P2699" s="604" t="s">
        <v>484</v>
      </c>
      <c r="Q2699" s="499"/>
    </row>
    <row r="2700" spans="9:17">
      <c r="I2700" s="578" t="str">
        <f t="shared" si="188"/>
        <v>2008depQuin 1Neo</v>
      </c>
      <c r="J2700" s="604">
        <v>2008</v>
      </c>
      <c r="K2700" s="604" t="s">
        <v>454</v>
      </c>
      <c r="L2700" s="604" t="s">
        <v>421</v>
      </c>
      <c r="M2700" s="604">
        <v>19</v>
      </c>
      <c r="N2700" s="604">
        <v>9619</v>
      </c>
      <c r="O2700" s="604">
        <v>2</v>
      </c>
      <c r="P2700" s="604" t="s">
        <v>484</v>
      </c>
      <c r="Q2700" s="499"/>
    </row>
    <row r="2701" spans="9:17">
      <c r="I2701" s="578" t="str">
        <f t="shared" si="188"/>
        <v>2008depQuin 2Neo</v>
      </c>
      <c r="J2701" s="604">
        <v>2008</v>
      </c>
      <c r="K2701" s="604" t="s">
        <v>454</v>
      </c>
      <c r="L2701" s="604" t="s">
        <v>422</v>
      </c>
      <c r="M2701" s="604">
        <v>18</v>
      </c>
      <c r="N2701" s="604">
        <v>10484</v>
      </c>
      <c r="O2701" s="604">
        <v>1.7</v>
      </c>
      <c r="P2701" s="604" t="s">
        <v>484</v>
      </c>
      <c r="Q2701" s="499"/>
    </row>
    <row r="2702" spans="9:17">
      <c r="I2702" s="578" t="str">
        <f t="shared" si="188"/>
        <v>2008depQuin 3Neo</v>
      </c>
      <c r="J2702" s="604">
        <v>2008</v>
      </c>
      <c r="K2702" s="604" t="s">
        <v>454</v>
      </c>
      <c r="L2702" s="604" t="s">
        <v>423</v>
      </c>
      <c r="M2702" s="604">
        <v>33</v>
      </c>
      <c r="N2702" s="604">
        <v>12163</v>
      </c>
      <c r="O2702" s="604">
        <v>2.7</v>
      </c>
      <c r="P2702" s="604" t="s">
        <v>484</v>
      </c>
      <c r="Q2702" s="499"/>
    </row>
    <row r="2703" spans="9:17">
      <c r="I2703" s="578" t="str">
        <f t="shared" si="188"/>
        <v>2008depQuin 4Neo</v>
      </c>
      <c r="J2703" s="604">
        <v>2008</v>
      </c>
      <c r="K2703" s="604" t="s">
        <v>454</v>
      </c>
      <c r="L2703" s="604" t="s">
        <v>424</v>
      </c>
      <c r="M2703" s="604">
        <v>42</v>
      </c>
      <c r="N2703" s="604">
        <v>14806</v>
      </c>
      <c r="O2703" s="604">
        <v>2.8</v>
      </c>
      <c r="P2703" s="604" t="s">
        <v>484</v>
      </c>
      <c r="Q2703" s="499"/>
    </row>
    <row r="2704" spans="9:17">
      <c r="I2704" s="578" t="str">
        <f t="shared" si="188"/>
        <v>2008depQuin 5Neo</v>
      </c>
      <c r="J2704" s="604">
        <v>2008</v>
      </c>
      <c r="K2704" s="604" t="s">
        <v>454</v>
      </c>
      <c r="L2704" s="604" t="s">
        <v>425</v>
      </c>
      <c r="M2704" s="604">
        <v>62</v>
      </c>
      <c r="N2704" s="604">
        <v>17965</v>
      </c>
      <c r="O2704" s="604">
        <v>3.5</v>
      </c>
      <c r="P2704" s="604" t="s">
        <v>484</v>
      </c>
      <c r="Q2704" s="499"/>
    </row>
    <row r="2705" spans="9:17">
      <c r="I2705" s="578" t="str">
        <f t="shared" si="188"/>
        <v>2008depQuin 9Neo</v>
      </c>
      <c r="J2705" s="604">
        <v>2008</v>
      </c>
      <c r="K2705" s="604" t="s">
        <v>454</v>
      </c>
      <c r="L2705" s="604" t="s">
        <v>426</v>
      </c>
      <c r="M2705" s="604">
        <v>13</v>
      </c>
      <c r="N2705" s="604">
        <v>296</v>
      </c>
      <c r="O2705" s="604" t="s">
        <v>119</v>
      </c>
      <c r="P2705" s="604" t="s">
        <v>484</v>
      </c>
      <c r="Q2705" s="499"/>
    </row>
    <row r="2706" spans="9:17">
      <c r="I2706" s="578" t="str">
        <f t="shared" si="188"/>
        <v>2009depQuin 1Neo</v>
      </c>
      <c r="J2706" s="604">
        <v>2009</v>
      </c>
      <c r="K2706" s="604" t="s">
        <v>454</v>
      </c>
      <c r="L2706" s="604" t="s">
        <v>421</v>
      </c>
      <c r="M2706" s="604">
        <v>15</v>
      </c>
      <c r="N2706" s="604">
        <v>9377</v>
      </c>
      <c r="O2706" s="604">
        <v>1.6</v>
      </c>
      <c r="P2706" s="604" t="s">
        <v>484</v>
      </c>
      <c r="Q2706" s="499"/>
    </row>
    <row r="2707" spans="9:17">
      <c r="I2707" s="578" t="str">
        <f t="shared" si="188"/>
        <v>2009depQuin 2Neo</v>
      </c>
      <c r="J2707" s="604">
        <v>2009</v>
      </c>
      <c r="K2707" s="604" t="s">
        <v>454</v>
      </c>
      <c r="L2707" s="604" t="s">
        <v>422</v>
      </c>
      <c r="M2707" s="604">
        <v>24</v>
      </c>
      <c r="N2707" s="604">
        <v>10051</v>
      </c>
      <c r="O2707" s="604">
        <v>2.4</v>
      </c>
      <c r="P2707" s="604" t="s">
        <v>484</v>
      </c>
      <c r="Q2707" s="499"/>
    </row>
    <row r="2708" spans="9:17">
      <c r="I2708" s="578" t="str">
        <f t="shared" si="188"/>
        <v>2009depQuin 3Neo</v>
      </c>
      <c r="J2708" s="604">
        <v>2009</v>
      </c>
      <c r="K2708" s="604" t="s">
        <v>454</v>
      </c>
      <c r="L2708" s="604" t="s">
        <v>423</v>
      </c>
      <c r="M2708" s="604">
        <v>29</v>
      </c>
      <c r="N2708" s="604">
        <v>11836</v>
      </c>
      <c r="O2708" s="604">
        <v>2.5</v>
      </c>
      <c r="P2708" s="604" t="s">
        <v>484</v>
      </c>
      <c r="Q2708" s="499"/>
    </row>
    <row r="2709" spans="9:17">
      <c r="I2709" s="578" t="str">
        <f t="shared" si="188"/>
        <v>2009depQuin 4Neo</v>
      </c>
      <c r="J2709" s="604">
        <v>2009</v>
      </c>
      <c r="K2709" s="604" t="s">
        <v>454</v>
      </c>
      <c r="L2709" s="604" t="s">
        <v>424</v>
      </c>
      <c r="M2709" s="604">
        <v>43</v>
      </c>
      <c r="N2709" s="604">
        <v>14590</v>
      </c>
      <c r="O2709" s="604">
        <v>2.9</v>
      </c>
      <c r="P2709" s="604" t="s">
        <v>484</v>
      </c>
      <c r="Q2709" s="499"/>
    </row>
    <row r="2710" spans="9:17">
      <c r="I2710" s="578" t="str">
        <f t="shared" si="188"/>
        <v>2009depQuin 5Neo</v>
      </c>
      <c r="J2710" s="604">
        <v>2009</v>
      </c>
      <c r="K2710" s="604" t="s">
        <v>454</v>
      </c>
      <c r="L2710" s="604" t="s">
        <v>425</v>
      </c>
      <c r="M2710" s="604">
        <v>84</v>
      </c>
      <c r="N2710" s="604">
        <v>17157</v>
      </c>
      <c r="O2710" s="604">
        <v>4.9000000000000004</v>
      </c>
      <c r="P2710" s="604" t="s">
        <v>484</v>
      </c>
      <c r="Q2710" s="499"/>
    </row>
    <row r="2711" spans="9:17">
      <c r="I2711" s="578" t="str">
        <f t="shared" si="188"/>
        <v>2009depQuin 9Neo</v>
      </c>
      <c r="J2711" s="604">
        <v>2009</v>
      </c>
      <c r="K2711" s="604" t="s">
        <v>454</v>
      </c>
      <c r="L2711" s="604" t="s">
        <v>426</v>
      </c>
      <c r="M2711" s="604">
        <v>2</v>
      </c>
      <c r="N2711" s="604">
        <v>274</v>
      </c>
      <c r="O2711" s="604" t="s">
        <v>119</v>
      </c>
      <c r="P2711" s="604" t="s">
        <v>484</v>
      </c>
      <c r="Q2711" s="499"/>
    </row>
    <row r="2712" spans="9:17">
      <c r="I2712" s="578" t="str">
        <f t="shared" si="188"/>
        <v>2010depQuin 1Neo</v>
      </c>
      <c r="J2712" s="604">
        <v>2010</v>
      </c>
      <c r="K2712" s="604" t="s">
        <v>454</v>
      </c>
      <c r="L2712" s="604" t="s">
        <v>421</v>
      </c>
      <c r="M2712" s="604">
        <v>20</v>
      </c>
      <c r="N2712" s="604">
        <v>8682</v>
      </c>
      <c r="O2712" s="604">
        <v>2.2999999999999998</v>
      </c>
      <c r="P2712" s="604" t="s">
        <v>484</v>
      </c>
      <c r="Q2712" s="499"/>
    </row>
    <row r="2713" spans="9:17">
      <c r="I2713" s="578" t="str">
        <f t="shared" si="188"/>
        <v>2010depQuin 2Neo</v>
      </c>
      <c r="J2713" s="604">
        <v>2010</v>
      </c>
      <c r="K2713" s="604" t="s">
        <v>454</v>
      </c>
      <c r="L2713" s="604" t="s">
        <v>422</v>
      </c>
      <c r="M2713" s="604">
        <v>25</v>
      </c>
      <c r="N2713" s="604">
        <v>9539</v>
      </c>
      <c r="O2713" s="604">
        <v>2.6</v>
      </c>
      <c r="P2713" s="604" t="s">
        <v>484</v>
      </c>
      <c r="Q2713" s="499"/>
    </row>
    <row r="2714" spans="9:17">
      <c r="I2714" s="578" t="str">
        <f t="shared" si="188"/>
        <v>2010depQuin 3Neo</v>
      </c>
      <c r="J2714" s="604">
        <v>2010</v>
      </c>
      <c r="K2714" s="604" t="s">
        <v>454</v>
      </c>
      <c r="L2714" s="604" t="s">
        <v>423</v>
      </c>
      <c r="M2714" s="604">
        <v>36</v>
      </c>
      <c r="N2714" s="604">
        <v>11388</v>
      </c>
      <c r="O2714" s="604">
        <v>3.2</v>
      </c>
      <c r="P2714" s="604" t="s">
        <v>484</v>
      </c>
      <c r="Q2714" s="499"/>
    </row>
    <row r="2715" spans="9:17">
      <c r="I2715" s="578" t="str">
        <f t="shared" si="188"/>
        <v>2010depQuin 4Neo</v>
      </c>
      <c r="J2715" s="604">
        <v>2010</v>
      </c>
      <c r="K2715" s="604" t="s">
        <v>454</v>
      </c>
      <c r="L2715" s="604" t="s">
        <v>424</v>
      </c>
      <c r="M2715" s="604">
        <v>55</v>
      </c>
      <c r="N2715" s="604">
        <v>13795</v>
      </c>
      <c r="O2715" s="604">
        <v>4</v>
      </c>
      <c r="P2715" s="604" t="s">
        <v>484</v>
      </c>
      <c r="Q2715" s="499"/>
    </row>
    <row r="2716" spans="9:17">
      <c r="I2716" s="578" t="str">
        <f t="shared" si="188"/>
        <v>2010depQuin 5Neo</v>
      </c>
      <c r="J2716" s="604">
        <v>2010</v>
      </c>
      <c r="K2716" s="604" t="s">
        <v>454</v>
      </c>
      <c r="L2716" s="604" t="s">
        <v>425</v>
      </c>
      <c r="M2716" s="604">
        <v>90</v>
      </c>
      <c r="N2716" s="604">
        <v>18469</v>
      </c>
      <c r="O2716" s="604">
        <v>4.9000000000000004</v>
      </c>
      <c r="P2716" s="604" t="s">
        <v>484</v>
      </c>
      <c r="Q2716" s="499"/>
    </row>
    <row r="2717" spans="9:17">
      <c r="I2717" s="578" t="str">
        <f t="shared" si="188"/>
        <v>2010depQuin 9Neo</v>
      </c>
      <c r="J2717" s="604">
        <v>2010</v>
      </c>
      <c r="K2717" s="604" t="s">
        <v>454</v>
      </c>
      <c r="L2717" s="604" t="s">
        <v>426</v>
      </c>
      <c r="M2717" s="604">
        <v>8</v>
      </c>
      <c r="N2717" s="604">
        <v>2826</v>
      </c>
      <c r="O2717" s="604" t="s">
        <v>119</v>
      </c>
      <c r="P2717" s="604" t="s">
        <v>484</v>
      </c>
      <c r="Q2717" s="499"/>
    </row>
    <row r="2718" spans="9:17">
      <c r="I2718" s="578" t="str">
        <f t="shared" si="188"/>
        <v>2011depQuin 1Neo</v>
      </c>
      <c r="J2718" s="604">
        <v>2011</v>
      </c>
      <c r="K2718" s="604" t="s">
        <v>454</v>
      </c>
      <c r="L2718" s="604" t="s">
        <v>421</v>
      </c>
      <c r="M2718" s="604">
        <v>12</v>
      </c>
      <c r="N2718" s="604">
        <v>8387</v>
      </c>
      <c r="O2718" s="604">
        <v>1.4</v>
      </c>
      <c r="P2718" s="604" t="s">
        <v>484</v>
      </c>
      <c r="Q2718" s="499"/>
    </row>
    <row r="2719" spans="9:17">
      <c r="I2719" s="578" t="str">
        <f t="shared" si="188"/>
        <v>2011depQuin 2Neo</v>
      </c>
      <c r="J2719" s="604">
        <v>2011</v>
      </c>
      <c r="K2719" s="604" t="s">
        <v>454</v>
      </c>
      <c r="L2719" s="604" t="s">
        <v>422</v>
      </c>
      <c r="M2719" s="604">
        <v>24</v>
      </c>
      <c r="N2719" s="604">
        <v>9337</v>
      </c>
      <c r="O2719" s="604">
        <v>2.6</v>
      </c>
      <c r="P2719" s="604" t="s">
        <v>484</v>
      </c>
      <c r="Q2719" s="499"/>
    </row>
    <row r="2720" spans="9:17">
      <c r="I2720" s="578" t="str">
        <f t="shared" si="188"/>
        <v>2011depQuin 3Neo</v>
      </c>
      <c r="J2720" s="604">
        <v>2011</v>
      </c>
      <c r="K2720" s="604" t="s">
        <v>454</v>
      </c>
      <c r="L2720" s="604" t="s">
        <v>423</v>
      </c>
      <c r="M2720" s="604">
        <v>33</v>
      </c>
      <c r="N2720" s="604">
        <v>10802</v>
      </c>
      <c r="O2720" s="604">
        <v>3.1</v>
      </c>
      <c r="P2720" s="604" t="s">
        <v>484</v>
      </c>
      <c r="Q2720" s="499"/>
    </row>
    <row r="2721" spans="9:17">
      <c r="I2721" s="578" t="str">
        <f t="shared" si="188"/>
        <v>2011depQuin 4Neo</v>
      </c>
      <c r="J2721" s="604">
        <v>2011</v>
      </c>
      <c r="K2721" s="604" t="s">
        <v>454</v>
      </c>
      <c r="L2721" s="604" t="s">
        <v>424</v>
      </c>
      <c r="M2721" s="604">
        <v>40</v>
      </c>
      <c r="N2721" s="604">
        <v>13277</v>
      </c>
      <c r="O2721" s="604">
        <v>3</v>
      </c>
      <c r="P2721" s="604" t="s">
        <v>484</v>
      </c>
      <c r="Q2721" s="499"/>
    </row>
    <row r="2722" spans="9:17">
      <c r="I2722" s="578" t="str">
        <f t="shared" si="188"/>
        <v>2011depQuin 5Neo</v>
      </c>
      <c r="J2722" s="604">
        <v>2011</v>
      </c>
      <c r="K2722" s="604" t="s">
        <v>454</v>
      </c>
      <c r="L2722" s="604" t="s">
        <v>425</v>
      </c>
      <c r="M2722" s="604">
        <v>82</v>
      </c>
      <c r="N2722" s="604">
        <v>17705</v>
      </c>
      <c r="O2722" s="604">
        <v>4.5999999999999996</v>
      </c>
      <c r="P2722" s="604" t="s">
        <v>484</v>
      </c>
      <c r="Q2722" s="499"/>
    </row>
    <row r="2723" spans="9:17">
      <c r="I2723" s="578" t="str">
        <f t="shared" si="188"/>
        <v>2011depQuin 9Neo</v>
      </c>
      <c r="J2723" s="604">
        <v>2011</v>
      </c>
      <c r="K2723" s="604" t="s">
        <v>454</v>
      </c>
      <c r="L2723" s="604" t="s">
        <v>426</v>
      </c>
      <c r="M2723" s="604">
        <v>6</v>
      </c>
      <c r="N2723" s="604">
        <v>2666</v>
      </c>
      <c r="O2723" s="604" t="s">
        <v>119</v>
      </c>
      <c r="P2723" s="604" t="s">
        <v>484</v>
      </c>
      <c r="Q2723" s="499"/>
    </row>
    <row r="2724" spans="9:17">
      <c r="I2724" s="578" t="str">
        <f t="shared" si="188"/>
        <v>2012depQuin 1Neo</v>
      </c>
      <c r="J2724" s="604">
        <v>2012</v>
      </c>
      <c r="K2724" s="604" t="s">
        <v>454</v>
      </c>
      <c r="L2724" s="604" t="s">
        <v>421</v>
      </c>
      <c r="M2724" s="604">
        <v>20</v>
      </c>
      <c r="N2724" s="604">
        <v>8301</v>
      </c>
      <c r="O2724" s="604">
        <v>2.4</v>
      </c>
      <c r="P2724" s="604" t="s">
        <v>484</v>
      </c>
      <c r="Q2724" s="499"/>
    </row>
    <row r="2725" spans="9:17">
      <c r="I2725" s="578" t="str">
        <f t="shared" si="188"/>
        <v>2012depQuin 2Neo</v>
      </c>
      <c r="J2725" s="604">
        <v>2012</v>
      </c>
      <c r="K2725" s="604" t="s">
        <v>454</v>
      </c>
      <c r="L2725" s="604" t="s">
        <v>422</v>
      </c>
      <c r="M2725" s="604">
        <v>15</v>
      </c>
      <c r="N2725" s="604">
        <v>9356</v>
      </c>
      <c r="O2725" s="604">
        <v>1.6</v>
      </c>
      <c r="P2725" s="604" t="s">
        <v>484</v>
      </c>
      <c r="Q2725" s="499"/>
    </row>
    <row r="2726" spans="9:17">
      <c r="I2726" s="578" t="str">
        <f t="shared" si="188"/>
        <v>2012depQuin 3Neo</v>
      </c>
      <c r="J2726" s="604">
        <v>2012</v>
      </c>
      <c r="K2726" s="604" t="s">
        <v>454</v>
      </c>
      <c r="L2726" s="604" t="s">
        <v>423</v>
      </c>
      <c r="M2726" s="604">
        <v>30</v>
      </c>
      <c r="N2726" s="604">
        <v>10749</v>
      </c>
      <c r="O2726" s="604">
        <v>2.8</v>
      </c>
      <c r="P2726" s="604" t="s">
        <v>484</v>
      </c>
      <c r="Q2726" s="499"/>
    </row>
    <row r="2727" spans="9:17">
      <c r="I2727" s="578" t="str">
        <f t="shared" si="188"/>
        <v>2012depQuin 4Neo</v>
      </c>
      <c r="J2727" s="604">
        <v>2012</v>
      </c>
      <c r="K2727" s="604" t="s">
        <v>454</v>
      </c>
      <c r="L2727" s="604" t="s">
        <v>424</v>
      </c>
      <c r="M2727" s="604">
        <v>43</v>
      </c>
      <c r="N2727" s="604">
        <v>13313</v>
      </c>
      <c r="O2727" s="604">
        <v>3.2</v>
      </c>
      <c r="P2727" s="604" t="s">
        <v>484</v>
      </c>
      <c r="Q2727" s="499"/>
    </row>
    <row r="2728" spans="9:17">
      <c r="I2728" s="578" t="str">
        <f t="shared" si="188"/>
        <v>2012depQuin 5Neo</v>
      </c>
      <c r="J2728" s="604">
        <v>2012</v>
      </c>
      <c r="K2728" s="604" t="s">
        <v>454</v>
      </c>
      <c r="L2728" s="604" t="s">
        <v>425</v>
      </c>
      <c r="M2728" s="604">
        <v>85</v>
      </c>
      <c r="N2728" s="604">
        <v>17671</v>
      </c>
      <c r="O2728" s="604">
        <v>4.8</v>
      </c>
      <c r="P2728" s="604" t="s">
        <v>484</v>
      </c>
      <c r="Q2728" s="499"/>
    </row>
    <row r="2729" spans="9:17">
      <c r="I2729" s="578" t="str">
        <f t="shared" si="188"/>
        <v>2012depQuin 9Neo</v>
      </c>
      <c r="J2729" s="604">
        <v>2012</v>
      </c>
      <c r="K2729" s="604" t="s">
        <v>454</v>
      </c>
      <c r="L2729" s="604" t="s">
        <v>426</v>
      </c>
      <c r="M2729" s="604">
        <v>1</v>
      </c>
      <c r="N2729" s="604">
        <v>2645</v>
      </c>
      <c r="O2729" s="604" t="s">
        <v>119</v>
      </c>
      <c r="P2729" s="604" t="s">
        <v>484</v>
      </c>
      <c r="Q2729" s="499"/>
    </row>
    <row r="2730" spans="9:17">
      <c r="I2730" s="578" t="str">
        <f t="shared" si="188"/>
        <v>2013depQuin 1Neo</v>
      </c>
      <c r="J2730" s="604">
        <v>2013</v>
      </c>
      <c r="K2730" s="604" t="s">
        <v>454</v>
      </c>
      <c r="L2730" s="604" t="s">
        <v>421</v>
      </c>
      <c r="M2730" s="604">
        <v>16</v>
      </c>
      <c r="N2730" s="604">
        <v>8187</v>
      </c>
      <c r="O2730" s="604">
        <v>2</v>
      </c>
      <c r="P2730" s="604" t="s">
        <v>484</v>
      </c>
      <c r="Q2730" s="499"/>
    </row>
    <row r="2731" spans="9:17">
      <c r="I2731" s="578" t="str">
        <f t="shared" si="188"/>
        <v>2013depQuin 2Neo</v>
      </c>
      <c r="J2731" s="604">
        <v>2013</v>
      </c>
      <c r="K2731" s="604" t="s">
        <v>454</v>
      </c>
      <c r="L2731" s="604" t="s">
        <v>422</v>
      </c>
      <c r="M2731" s="604">
        <v>23</v>
      </c>
      <c r="N2731" s="604">
        <v>9257</v>
      </c>
      <c r="O2731" s="604">
        <v>2.5</v>
      </c>
      <c r="P2731" s="604" t="s">
        <v>484</v>
      </c>
      <c r="Q2731" s="499"/>
    </row>
    <row r="2732" spans="9:17">
      <c r="I2732" s="578" t="str">
        <f t="shared" si="188"/>
        <v>2013depQuin 3Neo</v>
      </c>
      <c r="J2732" s="604">
        <v>2013</v>
      </c>
      <c r="K2732" s="604" t="s">
        <v>454</v>
      </c>
      <c r="L2732" s="604" t="s">
        <v>423</v>
      </c>
      <c r="M2732" s="604">
        <v>37</v>
      </c>
      <c r="N2732" s="604">
        <v>10314</v>
      </c>
      <c r="O2732" s="604">
        <v>3.6</v>
      </c>
      <c r="P2732" s="604" t="s">
        <v>484</v>
      </c>
      <c r="Q2732" s="499"/>
    </row>
    <row r="2733" spans="9:17">
      <c r="I2733" s="578" t="str">
        <f t="shared" si="188"/>
        <v>2013depQuin 4Neo</v>
      </c>
      <c r="J2733" s="604">
        <v>2013</v>
      </c>
      <c r="K2733" s="604" t="s">
        <v>454</v>
      </c>
      <c r="L2733" s="604" t="s">
        <v>424</v>
      </c>
      <c r="M2733" s="604">
        <v>41</v>
      </c>
      <c r="N2733" s="604">
        <v>12838</v>
      </c>
      <c r="O2733" s="604">
        <v>3.2</v>
      </c>
      <c r="P2733" s="604" t="s">
        <v>484</v>
      </c>
      <c r="Q2733" s="499"/>
    </row>
    <row r="2734" spans="9:17">
      <c r="I2734" s="578" t="str">
        <f t="shared" si="188"/>
        <v>2013depQuin 5Neo</v>
      </c>
      <c r="J2734" s="604">
        <v>2013</v>
      </c>
      <c r="K2734" s="604" t="s">
        <v>454</v>
      </c>
      <c r="L2734" s="604" t="s">
        <v>425</v>
      </c>
      <c r="M2734" s="604">
        <v>77</v>
      </c>
      <c r="N2734" s="604">
        <v>16525</v>
      </c>
      <c r="O2734" s="604">
        <v>4.7</v>
      </c>
      <c r="P2734" s="604" t="s">
        <v>484</v>
      </c>
      <c r="Q2734" s="499"/>
    </row>
    <row r="2735" spans="9:17">
      <c r="I2735" s="578" t="str">
        <f t="shared" si="188"/>
        <v>2013depQuin 9Neo</v>
      </c>
      <c r="J2735" s="604">
        <v>2013</v>
      </c>
      <c r="K2735" s="604" t="s">
        <v>454</v>
      </c>
      <c r="L2735" s="604" t="s">
        <v>426</v>
      </c>
      <c r="M2735" s="604">
        <v>4</v>
      </c>
      <c r="N2735" s="604">
        <v>2580</v>
      </c>
      <c r="O2735" s="604" t="s">
        <v>119</v>
      </c>
      <c r="P2735" s="604" t="s">
        <v>484</v>
      </c>
      <c r="Q2735" s="499"/>
    </row>
    <row r="2736" spans="9:17">
      <c r="I2736" s="578" t="str">
        <f t="shared" si="188"/>
        <v>2014depQuin 1Neo</v>
      </c>
      <c r="J2736" s="604">
        <v>2014</v>
      </c>
      <c r="K2736" s="604" t="s">
        <v>454</v>
      </c>
      <c r="L2736" s="604" t="s">
        <v>421</v>
      </c>
      <c r="M2736" s="604">
        <v>22</v>
      </c>
      <c r="N2736" s="604">
        <v>8221</v>
      </c>
      <c r="O2736" s="604">
        <v>2.7</v>
      </c>
      <c r="P2736" s="604" t="s">
        <v>484</v>
      </c>
      <c r="Q2736" s="499"/>
    </row>
    <row r="2737" spans="9:17">
      <c r="I2737" s="578" t="str">
        <f t="shared" si="188"/>
        <v>2014depQuin 2Neo</v>
      </c>
      <c r="J2737" s="604">
        <v>2014</v>
      </c>
      <c r="K2737" s="604" t="s">
        <v>454</v>
      </c>
      <c r="L2737" s="604" t="s">
        <v>422</v>
      </c>
      <c r="M2737" s="604">
        <v>19</v>
      </c>
      <c r="N2737" s="604">
        <v>8889</v>
      </c>
      <c r="O2737" s="604">
        <v>2.1</v>
      </c>
      <c r="P2737" s="604" t="s">
        <v>484</v>
      </c>
      <c r="Q2737" s="499"/>
    </row>
    <row r="2738" spans="9:17">
      <c r="I2738" s="578" t="str">
        <f t="shared" si="188"/>
        <v>2014depQuin 3Neo</v>
      </c>
      <c r="J2738" s="604">
        <v>2014</v>
      </c>
      <c r="K2738" s="604" t="s">
        <v>454</v>
      </c>
      <c r="L2738" s="604" t="s">
        <v>423</v>
      </c>
      <c r="M2738" s="604">
        <v>42</v>
      </c>
      <c r="N2738" s="604">
        <v>10045</v>
      </c>
      <c r="O2738" s="604">
        <v>4.2</v>
      </c>
      <c r="P2738" s="604" t="s">
        <v>484</v>
      </c>
      <c r="Q2738" s="499"/>
    </row>
    <row r="2739" spans="9:17">
      <c r="I2739" s="578" t="str">
        <f t="shared" si="188"/>
        <v>2014depQuin 4Neo</v>
      </c>
      <c r="J2739" s="604">
        <v>2014</v>
      </c>
      <c r="K2739" s="604" t="s">
        <v>454</v>
      </c>
      <c r="L2739" s="604" t="s">
        <v>424</v>
      </c>
      <c r="M2739" s="604">
        <v>43</v>
      </c>
      <c r="N2739" s="604">
        <v>12442</v>
      </c>
      <c r="O2739" s="604">
        <v>3.5</v>
      </c>
      <c r="P2739" s="604" t="s">
        <v>484</v>
      </c>
      <c r="Q2739" s="499"/>
    </row>
    <row r="2740" spans="9:17">
      <c r="I2740" s="578" t="str">
        <f t="shared" si="188"/>
        <v>2014depQuin 5Neo</v>
      </c>
      <c r="J2740" s="604">
        <v>2014</v>
      </c>
      <c r="K2740" s="604" t="s">
        <v>454</v>
      </c>
      <c r="L2740" s="604" t="s">
        <v>425</v>
      </c>
      <c r="M2740" s="604">
        <v>102</v>
      </c>
      <c r="N2740" s="604">
        <v>16100</v>
      </c>
      <c r="O2740" s="604">
        <v>6.3</v>
      </c>
      <c r="P2740" s="604" t="s">
        <v>484</v>
      </c>
      <c r="Q2740" s="499"/>
    </row>
    <row r="2741" spans="9:17">
      <c r="I2741" s="578" t="str">
        <f t="shared" si="188"/>
        <v>2014depQuin 9Neo</v>
      </c>
      <c r="J2741" s="604">
        <v>2014</v>
      </c>
      <c r="K2741" s="604" t="s">
        <v>454</v>
      </c>
      <c r="L2741" s="604" t="s">
        <v>426</v>
      </c>
      <c r="M2741" s="604">
        <v>12</v>
      </c>
      <c r="N2741" s="604">
        <v>2588</v>
      </c>
      <c r="O2741" s="604" t="s">
        <v>119</v>
      </c>
      <c r="P2741" s="604" t="s">
        <v>484</v>
      </c>
      <c r="Q2741" s="499"/>
    </row>
    <row r="2742" spans="9:17">
      <c r="I2742" s="578" t="str">
        <f t="shared" si="188"/>
        <v>2015depQuin 1Neo</v>
      </c>
      <c r="J2742" s="604">
        <v>2015</v>
      </c>
      <c r="K2742" s="604" t="s">
        <v>454</v>
      </c>
      <c r="L2742" s="604" t="s">
        <v>421</v>
      </c>
      <c r="M2742" s="604">
        <v>17</v>
      </c>
      <c r="N2742" s="604">
        <v>9428</v>
      </c>
      <c r="O2742" s="604">
        <v>1.8</v>
      </c>
      <c r="P2742" s="604" t="s">
        <v>484</v>
      </c>
      <c r="Q2742" s="499"/>
    </row>
    <row r="2743" spans="9:17">
      <c r="I2743" s="578" t="str">
        <f t="shared" si="188"/>
        <v>2015depQuin 2Neo</v>
      </c>
      <c r="J2743" s="604">
        <v>2015</v>
      </c>
      <c r="K2743" s="604" t="s">
        <v>454</v>
      </c>
      <c r="L2743" s="604" t="s">
        <v>422</v>
      </c>
      <c r="M2743" s="604">
        <v>20</v>
      </c>
      <c r="N2743" s="604">
        <v>10259</v>
      </c>
      <c r="O2743" s="604">
        <v>1.9</v>
      </c>
      <c r="P2743" s="604" t="s">
        <v>484</v>
      </c>
      <c r="Q2743" s="499"/>
    </row>
    <row r="2744" spans="9:17">
      <c r="I2744" s="578" t="str">
        <f t="shared" si="188"/>
        <v>2015depQuin 3Neo</v>
      </c>
      <c r="J2744" s="604">
        <v>2015</v>
      </c>
      <c r="K2744" s="604" t="s">
        <v>454</v>
      </c>
      <c r="L2744" s="604" t="s">
        <v>423</v>
      </c>
      <c r="M2744" s="604">
        <v>32</v>
      </c>
      <c r="N2744" s="604">
        <v>11196</v>
      </c>
      <c r="O2744" s="604">
        <v>2.9</v>
      </c>
      <c r="P2744" s="604" t="s">
        <v>484</v>
      </c>
      <c r="Q2744" s="499"/>
    </row>
    <row r="2745" spans="9:17">
      <c r="I2745" s="578" t="str">
        <f t="shared" si="188"/>
        <v>2015depQuin 4Neo</v>
      </c>
      <c r="J2745" s="604">
        <v>2015</v>
      </c>
      <c r="K2745" s="604" t="s">
        <v>454</v>
      </c>
      <c r="L2745" s="604" t="s">
        <v>424</v>
      </c>
      <c r="M2745" s="604">
        <v>41</v>
      </c>
      <c r="N2745" s="604">
        <v>13614</v>
      </c>
      <c r="O2745" s="604">
        <v>3</v>
      </c>
      <c r="P2745" s="604" t="s">
        <v>484</v>
      </c>
      <c r="Q2745" s="499"/>
    </row>
    <row r="2746" spans="9:17">
      <c r="I2746" s="578" t="str">
        <f t="shared" si="188"/>
        <v>2015depQuin 5Neo</v>
      </c>
      <c r="J2746" s="604">
        <v>2015</v>
      </c>
      <c r="K2746" s="604" t="s">
        <v>454</v>
      </c>
      <c r="L2746" s="604" t="s">
        <v>425</v>
      </c>
      <c r="M2746" s="604">
        <v>59</v>
      </c>
      <c r="N2746" s="604">
        <v>17454</v>
      </c>
      <c r="O2746" s="604">
        <v>3.4</v>
      </c>
      <c r="P2746" s="604" t="s">
        <v>484</v>
      </c>
      <c r="Q2746" s="499"/>
    </row>
    <row r="2747" spans="9:17">
      <c r="I2747" s="578" t="str">
        <f t="shared" si="188"/>
        <v>2015depQuin 9Neo</v>
      </c>
      <c r="J2747" s="604">
        <v>2015</v>
      </c>
      <c r="K2747" s="604" t="s">
        <v>454</v>
      </c>
      <c r="L2747" s="604" t="s">
        <v>426</v>
      </c>
      <c r="M2747" s="604">
        <v>6</v>
      </c>
      <c r="N2747" s="604">
        <v>171</v>
      </c>
      <c r="O2747" s="604" t="s">
        <v>119</v>
      </c>
      <c r="P2747" s="604" t="s">
        <v>484</v>
      </c>
      <c r="Q2747" s="499"/>
    </row>
    <row r="2748" spans="9:17">
      <c r="I2748" s="578" t="str">
        <f t="shared" si="188"/>
        <v>2016depQuin 1Neo</v>
      </c>
      <c r="J2748" s="604">
        <v>2016</v>
      </c>
      <c r="K2748" s="604" t="s">
        <v>454</v>
      </c>
      <c r="L2748" s="604" t="s">
        <v>421</v>
      </c>
      <c r="M2748" s="604">
        <v>19</v>
      </c>
      <c r="N2748" s="604">
        <v>9194</v>
      </c>
      <c r="O2748" s="604">
        <v>2.1</v>
      </c>
      <c r="P2748" s="604" t="s">
        <v>484</v>
      </c>
      <c r="Q2748" s="499"/>
    </row>
    <row r="2749" spans="9:17">
      <c r="I2749" s="578" t="str">
        <f t="shared" si="188"/>
        <v>2016depQuin 2Neo</v>
      </c>
      <c r="J2749" s="604">
        <v>2016</v>
      </c>
      <c r="K2749" s="604" t="s">
        <v>454</v>
      </c>
      <c r="L2749" s="604" t="s">
        <v>422</v>
      </c>
      <c r="M2749" s="604">
        <v>15</v>
      </c>
      <c r="N2749" s="604">
        <v>10123</v>
      </c>
      <c r="O2749" s="604">
        <v>1.5</v>
      </c>
      <c r="P2749" s="604" t="s">
        <v>484</v>
      </c>
      <c r="Q2749" s="499"/>
    </row>
    <row r="2750" spans="9:17">
      <c r="I2750" s="578" t="str">
        <f t="shared" si="188"/>
        <v>2016depQuin 3Neo</v>
      </c>
      <c r="J2750" s="604">
        <v>2016</v>
      </c>
      <c r="K2750" s="604" t="s">
        <v>454</v>
      </c>
      <c r="L2750" s="604" t="s">
        <v>423</v>
      </c>
      <c r="M2750" s="604">
        <v>23</v>
      </c>
      <c r="N2750" s="604">
        <v>10971</v>
      </c>
      <c r="O2750" s="604">
        <v>2.1</v>
      </c>
      <c r="P2750" s="604" t="s">
        <v>484</v>
      </c>
      <c r="Q2750" s="499"/>
    </row>
    <row r="2751" spans="9:17">
      <c r="I2751" s="578" t="str">
        <f t="shared" si="188"/>
        <v>2016depQuin 4Neo</v>
      </c>
      <c r="J2751" s="604">
        <v>2016</v>
      </c>
      <c r="K2751" s="604" t="s">
        <v>454</v>
      </c>
      <c r="L2751" s="604" t="s">
        <v>424</v>
      </c>
      <c r="M2751" s="604">
        <v>33</v>
      </c>
      <c r="N2751" s="604">
        <v>13131</v>
      </c>
      <c r="O2751" s="604">
        <v>2.5</v>
      </c>
      <c r="P2751" s="604" t="s">
        <v>484</v>
      </c>
      <c r="Q2751" s="499"/>
    </row>
    <row r="2752" spans="9:17">
      <c r="I2752" s="578" t="str">
        <f t="shared" si="188"/>
        <v>2016depQuin 5Neo</v>
      </c>
      <c r="J2752" s="604">
        <v>2016</v>
      </c>
      <c r="K2752" s="604" t="s">
        <v>454</v>
      </c>
      <c r="L2752" s="604" t="s">
        <v>425</v>
      </c>
      <c r="M2752" s="604">
        <v>70</v>
      </c>
      <c r="N2752" s="604">
        <v>16886</v>
      </c>
      <c r="O2752" s="604">
        <v>4.0999999999999996</v>
      </c>
      <c r="P2752" s="604" t="s">
        <v>484</v>
      </c>
      <c r="Q2752" s="499"/>
    </row>
    <row r="2753" spans="9:17">
      <c r="I2753" s="578" t="str">
        <f t="shared" si="188"/>
        <v>2016depQuin 9Neo</v>
      </c>
      <c r="J2753" s="604">
        <v>2016</v>
      </c>
      <c r="K2753" s="604" t="s">
        <v>454</v>
      </c>
      <c r="L2753" s="604" t="s">
        <v>426</v>
      </c>
      <c r="M2753" s="604">
        <v>1</v>
      </c>
      <c r="N2753" s="604">
        <v>131</v>
      </c>
      <c r="O2753" s="604" t="s">
        <v>119</v>
      </c>
      <c r="P2753" s="604" t="s">
        <v>484</v>
      </c>
      <c r="Q2753" s="499"/>
    </row>
    <row r="2754" spans="9:17">
      <c r="I2754" s="578" t="str">
        <f t="shared" si="188"/>
        <v>1996bwt&lt;500Neo</v>
      </c>
      <c r="J2754" s="604">
        <v>1996</v>
      </c>
      <c r="K2754" s="604" t="s">
        <v>447</v>
      </c>
      <c r="L2754" s="604" t="s">
        <v>427</v>
      </c>
      <c r="M2754" s="604">
        <v>43</v>
      </c>
      <c r="N2754" s="604">
        <v>44</v>
      </c>
      <c r="O2754" s="604">
        <v>977.3</v>
      </c>
      <c r="P2754" s="604" t="s">
        <v>484</v>
      </c>
      <c r="Q2754" s="499"/>
    </row>
    <row r="2755" spans="9:17">
      <c r="I2755" s="578" t="str">
        <f t="shared" si="188"/>
        <v>1996bwt500-999Neo</v>
      </c>
      <c r="J2755" s="604">
        <v>1996</v>
      </c>
      <c r="K2755" s="604" t="s">
        <v>447</v>
      </c>
      <c r="L2755" s="604" t="s">
        <v>428</v>
      </c>
      <c r="M2755" s="604">
        <v>59</v>
      </c>
      <c r="N2755" s="604">
        <v>207</v>
      </c>
      <c r="O2755" s="604">
        <v>285</v>
      </c>
      <c r="P2755" s="604" t="s">
        <v>484</v>
      </c>
      <c r="Q2755" s="499"/>
    </row>
    <row r="2756" spans="9:17">
      <c r="I2756" s="578" t="str">
        <f t="shared" ref="I2756:I2819" si="189">J2756&amp;K2756&amp;L2756&amp;P2756</f>
        <v>1996bwt1000-1499Neo</v>
      </c>
      <c r="J2756" s="604">
        <v>1996</v>
      </c>
      <c r="K2756" s="604" t="s">
        <v>447</v>
      </c>
      <c r="L2756" s="604" t="s">
        <v>429</v>
      </c>
      <c r="M2756" s="604">
        <v>15</v>
      </c>
      <c r="N2756" s="604">
        <v>366</v>
      </c>
      <c r="O2756" s="604">
        <v>41</v>
      </c>
      <c r="P2756" s="604" t="s">
        <v>484</v>
      </c>
      <c r="Q2756" s="499"/>
    </row>
    <row r="2757" spans="9:17">
      <c r="I2757" s="578" t="str">
        <f t="shared" si="189"/>
        <v>1996bwt1500-2499Neo</v>
      </c>
      <c r="J2757" s="604">
        <v>1996</v>
      </c>
      <c r="K2757" s="604" t="s">
        <v>447</v>
      </c>
      <c r="L2757" s="604" t="s">
        <v>430</v>
      </c>
      <c r="M2757" s="604">
        <v>41</v>
      </c>
      <c r="N2757" s="604">
        <v>2976</v>
      </c>
      <c r="O2757" s="604">
        <v>13.8</v>
      </c>
      <c r="P2757" s="604" t="s">
        <v>484</v>
      </c>
      <c r="Q2757" s="499"/>
    </row>
    <row r="2758" spans="9:17">
      <c r="I2758" s="578" t="str">
        <f t="shared" si="189"/>
        <v>1996bwt2500-4499Neo</v>
      </c>
      <c r="J2758" s="604">
        <v>1996</v>
      </c>
      <c r="K2758" s="604" t="s">
        <v>447</v>
      </c>
      <c r="L2758" s="604" t="s">
        <v>431</v>
      </c>
      <c r="M2758" s="604">
        <v>63</v>
      </c>
      <c r="N2758" s="604">
        <v>52386</v>
      </c>
      <c r="O2758" s="604">
        <v>1.2</v>
      </c>
      <c r="P2758" s="604" t="s">
        <v>484</v>
      </c>
      <c r="Q2758" s="499"/>
    </row>
    <row r="2759" spans="9:17">
      <c r="I2759" s="578" t="str">
        <f t="shared" si="189"/>
        <v>1996bwt4500+Neo</v>
      </c>
      <c r="J2759" s="604">
        <v>1996</v>
      </c>
      <c r="K2759" s="604" t="s">
        <v>447</v>
      </c>
      <c r="L2759" s="604" t="s">
        <v>432</v>
      </c>
      <c r="M2759" s="604">
        <v>1</v>
      </c>
      <c r="N2759" s="604">
        <v>1339</v>
      </c>
      <c r="O2759" s="604">
        <v>0.7</v>
      </c>
      <c r="P2759" s="604" t="s">
        <v>484</v>
      </c>
      <c r="Q2759" s="499"/>
    </row>
    <row r="2760" spans="9:17">
      <c r="I2760" s="578" t="str">
        <f t="shared" si="189"/>
        <v>1996bwtUnknownNeo</v>
      </c>
      <c r="J2760" s="604">
        <v>1996</v>
      </c>
      <c r="K2760" s="604" t="s">
        <v>447</v>
      </c>
      <c r="L2760" s="604" t="s">
        <v>63</v>
      </c>
      <c r="M2760" s="604">
        <v>1</v>
      </c>
      <c r="N2760" s="604">
        <v>116</v>
      </c>
      <c r="O2760" s="604" t="s">
        <v>119</v>
      </c>
      <c r="P2760" s="604" t="s">
        <v>484</v>
      </c>
      <c r="Q2760" s="499"/>
    </row>
    <row r="2761" spans="9:17">
      <c r="I2761" s="578" t="str">
        <f t="shared" si="189"/>
        <v>1997bwt&lt;500Neo</v>
      </c>
      <c r="J2761" s="604">
        <v>1997</v>
      </c>
      <c r="K2761" s="604" t="s">
        <v>447</v>
      </c>
      <c r="L2761" s="604" t="s">
        <v>427</v>
      </c>
      <c r="M2761" s="604">
        <v>39</v>
      </c>
      <c r="N2761" s="604">
        <v>33</v>
      </c>
      <c r="O2761" s="604" t="s">
        <v>119</v>
      </c>
      <c r="P2761" s="604" t="s">
        <v>484</v>
      </c>
      <c r="Q2761" s="499"/>
    </row>
    <row r="2762" spans="9:17">
      <c r="I2762" s="578" t="str">
        <f t="shared" si="189"/>
        <v>1997bwt500-999Neo</v>
      </c>
      <c r="J2762" s="604">
        <v>1997</v>
      </c>
      <c r="K2762" s="604" t="s">
        <v>447</v>
      </c>
      <c r="L2762" s="604" t="s">
        <v>428</v>
      </c>
      <c r="M2762" s="604">
        <v>51</v>
      </c>
      <c r="N2762" s="604">
        <v>231</v>
      </c>
      <c r="O2762" s="604">
        <v>220.8</v>
      </c>
      <c r="P2762" s="604" t="s">
        <v>484</v>
      </c>
      <c r="Q2762" s="499"/>
    </row>
    <row r="2763" spans="9:17">
      <c r="I2763" s="578" t="str">
        <f t="shared" si="189"/>
        <v>1997bwt1000-1499Neo</v>
      </c>
      <c r="J2763" s="604">
        <v>1997</v>
      </c>
      <c r="K2763" s="604" t="s">
        <v>447</v>
      </c>
      <c r="L2763" s="604" t="s">
        <v>429</v>
      </c>
      <c r="M2763" s="604">
        <v>19</v>
      </c>
      <c r="N2763" s="604">
        <v>353</v>
      </c>
      <c r="O2763" s="604">
        <v>53.8</v>
      </c>
      <c r="P2763" s="604" t="s">
        <v>484</v>
      </c>
      <c r="Q2763" s="499"/>
    </row>
    <row r="2764" spans="9:17">
      <c r="I2764" s="578" t="str">
        <f t="shared" si="189"/>
        <v>1997bwt1500-2499Neo</v>
      </c>
      <c r="J2764" s="604">
        <v>1997</v>
      </c>
      <c r="K2764" s="604" t="s">
        <v>447</v>
      </c>
      <c r="L2764" s="604" t="s">
        <v>430</v>
      </c>
      <c r="M2764" s="604">
        <v>28</v>
      </c>
      <c r="N2764" s="604">
        <v>2980</v>
      </c>
      <c r="O2764" s="604">
        <v>9.4</v>
      </c>
      <c r="P2764" s="604" t="s">
        <v>484</v>
      </c>
      <c r="Q2764" s="499"/>
    </row>
    <row r="2765" spans="9:17">
      <c r="I2765" s="578" t="str">
        <f t="shared" si="189"/>
        <v>1997bwt2500-4499Neo</v>
      </c>
      <c r="J2765" s="604">
        <v>1997</v>
      </c>
      <c r="K2765" s="604" t="s">
        <v>447</v>
      </c>
      <c r="L2765" s="604" t="s">
        <v>431</v>
      </c>
      <c r="M2765" s="604">
        <v>64</v>
      </c>
      <c r="N2765" s="604">
        <v>52712</v>
      </c>
      <c r="O2765" s="604">
        <v>1.2</v>
      </c>
      <c r="P2765" s="604" t="s">
        <v>484</v>
      </c>
      <c r="Q2765" s="499"/>
    </row>
    <row r="2766" spans="9:17">
      <c r="I2766" s="578" t="str">
        <f t="shared" si="189"/>
        <v>1997bwt4500+Neo</v>
      </c>
      <c r="J2766" s="604">
        <v>1997</v>
      </c>
      <c r="K2766" s="604" t="s">
        <v>447</v>
      </c>
      <c r="L2766" s="604" t="s">
        <v>432</v>
      </c>
      <c r="M2766" s="604">
        <v>1</v>
      </c>
      <c r="N2766" s="604">
        <v>1351</v>
      </c>
      <c r="O2766" s="604">
        <v>0.7</v>
      </c>
      <c r="P2766" s="604" t="s">
        <v>484</v>
      </c>
      <c r="Q2766" s="499"/>
    </row>
    <row r="2767" spans="9:17">
      <c r="I2767" s="578" t="str">
        <f t="shared" si="189"/>
        <v>1997bwtUnknownNeo</v>
      </c>
      <c r="J2767" s="604">
        <v>1997</v>
      </c>
      <c r="K2767" s="604" t="s">
        <v>447</v>
      </c>
      <c r="L2767" s="604" t="s">
        <v>63</v>
      </c>
      <c r="M2767" s="604">
        <v>7</v>
      </c>
      <c r="N2767" s="604">
        <v>74</v>
      </c>
      <c r="O2767" s="604" t="s">
        <v>119</v>
      </c>
      <c r="P2767" s="604" t="s">
        <v>484</v>
      </c>
      <c r="Q2767" s="499"/>
    </row>
    <row r="2768" spans="9:17">
      <c r="I2768" s="578" t="str">
        <f t="shared" si="189"/>
        <v>1998bwt&lt;500Neo</v>
      </c>
      <c r="J2768" s="604">
        <v>1998</v>
      </c>
      <c r="K2768" s="604" t="s">
        <v>447</v>
      </c>
      <c r="L2768" s="604" t="s">
        <v>427</v>
      </c>
      <c r="M2768" s="604">
        <v>28</v>
      </c>
      <c r="N2768" s="604">
        <v>33</v>
      </c>
      <c r="O2768" s="604">
        <v>848.5</v>
      </c>
      <c r="P2768" s="604" t="s">
        <v>484</v>
      </c>
      <c r="Q2768" s="499"/>
    </row>
    <row r="2769" spans="9:17">
      <c r="I2769" s="578" t="str">
        <f t="shared" si="189"/>
        <v>1998bwt500-999Neo</v>
      </c>
      <c r="J2769" s="604">
        <v>1998</v>
      </c>
      <c r="K2769" s="604" t="s">
        <v>447</v>
      </c>
      <c r="L2769" s="604" t="s">
        <v>428</v>
      </c>
      <c r="M2769" s="604">
        <v>52</v>
      </c>
      <c r="N2769" s="604">
        <v>231</v>
      </c>
      <c r="O2769" s="604">
        <v>225.1</v>
      </c>
      <c r="P2769" s="604" t="s">
        <v>484</v>
      </c>
      <c r="Q2769" s="499"/>
    </row>
    <row r="2770" spans="9:17">
      <c r="I2770" s="578" t="str">
        <f t="shared" si="189"/>
        <v>1998bwt1000-1499Neo</v>
      </c>
      <c r="J2770" s="604">
        <v>1998</v>
      </c>
      <c r="K2770" s="604" t="s">
        <v>447</v>
      </c>
      <c r="L2770" s="604" t="s">
        <v>429</v>
      </c>
      <c r="M2770" s="604">
        <v>10</v>
      </c>
      <c r="N2770" s="604">
        <v>353</v>
      </c>
      <c r="O2770" s="604">
        <v>28.3</v>
      </c>
      <c r="P2770" s="604" t="s">
        <v>484</v>
      </c>
      <c r="Q2770" s="499"/>
    </row>
    <row r="2771" spans="9:17">
      <c r="I2771" s="578" t="str">
        <f t="shared" si="189"/>
        <v>1998bwt1500-2499Neo</v>
      </c>
      <c r="J2771" s="604">
        <v>1998</v>
      </c>
      <c r="K2771" s="604" t="s">
        <v>447</v>
      </c>
      <c r="L2771" s="604" t="s">
        <v>430</v>
      </c>
      <c r="M2771" s="604">
        <v>24</v>
      </c>
      <c r="N2771" s="604">
        <v>2980</v>
      </c>
      <c r="O2771" s="604">
        <v>8.1</v>
      </c>
      <c r="P2771" s="604" t="s">
        <v>484</v>
      </c>
      <c r="Q2771" s="499"/>
    </row>
    <row r="2772" spans="9:17">
      <c r="I2772" s="578" t="str">
        <f t="shared" si="189"/>
        <v>1998bwt2500-4499Neo</v>
      </c>
      <c r="J2772" s="604">
        <v>1998</v>
      </c>
      <c r="K2772" s="604" t="s">
        <v>447</v>
      </c>
      <c r="L2772" s="604" t="s">
        <v>431</v>
      </c>
      <c r="M2772" s="604">
        <v>55</v>
      </c>
      <c r="N2772" s="604">
        <v>52712</v>
      </c>
      <c r="O2772" s="604">
        <v>1</v>
      </c>
      <c r="P2772" s="604" t="s">
        <v>484</v>
      </c>
      <c r="Q2772" s="499"/>
    </row>
    <row r="2773" spans="9:17">
      <c r="I2773" s="578" t="str">
        <f t="shared" si="189"/>
        <v>1998bwt4500+Neo</v>
      </c>
      <c r="J2773" s="604">
        <v>1998</v>
      </c>
      <c r="K2773" s="604" t="s">
        <v>447</v>
      </c>
      <c r="L2773" s="604" t="s">
        <v>432</v>
      </c>
      <c r="M2773" s="604">
        <v>1</v>
      </c>
      <c r="N2773" s="604">
        <v>1351</v>
      </c>
      <c r="O2773" s="604">
        <v>0.7</v>
      </c>
      <c r="P2773" s="604" t="s">
        <v>484</v>
      </c>
      <c r="Q2773" s="499"/>
    </row>
    <row r="2774" spans="9:17">
      <c r="I2774" s="578" t="str">
        <f t="shared" si="189"/>
        <v>1998bwtUnknownNeo</v>
      </c>
      <c r="J2774" s="604">
        <v>1998</v>
      </c>
      <c r="K2774" s="604" t="s">
        <v>447</v>
      </c>
      <c r="L2774" s="604" t="s">
        <v>63</v>
      </c>
      <c r="M2774" s="604">
        <v>1</v>
      </c>
      <c r="N2774" s="604">
        <v>74</v>
      </c>
      <c r="O2774" s="604" t="s">
        <v>119</v>
      </c>
      <c r="P2774" s="604" t="s">
        <v>484</v>
      </c>
      <c r="Q2774" s="499"/>
    </row>
    <row r="2775" spans="9:17">
      <c r="I2775" s="578" t="str">
        <f t="shared" si="189"/>
        <v>1999bwt&lt;500Neo</v>
      </c>
      <c r="J2775" s="604">
        <v>1999</v>
      </c>
      <c r="K2775" s="604" t="s">
        <v>447</v>
      </c>
      <c r="L2775" s="604" t="s">
        <v>427</v>
      </c>
      <c r="M2775" s="604">
        <v>41</v>
      </c>
      <c r="N2775" s="604">
        <v>45</v>
      </c>
      <c r="O2775" s="604">
        <v>911.1</v>
      </c>
      <c r="P2775" s="604" t="s">
        <v>484</v>
      </c>
      <c r="Q2775" s="499"/>
    </row>
    <row r="2776" spans="9:17">
      <c r="I2776" s="578" t="str">
        <f t="shared" si="189"/>
        <v>1999bwt500-999Neo</v>
      </c>
      <c r="J2776" s="604">
        <v>1999</v>
      </c>
      <c r="K2776" s="604" t="s">
        <v>447</v>
      </c>
      <c r="L2776" s="604" t="s">
        <v>428</v>
      </c>
      <c r="M2776" s="604">
        <v>57</v>
      </c>
      <c r="N2776" s="604">
        <v>231</v>
      </c>
      <c r="O2776" s="604">
        <v>246.8</v>
      </c>
      <c r="P2776" s="604" t="s">
        <v>484</v>
      </c>
      <c r="Q2776" s="499"/>
    </row>
    <row r="2777" spans="9:17">
      <c r="I2777" s="578" t="str">
        <f t="shared" si="189"/>
        <v>1999bwt1000-1499Neo</v>
      </c>
      <c r="J2777" s="604">
        <v>1999</v>
      </c>
      <c r="K2777" s="604" t="s">
        <v>447</v>
      </c>
      <c r="L2777" s="604" t="s">
        <v>429</v>
      </c>
      <c r="M2777" s="604">
        <v>16</v>
      </c>
      <c r="N2777" s="604">
        <v>355</v>
      </c>
      <c r="O2777" s="604">
        <v>45.1</v>
      </c>
      <c r="P2777" s="604" t="s">
        <v>484</v>
      </c>
      <c r="Q2777" s="499"/>
    </row>
    <row r="2778" spans="9:17">
      <c r="I2778" s="578" t="str">
        <f t="shared" si="189"/>
        <v>1999bwt1500-2499Neo</v>
      </c>
      <c r="J2778" s="604">
        <v>1999</v>
      </c>
      <c r="K2778" s="604" t="s">
        <v>447</v>
      </c>
      <c r="L2778" s="604" t="s">
        <v>430</v>
      </c>
      <c r="M2778" s="604">
        <v>25</v>
      </c>
      <c r="N2778" s="604">
        <v>3005</v>
      </c>
      <c r="O2778" s="604">
        <v>8.3000000000000007</v>
      </c>
      <c r="P2778" s="604" t="s">
        <v>484</v>
      </c>
      <c r="Q2778" s="499"/>
    </row>
    <row r="2779" spans="9:17">
      <c r="I2779" s="578" t="str">
        <f t="shared" si="189"/>
        <v>1999bwt2500-4499Neo</v>
      </c>
      <c r="J2779" s="604">
        <v>1999</v>
      </c>
      <c r="K2779" s="604" t="s">
        <v>447</v>
      </c>
      <c r="L2779" s="604" t="s">
        <v>431</v>
      </c>
      <c r="M2779" s="604">
        <v>39</v>
      </c>
      <c r="N2779" s="604">
        <v>52234</v>
      </c>
      <c r="O2779" s="604">
        <v>0.7</v>
      </c>
      <c r="P2779" s="604" t="s">
        <v>484</v>
      </c>
      <c r="Q2779" s="499"/>
    </row>
    <row r="2780" spans="9:17">
      <c r="I2780" s="578" t="str">
        <f t="shared" si="189"/>
        <v>1999bwt4500+Neo</v>
      </c>
      <c r="J2780" s="604">
        <v>1999</v>
      </c>
      <c r="K2780" s="604" t="s">
        <v>447</v>
      </c>
      <c r="L2780" s="604" t="s">
        <v>432</v>
      </c>
      <c r="M2780" s="604">
        <v>4</v>
      </c>
      <c r="N2780" s="604">
        <v>1505</v>
      </c>
      <c r="O2780" s="604">
        <v>2.7</v>
      </c>
      <c r="P2780" s="604" t="s">
        <v>484</v>
      </c>
      <c r="Q2780" s="499"/>
    </row>
    <row r="2781" spans="9:17">
      <c r="I2781" s="578" t="str">
        <f t="shared" si="189"/>
        <v>1999bwtUnknownNeo</v>
      </c>
      <c r="J2781" s="604">
        <v>1999</v>
      </c>
      <c r="K2781" s="604" t="s">
        <v>447</v>
      </c>
      <c r="L2781" s="604" t="s">
        <v>63</v>
      </c>
      <c r="M2781" s="604">
        <v>0</v>
      </c>
      <c r="N2781" s="604">
        <v>46</v>
      </c>
      <c r="O2781" s="604" t="s">
        <v>119</v>
      </c>
      <c r="P2781" s="604" t="s">
        <v>484</v>
      </c>
      <c r="Q2781" s="499"/>
    </row>
    <row r="2782" spans="9:17">
      <c r="I2782" s="578" t="str">
        <f t="shared" si="189"/>
        <v>2000bwt&lt;500Neo</v>
      </c>
      <c r="J2782" s="604">
        <v>2000</v>
      </c>
      <c r="K2782" s="604" t="s">
        <v>447</v>
      </c>
      <c r="L2782" s="604" t="s">
        <v>427</v>
      </c>
      <c r="M2782" s="604">
        <v>54</v>
      </c>
      <c r="N2782" s="604">
        <v>65</v>
      </c>
      <c r="O2782" s="604">
        <v>830.8</v>
      </c>
      <c r="P2782" s="604" t="s">
        <v>484</v>
      </c>
      <c r="Q2782" s="499"/>
    </row>
    <row r="2783" spans="9:17">
      <c r="I2783" s="578" t="str">
        <f t="shared" si="189"/>
        <v>2000bwt500-999Neo</v>
      </c>
      <c r="J2783" s="604">
        <v>2000</v>
      </c>
      <c r="K2783" s="604" t="s">
        <v>447</v>
      </c>
      <c r="L2783" s="604" t="s">
        <v>428</v>
      </c>
      <c r="M2783" s="604">
        <v>61</v>
      </c>
      <c r="N2783" s="604">
        <v>235</v>
      </c>
      <c r="O2783" s="604">
        <v>259.60000000000002</v>
      </c>
      <c r="P2783" s="604" t="s">
        <v>484</v>
      </c>
      <c r="Q2783" s="499"/>
    </row>
    <row r="2784" spans="9:17">
      <c r="I2784" s="578" t="str">
        <f t="shared" si="189"/>
        <v>2000bwt1000-1499Neo</v>
      </c>
      <c r="J2784" s="604">
        <v>2000</v>
      </c>
      <c r="K2784" s="604" t="s">
        <v>447</v>
      </c>
      <c r="L2784" s="604" t="s">
        <v>429</v>
      </c>
      <c r="M2784" s="604">
        <v>14</v>
      </c>
      <c r="N2784" s="604">
        <v>365</v>
      </c>
      <c r="O2784" s="604">
        <v>38.4</v>
      </c>
      <c r="P2784" s="604" t="s">
        <v>484</v>
      </c>
      <c r="Q2784" s="499"/>
    </row>
    <row r="2785" spans="9:17">
      <c r="I2785" s="578" t="str">
        <f t="shared" si="189"/>
        <v>2000bwt1500-2499Neo</v>
      </c>
      <c r="J2785" s="604">
        <v>2000</v>
      </c>
      <c r="K2785" s="604" t="s">
        <v>447</v>
      </c>
      <c r="L2785" s="604" t="s">
        <v>430</v>
      </c>
      <c r="M2785" s="604">
        <v>16</v>
      </c>
      <c r="N2785" s="604">
        <v>2949</v>
      </c>
      <c r="O2785" s="604">
        <v>5.4</v>
      </c>
      <c r="P2785" s="604" t="s">
        <v>484</v>
      </c>
      <c r="Q2785" s="499"/>
    </row>
    <row r="2786" spans="9:17">
      <c r="I2786" s="578" t="str">
        <f t="shared" si="189"/>
        <v>2000bwt2500-4499Neo</v>
      </c>
      <c r="J2786" s="604">
        <v>2000</v>
      </c>
      <c r="K2786" s="604" t="s">
        <v>447</v>
      </c>
      <c r="L2786" s="604" t="s">
        <v>431</v>
      </c>
      <c r="M2786" s="604">
        <v>63</v>
      </c>
      <c r="N2786" s="604">
        <v>51817</v>
      </c>
      <c r="O2786" s="604">
        <v>1.2</v>
      </c>
      <c r="P2786" s="604" t="s">
        <v>484</v>
      </c>
      <c r="Q2786" s="499"/>
    </row>
    <row r="2787" spans="9:17">
      <c r="I2787" s="578" t="str">
        <f t="shared" si="189"/>
        <v>2000bwt4500+Neo</v>
      </c>
      <c r="J2787" s="604">
        <v>2000</v>
      </c>
      <c r="K2787" s="604" t="s">
        <v>447</v>
      </c>
      <c r="L2787" s="604" t="s">
        <v>432</v>
      </c>
      <c r="M2787" s="604">
        <v>3</v>
      </c>
      <c r="N2787" s="604">
        <v>1521</v>
      </c>
      <c r="O2787" s="604">
        <v>2</v>
      </c>
      <c r="P2787" s="604" t="s">
        <v>484</v>
      </c>
      <c r="Q2787" s="499"/>
    </row>
    <row r="2788" spans="9:17">
      <c r="I2788" s="578" t="str">
        <f t="shared" si="189"/>
        <v>2000bwtUnknownNeo</v>
      </c>
      <c r="J2788" s="604">
        <v>2000</v>
      </c>
      <c r="K2788" s="604" t="s">
        <v>447</v>
      </c>
      <c r="L2788" s="604" t="s">
        <v>63</v>
      </c>
      <c r="M2788" s="604">
        <v>5</v>
      </c>
      <c r="N2788" s="604">
        <v>42</v>
      </c>
      <c r="O2788" s="604" t="s">
        <v>119</v>
      </c>
      <c r="P2788" s="604" t="s">
        <v>484</v>
      </c>
      <c r="Q2788" s="499"/>
    </row>
    <row r="2789" spans="9:17">
      <c r="I2789" s="578" t="str">
        <f t="shared" si="189"/>
        <v>2001bwt&lt;500Neo</v>
      </c>
      <c r="J2789" s="604">
        <v>2001</v>
      </c>
      <c r="K2789" s="604" t="s">
        <v>447</v>
      </c>
      <c r="L2789" s="604" t="s">
        <v>427</v>
      </c>
      <c r="M2789" s="604">
        <v>38</v>
      </c>
      <c r="N2789" s="604">
        <v>46</v>
      </c>
      <c r="O2789" s="604">
        <v>826.1</v>
      </c>
      <c r="P2789" s="604" t="s">
        <v>484</v>
      </c>
      <c r="Q2789" s="499"/>
    </row>
    <row r="2790" spans="9:17">
      <c r="I2790" s="578" t="str">
        <f t="shared" si="189"/>
        <v>2001bwt500-999Neo</v>
      </c>
      <c r="J2790" s="604">
        <v>2001</v>
      </c>
      <c r="K2790" s="604" t="s">
        <v>447</v>
      </c>
      <c r="L2790" s="604" t="s">
        <v>428</v>
      </c>
      <c r="M2790" s="604">
        <v>56</v>
      </c>
      <c r="N2790" s="604">
        <v>221</v>
      </c>
      <c r="O2790" s="604">
        <v>253.4</v>
      </c>
      <c r="P2790" s="604" t="s">
        <v>484</v>
      </c>
      <c r="Q2790" s="499"/>
    </row>
    <row r="2791" spans="9:17">
      <c r="I2791" s="578" t="str">
        <f t="shared" si="189"/>
        <v>2001bwt1000-1499Neo</v>
      </c>
      <c r="J2791" s="604">
        <v>2001</v>
      </c>
      <c r="K2791" s="604" t="s">
        <v>447</v>
      </c>
      <c r="L2791" s="604" t="s">
        <v>429</v>
      </c>
      <c r="M2791" s="604">
        <v>9</v>
      </c>
      <c r="N2791" s="604">
        <v>387</v>
      </c>
      <c r="O2791" s="604">
        <v>23.3</v>
      </c>
      <c r="P2791" s="604" t="s">
        <v>484</v>
      </c>
      <c r="Q2791" s="499"/>
    </row>
    <row r="2792" spans="9:17">
      <c r="I2792" s="578" t="str">
        <f t="shared" si="189"/>
        <v>2001bwt1500-2499Neo</v>
      </c>
      <c r="J2792" s="604">
        <v>2001</v>
      </c>
      <c r="K2792" s="604" t="s">
        <v>447</v>
      </c>
      <c r="L2792" s="604" t="s">
        <v>430</v>
      </c>
      <c r="M2792" s="604">
        <v>23</v>
      </c>
      <c r="N2792" s="604">
        <v>2989</v>
      </c>
      <c r="O2792" s="604">
        <v>7.7</v>
      </c>
      <c r="P2792" s="604" t="s">
        <v>484</v>
      </c>
      <c r="Q2792" s="499"/>
    </row>
    <row r="2793" spans="9:17">
      <c r="I2793" s="578" t="str">
        <f t="shared" si="189"/>
        <v>2001bwt2500-4499Neo</v>
      </c>
      <c r="J2793" s="604">
        <v>2001</v>
      </c>
      <c r="K2793" s="604" t="s">
        <v>447</v>
      </c>
      <c r="L2793" s="604" t="s">
        <v>431</v>
      </c>
      <c r="M2793" s="604">
        <v>43</v>
      </c>
      <c r="N2793" s="604">
        <v>51068</v>
      </c>
      <c r="O2793" s="604">
        <v>0.8</v>
      </c>
      <c r="P2793" s="604" t="s">
        <v>484</v>
      </c>
      <c r="Q2793" s="499"/>
    </row>
    <row r="2794" spans="9:17">
      <c r="I2794" s="578" t="str">
        <f t="shared" si="189"/>
        <v>2001bwt4500+Neo</v>
      </c>
      <c r="J2794" s="604">
        <v>2001</v>
      </c>
      <c r="K2794" s="604" t="s">
        <v>447</v>
      </c>
      <c r="L2794" s="604" t="s">
        <v>432</v>
      </c>
      <c r="M2794" s="604">
        <v>0</v>
      </c>
      <c r="N2794" s="604">
        <v>1410</v>
      </c>
      <c r="O2794" s="604">
        <v>0</v>
      </c>
      <c r="P2794" s="604" t="s">
        <v>484</v>
      </c>
      <c r="Q2794" s="499"/>
    </row>
    <row r="2795" spans="9:17">
      <c r="I2795" s="578" t="str">
        <f t="shared" si="189"/>
        <v>2001bwtUnknownNeo</v>
      </c>
      <c r="J2795" s="604">
        <v>2001</v>
      </c>
      <c r="K2795" s="604" t="s">
        <v>447</v>
      </c>
      <c r="L2795" s="604" t="s">
        <v>63</v>
      </c>
      <c r="M2795" s="604">
        <v>1</v>
      </c>
      <c r="N2795" s="604">
        <v>103</v>
      </c>
      <c r="O2795" s="604" t="s">
        <v>119</v>
      </c>
      <c r="P2795" s="604" t="s">
        <v>484</v>
      </c>
      <c r="Q2795" s="499"/>
    </row>
    <row r="2796" spans="9:17">
      <c r="I2796" s="578" t="str">
        <f t="shared" si="189"/>
        <v>2002bwt&lt;500Neo</v>
      </c>
      <c r="J2796" s="604">
        <v>2002</v>
      </c>
      <c r="K2796" s="604" t="s">
        <v>447</v>
      </c>
      <c r="L2796" s="604" t="s">
        <v>427</v>
      </c>
      <c r="M2796" s="604">
        <v>55</v>
      </c>
      <c r="N2796" s="604">
        <v>67</v>
      </c>
      <c r="O2796" s="604">
        <v>820.9</v>
      </c>
      <c r="P2796" s="604" t="s">
        <v>484</v>
      </c>
      <c r="Q2796" s="499"/>
    </row>
    <row r="2797" spans="9:17">
      <c r="I2797" s="578" t="str">
        <f t="shared" si="189"/>
        <v>2002bwt500-999Neo</v>
      </c>
      <c r="J2797" s="604">
        <v>2002</v>
      </c>
      <c r="K2797" s="604" t="s">
        <v>447</v>
      </c>
      <c r="L2797" s="604" t="s">
        <v>428</v>
      </c>
      <c r="M2797" s="604">
        <v>74</v>
      </c>
      <c r="N2797" s="604">
        <v>271</v>
      </c>
      <c r="O2797" s="604">
        <v>273.10000000000002</v>
      </c>
      <c r="P2797" s="604" t="s">
        <v>484</v>
      </c>
      <c r="Q2797" s="499"/>
    </row>
    <row r="2798" spans="9:17">
      <c r="I2798" s="578" t="str">
        <f t="shared" si="189"/>
        <v>2002bwt1000-1499Neo</v>
      </c>
      <c r="J2798" s="604">
        <v>2002</v>
      </c>
      <c r="K2798" s="604" t="s">
        <v>447</v>
      </c>
      <c r="L2798" s="604" t="s">
        <v>429</v>
      </c>
      <c r="M2798" s="604">
        <v>15</v>
      </c>
      <c r="N2798" s="604">
        <v>357</v>
      </c>
      <c r="O2798" s="604">
        <v>42</v>
      </c>
      <c r="P2798" s="604" t="s">
        <v>484</v>
      </c>
      <c r="Q2798" s="499"/>
    </row>
    <row r="2799" spans="9:17">
      <c r="I2799" s="578" t="str">
        <f t="shared" si="189"/>
        <v>2002bwt1500-2499Neo</v>
      </c>
      <c r="J2799" s="604">
        <v>2002</v>
      </c>
      <c r="K2799" s="604" t="s">
        <v>447</v>
      </c>
      <c r="L2799" s="604" t="s">
        <v>430</v>
      </c>
      <c r="M2799" s="604">
        <v>16</v>
      </c>
      <c r="N2799" s="604">
        <v>2842</v>
      </c>
      <c r="O2799" s="604">
        <v>5.6</v>
      </c>
      <c r="P2799" s="604" t="s">
        <v>484</v>
      </c>
      <c r="Q2799" s="499"/>
    </row>
    <row r="2800" spans="9:17">
      <c r="I2800" s="578" t="str">
        <f t="shared" si="189"/>
        <v>2002bwt2500-4499Neo</v>
      </c>
      <c r="J2800" s="604">
        <v>2002</v>
      </c>
      <c r="K2800" s="604" t="s">
        <v>447</v>
      </c>
      <c r="L2800" s="604" t="s">
        <v>431</v>
      </c>
      <c r="M2800" s="604">
        <v>54</v>
      </c>
      <c r="N2800" s="604">
        <v>49477</v>
      </c>
      <c r="O2800" s="604">
        <v>1.1000000000000001</v>
      </c>
      <c r="P2800" s="604" t="s">
        <v>484</v>
      </c>
      <c r="Q2800" s="499"/>
    </row>
    <row r="2801" spans="9:17">
      <c r="I2801" s="578" t="str">
        <f t="shared" si="189"/>
        <v>2002bwt4500+Neo</v>
      </c>
      <c r="J2801" s="604">
        <v>2002</v>
      </c>
      <c r="K2801" s="604" t="s">
        <v>447</v>
      </c>
      <c r="L2801" s="604" t="s">
        <v>432</v>
      </c>
      <c r="M2801" s="604">
        <v>2</v>
      </c>
      <c r="N2801" s="604">
        <v>1360</v>
      </c>
      <c r="O2801" s="604">
        <v>1.5</v>
      </c>
      <c r="P2801" s="604" t="s">
        <v>484</v>
      </c>
      <c r="Q2801" s="499"/>
    </row>
    <row r="2802" spans="9:17">
      <c r="I2802" s="578" t="str">
        <f t="shared" si="189"/>
        <v>2002bwtUnknownNeo</v>
      </c>
      <c r="J2802" s="604">
        <v>2002</v>
      </c>
      <c r="K2802" s="604" t="s">
        <v>447</v>
      </c>
      <c r="L2802" s="604" t="s">
        <v>63</v>
      </c>
      <c r="M2802" s="604">
        <v>5</v>
      </c>
      <c r="N2802" s="604">
        <v>141</v>
      </c>
      <c r="O2802" s="604" t="s">
        <v>119</v>
      </c>
      <c r="P2802" s="604" t="s">
        <v>484</v>
      </c>
      <c r="Q2802" s="499"/>
    </row>
    <row r="2803" spans="9:17">
      <c r="I2803" s="578" t="str">
        <f t="shared" si="189"/>
        <v>2003bwt&lt;500Neo</v>
      </c>
      <c r="J2803" s="604">
        <v>2003</v>
      </c>
      <c r="K2803" s="604" t="s">
        <v>447</v>
      </c>
      <c r="L2803" s="604" t="s">
        <v>427</v>
      </c>
      <c r="M2803" s="604">
        <v>37</v>
      </c>
      <c r="N2803" s="604">
        <v>48</v>
      </c>
      <c r="O2803" s="604">
        <v>770.8</v>
      </c>
      <c r="P2803" s="604" t="s">
        <v>484</v>
      </c>
      <c r="Q2803" s="499"/>
    </row>
    <row r="2804" spans="9:17">
      <c r="I2804" s="578" t="str">
        <f t="shared" si="189"/>
        <v>2003bwt500-999Neo</v>
      </c>
      <c r="J2804" s="604">
        <v>2003</v>
      </c>
      <c r="K2804" s="604" t="s">
        <v>447</v>
      </c>
      <c r="L2804" s="604" t="s">
        <v>428</v>
      </c>
      <c r="M2804" s="604">
        <v>57</v>
      </c>
      <c r="N2804" s="604">
        <v>237</v>
      </c>
      <c r="O2804" s="604">
        <v>240.5</v>
      </c>
      <c r="P2804" s="604" t="s">
        <v>484</v>
      </c>
      <c r="Q2804" s="499"/>
    </row>
    <row r="2805" spans="9:17">
      <c r="I2805" s="578" t="str">
        <f t="shared" si="189"/>
        <v>2003bwt1000-1499Neo</v>
      </c>
      <c r="J2805" s="604">
        <v>2003</v>
      </c>
      <c r="K2805" s="604" t="s">
        <v>447</v>
      </c>
      <c r="L2805" s="604" t="s">
        <v>429</v>
      </c>
      <c r="M2805" s="604">
        <v>14</v>
      </c>
      <c r="N2805" s="604">
        <v>380</v>
      </c>
      <c r="O2805" s="604">
        <v>36.799999999999997</v>
      </c>
      <c r="P2805" s="604" t="s">
        <v>484</v>
      </c>
      <c r="Q2805" s="499"/>
    </row>
    <row r="2806" spans="9:17">
      <c r="I2806" s="578" t="str">
        <f t="shared" si="189"/>
        <v>2003bwt1500-2499Neo</v>
      </c>
      <c r="J2806" s="604">
        <v>2003</v>
      </c>
      <c r="K2806" s="604" t="s">
        <v>447</v>
      </c>
      <c r="L2806" s="604" t="s">
        <v>430</v>
      </c>
      <c r="M2806" s="604">
        <v>25</v>
      </c>
      <c r="N2806" s="604">
        <v>2777</v>
      </c>
      <c r="O2806" s="604">
        <v>9</v>
      </c>
      <c r="P2806" s="604" t="s">
        <v>484</v>
      </c>
      <c r="Q2806" s="499"/>
    </row>
    <row r="2807" spans="9:17">
      <c r="I2807" s="578" t="str">
        <f t="shared" si="189"/>
        <v>2003bwt2500-4499Neo</v>
      </c>
      <c r="J2807" s="604">
        <v>2003</v>
      </c>
      <c r="K2807" s="604" t="s">
        <v>447</v>
      </c>
      <c r="L2807" s="604" t="s">
        <v>431</v>
      </c>
      <c r="M2807" s="604">
        <v>47</v>
      </c>
      <c r="N2807" s="604">
        <v>51534</v>
      </c>
      <c r="O2807" s="604">
        <v>0.9</v>
      </c>
      <c r="P2807" s="604" t="s">
        <v>484</v>
      </c>
      <c r="Q2807" s="499"/>
    </row>
    <row r="2808" spans="9:17">
      <c r="I2808" s="578" t="str">
        <f t="shared" si="189"/>
        <v>2003bwt4500+Neo</v>
      </c>
      <c r="J2808" s="604">
        <v>2003</v>
      </c>
      <c r="K2808" s="604" t="s">
        <v>447</v>
      </c>
      <c r="L2808" s="604" t="s">
        <v>432</v>
      </c>
      <c r="M2808" s="604">
        <v>3</v>
      </c>
      <c r="N2808" s="604">
        <v>1557</v>
      </c>
      <c r="O2808" s="604">
        <v>1.9</v>
      </c>
      <c r="P2808" s="604" t="s">
        <v>484</v>
      </c>
      <c r="Q2808" s="499"/>
    </row>
    <row r="2809" spans="9:17">
      <c r="I2809" s="578" t="str">
        <f t="shared" si="189"/>
        <v>2003bwtUnknownNeo</v>
      </c>
      <c r="J2809" s="604">
        <v>2003</v>
      </c>
      <c r="K2809" s="604" t="s">
        <v>447</v>
      </c>
      <c r="L2809" s="604" t="s">
        <v>63</v>
      </c>
      <c r="M2809" s="604">
        <v>1</v>
      </c>
      <c r="N2809" s="604">
        <v>43</v>
      </c>
      <c r="O2809" s="604" t="s">
        <v>119</v>
      </c>
      <c r="P2809" s="604" t="s">
        <v>484</v>
      </c>
      <c r="Q2809" s="499"/>
    </row>
    <row r="2810" spans="9:17">
      <c r="I2810" s="578" t="str">
        <f t="shared" si="189"/>
        <v>2004bwt&lt;500Neo</v>
      </c>
      <c r="J2810" s="604">
        <v>2004</v>
      </c>
      <c r="K2810" s="604" t="s">
        <v>447</v>
      </c>
      <c r="L2810" s="604" t="s">
        <v>427</v>
      </c>
      <c r="M2810" s="604">
        <v>48</v>
      </c>
      <c r="N2810" s="604">
        <v>60</v>
      </c>
      <c r="O2810" s="604">
        <v>800</v>
      </c>
      <c r="P2810" s="604" t="s">
        <v>484</v>
      </c>
      <c r="Q2810" s="499"/>
    </row>
    <row r="2811" spans="9:17">
      <c r="I2811" s="578" t="str">
        <f t="shared" si="189"/>
        <v>2004bwt500-999Neo</v>
      </c>
      <c r="J2811" s="604">
        <v>2004</v>
      </c>
      <c r="K2811" s="604" t="s">
        <v>447</v>
      </c>
      <c r="L2811" s="604" t="s">
        <v>428</v>
      </c>
      <c r="M2811" s="604">
        <v>58</v>
      </c>
      <c r="N2811" s="604">
        <v>218</v>
      </c>
      <c r="O2811" s="604">
        <v>266.10000000000002</v>
      </c>
      <c r="P2811" s="604" t="s">
        <v>484</v>
      </c>
      <c r="Q2811" s="499"/>
    </row>
    <row r="2812" spans="9:17">
      <c r="I2812" s="578" t="str">
        <f t="shared" si="189"/>
        <v>2004bwt1000-1499Neo</v>
      </c>
      <c r="J2812" s="604">
        <v>2004</v>
      </c>
      <c r="K2812" s="604" t="s">
        <v>447</v>
      </c>
      <c r="L2812" s="604" t="s">
        <v>429</v>
      </c>
      <c r="M2812" s="604">
        <v>12</v>
      </c>
      <c r="N2812" s="604">
        <v>360</v>
      </c>
      <c r="O2812" s="604">
        <v>33.299999999999997</v>
      </c>
      <c r="P2812" s="604" t="s">
        <v>484</v>
      </c>
      <c r="Q2812" s="499"/>
    </row>
    <row r="2813" spans="9:17">
      <c r="I2813" s="578" t="str">
        <f t="shared" si="189"/>
        <v>2004bwt1500-2499Neo</v>
      </c>
      <c r="J2813" s="604">
        <v>2004</v>
      </c>
      <c r="K2813" s="604" t="s">
        <v>447</v>
      </c>
      <c r="L2813" s="604" t="s">
        <v>430</v>
      </c>
      <c r="M2813" s="604">
        <v>20</v>
      </c>
      <c r="N2813" s="604">
        <v>2964</v>
      </c>
      <c r="O2813" s="604">
        <v>6.7</v>
      </c>
      <c r="P2813" s="604" t="s">
        <v>484</v>
      </c>
      <c r="Q2813" s="499"/>
    </row>
    <row r="2814" spans="9:17">
      <c r="I2814" s="578" t="str">
        <f t="shared" si="189"/>
        <v>2004bwt2500-4499Neo</v>
      </c>
      <c r="J2814" s="604">
        <v>2004</v>
      </c>
      <c r="K2814" s="604" t="s">
        <v>447</v>
      </c>
      <c r="L2814" s="604" t="s">
        <v>431</v>
      </c>
      <c r="M2814" s="604">
        <v>56</v>
      </c>
      <c r="N2814" s="604">
        <v>53449</v>
      </c>
      <c r="O2814" s="604">
        <v>1</v>
      </c>
      <c r="P2814" s="604" t="s">
        <v>484</v>
      </c>
      <c r="Q2814" s="499"/>
    </row>
    <row r="2815" spans="9:17">
      <c r="I2815" s="578" t="str">
        <f t="shared" si="189"/>
        <v>2004bwt4500+Neo</v>
      </c>
      <c r="J2815" s="604">
        <v>2004</v>
      </c>
      <c r="K2815" s="604" t="s">
        <v>447</v>
      </c>
      <c r="L2815" s="604" t="s">
        <v>432</v>
      </c>
      <c r="M2815" s="604">
        <v>0</v>
      </c>
      <c r="N2815" s="604">
        <v>1613</v>
      </c>
      <c r="O2815" s="604">
        <v>0</v>
      </c>
      <c r="P2815" s="604" t="s">
        <v>484</v>
      </c>
      <c r="Q2815" s="499"/>
    </row>
    <row r="2816" spans="9:17">
      <c r="I2816" s="578" t="str">
        <f t="shared" si="189"/>
        <v>2004bwtUnknownNeo</v>
      </c>
      <c r="J2816" s="604">
        <v>2004</v>
      </c>
      <c r="K2816" s="604" t="s">
        <v>447</v>
      </c>
      <c r="L2816" s="604" t="s">
        <v>63</v>
      </c>
      <c r="M2816" s="604">
        <v>3</v>
      </c>
      <c r="N2816" s="604">
        <v>59</v>
      </c>
      <c r="O2816" s="604" t="s">
        <v>119</v>
      </c>
      <c r="P2816" s="604" t="s">
        <v>484</v>
      </c>
      <c r="Q2816" s="499"/>
    </row>
    <row r="2817" spans="9:17">
      <c r="I2817" s="578" t="str">
        <f t="shared" si="189"/>
        <v>2005bwt&lt;500Neo</v>
      </c>
      <c r="J2817" s="604">
        <v>2005</v>
      </c>
      <c r="K2817" s="604" t="s">
        <v>447</v>
      </c>
      <c r="L2817" s="604" t="s">
        <v>427</v>
      </c>
      <c r="M2817" s="604">
        <v>31</v>
      </c>
      <c r="N2817" s="604">
        <v>46</v>
      </c>
      <c r="O2817" s="604">
        <v>673.9</v>
      </c>
      <c r="P2817" s="604" t="s">
        <v>484</v>
      </c>
      <c r="Q2817" s="499"/>
    </row>
    <row r="2818" spans="9:17">
      <c r="I2818" s="578" t="str">
        <f t="shared" si="189"/>
        <v>2005bwt500-999Neo</v>
      </c>
      <c r="J2818" s="604">
        <v>2005</v>
      </c>
      <c r="K2818" s="604" t="s">
        <v>447</v>
      </c>
      <c r="L2818" s="604" t="s">
        <v>428</v>
      </c>
      <c r="M2818" s="604">
        <v>60</v>
      </c>
      <c r="N2818" s="604">
        <v>232</v>
      </c>
      <c r="O2818" s="604">
        <v>258.60000000000002</v>
      </c>
      <c r="P2818" s="604" t="s">
        <v>484</v>
      </c>
      <c r="Q2818" s="499"/>
    </row>
    <row r="2819" spans="9:17">
      <c r="I2819" s="578" t="str">
        <f t="shared" si="189"/>
        <v>2005bwt1000-1499Neo</v>
      </c>
      <c r="J2819" s="604">
        <v>2005</v>
      </c>
      <c r="K2819" s="604" t="s">
        <v>447</v>
      </c>
      <c r="L2819" s="604" t="s">
        <v>429</v>
      </c>
      <c r="M2819" s="604">
        <v>10</v>
      </c>
      <c r="N2819" s="604">
        <v>361</v>
      </c>
      <c r="O2819" s="604">
        <v>27.7</v>
      </c>
      <c r="P2819" s="604" t="s">
        <v>484</v>
      </c>
      <c r="Q2819" s="499"/>
    </row>
    <row r="2820" spans="9:17">
      <c r="I2820" s="578" t="str">
        <f t="shared" ref="I2820:I2883" si="190">J2820&amp;K2820&amp;L2820&amp;P2820</f>
        <v>2005bwt1500-2499Neo</v>
      </c>
      <c r="J2820" s="604">
        <v>2005</v>
      </c>
      <c r="K2820" s="604" t="s">
        <v>447</v>
      </c>
      <c r="L2820" s="604" t="s">
        <v>430</v>
      </c>
      <c r="M2820" s="604">
        <v>28</v>
      </c>
      <c r="N2820" s="604">
        <v>2861</v>
      </c>
      <c r="O2820" s="604">
        <v>9.8000000000000007</v>
      </c>
      <c r="P2820" s="604" t="s">
        <v>484</v>
      </c>
      <c r="Q2820" s="499"/>
    </row>
    <row r="2821" spans="9:17">
      <c r="I2821" s="578" t="str">
        <f t="shared" si="190"/>
        <v>2005bwt2500-4499Neo</v>
      </c>
      <c r="J2821" s="604">
        <v>2005</v>
      </c>
      <c r="K2821" s="604" t="s">
        <v>447</v>
      </c>
      <c r="L2821" s="604" t="s">
        <v>431</v>
      </c>
      <c r="M2821" s="604">
        <v>49</v>
      </c>
      <c r="N2821" s="604">
        <v>53572</v>
      </c>
      <c r="O2821" s="604">
        <v>0.9</v>
      </c>
      <c r="P2821" s="604" t="s">
        <v>484</v>
      </c>
      <c r="Q2821" s="499"/>
    </row>
    <row r="2822" spans="9:17">
      <c r="I2822" s="578" t="str">
        <f t="shared" si="190"/>
        <v>2005bwt4500+Neo</v>
      </c>
      <c r="J2822" s="604">
        <v>2005</v>
      </c>
      <c r="K2822" s="604" t="s">
        <v>447</v>
      </c>
      <c r="L2822" s="604" t="s">
        <v>432</v>
      </c>
      <c r="M2822" s="604">
        <v>2</v>
      </c>
      <c r="N2822" s="604">
        <v>1607</v>
      </c>
      <c r="O2822" s="604">
        <v>1.2</v>
      </c>
      <c r="P2822" s="604" t="s">
        <v>484</v>
      </c>
      <c r="Q2822" s="499"/>
    </row>
    <row r="2823" spans="9:17">
      <c r="I2823" s="578" t="str">
        <f t="shared" si="190"/>
        <v>2005bwtUnknownNeo</v>
      </c>
      <c r="J2823" s="604">
        <v>2005</v>
      </c>
      <c r="K2823" s="604" t="s">
        <v>447</v>
      </c>
      <c r="L2823" s="604" t="s">
        <v>63</v>
      </c>
      <c r="M2823" s="604">
        <v>3</v>
      </c>
      <c r="N2823" s="604">
        <v>48</v>
      </c>
      <c r="O2823" s="604" t="s">
        <v>119</v>
      </c>
      <c r="P2823" s="604" t="s">
        <v>484</v>
      </c>
      <c r="Q2823" s="499"/>
    </row>
    <row r="2824" spans="9:17">
      <c r="I2824" s="578" t="str">
        <f t="shared" si="190"/>
        <v>2006bwt&lt;500Neo</v>
      </c>
      <c r="J2824" s="604">
        <v>2006</v>
      </c>
      <c r="K2824" s="604" t="s">
        <v>447</v>
      </c>
      <c r="L2824" s="604" t="s">
        <v>427</v>
      </c>
      <c r="M2824" s="604">
        <v>39</v>
      </c>
      <c r="N2824" s="604">
        <v>52</v>
      </c>
      <c r="O2824" s="604">
        <v>750</v>
      </c>
      <c r="P2824" s="604" t="s">
        <v>484</v>
      </c>
      <c r="Q2824" s="499"/>
    </row>
    <row r="2825" spans="9:17">
      <c r="I2825" s="578" t="str">
        <f t="shared" si="190"/>
        <v>2006bwt500-999Neo</v>
      </c>
      <c r="J2825" s="604">
        <v>2006</v>
      </c>
      <c r="K2825" s="604" t="s">
        <v>447</v>
      </c>
      <c r="L2825" s="604" t="s">
        <v>428</v>
      </c>
      <c r="M2825" s="604">
        <v>39</v>
      </c>
      <c r="N2825" s="604">
        <v>194</v>
      </c>
      <c r="O2825" s="604">
        <v>201</v>
      </c>
      <c r="P2825" s="604" t="s">
        <v>484</v>
      </c>
      <c r="Q2825" s="499"/>
    </row>
    <row r="2826" spans="9:17">
      <c r="I2826" s="578" t="str">
        <f t="shared" si="190"/>
        <v>2006bwt1000-1499Neo</v>
      </c>
      <c r="J2826" s="604">
        <v>2006</v>
      </c>
      <c r="K2826" s="604" t="s">
        <v>447</v>
      </c>
      <c r="L2826" s="604" t="s">
        <v>429</v>
      </c>
      <c r="M2826" s="604">
        <v>17</v>
      </c>
      <c r="N2826" s="604">
        <v>388</v>
      </c>
      <c r="O2826" s="604">
        <v>43.8</v>
      </c>
      <c r="P2826" s="604" t="s">
        <v>484</v>
      </c>
      <c r="Q2826" s="499"/>
    </row>
    <row r="2827" spans="9:17">
      <c r="I2827" s="578" t="str">
        <f t="shared" si="190"/>
        <v>2006bwt1500-2499Neo</v>
      </c>
      <c r="J2827" s="604">
        <v>2006</v>
      </c>
      <c r="K2827" s="604" t="s">
        <v>447</v>
      </c>
      <c r="L2827" s="604" t="s">
        <v>430</v>
      </c>
      <c r="M2827" s="604">
        <v>16</v>
      </c>
      <c r="N2827" s="604">
        <v>2871</v>
      </c>
      <c r="O2827" s="604">
        <v>5.6</v>
      </c>
      <c r="P2827" s="604" t="s">
        <v>484</v>
      </c>
      <c r="Q2827" s="499"/>
    </row>
    <row r="2828" spans="9:17">
      <c r="I2828" s="578" t="str">
        <f t="shared" si="190"/>
        <v>2006bwt2500-4499Neo</v>
      </c>
      <c r="J2828" s="604">
        <v>2006</v>
      </c>
      <c r="K2828" s="604" t="s">
        <v>447</v>
      </c>
      <c r="L2828" s="604" t="s">
        <v>431</v>
      </c>
      <c r="M2828" s="604">
        <v>47</v>
      </c>
      <c r="N2828" s="604">
        <v>55053</v>
      </c>
      <c r="O2828" s="604">
        <v>0.9</v>
      </c>
      <c r="P2828" s="604" t="s">
        <v>484</v>
      </c>
      <c r="Q2828" s="499"/>
    </row>
    <row r="2829" spans="9:17">
      <c r="I2829" s="578" t="str">
        <f t="shared" si="190"/>
        <v>2006bwt4500+Neo</v>
      </c>
      <c r="J2829" s="604">
        <v>2006</v>
      </c>
      <c r="K2829" s="604" t="s">
        <v>447</v>
      </c>
      <c r="L2829" s="604" t="s">
        <v>432</v>
      </c>
      <c r="M2829" s="604">
        <v>1</v>
      </c>
      <c r="N2829" s="604">
        <v>1645</v>
      </c>
      <c r="O2829" s="604">
        <v>0.6</v>
      </c>
      <c r="P2829" s="604" t="s">
        <v>484</v>
      </c>
      <c r="Q2829" s="499"/>
    </row>
    <row r="2830" spans="9:17">
      <c r="I2830" s="578" t="str">
        <f t="shared" si="190"/>
        <v>2006bwtUnknownNeo</v>
      </c>
      <c r="J2830" s="604">
        <v>2006</v>
      </c>
      <c r="K2830" s="604" t="s">
        <v>447</v>
      </c>
      <c r="L2830" s="604" t="s">
        <v>63</v>
      </c>
      <c r="M2830" s="604">
        <v>6</v>
      </c>
      <c r="N2830" s="604">
        <v>71</v>
      </c>
      <c r="O2830" s="604" t="s">
        <v>119</v>
      </c>
      <c r="P2830" s="604" t="s">
        <v>484</v>
      </c>
      <c r="Q2830" s="499"/>
    </row>
    <row r="2831" spans="9:17">
      <c r="I2831" s="578" t="str">
        <f t="shared" si="190"/>
        <v>2007bwt&lt;500Neo</v>
      </c>
      <c r="J2831" s="604">
        <v>2007</v>
      </c>
      <c r="K2831" s="604" t="s">
        <v>447</v>
      </c>
      <c r="L2831" s="604" t="s">
        <v>427</v>
      </c>
      <c r="M2831" s="604">
        <v>33</v>
      </c>
      <c r="N2831" s="604">
        <v>49</v>
      </c>
      <c r="O2831" s="604">
        <v>673.5</v>
      </c>
      <c r="P2831" s="604" t="s">
        <v>484</v>
      </c>
      <c r="Q2831" s="499"/>
    </row>
    <row r="2832" spans="9:17">
      <c r="I2832" s="578" t="str">
        <f t="shared" si="190"/>
        <v>2007bwt500-999Neo</v>
      </c>
      <c r="J2832" s="604">
        <v>2007</v>
      </c>
      <c r="K2832" s="604" t="s">
        <v>447</v>
      </c>
      <c r="L2832" s="604" t="s">
        <v>428</v>
      </c>
      <c r="M2832" s="604">
        <v>52</v>
      </c>
      <c r="N2832" s="604">
        <v>239</v>
      </c>
      <c r="O2832" s="604">
        <v>217.6</v>
      </c>
      <c r="P2832" s="604" t="s">
        <v>484</v>
      </c>
      <c r="Q2832" s="499"/>
    </row>
    <row r="2833" spans="9:17">
      <c r="I2833" s="578" t="str">
        <f t="shared" si="190"/>
        <v>2007bwt1000-1499Neo</v>
      </c>
      <c r="J2833" s="604">
        <v>2007</v>
      </c>
      <c r="K2833" s="604" t="s">
        <v>447</v>
      </c>
      <c r="L2833" s="604" t="s">
        <v>429</v>
      </c>
      <c r="M2833" s="604">
        <v>7</v>
      </c>
      <c r="N2833" s="604">
        <v>396</v>
      </c>
      <c r="O2833" s="604">
        <v>17.7</v>
      </c>
      <c r="P2833" s="604" t="s">
        <v>484</v>
      </c>
      <c r="Q2833" s="499"/>
    </row>
    <row r="2834" spans="9:17">
      <c r="I2834" s="578" t="str">
        <f t="shared" si="190"/>
        <v>2007bwt1500-2499Neo</v>
      </c>
      <c r="J2834" s="604">
        <v>2007</v>
      </c>
      <c r="K2834" s="604" t="s">
        <v>447</v>
      </c>
      <c r="L2834" s="604" t="s">
        <v>430</v>
      </c>
      <c r="M2834" s="604">
        <v>17</v>
      </c>
      <c r="N2834" s="604">
        <v>3138</v>
      </c>
      <c r="O2834" s="604">
        <v>5.4</v>
      </c>
      <c r="P2834" s="604" t="s">
        <v>484</v>
      </c>
      <c r="Q2834" s="499"/>
    </row>
    <row r="2835" spans="9:17">
      <c r="I2835" s="578" t="str">
        <f t="shared" si="190"/>
        <v>2007bwt2500-4499Neo</v>
      </c>
      <c r="J2835" s="604">
        <v>2007</v>
      </c>
      <c r="K2835" s="604" t="s">
        <v>447</v>
      </c>
      <c r="L2835" s="604" t="s">
        <v>431</v>
      </c>
      <c r="M2835" s="604">
        <v>50</v>
      </c>
      <c r="N2835" s="604">
        <v>59406</v>
      </c>
      <c r="O2835" s="604">
        <v>0.8</v>
      </c>
      <c r="P2835" s="604" t="s">
        <v>484</v>
      </c>
      <c r="Q2835" s="499"/>
    </row>
    <row r="2836" spans="9:17">
      <c r="I2836" s="578" t="str">
        <f t="shared" si="190"/>
        <v>2007bwt4500+Neo</v>
      </c>
      <c r="J2836" s="604">
        <v>2007</v>
      </c>
      <c r="K2836" s="604" t="s">
        <v>447</v>
      </c>
      <c r="L2836" s="604" t="s">
        <v>432</v>
      </c>
      <c r="M2836" s="604">
        <v>2</v>
      </c>
      <c r="N2836" s="604">
        <v>1833</v>
      </c>
      <c r="O2836" s="604">
        <v>1.1000000000000001</v>
      </c>
      <c r="P2836" s="604" t="s">
        <v>484</v>
      </c>
      <c r="Q2836" s="499"/>
    </row>
    <row r="2837" spans="9:17">
      <c r="I2837" s="578" t="str">
        <f t="shared" si="190"/>
        <v>2007bwtUnknownNeo</v>
      </c>
      <c r="J2837" s="604">
        <v>2007</v>
      </c>
      <c r="K2837" s="604" t="s">
        <v>447</v>
      </c>
      <c r="L2837" s="604" t="s">
        <v>63</v>
      </c>
      <c r="M2837" s="604">
        <v>5</v>
      </c>
      <c r="N2837" s="604">
        <v>60</v>
      </c>
      <c r="O2837" s="604" t="s">
        <v>119</v>
      </c>
      <c r="P2837" s="604" t="s">
        <v>484</v>
      </c>
      <c r="Q2837" s="499"/>
    </row>
    <row r="2838" spans="9:17">
      <c r="I2838" s="578" t="str">
        <f t="shared" si="190"/>
        <v>2008bwt&lt;500Neo</v>
      </c>
      <c r="J2838" s="604">
        <v>2008</v>
      </c>
      <c r="K2838" s="604" t="s">
        <v>447</v>
      </c>
      <c r="L2838" s="604" t="s">
        <v>427</v>
      </c>
      <c r="M2838" s="604">
        <v>38</v>
      </c>
      <c r="N2838" s="604">
        <v>65</v>
      </c>
      <c r="O2838" s="604">
        <v>584.6</v>
      </c>
      <c r="P2838" s="604" t="s">
        <v>484</v>
      </c>
      <c r="Q2838" s="499"/>
    </row>
    <row r="2839" spans="9:17">
      <c r="I2839" s="578" t="str">
        <f t="shared" si="190"/>
        <v>2008bwt500-999Neo</v>
      </c>
      <c r="J2839" s="604">
        <v>2008</v>
      </c>
      <c r="K2839" s="604" t="s">
        <v>447</v>
      </c>
      <c r="L2839" s="604" t="s">
        <v>428</v>
      </c>
      <c r="M2839" s="604">
        <v>48</v>
      </c>
      <c r="N2839" s="604">
        <v>208</v>
      </c>
      <c r="O2839" s="604">
        <v>230.8</v>
      </c>
      <c r="P2839" s="604" t="s">
        <v>484</v>
      </c>
      <c r="Q2839" s="499"/>
    </row>
    <row r="2840" spans="9:17">
      <c r="I2840" s="578" t="str">
        <f t="shared" si="190"/>
        <v>2008bwt1000-1499Neo</v>
      </c>
      <c r="J2840" s="604">
        <v>2008</v>
      </c>
      <c r="K2840" s="604" t="s">
        <v>447</v>
      </c>
      <c r="L2840" s="604" t="s">
        <v>429</v>
      </c>
      <c r="M2840" s="604">
        <v>18</v>
      </c>
      <c r="N2840" s="604">
        <v>390</v>
      </c>
      <c r="O2840" s="604">
        <v>46.2</v>
      </c>
      <c r="P2840" s="604" t="s">
        <v>484</v>
      </c>
      <c r="Q2840" s="499"/>
    </row>
    <row r="2841" spans="9:17">
      <c r="I2841" s="578" t="str">
        <f t="shared" si="190"/>
        <v>2008bwt1500-2499Neo</v>
      </c>
      <c r="J2841" s="604">
        <v>2008</v>
      </c>
      <c r="K2841" s="604" t="s">
        <v>447</v>
      </c>
      <c r="L2841" s="604" t="s">
        <v>430</v>
      </c>
      <c r="M2841" s="604">
        <v>21</v>
      </c>
      <c r="N2841" s="604">
        <v>3187</v>
      </c>
      <c r="O2841" s="604">
        <v>6.6</v>
      </c>
      <c r="P2841" s="604" t="s">
        <v>484</v>
      </c>
      <c r="Q2841" s="499"/>
    </row>
    <row r="2842" spans="9:17">
      <c r="I2842" s="578" t="str">
        <f t="shared" si="190"/>
        <v>2008bwt2500-4499Neo</v>
      </c>
      <c r="J2842" s="604">
        <v>2008</v>
      </c>
      <c r="K2842" s="604" t="s">
        <v>447</v>
      </c>
      <c r="L2842" s="604" t="s">
        <v>431</v>
      </c>
      <c r="M2842" s="604">
        <v>50</v>
      </c>
      <c r="N2842" s="604">
        <v>59536</v>
      </c>
      <c r="O2842" s="604">
        <v>0.8</v>
      </c>
      <c r="P2842" s="604" t="s">
        <v>484</v>
      </c>
      <c r="Q2842" s="499"/>
    </row>
    <row r="2843" spans="9:17">
      <c r="I2843" s="578" t="str">
        <f t="shared" si="190"/>
        <v>2008bwt4500+Neo</v>
      </c>
      <c r="J2843" s="604">
        <v>2008</v>
      </c>
      <c r="K2843" s="604" t="s">
        <v>447</v>
      </c>
      <c r="L2843" s="604" t="s">
        <v>432</v>
      </c>
      <c r="M2843" s="604">
        <v>2</v>
      </c>
      <c r="N2843" s="604">
        <v>1862</v>
      </c>
      <c r="O2843" s="604">
        <v>1.1000000000000001</v>
      </c>
      <c r="P2843" s="604" t="s">
        <v>484</v>
      </c>
      <c r="Q2843" s="499"/>
    </row>
    <row r="2844" spans="9:17">
      <c r="I2844" s="578" t="str">
        <f t="shared" si="190"/>
        <v>2008bwtUnknownNeo</v>
      </c>
      <c r="J2844" s="604">
        <v>2008</v>
      </c>
      <c r="K2844" s="604" t="s">
        <v>447</v>
      </c>
      <c r="L2844" s="604" t="s">
        <v>63</v>
      </c>
      <c r="M2844" s="604">
        <v>10</v>
      </c>
      <c r="N2844" s="604">
        <v>85</v>
      </c>
      <c r="O2844" s="604" t="s">
        <v>119</v>
      </c>
      <c r="P2844" s="604" t="s">
        <v>484</v>
      </c>
      <c r="Q2844" s="499"/>
    </row>
    <row r="2845" spans="9:17">
      <c r="I2845" s="578" t="str">
        <f t="shared" si="190"/>
        <v>2009bwt&lt;500Neo</v>
      </c>
      <c r="J2845" s="604">
        <v>2009</v>
      </c>
      <c r="K2845" s="604" t="s">
        <v>447</v>
      </c>
      <c r="L2845" s="604" t="s">
        <v>427</v>
      </c>
      <c r="M2845" s="604">
        <v>43</v>
      </c>
      <c r="N2845" s="604">
        <v>60</v>
      </c>
      <c r="O2845" s="604">
        <v>716.7</v>
      </c>
      <c r="P2845" s="604" t="s">
        <v>484</v>
      </c>
      <c r="Q2845" s="499"/>
    </row>
    <row r="2846" spans="9:17">
      <c r="I2846" s="578" t="str">
        <f t="shared" si="190"/>
        <v>2009bwt500-999Neo</v>
      </c>
      <c r="J2846" s="604">
        <v>2009</v>
      </c>
      <c r="K2846" s="604" t="s">
        <v>447</v>
      </c>
      <c r="L2846" s="604" t="s">
        <v>428</v>
      </c>
      <c r="M2846" s="604">
        <v>63</v>
      </c>
      <c r="N2846" s="604">
        <v>233</v>
      </c>
      <c r="O2846" s="604">
        <v>270.39999999999998</v>
      </c>
      <c r="P2846" s="604" t="s">
        <v>484</v>
      </c>
      <c r="Q2846" s="499"/>
    </row>
    <row r="2847" spans="9:17">
      <c r="I2847" s="578" t="str">
        <f t="shared" si="190"/>
        <v>2009bwt1000-1499Neo</v>
      </c>
      <c r="J2847" s="604">
        <v>2009</v>
      </c>
      <c r="K2847" s="604" t="s">
        <v>447</v>
      </c>
      <c r="L2847" s="604" t="s">
        <v>429</v>
      </c>
      <c r="M2847" s="604">
        <v>10</v>
      </c>
      <c r="N2847" s="604">
        <v>379</v>
      </c>
      <c r="O2847" s="604">
        <v>26.4</v>
      </c>
      <c r="P2847" s="604" t="s">
        <v>484</v>
      </c>
      <c r="Q2847" s="499"/>
    </row>
    <row r="2848" spans="9:17">
      <c r="I2848" s="578" t="str">
        <f t="shared" si="190"/>
        <v>2009bwt1500-2499Neo</v>
      </c>
      <c r="J2848" s="604">
        <v>2009</v>
      </c>
      <c r="K2848" s="604" t="s">
        <v>447</v>
      </c>
      <c r="L2848" s="604" t="s">
        <v>430</v>
      </c>
      <c r="M2848" s="604">
        <v>21</v>
      </c>
      <c r="N2848" s="604">
        <v>3050</v>
      </c>
      <c r="O2848" s="604">
        <v>6.9</v>
      </c>
      <c r="P2848" s="604" t="s">
        <v>484</v>
      </c>
      <c r="Q2848" s="499"/>
    </row>
    <row r="2849" spans="9:17">
      <c r="I2849" s="578" t="str">
        <f t="shared" si="190"/>
        <v>2009bwt2500-4499Neo</v>
      </c>
      <c r="J2849" s="604">
        <v>2009</v>
      </c>
      <c r="K2849" s="604" t="s">
        <v>447</v>
      </c>
      <c r="L2849" s="604" t="s">
        <v>431</v>
      </c>
      <c r="M2849" s="604">
        <v>56</v>
      </c>
      <c r="N2849" s="604">
        <v>57781</v>
      </c>
      <c r="O2849" s="604">
        <v>1</v>
      </c>
      <c r="P2849" s="604" t="s">
        <v>484</v>
      </c>
      <c r="Q2849" s="499"/>
    </row>
    <row r="2850" spans="9:17">
      <c r="I2850" s="578" t="str">
        <f t="shared" si="190"/>
        <v>2009bwt4500+Neo</v>
      </c>
      <c r="J2850" s="604">
        <v>2009</v>
      </c>
      <c r="K2850" s="604" t="s">
        <v>447</v>
      </c>
      <c r="L2850" s="604" t="s">
        <v>432</v>
      </c>
      <c r="M2850" s="604">
        <v>3</v>
      </c>
      <c r="N2850" s="604">
        <v>1693</v>
      </c>
      <c r="O2850" s="604">
        <v>1.8</v>
      </c>
      <c r="P2850" s="604" t="s">
        <v>484</v>
      </c>
      <c r="Q2850" s="499"/>
    </row>
    <row r="2851" spans="9:17">
      <c r="I2851" s="578" t="str">
        <f t="shared" si="190"/>
        <v>2009bwtUnknownNeo</v>
      </c>
      <c r="J2851" s="604">
        <v>2009</v>
      </c>
      <c r="K2851" s="604" t="s">
        <v>447</v>
      </c>
      <c r="L2851" s="604" t="s">
        <v>63</v>
      </c>
      <c r="M2851" s="604">
        <v>1</v>
      </c>
      <c r="N2851" s="604">
        <v>89</v>
      </c>
      <c r="O2851" s="604" t="s">
        <v>119</v>
      </c>
      <c r="P2851" s="604" t="s">
        <v>484</v>
      </c>
      <c r="Q2851" s="499"/>
    </row>
    <row r="2852" spans="9:17">
      <c r="I2852" s="578" t="str">
        <f t="shared" si="190"/>
        <v>2010bwt&lt;500Neo</v>
      </c>
      <c r="J2852" s="604">
        <v>2010</v>
      </c>
      <c r="K2852" s="604" t="s">
        <v>447</v>
      </c>
      <c r="L2852" s="604" t="s">
        <v>427</v>
      </c>
      <c r="M2852" s="604">
        <v>60</v>
      </c>
      <c r="N2852" s="604">
        <v>69</v>
      </c>
      <c r="O2852" s="604">
        <v>869.6</v>
      </c>
      <c r="P2852" s="604" t="s">
        <v>484</v>
      </c>
      <c r="Q2852" s="499"/>
    </row>
    <row r="2853" spans="9:17">
      <c r="I2853" s="578" t="str">
        <f t="shared" si="190"/>
        <v>2010bwt500-999Neo</v>
      </c>
      <c r="J2853" s="604">
        <v>2010</v>
      </c>
      <c r="K2853" s="604" t="s">
        <v>447</v>
      </c>
      <c r="L2853" s="604" t="s">
        <v>428</v>
      </c>
      <c r="M2853" s="604">
        <v>66</v>
      </c>
      <c r="N2853" s="604">
        <v>230</v>
      </c>
      <c r="O2853" s="604">
        <v>287</v>
      </c>
      <c r="P2853" s="604" t="s">
        <v>484</v>
      </c>
      <c r="Q2853" s="499"/>
    </row>
    <row r="2854" spans="9:17">
      <c r="I2854" s="578" t="str">
        <f t="shared" si="190"/>
        <v>2010bwt1000-1499Neo</v>
      </c>
      <c r="J2854" s="604">
        <v>2010</v>
      </c>
      <c r="K2854" s="604" t="s">
        <v>447</v>
      </c>
      <c r="L2854" s="604" t="s">
        <v>429</v>
      </c>
      <c r="M2854" s="604">
        <v>11</v>
      </c>
      <c r="N2854" s="604">
        <v>377</v>
      </c>
      <c r="O2854" s="604">
        <v>29.2</v>
      </c>
      <c r="P2854" s="604" t="s">
        <v>484</v>
      </c>
      <c r="Q2854" s="499"/>
    </row>
    <row r="2855" spans="9:17">
      <c r="I2855" s="578" t="str">
        <f t="shared" si="190"/>
        <v>2010bwt1500-2499Neo</v>
      </c>
      <c r="J2855" s="604">
        <v>2010</v>
      </c>
      <c r="K2855" s="604" t="s">
        <v>447</v>
      </c>
      <c r="L2855" s="604" t="s">
        <v>430</v>
      </c>
      <c r="M2855" s="604">
        <v>25</v>
      </c>
      <c r="N2855" s="604">
        <v>3104</v>
      </c>
      <c r="O2855" s="604">
        <v>8.1</v>
      </c>
      <c r="P2855" s="604" t="s">
        <v>484</v>
      </c>
      <c r="Q2855" s="499"/>
    </row>
    <row r="2856" spans="9:17">
      <c r="I2856" s="578" t="str">
        <f t="shared" si="190"/>
        <v>2010bwt2500-4499Neo</v>
      </c>
      <c r="J2856" s="604">
        <v>2010</v>
      </c>
      <c r="K2856" s="604" t="s">
        <v>447</v>
      </c>
      <c r="L2856" s="604" t="s">
        <v>431</v>
      </c>
      <c r="M2856" s="604">
        <v>58</v>
      </c>
      <c r="N2856" s="604">
        <v>59190</v>
      </c>
      <c r="O2856" s="604">
        <v>1</v>
      </c>
      <c r="P2856" s="604" t="s">
        <v>484</v>
      </c>
      <c r="Q2856" s="499"/>
    </row>
    <row r="2857" spans="9:17">
      <c r="I2857" s="578" t="str">
        <f t="shared" si="190"/>
        <v>2010bwt4500+Neo</v>
      </c>
      <c r="J2857" s="604">
        <v>2010</v>
      </c>
      <c r="K2857" s="604" t="s">
        <v>447</v>
      </c>
      <c r="L2857" s="604" t="s">
        <v>432</v>
      </c>
      <c r="M2857" s="604">
        <v>0</v>
      </c>
      <c r="N2857" s="604">
        <v>1673</v>
      </c>
      <c r="O2857" s="604">
        <v>0</v>
      </c>
      <c r="P2857" s="604" t="s">
        <v>484</v>
      </c>
      <c r="Q2857" s="499"/>
    </row>
    <row r="2858" spans="9:17">
      <c r="I2858" s="578" t="str">
        <f t="shared" si="190"/>
        <v>2010bwtUnknownNeo</v>
      </c>
      <c r="J2858" s="604">
        <v>2010</v>
      </c>
      <c r="K2858" s="604" t="s">
        <v>447</v>
      </c>
      <c r="L2858" s="604" t="s">
        <v>63</v>
      </c>
      <c r="M2858" s="604">
        <v>14</v>
      </c>
      <c r="N2858" s="604">
        <v>56</v>
      </c>
      <c r="O2858" s="604" t="s">
        <v>119</v>
      </c>
      <c r="P2858" s="604" t="s">
        <v>484</v>
      </c>
      <c r="Q2858" s="499"/>
    </row>
    <row r="2859" spans="9:17">
      <c r="I2859" s="578" t="str">
        <f t="shared" si="190"/>
        <v>2011bwt&lt;500Neo</v>
      </c>
      <c r="J2859" s="604">
        <v>2011</v>
      </c>
      <c r="K2859" s="604" t="s">
        <v>447</v>
      </c>
      <c r="L2859" s="604" t="s">
        <v>427</v>
      </c>
      <c r="M2859" s="604">
        <v>59</v>
      </c>
      <c r="N2859" s="604">
        <v>63</v>
      </c>
      <c r="O2859" s="604">
        <v>936.5</v>
      </c>
      <c r="P2859" s="604" t="s">
        <v>484</v>
      </c>
      <c r="Q2859" s="499"/>
    </row>
    <row r="2860" spans="9:17">
      <c r="I2860" s="578" t="str">
        <f t="shared" si="190"/>
        <v>2011bwt500-999Neo</v>
      </c>
      <c r="J2860" s="604">
        <v>2011</v>
      </c>
      <c r="K2860" s="604" t="s">
        <v>447</v>
      </c>
      <c r="L2860" s="604" t="s">
        <v>428</v>
      </c>
      <c r="M2860" s="604">
        <v>50</v>
      </c>
      <c r="N2860" s="604">
        <v>209</v>
      </c>
      <c r="O2860" s="604">
        <v>239.2</v>
      </c>
      <c r="P2860" s="604" t="s">
        <v>484</v>
      </c>
      <c r="Q2860" s="499"/>
    </row>
    <row r="2861" spans="9:17">
      <c r="I2861" s="578" t="str">
        <f t="shared" si="190"/>
        <v>2011bwt1000-1499Neo</v>
      </c>
      <c r="J2861" s="604">
        <v>2011</v>
      </c>
      <c r="K2861" s="604" t="s">
        <v>447</v>
      </c>
      <c r="L2861" s="604" t="s">
        <v>429</v>
      </c>
      <c r="M2861" s="604">
        <v>13</v>
      </c>
      <c r="N2861" s="604">
        <v>327</v>
      </c>
      <c r="O2861" s="604">
        <v>39.799999999999997</v>
      </c>
      <c r="P2861" s="604" t="s">
        <v>484</v>
      </c>
      <c r="Q2861" s="499"/>
    </row>
    <row r="2862" spans="9:17">
      <c r="I2862" s="578" t="str">
        <f t="shared" si="190"/>
        <v>2011bwt1500-2499Neo</v>
      </c>
      <c r="J2862" s="604">
        <v>2011</v>
      </c>
      <c r="K2862" s="604" t="s">
        <v>447</v>
      </c>
      <c r="L2862" s="604" t="s">
        <v>430</v>
      </c>
      <c r="M2862" s="604">
        <v>27</v>
      </c>
      <c r="N2862" s="604">
        <v>3086</v>
      </c>
      <c r="O2862" s="604">
        <v>8.6999999999999993</v>
      </c>
      <c r="P2862" s="604" t="s">
        <v>484</v>
      </c>
      <c r="Q2862" s="499"/>
    </row>
    <row r="2863" spans="9:17">
      <c r="I2863" s="578" t="str">
        <f t="shared" si="190"/>
        <v>2011bwt2500-4499Neo</v>
      </c>
      <c r="J2863" s="604">
        <v>2011</v>
      </c>
      <c r="K2863" s="604" t="s">
        <v>447</v>
      </c>
      <c r="L2863" s="604" t="s">
        <v>431</v>
      </c>
      <c r="M2863" s="604">
        <v>44</v>
      </c>
      <c r="N2863" s="604">
        <v>56859</v>
      </c>
      <c r="O2863" s="604">
        <v>0.8</v>
      </c>
      <c r="P2863" s="604" t="s">
        <v>484</v>
      </c>
      <c r="Q2863" s="499"/>
    </row>
    <row r="2864" spans="9:17">
      <c r="I2864" s="578" t="str">
        <f t="shared" si="190"/>
        <v>2011bwt4500+Neo</v>
      </c>
      <c r="J2864" s="604">
        <v>2011</v>
      </c>
      <c r="K2864" s="604" t="s">
        <v>447</v>
      </c>
      <c r="L2864" s="604" t="s">
        <v>432</v>
      </c>
      <c r="M2864" s="604">
        <v>2</v>
      </c>
      <c r="N2864" s="604">
        <v>1597</v>
      </c>
      <c r="O2864" s="604">
        <v>1.3</v>
      </c>
      <c r="P2864" s="604" t="s">
        <v>484</v>
      </c>
      <c r="Q2864" s="499"/>
    </row>
    <row r="2865" spans="9:17">
      <c r="I2865" s="578" t="str">
        <f t="shared" si="190"/>
        <v>2011bwtUnknownNeo</v>
      </c>
      <c r="J2865" s="604">
        <v>2011</v>
      </c>
      <c r="K2865" s="604" t="s">
        <v>447</v>
      </c>
      <c r="L2865" s="604" t="s">
        <v>63</v>
      </c>
      <c r="M2865" s="604">
        <v>2</v>
      </c>
      <c r="N2865" s="604">
        <v>33</v>
      </c>
      <c r="O2865" s="604" t="s">
        <v>119</v>
      </c>
      <c r="P2865" s="604" t="s">
        <v>484</v>
      </c>
      <c r="Q2865" s="499"/>
    </row>
    <row r="2866" spans="9:17">
      <c r="I2866" s="578" t="str">
        <f t="shared" si="190"/>
        <v>2012bwt&lt;500Neo</v>
      </c>
      <c r="J2866" s="604">
        <v>2012</v>
      </c>
      <c r="K2866" s="604" t="s">
        <v>447</v>
      </c>
      <c r="L2866" s="604" t="s">
        <v>427</v>
      </c>
      <c r="M2866" s="604">
        <v>49</v>
      </c>
      <c r="N2866" s="604">
        <v>72</v>
      </c>
      <c r="O2866" s="604">
        <v>680.6</v>
      </c>
      <c r="P2866" s="604" t="s">
        <v>484</v>
      </c>
      <c r="Q2866" s="499"/>
    </row>
    <row r="2867" spans="9:17">
      <c r="I2867" s="578" t="str">
        <f t="shared" si="190"/>
        <v>2012bwt500-999Neo</v>
      </c>
      <c r="J2867" s="604">
        <v>2012</v>
      </c>
      <c r="K2867" s="604" t="s">
        <v>447</v>
      </c>
      <c r="L2867" s="604" t="s">
        <v>428</v>
      </c>
      <c r="M2867" s="604">
        <v>67</v>
      </c>
      <c r="N2867" s="604">
        <v>219</v>
      </c>
      <c r="O2867" s="604">
        <v>305.89999999999998</v>
      </c>
      <c r="P2867" s="604" t="s">
        <v>484</v>
      </c>
      <c r="Q2867" s="499"/>
    </row>
    <row r="2868" spans="9:17">
      <c r="I2868" s="578" t="str">
        <f t="shared" si="190"/>
        <v>2012bwt1000-1499Neo</v>
      </c>
      <c r="J2868" s="604">
        <v>2012</v>
      </c>
      <c r="K2868" s="604" t="s">
        <v>447</v>
      </c>
      <c r="L2868" s="604" t="s">
        <v>429</v>
      </c>
      <c r="M2868" s="604">
        <v>14</v>
      </c>
      <c r="N2868" s="604">
        <v>356</v>
      </c>
      <c r="O2868" s="604">
        <v>39.299999999999997</v>
      </c>
      <c r="P2868" s="604" t="s">
        <v>484</v>
      </c>
      <c r="Q2868" s="499"/>
    </row>
    <row r="2869" spans="9:17">
      <c r="I2869" s="578" t="str">
        <f t="shared" si="190"/>
        <v>2012bwt1500-2499Neo</v>
      </c>
      <c r="J2869" s="604">
        <v>2012</v>
      </c>
      <c r="K2869" s="604" t="s">
        <v>447</v>
      </c>
      <c r="L2869" s="604" t="s">
        <v>430</v>
      </c>
      <c r="M2869" s="604">
        <v>19</v>
      </c>
      <c r="N2869" s="604">
        <v>3144</v>
      </c>
      <c r="O2869" s="604">
        <v>6</v>
      </c>
      <c r="P2869" s="604" t="s">
        <v>484</v>
      </c>
      <c r="Q2869" s="499"/>
    </row>
    <row r="2870" spans="9:17">
      <c r="I2870" s="578" t="str">
        <f t="shared" si="190"/>
        <v>2012bwt2500-4499Neo</v>
      </c>
      <c r="J2870" s="604">
        <v>2012</v>
      </c>
      <c r="K2870" s="604" t="s">
        <v>447</v>
      </c>
      <c r="L2870" s="604" t="s">
        <v>431</v>
      </c>
      <c r="M2870" s="604">
        <v>43</v>
      </c>
      <c r="N2870" s="604">
        <v>56574</v>
      </c>
      <c r="O2870" s="604">
        <v>0.8</v>
      </c>
      <c r="P2870" s="604" t="s">
        <v>484</v>
      </c>
      <c r="Q2870" s="499"/>
    </row>
    <row r="2871" spans="9:17">
      <c r="I2871" s="578" t="str">
        <f t="shared" si="190"/>
        <v>2012bwt4500+Neo</v>
      </c>
      <c r="J2871" s="604">
        <v>2012</v>
      </c>
      <c r="K2871" s="604" t="s">
        <v>447</v>
      </c>
      <c r="L2871" s="604" t="s">
        <v>432</v>
      </c>
      <c r="M2871" s="604">
        <v>1</v>
      </c>
      <c r="N2871" s="604">
        <v>1642</v>
      </c>
      <c r="O2871" s="604">
        <v>0.6</v>
      </c>
      <c r="P2871" s="604" t="s">
        <v>484</v>
      </c>
      <c r="Q2871" s="499"/>
    </row>
    <row r="2872" spans="9:17">
      <c r="I2872" s="578" t="str">
        <f t="shared" si="190"/>
        <v>2012bwtUnknownNeo</v>
      </c>
      <c r="J2872" s="604">
        <v>2012</v>
      </c>
      <c r="K2872" s="604" t="s">
        <v>447</v>
      </c>
      <c r="L2872" s="604" t="s">
        <v>63</v>
      </c>
      <c r="M2872" s="604">
        <v>1</v>
      </c>
      <c r="N2872" s="604">
        <v>28</v>
      </c>
      <c r="O2872" s="604" t="s">
        <v>119</v>
      </c>
      <c r="P2872" s="604" t="s">
        <v>484</v>
      </c>
      <c r="Q2872" s="499"/>
    </row>
    <row r="2873" spans="9:17">
      <c r="I2873" s="578" t="str">
        <f t="shared" si="190"/>
        <v>2013bwt&lt;500Neo</v>
      </c>
      <c r="J2873" s="604">
        <v>2013</v>
      </c>
      <c r="K2873" s="604" t="s">
        <v>447</v>
      </c>
      <c r="L2873" s="604" t="s">
        <v>427</v>
      </c>
      <c r="M2873" s="604">
        <v>58</v>
      </c>
      <c r="N2873" s="604">
        <v>65</v>
      </c>
      <c r="O2873" s="604">
        <v>892.3</v>
      </c>
      <c r="P2873" s="604" t="s">
        <v>484</v>
      </c>
      <c r="Q2873" s="499"/>
    </row>
    <row r="2874" spans="9:17">
      <c r="I2874" s="578" t="str">
        <f t="shared" si="190"/>
        <v>2013bwt500-999Neo</v>
      </c>
      <c r="J2874" s="604">
        <v>2013</v>
      </c>
      <c r="K2874" s="604" t="s">
        <v>447</v>
      </c>
      <c r="L2874" s="604" t="s">
        <v>428</v>
      </c>
      <c r="M2874" s="604">
        <v>59</v>
      </c>
      <c r="N2874" s="604">
        <v>216</v>
      </c>
      <c r="O2874" s="604">
        <v>273.10000000000002</v>
      </c>
      <c r="P2874" s="604" t="s">
        <v>484</v>
      </c>
      <c r="Q2874" s="499"/>
    </row>
    <row r="2875" spans="9:17">
      <c r="I2875" s="578" t="str">
        <f t="shared" si="190"/>
        <v>2013bwt1000-1499Neo</v>
      </c>
      <c r="J2875" s="604">
        <v>2013</v>
      </c>
      <c r="K2875" s="604" t="s">
        <v>447</v>
      </c>
      <c r="L2875" s="604" t="s">
        <v>429</v>
      </c>
      <c r="M2875" s="604">
        <v>9</v>
      </c>
      <c r="N2875" s="604">
        <v>317</v>
      </c>
      <c r="O2875" s="604">
        <v>28.4</v>
      </c>
      <c r="P2875" s="604" t="s">
        <v>484</v>
      </c>
      <c r="Q2875" s="499"/>
    </row>
    <row r="2876" spans="9:17">
      <c r="I2876" s="578" t="str">
        <f t="shared" si="190"/>
        <v>2013bwt1500-2499Neo</v>
      </c>
      <c r="J2876" s="604">
        <v>2013</v>
      </c>
      <c r="K2876" s="604" t="s">
        <v>447</v>
      </c>
      <c r="L2876" s="604" t="s">
        <v>430</v>
      </c>
      <c r="M2876" s="604">
        <v>24</v>
      </c>
      <c r="N2876" s="604">
        <v>2952</v>
      </c>
      <c r="O2876" s="604">
        <v>8.1</v>
      </c>
      <c r="P2876" s="604" t="s">
        <v>484</v>
      </c>
      <c r="Q2876" s="499"/>
    </row>
    <row r="2877" spans="9:17">
      <c r="I2877" s="578" t="str">
        <f t="shared" si="190"/>
        <v>2013bwt2500-4499Neo</v>
      </c>
      <c r="J2877" s="604">
        <v>2013</v>
      </c>
      <c r="K2877" s="604" t="s">
        <v>447</v>
      </c>
      <c r="L2877" s="604" t="s">
        <v>431</v>
      </c>
      <c r="M2877" s="604">
        <v>39</v>
      </c>
      <c r="N2877" s="604">
        <v>54612</v>
      </c>
      <c r="O2877" s="604">
        <v>0.7</v>
      </c>
      <c r="P2877" s="604" t="s">
        <v>484</v>
      </c>
      <c r="Q2877" s="499"/>
    </row>
    <row r="2878" spans="9:17">
      <c r="I2878" s="578" t="str">
        <f t="shared" si="190"/>
        <v>2013bwt4500+Neo</v>
      </c>
      <c r="J2878" s="604">
        <v>2013</v>
      </c>
      <c r="K2878" s="604" t="s">
        <v>447</v>
      </c>
      <c r="L2878" s="604" t="s">
        <v>432</v>
      </c>
      <c r="M2878" s="604">
        <v>2</v>
      </c>
      <c r="N2878" s="604">
        <v>1508</v>
      </c>
      <c r="O2878" s="604">
        <v>1.3</v>
      </c>
      <c r="P2878" s="604" t="s">
        <v>484</v>
      </c>
      <c r="Q2878" s="499"/>
    </row>
    <row r="2879" spans="9:17">
      <c r="I2879" s="578" t="str">
        <f t="shared" si="190"/>
        <v>2013bwtUnknownNeo</v>
      </c>
      <c r="J2879" s="604">
        <v>2013</v>
      </c>
      <c r="K2879" s="604" t="s">
        <v>447</v>
      </c>
      <c r="L2879" s="604" t="s">
        <v>63</v>
      </c>
      <c r="M2879" s="604">
        <v>7</v>
      </c>
      <c r="N2879" s="604">
        <v>31</v>
      </c>
      <c r="O2879" s="604" t="s">
        <v>119</v>
      </c>
      <c r="P2879" s="604" t="s">
        <v>484</v>
      </c>
      <c r="Q2879" s="499"/>
    </row>
    <row r="2880" spans="9:17">
      <c r="I2880" s="578" t="str">
        <f t="shared" si="190"/>
        <v>2014bwt&lt;500Neo</v>
      </c>
      <c r="J2880" s="604">
        <v>2014</v>
      </c>
      <c r="K2880" s="604" t="s">
        <v>447</v>
      </c>
      <c r="L2880" s="604" t="s">
        <v>427</v>
      </c>
      <c r="M2880" s="604">
        <v>79</v>
      </c>
      <c r="N2880" s="604">
        <v>95</v>
      </c>
      <c r="O2880" s="604">
        <v>831.6</v>
      </c>
      <c r="P2880" s="604" t="s">
        <v>484</v>
      </c>
      <c r="Q2880" s="499"/>
    </row>
    <row r="2881" spans="9:17">
      <c r="I2881" s="578" t="str">
        <f t="shared" si="190"/>
        <v>2014bwt500-999Neo</v>
      </c>
      <c r="J2881" s="604">
        <v>2014</v>
      </c>
      <c r="K2881" s="604" t="s">
        <v>447</v>
      </c>
      <c r="L2881" s="604" t="s">
        <v>428</v>
      </c>
      <c r="M2881" s="604">
        <v>64</v>
      </c>
      <c r="N2881" s="604">
        <v>215</v>
      </c>
      <c r="O2881" s="604">
        <v>297.7</v>
      </c>
      <c r="P2881" s="604" t="s">
        <v>484</v>
      </c>
      <c r="Q2881" s="499"/>
    </row>
    <row r="2882" spans="9:17">
      <c r="I2882" s="578" t="str">
        <f t="shared" si="190"/>
        <v>2014bwt1000-1499Neo</v>
      </c>
      <c r="J2882" s="604">
        <v>2014</v>
      </c>
      <c r="K2882" s="604" t="s">
        <v>447</v>
      </c>
      <c r="L2882" s="604" t="s">
        <v>429</v>
      </c>
      <c r="M2882" s="604">
        <v>9</v>
      </c>
      <c r="N2882" s="604">
        <v>312</v>
      </c>
      <c r="O2882" s="604">
        <v>28.8</v>
      </c>
      <c r="P2882" s="604" t="s">
        <v>484</v>
      </c>
      <c r="Q2882" s="499"/>
    </row>
    <row r="2883" spans="9:17">
      <c r="I2883" s="578" t="str">
        <f t="shared" si="190"/>
        <v>2014bwt1500-2499Neo</v>
      </c>
      <c r="J2883" s="604">
        <v>2014</v>
      </c>
      <c r="K2883" s="604" t="s">
        <v>447</v>
      </c>
      <c r="L2883" s="604" t="s">
        <v>430</v>
      </c>
      <c r="M2883" s="604">
        <v>26</v>
      </c>
      <c r="N2883" s="604">
        <v>2781</v>
      </c>
      <c r="O2883" s="604">
        <v>9.3000000000000007</v>
      </c>
      <c r="P2883" s="604" t="s">
        <v>484</v>
      </c>
      <c r="Q2883" s="499"/>
    </row>
    <row r="2884" spans="9:17">
      <c r="I2884" s="578" t="str">
        <f t="shared" ref="I2884:I2947" si="191">J2884&amp;K2884&amp;L2884&amp;P2884</f>
        <v>2014bwt2500-4499Neo</v>
      </c>
      <c r="J2884" s="604">
        <v>2014</v>
      </c>
      <c r="K2884" s="604" t="s">
        <v>447</v>
      </c>
      <c r="L2884" s="604" t="s">
        <v>431</v>
      </c>
      <c r="M2884" s="604">
        <v>41</v>
      </c>
      <c r="N2884" s="604">
        <v>53374</v>
      </c>
      <c r="O2884" s="604">
        <v>0.8</v>
      </c>
      <c r="P2884" s="604" t="s">
        <v>484</v>
      </c>
      <c r="Q2884" s="499"/>
    </row>
    <row r="2885" spans="9:17">
      <c r="I2885" s="578" t="str">
        <f t="shared" si="191"/>
        <v>2014bwt4500+Neo</v>
      </c>
      <c r="J2885" s="604">
        <v>2014</v>
      </c>
      <c r="K2885" s="604" t="s">
        <v>447</v>
      </c>
      <c r="L2885" s="604" t="s">
        <v>432</v>
      </c>
      <c r="M2885" s="604">
        <v>1</v>
      </c>
      <c r="N2885" s="604">
        <v>1481</v>
      </c>
      <c r="O2885" s="604">
        <v>0.7</v>
      </c>
      <c r="P2885" s="604" t="s">
        <v>484</v>
      </c>
      <c r="Q2885" s="499"/>
    </row>
    <row r="2886" spans="9:17">
      <c r="I2886" s="578" t="str">
        <f t="shared" si="191"/>
        <v>2014bwtUnknownNeo</v>
      </c>
      <c r="J2886" s="604">
        <v>2014</v>
      </c>
      <c r="K2886" s="604" t="s">
        <v>447</v>
      </c>
      <c r="L2886" s="604" t="s">
        <v>63</v>
      </c>
      <c r="M2886" s="604">
        <v>20</v>
      </c>
      <c r="N2886" s="604">
        <v>27</v>
      </c>
      <c r="O2886" s="604" t="s">
        <v>119</v>
      </c>
      <c r="P2886" s="604" t="s">
        <v>484</v>
      </c>
      <c r="Q2886" s="499"/>
    </row>
    <row r="2887" spans="9:17">
      <c r="I2887" s="578" t="str">
        <f t="shared" si="191"/>
        <v>2015bwt&lt;500Neo</v>
      </c>
      <c r="J2887" s="604">
        <v>2015</v>
      </c>
      <c r="K2887" s="604" t="s">
        <v>447</v>
      </c>
      <c r="L2887" s="604" t="s">
        <v>427</v>
      </c>
      <c r="M2887" s="604">
        <v>40</v>
      </c>
      <c r="N2887" s="604">
        <v>58</v>
      </c>
      <c r="O2887" s="604">
        <v>689.7</v>
      </c>
      <c r="P2887" s="604" t="s">
        <v>484</v>
      </c>
      <c r="Q2887" s="499"/>
    </row>
    <row r="2888" spans="9:17">
      <c r="I2888" s="578" t="str">
        <f t="shared" si="191"/>
        <v>2015bwt500-999Neo</v>
      </c>
      <c r="J2888" s="604">
        <v>2015</v>
      </c>
      <c r="K2888" s="604" t="s">
        <v>447</v>
      </c>
      <c r="L2888" s="604" t="s">
        <v>428</v>
      </c>
      <c r="M2888" s="604">
        <v>52</v>
      </c>
      <c r="N2888" s="604">
        <v>195</v>
      </c>
      <c r="O2888" s="604">
        <v>266.7</v>
      </c>
      <c r="P2888" s="604" t="s">
        <v>484</v>
      </c>
      <c r="Q2888" s="499"/>
    </row>
    <row r="2889" spans="9:17">
      <c r="I2889" s="578" t="str">
        <f t="shared" si="191"/>
        <v>2015bwt1000-1499Neo</v>
      </c>
      <c r="J2889" s="604">
        <v>2015</v>
      </c>
      <c r="K2889" s="604" t="s">
        <v>447</v>
      </c>
      <c r="L2889" s="604" t="s">
        <v>429</v>
      </c>
      <c r="M2889" s="604">
        <v>10</v>
      </c>
      <c r="N2889" s="604">
        <v>392</v>
      </c>
      <c r="O2889" s="604">
        <v>25.5</v>
      </c>
      <c r="P2889" s="604" t="s">
        <v>484</v>
      </c>
      <c r="Q2889" s="499"/>
    </row>
    <row r="2890" spans="9:17">
      <c r="I2890" s="578" t="str">
        <f t="shared" si="191"/>
        <v>2015bwt1500-2499Neo</v>
      </c>
      <c r="J2890" s="604">
        <v>2015</v>
      </c>
      <c r="K2890" s="604" t="s">
        <v>447</v>
      </c>
      <c r="L2890" s="604" t="s">
        <v>430</v>
      </c>
      <c r="M2890" s="604">
        <v>19</v>
      </c>
      <c r="N2890" s="604">
        <v>3014</v>
      </c>
      <c r="O2890" s="604">
        <v>6.3</v>
      </c>
      <c r="P2890" s="604" t="s">
        <v>484</v>
      </c>
      <c r="Q2890" s="499"/>
    </row>
    <row r="2891" spans="9:17">
      <c r="I2891" s="578" t="str">
        <f t="shared" si="191"/>
        <v>2015bwt2500-4499Neo</v>
      </c>
      <c r="J2891" s="604">
        <v>2015</v>
      </c>
      <c r="K2891" s="604" t="s">
        <v>447</v>
      </c>
      <c r="L2891" s="604" t="s">
        <v>431</v>
      </c>
      <c r="M2891" s="604">
        <v>45</v>
      </c>
      <c r="N2891" s="604">
        <v>57027</v>
      </c>
      <c r="O2891" s="604">
        <v>0.8</v>
      </c>
      <c r="P2891" s="604" t="s">
        <v>484</v>
      </c>
      <c r="Q2891" s="499"/>
    </row>
    <row r="2892" spans="9:17">
      <c r="I2892" s="578" t="str">
        <f t="shared" si="191"/>
        <v>2015bwt4500+Neo</v>
      </c>
      <c r="J2892" s="604">
        <v>2015</v>
      </c>
      <c r="K2892" s="604" t="s">
        <v>447</v>
      </c>
      <c r="L2892" s="604" t="s">
        <v>432</v>
      </c>
      <c r="M2892" s="604">
        <v>1</v>
      </c>
      <c r="N2892" s="604">
        <v>1390</v>
      </c>
      <c r="O2892" s="604">
        <v>0.7</v>
      </c>
      <c r="P2892" s="604" t="s">
        <v>484</v>
      </c>
      <c r="Q2892" s="499"/>
    </row>
    <row r="2893" spans="9:17">
      <c r="I2893" s="578" t="str">
        <f t="shared" si="191"/>
        <v>2015bwtUnknownNeo</v>
      </c>
      <c r="J2893" s="604">
        <v>2015</v>
      </c>
      <c r="K2893" s="604" t="s">
        <v>447</v>
      </c>
      <c r="L2893" s="604" t="s">
        <v>63</v>
      </c>
      <c r="M2893" s="604">
        <v>8</v>
      </c>
      <c r="N2893" s="604">
        <v>46</v>
      </c>
      <c r="O2893" s="604" t="s">
        <v>119</v>
      </c>
      <c r="P2893" s="604" t="s">
        <v>484</v>
      </c>
      <c r="Q2893" s="499"/>
    </row>
    <row r="2894" spans="9:17">
      <c r="I2894" s="578" t="str">
        <f t="shared" si="191"/>
        <v>2016bwt&lt;500Neo</v>
      </c>
      <c r="J2894" s="604">
        <v>2016</v>
      </c>
      <c r="K2894" s="604" t="s">
        <v>447</v>
      </c>
      <c r="L2894" s="604" t="s">
        <v>427</v>
      </c>
      <c r="M2894" s="604">
        <v>37</v>
      </c>
      <c r="N2894" s="604">
        <v>53</v>
      </c>
      <c r="O2894" s="604">
        <v>698.1</v>
      </c>
      <c r="P2894" s="604" t="s">
        <v>484</v>
      </c>
      <c r="Q2894" s="499"/>
    </row>
    <row r="2895" spans="9:17">
      <c r="I2895" s="578" t="str">
        <f t="shared" si="191"/>
        <v>2016bwt500-999Neo</v>
      </c>
      <c r="J2895" s="604">
        <v>2016</v>
      </c>
      <c r="K2895" s="604" t="s">
        <v>447</v>
      </c>
      <c r="L2895" s="604" t="s">
        <v>428</v>
      </c>
      <c r="M2895" s="604">
        <v>48</v>
      </c>
      <c r="N2895" s="604">
        <v>196</v>
      </c>
      <c r="O2895" s="604">
        <v>244.9</v>
      </c>
      <c r="P2895" s="604" t="s">
        <v>484</v>
      </c>
      <c r="Q2895" s="499"/>
    </row>
    <row r="2896" spans="9:17">
      <c r="I2896" s="578" t="str">
        <f t="shared" si="191"/>
        <v>2016bwt1000-1499Neo</v>
      </c>
      <c r="J2896" s="604">
        <v>2016</v>
      </c>
      <c r="K2896" s="604" t="s">
        <v>447</v>
      </c>
      <c r="L2896" s="604" t="s">
        <v>429</v>
      </c>
      <c r="M2896" s="604">
        <v>6</v>
      </c>
      <c r="N2896" s="604">
        <v>331</v>
      </c>
      <c r="O2896" s="604">
        <v>18.100000000000001</v>
      </c>
      <c r="P2896" s="604" t="s">
        <v>484</v>
      </c>
      <c r="Q2896" s="499"/>
    </row>
    <row r="2897" spans="9:17">
      <c r="I2897" s="578" t="str">
        <f t="shared" si="191"/>
        <v>2016bwt1500-2499Neo</v>
      </c>
      <c r="J2897" s="604">
        <v>2016</v>
      </c>
      <c r="K2897" s="604" t="s">
        <v>447</v>
      </c>
      <c r="L2897" s="604" t="s">
        <v>430</v>
      </c>
      <c r="M2897" s="604">
        <v>26</v>
      </c>
      <c r="N2897" s="604">
        <v>2991</v>
      </c>
      <c r="O2897" s="604">
        <v>8.6999999999999993</v>
      </c>
      <c r="P2897" s="604" t="s">
        <v>484</v>
      </c>
      <c r="Q2897" s="499"/>
    </row>
    <row r="2898" spans="9:17">
      <c r="I2898" s="578" t="str">
        <f t="shared" si="191"/>
        <v>2016bwt2500-4499Neo</v>
      </c>
      <c r="J2898" s="604">
        <v>2016</v>
      </c>
      <c r="K2898" s="604" t="s">
        <v>447</v>
      </c>
      <c r="L2898" s="604" t="s">
        <v>431</v>
      </c>
      <c r="M2898" s="604">
        <v>38</v>
      </c>
      <c r="N2898" s="604">
        <v>55407</v>
      </c>
      <c r="O2898" s="604">
        <v>0.7</v>
      </c>
      <c r="P2898" s="604" t="s">
        <v>484</v>
      </c>
      <c r="Q2898" s="499"/>
    </row>
    <row r="2899" spans="9:17">
      <c r="I2899" s="578" t="str">
        <f t="shared" si="191"/>
        <v>2016bwt4500+Neo</v>
      </c>
      <c r="J2899" s="604">
        <v>2016</v>
      </c>
      <c r="K2899" s="604" t="s">
        <v>447</v>
      </c>
      <c r="L2899" s="604" t="s">
        <v>432</v>
      </c>
      <c r="M2899" s="604">
        <v>0</v>
      </c>
      <c r="N2899" s="604">
        <v>1423</v>
      </c>
      <c r="O2899" s="604">
        <v>0</v>
      </c>
      <c r="P2899" s="604" t="s">
        <v>484</v>
      </c>
      <c r="Q2899" s="499"/>
    </row>
    <row r="2900" spans="9:17">
      <c r="I2900" s="578" t="str">
        <f t="shared" si="191"/>
        <v>2016bwtUnknownNeo</v>
      </c>
      <c r="J2900" s="604">
        <v>2016</v>
      </c>
      <c r="K2900" s="604" t="s">
        <v>447</v>
      </c>
      <c r="L2900" s="604" t="s">
        <v>63</v>
      </c>
      <c r="M2900" s="604">
        <v>6</v>
      </c>
      <c r="N2900" s="604">
        <v>35</v>
      </c>
      <c r="O2900" s="604" t="s">
        <v>119</v>
      </c>
      <c r="P2900" s="604" t="s">
        <v>484</v>
      </c>
      <c r="Q2900" s="499"/>
    </row>
    <row r="2901" spans="9:17">
      <c r="I2901" s="578" t="str">
        <f t="shared" si="191"/>
        <v>1996gest&lt;28Neo</v>
      </c>
      <c r="J2901" s="604">
        <v>1996</v>
      </c>
      <c r="K2901" s="604" t="s">
        <v>450</v>
      </c>
      <c r="L2901" s="604" t="s">
        <v>375</v>
      </c>
      <c r="M2901" s="604">
        <v>100</v>
      </c>
      <c r="N2901" s="604">
        <v>254</v>
      </c>
      <c r="O2901" s="604">
        <v>393.7</v>
      </c>
      <c r="P2901" s="604" t="s">
        <v>484</v>
      </c>
      <c r="Q2901" s="499"/>
    </row>
    <row r="2902" spans="9:17">
      <c r="I2902" s="578" t="str">
        <f t="shared" si="191"/>
        <v>1996gest28-31Neo</v>
      </c>
      <c r="J2902" s="604">
        <v>1996</v>
      </c>
      <c r="K2902" s="604" t="s">
        <v>450</v>
      </c>
      <c r="L2902" s="604" t="s">
        <v>395</v>
      </c>
      <c r="M2902" s="604">
        <v>19</v>
      </c>
      <c r="N2902" s="604">
        <v>461</v>
      </c>
      <c r="O2902" s="604">
        <v>41.2</v>
      </c>
      <c r="P2902" s="604" t="s">
        <v>484</v>
      </c>
      <c r="Q2902" s="499"/>
    </row>
    <row r="2903" spans="9:17">
      <c r="I2903" s="578" t="str">
        <f t="shared" si="191"/>
        <v>1996gest32-36Neo</v>
      </c>
      <c r="J2903" s="604">
        <v>1996</v>
      </c>
      <c r="K2903" s="604" t="s">
        <v>450</v>
      </c>
      <c r="L2903" s="604" t="s">
        <v>136</v>
      </c>
      <c r="M2903" s="604">
        <v>32</v>
      </c>
      <c r="N2903" s="604">
        <v>3265</v>
      </c>
      <c r="O2903" s="604">
        <v>9.8000000000000007</v>
      </c>
      <c r="P2903" s="604" t="s">
        <v>484</v>
      </c>
      <c r="Q2903" s="499"/>
    </row>
    <row r="2904" spans="9:17">
      <c r="I2904" s="578" t="str">
        <f t="shared" si="191"/>
        <v>1996gest37-41Neo</v>
      </c>
      <c r="J2904" s="604">
        <v>1996</v>
      </c>
      <c r="K2904" s="604" t="s">
        <v>450</v>
      </c>
      <c r="L2904" s="604" t="s">
        <v>137</v>
      </c>
      <c r="M2904" s="604">
        <v>61</v>
      </c>
      <c r="N2904" s="604">
        <v>50676</v>
      </c>
      <c r="O2904" s="604">
        <v>1.2</v>
      </c>
      <c r="P2904" s="604" t="s">
        <v>484</v>
      </c>
      <c r="Q2904" s="499"/>
    </row>
    <row r="2905" spans="9:17">
      <c r="I2905" s="578" t="str">
        <f t="shared" si="191"/>
        <v>1996gest42+Neo</v>
      </c>
      <c r="J2905" s="604">
        <v>1996</v>
      </c>
      <c r="K2905" s="604" t="s">
        <v>450</v>
      </c>
      <c r="L2905" s="604" t="s">
        <v>138</v>
      </c>
      <c r="M2905" s="604">
        <v>7</v>
      </c>
      <c r="N2905" s="604">
        <v>2684</v>
      </c>
      <c r="O2905" s="604">
        <v>2.6</v>
      </c>
      <c r="P2905" s="604" t="s">
        <v>484</v>
      </c>
      <c r="Q2905" s="499"/>
    </row>
    <row r="2906" spans="9:17">
      <c r="I2906" s="578" t="str">
        <f t="shared" si="191"/>
        <v>1996gestUnknownNeo</v>
      </c>
      <c r="J2906" s="604">
        <v>1996</v>
      </c>
      <c r="K2906" s="604" t="s">
        <v>450</v>
      </c>
      <c r="L2906" s="604" t="s">
        <v>63</v>
      </c>
      <c r="M2906" s="604">
        <v>4</v>
      </c>
      <c r="N2906" s="604">
        <v>94</v>
      </c>
      <c r="O2906" s="604" t="s">
        <v>119</v>
      </c>
      <c r="P2906" s="604" t="s">
        <v>484</v>
      </c>
      <c r="Q2906" s="499"/>
    </row>
    <row r="2907" spans="9:17">
      <c r="I2907" s="578" t="str">
        <f t="shared" si="191"/>
        <v>1997gest&lt;28Neo</v>
      </c>
      <c r="J2907" s="604">
        <v>1997</v>
      </c>
      <c r="K2907" s="604" t="s">
        <v>450</v>
      </c>
      <c r="L2907" s="604" t="s">
        <v>375</v>
      </c>
      <c r="M2907" s="604">
        <v>99</v>
      </c>
      <c r="N2907" s="604">
        <v>246</v>
      </c>
      <c r="O2907" s="604">
        <v>402.4</v>
      </c>
      <c r="P2907" s="604" t="s">
        <v>484</v>
      </c>
      <c r="Q2907" s="499"/>
    </row>
    <row r="2908" spans="9:17">
      <c r="I2908" s="578" t="str">
        <f t="shared" si="191"/>
        <v>1997gest28-31Neo</v>
      </c>
      <c r="J2908" s="604">
        <v>1997</v>
      </c>
      <c r="K2908" s="604" t="s">
        <v>450</v>
      </c>
      <c r="L2908" s="604" t="s">
        <v>395</v>
      </c>
      <c r="M2908" s="604">
        <v>14</v>
      </c>
      <c r="N2908" s="604">
        <v>435</v>
      </c>
      <c r="O2908" s="604">
        <v>32.200000000000003</v>
      </c>
      <c r="P2908" s="604" t="s">
        <v>484</v>
      </c>
      <c r="Q2908" s="499"/>
    </row>
    <row r="2909" spans="9:17">
      <c r="I2909" s="578" t="str">
        <f t="shared" si="191"/>
        <v>1997gest32-36Neo</v>
      </c>
      <c r="J2909" s="604">
        <v>1997</v>
      </c>
      <c r="K2909" s="604" t="s">
        <v>450</v>
      </c>
      <c r="L2909" s="604" t="s">
        <v>136</v>
      </c>
      <c r="M2909" s="604">
        <v>36</v>
      </c>
      <c r="N2909" s="604">
        <v>3324</v>
      </c>
      <c r="O2909" s="604">
        <v>10.8</v>
      </c>
      <c r="P2909" s="604" t="s">
        <v>484</v>
      </c>
      <c r="Q2909" s="499"/>
    </row>
    <row r="2910" spans="9:17">
      <c r="I2910" s="578" t="str">
        <f t="shared" si="191"/>
        <v>1997gest37-41Neo</v>
      </c>
      <c r="J2910" s="604">
        <v>1997</v>
      </c>
      <c r="K2910" s="604" t="s">
        <v>450</v>
      </c>
      <c r="L2910" s="604" t="s">
        <v>137</v>
      </c>
      <c r="M2910" s="604">
        <v>52</v>
      </c>
      <c r="N2910" s="604">
        <v>51106</v>
      </c>
      <c r="O2910" s="604">
        <v>1</v>
      </c>
      <c r="P2910" s="604" t="s">
        <v>484</v>
      </c>
      <c r="Q2910" s="499"/>
    </row>
    <row r="2911" spans="9:17">
      <c r="I2911" s="578" t="str">
        <f t="shared" si="191"/>
        <v>1997gest42+Neo</v>
      </c>
      <c r="J2911" s="604">
        <v>1997</v>
      </c>
      <c r="K2911" s="604" t="s">
        <v>450</v>
      </c>
      <c r="L2911" s="604" t="s">
        <v>138</v>
      </c>
      <c r="M2911" s="604">
        <v>3</v>
      </c>
      <c r="N2911" s="604">
        <v>2569</v>
      </c>
      <c r="O2911" s="604">
        <v>1.2</v>
      </c>
      <c r="P2911" s="604" t="s">
        <v>484</v>
      </c>
      <c r="Q2911" s="499"/>
    </row>
    <row r="2912" spans="9:17">
      <c r="I2912" s="578" t="str">
        <f t="shared" si="191"/>
        <v>1997gestUnknownNeo</v>
      </c>
      <c r="J2912" s="604">
        <v>1997</v>
      </c>
      <c r="K2912" s="604" t="s">
        <v>450</v>
      </c>
      <c r="L2912" s="604" t="s">
        <v>63</v>
      </c>
      <c r="M2912" s="604">
        <v>5</v>
      </c>
      <c r="N2912" s="604">
        <v>54</v>
      </c>
      <c r="O2912" s="604" t="s">
        <v>119</v>
      </c>
      <c r="P2912" s="604" t="s">
        <v>484</v>
      </c>
      <c r="Q2912" s="499"/>
    </row>
    <row r="2913" spans="9:17">
      <c r="I2913" s="578" t="str">
        <f t="shared" si="191"/>
        <v>1998gest&lt;28Neo</v>
      </c>
      <c r="J2913" s="604">
        <v>1998</v>
      </c>
      <c r="K2913" s="604" t="s">
        <v>450</v>
      </c>
      <c r="L2913" s="604" t="s">
        <v>375</v>
      </c>
      <c r="M2913" s="604">
        <v>76</v>
      </c>
      <c r="N2913" s="604">
        <v>246</v>
      </c>
      <c r="O2913" s="604">
        <v>308.89999999999998</v>
      </c>
      <c r="P2913" s="604" t="s">
        <v>484</v>
      </c>
      <c r="Q2913" s="499"/>
    </row>
    <row r="2914" spans="9:17">
      <c r="I2914" s="578" t="str">
        <f t="shared" si="191"/>
        <v>1998gest28-31Neo</v>
      </c>
      <c r="J2914" s="604">
        <v>1998</v>
      </c>
      <c r="K2914" s="604" t="s">
        <v>450</v>
      </c>
      <c r="L2914" s="604" t="s">
        <v>395</v>
      </c>
      <c r="M2914" s="604">
        <v>13</v>
      </c>
      <c r="N2914" s="604">
        <v>435</v>
      </c>
      <c r="O2914" s="604">
        <v>29.9</v>
      </c>
      <c r="P2914" s="604" t="s">
        <v>484</v>
      </c>
      <c r="Q2914" s="499"/>
    </row>
    <row r="2915" spans="9:17">
      <c r="I2915" s="578" t="str">
        <f t="shared" si="191"/>
        <v>1998gest32-36Neo</v>
      </c>
      <c r="J2915" s="604">
        <v>1998</v>
      </c>
      <c r="K2915" s="604" t="s">
        <v>450</v>
      </c>
      <c r="L2915" s="604" t="s">
        <v>136</v>
      </c>
      <c r="M2915" s="604">
        <v>26</v>
      </c>
      <c r="N2915" s="604">
        <v>3324</v>
      </c>
      <c r="O2915" s="604">
        <v>7.8</v>
      </c>
      <c r="P2915" s="604" t="s">
        <v>484</v>
      </c>
      <c r="Q2915" s="499"/>
    </row>
    <row r="2916" spans="9:17">
      <c r="I2916" s="578" t="str">
        <f t="shared" si="191"/>
        <v>1998gest37-41Neo</v>
      </c>
      <c r="J2916" s="604">
        <v>1998</v>
      </c>
      <c r="K2916" s="604" t="s">
        <v>450</v>
      </c>
      <c r="L2916" s="604" t="s">
        <v>137</v>
      </c>
      <c r="M2916" s="604">
        <v>51</v>
      </c>
      <c r="N2916" s="604">
        <v>51106</v>
      </c>
      <c r="O2916" s="604">
        <v>1</v>
      </c>
      <c r="P2916" s="604" t="s">
        <v>484</v>
      </c>
      <c r="Q2916" s="499"/>
    </row>
    <row r="2917" spans="9:17">
      <c r="I2917" s="578" t="str">
        <f t="shared" si="191"/>
        <v>1998gest42+Neo</v>
      </c>
      <c r="J2917" s="604">
        <v>1998</v>
      </c>
      <c r="K2917" s="604" t="s">
        <v>450</v>
      </c>
      <c r="L2917" s="604" t="s">
        <v>138</v>
      </c>
      <c r="M2917" s="604">
        <v>3</v>
      </c>
      <c r="N2917" s="604">
        <v>2569</v>
      </c>
      <c r="O2917" s="604">
        <v>1.2</v>
      </c>
      <c r="P2917" s="604" t="s">
        <v>484</v>
      </c>
      <c r="Q2917" s="499"/>
    </row>
    <row r="2918" spans="9:17">
      <c r="I2918" s="578" t="str">
        <f t="shared" si="191"/>
        <v>1998gestUnknownNeo</v>
      </c>
      <c r="J2918" s="604">
        <v>1998</v>
      </c>
      <c r="K2918" s="604" t="s">
        <v>450</v>
      </c>
      <c r="L2918" s="604" t="s">
        <v>63</v>
      </c>
      <c r="M2918" s="604">
        <v>2</v>
      </c>
      <c r="N2918" s="604">
        <v>54</v>
      </c>
      <c r="O2918" s="604" t="s">
        <v>119</v>
      </c>
      <c r="P2918" s="604" t="s">
        <v>484</v>
      </c>
      <c r="Q2918" s="499"/>
    </row>
    <row r="2919" spans="9:17">
      <c r="I2919" s="578" t="str">
        <f t="shared" si="191"/>
        <v>1999gest&lt;28Neo</v>
      </c>
      <c r="J2919" s="604">
        <v>1999</v>
      </c>
      <c r="K2919" s="604" t="s">
        <v>450</v>
      </c>
      <c r="L2919" s="604" t="s">
        <v>375</v>
      </c>
      <c r="M2919" s="604">
        <v>101</v>
      </c>
      <c r="N2919" s="604">
        <v>283</v>
      </c>
      <c r="O2919" s="604">
        <v>356.9</v>
      </c>
      <c r="P2919" s="604" t="s">
        <v>484</v>
      </c>
      <c r="Q2919" s="499"/>
    </row>
    <row r="2920" spans="9:17">
      <c r="I2920" s="578" t="str">
        <f t="shared" si="191"/>
        <v>1999gest28-31Neo</v>
      </c>
      <c r="J2920" s="604">
        <v>1999</v>
      </c>
      <c r="K2920" s="604" t="s">
        <v>450</v>
      </c>
      <c r="L2920" s="604" t="s">
        <v>395</v>
      </c>
      <c r="M2920" s="604">
        <v>15</v>
      </c>
      <c r="N2920" s="604">
        <v>458</v>
      </c>
      <c r="O2920" s="604">
        <v>32.799999999999997</v>
      </c>
      <c r="P2920" s="604" t="s">
        <v>484</v>
      </c>
      <c r="Q2920" s="499"/>
    </row>
    <row r="2921" spans="9:17">
      <c r="I2921" s="578" t="str">
        <f t="shared" si="191"/>
        <v>1999gest32-36Neo</v>
      </c>
      <c r="J2921" s="604">
        <v>1999</v>
      </c>
      <c r="K2921" s="604" t="s">
        <v>450</v>
      </c>
      <c r="L2921" s="604" t="s">
        <v>136</v>
      </c>
      <c r="M2921" s="604">
        <v>20</v>
      </c>
      <c r="N2921" s="604">
        <v>3552</v>
      </c>
      <c r="O2921" s="604">
        <v>5.6</v>
      </c>
      <c r="P2921" s="604" t="s">
        <v>484</v>
      </c>
      <c r="Q2921" s="499"/>
    </row>
    <row r="2922" spans="9:17">
      <c r="I2922" s="578" t="str">
        <f t="shared" si="191"/>
        <v>1999gest37-41Neo</v>
      </c>
      <c r="J2922" s="604">
        <v>1999</v>
      </c>
      <c r="K2922" s="604" t="s">
        <v>450</v>
      </c>
      <c r="L2922" s="604" t="s">
        <v>137</v>
      </c>
      <c r="M2922" s="604">
        <v>44</v>
      </c>
      <c r="N2922" s="604">
        <v>50938</v>
      </c>
      <c r="O2922" s="604">
        <v>0.9</v>
      </c>
      <c r="P2922" s="604" t="s">
        <v>484</v>
      </c>
      <c r="Q2922" s="499"/>
    </row>
    <row r="2923" spans="9:17">
      <c r="I2923" s="578" t="str">
        <f t="shared" si="191"/>
        <v>1999gest42+Neo</v>
      </c>
      <c r="J2923" s="604">
        <v>1999</v>
      </c>
      <c r="K2923" s="604" t="s">
        <v>450</v>
      </c>
      <c r="L2923" s="604" t="s">
        <v>138</v>
      </c>
      <c r="M2923" s="604">
        <v>1</v>
      </c>
      <c r="N2923" s="604">
        <v>2156</v>
      </c>
      <c r="O2923" s="604">
        <v>0.5</v>
      </c>
      <c r="P2923" s="604" t="s">
        <v>484</v>
      </c>
      <c r="Q2923" s="499"/>
    </row>
    <row r="2924" spans="9:17">
      <c r="I2924" s="578" t="str">
        <f t="shared" si="191"/>
        <v>1999gestUnknownNeo</v>
      </c>
      <c r="J2924" s="604">
        <v>1999</v>
      </c>
      <c r="K2924" s="604" t="s">
        <v>450</v>
      </c>
      <c r="L2924" s="604" t="s">
        <v>63</v>
      </c>
      <c r="M2924" s="604">
        <v>1</v>
      </c>
      <c r="N2924" s="604">
        <v>34</v>
      </c>
      <c r="O2924" s="604" t="s">
        <v>119</v>
      </c>
      <c r="P2924" s="604" t="s">
        <v>484</v>
      </c>
      <c r="Q2924" s="499"/>
    </row>
    <row r="2925" spans="9:17">
      <c r="I2925" s="578" t="str">
        <f t="shared" si="191"/>
        <v>2000gest&lt;28Neo</v>
      </c>
      <c r="J2925" s="604">
        <v>2000</v>
      </c>
      <c r="K2925" s="604" t="s">
        <v>450</v>
      </c>
      <c r="L2925" s="604" t="s">
        <v>375</v>
      </c>
      <c r="M2925" s="604">
        <v>116</v>
      </c>
      <c r="N2925" s="604">
        <v>318</v>
      </c>
      <c r="O2925" s="604">
        <v>364.8</v>
      </c>
      <c r="P2925" s="604" t="s">
        <v>484</v>
      </c>
      <c r="Q2925" s="499"/>
    </row>
    <row r="2926" spans="9:17">
      <c r="I2926" s="578" t="str">
        <f t="shared" si="191"/>
        <v>2000gest28-31Neo</v>
      </c>
      <c r="J2926" s="604">
        <v>2000</v>
      </c>
      <c r="K2926" s="604" t="s">
        <v>450</v>
      </c>
      <c r="L2926" s="604" t="s">
        <v>395</v>
      </c>
      <c r="M2926" s="604">
        <v>10</v>
      </c>
      <c r="N2926" s="604">
        <v>454</v>
      </c>
      <c r="O2926" s="604">
        <v>22</v>
      </c>
      <c r="P2926" s="604" t="s">
        <v>484</v>
      </c>
      <c r="Q2926" s="499"/>
    </row>
    <row r="2927" spans="9:17">
      <c r="I2927" s="578" t="str">
        <f t="shared" si="191"/>
        <v>2000gest32-36Neo</v>
      </c>
      <c r="J2927" s="604">
        <v>2000</v>
      </c>
      <c r="K2927" s="604" t="s">
        <v>450</v>
      </c>
      <c r="L2927" s="604" t="s">
        <v>136</v>
      </c>
      <c r="M2927" s="604">
        <v>22</v>
      </c>
      <c r="N2927" s="604">
        <v>3461</v>
      </c>
      <c r="O2927" s="604">
        <v>6.4</v>
      </c>
      <c r="P2927" s="604" t="s">
        <v>484</v>
      </c>
      <c r="Q2927" s="499"/>
    </row>
    <row r="2928" spans="9:17">
      <c r="I2928" s="578" t="str">
        <f t="shared" si="191"/>
        <v>2000gest37-41Neo</v>
      </c>
      <c r="J2928" s="604">
        <v>2000</v>
      </c>
      <c r="K2928" s="604" t="s">
        <v>450</v>
      </c>
      <c r="L2928" s="604" t="s">
        <v>137</v>
      </c>
      <c r="M2928" s="604">
        <v>56</v>
      </c>
      <c r="N2928" s="604">
        <v>50864</v>
      </c>
      <c r="O2928" s="604">
        <v>1.1000000000000001</v>
      </c>
      <c r="P2928" s="604" t="s">
        <v>484</v>
      </c>
      <c r="Q2928" s="499"/>
    </row>
    <row r="2929" spans="9:17">
      <c r="I2929" s="578" t="str">
        <f t="shared" si="191"/>
        <v>2000gest42+Neo</v>
      </c>
      <c r="J2929" s="604">
        <v>2000</v>
      </c>
      <c r="K2929" s="604" t="s">
        <v>450</v>
      </c>
      <c r="L2929" s="604" t="s">
        <v>138</v>
      </c>
      <c r="M2929" s="604">
        <v>2</v>
      </c>
      <c r="N2929" s="604">
        <v>1868</v>
      </c>
      <c r="O2929" s="604">
        <v>1.1000000000000001</v>
      </c>
      <c r="P2929" s="604" t="s">
        <v>484</v>
      </c>
      <c r="Q2929" s="499"/>
    </row>
    <row r="2930" spans="9:17">
      <c r="I2930" s="578" t="str">
        <f t="shared" si="191"/>
        <v>2000gestUnknownNeo</v>
      </c>
      <c r="J2930" s="604">
        <v>2000</v>
      </c>
      <c r="K2930" s="604" t="s">
        <v>450</v>
      </c>
      <c r="L2930" s="604" t="s">
        <v>63</v>
      </c>
      <c r="M2930" s="604">
        <v>10</v>
      </c>
      <c r="N2930" s="604">
        <v>29</v>
      </c>
      <c r="O2930" s="604" t="s">
        <v>119</v>
      </c>
      <c r="P2930" s="604" t="s">
        <v>484</v>
      </c>
      <c r="Q2930" s="499"/>
    </row>
    <row r="2931" spans="9:17">
      <c r="I2931" s="578" t="str">
        <f t="shared" si="191"/>
        <v>2001gest&lt;28Neo</v>
      </c>
      <c r="J2931" s="604">
        <v>2001</v>
      </c>
      <c r="K2931" s="604" t="s">
        <v>450</v>
      </c>
      <c r="L2931" s="604" t="s">
        <v>375</v>
      </c>
      <c r="M2931" s="604">
        <v>90</v>
      </c>
      <c r="N2931" s="604">
        <v>247</v>
      </c>
      <c r="O2931" s="604">
        <v>364.4</v>
      </c>
      <c r="P2931" s="604" t="s">
        <v>484</v>
      </c>
      <c r="Q2931" s="499"/>
    </row>
    <row r="2932" spans="9:17">
      <c r="I2932" s="578" t="str">
        <f t="shared" si="191"/>
        <v>2001gest28-31Neo</v>
      </c>
      <c r="J2932" s="604">
        <v>2001</v>
      </c>
      <c r="K2932" s="604" t="s">
        <v>450</v>
      </c>
      <c r="L2932" s="604" t="s">
        <v>395</v>
      </c>
      <c r="M2932" s="604">
        <v>14</v>
      </c>
      <c r="N2932" s="604">
        <v>490</v>
      </c>
      <c r="O2932" s="604">
        <v>28.6</v>
      </c>
      <c r="P2932" s="604" t="s">
        <v>484</v>
      </c>
      <c r="Q2932" s="499"/>
    </row>
    <row r="2933" spans="9:17">
      <c r="I2933" s="578" t="str">
        <f t="shared" si="191"/>
        <v>2001gest32-36Neo</v>
      </c>
      <c r="J2933" s="604">
        <v>2001</v>
      </c>
      <c r="K2933" s="604" t="s">
        <v>450</v>
      </c>
      <c r="L2933" s="604" t="s">
        <v>136</v>
      </c>
      <c r="M2933" s="604">
        <v>20</v>
      </c>
      <c r="N2933" s="604">
        <v>3463</v>
      </c>
      <c r="O2933" s="604">
        <v>5.8</v>
      </c>
      <c r="P2933" s="604" t="s">
        <v>484</v>
      </c>
      <c r="Q2933" s="499"/>
    </row>
    <row r="2934" spans="9:17">
      <c r="I2934" s="578" t="str">
        <f t="shared" si="191"/>
        <v>2001gest37-41Neo</v>
      </c>
      <c r="J2934" s="604">
        <v>2001</v>
      </c>
      <c r="K2934" s="604" t="s">
        <v>450</v>
      </c>
      <c r="L2934" s="604" t="s">
        <v>137</v>
      </c>
      <c r="M2934" s="604">
        <v>41</v>
      </c>
      <c r="N2934" s="604">
        <v>50230</v>
      </c>
      <c r="O2934" s="604">
        <v>0.8</v>
      </c>
      <c r="P2934" s="604" t="s">
        <v>484</v>
      </c>
      <c r="Q2934" s="499"/>
    </row>
    <row r="2935" spans="9:17">
      <c r="I2935" s="578" t="str">
        <f t="shared" si="191"/>
        <v>2001gest42+Neo</v>
      </c>
      <c r="J2935" s="604">
        <v>2001</v>
      </c>
      <c r="K2935" s="604" t="s">
        <v>450</v>
      </c>
      <c r="L2935" s="604" t="s">
        <v>138</v>
      </c>
      <c r="M2935" s="604">
        <v>3</v>
      </c>
      <c r="N2935" s="604">
        <v>1738</v>
      </c>
      <c r="O2935" s="604">
        <v>1.7</v>
      </c>
      <c r="P2935" s="604" t="s">
        <v>484</v>
      </c>
      <c r="Q2935" s="499"/>
    </row>
    <row r="2936" spans="9:17">
      <c r="I2936" s="578" t="str">
        <f t="shared" si="191"/>
        <v>2001gestUnknownNeo</v>
      </c>
      <c r="J2936" s="604">
        <v>2001</v>
      </c>
      <c r="K2936" s="604" t="s">
        <v>450</v>
      </c>
      <c r="L2936" s="604" t="s">
        <v>63</v>
      </c>
      <c r="M2936" s="604">
        <v>2</v>
      </c>
      <c r="N2936" s="604">
        <v>56</v>
      </c>
      <c r="O2936" s="604" t="s">
        <v>119</v>
      </c>
      <c r="P2936" s="604" t="s">
        <v>484</v>
      </c>
      <c r="Q2936" s="499"/>
    </row>
    <row r="2937" spans="9:17">
      <c r="I2937" s="578" t="str">
        <f t="shared" si="191"/>
        <v>2002gest&lt;28Neo</v>
      </c>
      <c r="J2937" s="604">
        <v>2002</v>
      </c>
      <c r="K2937" s="604" t="s">
        <v>450</v>
      </c>
      <c r="L2937" s="604" t="s">
        <v>375</v>
      </c>
      <c r="M2937" s="604">
        <v>130</v>
      </c>
      <c r="N2937" s="604">
        <v>326</v>
      </c>
      <c r="O2937" s="604">
        <v>398.8</v>
      </c>
      <c r="P2937" s="604" t="s">
        <v>484</v>
      </c>
      <c r="Q2937" s="499"/>
    </row>
    <row r="2938" spans="9:17">
      <c r="I2938" s="578" t="str">
        <f t="shared" si="191"/>
        <v>2002gest28-31Neo</v>
      </c>
      <c r="J2938" s="604">
        <v>2002</v>
      </c>
      <c r="K2938" s="604" t="s">
        <v>450</v>
      </c>
      <c r="L2938" s="604" t="s">
        <v>395</v>
      </c>
      <c r="M2938" s="604">
        <v>14</v>
      </c>
      <c r="N2938" s="604">
        <v>433</v>
      </c>
      <c r="O2938" s="604">
        <v>32.299999999999997</v>
      </c>
      <c r="P2938" s="604" t="s">
        <v>484</v>
      </c>
      <c r="Q2938" s="499"/>
    </row>
    <row r="2939" spans="9:17">
      <c r="I2939" s="578" t="str">
        <f t="shared" si="191"/>
        <v>2002gest32-36Neo</v>
      </c>
      <c r="J2939" s="604">
        <v>2002</v>
      </c>
      <c r="K2939" s="604" t="s">
        <v>450</v>
      </c>
      <c r="L2939" s="604" t="s">
        <v>136</v>
      </c>
      <c r="M2939" s="604">
        <v>19</v>
      </c>
      <c r="N2939" s="604">
        <v>3310</v>
      </c>
      <c r="O2939" s="604">
        <v>5.7</v>
      </c>
      <c r="P2939" s="604" t="s">
        <v>484</v>
      </c>
      <c r="Q2939" s="499"/>
    </row>
    <row r="2940" spans="9:17">
      <c r="I2940" s="578" t="str">
        <f t="shared" si="191"/>
        <v>2002gest37-41Neo</v>
      </c>
      <c r="J2940" s="604">
        <v>2002</v>
      </c>
      <c r="K2940" s="604" t="s">
        <v>450</v>
      </c>
      <c r="L2940" s="604" t="s">
        <v>137</v>
      </c>
      <c r="M2940" s="604">
        <v>47</v>
      </c>
      <c r="N2940" s="604">
        <v>48776</v>
      </c>
      <c r="O2940" s="604">
        <v>1</v>
      </c>
      <c r="P2940" s="604" t="s">
        <v>484</v>
      </c>
      <c r="Q2940" s="499"/>
    </row>
    <row r="2941" spans="9:17">
      <c r="I2941" s="578" t="str">
        <f t="shared" si="191"/>
        <v>2002gest42+Neo</v>
      </c>
      <c r="J2941" s="604">
        <v>2002</v>
      </c>
      <c r="K2941" s="604" t="s">
        <v>450</v>
      </c>
      <c r="L2941" s="604" t="s">
        <v>138</v>
      </c>
      <c r="M2941" s="604">
        <v>6</v>
      </c>
      <c r="N2941" s="604">
        <v>1606</v>
      </c>
      <c r="O2941" s="604">
        <v>3.7</v>
      </c>
      <c r="P2941" s="604" t="s">
        <v>484</v>
      </c>
      <c r="Q2941" s="499"/>
    </row>
    <row r="2942" spans="9:17">
      <c r="I2942" s="578" t="str">
        <f t="shared" si="191"/>
        <v>2002gestUnknownNeo</v>
      </c>
      <c r="J2942" s="604">
        <v>2002</v>
      </c>
      <c r="K2942" s="604" t="s">
        <v>450</v>
      </c>
      <c r="L2942" s="604" t="s">
        <v>63</v>
      </c>
      <c r="M2942" s="604">
        <v>5</v>
      </c>
      <c r="N2942" s="604">
        <v>64</v>
      </c>
      <c r="O2942" s="604" t="s">
        <v>119</v>
      </c>
      <c r="P2942" s="604" t="s">
        <v>484</v>
      </c>
      <c r="Q2942" s="499"/>
    </row>
    <row r="2943" spans="9:17">
      <c r="I2943" s="578" t="str">
        <f t="shared" si="191"/>
        <v>2003gest&lt;28Neo</v>
      </c>
      <c r="J2943" s="604">
        <v>2003</v>
      </c>
      <c r="K2943" s="604" t="s">
        <v>450</v>
      </c>
      <c r="L2943" s="604" t="s">
        <v>375</v>
      </c>
      <c r="M2943" s="604">
        <v>94</v>
      </c>
      <c r="N2943" s="604">
        <v>290</v>
      </c>
      <c r="O2943" s="604">
        <v>324.10000000000002</v>
      </c>
      <c r="P2943" s="604" t="s">
        <v>484</v>
      </c>
      <c r="Q2943" s="499"/>
    </row>
    <row r="2944" spans="9:17">
      <c r="I2944" s="578" t="str">
        <f t="shared" si="191"/>
        <v>2003gest28-31Neo</v>
      </c>
      <c r="J2944" s="604">
        <v>2003</v>
      </c>
      <c r="K2944" s="604" t="s">
        <v>450</v>
      </c>
      <c r="L2944" s="604" t="s">
        <v>395</v>
      </c>
      <c r="M2944" s="604">
        <v>15</v>
      </c>
      <c r="N2944" s="604">
        <v>496</v>
      </c>
      <c r="O2944" s="604">
        <v>30.2</v>
      </c>
      <c r="P2944" s="604" t="s">
        <v>484</v>
      </c>
      <c r="Q2944" s="499"/>
    </row>
    <row r="2945" spans="9:17">
      <c r="I2945" s="578" t="str">
        <f t="shared" si="191"/>
        <v>2003gest32-36Neo</v>
      </c>
      <c r="J2945" s="604">
        <v>2003</v>
      </c>
      <c r="K2945" s="604" t="s">
        <v>450</v>
      </c>
      <c r="L2945" s="604" t="s">
        <v>136</v>
      </c>
      <c r="M2945" s="604">
        <v>25</v>
      </c>
      <c r="N2945" s="604">
        <v>3358</v>
      </c>
      <c r="O2945" s="604">
        <v>7.4</v>
      </c>
      <c r="P2945" s="604" t="s">
        <v>484</v>
      </c>
      <c r="Q2945" s="499"/>
    </row>
    <row r="2946" spans="9:17">
      <c r="I2946" s="578" t="str">
        <f t="shared" si="191"/>
        <v>2003gest37-41Neo</v>
      </c>
      <c r="J2946" s="604">
        <v>2003</v>
      </c>
      <c r="K2946" s="604" t="s">
        <v>450</v>
      </c>
      <c r="L2946" s="604" t="s">
        <v>137</v>
      </c>
      <c r="M2946" s="604">
        <v>47</v>
      </c>
      <c r="N2946" s="604">
        <v>50827</v>
      </c>
      <c r="O2946" s="604">
        <v>0.9</v>
      </c>
      <c r="P2946" s="604" t="s">
        <v>484</v>
      </c>
      <c r="Q2946" s="499"/>
    </row>
    <row r="2947" spans="9:17">
      <c r="I2947" s="578" t="str">
        <f t="shared" si="191"/>
        <v>2003gest42+Neo</v>
      </c>
      <c r="J2947" s="604">
        <v>2003</v>
      </c>
      <c r="K2947" s="604" t="s">
        <v>450</v>
      </c>
      <c r="L2947" s="604" t="s">
        <v>138</v>
      </c>
      <c r="M2947" s="604">
        <v>1</v>
      </c>
      <c r="N2947" s="604">
        <v>1577</v>
      </c>
      <c r="O2947" s="604">
        <v>0.6</v>
      </c>
      <c r="P2947" s="604" t="s">
        <v>484</v>
      </c>
      <c r="Q2947" s="499"/>
    </row>
    <row r="2948" spans="9:17">
      <c r="I2948" s="578" t="str">
        <f t="shared" ref="I2948:I3011" si="192">J2948&amp;K2948&amp;L2948&amp;P2948</f>
        <v>2003gestUnknownNeo</v>
      </c>
      <c r="J2948" s="604">
        <v>2003</v>
      </c>
      <c r="K2948" s="604" t="s">
        <v>450</v>
      </c>
      <c r="L2948" s="604" t="s">
        <v>63</v>
      </c>
      <c r="M2948" s="604">
        <v>2</v>
      </c>
      <c r="N2948" s="604">
        <v>28</v>
      </c>
      <c r="O2948" s="604" t="s">
        <v>119</v>
      </c>
      <c r="P2948" s="604" t="s">
        <v>484</v>
      </c>
      <c r="Q2948" s="499"/>
    </row>
    <row r="2949" spans="9:17">
      <c r="I2949" s="578" t="str">
        <f t="shared" si="192"/>
        <v>2004gest&lt;28Neo</v>
      </c>
      <c r="J2949" s="604">
        <v>2004</v>
      </c>
      <c r="K2949" s="604" t="s">
        <v>450</v>
      </c>
      <c r="L2949" s="604" t="s">
        <v>375</v>
      </c>
      <c r="M2949" s="604">
        <v>104</v>
      </c>
      <c r="N2949" s="604">
        <v>290</v>
      </c>
      <c r="O2949" s="604">
        <v>358.6</v>
      </c>
      <c r="P2949" s="604" t="s">
        <v>484</v>
      </c>
      <c r="Q2949" s="499"/>
    </row>
    <row r="2950" spans="9:17">
      <c r="I2950" s="578" t="str">
        <f t="shared" si="192"/>
        <v>2004gest28-31Neo</v>
      </c>
      <c r="J2950" s="604">
        <v>2004</v>
      </c>
      <c r="K2950" s="604" t="s">
        <v>450</v>
      </c>
      <c r="L2950" s="604" t="s">
        <v>395</v>
      </c>
      <c r="M2950" s="604">
        <v>17</v>
      </c>
      <c r="N2950" s="604">
        <v>469</v>
      </c>
      <c r="O2950" s="604">
        <v>36.200000000000003</v>
      </c>
      <c r="P2950" s="604" t="s">
        <v>484</v>
      </c>
      <c r="Q2950" s="499"/>
    </row>
    <row r="2951" spans="9:17">
      <c r="I2951" s="578" t="str">
        <f t="shared" si="192"/>
        <v>2004gest32-36Neo</v>
      </c>
      <c r="J2951" s="604">
        <v>2004</v>
      </c>
      <c r="K2951" s="604" t="s">
        <v>450</v>
      </c>
      <c r="L2951" s="604" t="s">
        <v>136</v>
      </c>
      <c r="M2951" s="604">
        <v>16</v>
      </c>
      <c r="N2951" s="604">
        <v>3513</v>
      </c>
      <c r="O2951" s="604">
        <v>4.5999999999999996</v>
      </c>
      <c r="P2951" s="604" t="s">
        <v>484</v>
      </c>
      <c r="Q2951" s="499"/>
    </row>
    <row r="2952" spans="9:17">
      <c r="I2952" s="578" t="str">
        <f t="shared" si="192"/>
        <v>2004gest37-41Neo</v>
      </c>
      <c r="J2952" s="604">
        <v>2004</v>
      </c>
      <c r="K2952" s="604" t="s">
        <v>450</v>
      </c>
      <c r="L2952" s="604" t="s">
        <v>137</v>
      </c>
      <c r="M2952" s="604">
        <v>52</v>
      </c>
      <c r="N2952" s="604">
        <v>52717</v>
      </c>
      <c r="O2952" s="604">
        <v>1</v>
      </c>
      <c r="P2952" s="604" t="s">
        <v>484</v>
      </c>
      <c r="Q2952" s="499"/>
    </row>
    <row r="2953" spans="9:17">
      <c r="I2953" s="578" t="str">
        <f t="shared" si="192"/>
        <v>2004gest42+Neo</v>
      </c>
      <c r="J2953" s="604">
        <v>2004</v>
      </c>
      <c r="K2953" s="604" t="s">
        <v>450</v>
      </c>
      <c r="L2953" s="604" t="s">
        <v>138</v>
      </c>
      <c r="M2953" s="604">
        <v>3</v>
      </c>
      <c r="N2953" s="604">
        <v>1690</v>
      </c>
      <c r="O2953" s="604">
        <v>1.8</v>
      </c>
      <c r="P2953" s="604" t="s">
        <v>484</v>
      </c>
      <c r="Q2953" s="499"/>
    </row>
    <row r="2954" spans="9:17">
      <c r="I2954" s="578" t="str">
        <f t="shared" si="192"/>
        <v>2004gestUnknownNeo</v>
      </c>
      <c r="J2954" s="604">
        <v>2004</v>
      </c>
      <c r="K2954" s="604" t="s">
        <v>450</v>
      </c>
      <c r="L2954" s="604" t="s">
        <v>63</v>
      </c>
      <c r="M2954" s="604">
        <v>5</v>
      </c>
      <c r="N2954" s="604">
        <v>44</v>
      </c>
      <c r="O2954" s="604" t="s">
        <v>119</v>
      </c>
      <c r="P2954" s="604" t="s">
        <v>484</v>
      </c>
      <c r="Q2954" s="499"/>
    </row>
    <row r="2955" spans="9:17">
      <c r="I2955" s="578" t="str">
        <f t="shared" si="192"/>
        <v>2005gest&lt;28Neo</v>
      </c>
      <c r="J2955" s="604">
        <v>2005</v>
      </c>
      <c r="K2955" s="604" t="s">
        <v>450</v>
      </c>
      <c r="L2955" s="604" t="s">
        <v>375</v>
      </c>
      <c r="M2955" s="604">
        <v>91</v>
      </c>
      <c r="N2955" s="604">
        <v>273</v>
      </c>
      <c r="O2955" s="604">
        <v>333.3</v>
      </c>
      <c r="P2955" s="604" t="s">
        <v>484</v>
      </c>
      <c r="Q2955" s="499"/>
    </row>
    <row r="2956" spans="9:17">
      <c r="I2956" s="578" t="str">
        <f t="shared" si="192"/>
        <v>2005gest28-31Neo</v>
      </c>
      <c r="J2956" s="604">
        <v>2005</v>
      </c>
      <c r="K2956" s="604" t="s">
        <v>450</v>
      </c>
      <c r="L2956" s="604" t="s">
        <v>395</v>
      </c>
      <c r="M2956" s="604">
        <v>13</v>
      </c>
      <c r="N2956" s="604">
        <v>478</v>
      </c>
      <c r="O2956" s="604">
        <v>27.2</v>
      </c>
      <c r="P2956" s="604" t="s">
        <v>484</v>
      </c>
      <c r="Q2956" s="499"/>
    </row>
    <row r="2957" spans="9:17">
      <c r="I2957" s="578" t="str">
        <f t="shared" si="192"/>
        <v>2005gest32-36Neo</v>
      </c>
      <c r="J2957" s="604">
        <v>2005</v>
      </c>
      <c r="K2957" s="604" t="s">
        <v>450</v>
      </c>
      <c r="L2957" s="604" t="s">
        <v>136</v>
      </c>
      <c r="M2957" s="604">
        <v>24</v>
      </c>
      <c r="N2957" s="604">
        <v>3464</v>
      </c>
      <c r="O2957" s="604">
        <v>6.9</v>
      </c>
      <c r="P2957" s="604" t="s">
        <v>484</v>
      </c>
      <c r="Q2957" s="499"/>
    </row>
    <row r="2958" spans="9:17">
      <c r="I2958" s="578" t="str">
        <f t="shared" si="192"/>
        <v>2005gest37-41Neo</v>
      </c>
      <c r="J2958" s="604">
        <v>2005</v>
      </c>
      <c r="K2958" s="604" t="s">
        <v>450</v>
      </c>
      <c r="L2958" s="604" t="s">
        <v>137</v>
      </c>
      <c r="M2958" s="604">
        <v>49</v>
      </c>
      <c r="N2958" s="604">
        <v>52647</v>
      </c>
      <c r="O2958" s="604">
        <v>0.9</v>
      </c>
      <c r="P2958" s="604" t="s">
        <v>484</v>
      </c>
      <c r="Q2958" s="499"/>
    </row>
    <row r="2959" spans="9:17">
      <c r="I2959" s="578" t="str">
        <f t="shared" si="192"/>
        <v>2005gest42+Neo</v>
      </c>
      <c r="J2959" s="604">
        <v>2005</v>
      </c>
      <c r="K2959" s="604" t="s">
        <v>450</v>
      </c>
      <c r="L2959" s="604" t="s">
        <v>138</v>
      </c>
      <c r="M2959" s="604">
        <v>1</v>
      </c>
      <c r="N2959" s="604">
        <v>1825</v>
      </c>
      <c r="O2959" s="604">
        <v>0.5</v>
      </c>
      <c r="P2959" s="604" t="s">
        <v>484</v>
      </c>
      <c r="Q2959" s="499"/>
    </row>
    <row r="2960" spans="9:17">
      <c r="I2960" s="578" t="str">
        <f t="shared" si="192"/>
        <v>2005gestUnknownNeo</v>
      </c>
      <c r="J2960" s="604">
        <v>2005</v>
      </c>
      <c r="K2960" s="604" t="s">
        <v>450</v>
      </c>
      <c r="L2960" s="604" t="s">
        <v>63</v>
      </c>
      <c r="M2960" s="604">
        <v>5</v>
      </c>
      <c r="N2960" s="604">
        <v>40</v>
      </c>
      <c r="O2960" s="604" t="s">
        <v>119</v>
      </c>
      <c r="P2960" s="604" t="s">
        <v>484</v>
      </c>
      <c r="Q2960" s="499"/>
    </row>
    <row r="2961" spans="9:17">
      <c r="I2961" s="578" t="str">
        <f t="shared" si="192"/>
        <v>2006gest&lt;28Neo</v>
      </c>
      <c r="J2961" s="604">
        <v>2006</v>
      </c>
      <c r="K2961" s="604" t="s">
        <v>450</v>
      </c>
      <c r="L2961" s="604" t="s">
        <v>375</v>
      </c>
      <c r="M2961" s="604">
        <v>88</v>
      </c>
      <c r="N2961" s="604">
        <v>269</v>
      </c>
      <c r="O2961" s="604">
        <v>327.10000000000002</v>
      </c>
      <c r="P2961" s="604" t="s">
        <v>484</v>
      </c>
      <c r="Q2961" s="499"/>
    </row>
    <row r="2962" spans="9:17">
      <c r="I2962" s="578" t="str">
        <f t="shared" si="192"/>
        <v>2006gest28-31Neo</v>
      </c>
      <c r="J2962" s="604">
        <v>2006</v>
      </c>
      <c r="K2962" s="604" t="s">
        <v>450</v>
      </c>
      <c r="L2962" s="604" t="s">
        <v>395</v>
      </c>
      <c r="M2962" s="604">
        <v>7</v>
      </c>
      <c r="N2962" s="604">
        <v>481</v>
      </c>
      <c r="O2962" s="604">
        <v>14.6</v>
      </c>
      <c r="P2962" s="604" t="s">
        <v>484</v>
      </c>
      <c r="Q2962" s="499"/>
    </row>
    <row r="2963" spans="9:17">
      <c r="I2963" s="578" t="str">
        <f t="shared" si="192"/>
        <v>2006gest32-36Neo</v>
      </c>
      <c r="J2963" s="604">
        <v>2006</v>
      </c>
      <c r="K2963" s="604" t="s">
        <v>450</v>
      </c>
      <c r="L2963" s="604" t="s">
        <v>136</v>
      </c>
      <c r="M2963" s="604">
        <v>20</v>
      </c>
      <c r="N2963" s="604">
        <v>3581</v>
      </c>
      <c r="O2963" s="604">
        <v>5.6</v>
      </c>
      <c r="P2963" s="604" t="s">
        <v>484</v>
      </c>
      <c r="Q2963" s="499"/>
    </row>
    <row r="2964" spans="9:17">
      <c r="I2964" s="578" t="str">
        <f t="shared" si="192"/>
        <v>2006gest37-41Neo</v>
      </c>
      <c r="J2964" s="604">
        <v>2006</v>
      </c>
      <c r="K2964" s="604" t="s">
        <v>450</v>
      </c>
      <c r="L2964" s="604" t="s">
        <v>137</v>
      </c>
      <c r="M2964" s="604">
        <v>40</v>
      </c>
      <c r="N2964" s="604">
        <v>54076</v>
      </c>
      <c r="O2964" s="604">
        <v>0.7</v>
      </c>
      <c r="P2964" s="604" t="s">
        <v>484</v>
      </c>
      <c r="Q2964" s="499"/>
    </row>
    <row r="2965" spans="9:17">
      <c r="I2965" s="578" t="str">
        <f t="shared" si="192"/>
        <v>2006gest42+Neo</v>
      </c>
      <c r="J2965" s="604">
        <v>2006</v>
      </c>
      <c r="K2965" s="604" t="s">
        <v>450</v>
      </c>
      <c r="L2965" s="604" t="s">
        <v>138</v>
      </c>
      <c r="M2965" s="604">
        <v>2</v>
      </c>
      <c r="N2965" s="604">
        <v>1795</v>
      </c>
      <c r="O2965" s="604">
        <v>1.1000000000000001</v>
      </c>
      <c r="P2965" s="604" t="s">
        <v>484</v>
      </c>
      <c r="Q2965" s="499"/>
    </row>
    <row r="2966" spans="9:17">
      <c r="I2966" s="578" t="str">
        <f t="shared" si="192"/>
        <v>2006gestUnknownNeo</v>
      </c>
      <c r="J2966" s="604">
        <v>2006</v>
      </c>
      <c r="K2966" s="604" t="s">
        <v>450</v>
      </c>
      <c r="L2966" s="604" t="s">
        <v>63</v>
      </c>
      <c r="M2966" s="604">
        <v>8</v>
      </c>
      <c r="N2966" s="604">
        <v>72</v>
      </c>
      <c r="O2966" s="604" t="s">
        <v>119</v>
      </c>
      <c r="P2966" s="604" t="s">
        <v>484</v>
      </c>
      <c r="Q2966" s="499"/>
    </row>
    <row r="2967" spans="9:17">
      <c r="I2967" s="578" t="str">
        <f t="shared" si="192"/>
        <v>2007gest&lt;28Neo</v>
      </c>
      <c r="J2967" s="604">
        <v>2007</v>
      </c>
      <c r="K2967" s="604" t="s">
        <v>450</v>
      </c>
      <c r="L2967" s="604" t="s">
        <v>375</v>
      </c>
      <c r="M2967" s="604">
        <v>85</v>
      </c>
      <c r="N2967" s="604">
        <v>311</v>
      </c>
      <c r="O2967" s="604">
        <v>273.3</v>
      </c>
      <c r="P2967" s="604" t="s">
        <v>484</v>
      </c>
      <c r="Q2967" s="499"/>
    </row>
    <row r="2968" spans="9:17">
      <c r="I2968" s="578" t="str">
        <f t="shared" si="192"/>
        <v>2007gest28-31Neo</v>
      </c>
      <c r="J2968" s="604">
        <v>2007</v>
      </c>
      <c r="K2968" s="604" t="s">
        <v>450</v>
      </c>
      <c r="L2968" s="604" t="s">
        <v>395</v>
      </c>
      <c r="M2968" s="604">
        <v>7</v>
      </c>
      <c r="N2968" s="604">
        <v>493</v>
      </c>
      <c r="O2968" s="604">
        <v>14.2</v>
      </c>
      <c r="P2968" s="604" t="s">
        <v>484</v>
      </c>
      <c r="Q2968" s="499"/>
    </row>
    <row r="2969" spans="9:17">
      <c r="I2969" s="578" t="str">
        <f t="shared" si="192"/>
        <v>2007gest32-36Neo</v>
      </c>
      <c r="J2969" s="604">
        <v>2007</v>
      </c>
      <c r="K2969" s="604" t="s">
        <v>450</v>
      </c>
      <c r="L2969" s="604" t="s">
        <v>136</v>
      </c>
      <c r="M2969" s="604">
        <v>18</v>
      </c>
      <c r="N2969" s="604">
        <v>3851</v>
      </c>
      <c r="O2969" s="604">
        <v>4.7</v>
      </c>
      <c r="P2969" s="604" t="s">
        <v>484</v>
      </c>
      <c r="Q2969" s="499"/>
    </row>
    <row r="2970" spans="9:17">
      <c r="I2970" s="578" t="str">
        <f t="shared" si="192"/>
        <v>2007gest37-41Neo</v>
      </c>
      <c r="J2970" s="604">
        <v>2007</v>
      </c>
      <c r="K2970" s="604" t="s">
        <v>450</v>
      </c>
      <c r="L2970" s="604" t="s">
        <v>137</v>
      </c>
      <c r="M2970" s="604">
        <v>43</v>
      </c>
      <c r="N2970" s="604">
        <v>58537</v>
      </c>
      <c r="O2970" s="604">
        <v>0.7</v>
      </c>
      <c r="P2970" s="604" t="s">
        <v>484</v>
      </c>
      <c r="Q2970" s="499"/>
    </row>
    <row r="2971" spans="9:17">
      <c r="I2971" s="578" t="str">
        <f t="shared" si="192"/>
        <v>2007gest42+Neo</v>
      </c>
      <c r="J2971" s="604">
        <v>2007</v>
      </c>
      <c r="K2971" s="604" t="s">
        <v>450</v>
      </c>
      <c r="L2971" s="604" t="s">
        <v>138</v>
      </c>
      <c r="M2971" s="604">
        <v>3</v>
      </c>
      <c r="N2971" s="604">
        <v>1881</v>
      </c>
      <c r="O2971" s="604">
        <v>1.6</v>
      </c>
      <c r="P2971" s="604" t="s">
        <v>484</v>
      </c>
      <c r="Q2971" s="499"/>
    </row>
    <row r="2972" spans="9:17">
      <c r="I2972" s="578" t="str">
        <f t="shared" si="192"/>
        <v>2007gestUnknownNeo</v>
      </c>
      <c r="J2972" s="604">
        <v>2007</v>
      </c>
      <c r="K2972" s="604" t="s">
        <v>450</v>
      </c>
      <c r="L2972" s="604" t="s">
        <v>63</v>
      </c>
      <c r="M2972" s="604">
        <v>10</v>
      </c>
      <c r="N2972" s="604">
        <v>48</v>
      </c>
      <c r="O2972" s="604" t="s">
        <v>119</v>
      </c>
      <c r="P2972" s="604" t="s">
        <v>484</v>
      </c>
      <c r="Q2972" s="499"/>
    </row>
    <row r="2973" spans="9:17">
      <c r="I2973" s="578" t="str">
        <f t="shared" si="192"/>
        <v>2008gest&lt;28Neo</v>
      </c>
      <c r="J2973" s="604">
        <v>2008</v>
      </c>
      <c r="K2973" s="604" t="s">
        <v>450</v>
      </c>
      <c r="L2973" s="604" t="s">
        <v>375</v>
      </c>
      <c r="M2973" s="604">
        <v>91</v>
      </c>
      <c r="N2973" s="604">
        <v>308</v>
      </c>
      <c r="O2973" s="604">
        <v>295.5</v>
      </c>
      <c r="P2973" s="604" t="s">
        <v>484</v>
      </c>
      <c r="Q2973" s="499"/>
    </row>
    <row r="2974" spans="9:17">
      <c r="I2974" s="578" t="str">
        <f t="shared" si="192"/>
        <v>2008gest28-31Neo</v>
      </c>
      <c r="J2974" s="604">
        <v>2008</v>
      </c>
      <c r="K2974" s="604" t="s">
        <v>450</v>
      </c>
      <c r="L2974" s="604" t="s">
        <v>395</v>
      </c>
      <c r="M2974" s="604">
        <v>20</v>
      </c>
      <c r="N2974" s="604">
        <v>531</v>
      </c>
      <c r="O2974" s="604">
        <v>37.700000000000003</v>
      </c>
      <c r="P2974" s="604" t="s">
        <v>484</v>
      </c>
      <c r="Q2974" s="499"/>
    </row>
    <row r="2975" spans="9:17">
      <c r="I2975" s="578" t="str">
        <f t="shared" si="192"/>
        <v>2008gest32-36Neo</v>
      </c>
      <c r="J2975" s="604">
        <v>2008</v>
      </c>
      <c r="K2975" s="604" t="s">
        <v>450</v>
      </c>
      <c r="L2975" s="604" t="s">
        <v>136</v>
      </c>
      <c r="M2975" s="604">
        <v>21</v>
      </c>
      <c r="N2975" s="604">
        <v>4009</v>
      </c>
      <c r="O2975" s="604">
        <v>5.2</v>
      </c>
      <c r="P2975" s="604" t="s">
        <v>484</v>
      </c>
      <c r="Q2975" s="499"/>
    </row>
    <row r="2976" spans="9:17">
      <c r="I2976" s="578" t="str">
        <f t="shared" si="192"/>
        <v>2008gest37-41Neo</v>
      </c>
      <c r="J2976" s="604">
        <v>2008</v>
      </c>
      <c r="K2976" s="604" t="s">
        <v>450</v>
      </c>
      <c r="L2976" s="604" t="s">
        <v>137</v>
      </c>
      <c r="M2976" s="604">
        <v>45</v>
      </c>
      <c r="N2976" s="604">
        <v>58459</v>
      </c>
      <c r="O2976" s="604">
        <v>0.8</v>
      </c>
      <c r="P2976" s="604" t="s">
        <v>484</v>
      </c>
      <c r="Q2976" s="499"/>
    </row>
    <row r="2977" spans="9:17">
      <c r="I2977" s="578" t="str">
        <f t="shared" si="192"/>
        <v>2008gest42+Neo</v>
      </c>
      <c r="J2977" s="604">
        <v>2008</v>
      </c>
      <c r="K2977" s="604" t="s">
        <v>450</v>
      </c>
      <c r="L2977" s="604" t="s">
        <v>138</v>
      </c>
      <c r="M2977" s="604">
        <v>1</v>
      </c>
      <c r="N2977" s="604">
        <v>1981</v>
      </c>
      <c r="O2977" s="604">
        <v>0.5</v>
      </c>
      <c r="P2977" s="604" t="s">
        <v>484</v>
      </c>
      <c r="Q2977" s="499"/>
    </row>
    <row r="2978" spans="9:17">
      <c r="I2978" s="578" t="str">
        <f t="shared" si="192"/>
        <v>2008gestUnknownNeo</v>
      </c>
      <c r="J2978" s="604">
        <v>2008</v>
      </c>
      <c r="K2978" s="604" t="s">
        <v>450</v>
      </c>
      <c r="L2978" s="604" t="s">
        <v>63</v>
      </c>
      <c r="M2978" s="604">
        <v>9</v>
      </c>
      <c r="N2978" s="604">
        <v>45</v>
      </c>
      <c r="O2978" s="604" t="s">
        <v>119</v>
      </c>
      <c r="P2978" s="604" t="s">
        <v>484</v>
      </c>
      <c r="Q2978" s="499"/>
    </row>
    <row r="2979" spans="9:17">
      <c r="I2979" s="578" t="str">
        <f t="shared" si="192"/>
        <v>2009gest&lt;28Neo</v>
      </c>
      <c r="J2979" s="604">
        <v>2009</v>
      </c>
      <c r="K2979" s="604" t="s">
        <v>450</v>
      </c>
      <c r="L2979" s="604" t="s">
        <v>375</v>
      </c>
      <c r="M2979" s="604">
        <v>102</v>
      </c>
      <c r="N2979" s="604">
        <v>279</v>
      </c>
      <c r="O2979" s="604">
        <v>365.6</v>
      </c>
      <c r="P2979" s="604" t="s">
        <v>484</v>
      </c>
      <c r="Q2979" s="499"/>
    </row>
    <row r="2980" spans="9:17">
      <c r="I2980" s="578" t="str">
        <f t="shared" si="192"/>
        <v>2009gest28-31Neo</v>
      </c>
      <c r="J2980" s="604">
        <v>2009</v>
      </c>
      <c r="K2980" s="604" t="s">
        <v>450</v>
      </c>
      <c r="L2980" s="604" t="s">
        <v>395</v>
      </c>
      <c r="M2980" s="604">
        <v>16</v>
      </c>
      <c r="N2980" s="604">
        <v>495</v>
      </c>
      <c r="O2980" s="604">
        <v>32.299999999999997</v>
      </c>
      <c r="P2980" s="604" t="s">
        <v>484</v>
      </c>
      <c r="Q2980" s="499"/>
    </row>
    <row r="2981" spans="9:17">
      <c r="I2981" s="578" t="str">
        <f t="shared" si="192"/>
        <v>2009gest32-36Neo</v>
      </c>
      <c r="J2981" s="604">
        <v>2009</v>
      </c>
      <c r="K2981" s="604" t="s">
        <v>450</v>
      </c>
      <c r="L2981" s="604" t="s">
        <v>136</v>
      </c>
      <c r="M2981" s="604">
        <v>25</v>
      </c>
      <c r="N2981" s="604">
        <v>3878</v>
      </c>
      <c r="O2981" s="604">
        <v>6.4</v>
      </c>
      <c r="P2981" s="604" t="s">
        <v>484</v>
      </c>
      <c r="Q2981" s="499"/>
    </row>
    <row r="2982" spans="9:17">
      <c r="I2982" s="578" t="str">
        <f t="shared" si="192"/>
        <v>2009gest37-41Neo</v>
      </c>
      <c r="J2982" s="604">
        <v>2009</v>
      </c>
      <c r="K2982" s="604" t="s">
        <v>450</v>
      </c>
      <c r="L2982" s="604" t="s">
        <v>137</v>
      </c>
      <c r="M2982" s="604">
        <v>49</v>
      </c>
      <c r="N2982" s="604">
        <v>56864</v>
      </c>
      <c r="O2982" s="604">
        <v>0.9</v>
      </c>
      <c r="P2982" s="604" t="s">
        <v>484</v>
      </c>
      <c r="Q2982" s="499"/>
    </row>
    <row r="2983" spans="9:17">
      <c r="I2983" s="578" t="str">
        <f t="shared" si="192"/>
        <v>2009gest42+Neo</v>
      </c>
      <c r="J2983" s="604">
        <v>2009</v>
      </c>
      <c r="K2983" s="604" t="s">
        <v>450</v>
      </c>
      <c r="L2983" s="604" t="s">
        <v>138</v>
      </c>
      <c r="M2983" s="604">
        <v>0</v>
      </c>
      <c r="N2983" s="604">
        <v>1715</v>
      </c>
      <c r="O2983" s="604">
        <v>0</v>
      </c>
      <c r="P2983" s="604" t="s">
        <v>484</v>
      </c>
      <c r="Q2983" s="499"/>
    </row>
    <row r="2984" spans="9:17">
      <c r="I2984" s="578" t="str">
        <f t="shared" si="192"/>
        <v>2009gestUnknownNeo</v>
      </c>
      <c r="J2984" s="604">
        <v>2009</v>
      </c>
      <c r="K2984" s="604" t="s">
        <v>450</v>
      </c>
      <c r="L2984" s="604" t="s">
        <v>63</v>
      </c>
      <c r="M2984" s="604">
        <v>5</v>
      </c>
      <c r="N2984" s="604">
        <v>54</v>
      </c>
      <c r="O2984" s="604" t="s">
        <v>119</v>
      </c>
      <c r="P2984" s="604" t="s">
        <v>484</v>
      </c>
      <c r="Q2984" s="499"/>
    </row>
    <row r="2985" spans="9:17">
      <c r="I2985" s="578" t="str">
        <f t="shared" si="192"/>
        <v>2010gest&lt;28Neo</v>
      </c>
      <c r="J2985" s="604">
        <v>2010</v>
      </c>
      <c r="K2985" s="604" t="s">
        <v>450</v>
      </c>
      <c r="L2985" s="604" t="s">
        <v>375</v>
      </c>
      <c r="M2985" s="604">
        <v>130</v>
      </c>
      <c r="N2985" s="604">
        <v>314</v>
      </c>
      <c r="O2985" s="604">
        <v>414</v>
      </c>
      <c r="P2985" s="604" t="s">
        <v>484</v>
      </c>
      <c r="Q2985" s="499"/>
    </row>
    <row r="2986" spans="9:17">
      <c r="I2986" s="578" t="str">
        <f t="shared" si="192"/>
        <v>2010gest28-31Neo</v>
      </c>
      <c r="J2986" s="604">
        <v>2010</v>
      </c>
      <c r="K2986" s="604" t="s">
        <v>450</v>
      </c>
      <c r="L2986" s="604" t="s">
        <v>395</v>
      </c>
      <c r="M2986" s="604">
        <v>14</v>
      </c>
      <c r="N2986" s="604">
        <v>516</v>
      </c>
      <c r="O2986" s="604">
        <v>27.1</v>
      </c>
      <c r="P2986" s="604" t="s">
        <v>484</v>
      </c>
      <c r="Q2986" s="499"/>
    </row>
    <row r="2987" spans="9:17">
      <c r="I2987" s="578" t="str">
        <f t="shared" si="192"/>
        <v>2010gest32-36Neo</v>
      </c>
      <c r="J2987" s="604">
        <v>2010</v>
      </c>
      <c r="K2987" s="604" t="s">
        <v>450</v>
      </c>
      <c r="L2987" s="604" t="s">
        <v>136</v>
      </c>
      <c r="M2987" s="604">
        <v>28</v>
      </c>
      <c r="N2987" s="604">
        <v>4054</v>
      </c>
      <c r="O2987" s="604">
        <v>6.9</v>
      </c>
      <c r="P2987" s="604" t="s">
        <v>484</v>
      </c>
      <c r="Q2987" s="499"/>
    </row>
    <row r="2988" spans="9:17">
      <c r="I2988" s="578" t="str">
        <f t="shared" si="192"/>
        <v>2010gest37-41Neo</v>
      </c>
      <c r="J2988" s="604">
        <v>2010</v>
      </c>
      <c r="K2988" s="604" t="s">
        <v>450</v>
      </c>
      <c r="L2988" s="604" t="s">
        <v>137</v>
      </c>
      <c r="M2988" s="604">
        <v>48</v>
      </c>
      <c r="N2988" s="604">
        <v>57958</v>
      </c>
      <c r="O2988" s="604">
        <v>0.8</v>
      </c>
      <c r="P2988" s="604" t="s">
        <v>484</v>
      </c>
      <c r="Q2988" s="499"/>
    </row>
    <row r="2989" spans="9:17">
      <c r="I2989" s="578" t="str">
        <f t="shared" si="192"/>
        <v>2010gest42+Neo</v>
      </c>
      <c r="J2989" s="604">
        <v>2010</v>
      </c>
      <c r="K2989" s="604" t="s">
        <v>450</v>
      </c>
      <c r="L2989" s="604" t="s">
        <v>138</v>
      </c>
      <c r="M2989" s="604">
        <v>2</v>
      </c>
      <c r="N2989" s="604">
        <v>1833</v>
      </c>
      <c r="O2989" s="604">
        <v>1.1000000000000001</v>
      </c>
      <c r="P2989" s="604" t="s">
        <v>484</v>
      </c>
      <c r="Q2989" s="499"/>
    </row>
    <row r="2990" spans="9:17">
      <c r="I2990" s="578" t="str">
        <f t="shared" si="192"/>
        <v>2010gestUnknownNeo</v>
      </c>
      <c r="J2990" s="604">
        <v>2010</v>
      </c>
      <c r="K2990" s="604" t="s">
        <v>450</v>
      </c>
      <c r="L2990" s="604" t="s">
        <v>63</v>
      </c>
      <c r="M2990" s="604">
        <v>12</v>
      </c>
      <c r="N2990" s="604">
        <v>24</v>
      </c>
      <c r="O2990" s="604" t="s">
        <v>119</v>
      </c>
      <c r="P2990" s="604" t="s">
        <v>484</v>
      </c>
      <c r="Q2990" s="499"/>
    </row>
    <row r="2991" spans="9:17">
      <c r="I2991" s="578" t="str">
        <f t="shared" si="192"/>
        <v>2011gest&lt;28Neo</v>
      </c>
      <c r="J2991" s="604">
        <v>2011</v>
      </c>
      <c r="K2991" s="604" t="s">
        <v>450</v>
      </c>
      <c r="L2991" s="604" t="s">
        <v>375</v>
      </c>
      <c r="M2991" s="604">
        <v>108</v>
      </c>
      <c r="N2991" s="604">
        <v>274</v>
      </c>
      <c r="O2991" s="604">
        <v>394.2</v>
      </c>
      <c r="P2991" s="604" t="s">
        <v>484</v>
      </c>
      <c r="Q2991" s="499"/>
    </row>
    <row r="2992" spans="9:17">
      <c r="I2992" s="578" t="str">
        <f t="shared" si="192"/>
        <v>2011gest28-31Neo</v>
      </c>
      <c r="J2992" s="604">
        <v>2011</v>
      </c>
      <c r="K2992" s="604" t="s">
        <v>450</v>
      </c>
      <c r="L2992" s="604" t="s">
        <v>395</v>
      </c>
      <c r="M2992" s="604">
        <v>18</v>
      </c>
      <c r="N2992" s="604">
        <v>482</v>
      </c>
      <c r="O2992" s="604">
        <v>37.299999999999997</v>
      </c>
      <c r="P2992" s="604" t="s">
        <v>484</v>
      </c>
      <c r="Q2992" s="499"/>
    </row>
    <row r="2993" spans="9:17">
      <c r="I2993" s="578" t="str">
        <f t="shared" si="192"/>
        <v>2011gest32-36Neo</v>
      </c>
      <c r="J2993" s="604">
        <v>2011</v>
      </c>
      <c r="K2993" s="604" t="s">
        <v>450</v>
      </c>
      <c r="L2993" s="604" t="s">
        <v>136</v>
      </c>
      <c r="M2993" s="604">
        <v>25</v>
      </c>
      <c r="N2993" s="604">
        <v>3882</v>
      </c>
      <c r="O2993" s="604">
        <v>6.4</v>
      </c>
      <c r="P2993" s="604" t="s">
        <v>484</v>
      </c>
      <c r="Q2993" s="499"/>
    </row>
    <row r="2994" spans="9:17">
      <c r="I2994" s="578" t="str">
        <f t="shared" si="192"/>
        <v>2011gest37-41Neo</v>
      </c>
      <c r="J2994" s="604">
        <v>2011</v>
      </c>
      <c r="K2994" s="604" t="s">
        <v>450</v>
      </c>
      <c r="L2994" s="604" t="s">
        <v>137</v>
      </c>
      <c r="M2994" s="604">
        <v>39</v>
      </c>
      <c r="N2994" s="604">
        <v>55919</v>
      </c>
      <c r="O2994" s="604">
        <v>0.7</v>
      </c>
      <c r="P2994" s="604" t="s">
        <v>484</v>
      </c>
      <c r="Q2994" s="499"/>
    </row>
    <row r="2995" spans="9:17">
      <c r="I2995" s="578" t="str">
        <f t="shared" si="192"/>
        <v>2011gest42+Neo</v>
      </c>
      <c r="J2995" s="604">
        <v>2011</v>
      </c>
      <c r="K2995" s="604" t="s">
        <v>450</v>
      </c>
      <c r="L2995" s="604" t="s">
        <v>138</v>
      </c>
      <c r="M2995" s="604">
        <v>5</v>
      </c>
      <c r="N2995" s="604">
        <v>1599</v>
      </c>
      <c r="O2995" s="604">
        <v>3.1</v>
      </c>
      <c r="P2995" s="604" t="s">
        <v>484</v>
      </c>
      <c r="Q2995" s="499"/>
    </row>
    <row r="2996" spans="9:17">
      <c r="I2996" s="578" t="str">
        <f t="shared" si="192"/>
        <v>2011gestUnknownNeo</v>
      </c>
      <c r="J2996" s="604">
        <v>2011</v>
      </c>
      <c r="K2996" s="604" t="s">
        <v>450</v>
      </c>
      <c r="L2996" s="604" t="s">
        <v>63</v>
      </c>
      <c r="M2996" s="604">
        <v>2</v>
      </c>
      <c r="N2996" s="604">
        <v>18</v>
      </c>
      <c r="O2996" s="604" t="s">
        <v>119</v>
      </c>
      <c r="P2996" s="604" t="s">
        <v>484</v>
      </c>
      <c r="Q2996" s="499"/>
    </row>
    <row r="2997" spans="9:17">
      <c r="I2997" s="578" t="str">
        <f t="shared" si="192"/>
        <v>2012gest&lt;28Neo</v>
      </c>
      <c r="J2997" s="604">
        <v>2012</v>
      </c>
      <c r="K2997" s="604" t="s">
        <v>450</v>
      </c>
      <c r="L2997" s="604" t="s">
        <v>375</v>
      </c>
      <c r="M2997" s="604">
        <v>113</v>
      </c>
      <c r="N2997" s="604">
        <v>284</v>
      </c>
      <c r="O2997" s="604">
        <v>397.9</v>
      </c>
      <c r="P2997" s="604" t="s">
        <v>484</v>
      </c>
      <c r="Q2997" s="499"/>
    </row>
    <row r="2998" spans="9:17">
      <c r="I2998" s="578" t="str">
        <f t="shared" si="192"/>
        <v>2012gest28-31Neo</v>
      </c>
      <c r="J2998" s="604">
        <v>2012</v>
      </c>
      <c r="K2998" s="604" t="s">
        <v>450</v>
      </c>
      <c r="L2998" s="604" t="s">
        <v>395</v>
      </c>
      <c r="M2998" s="604">
        <v>16</v>
      </c>
      <c r="N2998" s="604">
        <v>491</v>
      </c>
      <c r="O2998" s="604">
        <v>32.6</v>
      </c>
      <c r="P2998" s="604" t="s">
        <v>484</v>
      </c>
      <c r="Q2998" s="499"/>
    </row>
    <row r="2999" spans="9:17">
      <c r="I2999" s="578" t="str">
        <f t="shared" si="192"/>
        <v>2012gest32-36Neo</v>
      </c>
      <c r="J2999" s="604">
        <v>2012</v>
      </c>
      <c r="K2999" s="604" t="s">
        <v>450</v>
      </c>
      <c r="L2999" s="604" t="s">
        <v>136</v>
      </c>
      <c r="M2999" s="604">
        <v>15</v>
      </c>
      <c r="N2999" s="604">
        <v>3935</v>
      </c>
      <c r="O2999" s="604">
        <v>3.8</v>
      </c>
      <c r="P2999" s="604" t="s">
        <v>484</v>
      </c>
      <c r="Q2999" s="499"/>
    </row>
    <row r="3000" spans="9:17">
      <c r="I3000" s="578" t="str">
        <f t="shared" si="192"/>
        <v>2012gest37-41Neo</v>
      </c>
      <c r="J3000" s="604">
        <v>2012</v>
      </c>
      <c r="K3000" s="604" t="s">
        <v>450</v>
      </c>
      <c r="L3000" s="604" t="s">
        <v>137</v>
      </c>
      <c r="M3000" s="604">
        <v>43</v>
      </c>
      <c r="N3000" s="604">
        <v>55825</v>
      </c>
      <c r="O3000" s="604">
        <v>0.8</v>
      </c>
      <c r="P3000" s="604" t="s">
        <v>484</v>
      </c>
      <c r="Q3000" s="499"/>
    </row>
    <row r="3001" spans="9:17">
      <c r="I3001" s="578" t="str">
        <f t="shared" si="192"/>
        <v>2012gest42+Neo</v>
      </c>
      <c r="J3001" s="604">
        <v>2012</v>
      </c>
      <c r="K3001" s="604" t="s">
        <v>450</v>
      </c>
      <c r="L3001" s="604" t="s">
        <v>138</v>
      </c>
      <c r="M3001" s="604">
        <v>1</v>
      </c>
      <c r="N3001" s="604">
        <v>1481</v>
      </c>
      <c r="O3001" s="604">
        <v>0.7</v>
      </c>
      <c r="P3001" s="604" t="s">
        <v>484</v>
      </c>
      <c r="Q3001" s="499"/>
    </row>
    <row r="3002" spans="9:17">
      <c r="I3002" s="578" t="str">
        <f t="shared" si="192"/>
        <v>2012gestUnknownNeo</v>
      </c>
      <c r="J3002" s="604">
        <v>2012</v>
      </c>
      <c r="K3002" s="604" t="s">
        <v>450</v>
      </c>
      <c r="L3002" s="604" t="s">
        <v>63</v>
      </c>
      <c r="M3002" s="604">
        <v>6</v>
      </c>
      <c r="N3002" s="604">
        <v>19</v>
      </c>
      <c r="O3002" s="604" t="s">
        <v>119</v>
      </c>
      <c r="P3002" s="604" t="s">
        <v>484</v>
      </c>
      <c r="Q3002" s="499"/>
    </row>
    <row r="3003" spans="9:17">
      <c r="I3003" s="578" t="str">
        <f t="shared" si="192"/>
        <v>2013gest&lt;28Neo</v>
      </c>
      <c r="J3003" s="604">
        <v>2013</v>
      </c>
      <c r="K3003" s="604" t="s">
        <v>450</v>
      </c>
      <c r="L3003" s="604" t="s">
        <v>375</v>
      </c>
      <c r="M3003" s="604">
        <v>118</v>
      </c>
      <c r="N3003" s="604">
        <v>299</v>
      </c>
      <c r="O3003" s="604">
        <v>394.6</v>
      </c>
      <c r="P3003" s="604" t="s">
        <v>484</v>
      </c>
      <c r="Q3003" s="499"/>
    </row>
    <row r="3004" spans="9:17">
      <c r="I3004" s="578" t="str">
        <f t="shared" si="192"/>
        <v>2013gest28-31Neo</v>
      </c>
      <c r="J3004" s="604">
        <v>2013</v>
      </c>
      <c r="K3004" s="604" t="s">
        <v>450</v>
      </c>
      <c r="L3004" s="604" t="s">
        <v>395</v>
      </c>
      <c r="M3004" s="604">
        <v>13</v>
      </c>
      <c r="N3004" s="604">
        <v>448</v>
      </c>
      <c r="O3004" s="604">
        <v>29</v>
      </c>
      <c r="P3004" s="604" t="s">
        <v>484</v>
      </c>
      <c r="Q3004" s="499"/>
    </row>
    <row r="3005" spans="9:17">
      <c r="I3005" s="578" t="str">
        <f t="shared" si="192"/>
        <v>2013gest32-36Neo</v>
      </c>
      <c r="J3005" s="604">
        <v>2013</v>
      </c>
      <c r="K3005" s="604" t="s">
        <v>450</v>
      </c>
      <c r="L3005" s="604" t="s">
        <v>136</v>
      </c>
      <c r="M3005" s="604">
        <v>25</v>
      </c>
      <c r="N3005" s="604">
        <v>3720</v>
      </c>
      <c r="O3005" s="604">
        <v>6.7</v>
      </c>
      <c r="P3005" s="604" t="s">
        <v>484</v>
      </c>
      <c r="Q3005" s="499"/>
    </row>
    <row r="3006" spans="9:17">
      <c r="I3006" s="578" t="str">
        <f t="shared" si="192"/>
        <v>2013gest37-41Neo</v>
      </c>
      <c r="J3006" s="604">
        <v>2013</v>
      </c>
      <c r="K3006" s="604" t="s">
        <v>450</v>
      </c>
      <c r="L3006" s="604" t="s">
        <v>137</v>
      </c>
      <c r="M3006" s="604">
        <v>36</v>
      </c>
      <c r="N3006" s="604">
        <v>54038</v>
      </c>
      <c r="O3006" s="604">
        <v>0.7</v>
      </c>
      <c r="P3006" s="604" t="s">
        <v>484</v>
      </c>
      <c r="Q3006" s="499"/>
    </row>
    <row r="3007" spans="9:17">
      <c r="I3007" s="578" t="str">
        <f t="shared" si="192"/>
        <v>2013gest42+Neo</v>
      </c>
      <c r="J3007" s="604">
        <v>2013</v>
      </c>
      <c r="K3007" s="604" t="s">
        <v>450</v>
      </c>
      <c r="L3007" s="604" t="s">
        <v>138</v>
      </c>
      <c r="M3007" s="604">
        <v>1</v>
      </c>
      <c r="N3007" s="604">
        <v>1175</v>
      </c>
      <c r="O3007" s="604">
        <v>0.9</v>
      </c>
      <c r="P3007" s="604" t="s">
        <v>484</v>
      </c>
      <c r="Q3007" s="499"/>
    </row>
    <row r="3008" spans="9:17">
      <c r="I3008" s="578" t="str">
        <f t="shared" si="192"/>
        <v>2013gestUnknownNeo</v>
      </c>
      <c r="J3008" s="604">
        <v>2013</v>
      </c>
      <c r="K3008" s="604" t="s">
        <v>450</v>
      </c>
      <c r="L3008" s="604" t="s">
        <v>63</v>
      </c>
      <c r="M3008" s="604">
        <v>5</v>
      </c>
      <c r="N3008" s="604">
        <v>21</v>
      </c>
      <c r="O3008" s="604" t="s">
        <v>119</v>
      </c>
      <c r="P3008" s="604" t="s">
        <v>484</v>
      </c>
      <c r="Q3008" s="499"/>
    </row>
    <row r="3009" spans="9:17">
      <c r="I3009" s="578" t="str">
        <f t="shared" si="192"/>
        <v>2014gest&lt;28Neo</v>
      </c>
      <c r="J3009" s="604">
        <v>2014</v>
      </c>
      <c r="K3009" s="604" t="s">
        <v>450</v>
      </c>
      <c r="L3009" s="604" t="s">
        <v>375</v>
      </c>
      <c r="M3009" s="604">
        <v>147</v>
      </c>
      <c r="N3009" s="604">
        <v>318</v>
      </c>
      <c r="O3009" s="604">
        <v>462.3</v>
      </c>
      <c r="P3009" s="604" t="s">
        <v>484</v>
      </c>
      <c r="Q3009" s="499"/>
    </row>
    <row r="3010" spans="9:17">
      <c r="I3010" s="578" t="str">
        <f t="shared" si="192"/>
        <v>2014gest28-31Neo</v>
      </c>
      <c r="J3010" s="604">
        <v>2014</v>
      </c>
      <c r="K3010" s="604" t="s">
        <v>450</v>
      </c>
      <c r="L3010" s="604" t="s">
        <v>395</v>
      </c>
      <c r="M3010" s="604">
        <v>7</v>
      </c>
      <c r="N3010" s="604">
        <v>421</v>
      </c>
      <c r="O3010" s="604">
        <v>16.600000000000001</v>
      </c>
      <c r="P3010" s="604" t="s">
        <v>484</v>
      </c>
      <c r="Q3010" s="499"/>
    </row>
    <row r="3011" spans="9:17">
      <c r="I3011" s="578" t="str">
        <f t="shared" si="192"/>
        <v>2014gest32-36Neo</v>
      </c>
      <c r="J3011" s="604">
        <v>2014</v>
      </c>
      <c r="K3011" s="604" t="s">
        <v>450</v>
      </c>
      <c r="L3011" s="604" t="s">
        <v>136</v>
      </c>
      <c r="M3011" s="604">
        <v>20</v>
      </c>
      <c r="N3011" s="604">
        <v>3617</v>
      </c>
      <c r="O3011" s="604">
        <v>5.5</v>
      </c>
      <c r="P3011" s="604" t="s">
        <v>484</v>
      </c>
      <c r="Q3011" s="499"/>
    </row>
    <row r="3012" spans="9:17">
      <c r="I3012" s="578" t="str">
        <f t="shared" ref="I3012:I3075" si="193">J3012&amp;K3012&amp;L3012&amp;P3012</f>
        <v>2014gest37-41Neo</v>
      </c>
      <c r="J3012" s="604">
        <v>2014</v>
      </c>
      <c r="K3012" s="604" t="s">
        <v>450</v>
      </c>
      <c r="L3012" s="604" t="s">
        <v>137</v>
      </c>
      <c r="M3012" s="604">
        <v>47</v>
      </c>
      <c r="N3012" s="604">
        <v>52797</v>
      </c>
      <c r="O3012" s="604">
        <v>0.9</v>
      </c>
      <c r="P3012" s="604" t="s">
        <v>484</v>
      </c>
      <c r="Q3012" s="499"/>
    </row>
    <row r="3013" spans="9:17">
      <c r="I3013" s="578" t="str">
        <f t="shared" si="193"/>
        <v>2014gest42+Neo</v>
      </c>
      <c r="J3013" s="604">
        <v>2014</v>
      </c>
      <c r="K3013" s="604" t="s">
        <v>450</v>
      </c>
      <c r="L3013" s="604" t="s">
        <v>138</v>
      </c>
      <c r="M3013" s="604">
        <v>0</v>
      </c>
      <c r="N3013" s="604">
        <v>1120</v>
      </c>
      <c r="O3013" s="604">
        <v>0</v>
      </c>
      <c r="P3013" s="604" t="s">
        <v>484</v>
      </c>
      <c r="Q3013" s="499"/>
    </row>
    <row r="3014" spans="9:17">
      <c r="I3014" s="578" t="str">
        <f t="shared" si="193"/>
        <v>2014gestUnknownNeo</v>
      </c>
      <c r="J3014" s="604">
        <v>2014</v>
      </c>
      <c r="K3014" s="604" t="s">
        <v>450</v>
      </c>
      <c r="L3014" s="604" t="s">
        <v>63</v>
      </c>
      <c r="M3014" s="604">
        <v>19</v>
      </c>
      <c r="N3014" s="604">
        <v>12</v>
      </c>
      <c r="O3014" s="604" t="s">
        <v>119</v>
      </c>
      <c r="P3014" s="604" t="s">
        <v>484</v>
      </c>
      <c r="Q3014" s="499"/>
    </row>
    <row r="3015" spans="9:17">
      <c r="I3015" s="578" t="str">
        <f t="shared" si="193"/>
        <v>2015gest&lt;28Neo</v>
      </c>
      <c r="J3015" s="604">
        <v>2015</v>
      </c>
      <c r="K3015" s="604" t="s">
        <v>450</v>
      </c>
      <c r="L3015" s="604" t="s">
        <v>375</v>
      </c>
      <c r="M3015" s="604">
        <v>95</v>
      </c>
      <c r="N3015" s="604">
        <v>285</v>
      </c>
      <c r="O3015" s="604">
        <v>333.3</v>
      </c>
      <c r="P3015" s="604" t="s">
        <v>484</v>
      </c>
      <c r="Q3015" s="499"/>
    </row>
    <row r="3016" spans="9:17">
      <c r="I3016" s="578" t="str">
        <f t="shared" si="193"/>
        <v>2015gest28-31Neo</v>
      </c>
      <c r="J3016" s="604">
        <v>2015</v>
      </c>
      <c r="K3016" s="604" t="s">
        <v>450</v>
      </c>
      <c r="L3016" s="604" t="s">
        <v>395</v>
      </c>
      <c r="M3016" s="604">
        <v>7</v>
      </c>
      <c r="N3016" s="604">
        <v>477</v>
      </c>
      <c r="O3016" s="604">
        <v>14.7</v>
      </c>
      <c r="P3016" s="604" t="s">
        <v>484</v>
      </c>
      <c r="Q3016" s="499"/>
    </row>
    <row r="3017" spans="9:17">
      <c r="I3017" s="578" t="str">
        <f t="shared" si="193"/>
        <v>2015gest32-36Neo</v>
      </c>
      <c r="J3017" s="604">
        <v>2015</v>
      </c>
      <c r="K3017" s="604" t="s">
        <v>450</v>
      </c>
      <c r="L3017" s="604" t="s">
        <v>136</v>
      </c>
      <c r="M3017" s="604">
        <v>23</v>
      </c>
      <c r="N3017" s="604">
        <v>3866</v>
      </c>
      <c r="O3017" s="604">
        <v>5.9</v>
      </c>
      <c r="P3017" s="604" t="s">
        <v>484</v>
      </c>
      <c r="Q3017" s="499"/>
    </row>
    <row r="3018" spans="9:17">
      <c r="I3018" s="578" t="str">
        <f t="shared" si="193"/>
        <v>2015gest37-41Neo</v>
      </c>
      <c r="J3018" s="604">
        <v>2015</v>
      </c>
      <c r="K3018" s="604" t="s">
        <v>450</v>
      </c>
      <c r="L3018" s="604" t="s">
        <v>137</v>
      </c>
      <c r="M3018" s="604">
        <v>38</v>
      </c>
      <c r="N3018" s="604">
        <v>56298</v>
      </c>
      <c r="O3018" s="604">
        <v>0.7</v>
      </c>
      <c r="P3018" s="604" t="s">
        <v>484</v>
      </c>
      <c r="Q3018" s="499"/>
    </row>
    <row r="3019" spans="9:17">
      <c r="I3019" s="578" t="str">
        <f t="shared" si="193"/>
        <v>2015gest42+Neo</v>
      </c>
      <c r="J3019" s="604">
        <v>2015</v>
      </c>
      <c r="K3019" s="604" t="s">
        <v>450</v>
      </c>
      <c r="L3019" s="604" t="s">
        <v>138</v>
      </c>
      <c r="M3019" s="604">
        <v>4</v>
      </c>
      <c r="N3019" s="604">
        <v>1182</v>
      </c>
      <c r="O3019" s="604">
        <v>3.4</v>
      </c>
      <c r="P3019" s="604" t="s">
        <v>484</v>
      </c>
      <c r="Q3019" s="499"/>
    </row>
    <row r="3020" spans="9:17">
      <c r="I3020" s="578" t="str">
        <f t="shared" si="193"/>
        <v>2015gestUnknownNeo</v>
      </c>
      <c r="J3020" s="604">
        <v>2015</v>
      </c>
      <c r="K3020" s="604" t="s">
        <v>450</v>
      </c>
      <c r="L3020" s="604" t="s">
        <v>63</v>
      </c>
      <c r="M3020" s="604">
        <v>8</v>
      </c>
      <c r="N3020" s="604">
        <v>14</v>
      </c>
      <c r="O3020" s="604" t="s">
        <v>119</v>
      </c>
      <c r="P3020" s="604" t="s">
        <v>484</v>
      </c>
      <c r="Q3020" s="499"/>
    </row>
    <row r="3021" spans="9:17">
      <c r="I3021" s="578" t="str">
        <f t="shared" si="193"/>
        <v>2016gest&lt;28Neo</v>
      </c>
      <c r="J3021" s="604">
        <v>2016</v>
      </c>
      <c r="K3021" s="604" t="s">
        <v>450</v>
      </c>
      <c r="L3021" s="604" t="s">
        <v>375</v>
      </c>
      <c r="M3021" s="604">
        <v>86</v>
      </c>
      <c r="N3021" s="604">
        <v>260</v>
      </c>
      <c r="O3021" s="604">
        <v>330.8</v>
      </c>
      <c r="P3021" s="604" t="s">
        <v>484</v>
      </c>
      <c r="Q3021" s="499"/>
    </row>
    <row r="3022" spans="9:17">
      <c r="I3022" s="578" t="str">
        <f t="shared" si="193"/>
        <v>2016gest28-31Neo</v>
      </c>
      <c r="J3022" s="604">
        <v>2016</v>
      </c>
      <c r="K3022" s="604" t="s">
        <v>450</v>
      </c>
      <c r="L3022" s="604" t="s">
        <v>395</v>
      </c>
      <c r="M3022" s="604">
        <v>11</v>
      </c>
      <c r="N3022" s="604">
        <v>417</v>
      </c>
      <c r="O3022" s="604">
        <v>26.4</v>
      </c>
      <c r="P3022" s="604" t="s">
        <v>484</v>
      </c>
      <c r="Q3022" s="499"/>
    </row>
    <row r="3023" spans="9:17">
      <c r="I3023" s="578" t="str">
        <f t="shared" si="193"/>
        <v>2016gest32-36Neo</v>
      </c>
      <c r="J3023" s="604">
        <v>2016</v>
      </c>
      <c r="K3023" s="604" t="s">
        <v>450</v>
      </c>
      <c r="L3023" s="604" t="s">
        <v>136</v>
      </c>
      <c r="M3023" s="604">
        <v>13</v>
      </c>
      <c r="N3023" s="604">
        <v>3814</v>
      </c>
      <c r="O3023" s="604">
        <v>3.4</v>
      </c>
      <c r="P3023" s="604" t="s">
        <v>484</v>
      </c>
      <c r="Q3023" s="499"/>
    </row>
    <row r="3024" spans="9:17">
      <c r="I3024" s="578" t="str">
        <f t="shared" si="193"/>
        <v>2016gest37-41Neo</v>
      </c>
      <c r="J3024" s="604">
        <v>2016</v>
      </c>
      <c r="K3024" s="604" t="s">
        <v>450</v>
      </c>
      <c r="L3024" s="604" t="s">
        <v>137</v>
      </c>
      <c r="M3024" s="604">
        <v>38</v>
      </c>
      <c r="N3024" s="604">
        <v>54899</v>
      </c>
      <c r="O3024" s="604">
        <v>0.7</v>
      </c>
      <c r="P3024" s="604" t="s">
        <v>484</v>
      </c>
      <c r="Q3024" s="499"/>
    </row>
    <row r="3025" spans="9:17">
      <c r="I3025" s="578" t="str">
        <f t="shared" si="193"/>
        <v>2016gest42+Neo</v>
      </c>
      <c r="J3025" s="604">
        <v>2016</v>
      </c>
      <c r="K3025" s="604" t="s">
        <v>450</v>
      </c>
      <c r="L3025" s="604" t="s">
        <v>138</v>
      </c>
      <c r="M3025" s="604">
        <v>3</v>
      </c>
      <c r="N3025" s="604">
        <v>1017</v>
      </c>
      <c r="O3025" s="604">
        <v>2.9</v>
      </c>
      <c r="P3025" s="604" t="s">
        <v>484</v>
      </c>
      <c r="Q3025" s="499"/>
    </row>
    <row r="3026" spans="9:17">
      <c r="I3026" s="578" t="str">
        <f t="shared" si="193"/>
        <v>2016gestUnknownNeo</v>
      </c>
      <c r="J3026" s="604">
        <v>2016</v>
      </c>
      <c r="K3026" s="604" t="s">
        <v>450</v>
      </c>
      <c r="L3026" s="604" t="s">
        <v>63</v>
      </c>
      <c r="M3026" s="604">
        <v>10</v>
      </c>
      <c r="N3026" s="604">
        <v>29</v>
      </c>
      <c r="O3026" s="604" t="s">
        <v>119</v>
      </c>
      <c r="P3026" s="604" t="s">
        <v>484</v>
      </c>
      <c r="Q3026" s="499"/>
    </row>
    <row r="3027" spans="9:17">
      <c r="I3027" s="578" t="str">
        <f t="shared" si="193"/>
        <v>1996dhbNorthlandNeo</v>
      </c>
      <c r="J3027" s="604">
        <v>1996</v>
      </c>
      <c r="K3027" s="604" t="s">
        <v>448</v>
      </c>
      <c r="L3027" s="604" t="s">
        <v>85</v>
      </c>
      <c r="M3027" s="604">
        <v>15</v>
      </c>
      <c r="N3027" s="604">
        <v>2240</v>
      </c>
      <c r="O3027" s="604">
        <v>6.7</v>
      </c>
      <c r="P3027" s="604" t="s">
        <v>484</v>
      </c>
      <c r="Q3027" s="499"/>
    </row>
    <row r="3028" spans="9:17">
      <c r="I3028" s="578" t="str">
        <f t="shared" si="193"/>
        <v>1996dhbWaitemataNeo</v>
      </c>
      <c r="J3028" s="604">
        <v>1996</v>
      </c>
      <c r="K3028" s="604" t="s">
        <v>448</v>
      </c>
      <c r="L3028" s="604" t="s">
        <v>86</v>
      </c>
      <c r="M3028" s="604">
        <v>22</v>
      </c>
      <c r="N3028" s="604">
        <v>6325</v>
      </c>
      <c r="O3028" s="604">
        <v>3.5</v>
      </c>
      <c r="P3028" s="604" t="s">
        <v>484</v>
      </c>
      <c r="Q3028" s="499"/>
    </row>
    <row r="3029" spans="9:17">
      <c r="I3029" s="578" t="str">
        <f t="shared" si="193"/>
        <v>1996dhbAucklandNeo</v>
      </c>
      <c r="J3029" s="604">
        <v>1996</v>
      </c>
      <c r="K3029" s="604" t="s">
        <v>448</v>
      </c>
      <c r="L3029" s="604" t="s">
        <v>87</v>
      </c>
      <c r="M3029" s="604">
        <v>23</v>
      </c>
      <c r="N3029" s="604">
        <v>5994</v>
      </c>
      <c r="O3029" s="604">
        <v>3.8</v>
      </c>
      <c r="P3029" s="604" t="s">
        <v>484</v>
      </c>
      <c r="Q3029" s="499"/>
    </row>
    <row r="3030" spans="9:17">
      <c r="I3030" s="578" t="str">
        <f t="shared" si="193"/>
        <v>1996dhbCounties ManukauNeo</v>
      </c>
      <c r="J3030" s="604">
        <v>1996</v>
      </c>
      <c r="K3030" s="604" t="s">
        <v>448</v>
      </c>
      <c r="L3030" s="604" t="s">
        <v>88</v>
      </c>
      <c r="M3030" s="604">
        <v>22</v>
      </c>
      <c r="N3030" s="604">
        <v>6875</v>
      </c>
      <c r="O3030" s="604">
        <v>3.2</v>
      </c>
      <c r="P3030" s="604" t="s">
        <v>484</v>
      </c>
      <c r="Q3030" s="499"/>
    </row>
    <row r="3031" spans="9:17">
      <c r="I3031" s="578" t="str">
        <f t="shared" si="193"/>
        <v>1996dhbWaikatoNeo</v>
      </c>
      <c r="J3031" s="604">
        <v>1996</v>
      </c>
      <c r="K3031" s="604" t="s">
        <v>448</v>
      </c>
      <c r="L3031" s="604" t="s">
        <v>89</v>
      </c>
      <c r="M3031" s="604">
        <v>20</v>
      </c>
      <c r="N3031" s="604">
        <v>4944</v>
      </c>
      <c r="O3031" s="604">
        <v>4</v>
      </c>
      <c r="P3031" s="604" t="s">
        <v>484</v>
      </c>
      <c r="Q3031" s="499"/>
    </row>
    <row r="3032" spans="9:17">
      <c r="I3032" s="578" t="str">
        <f t="shared" si="193"/>
        <v>1996dhbLakesNeo</v>
      </c>
      <c r="J3032" s="604">
        <v>1996</v>
      </c>
      <c r="K3032" s="604" t="s">
        <v>448</v>
      </c>
      <c r="L3032" s="604" t="s">
        <v>90</v>
      </c>
      <c r="M3032" s="604">
        <v>7</v>
      </c>
      <c r="N3032" s="604">
        <v>1732</v>
      </c>
      <c r="O3032" s="604">
        <v>4</v>
      </c>
      <c r="P3032" s="604" t="s">
        <v>484</v>
      </c>
      <c r="Q3032" s="499"/>
    </row>
    <row r="3033" spans="9:17">
      <c r="I3033" s="578" t="str">
        <f t="shared" si="193"/>
        <v>1996dhbBay of PlentyNeo</v>
      </c>
      <c r="J3033" s="604">
        <v>1996</v>
      </c>
      <c r="K3033" s="604" t="s">
        <v>448</v>
      </c>
      <c r="L3033" s="604" t="s">
        <v>91</v>
      </c>
      <c r="M3033" s="604">
        <v>10</v>
      </c>
      <c r="N3033" s="604">
        <v>2575</v>
      </c>
      <c r="O3033" s="604">
        <v>3.9</v>
      </c>
      <c r="P3033" s="604" t="s">
        <v>484</v>
      </c>
      <c r="Q3033" s="499"/>
    </row>
    <row r="3034" spans="9:17">
      <c r="I3034" s="578" t="str">
        <f t="shared" si="193"/>
        <v>1996dhbTairawhitiNeo</v>
      </c>
      <c r="J3034" s="604">
        <v>1996</v>
      </c>
      <c r="K3034" s="604" t="s">
        <v>448</v>
      </c>
      <c r="L3034" s="604" t="s">
        <v>433</v>
      </c>
      <c r="M3034" s="604">
        <v>1</v>
      </c>
      <c r="N3034" s="604">
        <v>871</v>
      </c>
      <c r="O3034" s="604">
        <v>1.1000000000000001</v>
      </c>
      <c r="P3034" s="604" t="s">
        <v>484</v>
      </c>
      <c r="Q3034" s="499"/>
    </row>
    <row r="3035" spans="9:17">
      <c r="I3035" s="578" t="str">
        <f t="shared" si="193"/>
        <v>1996dhbHawke's BayNeo</v>
      </c>
      <c r="J3035" s="604">
        <v>1996</v>
      </c>
      <c r="K3035" s="604" t="s">
        <v>448</v>
      </c>
      <c r="L3035" s="604" t="s">
        <v>92</v>
      </c>
      <c r="M3035" s="604">
        <v>17</v>
      </c>
      <c r="N3035" s="604">
        <v>2405</v>
      </c>
      <c r="O3035" s="604">
        <v>7.1</v>
      </c>
      <c r="P3035" s="604" t="s">
        <v>484</v>
      </c>
      <c r="Q3035" s="499"/>
    </row>
    <row r="3036" spans="9:17">
      <c r="I3036" s="578" t="str">
        <f t="shared" si="193"/>
        <v>1996dhbTaranakiNeo</v>
      </c>
      <c r="J3036" s="604">
        <v>1996</v>
      </c>
      <c r="K3036" s="604" t="s">
        <v>448</v>
      </c>
      <c r="L3036" s="604" t="s">
        <v>93</v>
      </c>
      <c r="M3036" s="604">
        <v>10</v>
      </c>
      <c r="N3036" s="604">
        <v>1538</v>
      </c>
      <c r="O3036" s="604">
        <v>6.5</v>
      </c>
      <c r="P3036" s="604" t="s">
        <v>484</v>
      </c>
      <c r="Q3036" s="499"/>
    </row>
    <row r="3037" spans="9:17">
      <c r="I3037" s="578" t="str">
        <f t="shared" si="193"/>
        <v>1996dhbMidCentralNeo</v>
      </c>
      <c r="J3037" s="604">
        <v>1996</v>
      </c>
      <c r="K3037" s="604" t="s">
        <v>448</v>
      </c>
      <c r="L3037" s="604" t="s">
        <v>94</v>
      </c>
      <c r="M3037" s="604">
        <v>11</v>
      </c>
      <c r="N3037" s="604">
        <v>2430</v>
      </c>
      <c r="O3037" s="604">
        <v>4.5</v>
      </c>
      <c r="P3037" s="604" t="s">
        <v>484</v>
      </c>
      <c r="Q3037" s="499"/>
    </row>
    <row r="3038" spans="9:17">
      <c r="I3038" s="578" t="str">
        <f t="shared" si="193"/>
        <v>1996dhbWhanganuiNeo</v>
      </c>
      <c r="J3038" s="604">
        <v>1996</v>
      </c>
      <c r="K3038" s="604" t="s">
        <v>448</v>
      </c>
      <c r="L3038" s="604" t="s">
        <v>95</v>
      </c>
      <c r="M3038" s="604">
        <v>5</v>
      </c>
      <c r="N3038" s="604">
        <v>1078</v>
      </c>
      <c r="O3038" s="604">
        <v>4.5999999999999996</v>
      </c>
      <c r="P3038" s="604" t="s">
        <v>484</v>
      </c>
      <c r="Q3038" s="499"/>
    </row>
    <row r="3039" spans="9:17">
      <c r="I3039" s="578" t="str">
        <f t="shared" si="193"/>
        <v>1996dhbCapital &amp; CoastNeo</v>
      </c>
      <c r="J3039" s="604">
        <v>1996</v>
      </c>
      <c r="K3039" s="604" t="s">
        <v>448</v>
      </c>
      <c r="L3039" s="604" t="s">
        <v>96</v>
      </c>
      <c r="M3039" s="604">
        <v>11</v>
      </c>
      <c r="N3039" s="604">
        <v>3644</v>
      </c>
      <c r="O3039" s="604">
        <v>3</v>
      </c>
      <c r="P3039" s="604" t="s">
        <v>484</v>
      </c>
      <c r="Q3039" s="499"/>
    </row>
    <row r="3040" spans="9:17">
      <c r="I3040" s="578" t="str">
        <f t="shared" si="193"/>
        <v>1996dhbHutt ValleyNeo</v>
      </c>
      <c r="J3040" s="604">
        <v>1996</v>
      </c>
      <c r="K3040" s="604" t="s">
        <v>448</v>
      </c>
      <c r="L3040" s="604" t="s">
        <v>97</v>
      </c>
      <c r="M3040" s="604">
        <v>4</v>
      </c>
      <c r="N3040" s="604">
        <v>2135</v>
      </c>
      <c r="O3040" s="604">
        <v>1.9</v>
      </c>
      <c r="P3040" s="604" t="s">
        <v>484</v>
      </c>
      <c r="Q3040" s="499"/>
    </row>
    <row r="3041" spans="9:17">
      <c r="I3041" s="578" t="str">
        <f t="shared" si="193"/>
        <v>1996dhbWairarapaNeo</v>
      </c>
      <c r="J3041" s="604">
        <v>1996</v>
      </c>
      <c r="K3041" s="604" t="s">
        <v>448</v>
      </c>
      <c r="L3041" s="604" t="s">
        <v>98</v>
      </c>
      <c r="M3041" s="604">
        <v>4</v>
      </c>
      <c r="N3041" s="604">
        <v>570</v>
      </c>
      <c r="O3041" s="604">
        <v>7</v>
      </c>
      <c r="P3041" s="604" t="s">
        <v>484</v>
      </c>
      <c r="Q3041" s="499"/>
    </row>
    <row r="3042" spans="9:17">
      <c r="I3042" s="578" t="str">
        <f t="shared" si="193"/>
        <v>1996dhbNelson MarlboroughNeo</v>
      </c>
      <c r="J3042" s="604">
        <v>1996</v>
      </c>
      <c r="K3042" s="604" t="s">
        <v>448</v>
      </c>
      <c r="L3042" s="604" t="s">
        <v>99</v>
      </c>
      <c r="M3042" s="604">
        <v>5</v>
      </c>
      <c r="N3042" s="604">
        <v>1476</v>
      </c>
      <c r="O3042" s="604">
        <v>3.4</v>
      </c>
      <c r="P3042" s="604" t="s">
        <v>484</v>
      </c>
      <c r="Q3042" s="499"/>
    </row>
    <row r="3043" spans="9:17">
      <c r="I3043" s="578" t="str">
        <f t="shared" si="193"/>
        <v>1996dhbWest CoastNeo</v>
      </c>
      <c r="J3043" s="604">
        <v>1996</v>
      </c>
      <c r="K3043" s="604" t="s">
        <v>448</v>
      </c>
      <c r="L3043" s="604" t="s">
        <v>100</v>
      </c>
      <c r="M3043" s="604">
        <v>1</v>
      </c>
      <c r="N3043" s="604">
        <v>491</v>
      </c>
      <c r="O3043" s="604">
        <v>2</v>
      </c>
      <c r="P3043" s="604" t="s">
        <v>484</v>
      </c>
      <c r="Q3043" s="499"/>
    </row>
    <row r="3044" spans="9:17">
      <c r="I3044" s="578" t="str">
        <f t="shared" si="193"/>
        <v>1996dhbCanterburyNeo</v>
      </c>
      <c r="J3044" s="604">
        <v>1996</v>
      </c>
      <c r="K3044" s="604" t="s">
        <v>448</v>
      </c>
      <c r="L3044" s="604" t="s">
        <v>101</v>
      </c>
      <c r="M3044" s="604">
        <v>15</v>
      </c>
      <c r="N3044" s="604">
        <v>5538</v>
      </c>
      <c r="O3044" s="604">
        <v>2.7</v>
      </c>
      <c r="P3044" s="604" t="s">
        <v>484</v>
      </c>
      <c r="Q3044" s="499"/>
    </row>
    <row r="3045" spans="9:17">
      <c r="I3045" s="578" t="str">
        <f t="shared" si="193"/>
        <v>1996dhbSouth CanterburyNeo</v>
      </c>
      <c r="J3045" s="604">
        <v>1996</v>
      </c>
      <c r="K3045" s="604" t="s">
        <v>448</v>
      </c>
      <c r="L3045" s="604" t="s">
        <v>102</v>
      </c>
      <c r="M3045" s="604">
        <v>0</v>
      </c>
      <c r="N3045" s="604">
        <v>698</v>
      </c>
      <c r="O3045" s="604">
        <v>0</v>
      </c>
      <c r="P3045" s="604" t="s">
        <v>484</v>
      </c>
      <c r="Q3045" s="499"/>
    </row>
    <row r="3046" spans="9:17">
      <c r="I3046" s="578" t="str">
        <f t="shared" si="193"/>
        <v>1996dhbSouthernNeo</v>
      </c>
      <c r="J3046" s="604">
        <v>1996</v>
      </c>
      <c r="K3046" s="604" t="s">
        <v>448</v>
      </c>
      <c r="L3046" s="604" t="s">
        <v>103</v>
      </c>
      <c r="M3046" s="604">
        <v>20</v>
      </c>
      <c r="N3046" s="604">
        <v>3717</v>
      </c>
      <c r="O3046" s="604">
        <v>5.4</v>
      </c>
      <c r="P3046" s="604" t="s">
        <v>484</v>
      </c>
      <c r="Q3046" s="499"/>
    </row>
    <row r="3047" spans="9:17">
      <c r="I3047" s="578" t="str">
        <f t="shared" si="193"/>
        <v>1996dhbUnknownNeo</v>
      </c>
      <c r="J3047" s="604">
        <v>1996</v>
      </c>
      <c r="K3047" s="604" t="s">
        <v>448</v>
      </c>
      <c r="L3047" s="604" t="s">
        <v>63</v>
      </c>
      <c r="M3047" s="604">
        <v>0</v>
      </c>
      <c r="N3047" s="604">
        <v>158</v>
      </c>
      <c r="O3047" s="604" t="s">
        <v>119</v>
      </c>
      <c r="P3047" s="604" t="s">
        <v>484</v>
      </c>
      <c r="Q3047" s="499"/>
    </row>
    <row r="3048" spans="9:17">
      <c r="I3048" s="578" t="str">
        <f t="shared" si="193"/>
        <v>1997dhbNorthlandNeo</v>
      </c>
      <c r="J3048" s="604">
        <v>1997</v>
      </c>
      <c r="K3048" s="604" t="s">
        <v>448</v>
      </c>
      <c r="L3048" s="604" t="s">
        <v>85</v>
      </c>
      <c r="M3048" s="604">
        <v>5</v>
      </c>
      <c r="N3048" s="604">
        <v>2213</v>
      </c>
      <c r="O3048" s="604">
        <v>2.2999999999999998</v>
      </c>
      <c r="P3048" s="604" t="s">
        <v>484</v>
      </c>
      <c r="Q3048" s="499"/>
    </row>
    <row r="3049" spans="9:17">
      <c r="I3049" s="578" t="str">
        <f t="shared" si="193"/>
        <v>1997dhbWaitemataNeo</v>
      </c>
      <c r="J3049" s="604">
        <v>1997</v>
      </c>
      <c r="K3049" s="604" t="s">
        <v>448</v>
      </c>
      <c r="L3049" s="604" t="s">
        <v>86</v>
      </c>
      <c r="M3049" s="604">
        <v>25</v>
      </c>
      <c r="N3049" s="604">
        <v>6361</v>
      </c>
      <c r="O3049" s="604">
        <v>3.9</v>
      </c>
      <c r="P3049" s="604" t="s">
        <v>484</v>
      </c>
      <c r="Q3049" s="499"/>
    </row>
    <row r="3050" spans="9:17">
      <c r="I3050" s="578" t="str">
        <f t="shared" si="193"/>
        <v>1997dhbAucklandNeo</v>
      </c>
      <c r="J3050" s="604">
        <v>1997</v>
      </c>
      <c r="K3050" s="604" t="s">
        <v>448</v>
      </c>
      <c r="L3050" s="604" t="s">
        <v>87</v>
      </c>
      <c r="M3050" s="604">
        <v>27</v>
      </c>
      <c r="N3050" s="604">
        <v>5926</v>
      </c>
      <c r="O3050" s="604">
        <v>4.5999999999999996</v>
      </c>
      <c r="P3050" s="604" t="s">
        <v>484</v>
      </c>
      <c r="Q3050" s="499"/>
    </row>
    <row r="3051" spans="9:17">
      <c r="I3051" s="578" t="str">
        <f t="shared" si="193"/>
        <v>1997dhbCounties ManukauNeo</v>
      </c>
      <c r="J3051" s="604">
        <v>1997</v>
      </c>
      <c r="K3051" s="604" t="s">
        <v>448</v>
      </c>
      <c r="L3051" s="604" t="s">
        <v>88</v>
      </c>
      <c r="M3051" s="604">
        <v>30</v>
      </c>
      <c r="N3051" s="604">
        <v>6976</v>
      </c>
      <c r="O3051" s="604">
        <v>4.3</v>
      </c>
      <c r="P3051" s="604" t="s">
        <v>484</v>
      </c>
      <c r="Q3051" s="499"/>
    </row>
    <row r="3052" spans="9:17">
      <c r="I3052" s="578" t="str">
        <f t="shared" si="193"/>
        <v>1997dhbWaikatoNeo</v>
      </c>
      <c r="J3052" s="604">
        <v>1997</v>
      </c>
      <c r="K3052" s="604" t="s">
        <v>448</v>
      </c>
      <c r="L3052" s="604" t="s">
        <v>89</v>
      </c>
      <c r="M3052" s="604">
        <v>20</v>
      </c>
      <c r="N3052" s="604">
        <v>5239</v>
      </c>
      <c r="O3052" s="604">
        <v>3.8</v>
      </c>
      <c r="P3052" s="604" t="s">
        <v>484</v>
      </c>
      <c r="Q3052" s="499"/>
    </row>
    <row r="3053" spans="9:17">
      <c r="I3053" s="578" t="str">
        <f t="shared" si="193"/>
        <v>1997dhbLakesNeo</v>
      </c>
      <c r="J3053" s="604">
        <v>1997</v>
      </c>
      <c r="K3053" s="604" t="s">
        <v>448</v>
      </c>
      <c r="L3053" s="604" t="s">
        <v>90</v>
      </c>
      <c r="M3053" s="604">
        <v>10</v>
      </c>
      <c r="N3053" s="604">
        <v>1878</v>
      </c>
      <c r="O3053" s="604">
        <v>5.3</v>
      </c>
      <c r="P3053" s="604" t="s">
        <v>484</v>
      </c>
      <c r="Q3053" s="499"/>
    </row>
    <row r="3054" spans="9:17">
      <c r="I3054" s="578" t="str">
        <f t="shared" si="193"/>
        <v>1997dhbBay of PlentyNeo</v>
      </c>
      <c r="J3054" s="604">
        <v>1997</v>
      </c>
      <c r="K3054" s="604" t="s">
        <v>448</v>
      </c>
      <c r="L3054" s="604" t="s">
        <v>91</v>
      </c>
      <c r="M3054" s="604">
        <v>13</v>
      </c>
      <c r="N3054" s="604">
        <v>2746</v>
      </c>
      <c r="O3054" s="604">
        <v>4.7</v>
      </c>
      <c r="P3054" s="604" t="s">
        <v>484</v>
      </c>
      <c r="Q3054" s="499"/>
    </row>
    <row r="3055" spans="9:17">
      <c r="I3055" s="578" t="str">
        <f t="shared" si="193"/>
        <v>1997dhbTairawhitiNeo</v>
      </c>
      <c r="J3055" s="604">
        <v>1997</v>
      </c>
      <c r="K3055" s="604" t="s">
        <v>448</v>
      </c>
      <c r="L3055" s="604" t="s">
        <v>433</v>
      </c>
      <c r="M3055" s="604">
        <v>4</v>
      </c>
      <c r="N3055" s="604">
        <v>836</v>
      </c>
      <c r="O3055" s="604">
        <v>4.8</v>
      </c>
      <c r="P3055" s="604" t="s">
        <v>484</v>
      </c>
      <c r="Q3055" s="499"/>
    </row>
    <row r="3056" spans="9:17">
      <c r="I3056" s="578" t="str">
        <f t="shared" si="193"/>
        <v>1997dhbHawke's BayNeo</v>
      </c>
      <c r="J3056" s="604">
        <v>1997</v>
      </c>
      <c r="K3056" s="604" t="s">
        <v>448</v>
      </c>
      <c r="L3056" s="604" t="s">
        <v>92</v>
      </c>
      <c r="M3056" s="604">
        <v>8</v>
      </c>
      <c r="N3056" s="604">
        <v>2303</v>
      </c>
      <c r="O3056" s="604">
        <v>3.5</v>
      </c>
      <c r="P3056" s="604" t="s">
        <v>484</v>
      </c>
      <c r="Q3056" s="499"/>
    </row>
    <row r="3057" spans="9:17">
      <c r="I3057" s="578" t="str">
        <f t="shared" si="193"/>
        <v>1997dhbTaranakiNeo</v>
      </c>
      <c r="J3057" s="604">
        <v>1997</v>
      </c>
      <c r="K3057" s="604" t="s">
        <v>448</v>
      </c>
      <c r="L3057" s="604" t="s">
        <v>93</v>
      </c>
      <c r="M3057" s="604">
        <v>6</v>
      </c>
      <c r="N3057" s="604">
        <v>1504</v>
      </c>
      <c r="O3057" s="604">
        <v>4</v>
      </c>
      <c r="P3057" s="604" t="s">
        <v>484</v>
      </c>
      <c r="Q3057" s="499"/>
    </row>
    <row r="3058" spans="9:17">
      <c r="I3058" s="578" t="str">
        <f t="shared" si="193"/>
        <v>1997dhbMidCentralNeo</v>
      </c>
      <c r="J3058" s="604">
        <v>1997</v>
      </c>
      <c r="K3058" s="604" t="s">
        <v>448</v>
      </c>
      <c r="L3058" s="604" t="s">
        <v>94</v>
      </c>
      <c r="M3058" s="604">
        <v>4</v>
      </c>
      <c r="N3058" s="604">
        <v>2380</v>
      </c>
      <c r="O3058" s="604">
        <v>1.7</v>
      </c>
      <c r="P3058" s="604" t="s">
        <v>484</v>
      </c>
      <c r="Q3058" s="499"/>
    </row>
    <row r="3059" spans="9:17">
      <c r="I3059" s="578" t="str">
        <f t="shared" si="193"/>
        <v>1997dhbWhanganuiNeo</v>
      </c>
      <c r="J3059" s="604">
        <v>1997</v>
      </c>
      <c r="K3059" s="604" t="s">
        <v>448</v>
      </c>
      <c r="L3059" s="604" t="s">
        <v>95</v>
      </c>
      <c r="M3059" s="604">
        <v>4</v>
      </c>
      <c r="N3059" s="604">
        <v>1082</v>
      </c>
      <c r="O3059" s="604">
        <v>3.7</v>
      </c>
      <c r="P3059" s="604" t="s">
        <v>484</v>
      </c>
      <c r="Q3059" s="499"/>
    </row>
    <row r="3060" spans="9:17">
      <c r="I3060" s="578" t="str">
        <f t="shared" si="193"/>
        <v>1997dhbCapital &amp; CoastNeo</v>
      </c>
      <c r="J3060" s="604">
        <v>1997</v>
      </c>
      <c r="K3060" s="604" t="s">
        <v>448</v>
      </c>
      <c r="L3060" s="604" t="s">
        <v>96</v>
      </c>
      <c r="M3060" s="604">
        <v>8</v>
      </c>
      <c r="N3060" s="604">
        <v>3566</v>
      </c>
      <c r="O3060" s="604">
        <v>2.2000000000000002</v>
      </c>
      <c r="P3060" s="604" t="s">
        <v>484</v>
      </c>
      <c r="Q3060" s="499"/>
    </row>
    <row r="3061" spans="9:17">
      <c r="I3061" s="578" t="str">
        <f t="shared" si="193"/>
        <v>1997dhbHutt ValleyNeo</v>
      </c>
      <c r="J3061" s="604">
        <v>1997</v>
      </c>
      <c r="K3061" s="604" t="s">
        <v>448</v>
      </c>
      <c r="L3061" s="604" t="s">
        <v>97</v>
      </c>
      <c r="M3061" s="604">
        <v>9</v>
      </c>
      <c r="N3061" s="604">
        <v>2116</v>
      </c>
      <c r="O3061" s="604">
        <v>4.3</v>
      </c>
      <c r="P3061" s="604" t="s">
        <v>484</v>
      </c>
      <c r="Q3061" s="499"/>
    </row>
    <row r="3062" spans="9:17">
      <c r="I3062" s="578" t="str">
        <f t="shared" si="193"/>
        <v>1997dhbWairarapaNeo</v>
      </c>
      <c r="J3062" s="604">
        <v>1997</v>
      </c>
      <c r="K3062" s="604" t="s">
        <v>448</v>
      </c>
      <c r="L3062" s="604" t="s">
        <v>98</v>
      </c>
      <c r="M3062" s="604">
        <v>2</v>
      </c>
      <c r="N3062" s="604">
        <v>563</v>
      </c>
      <c r="O3062" s="604">
        <v>3.6</v>
      </c>
      <c r="P3062" s="604" t="s">
        <v>484</v>
      </c>
      <c r="Q3062" s="499"/>
    </row>
    <row r="3063" spans="9:17">
      <c r="I3063" s="578" t="str">
        <f t="shared" si="193"/>
        <v>1997dhbNelson MarlboroughNeo</v>
      </c>
      <c r="J3063" s="604">
        <v>1997</v>
      </c>
      <c r="K3063" s="604" t="s">
        <v>448</v>
      </c>
      <c r="L3063" s="604" t="s">
        <v>99</v>
      </c>
      <c r="M3063" s="604">
        <v>1</v>
      </c>
      <c r="N3063" s="604">
        <v>1544</v>
      </c>
      <c r="O3063" s="604">
        <v>0.6</v>
      </c>
      <c r="P3063" s="604" t="s">
        <v>484</v>
      </c>
      <c r="Q3063" s="499"/>
    </row>
    <row r="3064" spans="9:17">
      <c r="I3064" s="578" t="str">
        <f t="shared" si="193"/>
        <v>1997dhbWest CoastNeo</v>
      </c>
      <c r="J3064" s="604">
        <v>1997</v>
      </c>
      <c r="K3064" s="604" t="s">
        <v>448</v>
      </c>
      <c r="L3064" s="604" t="s">
        <v>100</v>
      </c>
      <c r="M3064" s="604">
        <v>2</v>
      </c>
      <c r="N3064" s="604">
        <v>428</v>
      </c>
      <c r="O3064" s="604">
        <v>4.7</v>
      </c>
      <c r="P3064" s="604" t="s">
        <v>484</v>
      </c>
      <c r="Q3064" s="499"/>
    </row>
    <row r="3065" spans="9:17">
      <c r="I3065" s="578" t="str">
        <f t="shared" si="193"/>
        <v>1997dhbCanterburyNeo</v>
      </c>
      <c r="J3065" s="604">
        <v>1997</v>
      </c>
      <c r="K3065" s="604" t="s">
        <v>448</v>
      </c>
      <c r="L3065" s="604" t="s">
        <v>101</v>
      </c>
      <c r="M3065" s="604">
        <v>21</v>
      </c>
      <c r="N3065" s="604">
        <v>5667</v>
      </c>
      <c r="O3065" s="604">
        <v>3.7</v>
      </c>
      <c r="P3065" s="604" t="s">
        <v>484</v>
      </c>
      <c r="Q3065" s="499"/>
    </row>
    <row r="3066" spans="9:17">
      <c r="I3066" s="578" t="str">
        <f t="shared" si="193"/>
        <v>1997dhbSouth CanterburyNeo</v>
      </c>
      <c r="J3066" s="604">
        <v>1997</v>
      </c>
      <c r="K3066" s="604" t="s">
        <v>448</v>
      </c>
      <c r="L3066" s="604" t="s">
        <v>102</v>
      </c>
      <c r="M3066" s="604">
        <v>0</v>
      </c>
      <c r="N3066" s="604">
        <v>653</v>
      </c>
      <c r="O3066" s="604">
        <v>0</v>
      </c>
      <c r="P3066" s="604" t="s">
        <v>484</v>
      </c>
      <c r="Q3066" s="499"/>
    </row>
    <row r="3067" spans="9:17">
      <c r="I3067" s="578" t="str">
        <f t="shared" si="193"/>
        <v>1997dhbSouthernNeo</v>
      </c>
      <c r="J3067" s="604">
        <v>1997</v>
      </c>
      <c r="K3067" s="604" t="s">
        <v>448</v>
      </c>
      <c r="L3067" s="604" t="s">
        <v>103</v>
      </c>
      <c r="M3067" s="604">
        <v>9</v>
      </c>
      <c r="N3067" s="604">
        <v>3618</v>
      </c>
      <c r="O3067" s="604">
        <v>2.5</v>
      </c>
      <c r="P3067" s="604" t="s">
        <v>484</v>
      </c>
      <c r="Q3067" s="499"/>
    </row>
    <row r="3068" spans="9:17">
      <c r="I3068" s="578" t="str">
        <f t="shared" si="193"/>
        <v>1997dhbUnknownNeo</v>
      </c>
      <c r="J3068" s="604">
        <v>1997</v>
      </c>
      <c r="K3068" s="604" t="s">
        <v>448</v>
      </c>
      <c r="L3068" s="604" t="s">
        <v>63</v>
      </c>
      <c r="M3068" s="604">
        <v>1</v>
      </c>
      <c r="N3068" s="604">
        <v>135</v>
      </c>
      <c r="O3068" s="604" t="s">
        <v>119</v>
      </c>
      <c r="P3068" s="604" t="s">
        <v>484</v>
      </c>
      <c r="Q3068" s="499"/>
    </row>
    <row r="3069" spans="9:17">
      <c r="I3069" s="578" t="str">
        <f t="shared" si="193"/>
        <v>1998dhbNorthlandNeo</v>
      </c>
      <c r="J3069" s="604">
        <v>1998</v>
      </c>
      <c r="K3069" s="604" t="s">
        <v>448</v>
      </c>
      <c r="L3069" s="604" t="s">
        <v>85</v>
      </c>
      <c r="M3069" s="604">
        <v>4</v>
      </c>
      <c r="N3069" s="604">
        <v>2213</v>
      </c>
      <c r="O3069" s="604">
        <v>1.8</v>
      </c>
      <c r="P3069" s="604" t="s">
        <v>484</v>
      </c>
      <c r="Q3069" s="499"/>
    </row>
    <row r="3070" spans="9:17">
      <c r="I3070" s="578" t="str">
        <f t="shared" si="193"/>
        <v>1998dhbWaitemataNeo</v>
      </c>
      <c r="J3070" s="604">
        <v>1998</v>
      </c>
      <c r="K3070" s="604" t="s">
        <v>448</v>
      </c>
      <c r="L3070" s="604" t="s">
        <v>86</v>
      </c>
      <c r="M3070" s="604">
        <v>24</v>
      </c>
      <c r="N3070" s="604">
        <v>6361</v>
      </c>
      <c r="O3070" s="604">
        <v>3.8</v>
      </c>
      <c r="P3070" s="604" t="s">
        <v>484</v>
      </c>
      <c r="Q3070" s="499"/>
    </row>
    <row r="3071" spans="9:17">
      <c r="I3071" s="578" t="str">
        <f t="shared" si="193"/>
        <v>1998dhbAucklandNeo</v>
      </c>
      <c r="J3071" s="604">
        <v>1998</v>
      </c>
      <c r="K3071" s="604" t="s">
        <v>448</v>
      </c>
      <c r="L3071" s="604" t="s">
        <v>87</v>
      </c>
      <c r="M3071" s="604">
        <v>21</v>
      </c>
      <c r="N3071" s="604">
        <v>5926</v>
      </c>
      <c r="O3071" s="604">
        <v>3.5</v>
      </c>
      <c r="P3071" s="604" t="s">
        <v>484</v>
      </c>
      <c r="Q3071" s="499"/>
    </row>
    <row r="3072" spans="9:17">
      <c r="I3072" s="578" t="str">
        <f t="shared" si="193"/>
        <v>1998dhbCounties ManukauNeo</v>
      </c>
      <c r="J3072" s="604">
        <v>1998</v>
      </c>
      <c r="K3072" s="604" t="s">
        <v>448</v>
      </c>
      <c r="L3072" s="604" t="s">
        <v>88</v>
      </c>
      <c r="M3072" s="604">
        <v>22</v>
      </c>
      <c r="N3072" s="604">
        <v>6976</v>
      </c>
      <c r="O3072" s="604">
        <v>3.2</v>
      </c>
      <c r="P3072" s="604" t="s">
        <v>484</v>
      </c>
      <c r="Q3072" s="499"/>
    </row>
    <row r="3073" spans="9:17">
      <c r="I3073" s="578" t="str">
        <f t="shared" si="193"/>
        <v>1998dhbWaikatoNeo</v>
      </c>
      <c r="J3073" s="604">
        <v>1998</v>
      </c>
      <c r="K3073" s="604" t="s">
        <v>448</v>
      </c>
      <c r="L3073" s="604" t="s">
        <v>89</v>
      </c>
      <c r="M3073" s="604">
        <v>12</v>
      </c>
      <c r="N3073" s="604">
        <v>5239</v>
      </c>
      <c r="O3073" s="604">
        <v>2.2999999999999998</v>
      </c>
      <c r="P3073" s="604" t="s">
        <v>484</v>
      </c>
      <c r="Q3073" s="499"/>
    </row>
    <row r="3074" spans="9:17">
      <c r="I3074" s="578" t="str">
        <f t="shared" si="193"/>
        <v>1998dhbLakesNeo</v>
      </c>
      <c r="J3074" s="604">
        <v>1998</v>
      </c>
      <c r="K3074" s="604" t="s">
        <v>448</v>
      </c>
      <c r="L3074" s="604" t="s">
        <v>90</v>
      </c>
      <c r="M3074" s="604">
        <v>5</v>
      </c>
      <c r="N3074" s="604">
        <v>1878</v>
      </c>
      <c r="O3074" s="604">
        <v>2.7</v>
      </c>
      <c r="P3074" s="604" t="s">
        <v>484</v>
      </c>
      <c r="Q3074" s="499"/>
    </row>
    <row r="3075" spans="9:17">
      <c r="I3075" s="578" t="str">
        <f t="shared" si="193"/>
        <v>1998dhbBay of PlentyNeo</v>
      </c>
      <c r="J3075" s="604">
        <v>1998</v>
      </c>
      <c r="K3075" s="604" t="s">
        <v>448</v>
      </c>
      <c r="L3075" s="604" t="s">
        <v>91</v>
      </c>
      <c r="M3075" s="604">
        <v>7</v>
      </c>
      <c r="N3075" s="604">
        <v>2746</v>
      </c>
      <c r="O3075" s="604">
        <v>2.5</v>
      </c>
      <c r="P3075" s="604" t="s">
        <v>484</v>
      </c>
      <c r="Q3075" s="499"/>
    </row>
    <row r="3076" spans="9:17">
      <c r="I3076" s="578" t="str">
        <f t="shared" ref="I3076:I3139" si="194">J3076&amp;K3076&amp;L3076&amp;P3076</f>
        <v>1998dhbTairawhitiNeo</v>
      </c>
      <c r="J3076" s="604">
        <v>1998</v>
      </c>
      <c r="K3076" s="604" t="s">
        <v>448</v>
      </c>
      <c r="L3076" s="604" t="s">
        <v>433</v>
      </c>
      <c r="M3076" s="604">
        <v>2</v>
      </c>
      <c r="N3076" s="604">
        <v>836</v>
      </c>
      <c r="O3076" s="604">
        <v>2.4</v>
      </c>
      <c r="P3076" s="604" t="s">
        <v>484</v>
      </c>
      <c r="Q3076" s="499"/>
    </row>
    <row r="3077" spans="9:17">
      <c r="I3077" s="578" t="str">
        <f t="shared" si="194"/>
        <v>1998dhbHawke's BayNeo</v>
      </c>
      <c r="J3077" s="604">
        <v>1998</v>
      </c>
      <c r="K3077" s="604" t="s">
        <v>448</v>
      </c>
      <c r="L3077" s="604" t="s">
        <v>92</v>
      </c>
      <c r="M3077" s="604">
        <v>8</v>
      </c>
      <c r="N3077" s="604">
        <v>2303</v>
      </c>
      <c r="O3077" s="604">
        <v>3.5</v>
      </c>
      <c r="P3077" s="604" t="s">
        <v>484</v>
      </c>
      <c r="Q3077" s="499"/>
    </row>
    <row r="3078" spans="9:17">
      <c r="I3078" s="578" t="str">
        <f t="shared" si="194"/>
        <v>1998dhbTaranakiNeo</v>
      </c>
      <c r="J3078" s="604">
        <v>1998</v>
      </c>
      <c r="K3078" s="604" t="s">
        <v>448</v>
      </c>
      <c r="L3078" s="604" t="s">
        <v>93</v>
      </c>
      <c r="M3078" s="604">
        <v>5</v>
      </c>
      <c r="N3078" s="604">
        <v>1504</v>
      </c>
      <c r="O3078" s="604">
        <v>3.3</v>
      </c>
      <c r="P3078" s="604" t="s">
        <v>484</v>
      </c>
      <c r="Q3078" s="499"/>
    </row>
    <row r="3079" spans="9:17">
      <c r="I3079" s="578" t="str">
        <f t="shared" si="194"/>
        <v>1998dhbMidCentralNeo</v>
      </c>
      <c r="J3079" s="604">
        <v>1998</v>
      </c>
      <c r="K3079" s="604" t="s">
        <v>448</v>
      </c>
      <c r="L3079" s="604" t="s">
        <v>94</v>
      </c>
      <c r="M3079" s="604">
        <v>9</v>
      </c>
      <c r="N3079" s="604">
        <v>2380</v>
      </c>
      <c r="O3079" s="604">
        <v>3.8</v>
      </c>
      <c r="P3079" s="604" t="s">
        <v>484</v>
      </c>
      <c r="Q3079" s="499"/>
    </row>
    <row r="3080" spans="9:17">
      <c r="I3080" s="578" t="str">
        <f t="shared" si="194"/>
        <v>1998dhbWhanganuiNeo</v>
      </c>
      <c r="J3080" s="604">
        <v>1998</v>
      </c>
      <c r="K3080" s="604" t="s">
        <v>448</v>
      </c>
      <c r="L3080" s="604" t="s">
        <v>95</v>
      </c>
      <c r="M3080" s="604">
        <v>2</v>
      </c>
      <c r="N3080" s="604">
        <v>1082</v>
      </c>
      <c r="O3080" s="604">
        <v>1.8</v>
      </c>
      <c r="P3080" s="604" t="s">
        <v>484</v>
      </c>
      <c r="Q3080" s="499"/>
    </row>
    <row r="3081" spans="9:17">
      <c r="I3081" s="578" t="str">
        <f t="shared" si="194"/>
        <v>1998dhbCapital &amp; CoastNeo</v>
      </c>
      <c r="J3081" s="604">
        <v>1998</v>
      </c>
      <c r="K3081" s="604" t="s">
        <v>448</v>
      </c>
      <c r="L3081" s="604" t="s">
        <v>96</v>
      </c>
      <c r="M3081" s="604">
        <v>6</v>
      </c>
      <c r="N3081" s="604">
        <v>3566</v>
      </c>
      <c r="O3081" s="604">
        <v>1.7</v>
      </c>
      <c r="P3081" s="604" t="s">
        <v>484</v>
      </c>
      <c r="Q3081" s="499"/>
    </row>
    <row r="3082" spans="9:17">
      <c r="I3082" s="578" t="str">
        <f t="shared" si="194"/>
        <v>1998dhbHutt ValleyNeo</v>
      </c>
      <c r="J3082" s="604">
        <v>1998</v>
      </c>
      <c r="K3082" s="604" t="s">
        <v>448</v>
      </c>
      <c r="L3082" s="604" t="s">
        <v>97</v>
      </c>
      <c r="M3082" s="604">
        <v>9</v>
      </c>
      <c r="N3082" s="604">
        <v>2116</v>
      </c>
      <c r="O3082" s="604">
        <v>4.3</v>
      </c>
      <c r="P3082" s="604" t="s">
        <v>484</v>
      </c>
      <c r="Q3082" s="499"/>
    </row>
    <row r="3083" spans="9:17">
      <c r="I3083" s="578" t="str">
        <f t="shared" si="194"/>
        <v>1998dhbWairarapaNeo</v>
      </c>
      <c r="J3083" s="604">
        <v>1998</v>
      </c>
      <c r="K3083" s="604" t="s">
        <v>448</v>
      </c>
      <c r="L3083" s="604" t="s">
        <v>98</v>
      </c>
      <c r="M3083" s="604">
        <v>2</v>
      </c>
      <c r="N3083" s="604">
        <v>563</v>
      </c>
      <c r="O3083" s="604">
        <v>3.6</v>
      </c>
      <c r="P3083" s="604" t="s">
        <v>484</v>
      </c>
      <c r="Q3083" s="499"/>
    </row>
    <row r="3084" spans="9:17">
      <c r="I3084" s="578" t="str">
        <f t="shared" si="194"/>
        <v>1998dhbNelson MarlboroughNeo</v>
      </c>
      <c r="J3084" s="604">
        <v>1998</v>
      </c>
      <c r="K3084" s="604" t="s">
        <v>448</v>
      </c>
      <c r="L3084" s="604" t="s">
        <v>99</v>
      </c>
      <c r="M3084" s="604">
        <v>3</v>
      </c>
      <c r="N3084" s="604">
        <v>1544</v>
      </c>
      <c r="O3084" s="604">
        <v>1.9</v>
      </c>
      <c r="P3084" s="604" t="s">
        <v>484</v>
      </c>
      <c r="Q3084" s="499"/>
    </row>
    <row r="3085" spans="9:17">
      <c r="I3085" s="578" t="str">
        <f t="shared" si="194"/>
        <v>1998dhbWest CoastNeo</v>
      </c>
      <c r="J3085" s="604">
        <v>1998</v>
      </c>
      <c r="K3085" s="604" t="s">
        <v>448</v>
      </c>
      <c r="L3085" s="604" t="s">
        <v>100</v>
      </c>
      <c r="M3085" s="604">
        <v>2</v>
      </c>
      <c r="N3085" s="604">
        <v>428</v>
      </c>
      <c r="O3085" s="604">
        <v>4.7</v>
      </c>
      <c r="P3085" s="604" t="s">
        <v>484</v>
      </c>
      <c r="Q3085" s="499"/>
    </row>
    <row r="3086" spans="9:17">
      <c r="I3086" s="578" t="str">
        <f t="shared" si="194"/>
        <v>1998dhbCanterburyNeo</v>
      </c>
      <c r="J3086" s="604">
        <v>1998</v>
      </c>
      <c r="K3086" s="604" t="s">
        <v>448</v>
      </c>
      <c r="L3086" s="604" t="s">
        <v>101</v>
      </c>
      <c r="M3086" s="604">
        <v>10</v>
      </c>
      <c r="N3086" s="604">
        <v>5667</v>
      </c>
      <c r="O3086" s="604">
        <v>1.8</v>
      </c>
      <c r="P3086" s="604" t="s">
        <v>484</v>
      </c>
      <c r="Q3086" s="499"/>
    </row>
    <row r="3087" spans="9:17">
      <c r="I3087" s="578" t="str">
        <f t="shared" si="194"/>
        <v>1998dhbSouth CanterburyNeo</v>
      </c>
      <c r="J3087" s="604">
        <v>1998</v>
      </c>
      <c r="K3087" s="604" t="s">
        <v>448</v>
      </c>
      <c r="L3087" s="604" t="s">
        <v>102</v>
      </c>
      <c r="M3087" s="604">
        <v>4</v>
      </c>
      <c r="N3087" s="604">
        <v>653</v>
      </c>
      <c r="O3087" s="604">
        <v>6.1</v>
      </c>
      <c r="P3087" s="604" t="s">
        <v>484</v>
      </c>
      <c r="Q3087" s="499"/>
    </row>
    <row r="3088" spans="9:17">
      <c r="I3088" s="578" t="str">
        <f t="shared" si="194"/>
        <v>1998dhbSouthernNeo</v>
      </c>
      <c r="J3088" s="604">
        <v>1998</v>
      </c>
      <c r="K3088" s="604" t="s">
        <v>448</v>
      </c>
      <c r="L3088" s="604" t="s">
        <v>103</v>
      </c>
      <c r="M3088" s="604">
        <v>14</v>
      </c>
      <c r="N3088" s="604">
        <v>3618</v>
      </c>
      <c r="O3088" s="604">
        <v>3.9</v>
      </c>
      <c r="P3088" s="604" t="s">
        <v>484</v>
      </c>
      <c r="Q3088" s="499"/>
    </row>
    <row r="3089" spans="9:17">
      <c r="I3089" s="578" t="str">
        <f t="shared" si="194"/>
        <v>1998dhbUnknownNeo</v>
      </c>
      <c r="J3089" s="604">
        <v>1998</v>
      </c>
      <c r="K3089" s="604" t="s">
        <v>448</v>
      </c>
      <c r="L3089" s="604" t="s">
        <v>63</v>
      </c>
      <c r="M3089" s="604">
        <v>0</v>
      </c>
      <c r="N3089" s="604">
        <v>135</v>
      </c>
      <c r="O3089" s="604" t="s">
        <v>119</v>
      </c>
      <c r="P3089" s="604" t="s">
        <v>484</v>
      </c>
      <c r="Q3089" s="499"/>
    </row>
    <row r="3090" spans="9:17">
      <c r="I3090" s="578" t="str">
        <f t="shared" si="194"/>
        <v>1999dhbNorthlandNeo</v>
      </c>
      <c r="J3090" s="604">
        <v>1999</v>
      </c>
      <c r="K3090" s="604" t="s">
        <v>448</v>
      </c>
      <c r="L3090" s="604" t="s">
        <v>85</v>
      </c>
      <c r="M3090" s="604">
        <v>8</v>
      </c>
      <c r="N3090" s="604">
        <v>2158</v>
      </c>
      <c r="O3090" s="604">
        <v>3.7</v>
      </c>
      <c r="P3090" s="604" t="s">
        <v>484</v>
      </c>
      <c r="Q3090" s="499"/>
    </row>
    <row r="3091" spans="9:17">
      <c r="I3091" s="578" t="str">
        <f t="shared" si="194"/>
        <v>1999dhbWaitemataNeo</v>
      </c>
      <c r="J3091" s="604">
        <v>1999</v>
      </c>
      <c r="K3091" s="604" t="s">
        <v>448</v>
      </c>
      <c r="L3091" s="604" t="s">
        <v>86</v>
      </c>
      <c r="M3091" s="604">
        <v>19</v>
      </c>
      <c r="N3091" s="604">
        <v>6422</v>
      </c>
      <c r="O3091" s="604">
        <v>3</v>
      </c>
      <c r="P3091" s="604" t="s">
        <v>484</v>
      </c>
      <c r="Q3091" s="499"/>
    </row>
    <row r="3092" spans="9:17">
      <c r="I3092" s="578" t="str">
        <f t="shared" si="194"/>
        <v>1999dhbAucklandNeo</v>
      </c>
      <c r="J3092" s="604">
        <v>1999</v>
      </c>
      <c r="K3092" s="604" t="s">
        <v>448</v>
      </c>
      <c r="L3092" s="604" t="s">
        <v>87</v>
      </c>
      <c r="M3092" s="604">
        <v>17</v>
      </c>
      <c r="N3092" s="604">
        <v>5896</v>
      </c>
      <c r="O3092" s="604">
        <v>2.9</v>
      </c>
      <c r="P3092" s="604" t="s">
        <v>484</v>
      </c>
      <c r="Q3092" s="499"/>
    </row>
    <row r="3093" spans="9:17">
      <c r="I3093" s="578" t="str">
        <f t="shared" si="194"/>
        <v>1999dhbCounties ManukauNeo</v>
      </c>
      <c r="J3093" s="604">
        <v>1999</v>
      </c>
      <c r="K3093" s="604" t="s">
        <v>448</v>
      </c>
      <c r="L3093" s="604" t="s">
        <v>88</v>
      </c>
      <c r="M3093" s="604">
        <v>24</v>
      </c>
      <c r="N3093" s="604">
        <v>7217</v>
      </c>
      <c r="O3093" s="604">
        <v>3.3</v>
      </c>
      <c r="P3093" s="604" t="s">
        <v>484</v>
      </c>
      <c r="Q3093" s="499"/>
    </row>
    <row r="3094" spans="9:17">
      <c r="I3094" s="578" t="str">
        <f t="shared" si="194"/>
        <v>1999dhbWaikatoNeo</v>
      </c>
      <c r="J3094" s="604">
        <v>1999</v>
      </c>
      <c r="K3094" s="604" t="s">
        <v>448</v>
      </c>
      <c r="L3094" s="604" t="s">
        <v>89</v>
      </c>
      <c r="M3094" s="604">
        <v>12</v>
      </c>
      <c r="N3094" s="604">
        <v>5194</v>
      </c>
      <c r="O3094" s="604">
        <v>2.2999999999999998</v>
      </c>
      <c r="P3094" s="604" t="s">
        <v>484</v>
      </c>
      <c r="Q3094" s="499"/>
    </row>
    <row r="3095" spans="9:17">
      <c r="I3095" s="578" t="str">
        <f t="shared" si="194"/>
        <v>1999dhbLakesNeo</v>
      </c>
      <c r="J3095" s="604">
        <v>1999</v>
      </c>
      <c r="K3095" s="604" t="s">
        <v>448</v>
      </c>
      <c r="L3095" s="604" t="s">
        <v>90</v>
      </c>
      <c r="M3095" s="604">
        <v>7</v>
      </c>
      <c r="N3095" s="604">
        <v>1696</v>
      </c>
      <c r="O3095" s="604">
        <v>4.0999999999999996</v>
      </c>
      <c r="P3095" s="604" t="s">
        <v>484</v>
      </c>
      <c r="Q3095" s="499"/>
    </row>
    <row r="3096" spans="9:17">
      <c r="I3096" s="578" t="str">
        <f t="shared" si="194"/>
        <v>1999dhbBay of PlentyNeo</v>
      </c>
      <c r="J3096" s="604">
        <v>1999</v>
      </c>
      <c r="K3096" s="604" t="s">
        <v>448</v>
      </c>
      <c r="L3096" s="604" t="s">
        <v>91</v>
      </c>
      <c r="M3096" s="604">
        <v>11</v>
      </c>
      <c r="N3096" s="604">
        <v>2699</v>
      </c>
      <c r="O3096" s="604">
        <v>4.0999999999999996</v>
      </c>
      <c r="P3096" s="604" t="s">
        <v>484</v>
      </c>
      <c r="Q3096" s="499"/>
    </row>
    <row r="3097" spans="9:17">
      <c r="I3097" s="578" t="str">
        <f t="shared" si="194"/>
        <v>1999dhbTairawhitiNeo</v>
      </c>
      <c r="J3097" s="604">
        <v>1999</v>
      </c>
      <c r="K3097" s="604" t="s">
        <v>448</v>
      </c>
      <c r="L3097" s="604" t="s">
        <v>433</v>
      </c>
      <c r="M3097" s="604">
        <v>1</v>
      </c>
      <c r="N3097" s="604">
        <v>771</v>
      </c>
      <c r="O3097" s="604">
        <v>1.3</v>
      </c>
      <c r="P3097" s="604" t="s">
        <v>484</v>
      </c>
      <c r="Q3097" s="499"/>
    </row>
    <row r="3098" spans="9:17">
      <c r="I3098" s="578" t="str">
        <f t="shared" si="194"/>
        <v>1999dhbHawke's BayNeo</v>
      </c>
      <c r="J3098" s="604">
        <v>1999</v>
      </c>
      <c r="K3098" s="604" t="s">
        <v>448</v>
      </c>
      <c r="L3098" s="604" t="s">
        <v>92</v>
      </c>
      <c r="M3098" s="604">
        <v>7</v>
      </c>
      <c r="N3098" s="604">
        <v>2164</v>
      </c>
      <c r="O3098" s="604">
        <v>3.2</v>
      </c>
      <c r="P3098" s="604" t="s">
        <v>484</v>
      </c>
      <c r="Q3098" s="499"/>
    </row>
    <row r="3099" spans="9:17">
      <c r="I3099" s="578" t="str">
        <f t="shared" si="194"/>
        <v>1999dhbTaranakiNeo</v>
      </c>
      <c r="J3099" s="604">
        <v>1999</v>
      </c>
      <c r="K3099" s="604" t="s">
        <v>448</v>
      </c>
      <c r="L3099" s="604" t="s">
        <v>93</v>
      </c>
      <c r="M3099" s="604">
        <v>5</v>
      </c>
      <c r="N3099" s="604">
        <v>1497</v>
      </c>
      <c r="O3099" s="604">
        <v>3.3</v>
      </c>
      <c r="P3099" s="604" t="s">
        <v>484</v>
      </c>
      <c r="Q3099" s="499"/>
    </row>
    <row r="3100" spans="9:17">
      <c r="I3100" s="578" t="str">
        <f t="shared" si="194"/>
        <v>1999dhbMidCentralNeo</v>
      </c>
      <c r="J3100" s="604">
        <v>1999</v>
      </c>
      <c r="K3100" s="604" t="s">
        <v>448</v>
      </c>
      <c r="L3100" s="604" t="s">
        <v>94</v>
      </c>
      <c r="M3100" s="604">
        <v>6</v>
      </c>
      <c r="N3100" s="604">
        <v>2191</v>
      </c>
      <c r="O3100" s="604">
        <v>2.7</v>
      </c>
      <c r="P3100" s="604" t="s">
        <v>484</v>
      </c>
      <c r="Q3100" s="499"/>
    </row>
    <row r="3101" spans="9:17">
      <c r="I3101" s="578" t="str">
        <f t="shared" si="194"/>
        <v>1999dhbWhanganuiNeo</v>
      </c>
      <c r="J3101" s="604">
        <v>1999</v>
      </c>
      <c r="K3101" s="604" t="s">
        <v>448</v>
      </c>
      <c r="L3101" s="604" t="s">
        <v>95</v>
      </c>
      <c r="M3101" s="604">
        <v>5</v>
      </c>
      <c r="N3101" s="604">
        <v>959</v>
      </c>
      <c r="O3101" s="604">
        <v>5.2</v>
      </c>
      <c r="P3101" s="604" t="s">
        <v>484</v>
      </c>
      <c r="Q3101" s="499"/>
    </row>
    <row r="3102" spans="9:17">
      <c r="I3102" s="578" t="str">
        <f t="shared" si="194"/>
        <v>1999dhbCapital &amp; CoastNeo</v>
      </c>
      <c r="J3102" s="604">
        <v>1999</v>
      </c>
      <c r="K3102" s="604" t="s">
        <v>448</v>
      </c>
      <c r="L3102" s="604" t="s">
        <v>96</v>
      </c>
      <c r="M3102" s="604">
        <v>11</v>
      </c>
      <c r="N3102" s="604">
        <v>3812</v>
      </c>
      <c r="O3102" s="604">
        <v>2.9</v>
      </c>
      <c r="P3102" s="604" t="s">
        <v>484</v>
      </c>
      <c r="Q3102" s="499"/>
    </row>
    <row r="3103" spans="9:17">
      <c r="I3103" s="578" t="str">
        <f t="shared" si="194"/>
        <v>1999dhbHutt ValleyNeo</v>
      </c>
      <c r="J3103" s="604">
        <v>1999</v>
      </c>
      <c r="K3103" s="604" t="s">
        <v>448</v>
      </c>
      <c r="L3103" s="604" t="s">
        <v>97</v>
      </c>
      <c r="M3103" s="604">
        <v>7</v>
      </c>
      <c r="N3103" s="604">
        <v>2105</v>
      </c>
      <c r="O3103" s="604">
        <v>3.3</v>
      </c>
      <c r="P3103" s="604" t="s">
        <v>484</v>
      </c>
      <c r="Q3103" s="499"/>
    </row>
    <row r="3104" spans="9:17">
      <c r="I3104" s="578" t="str">
        <f t="shared" si="194"/>
        <v>1999dhbWairarapaNeo</v>
      </c>
      <c r="J3104" s="604">
        <v>1999</v>
      </c>
      <c r="K3104" s="604" t="s">
        <v>448</v>
      </c>
      <c r="L3104" s="604" t="s">
        <v>98</v>
      </c>
      <c r="M3104" s="604">
        <v>2</v>
      </c>
      <c r="N3104" s="604">
        <v>553</v>
      </c>
      <c r="O3104" s="604">
        <v>3.6</v>
      </c>
      <c r="P3104" s="604" t="s">
        <v>484</v>
      </c>
      <c r="Q3104" s="499"/>
    </row>
    <row r="3105" spans="9:17">
      <c r="I3105" s="578" t="str">
        <f t="shared" si="194"/>
        <v>1999dhbNelson MarlboroughNeo</v>
      </c>
      <c r="J3105" s="604">
        <v>1999</v>
      </c>
      <c r="K3105" s="604" t="s">
        <v>448</v>
      </c>
      <c r="L3105" s="604" t="s">
        <v>99</v>
      </c>
      <c r="M3105" s="604">
        <v>4</v>
      </c>
      <c r="N3105" s="604">
        <v>1494</v>
      </c>
      <c r="O3105" s="604">
        <v>2.7</v>
      </c>
      <c r="P3105" s="604" t="s">
        <v>484</v>
      </c>
      <c r="Q3105" s="499"/>
    </row>
    <row r="3106" spans="9:17">
      <c r="I3106" s="578" t="str">
        <f t="shared" si="194"/>
        <v>1999dhbWest CoastNeo</v>
      </c>
      <c r="J3106" s="604">
        <v>1999</v>
      </c>
      <c r="K3106" s="604" t="s">
        <v>448</v>
      </c>
      <c r="L3106" s="604" t="s">
        <v>100</v>
      </c>
      <c r="M3106" s="604">
        <v>2</v>
      </c>
      <c r="N3106" s="604">
        <v>403</v>
      </c>
      <c r="O3106" s="604">
        <v>5</v>
      </c>
      <c r="P3106" s="604" t="s">
        <v>484</v>
      </c>
      <c r="Q3106" s="499"/>
    </row>
    <row r="3107" spans="9:17">
      <c r="I3107" s="578" t="str">
        <f t="shared" si="194"/>
        <v>1999dhbCanterburyNeo</v>
      </c>
      <c r="J3107" s="604">
        <v>1999</v>
      </c>
      <c r="K3107" s="604" t="s">
        <v>448</v>
      </c>
      <c r="L3107" s="604" t="s">
        <v>101</v>
      </c>
      <c r="M3107" s="604">
        <v>16</v>
      </c>
      <c r="N3107" s="604">
        <v>5576</v>
      </c>
      <c r="O3107" s="604">
        <v>2.9</v>
      </c>
      <c r="P3107" s="604" t="s">
        <v>484</v>
      </c>
      <c r="Q3107" s="499"/>
    </row>
    <row r="3108" spans="9:17">
      <c r="I3108" s="578" t="str">
        <f t="shared" si="194"/>
        <v>1999dhbSouth CanterburyNeo</v>
      </c>
      <c r="J3108" s="604">
        <v>1999</v>
      </c>
      <c r="K3108" s="604" t="s">
        <v>448</v>
      </c>
      <c r="L3108" s="604" t="s">
        <v>102</v>
      </c>
      <c r="M3108" s="604">
        <v>3</v>
      </c>
      <c r="N3108" s="604">
        <v>616</v>
      </c>
      <c r="O3108" s="604">
        <v>4.9000000000000004</v>
      </c>
      <c r="P3108" s="604" t="s">
        <v>484</v>
      </c>
      <c r="Q3108" s="499"/>
    </row>
    <row r="3109" spans="9:17">
      <c r="I3109" s="578" t="str">
        <f t="shared" si="194"/>
        <v>1999dhbSouthernNeo</v>
      </c>
      <c r="J3109" s="604">
        <v>1999</v>
      </c>
      <c r="K3109" s="604" t="s">
        <v>448</v>
      </c>
      <c r="L3109" s="604" t="s">
        <v>103</v>
      </c>
      <c r="M3109" s="604">
        <v>15</v>
      </c>
      <c r="N3109" s="604">
        <v>3419</v>
      </c>
      <c r="O3109" s="604">
        <v>4.4000000000000004</v>
      </c>
      <c r="P3109" s="604" t="s">
        <v>484</v>
      </c>
      <c r="Q3109" s="499"/>
    </row>
    <row r="3110" spans="9:17">
      <c r="I3110" s="578" t="str">
        <f t="shared" si="194"/>
        <v>1999dhbUnknownNeo</v>
      </c>
      <c r="J3110" s="604">
        <v>1999</v>
      </c>
      <c r="K3110" s="604" t="s">
        <v>448</v>
      </c>
      <c r="L3110" s="604" t="s">
        <v>63</v>
      </c>
      <c r="M3110" s="604">
        <v>0</v>
      </c>
      <c r="N3110" s="604">
        <v>579</v>
      </c>
      <c r="O3110" s="604" t="s">
        <v>119</v>
      </c>
      <c r="P3110" s="604" t="s">
        <v>484</v>
      </c>
      <c r="Q3110" s="499"/>
    </row>
    <row r="3111" spans="9:17">
      <c r="I3111" s="578" t="str">
        <f t="shared" si="194"/>
        <v>2000dhbNorthlandNeo</v>
      </c>
      <c r="J3111" s="604">
        <v>2000</v>
      </c>
      <c r="K3111" s="604" t="s">
        <v>448</v>
      </c>
      <c r="L3111" s="604" t="s">
        <v>85</v>
      </c>
      <c r="M3111" s="604">
        <v>9</v>
      </c>
      <c r="N3111" s="604">
        <v>2122</v>
      </c>
      <c r="O3111" s="604">
        <v>4.2</v>
      </c>
      <c r="P3111" s="604" t="s">
        <v>484</v>
      </c>
      <c r="Q3111" s="499"/>
    </row>
    <row r="3112" spans="9:17">
      <c r="I3112" s="578" t="str">
        <f t="shared" si="194"/>
        <v>2000dhbWaitemataNeo</v>
      </c>
      <c r="J3112" s="604">
        <v>2000</v>
      </c>
      <c r="K3112" s="604" t="s">
        <v>448</v>
      </c>
      <c r="L3112" s="604" t="s">
        <v>86</v>
      </c>
      <c r="M3112" s="604">
        <v>23</v>
      </c>
      <c r="N3112" s="604">
        <v>6562</v>
      </c>
      <c r="O3112" s="604">
        <v>3.5</v>
      </c>
      <c r="P3112" s="604" t="s">
        <v>484</v>
      </c>
      <c r="Q3112" s="499"/>
    </row>
    <row r="3113" spans="9:17">
      <c r="I3113" s="578" t="str">
        <f t="shared" si="194"/>
        <v>2000dhbAucklandNeo</v>
      </c>
      <c r="J3113" s="604">
        <v>2000</v>
      </c>
      <c r="K3113" s="604" t="s">
        <v>448</v>
      </c>
      <c r="L3113" s="604" t="s">
        <v>87</v>
      </c>
      <c r="M3113" s="604">
        <v>30</v>
      </c>
      <c r="N3113" s="604">
        <v>6023</v>
      </c>
      <c r="O3113" s="604">
        <v>5</v>
      </c>
      <c r="P3113" s="604" t="s">
        <v>484</v>
      </c>
      <c r="Q3113" s="499"/>
    </row>
    <row r="3114" spans="9:17">
      <c r="I3114" s="578" t="str">
        <f t="shared" si="194"/>
        <v>2000dhbCounties ManukauNeo</v>
      </c>
      <c r="J3114" s="604">
        <v>2000</v>
      </c>
      <c r="K3114" s="604" t="s">
        <v>448</v>
      </c>
      <c r="L3114" s="604" t="s">
        <v>88</v>
      </c>
      <c r="M3114" s="604">
        <v>36</v>
      </c>
      <c r="N3114" s="604">
        <v>7309</v>
      </c>
      <c r="O3114" s="604">
        <v>4.9000000000000004</v>
      </c>
      <c r="P3114" s="604" t="s">
        <v>484</v>
      </c>
      <c r="Q3114" s="499"/>
    </row>
    <row r="3115" spans="9:17">
      <c r="I3115" s="578" t="str">
        <f t="shared" si="194"/>
        <v>2000dhbWaikatoNeo</v>
      </c>
      <c r="J3115" s="604">
        <v>2000</v>
      </c>
      <c r="K3115" s="604" t="s">
        <v>448</v>
      </c>
      <c r="L3115" s="604" t="s">
        <v>89</v>
      </c>
      <c r="M3115" s="604">
        <v>19</v>
      </c>
      <c r="N3115" s="604">
        <v>4792</v>
      </c>
      <c r="O3115" s="604">
        <v>4</v>
      </c>
      <c r="P3115" s="604" t="s">
        <v>484</v>
      </c>
      <c r="Q3115" s="499"/>
    </row>
    <row r="3116" spans="9:17">
      <c r="I3116" s="578" t="str">
        <f t="shared" si="194"/>
        <v>2000dhbLakesNeo</v>
      </c>
      <c r="J3116" s="604">
        <v>2000</v>
      </c>
      <c r="K3116" s="604" t="s">
        <v>448</v>
      </c>
      <c r="L3116" s="604" t="s">
        <v>90</v>
      </c>
      <c r="M3116" s="604">
        <v>10</v>
      </c>
      <c r="N3116" s="604">
        <v>1576</v>
      </c>
      <c r="O3116" s="604">
        <v>6.3</v>
      </c>
      <c r="P3116" s="604" t="s">
        <v>484</v>
      </c>
      <c r="Q3116" s="499"/>
    </row>
    <row r="3117" spans="9:17">
      <c r="I3117" s="578" t="str">
        <f t="shared" si="194"/>
        <v>2000dhbBay of PlentyNeo</v>
      </c>
      <c r="J3117" s="604">
        <v>2000</v>
      </c>
      <c r="K3117" s="604" t="s">
        <v>448</v>
      </c>
      <c r="L3117" s="604" t="s">
        <v>91</v>
      </c>
      <c r="M3117" s="604">
        <v>6</v>
      </c>
      <c r="N3117" s="604">
        <v>2628</v>
      </c>
      <c r="O3117" s="604">
        <v>2.2999999999999998</v>
      </c>
      <c r="P3117" s="604" t="s">
        <v>484</v>
      </c>
      <c r="Q3117" s="499"/>
    </row>
    <row r="3118" spans="9:17">
      <c r="I3118" s="578" t="str">
        <f t="shared" si="194"/>
        <v>2000dhbTairawhitiNeo</v>
      </c>
      <c r="J3118" s="604">
        <v>2000</v>
      </c>
      <c r="K3118" s="604" t="s">
        <v>448</v>
      </c>
      <c r="L3118" s="604" t="s">
        <v>433</v>
      </c>
      <c r="M3118" s="604">
        <v>1</v>
      </c>
      <c r="N3118" s="604">
        <v>773</v>
      </c>
      <c r="O3118" s="604">
        <v>1.3</v>
      </c>
      <c r="P3118" s="604" t="s">
        <v>484</v>
      </c>
      <c r="Q3118" s="499"/>
    </row>
    <row r="3119" spans="9:17">
      <c r="I3119" s="578" t="str">
        <f t="shared" si="194"/>
        <v>2000dhbHawke's BayNeo</v>
      </c>
      <c r="J3119" s="604">
        <v>2000</v>
      </c>
      <c r="K3119" s="604" t="s">
        <v>448</v>
      </c>
      <c r="L3119" s="604" t="s">
        <v>92</v>
      </c>
      <c r="M3119" s="604">
        <v>9</v>
      </c>
      <c r="N3119" s="604">
        <v>2175</v>
      </c>
      <c r="O3119" s="604">
        <v>4.0999999999999996</v>
      </c>
      <c r="P3119" s="604" t="s">
        <v>484</v>
      </c>
      <c r="Q3119" s="499"/>
    </row>
    <row r="3120" spans="9:17">
      <c r="I3120" s="578" t="str">
        <f t="shared" si="194"/>
        <v>2000dhbTaranakiNeo</v>
      </c>
      <c r="J3120" s="604">
        <v>2000</v>
      </c>
      <c r="K3120" s="604" t="s">
        <v>448</v>
      </c>
      <c r="L3120" s="604" t="s">
        <v>93</v>
      </c>
      <c r="M3120" s="604">
        <v>11</v>
      </c>
      <c r="N3120" s="604">
        <v>1427</v>
      </c>
      <c r="O3120" s="604">
        <v>7.7</v>
      </c>
      <c r="P3120" s="604" t="s">
        <v>484</v>
      </c>
      <c r="Q3120" s="499"/>
    </row>
    <row r="3121" spans="9:17">
      <c r="I3121" s="578" t="str">
        <f t="shared" si="194"/>
        <v>2000dhbMidCentralNeo</v>
      </c>
      <c r="J3121" s="604">
        <v>2000</v>
      </c>
      <c r="K3121" s="604" t="s">
        <v>448</v>
      </c>
      <c r="L3121" s="604" t="s">
        <v>94</v>
      </c>
      <c r="M3121" s="604">
        <v>6</v>
      </c>
      <c r="N3121" s="604">
        <v>2290</v>
      </c>
      <c r="O3121" s="604">
        <v>2.6</v>
      </c>
      <c r="P3121" s="604" t="s">
        <v>484</v>
      </c>
      <c r="Q3121" s="499"/>
    </row>
    <row r="3122" spans="9:17">
      <c r="I3122" s="578" t="str">
        <f t="shared" si="194"/>
        <v>2000dhbWhanganuiNeo</v>
      </c>
      <c r="J3122" s="604">
        <v>2000</v>
      </c>
      <c r="K3122" s="604" t="s">
        <v>448</v>
      </c>
      <c r="L3122" s="604" t="s">
        <v>95</v>
      </c>
      <c r="M3122" s="604">
        <v>4</v>
      </c>
      <c r="N3122" s="604">
        <v>993</v>
      </c>
      <c r="O3122" s="604">
        <v>4</v>
      </c>
      <c r="P3122" s="604" t="s">
        <v>484</v>
      </c>
      <c r="Q3122" s="499"/>
    </row>
    <row r="3123" spans="9:17">
      <c r="I3123" s="578" t="str">
        <f t="shared" si="194"/>
        <v>2000dhbCapital &amp; CoastNeo</v>
      </c>
      <c r="J3123" s="604">
        <v>2000</v>
      </c>
      <c r="K3123" s="604" t="s">
        <v>448</v>
      </c>
      <c r="L3123" s="604" t="s">
        <v>96</v>
      </c>
      <c r="M3123" s="604">
        <v>5</v>
      </c>
      <c r="N3123" s="604">
        <v>3753</v>
      </c>
      <c r="O3123" s="604">
        <v>1.3</v>
      </c>
      <c r="P3123" s="604" t="s">
        <v>484</v>
      </c>
      <c r="Q3123" s="499"/>
    </row>
    <row r="3124" spans="9:17">
      <c r="I3124" s="578" t="str">
        <f t="shared" si="194"/>
        <v>2000dhbHutt ValleyNeo</v>
      </c>
      <c r="J3124" s="604">
        <v>2000</v>
      </c>
      <c r="K3124" s="604" t="s">
        <v>448</v>
      </c>
      <c r="L3124" s="604" t="s">
        <v>97</v>
      </c>
      <c r="M3124" s="604">
        <v>5</v>
      </c>
      <c r="N3124" s="604">
        <v>2085</v>
      </c>
      <c r="O3124" s="604">
        <v>2.4</v>
      </c>
      <c r="P3124" s="604" t="s">
        <v>484</v>
      </c>
      <c r="Q3124" s="499"/>
    </row>
    <row r="3125" spans="9:17">
      <c r="I3125" s="578" t="str">
        <f t="shared" si="194"/>
        <v>2000dhbWairarapaNeo</v>
      </c>
      <c r="J3125" s="604">
        <v>2000</v>
      </c>
      <c r="K3125" s="604" t="s">
        <v>448</v>
      </c>
      <c r="L3125" s="604" t="s">
        <v>98</v>
      </c>
      <c r="M3125" s="604">
        <v>3</v>
      </c>
      <c r="N3125" s="604">
        <v>496</v>
      </c>
      <c r="O3125" s="604">
        <v>6</v>
      </c>
      <c r="P3125" s="604" t="s">
        <v>484</v>
      </c>
      <c r="Q3125" s="499"/>
    </row>
    <row r="3126" spans="9:17">
      <c r="I3126" s="578" t="str">
        <f t="shared" si="194"/>
        <v>2000dhbNelson MarlboroughNeo</v>
      </c>
      <c r="J3126" s="604">
        <v>2000</v>
      </c>
      <c r="K3126" s="604" t="s">
        <v>448</v>
      </c>
      <c r="L3126" s="604" t="s">
        <v>99</v>
      </c>
      <c r="M3126" s="604">
        <v>6</v>
      </c>
      <c r="N3126" s="604">
        <v>1544</v>
      </c>
      <c r="O3126" s="604">
        <v>3.9</v>
      </c>
      <c r="P3126" s="604" t="s">
        <v>484</v>
      </c>
      <c r="Q3126" s="499"/>
    </row>
    <row r="3127" spans="9:17">
      <c r="I3127" s="578" t="str">
        <f t="shared" si="194"/>
        <v>2000dhbWest CoastNeo</v>
      </c>
      <c r="J3127" s="604">
        <v>2000</v>
      </c>
      <c r="K3127" s="604" t="s">
        <v>448</v>
      </c>
      <c r="L3127" s="604" t="s">
        <v>100</v>
      </c>
      <c r="M3127" s="604">
        <v>0</v>
      </c>
      <c r="N3127" s="604">
        <v>361</v>
      </c>
      <c r="O3127" s="604">
        <v>0</v>
      </c>
      <c r="P3127" s="604" t="s">
        <v>484</v>
      </c>
      <c r="Q3127" s="499"/>
    </row>
    <row r="3128" spans="9:17">
      <c r="I3128" s="578" t="str">
        <f t="shared" si="194"/>
        <v>2000dhbCanterburyNeo</v>
      </c>
      <c r="J3128" s="604">
        <v>2000</v>
      </c>
      <c r="K3128" s="604" t="s">
        <v>448</v>
      </c>
      <c r="L3128" s="604" t="s">
        <v>101</v>
      </c>
      <c r="M3128" s="604">
        <v>16</v>
      </c>
      <c r="N3128" s="604">
        <v>5542</v>
      </c>
      <c r="O3128" s="604">
        <v>2.9</v>
      </c>
      <c r="P3128" s="604" t="s">
        <v>484</v>
      </c>
      <c r="Q3128" s="499"/>
    </row>
    <row r="3129" spans="9:17">
      <c r="I3129" s="578" t="str">
        <f t="shared" si="194"/>
        <v>2000dhbSouth CanterburyNeo</v>
      </c>
      <c r="J3129" s="604">
        <v>2000</v>
      </c>
      <c r="K3129" s="604" t="s">
        <v>448</v>
      </c>
      <c r="L3129" s="604" t="s">
        <v>102</v>
      </c>
      <c r="M3129" s="604">
        <v>4</v>
      </c>
      <c r="N3129" s="604">
        <v>625</v>
      </c>
      <c r="O3129" s="604">
        <v>6.4</v>
      </c>
      <c r="P3129" s="604" t="s">
        <v>484</v>
      </c>
      <c r="Q3129" s="499"/>
    </row>
    <row r="3130" spans="9:17">
      <c r="I3130" s="578" t="str">
        <f t="shared" si="194"/>
        <v>2000dhbSouthernNeo</v>
      </c>
      <c r="J3130" s="604">
        <v>2000</v>
      </c>
      <c r="K3130" s="604" t="s">
        <v>448</v>
      </c>
      <c r="L3130" s="604" t="s">
        <v>103</v>
      </c>
      <c r="M3130" s="604">
        <v>11</v>
      </c>
      <c r="N3130" s="604">
        <v>3435</v>
      </c>
      <c r="O3130" s="604">
        <v>3.2</v>
      </c>
      <c r="P3130" s="604" t="s">
        <v>484</v>
      </c>
      <c r="Q3130" s="499"/>
    </row>
    <row r="3131" spans="9:17">
      <c r="I3131" s="578" t="str">
        <f t="shared" si="194"/>
        <v>2000dhbUnknownNeo</v>
      </c>
      <c r="J3131" s="604">
        <v>2000</v>
      </c>
      <c r="K3131" s="604" t="s">
        <v>448</v>
      </c>
      <c r="L3131" s="604" t="s">
        <v>63</v>
      </c>
      <c r="M3131" s="604">
        <v>2</v>
      </c>
      <c r="N3131" s="604">
        <v>483</v>
      </c>
      <c r="O3131" s="604" t="s">
        <v>119</v>
      </c>
      <c r="P3131" s="604" t="s">
        <v>484</v>
      </c>
      <c r="Q3131" s="499"/>
    </row>
    <row r="3132" spans="9:17">
      <c r="I3132" s="578" t="str">
        <f t="shared" si="194"/>
        <v>2001dhbNorthlandNeo</v>
      </c>
      <c r="J3132" s="604">
        <v>2001</v>
      </c>
      <c r="K3132" s="604" t="s">
        <v>448</v>
      </c>
      <c r="L3132" s="604" t="s">
        <v>85</v>
      </c>
      <c r="M3132" s="604">
        <v>3</v>
      </c>
      <c r="N3132" s="604">
        <v>1994</v>
      </c>
      <c r="O3132" s="604">
        <v>1.5</v>
      </c>
      <c r="P3132" s="604" t="s">
        <v>484</v>
      </c>
      <c r="Q3132" s="499"/>
    </row>
    <row r="3133" spans="9:17">
      <c r="I3133" s="578" t="str">
        <f t="shared" si="194"/>
        <v>2001dhbWaitemataNeo</v>
      </c>
      <c r="J3133" s="604">
        <v>2001</v>
      </c>
      <c r="K3133" s="604" t="s">
        <v>448</v>
      </c>
      <c r="L3133" s="604" t="s">
        <v>86</v>
      </c>
      <c r="M3133" s="604">
        <v>15</v>
      </c>
      <c r="N3133" s="604">
        <v>6440</v>
      </c>
      <c r="O3133" s="604">
        <v>2.2999999999999998</v>
      </c>
      <c r="P3133" s="604" t="s">
        <v>484</v>
      </c>
      <c r="Q3133" s="499"/>
    </row>
    <row r="3134" spans="9:17">
      <c r="I3134" s="578" t="str">
        <f t="shared" si="194"/>
        <v>2001dhbAucklandNeo</v>
      </c>
      <c r="J3134" s="604">
        <v>2001</v>
      </c>
      <c r="K3134" s="604" t="s">
        <v>448</v>
      </c>
      <c r="L3134" s="604" t="s">
        <v>87</v>
      </c>
      <c r="M3134" s="604">
        <v>17</v>
      </c>
      <c r="N3134" s="604">
        <v>5979</v>
      </c>
      <c r="O3134" s="604">
        <v>2.8</v>
      </c>
      <c r="P3134" s="604" t="s">
        <v>484</v>
      </c>
      <c r="Q3134" s="499"/>
    </row>
    <row r="3135" spans="9:17">
      <c r="I3135" s="578" t="str">
        <f t="shared" si="194"/>
        <v>2001dhbCounties ManukauNeo</v>
      </c>
      <c r="J3135" s="604">
        <v>2001</v>
      </c>
      <c r="K3135" s="604" t="s">
        <v>448</v>
      </c>
      <c r="L3135" s="604" t="s">
        <v>88</v>
      </c>
      <c r="M3135" s="604">
        <v>27</v>
      </c>
      <c r="N3135" s="604">
        <v>7216</v>
      </c>
      <c r="O3135" s="604">
        <v>3.7</v>
      </c>
      <c r="P3135" s="604" t="s">
        <v>484</v>
      </c>
      <c r="Q3135" s="499"/>
    </row>
    <row r="3136" spans="9:17">
      <c r="I3136" s="578" t="str">
        <f t="shared" si="194"/>
        <v>2001dhbWaikatoNeo</v>
      </c>
      <c r="J3136" s="604">
        <v>2001</v>
      </c>
      <c r="K3136" s="604" t="s">
        <v>448</v>
      </c>
      <c r="L3136" s="604" t="s">
        <v>89</v>
      </c>
      <c r="M3136" s="604">
        <v>15</v>
      </c>
      <c r="N3136" s="604">
        <v>4897</v>
      </c>
      <c r="O3136" s="604">
        <v>3.1</v>
      </c>
      <c r="P3136" s="604" t="s">
        <v>484</v>
      </c>
      <c r="Q3136" s="499"/>
    </row>
    <row r="3137" spans="9:17">
      <c r="I3137" s="578" t="str">
        <f t="shared" si="194"/>
        <v>2001dhbLakesNeo</v>
      </c>
      <c r="J3137" s="604">
        <v>2001</v>
      </c>
      <c r="K3137" s="604" t="s">
        <v>448</v>
      </c>
      <c r="L3137" s="604" t="s">
        <v>90</v>
      </c>
      <c r="M3137" s="604">
        <v>5</v>
      </c>
      <c r="N3137" s="604">
        <v>1523</v>
      </c>
      <c r="O3137" s="604">
        <v>3.3</v>
      </c>
      <c r="P3137" s="604" t="s">
        <v>484</v>
      </c>
      <c r="Q3137" s="499"/>
    </row>
    <row r="3138" spans="9:17">
      <c r="I3138" s="578" t="str">
        <f t="shared" si="194"/>
        <v>2001dhbBay of PlentyNeo</v>
      </c>
      <c r="J3138" s="604">
        <v>2001</v>
      </c>
      <c r="K3138" s="604" t="s">
        <v>448</v>
      </c>
      <c r="L3138" s="604" t="s">
        <v>91</v>
      </c>
      <c r="M3138" s="604">
        <v>12</v>
      </c>
      <c r="N3138" s="604">
        <v>2604</v>
      </c>
      <c r="O3138" s="604">
        <v>4.5999999999999996</v>
      </c>
      <c r="P3138" s="604" t="s">
        <v>484</v>
      </c>
      <c r="Q3138" s="499"/>
    </row>
    <row r="3139" spans="9:17">
      <c r="I3139" s="578" t="str">
        <f t="shared" si="194"/>
        <v>2001dhbTairawhitiNeo</v>
      </c>
      <c r="J3139" s="604">
        <v>2001</v>
      </c>
      <c r="K3139" s="604" t="s">
        <v>448</v>
      </c>
      <c r="L3139" s="604" t="s">
        <v>433</v>
      </c>
      <c r="M3139" s="604">
        <v>4</v>
      </c>
      <c r="N3139" s="604">
        <v>766</v>
      </c>
      <c r="O3139" s="604">
        <v>5.2</v>
      </c>
      <c r="P3139" s="604" t="s">
        <v>484</v>
      </c>
      <c r="Q3139" s="499"/>
    </row>
    <row r="3140" spans="9:17">
      <c r="I3140" s="578" t="str">
        <f t="shared" ref="I3140:I3203" si="195">J3140&amp;K3140&amp;L3140&amp;P3140</f>
        <v>2001dhbHawke's BayNeo</v>
      </c>
      <c r="J3140" s="604">
        <v>2001</v>
      </c>
      <c r="K3140" s="604" t="s">
        <v>448</v>
      </c>
      <c r="L3140" s="604" t="s">
        <v>92</v>
      </c>
      <c r="M3140" s="604">
        <v>5</v>
      </c>
      <c r="N3140" s="604">
        <v>2141</v>
      </c>
      <c r="O3140" s="604">
        <v>2.2999999999999998</v>
      </c>
      <c r="P3140" s="604" t="s">
        <v>484</v>
      </c>
      <c r="Q3140" s="499"/>
    </row>
    <row r="3141" spans="9:17">
      <c r="I3141" s="578" t="str">
        <f t="shared" si="195"/>
        <v>2001dhbTaranakiNeo</v>
      </c>
      <c r="J3141" s="604">
        <v>2001</v>
      </c>
      <c r="K3141" s="604" t="s">
        <v>448</v>
      </c>
      <c r="L3141" s="604" t="s">
        <v>93</v>
      </c>
      <c r="M3141" s="604">
        <v>6</v>
      </c>
      <c r="N3141" s="604">
        <v>1368</v>
      </c>
      <c r="O3141" s="604">
        <v>4.4000000000000004</v>
      </c>
      <c r="P3141" s="604" t="s">
        <v>484</v>
      </c>
      <c r="Q3141" s="499"/>
    </row>
    <row r="3142" spans="9:17">
      <c r="I3142" s="578" t="str">
        <f t="shared" si="195"/>
        <v>2001dhbMidCentralNeo</v>
      </c>
      <c r="J3142" s="604">
        <v>2001</v>
      </c>
      <c r="K3142" s="604" t="s">
        <v>448</v>
      </c>
      <c r="L3142" s="604" t="s">
        <v>94</v>
      </c>
      <c r="M3142" s="604">
        <v>7</v>
      </c>
      <c r="N3142" s="604">
        <v>2148</v>
      </c>
      <c r="O3142" s="604">
        <v>3.3</v>
      </c>
      <c r="P3142" s="604" t="s">
        <v>484</v>
      </c>
      <c r="Q3142" s="499"/>
    </row>
    <row r="3143" spans="9:17">
      <c r="I3143" s="578" t="str">
        <f t="shared" si="195"/>
        <v>2001dhbWhanganuiNeo</v>
      </c>
      <c r="J3143" s="604">
        <v>2001</v>
      </c>
      <c r="K3143" s="604" t="s">
        <v>448</v>
      </c>
      <c r="L3143" s="604" t="s">
        <v>95</v>
      </c>
      <c r="M3143" s="604">
        <v>7</v>
      </c>
      <c r="N3143" s="604">
        <v>904</v>
      </c>
      <c r="O3143" s="604">
        <v>7.7</v>
      </c>
      <c r="P3143" s="604" t="s">
        <v>484</v>
      </c>
      <c r="Q3143" s="499"/>
    </row>
    <row r="3144" spans="9:17">
      <c r="I3144" s="578" t="str">
        <f t="shared" si="195"/>
        <v>2001dhbCapital &amp; CoastNeo</v>
      </c>
      <c r="J3144" s="604">
        <v>2001</v>
      </c>
      <c r="K3144" s="604" t="s">
        <v>448</v>
      </c>
      <c r="L3144" s="604" t="s">
        <v>96</v>
      </c>
      <c r="M3144" s="604">
        <v>6</v>
      </c>
      <c r="N3144" s="604">
        <v>3702</v>
      </c>
      <c r="O3144" s="604">
        <v>1.6</v>
      </c>
      <c r="P3144" s="604" t="s">
        <v>484</v>
      </c>
      <c r="Q3144" s="499"/>
    </row>
    <row r="3145" spans="9:17">
      <c r="I3145" s="578" t="str">
        <f t="shared" si="195"/>
        <v>2001dhbHutt ValleyNeo</v>
      </c>
      <c r="J3145" s="604">
        <v>2001</v>
      </c>
      <c r="K3145" s="604" t="s">
        <v>448</v>
      </c>
      <c r="L3145" s="604" t="s">
        <v>97</v>
      </c>
      <c r="M3145" s="604">
        <v>9</v>
      </c>
      <c r="N3145" s="604">
        <v>2165</v>
      </c>
      <c r="O3145" s="604">
        <v>4.2</v>
      </c>
      <c r="P3145" s="604" t="s">
        <v>484</v>
      </c>
      <c r="Q3145" s="499"/>
    </row>
    <row r="3146" spans="9:17">
      <c r="I3146" s="578" t="str">
        <f t="shared" si="195"/>
        <v>2001dhbWairarapaNeo</v>
      </c>
      <c r="J3146" s="604">
        <v>2001</v>
      </c>
      <c r="K3146" s="604" t="s">
        <v>448</v>
      </c>
      <c r="L3146" s="604" t="s">
        <v>98</v>
      </c>
      <c r="M3146" s="604">
        <v>5</v>
      </c>
      <c r="N3146" s="604">
        <v>498</v>
      </c>
      <c r="O3146" s="604">
        <v>10</v>
      </c>
      <c r="P3146" s="604" t="s">
        <v>484</v>
      </c>
      <c r="Q3146" s="499"/>
    </row>
    <row r="3147" spans="9:17">
      <c r="I3147" s="578" t="str">
        <f t="shared" si="195"/>
        <v>2001dhbNelson MarlboroughNeo</v>
      </c>
      <c r="J3147" s="604">
        <v>2001</v>
      </c>
      <c r="K3147" s="604" t="s">
        <v>448</v>
      </c>
      <c r="L3147" s="604" t="s">
        <v>99</v>
      </c>
      <c r="M3147" s="604">
        <v>3</v>
      </c>
      <c r="N3147" s="604">
        <v>1488</v>
      </c>
      <c r="O3147" s="604">
        <v>2</v>
      </c>
      <c r="P3147" s="604" t="s">
        <v>484</v>
      </c>
      <c r="Q3147" s="499"/>
    </row>
    <row r="3148" spans="9:17">
      <c r="I3148" s="578" t="str">
        <f t="shared" si="195"/>
        <v>2001dhbWest CoastNeo</v>
      </c>
      <c r="J3148" s="604">
        <v>2001</v>
      </c>
      <c r="K3148" s="604" t="s">
        <v>448</v>
      </c>
      <c r="L3148" s="604" t="s">
        <v>100</v>
      </c>
      <c r="M3148" s="604">
        <v>1</v>
      </c>
      <c r="N3148" s="604">
        <v>396</v>
      </c>
      <c r="O3148" s="604">
        <v>2.5</v>
      </c>
      <c r="P3148" s="604" t="s">
        <v>484</v>
      </c>
      <c r="Q3148" s="499"/>
    </row>
    <row r="3149" spans="9:17">
      <c r="I3149" s="578" t="str">
        <f t="shared" si="195"/>
        <v>2001dhbCanterburyNeo</v>
      </c>
      <c r="J3149" s="604">
        <v>2001</v>
      </c>
      <c r="K3149" s="604" t="s">
        <v>448</v>
      </c>
      <c r="L3149" s="604" t="s">
        <v>101</v>
      </c>
      <c r="M3149" s="604">
        <v>13</v>
      </c>
      <c r="N3149" s="604">
        <v>5651</v>
      </c>
      <c r="O3149" s="604">
        <v>2.2999999999999998</v>
      </c>
      <c r="P3149" s="604" t="s">
        <v>484</v>
      </c>
      <c r="Q3149" s="499"/>
    </row>
    <row r="3150" spans="9:17">
      <c r="I3150" s="578" t="str">
        <f t="shared" si="195"/>
        <v>2001dhbSouth CanterburyNeo</v>
      </c>
      <c r="J3150" s="604">
        <v>2001</v>
      </c>
      <c r="K3150" s="604" t="s">
        <v>448</v>
      </c>
      <c r="L3150" s="604" t="s">
        <v>102</v>
      </c>
      <c r="M3150" s="604">
        <v>1</v>
      </c>
      <c r="N3150" s="604">
        <v>591</v>
      </c>
      <c r="O3150" s="604">
        <v>1.7</v>
      </c>
      <c r="P3150" s="604" t="s">
        <v>484</v>
      </c>
      <c r="Q3150" s="499"/>
    </row>
    <row r="3151" spans="9:17">
      <c r="I3151" s="578" t="str">
        <f t="shared" si="195"/>
        <v>2001dhbSouthernNeo</v>
      </c>
      <c r="J3151" s="604">
        <v>2001</v>
      </c>
      <c r="K3151" s="604" t="s">
        <v>448</v>
      </c>
      <c r="L3151" s="604" t="s">
        <v>103</v>
      </c>
      <c r="M3151" s="604">
        <v>9</v>
      </c>
      <c r="N3151" s="604">
        <v>3263</v>
      </c>
      <c r="O3151" s="604">
        <v>2.8</v>
      </c>
      <c r="P3151" s="604" t="s">
        <v>484</v>
      </c>
      <c r="Q3151" s="499"/>
    </row>
    <row r="3152" spans="9:17">
      <c r="I3152" s="578" t="str">
        <f t="shared" si="195"/>
        <v>2001dhbUnknownNeo</v>
      </c>
      <c r="J3152" s="604">
        <v>2001</v>
      </c>
      <c r="K3152" s="604" t="s">
        <v>448</v>
      </c>
      <c r="L3152" s="604" t="s">
        <v>63</v>
      </c>
      <c r="M3152" s="604">
        <v>0</v>
      </c>
      <c r="N3152" s="604">
        <v>490</v>
      </c>
      <c r="O3152" s="604" t="s">
        <v>119</v>
      </c>
      <c r="P3152" s="604" t="s">
        <v>484</v>
      </c>
      <c r="Q3152" s="499"/>
    </row>
    <row r="3153" spans="9:17">
      <c r="I3153" s="578" t="str">
        <f t="shared" si="195"/>
        <v>2002dhbNorthlandNeo</v>
      </c>
      <c r="J3153" s="604">
        <v>2002</v>
      </c>
      <c r="K3153" s="604" t="s">
        <v>448</v>
      </c>
      <c r="L3153" s="604" t="s">
        <v>85</v>
      </c>
      <c r="M3153" s="604">
        <v>6</v>
      </c>
      <c r="N3153" s="604">
        <v>1918</v>
      </c>
      <c r="O3153" s="604">
        <v>3.1</v>
      </c>
      <c r="P3153" s="604" t="s">
        <v>484</v>
      </c>
      <c r="Q3153" s="499"/>
    </row>
    <row r="3154" spans="9:17">
      <c r="I3154" s="578" t="str">
        <f t="shared" si="195"/>
        <v>2002dhbWaitemataNeo</v>
      </c>
      <c r="J3154" s="604">
        <v>2002</v>
      </c>
      <c r="K3154" s="604" t="s">
        <v>448</v>
      </c>
      <c r="L3154" s="604" t="s">
        <v>86</v>
      </c>
      <c r="M3154" s="604">
        <v>22</v>
      </c>
      <c r="N3154" s="604">
        <v>6459</v>
      </c>
      <c r="O3154" s="604">
        <v>3.4</v>
      </c>
      <c r="P3154" s="604" t="s">
        <v>484</v>
      </c>
      <c r="Q3154" s="499"/>
    </row>
    <row r="3155" spans="9:17">
      <c r="I3155" s="578" t="str">
        <f t="shared" si="195"/>
        <v>2002dhbAucklandNeo</v>
      </c>
      <c r="J3155" s="604">
        <v>2002</v>
      </c>
      <c r="K3155" s="604" t="s">
        <v>448</v>
      </c>
      <c r="L3155" s="604" t="s">
        <v>87</v>
      </c>
      <c r="M3155" s="604">
        <v>21</v>
      </c>
      <c r="N3155" s="604">
        <v>5903</v>
      </c>
      <c r="O3155" s="604">
        <v>3.6</v>
      </c>
      <c r="P3155" s="604" t="s">
        <v>484</v>
      </c>
      <c r="Q3155" s="499"/>
    </row>
    <row r="3156" spans="9:17">
      <c r="I3156" s="578" t="str">
        <f t="shared" si="195"/>
        <v>2002dhbCounties ManukauNeo</v>
      </c>
      <c r="J3156" s="604">
        <v>2002</v>
      </c>
      <c r="K3156" s="604" t="s">
        <v>448</v>
      </c>
      <c r="L3156" s="604" t="s">
        <v>88</v>
      </c>
      <c r="M3156" s="604">
        <v>32</v>
      </c>
      <c r="N3156" s="604">
        <v>7203</v>
      </c>
      <c r="O3156" s="604">
        <v>4.4000000000000004</v>
      </c>
      <c r="P3156" s="604" t="s">
        <v>484</v>
      </c>
      <c r="Q3156" s="499"/>
    </row>
    <row r="3157" spans="9:17">
      <c r="I3157" s="578" t="str">
        <f t="shared" si="195"/>
        <v>2002dhbWaikatoNeo</v>
      </c>
      <c r="J3157" s="604">
        <v>2002</v>
      </c>
      <c r="K3157" s="604" t="s">
        <v>448</v>
      </c>
      <c r="L3157" s="604" t="s">
        <v>89</v>
      </c>
      <c r="M3157" s="604">
        <v>19</v>
      </c>
      <c r="N3157" s="604">
        <v>4608</v>
      </c>
      <c r="O3157" s="604">
        <v>4.0999999999999996</v>
      </c>
      <c r="P3157" s="604" t="s">
        <v>484</v>
      </c>
      <c r="Q3157" s="499"/>
    </row>
    <row r="3158" spans="9:17">
      <c r="I3158" s="578" t="str">
        <f t="shared" si="195"/>
        <v>2002dhbLakesNeo</v>
      </c>
      <c r="J3158" s="604">
        <v>2002</v>
      </c>
      <c r="K3158" s="604" t="s">
        <v>448</v>
      </c>
      <c r="L3158" s="604" t="s">
        <v>90</v>
      </c>
      <c r="M3158" s="604">
        <v>10</v>
      </c>
      <c r="N3158" s="604">
        <v>1500</v>
      </c>
      <c r="O3158" s="604">
        <v>6.7</v>
      </c>
      <c r="P3158" s="604" t="s">
        <v>484</v>
      </c>
      <c r="Q3158" s="499"/>
    </row>
    <row r="3159" spans="9:17">
      <c r="I3159" s="578" t="str">
        <f t="shared" si="195"/>
        <v>2002dhbBay of PlentyNeo</v>
      </c>
      <c r="J3159" s="604">
        <v>2002</v>
      </c>
      <c r="K3159" s="604" t="s">
        <v>448</v>
      </c>
      <c r="L3159" s="604" t="s">
        <v>91</v>
      </c>
      <c r="M3159" s="604">
        <v>11</v>
      </c>
      <c r="N3159" s="604">
        <v>2560</v>
      </c>
      <c r="O3159" s="604">
        <v>4.3</v>
      </c>
      <c r="P3159" s="604" t="s">
        <v>484</v>
      </c>
      <c r="Q3159" s="499"/>
    </row>
    <row r="3160" spans="9:17">
      <c r="I3160" s="578" t="str">
        <f t="shared" si="195"/>
        <v>2002dhbTairawhitiNeo</v>
      </c>
      <c r="J3160" s="604">
        <v>2002</v>
      </c>
      <c r="K3160" s="604" t="s">
        <v>448</v>
      </c>
      <c r="L3160" s="604" t="s">
        <v>433</v>
      </c>
      <c r="M3160" s="604">
        <v>4</v>
      </c>
      <c r="N3160" s="604">
        <v>759</v>
      </c>
      <c r="O3160" s="604">
        <v>5.3</v>
      </c>
      <c r="P3160" s="604" t="s">
        <v>484</v>
      </c>
      <c r="Q3160" s="499"/>
    </row>
    <row r="3161" spans="9:17">
      <c r="I3161" s="578" t="str">
        <f t="shared" si="195"/>
        <v>2002dhbHawke's BayNeo</v>
      </c>
      <c r="J3161" s="604">
        <v>2002</v>
      </c>
      <c r="K3161" s="604" t="s">
        <v>448</v>
      </c>
      <c r="L3161" s="604" t="s">
        <v>92</v>
      </c>
      <c r="M3161" s="604">
        <v>10</v>
      </c>
      <c r="N3161" s="604">
        <v>2053</v>
      </c>
      <c r="O3161" s="604">
        <v>4.9000000000000004</v>
      </c>
      <c r="P3161" s="604" t="s">
        <v>484</v>
      </c>
      <c r="Q3161" s="499"/>
    </row>
    <row r="3162" spans="9:17">
      <c r="I3162" s="578" t="str">
        <f t="shared" si="195"/>
        <v>2002dhbTaranakiNeo</v>
      </c>
      <c r="J3162" s="604">
        <v>2002</v>
      </c>
      <c r="K3162" s="604" t="s">
        <v>448</v>
      </c>
      <c r="L3162" s="604" t="s">
        <v>93</v>
      </c>
      <c r="M3162" s="604">
        <v>8</v>
      </c>
      <c r="N3162" s="604">
        <v>1310</v>
      </c>
      <c r="O3162" s="604">
        <v>6.1</v>
      </c>
      <c r="P3162" s="604" t="s">
        <v>484</v>
      </c>
      <c r="Q3162" s="499"/>
    </row>
    <row r="3163" spans="9:17">
      <c r="I3163" s="578" t="str">
        <f t="shared" si="195"/>
        <v>2002dhbMidCentralNeo</v>
      </c>
      <c r="J3163" s="604">
        <v>2002</v>
      </c>
      <c r="K3163" s="604" t="s">
        <v>448</v>
      </c>
      <c r="L3163" s="604" t="s">
        <v>94</v>
      </c>
      <c r="M3163" s="604">
        <v>7</v>
      </c>
      <c r="N3163" s="604">
        <v>1974</v>
      </c>
      <c r="O3163" s="604">
        <v>3.5</v>
      </c>
      <c r="P3163" s="604" t="s">
        <v>484</v>
      </c>
      <c r="Q3163" s="499"/>
    </row>
    <row r="3164" spans="9:17">
      <c r="I3164" s="578" t="str">
        <f t="shared" si="195"/>
        <v>2002dhbWhanganuiNeo</v>
      </c>
      <c r="J3164" s="604">
        <v>2002</v>
      </c>
      <c r="K3164" s="604" t="s">
        <v>448</v>
      </c>
      <c r="L3164" s="604" t="s">
        <v>95</v>
      </c>
      <c r="M3164" s="604">
        <v>3</v>
      </c>
      <c r="N3164" s="604">
        <v>861</v>
      </c>
      <c r="O3164" s="604">
        <v>3.5</v>
      </c>
      <c r="P3164" s="604" t="s">
        <v>484</v>
      </c>
      <c r="Q3164" s="499"/>
    </row>
    <row r="3165" spans="9:17">
      <c r="I3165" s="578" t="str">
        <f t="shared" si="195"/>
        <v>2002dhbCapital &amp; CoastNeo</v>
      </c>
      <c r="J3165" s="604">
        <v>2002</v>
      </c>
      <c r="K3165" s="604" t="s">
        <v>448</v>
      </c>
      <c r="L3165" s="604" t="s">
        <v>96</v>
      </c>
      <c r="M3165" s="604">
        <v>14</v>
      </c>
      <c r="N3165" s="604">
        <v>3562</v>
      </c>
      <c r="O3165" s="604">
        <v>3.9</v>
      </c>
      <c r="P3165" s="604" t="s">
        <v>484</v>
      </c>
      <c r="Q3165" s="499"/>
    </row>
    <row r="3166" spans="9:17">
      <c r="I3166" s="578" t="str">
        <f t="shared" si="195"/>
        <v>2002dhbHutt ValleyNeo</v>
      </c>
      <c r="J3166" s="604">
        <v>2002</v>
      </c>
      <c r="K3166" s="604" t="s">
        <v>448</v>
      </c>
      <c r="L3166" s="604" t="s">
        <v>97</v>
      </c>
      <c r="M3166" s="604">
        <v>7</v>
      </c>
      <c r="N3166" s="604">
        <v>1894</v>
      </c>
      <c r="O3166" s="604">
        <v>3.7</v>
      </c>
      <c r="P3166" s="604" t="s">
        <v>484</v>
      </c>
      <c r="Q3166" s="499"/>
    </row>
    <row r="3167" spans="9:17">
      <c r="I3167" s="578" t="str">
        <f t="shared" si="195"/>
        <v>2002dhbWairarapaNeo</v>
      </c>
      <c r="J3167" s="604">
        <v>2002</v>
      </c>
      <c r="K3167" s="604" t="s">
        <v>448</v>
      </c>
      <c r="L3167" s="604" t="s">
        <v>98</v>
      </c>
      <c r="M3167" s="604">
        <v>1</v>
      </c>
      <c r="N3167" s="604">
        <v>462</v>
      </c>
      <c r="O3167" s="604">
        <v>2.2000000000000002</v>
      </c>
      <c r="P3167" s="604" t="s">
        <v>484</v>
      </c>
      <c r="Q3167" s="499"/>
    </row>
    <row r="3168" spans="9:17">
      <c r="I3168" s="578" t="str">
        <f t="shared" si="195"/>
        <v>2002dhbNelson MarlboroughNeo</v>
      </c>
      <c r="J3168" s="604">
        <v>2002</v>
      </c>
      <c r="K3168" s="604" t="s">
        <v>448</v>
      </c>
      <c r="L3168" s="604" t="s">
        <v>99</v>
      </c>
      <c r="M3168" s="604">
        <v>10</v>
      </c>
      <c r="N3168" s="604">
        <v>1442</v>
      </c>
      <c r="O3168" s="604">
        <v>6.9</v>
      </c>
      <c r="P3168" s="604" t="s">
        <v>484</v>
      </c>
      <c r="Q3168" s="499"/>
    </row>
    <row r="3169" spans="9:17">
      <c r="I3169" s="578" t="str">
        <f t="shared" si="195"/>
        <v>2002dhbWest CoastNeo</v>
      </c>
      <c r="J3169" s="604">
        <v>2002</v>
      </c>
      <c r="K3169" s="604" t="s">
        <v>448</v>
      </c>
      <c r="L3169" s="604" t="s">
        <v>100</v>
      </c>
      <c r="M3169" s="604">
        <v>2</v>
      </c>
      <c r="N3169" s="604">
        <v>330</v>
      </c>
      <c r="O3169" s="604">
        <v>6.1</v>
      </c>
      <c r="P3169" s="604" t="s">
        <v>484</v>
      </c>
      <c r="Q3169" s="499"/>
    </row>
    <row r="3170" spans="9:17">
      <c r="I3170" s="578" t="str">
        <f t="shared" si="195"/>
        <v>2002dhbCanterburyNeo</v>
      </c>
      <c r="J3170" s="604">
        <v>2002</v>
      </c>
      <c r="K3170" s="604" t="s">
        <v>448</v>
      </c>
      <c r="L3170" s="604" t="s">
        <v>101</v>
      </c>
      <c r="M3170" s="604">
        <v>20</v>
      </c>
      <c r="N3170" s="604">
        <v>5342</v>
      </c>
      <c r="O3170" s="604">
        <v>3.7</v>
      </c>
      <c r="P3170" s="604" t="s">
        <v>484</v>
      </c>
      <c r="Q3170" s="499"/>
    </row>
    <row r="3171" spans="9:17">
      <c r="I3171" s="578" t="str">
        <f t="shared" si="195"/>
        <v>2002dhbSouth CanterburyNeo</v>
      </c>
      <c r="J3171" s="604">
        <v>2002</v>
      </c>
      <c r="K3171" s="604" t="s">
        <v>448</v>
      </c>
      <c r="L3171" s="604" t="s">
        <v>102</v>
      </c>
      <c r="M3171" s="604">
        <v>5</v>
      </c>
      <c r="N3171" s="604">
        <v>547</v>
      </c>
      <c r="O3171" s="604">
        <v>9.1</v>
      </c>
      <c r="P3171" s="604" t="s">
        <v>484</v>
      </c>
      <c r="Q3171" s="499"/>
    </row>
    <row r="3172" spans="9:17">
      <c r="I3172" s="578" t="str">
        <f t="shared" si="195"/>
        <v>2002dhbSouthernNeo</v>
      </c>
      <c r="J3172" s="604">
        <v>2002</v>
      </c>
      <c r="K3172" s="604" t="s">
        <v>448</v>
      </c>
      <c r="L3172" s="604" t="s">
        <v>103</v>
      </c>
      <c r="M3172" s="604">
        <v>8</v>
      </c>
      <c r="N3172" s="604">
        <v>3285</v>
      </c>
      <c r="O3172" s="604">
        <v>2.4</v>
      </c>
      <c r="P3172" s="604" t="s">
        <v>484</v>
      </c>
      <c r="Q3172" s="499"/>
    </row>
    <row r="3173" spans="9:17">
      <c r="I3173" s="578" t="str">
        <f t="shared" si="195"/>
        <v>2002dhbUnknownNeo</v>
      </c>
      <c r="J3173" s="604">
        <v>2002</v>
      </c>
      <c r="K3173" s="604" t="s">
        <v>448</v>
      </c>
      <c r="L3173" s="604" t="s">
        <v>63</v>
      </c>
      <c r="M3173" s="604">
        <v>1</v>
      </c>
      <c r="N3173" s="604">
        <v>543</v>
      </c>
      <c r="O3173" s="604" t="s">
        <v>119</v>
      </c>
      <c r="P3173" s="604" t="s">
        <v>484</v>
      </c>
      <c r="Q3173" s="499"/>
    </row>
    <row r="3174" spans="9:17">
      <c r="I3174" s="578" t="str">
        <f t="shared" si="195"/>
        <v>2003dhbNorthlandNeo</v>
      </c>
      <c r="J3174" s="604">
        <v>2003</v>
      </c>
      <c r="K3174" s="604" t="s">
        <v>448</v>
      </c>
      <c r="L3174" s="604" t="s">
        <v>85</v>
      </c>
      <c r="M3174" s="604">
        <v>10</v>
      </c>
      <c r="N3174" s="604">
        <v>2024</v>
      </c>
      <c r="O3174" s="604">
        <v>4.9000000000000004</v>
      </c>
      <c r="P3174" s="604" t="s">
        <v>484</v>
      </c>
      <c r="Q3174" s="499"/>
    </row>
    <row r="3175" spans="9:17">
      <c r="I3175" s="578" t="str">
        <f t="shared" si="195"/>
        <v>2003dhbWaitemataNeo</v>
      </c>
      <c r="J3175" s="604">
        <v>2003</v>
      </c>
      <c r="K3175" s="604" t="s">
        <v>448</v>
      </c>
      <c r="L3175" s="604" t="s">
        <v>86</v>
      </c>
      <c r="M3175" s="604">
        <v>11</v>
      </c>
      <c r="N3175" s="604">
        <v>6822</v>
      </c>
      <c r="O3175" s="604">
        <v>1.6</v>
      </c>
      <c r="P3175" s="604" t="s">
        <v>484</v>
      </c>
      <c r="Q3175" s="499"/>
    </row>
    <row r="3176" spans="9:17">
      <c r="I3176" s="578" t="str">
        <f t="shared" si="195"/>
        <v>2003dhbAucklandNeo</v>
      </c>
      <c r="J3176" s="604">
        <v>2003</v>
      </c>
      <c r="K3176" s="604" t="s">
        <v>448</v>
      </c>
      <c r="L3176" s="604" t="s">
        <v>87</v>
      </c>
      <c r="M3176" s="604">
        <v>26</v>
      </c>
      <c r="N3176" s="604">
        <v>5975</v>
      </c>
      <c r="O3176" s="604">
        <v>4.4000000000000004</v>
      </c>
      <c r="P3176" s="604" t="s">
        <v>484</v>
      </c>
      <c r="Q3176" s="499"/>
    </row>
    <row r="3177" spans="9:17">
      <c r="I3177" s="578" t="str">
        <f t="shared" si="195"/>
        <v>2003dhbCounties ManukauNeo</v>
      </c>
      <c r="J3177" s="604">
        <v>2003</v>
      </c>
      <c r="K3177" s="604" t="s">
        <v>448</v>
      </c>
      <c r="L3177" s="604" t="s">
        <v>88</v>
      </c>
      <c r="M3177" s="604">
        <v>36</v>
      </c>
      <c r="N3177" s="604">
        <v>7547</v>
      </c>
      <c r="O3177" s="604">
        <v>4.8</v>
      </c>
      <c r="P3177" s="604" t="s">
        <v>484</v>
      </c>
      <c r="Q3177" s="499"/>
    </row>
    <row r="3178" spans="9:17">
      <c r="I3178" s="578" t="str">
        <f t="shared" si="195"/>
        <v>2003dhbWaikatoNeo</v>
      </c>
      <c r="J3178" s="604">
        <v>2003</v>
      </c>
      <c r="K3178" s="604" t="s">
        <v>448</v>
      </c>
      <c r="L3178" s="604" t="s">
        <v>89</v>
      </c>
      <c r="M3178" s="604">
        <v>8</v>
      </c>
      <c r="N3178" s="604">
        <v>4800</v>
      </c>
      <c r="O3178" s="604">
        <v>1.7</v>
      </c>
      <c r="P3178" s="604" t="s">
        <v>484</v>
      </c>
      <c r="Q3178" s="499"/>
    </row>
    <row r="3179" spans="9:17">
      <c r="I3179" s="578" t="str">
        <f t="shared" si="195"/>
        <v>2003dhbLakesNeo</v>
      </c>
      <c r="J3179" s="604">
        <v>2003</v>
      </c>
      <c r="K3179" s="604" t="s">
        <v>448</v>
      </c>
      <c r="L3179" s="604" t="s">
        <v>90</v>
      </c>
      <c r="M3179" s="604">
        <v>5</v>
      </c>
      <c r="N3179" s="604">
        <v>1553</v>
      </c>
      <c r="O3179" s="604">
        <v>3.2</v>
      </c>
      <c r="P3179" s="604" t="s">
        <v>484</v>
      </c>
      <c r="Q3179" s="499"/>
    </row>
    <row r="3180" spans="9:17">
      <c r="I3180" s="578" t="str">
        <f t="shared" si="195"/>
        <v>2003dhbBay of PlentyNeo</v>
      </c>
      <c r="J3180" s="604">
        <v>2003</v>
      </c>
      <c r="K3180" s="604" t="s">
        <v>448</v>
      </c>
      <c r="L3180" s="604" t="s">
        <v>91</v>
      </c>
      <c r="M3180" s="604">
        <v>10</v>
      </c>
      <c r="N3180" s="604">
        <v>2602</v>
      </c>
      <c r="O3180" s="604">
        <v>3.8</v>
      </c>
      <c r="P3180" s="604" t="s">
        <v>484</v>
      </c>
      <c r="Q3180" s="499"/>
    </row>
    <row r="3181" spans="9:17">
      <c r="I3181" s="578" t="str">
        <f t="shared" si="195"/>
        <v>2003dhbTairawhitiNeo</v>
      </c>
      <c r="J3181" s="604">
        <v>2003</v>
      </c>
      <c r="K3181" s="604" t="s">
        <v>448</v>
      </c>
      <c r="L3181" s="604" t="s">
        <v>433</v>
      </c>
      <c r="M3181" s="604">
        <v>2</v>
      </c>
      <c r="N3181" s="604">
        <v>703</v>
      </c>
      <c r="O3181" s="604">
        <v>2.8</v>
      </c>
      <c r="P3181" s="604" t="s">
        <v>484</v>
      </c>
      <c r="Q3181" s="499"/>
    </row>
    <row r="3182" spans="9:17">
      <c r="I3182" s="578" t="str">
        <f t="shared" si="195"/>
        <v>2003dhbHawke's BayNeo</v>
      </c>
      <c r="J3182" s="604">
        <v>2003</v>
      </c>
      <c r="K3182" s="604" t="s">
        <v>448</v>
      </c>
      <c r="L3182" s="604" t="s">
        <v>92</v>
      </c>
      <c r="M3182" s="604">
        <v>6</v>
      </c>
      <c r="N3182" s="604">
        <v>2078</v>
      </c>
      <c r="O3182" s="604">
        <v>2.9</v>
      </c>
      <c r="P3182" s="604" t="s">
        <v>484</v>
      </c>
      <c r="Q3182" s="499"/>
    </row>
    <row r="3183" spans="9:17">
      <c r="I3183" s="578" t="str">
        <f t="shared" si="195"/>
        <v>2003dhbTaranakiNeo</v>
      </c>
      <c r="J3183" s="604">
        <v>2003</v>
      </c>
      <c r="K3183" s="604" t="s">
        <v>448</v>
      </c>
      <c r="L3183" s="604" t="s">
        <v>93</v>
      </c>
      <c r="M3183" s="604">
        <v>3</v>
      </c>
      <c r="N3183" s="604">
        <v>1378</v>
      </c>
      <c r="O3183" s="604">
        <v>2.2000000000000002</v>
      </c>
      <c r="P3183" s="604" t="s">
        <v>484</v>
      </c>
      <c r="Q3183" s="499"/>
    </row>
    <row r="3184" spans="9:17">
      <c r="I3184" s="578" t="str">
        <f t="shared" si="195"/>
        <v>2003dhbMidCentralNeo</v>
      </c>
      <c r="J3184" s="604">
        <v>2003</v>
      </c>
      <c r="K3184" s="604" t="s">
        <v>448</v>
      </c>
      <c r="L3184" s="604" t="s">
        <v>94</v>
      </c>
      <c r="M3184" s="604">
        <v>1</v>
      </c>
      <c r="N3184" s="604">
        <v>2032</v>
      </c>
      <c r="O3184" s="604">
        <v>0.5</v>
      </c>
      <c r="P3184" s="604" t="s">
        <v>484</v>
      </c>
      <c r="Q3184" s="499"/>
    </row>
    <row r="3185" spans="9:17">
      <c r="I3185" s="578" t="str">
        <f t="shared" si="195"/>
        <v>2003dhbWhanganuiNeo</v>
      </c>
      <c r="J3185" s="604">
        <v>2003</v>
      </c>
      <c r="K3185" s="604" t="s">
        <v>448</v>
      </c>
      <c r="L3185" s="604" t="s">
        <v>95</v>
      </c>
      <c r="M3185" s="604">
        <v>6</v>
      </c>
      <c r="N3185" s="604">
        <v>843</v>
      </c>
      <c r="O3185" s="604">
        <v>7.1</v>
      </c>
      <c r="P3185" s="604" t="s">
        <v>484</v>
      </c>
      <c r="Q3185" s="499"/>
    </row>
    <row r="3186" spans="9:17">
      <c r="I3186" s="578" t="str">
        <f t="shared" si="195"/>
        <v>2003dhbCapital &amp; CoastNeo</v>
      </c>
      <c r="J3186" s="604">
        <v>2003</v>
      </c>
      <c r="K3186" s="604" t="s">
        <v>448</v>
      </c>
      <c r="L3186" s="604" t="s">
        <v>96</v>
      </c>
      <c r="M3186" s="604">
        <v>18</v>
      </c>
      <c r="N3186" s="604">
        <v>3805</v>
      </c>
      <c r="O3186" s="604">
        <v>4.7</v>
      </c>
      <c r="P3186" s="604" t="s">
        <v>484</v>
      </c>
      <c r="Q3186" s="499"/>
    </row>
    <row r="3187" spans="9:17">
      <c r="I3187" s="578" t="str">
        <f t="shared" si="195"/>
        <v>2003dhbHutt ValleyNeo</v>
      </c>
      <c r="J3187" s="604">
        <v>2003</v>
      </c>
      <c r="K3187" s="604" t="s">
        <v>448</v>
      </c>
      <c r="L3187" s="604" t="s">
        <v>97</v>
      </c>
      <c r="M3187" s="604">
        <v>4</v>
      </c>
      <c r="N3187" s="604">
        <v>2052</v>
      </c>
      <c r="O3187" s="604">
        <v>1.9</v>
      </c>
      <c r="P3187" s="604" t="s">
        <v>484</v>
      </c>
      <c r="Q3187" s="499"/>
    </row>
    <row r="3188" spans="9:17">
      <c r="I3188" s="578" t="str">
        <f t="shared" si="195"/>
        <v>2003dhbWairarapaNeo</v>
      </c>
      <c r="J3188" s="604">
        <v>2003</v>
      </c>
      <c r="K3188" s="604" t="s">
        <v>448</v>
      </c>
      <c r="L3188" s="604" t="s">
        <v>98</v>
      </c>
      <c r="M3188" s="604">
        <v>1</v>
      </c>
      <c r="N3188" s="604">
        <v>435</v>
      </c>
      <c r="O3188" s="604">
        <v>2.2999999999999998</v>
      </c>
      <c r="P3188" s="604" t="s">
        <v>484</v>
      </c>
      <c r="Q3188" s="499"/>
    </row>
    <row r="3189" spans="9:17">
      <c r="I3189" s="578" t="str">
        <f t="shared" si="195"/>
        <v>2003dhbNelson MarlboroughNeo</v>
      </c>
      <c r="J3189" s="604">
        <v>2003</v>
      </c>
      <c r="K3189" s="604" t="s">
        <v>448</v>
      </c>
      <c r="L3189" s="604" t="s">
        <v>99</v>
      </c>
      <c r="M3189" s="604">
        <v>5</v>
      </c>
      <c r="N3189" s="604">
        <v>1523</v>
      </c>
      <c r="O3189" s="604">
        <v>3.3</v>
      </c>
      <c r="P3189" s="604" t="s">
        <v>484</v>
      </c>
      <c r="Q3189" s="499"/>
    </row>
    <row r="3190" spans="9:17">
      <c r="I3190" s="578" t="str">
        <f t="shared" si="195"/>
        <v>2003dhbWest CoastNeo</v>
      </c>
      <c r="J3190" s="604">
        <v>2003</v>
      </c>
      <c r="K3190" s="604" t="s">
        <v>448</v>
      </c>
      <c r="L3190" s="604" t="s">
        <v>100</v>
      </c>
      <c r="M3190" s="604">
        <v>3</v>
      </c>
      <c r="N3190" s="604">
        <v>334</v>
      </c>
      <c r="O3190" s="604">
        <v>9</v>
      </c>
      <c r="P3190" s="604" t="s">
        <v>484</v>
      </c>
      <c r="Q3190" s="499"/>
    </row>
    <row r="3191" spans="9:17">
      <c r="I3191" s="578" t="str">
        <f t="shared" si="195"/>
        <v>2003dhbCanterburyNeo</v>
      </c>
      <c r="J3191" s="604">
        <v>2003</v>
      </c>
      <c r="K3191" s="604" t="s">
        <v>448</v>
      </c>
      <c r="L3191" s="604" t="s">
        <v>101</v>
      </c>
      <c r="M3191" s="604">
        <v>14</v>
      </c>
      <c r="N3191" s="604">
        <v>5665</v>
      </c>
      <c r="O3191" s="604">
        <v>2.5</v>
      </c>
      <c r="P3191" s="604" t="s">
        <v>484</v>
      </c>
      <c r="Q3191" s="499"/>
    </row>
    <row r="3192" spans="9:17">
      <c r="I3192" s="578" t="str">
        <f t="shared" si="195"/>
        <v>2003dhbSouth CanterburyNeo</v>
      </c>
      <c r="J3192" s="604">
        <v>2003</v>
      </c>
      <c r="K3192" s="604" t="s">
        <v>448</v>
      </c>
      <c r="L3192" s="604" t="s">
        <v>102</v>
      </c>
      <c r="M3192" s="604">
        <v>2</v>
      </c>
      <c r="N3192" s="604">
        <v>592</v>
      </c>
      <c r="O3192" s="604">
        <v>3.4</v>
      </c>
      <c r="P3192" s="604" t="s">
        <v>484</v>
      </c>
      <c r="Q3192" s="499"/>
    </row>
    <row r="3193" spans="9:17">
      <c r="I3193" s="578" t="str">
        <f t="shared" si="195"/>
        <v>2003dhbSouthernNeo</v>
      </c>
      <c r="J3193" s="604">
        <v>2003</v>
      </c>
      <c r="K3193" s="604" t="s">
        <v>448</v>
      </c>
      <c r="L3193" s="604" t="s">
        <v>103</v>
      </c>
      <c r="M3193" s="604">
        <v>11</v>
      </c>
      <c r="N3193" s="604">
        <v>3290</v>
      </c>
      <c r="O3193" s="604">
        <v>3.3</v>
      </c>
      <c r="P3193" s="604" t="s">
        <v>484</v>
      </c>
      <c r="Q3193" s="499"/>
    </row>
    <row r="3194" spans="9:17">
      <c r="I3194" s="578" t="str">
        <f t="shared" si="195"/>
        <v>2003dhbUnknownNeo</v>
      </c>
      <c r="J3194" s="604">
        <v>2003</v>
      </c>
      <c r="K3194" s="604" t="s">
        <v>448</v>
      </c>
      <c r="L3194" s="604" t="s">
        <v>63</v>
      </c>
      <c r="M3194" s="604">
        <v>2</v>
      </c>
      <c r="N3194" s="604">
        <v>523</v>
      </c>
      <c r="O3194" s="604" t="s">
        <v>119</v>
      </c>
      <c r="P3194" s="604" t="s">
        <v>484</v>
      </c>
      <c r="Q3194" s="499"/>
    </row>
    <row r="3195" spans="9:17">
      <c r="I3195" s="578" t="str">
        <f t="shared" si="195"/>
        <v>2004dhbNorthlandNeo</v>
      </c>
      <c r="J3195" s="604">
        <v>2004</v>
      </c>
      <c r="K3195" s="604" t="s">
        <v>448</v>
      </c>
      <c r="L3195" s="604" t="s">
        <v>85</v>
      </c>
      <c r="M3195" s="604">
        <v>9</v>
      </c>
      <c r="N3195" s="604">
        <v>2087</v>
      </c>
      <c r="O3195" s="604">
        <v>4.3</v>
      </c>
      <c r="P3195" s="604" t="s">
        <v>484</v>
      </c>
      <c r="Q3195" s="499"/>
    </row>
    <row r="3196" spans="9:17">
      <c r="I3196" s="578" t="str">
        <f t="shared" si="195"/>
        <v>2004dhbWaitemataNeo</v>
      </c>
      <c r="J3196" s="604">
        <v>2004</v>
      </c>
      <c r="K3196" s="604" t="s">
        <v>448</v>
      </c>
      <c r="L3196" s="604" t="s">
        <v>86</v>
      </c>
      <c r="M3196" s="604">
        <v>24</v>
      </c>
      <c r="N3196" s="604">
        <v>7137</v>
      </c>
      <c r="O3196" s="604">
        <v>3.4</v>
      </c>
      <c r="P3196" s="604" t="s">
        <v>484</v>
      </c>
      <c r="Q3196" s="499"/>
    </row>
    <row r="3197" spans="9:17">
      <c r="I3197" s="578" t="str">
        <f t="shared" si="195"/>
        <v>2004dhbAucklandNeo</v>
      </c>
      <c r="J3197" s="604">
        <v>2004</v>
      </c>
      <c r="K3197" s="604" t="s">
        <v>448</v>
      </c>
      <c r="L3197" s="604" t="s">
        <v>87</v>
      </c>
      <c r="M3197" s="604">
        <v>25</v>
      </c>
      <c r="N3197" s="604">
        <v>6298</v>
      </c>
      <c r="O3197" s="604">
        <v>4</v>
      </c>
      <c r="P3197" s="604" t="s">
        <v>484</v>
      </c>
      <c r="Q3197" s="499"/>
    </row>
    <row r="3198" spans="9:17">
      <c r="I3198" s="578" t="str">
        <f t="shared" si="195"/>
        <v>2004dhbCounties ManukauNeo</v>
      </c>
      <c r="J3198" s="604">
        <v>2004</v>
      </c>
      <c r="K3198" s="604" t="s">
        <v>448</v>
      </c>
      <c r="L3198" s="604" t="s">
        <v>88</v>
      </c>
      <c r="M3198" s="604">
        <v>30</v>
      </c>
      <c r="N3198" s="604">
        <v>7923</v>
      </c>
      <c r="O3198" s="604">
        <v>3.8</v>
      </c>
      <c r="P3198" s="604" t="s">
        <v>484</v>
      </c>
      <c r="Q3198" s="499"/>
    </row>
    <row r="3199" spans="9:17">
      <c r="I3199" s="578" t="str">
        <f t="shared" si="195"/>
        <v>2004dhbWaikatoNeo</v>
      </c>
      <c r="J3199" s="604">
        <v>2004</v>
      </c>
      <c r="K3199" s="604" t="s">
        <v>448</v>
      </c>
      <c r="L3199" s="604" t="s">
        <v>89</v>
      </c>
      <c r="M3199" s="604">
        <v>17</v>
      </c>
      <c r="N3199" s="604">
        <v>4956</v>
      </c>
      <c r="O3199" s="604">
        <v>3.4</v>
      </c>
      <c r="P3199" s="604" t="s">
        <v>484</v>
      </c>
      <c r="Q3199" s="499"/>
    </row>
    <row r="3200" spans="9:17">
      <c r="I3200" s="578" t="str">
        <f t="shared" si="195"/>
        <v>2004dhbLakesNeo</v>
      </c>
      <c r="J3200" s="604">
        <v>2004</v>
      </c>
      <c r="K3200" s="604" t="s">
        <v>448</v>
      </c>
      <c r="L3200" s="604" t="s">
        <v>90</v>
      </c>
      <c r="M3200" s="604">
        <v>5</v>
      </c>
      <c r="N3200" s="604">
        <v>1659</v>
      </c>
      <c r="O3200" s="604">
        <v>3</v>
      </c>
      <c r="P3200" s="604" t="s">
        <v>484</v>
      </c>
      <c r="Q3200" s="499"/>
    </row>
    <row r="3201" spans="9:17">
      <c r="I3201" s="578" t="str">
        <f t="shared" si="195"/>
        <v>2004dhbBay of PlentyNeo</v>
      </c>
      <c r="J3201" s="604">
        <v>2004</v>
      </c>
      <c r="K3201" s="604" t="s">
        <v>448</v>
      </c>
      <c r="L3201" s="604" t="s">
        <v>91</v>
      </c>
      <c r="M3201" s="604">
        <v>14</v>
      </c>
      <c r="N3201" s="604">
        <v>2763</v>
      </c>
      <c r="O3201" s="604">
        <v>5.0999999999999996</v>
      </c>
      <c r="P3201" s="604" t="s">
        <v>484</v>
      </c>
      <c r="Q3201" s="499"/>
    </row>
    <row r="3202" spans="9:17">
      <c r="I3202" s="578" t="str">
        <f t="shared" si="195"/>
        <v>2004dhbTairawhitiNeo</v>
      </c>
      <c r="J3202" s="604">
        <v>2004</v>
      </c>
      <c r="K3202" s="604" t="s">
        <v>448</v>
      </c>
      <c r="L3202" s="604" t="s">
        <v>433</v>
      </c>
      <c r="M3202" s="604">
        <v>1</v>
      </c>
      <c r="N3202" s="604">
        <v>760</v>
      </c>
      <c r="O3202" s="604">
        <v>1.3</v>
      </c>
      <c r="P3202" s="604" t="s">
        <v>484</v>
      </c>
      <c r="Q3202" s="499"/>
    </row>
    <row r="3203" spans="9:17">
      <c r="I3203" s="578" t="str">
        <f t="shared" si="195"/>
        <v>2004dhbHawke's BayNeo</v>
      </c>
      <c r="J3203" s="604">
        <v>2004</v>
      </c>
      <c r="K3203" s="604" t="s">
        <v>448</v>
      </c>
      <c r="L3203" s="604" t="s">
        <v>92</v>
      </c>
      <c r="M3203" s="604">
        <v>12</v>
      </c>
      <c r="N3203" s="604">
        <v>2188</v>
      </c>
      <c r="O3203" s="604">
        <v>5.5</v>
      </c>
      <c r="P3203" s="604" t="s">
        <v>484</v>
      </c>
      <c r="Q3203" s="499"/>
    </row>
    <row r="3204" spans="9:17">
      <c r="I3204" s="578" t="str">
        <f t="shared" ref="I3204:I3267" si="196">J3204&amp;K3204&amp;L3204&amp;P3204</f>
        <v>2004dhbTaranakiNeo</v>
      </c>
      <c r="J3204" s="604">
        <v>2004</v>
      </c>
      <c r="K3204" s="604" t="s">
        <v>448</v>
      </c>
      <c r="L3204" s="604" t="s">
        <v>93</v>
      </c>
      <c r="M3204" s="604">
        <v>3</v>
      </c>
      <c r="N3204" s="604">
        <v>1336</v>
      </c>
      <c r="O3204" s="604">
        <v>2.2000000000000002</v>
      </c>
      <c r="P3204" s="604" t="s">
        <v>484</v>
      </c>
      <c r="Q3204" s="499"/>
    </row>
    <row r="3205" spans="9:17">
      <c r="I3205" s="578" t="str">
        <f t="shared" si="196"/>
        <v>2004dhbMidCentralNeo</v>
      </c>
      <c r="J3205" s="604">
        <v>2004</v>
      </c>
      <c r="K3205" s="604" t="s">
        <v>448</v>
      </c>
      <c r="L3205" s="604" t="s">
        <v>94</v>
      </c>
      <c r="M3205" s="604">
        <v>2</v>
      </c>
      <c r="N3205" s="604">
        <v>2079</v>
      </c>
      <c r="O3205" s="604">
        <v>1</v>
      </c>
      <c r="P3205" s="604" t="s">
        <v>484</v>
      </c>
      <c r="Q3205" s="499"/>
    </row>
    <row r="3206" spans="9:17">
      <c r="I3206" s="578" t="str">
        <f t="shared" si="196"/>
        <v>2004dhbWhanganuiNeo</v>
      </c>
      <c r="J3206" s="604">
        <v>2004</v>
      </c>
      <c r="K3206" s="604" t="s">
        <v>448</v>
      </c>
      <c r="L3206" s="604" t="s">
        <v>95</v>
      </c>
      <c r="M3206" s="604">
        <v>2</v>
      </c>
      <c r="N3206" s="604">
        <v>815</v>
      </c>
      <c r="O3206" s="604">
        <v>2.5</v>
      </c>
      <c r="P3206" s="604" t="s">
        <v>484</v>
      </c>
      <c r="Q3206" s="499"/>
    </row>
    <row r="3207" spans="9:17">
      <c r="I3207" s="578" t="str">
        <f t="shared" si="196"/>
        <v>2004dhbCapital &amp; CoastNeo</v>
      </c>
      <c r="J3207" s="604">
        <v>2004</v>
      </c>
      <c r="K3207" s="604" t="s">
        <v>448</v>
      </c>
      <c r="L3207" s="604" t="s">
        <v>96</v>
      </c>
      <c r="M3207" s="604">
        <v>10</v>
      </c>
      <c r="N3207" s="604">
        <v>3693</v>
      </c>
      <c r="O3207" s="604">
        <v>2.7</v>
      </c>
      <c r="P3207" s="604" t="s">
        <v>484</v>
      </c>
      <c r="Q3207" s="499"/>
    </row>
    <row r="3208" spans="9:17">
      <c r="I3208" s="578" t="str">
        <f t="shared" si="196"/>
        <v>2004dhbHutt ValleyNeo</v>
      </c>
      <c r="J3208" s="604">
        <v>2004</v>
      </c>
      <c r="K3208" s="604" t="s">
        <v>448</v>
      </c>
      <c r="L3208" s="604" t="s">
        <v>97</v>
      </c>
      <c r="M3208" s="604">
        <v>3</v>
      </c>
      <c r="N3208" s="604">
        <v>2031</v>
      </c>
      <c r="O3208" s="604">
        <v>1.5</v>
      </c>
      <c r="P3208" s="604" t="s">
        <v>484</v>
      </c>
      <c r="Q3208" s="499"/>
    </row>
    <row r="3209" spans="9:17">
      <c r="I3209" s="578" t="str">
        <f t="shared" si="196"/>
        <v>2004dhbWairarapaNeo</v>
      </c>
      <c r="J3209" s="604">
        <v>2004</v>
      </c>
      <c r="K3209" s="604" t="s">
        <v>448</v>
      </c>
      <c r="L3209" s="604" t="s">
        <v>98</v>
      </c>
      <c r="M3209" s="604">
        <v>2</v>
      </c>
      <c r="N3209" s="604">
        <v>522</v>
      </c>
      <c r="O3209" s="604">
        <v>3.8</v>
      </c>
      <c r="P3209" s="604" t="s">
        <v>484</v>
      </c>
      <c r="Q3209" s="499"/>
    </row>
    <row r="3210" spans="9:17">
      <c r="I3210" s="578" t="str">
        <f t="shared" si="196"/>
        <v>2004dhbNelson MarlboroughNeo</v>
      </c>
      <c r="J3210" s="604">
        <v>2004</v>
      </c>
      <c r="K3210" s="604" t="s">
        <v>448</v>
      </c>
      <c r="L3210" s="604" t="s">
        <v>99</v>
      </c>
      <c r="M3210" s="604">
        <v>4</v>
      </c>
      <c r="N3210" s="604">
        <v>1623</v>
      </c>
      <c r="O3210" s="604">
        <v>2.5</v>
      </c>
      <c r="P3210" s="604" t="s">
        <v>484</v>
      </c>
      <c r="Q3210" s="499"/>
    </row>
    <row r="3211" spans="9:17">
      <c r="I3211" s="578" t="str">
        <f t="shared" si="196"/>
        <v>2004dhbWest CoastNeo</v>
      </c>
      <c r="J3211" s="604">
        <v>2004</v>
      </c>
      <c r="K3211" s="604" t="s">
        <v>448</v>
      </c>
      <c r="L3211" s="604" t="s">
        <v>100</v>
      </c>
      <c r="M3211" s="604">
        <v>1</v>
      </c>
      <c r="N3211" s="604">
        <v>399</v>
      </c>
      <c r="O3211" s="604">
        <v>2.5</v>
      </c>
      <c r="P3211" s="604" t="s">
        <v>484</v>
      </c>
      <c r="Q3211" s="499"/>
    </row>
    <row r="3212" spans="9:17">
      <c r="I3212" s="578" t="str">
        <f t="shared" si="196"/>
        <v>2004dhbCanterburyNeo</v>
      </c>
      <c r="J3212" s="604">
        <v>2004</v>
      </c>
      <c r="K3212" s="604" t="s">
        <v>448</v>
      </c>
      <c r="L3212" s="604" t="s">
        <v>101</v>
      </c>
      <c r="M3212" s="604">
        <v>18</v>
      </c>
      <c r="N3212" s="604">
        <v>6071</v>
      </c>
      <c r="O3212" s="604">
        <v>3</v>
      </c>
      <c r="P3212" s="604" t="s">
        <v>484</v>
      </c>
      <c r="Q3212" s="499"/>
    </row>
    <row r="3213" spans="9:17">
      <c r="I3213" s="578" t="str">
        <f t="shared" si="196"/>
        <v>2004dhbSouth CanterburyNeo</v>
      </c>
      <c r="J3213" s="604">
        <v>2004</v>
      </c>
      <c r="K3213" s="604" t="s">
        <v>448</v>
      </c>
      <c r="L3213" s="604" t="s">
        <v>102</v>
      </c>
      <c r="M3213" s="604">
        <v>3</v>
      </c>
      <c r="N3213" s="604">
        <v>569</v>
      </c>
      <c r="O3213" s="604">
        <v>5.3</v>
      </c>
      <c r="P3213" s="604" t="s">
        <v>484</v>
      </c>
      <c r="Q3213" s="499"/>
    </row>
    <row r="3214" spans="9:17">
      <c r="I3214" s="578" t="str">
        <f t="shared" si="196"/>
        <v>2004dhbSouthernNeo</v>
      </c>
      <c r="J3214" s="604">
        <v>2004</v>
      </c>
      <c r="K3214" s="604" t="s">
        <v>448</v>
      </c>
      <c r="L3214" s="604" t="s">
        <v>103</v>
      </c>
      <c r="M3214" s="604">
        <v>11</v>
      </c>
      <c r="N3214" s="604">
        <v>3458</v>
      </c>
      <c r="O3214" s="604">
        <v>3.2</v>
      </c>
      <c r="P3214" s="604" t="s">
        <v>484</v>
      </c>
      <c r="Q3214" s="499"/>
    </row>
    <row r="3215" spans="9:17">
      <c r="I3215" s="578" t="str">
        <f t="shared" si="196"/>
        <v>2004dhbUnknownNeo</v>
      </c>
      <c r="J3215" s="604">
        <v>2004</v>
      </c>
      <c r="K3215" s="604" t="s">
        <v>448</v>
      </c>
      <c r="L3215" s="604" t="s">
        <v>63</v>
      </c>
      <c r="M3215" s="604">
        <v>1</v>
      </c>
      <c r="N3215" s="604">
        <v>356</v>
      </c>
      <c r="O3215" s="604" t="s">
        <v>119</v>
      </c>
      <c r="P3215" s="604" t="s">
        <v>484</v>
      </c>
      <c r="Q3215" s="499"/>
    </row>
    <row r="3216" spans="9:17">
      <c r="I3216" s="578" t="str">
        <f t="shared" si="196"/>
        <v>2005dhbNorthlandNeo</v>
      </c>
      <c r="J3216" s="604">
        <v>2005</v>
      </c>
      <c r="K3216" s="604" t="s">
        <v>448</v>
      </c>
      <c r="L3216" s="604" t="s">
        <v>85</v>
      </c>
      <c r="M3216" s="604">
        <v>7</v>
      </c>
      <c r="N3216" s="604">
        <v>2137</v>
      </c>
      <c r="O3216" s="604">
        <v>3.3</v>
      </c>
      <c r="P3216" s="604" t="s">
        <v>484</v>
      </c>
      <c r="Q3216" s="499"/>
    </row>
    <row r="3217" spans="9:17">
      <c r="I3217" s="578" t="str">
        <f t="shared" si="196"/>
        <v>2005dhbWaitemataNeo</v>
      </c>
      <c r="J3217" s="604">
        <v>2005</v>
      </c>
      <c r="K3217" s="604" t="s">
        <v>448</v>
      </c>
      <c r="L3217" s="604" t="s">
        <v>86</v>
      </c>
      <c r="M3217" s="604">
        <v>11</v>
      </c>
      <c r="N3217" s="604">
        <v>6944</v>
      </c>
      <c r="O3217" s="604">
        <v>1.6</v>
      </c>
      <c r="P3217" s="604" t="s">
        <v>484</v>
      </c>
      <c r="Q3217" s="499"/>
    </row>
    <row r="3218" spans="9:17">
      <c r="I3218" s="578" t="str">
        <f t="shared" si="196"/>
        <v>2005dhbAucklandNeo</v>
      </c>
      <c r="J3218" s="604">
        <v>2005</v>
      </c>
      <c r="K3218" s="604" t="s">
        <v>448</v>
      </c>
      <c r="L3218" s="604" t="s">
        <v>87</v>
      </c>
      <c r="M3218" s="604">
        <v>23</v>
      </c>
      <c r="N3218" s="604">
        <v>6247</v>
      </c>
      <c r="O3218" s="604">
        <v>3.7</v>
      </c>
      <c r="P3218" s="604" t="s">
        <v>484</v>
      </c>
      <c r="Q3218" s="499"/>
    </row>
    <row r="3219" spans="9:17">
      <c r="I3219" s="578" t="str">
        <f t="shared" si="196"/>
        <v>2005dhbCounties ManukauNeo</v>
      </c>
      <c r="J3219" s="604">
        <v>2005</v>
      </c>
      <c r="K3219" s="604" t="s">
        <v>448</v>
      </c>
      <c r="L3219" s="604" t="s">
        <v>88</v>
      </c>
      <c r="M3219" s="604">
        <v>40</v>
      </c>
      <c r="N3219" s="604">
        <v>8070</v>
      </c>
      <c r="O3219" s="604">
        <v>5</v>
      </c>
      <c r="P3219" s="604" t="s">
        <v>484</v>
      </c>
      <c r="Q3219" s="499"/>
    </row>
    <row r="3220" spans="9:17">
      <c r="I3220" s="578" t="str">
        <f t="shared" si="196"/>
        <v>2005dhbWaikatoNeo</v>
      </c>
      <c r="J3220" s="604">
        <v>2005</v>
      </c>
      <c r="K3220" s="604" t="s">
        <v>448</v>
      </c>
      <c r="L3220" s="604" t="s">
        <v>89</v>
      </c>
      <c r="M3220" s="604">
        <v>15</v>
      </c>
      <c r="N3220" s="604">
        <v>5110</v>
      </c>
      <c r="O3220" s="604">
        <v>2.9</v>
      </c>
      <c r="P3220" s="604" t="s">
        <v>484</v>
      </c>
      <c r="Q3220" s="499"/>
    </row>
    <row r="3221" spans="9:17">
      <c r="I3221" s="578" t="str">
        <f t="shared" si="196"/>
        <v>2005dhbLakesNeo</v>
      </c>
      <c r="J3221" s="604">
        <v>2005</v>
      </c>
      <c r="K3221" s="604" t="s">
        <v>448</v>
      </c>
      <c r="L3221" s="604" t="s">
        <v>90</v>
      </c>
      <c r="M3221" s="604">
        <v>8</v>
      </c>
      <c r="N3221" s="604">
        <v>1577</v>
      </c>
      <c r="O3221" s="604">
        <v>5.0999999999999996</v>
      </c>
      <c r="P3221" s="604" t="s">
        <v>484</v>
      </c>
      <c r="Q3221" s="499"/>
    </row>
    <row r="3222" spans="9:17">
      <c r="I3222" s="578" t="str">
        <f t="shared" si="196"/>
        <v>2005dhbBay of PlentyNeo</v>
      </c>
      <c r="J3222" s="604">
        <v>2005</v>
      </c>
      <c r="K3222" s="604" t="s">
        <v>448</v>
      </c>
      <c r="L3222" s="604" t="s">
        <v>91</v>
      </c>
      <c r="M3222" s="604">
        <v>13</v>
      </c>
      <c r="N3222" s="604">
        <v>2794</v>
      </c>
      <c r="O3222" s="604">
        <v>4.7</v>
      </c>
      <c r="P3222" s="604" t="s">
        <v>484</v>
      </c>
      <c r="Q3222" s="499"/>
    </row>
    <row r="3223" spans="9:17">
      <c r="I3223" s="578" t="str">
        <f t="shared" si="196"/>
        <v>2005dhbTairawhitiNeo</v>
      </c>
      <c r="J3223" s="604">
        <v>2005</v>
      </c>
      <c r="K3223" s="604" t="s">
        <v>448</v>
      </c>
      <c r="L3223" s="604" t="s">
        <v>433</v>
      </c>
      <c r="M3223" s="604">
        <v>3</v>
      </c>
      <c r="N3223" s="604">
        <v>800</v>
      </c>
      <c r="O3223" s="604">
        <v>3.8</v>
      </c>
      <c r="P3223" s="604" t="s">
        <v>484</v>
      </c>
      <c r="Q3223" s="499"/>
    </row>
    <row r="3224" spans="9:17">
      <c r="I3224" s="578" t="str">
        <f t="shared" si="196"/>
        <v>2005dhbHawke's BayNeo</v>
      </c>
      <c r="J3224" s="604">
        <v>2005</v>
      </c>
      <c r="K3224" s="604" t="s">
        <v>448</v>
      </c>
      <c r="L3224" s="604" t="s">
        <v>92</v>
      </c>
      <c r="M3224" s="604">
        <v>7</v>
      </c>
      <c r="N3224" s="604">
        <v>2159</v>
      </c>
      <c r="O3224" s="604">
        <v>3.2</v>
      </c>
      <c r="P3224" s="604" t="s">
        <v>484</v>
      </c>
      <c r="Q3224" s="499"/>
    </row>
    <row r="3225" spans="9:17">
      <c r="I3225" s="578" t="str">
        <f t="shared" si="196"/>
        <v>2005dhbTaranakiNeo</v>
      </c>
      <c r="J3225" s="604">
        <v>2005</v>
      </c>
      <c r="K3225" s="604" t="s">
        <v>448</v>
      </c>
      <c r="L3225" s="604" t="s">
        <v>93</v>
      </c>
      <c r="M3225" s="604">
        <v>7</v>
      </c>
      <c r="N3225" s="604">
        <v>1438</v>
      </c>
      <c r="O3225" s="604">
        <v>4.9000000000000004</v>
      </c>
      <c r="P3225" s="604" t="s">
        <v>484</v>
      </c>
      <c r="Q3225" s="499"/>
    </row>
    <row r="3226" spans="9:17">
      <c r="I3226" s="578" t="str">
        <f t="shared" si="196"/>
        <v>2005dhbMidCentralNeo</v>
      </c>
      <c r="J3226" s="604">
        <v>2005</v>
      </c>
      <c r="K3226" s="604" t="s">
        <v>448</v>
      </c>
      <c r="L3226" s="604" t="s">
        <v>94</v>
      </c>
      <c r="M3226" s="604">
        <v>5</v>
      </c>
      <c r="N3226" s="604">
        <v>2255</v>
      </c>
      <c r="O3226" s="604">
        <v>2.2000000000000002</v>
      </c>
      <c r="P3226" s="604" t="s">
        <v>484</v>
      </c>
      <c r="Q3226" s="499"/>
    </row>
    <row r="3227" spans="9:17">
      <c r="I3227" s="578" t="str">
        <f t="shared" si="196"/>
        <v>2005dhbWhanganuiNeo</v>
      </c>
      <c r="J3227" s="604">
        <v>2005</v>
      </c>
      <c r="K3227" s="604" t="s">
        <v>448</v>
      </c>
      <c r="L3227" s="604" t="s">
        <v>95</v>
      </c>
      <c r="M3227" s="604">
        <v>1</v>
      </c>
      <c r="N3227" s="604">
        <v>823</v>
      </c>
      <c r="O3227" s="604">
        <v>1.2</v>
      </c>
      <c r="P3227" s="604" t="s">
        <v>484</v>
      </c>
      <c r="Q3227" s="499"/>
    </row>
    <row r="3228" spans="9:17">
      <c r="I3228" s="578" t="str">
        <f t="shared" si="196"/>
        <v>2005dhbCapital &amp; CoastNeo</v>
      </c>
      <c r="J3228" s="604">
        <v>2005</v>
      </c>
      <c r="K3228" s="604" t="s">
        <v>448</v>
      </c>
      <c r="L3228" s="604" t="s">
        <v>96</v>
      </c>
      <c r="M3228" s="604">
        <v>10</v>
      </c>
      <c r="N3228" s="604">
        <v>3729</v>
      </c>
      <c r="O3228" s="604">
        <v>2.7</v>
      </c>
      <c r="P3228" s="604" t="s">
        <v>484</v>
      </c>
      <c r="Q3228" s="499"/>
    </row>
    <row r="3229" spans="9:17">
      <c r="I3229" s="578" t="str">
        <f t="shared" si="196"/>
        <v>2005dhbHutt ValleyNeo</v>
      </c>
      <c r="J3229" s="604">
        <v>2005</v>
      </c>
      <c r="K3229" s="604" t="s">
        <v>448</v>
      </c>
      <c r="L3229" s="604" t="s">
        <v>97</v>
      </c>
      <c r="M3229" s="604">
        <v>5</v>
      </c>
      <c r="N3229" s="604">
        <v>2011</v>
      </c>
      <c r="O3229" s="604">
        <v>2.5</v>
      </c>
      <c r="P3229" s="604" t="s">
        <v>484</v>
      </c>
      <c r="Q3229" s="499"/>
    </row>
    <row r="3230" spans="9:17">
      <c r="I3230" s="578" t="str">
        <f t="shared" si="196"/>
        <v>2005dhbWairarapaNeo</v>
      </c>
      <c r="J3230" s="604">
        <v>2005</v>
      </c>
      <c r="K3230" s="604" t="s">
        <v>448</v>
      </c>
      <c r="L3230" s="604" t="s">
        <v>98</v>
      </c>
      <c r="M3230" s="604">
        <v>0</v>
      </c>
      <c r="N3230" s="604">
        <v>475</v>
      </c>
      <c r="O3230" s="604">
        <v>0</v>
      </c>
      <c r="P3230" s="604" t="s">
        <v>484</v>
      </c>
      <c r="Q3230" s="499"/>
    </row>
    <row r="3231" spans="9:17">
      <c r="I3231" s="578" t="str">
        <f t="shared" si="196"/>
        <v>2005dhbNelson MarlboroughNeo</v>
      </c>
      <c r="J3231" s="604">
        <v>2005</v>
      </c>
      <c r="K3231" s="604" t="s">
        <v>448</v>
      </c>
      <c r="L3231" s="604" t="s">
        <v>99</v>
      </c>
      <c r="M3231" s="604">
        <v>3</v>
      </c>
      <c r="N3231" s="604">
        <v>1514</v>
      </c>
      <c r="O3231" s="604">
        <v>2</v>
      </c>
      <c r="P3231" s="604" t="s">
        <v>484</v>
      </c>
      <c r="Q3231" s="499"/>
    </row>
    <row r="3232" spans="9:17">
      <c r="I3232" s="578" t="str">
        <f t="shared" si="196"/>
        <v>2005dhbWest CoastNeo</v>
      </c>
      <c r="J3232" s="604">
        <v>2005</v>
      </c>
      <c r="K3232" s="604" t="s">
        <v>448</v>
      </c>
      <c r="L3232" s="604" t="s">
        <v>100</v>
      </c>
      <c r="M3232" s="604">
        <v>1</v>
      </c>
      <c r="N3232" s="604">
        <v>341</v>
      </c>
      <c r="O3232" s="604">
        <v>2.9</v>
      </c>
      <c r="P3232" s="604" t="s">
        <v>484</v>
      </c>
      <c r="Q3232" s="499"/>
    </row>
    <row r="3233" spans="9:17">
      <c r="I3233" s="578" t="str">
        <f t="shared" si="196"/>
        <v>2005dhbCanterburyNeo</v>
      </c>
      <c r="J3233" s="604">
        <v>2005</v>
      </c>
      <c r="K3233" s="604" t="s">
        <v>448</v>
      </c>
      <c r="L3233" s="604" t="s">
        <v>101</v>
      </c>
      <c r="M3233" s="604">
        <v>11</v>
      </c>
      <c r="N3233" s="604">
        <v>6048</v>
      </c>
      <c r="O3233" s="604">
        <v>1.8</v>
      </c>
      <c r="P3233" s="604" t="s">
        <v>484</v>
      </c>
      <c r="Q3233" s="499"/>
    </row>
    <row r="3234" spans="9:17">
      <c r="I3234" s="578" t="str">
        <f t="shared" si="196"/>
        <v>2005dhbSouth CanterburyNeo</v>
      </c>
      <c r="J3234" s="604">
        <v>2005</v>
      </c>
      <c r="K3234" s="604" t="s">
        <v>448</v>
      </c>
      <c r="L3234" s="604" t="s">
        <v>102</v>
      </c>
      <c r="M3234" s="604">
        <v>5</v>
      </c>
      <c r="N3234" s="604">
        <v>589</v>
      </c>
      <c r="O3234" s="604">
        <v>8.5</v>
      </c>
      <c r="P3234" s="604" t="s">
        <v>484</v>
      </c>
      <c r="Q3234" s="499"/>
    </row>
    <row r="3235" spans="9:17">
      <c r="I3235" s="578" t="str">
        <f t="shared" si="196"/>
        <v>2005dhbSouthernNeo</v>
      </c>
      <c r="J3235" s="604">
        <v>2005</v>
      </c>
      <c r="K3235" s="604" t="s">
        <v>448</v>
      </c>
      <c r="L3235" s="604" t="s">
        <v>103</v>
      </c>
      <c r="M3235" s="604">
        <v>8</v>
      </c>
      <c r="N3235" s="604">
        <v>3419</v>
      </c>
      <c r="O3235" s="604">
        <v>2.2999999999999998</v>
      </c>
      <c r="P3235" s="604" t="s">
        <v>484</v>
      </c>
      <c r="Q3235" s="499"/>
    </row>
    <row r="3236" spans="9:17">
      <c r="I3236" s="578" t="str">
        <f t="shared" si="196"/>
        <v>2005dhbUnknownNeo</v>
      </c>
      <c r="J3236" s="604">
        <v>2005</v>
      </c>
      <c r="K3236" s="604" t="s">
        <v>448</v>
      </c>
      <c r="L3236" s="604" t="s">
        <v>63</v>
      </c>
      <c r="M3236" s="604">
        <v>0</v>
      </c>
      <c r="N3236" s="604">
        <v>247</v>
      </c>
      <c r="O3236" s="604" t="s">
        <v>119</v>
      </c>
      <c r="P3236" s="604" t="s">
        <v>484</v>
      </c>
      <c r="Q3236" s="499"/>
    </row>
    <row r="3237" spans="9:17">
      <c r="I3237" s="578" t="str">
        <f t="shared" si="196"/>
        <v>2006dhbNorthlandNeo</v>
      </c>
      <c r="J3237" s="604">
        <v>2006</v>
      </c>
      <c r="K3237" s="604" t="s">
        <v>448</v>
      </c>
      <c r="L3237" s="604" t="s">
        <v>85</v>
      </c>
      <c r="M3237" s="604">
        <v>6</v>
      </c>
      <c r="N3237" s="604">
        <v>2299</v>
      </c>
      <c r="O3237" s="604">
        <v>2.6</v>
      </c>
      <c r="P3237" s="604" t="s">
        <v>484</v>
      </c>
      <c r="Q3237" s="499"/>
    </row>
    <row r="3238" spans="9:17">
      <c r="I3238" s="578" t="str">
        <f t="shared" si="196"/>
        <v>2006dhbWaitemataNeo</v>
      </c>
      <c r="J3238" s="604">
        <v>2006</v>
      </c>
      <c r="K3238" s="604" t="s">
        <v>448</v>
      </c>
      <c r="L3238" s="604" t="s">
        <v>86</v>
      </c>
      <c r="M3238" s="604">
        <v>12</v>
      </c>
      <c r="N3238" s="604">
        <v>7318</v>
      </c>
      <c r="O3238" s="604">
        <v>1.6</v>
      </c>
      <c r="P3238" s="604" t="s">
        <v>484</v>
      </c>
      <c r="Q3238" s="499"/>
    </row>
    <row r="3239" spans="9:17">
      <c r="I3239" s="578" t="str">
        <f t="shared" si="196"/>
        <v>2006dhbAucklandNeo</v>
      </c>
      <c r="J3239" s="604">
        <v>2006</v>
      </c>
      <c r="K3239" s="604" t="s">
        <v>448</v>
      </c>
      <c r="L3239" s="604" t="s">
        <v>87</v>
      </c>
      <c r="M3239" s="604">
        <v>16</v>
      </c>
      <c r="N3239" s="604">
        <v>6285</v>
      </c>
      <c r="O3239" s="604">
        <v>2.5</v>
      </c>
      <c r="P3239" s="604" t="s">
        <v>484</v>
      </c>
      <c r="Q3239" s="499"/>
    </row>
    <row r="3240" spans="9:17">
      <c r="I3240" s="578" t="str">
        <f t="shared" si="196"/>
        <v>2006dhbCounties ManukauNeo</v>
      </c>
      <c r="J3240" s="604">
        <v>2006</v>
      </c>
      <c r="K3240" s="604" t="s">
        <v>448</v>
      </c>
      <c r="L3240" s="604" t="s">
        <v>88</v>
      </c>
      <c r="M3240" s="604">
        <v>21</v>
      </c>
      <c r="N3240" s="604">
        <v>8267</v>
      </c>
      <c r="O3240" s="604">
        <v>2.5</v>
      </c>
      <c r="P3240" s="604" t="s">
        <v>484</v>
      </c>
      <c r="Q3240" s="499"/>
    </row>
    <row r="3241" spans="9:17">
      <c r="I3241" s="578" t="str">
        <f t="shared" si="196"/>
        <v>2006dhbWaikatoNeo</v>
      </c>
      <c r="J3241" s="604">
        <v>2006</v>
      </c>
      <c r="K3241" s="604" t="s">
        <v>448</v>
      </c>
      <c r="L3241" s="604" t="s">
        <v>89</v>
      </c>
      <c r="M3241" s="604">
        <v>22</v>
      </c>
      <c r="N3241" s="604">
        <v>5058</v>
      </c>
      <c r="O3241" s="604">
        <v>4.3</v>
      </c>
      <c r="P3241" s="604" t="s">
        <v>484</v>
      </c>
      <c r="Q3241" s="499"/>
    </row>
    <row r="3242" spans="9:17">
      <c r="I3242" s="578" t="str">
        <f t="shared" si="196"/>
        <v>2006dhbLakesNeo</v>
      </c>
      <c r="J3242" s="604">
        <v>2006</v>
      </c>
      <c r="K3242" s="604" t="s">
        <v>448</v>
      </c>
      <c r="L3242" s="604" t="s">
        <v>90</v>
      </c>
      <c r="M3242" s="604">
        <v>2</v>
      </c>
      <c r="N3242" s="604">
        <v>1632</v>
      </c>
      <c r="O3242" s="604">
        <v>1.2</v>
      </c>
      <c r="P3242" s="604" t="s">
        <v>484</v>
      </c>
      <c r="Q3242" s="499"/>
    </row>
    <row r="3243" spans="9:17">
      <c r="I3243" s="578" t="str">
        <f t="shared" si="196"/>
        <v>2006dhbBay of PlentyNeo</v>
      </c>
      <c r="J3243" s="604">
        <v>2006</v>
      </c>
      <c r="K3243" s="604" t="s">
        <v>448</v>
      </c>
      <c r="L3243" s="604" t="s">
        <v>91</v>
      </c>
      <c r="M3243" s="604">
        <v>6</v>
      </c>
      <c r="N3243" s="604">
        <v>2824</v>
      </c>
      <c r="O3243" s="604">
        <v>2.1</v>
      </c>
      <c r="P3243" s="604" t="s">
        <v>484</v>
      </c>
      <c r="Q3243" s="499"/>
    </row>
    <row r="3244" spans="9:17">
      <c r="I3244" s="578" t="str">
        <f t="shared" si="196"/>
        <v>2006dhbTairawhitiNeo</v>
      </c>
      <c r="J3244" s="604">
        <v>2006</v>
      </c>
      <c r="K3244" s="604" t="s">
        <v>448</v>
      </c>
      <c r="L3244" s="604" t="s">
        <v>433</v>
      </c>
      <c r="M3244" s="604">
        <v>4</v>
      </c>
      <c r="N3244" s="604">
        <v>747</v>
      </c>
      <c r="O3244" s="604">
        <v>5.4</v>
      </c>
      <c r="P3244" s="604" t="s">
        <v>484</v>
      </c>
      <c r="Q3244" s="499"/>
    </row>
    <row r="3245" spans="9:17">
      <c r="I3245" s="578" t="str">
        <f t="shared" si="196"/>
        <v>2006dhbHawke's BayNeo</v>
      </c>
      <c r="J3245" s="604">
        <v>2006</v>
      </c>
      <c r="K3245" s="604" t="s">
        <v>448</v>
      </c>
      <c r="L3245" s="604" t="s">
        <v>92</v>
      </c>
      <c r="M3245" s="604">
        <v>11</v>
      </c>
      <c r="N3245" s="604">
        <v>2212</v>
      </c>
      <c r="O3245" s="604">
        <v>5</v>
      </c>
      <c r="P3245" s="604" t="s">
        <v>484</v>
      </c>
      <c r="Q3245" s="499"/>
    </row>
    <row r="3246" spans="9:17">
      <c r="I3246" s="578" t="str">
        <f t="shared" si="196"/>
        <v>2006dhbTaranakiNeo</v>
      </c>
      <c r="J3246" s="604">
        <v>2006</v>
      </c>
      <c r="K3246" s="604" t="s">
        <v>448</v>
      </c>
      <c r="L3246" s="604" t="s">
        <v>93</v>
      </c>
      <c r="M3246" s="604">
        <v>3</v>
      </c>
      <c r="N3246" s="604">
        <v>1479</v>
      </c>
      <c r="O3246" s="604">
        <v>2</v>
      </c>
      <c r="P3246" s="604" t="s">
        <v>484</v>
      </c>
      <c r="Q3246" s="499"/>
    </row>
    <row r="3247" spans="9:17">
      <c r="I3247" s="578" t="str">
        <f t="shared" si="196"/>
        <v>2006dhbMidCentralNeo</v>
      </c>
      <c r="J3247" s="604">
        <v>2006</v>
      </c>
      <c r="K3247" s="604" t="s">
        <v>448</v>
      </c>
      <c r="L3247" s="604" t="s">
        <v>94</v>
      </c>
      <c r="M3247" s="604">
        <v>4</v>
      </c>
      <c r="N3247" s="604">
        <v>2270</v>
      </c>
      <c r="O3247" s="604">
        <v>1.8</v>
      </c>
      <c r="P3247" s="604" t="s">
        <v>484</v>
      </c>
      <c r="Q3247" s="499"/>
    </row>
    <row r="3248" spans="9:17">
      <c r="I3248" s="578" t="str">
        <f t="shared" si="196"/>
        <v>2006dhbWhanganuiNeo</v>
      </c>
      <c r="J3248" s="604">
        <v>2006</v>
      </c>
      <c r="K3248" s="604" t="s">
        <v>448</v>
      </c>
      <c r="L3248" s="604" t="s">
        <v>95</v>
      </c>
      <c r="M3248" s="604">
        <v>2</v>
      </c>
      <c r="N3248" s="604">
        <v>895</v>
      </c>
      <c r="O3248" s="604">
        <v>2.2000000000000002</v>
      </c>
      <c r="P3248" s="604" t="s">
        <v>484</v>
      </c>
      <c r="Q3248" s="499"/>
    </row>
    <row r="3249" spans="9:17">
      <c r="I3249" s="578" t="str">
        <f t="shared" si="196"/>
        <v>2006dhbCapital &amp; CoastNeo</v>
      </c>
      <c r="J3249" s="604">
        <v>2006</v>
      </c>
      <c r="K3249" s="604" t="s">
        <v>448</v>
      </c>
      <c r="L3249" s="604" t="s">
        <v>96</v>
      </c>
      <c r="M3249" s="604">
        <v>10</v>
      </c>
      <c r="N3249" s="604">
        <v>3894</v>
      </c>
      <c r="O3249" s="604">
        <v>2.6</v>
      </c>
      <c r="P3249" s="604" t="s">
        <v>484</v>
      </c>
      <c r="Q3249" s="499"/>
    </row>
    <row r="3250" spans="9:17">
      <c r="I3250" s="578" t="str">
        <f t="shared" si="196"/>
        <v>2006dhbHutt ValleyNeo</v>
      </c>
      <c r="J3250" s="604">
        <v>2006</v>
      </c>
      <c r="K3250" s="604" t="s">
        <v>448</v>
      </c>
      <c r="L3250" s="604" t="s">
        <v>97</v>
      </c>
      <c r="M3250" s="604">
        <v>5</v>
      </c>
      <c r="N3250" s="604">
        <v>1999</v>
      </c>
      <c r="O3250" s="604">
        <v>2.5</v>
      </c>
      <c r="P3250" s="604" t="s">
        <v>484</v>
      </c>
      <c r="Q3250" s="499"/>
    </row>
    <row r="3251" spans="9:17">
      <c r="I3251" s="578" t="str">
        <f t="shared" si="196"/>
        <v>2006dhbWairarapaNeo</v>
      </c>
      <c r="J3251" s="604">
        <v>2006</v>
      </c>
      <c r="K3251" s="604" t="s">
        <v>448</v>
      </c>
      <c r="L3251" s="604" t="s">
        <v>98</v>
      </c>
      <c r="M3251" s="604">
        <v>2</v>
      </c>
      <c r="N3251" s="604">
        <v>523</v>
      </c>
      <c r="O3251" s="604">
        <v>3.8</v>
      </c>
      <c r="P3251" s="604" t="s">
        <v>484</v>
      </c>
      <c r="Q3251" s="499"/>
    </row>
    <row r="3252" spans="9:17">
      <c r="I3252" s="578" t="str">
        <f t="shared" si="196"/>
        <v>2006dhbNelson MarlboroughNeo</v>
      </c>
      <c r="J3252" s="604">
        <v>2006</v>
      </c>
      <c r="K3252" s="604" t="s">
        <v>448</v>
      </c>
      <c r="L3252" s="604" t="s">
        <v>99</v>
      </c>
      <c r="M3252" s="604">
        <v>4</v>
      </c>
      <c r="N3252" s="604">
        <v>1569</v>
      </c>
      <c r="O3252" s="604">
        <v>2.5</v>
      </c>
      <c r="P3252" s="604" t="s">
        <v>484</v>
      </c>
      <c r="Q3252" s="499"/>
    </row>
    <row r="3253" spans="9:17">
      <c r="I3253" s="578" t="str">
        <f t="shared" si="196"/>
        <v>2006dhbWest CoastNeo</v>
      </c>
      <c r="J3253" s="604">
        <v>2006</v>
      </c>
      <c r="K3253" s="604" t="s">
        <v>448</v>
      </c>
      <c r="L3253" s="604" t="s">
        <v>100</v>
      </c>
      <c r="M3253" s="604">
        <v>3</v>
      </c>
      <c r="N3253" s="604">
        <v>398</v>
      </c>
      <c r="O3253" s="604">
        <v>7.5</v>
      </c>
      <c r="P3253" s="604" t="s">
        <v>484</v>
      </c>
      <c r="Q3253" s="499"/>
    </row>
    <row r="3254" spans="9:17">
      <c r="I3254" s="578" t="str">
        <f t="shared" si="196"/>
        <v>2006dhbCanterburyNeo</v>
      </c>
      <c r="J3254" s="604">
        <v>2006</v>
      </c>
      <c r="K3254" s="604" t="s">
        <v>448</v>
      </c>
      <c r="L3254" s="604" t="s">
        <v>101</v>
      </c>
      <c r="M3254" s="604">
        <v>11</v>
      </c>
      <c r="N3254" s="604">
        <v>6204</v>
      </c>
      <c r="O3254" s="604">
        <v>1.8</v>
      </c>
      <c r="P3254" s="604" t="s">
        <v>484</v>
      </c>
      <c r="Q3254" s="499"/>
    </row>
    <row r="3255" spans="9:17">
      <c r="I3255" s="578" t="str">
        <f t="shared" si="196"/>
        <v>2006dhbSouth CanterburyNeo</v>
      </c>
      <c r="J3255" s="604">
        <v>2006</v>
      </c>
      <c r="K3255" s="604" t="s">
        <v>448</v>
      </c>
      <c r="L3255" s="604" t="s">
        <v>102</v>
      </c>
      <c r="M3255" s="604">
        <v>1</v>
      </c>
      <c r="N3255" s="604">
        <v>606</v>
      </c>
      <c r="O3255" s="604">
        <v>1.7</v>
      </c>
      <c r="P3255" s="604" t="s">
        <v>484</v>
      </c>
      <c r="Q3255" s="499"/>
    </row>
    <row r="3256" spans="9:17">
      <c r="I3256" s="578" t="str">
        <f t="shared" si="196"/>
        <v>2006dhbSouthernNeo</v>
      </c>
      <c r="J3256" s="604">
        <v>2006</v>
      </c>
      <c r="K3256" s="604" t="s">
        <v>448</v>
      </c>
      <c r="L3256" s="604" t="s">
        <v>103</v>
      </c>
      <c r="M3256" s="604">
        <v>18</v>
      </c>
      <c r="N3256" s="604">
        <v>3441</v>
      </c>
      <c r="O3256" s="604">
        <v>5.2</v>
      </c>
      <c r="P3256" s="604" t="s">
        <v>484</v>
      </c>
      <c r="Q3256" s="499"/>
    </row>
    <row r="3257" spans="9:17">
      <c r="I3257" s="578" t="str">
        <f t="shared" si="196"/>
        <v>2006dhbUnknownNeo</v>
      </c>
      <c r="J3257" s="604">
        <v>2006</v>
      </c>
      <c r="K3257" s="604" t="s">
        <v>448</v>
      </c>
      <c r="L3257" s="604" t="s">
        <v>63</v>
      </c>
      <c r="M3257" s="604">
        <v>2</v>
      </c>
      <c r="N3257" s="604">
        <v>354</v>
      </c>
      <c r="O3257" s="604" t="s">
        <v>119</v>
      </c>
      <c r="P3257" s="604" t="s">
        <v>484</v>
      </c>
      <c r="Q3257" s="499"/>
    </row>
    <row r="3258" spans="9:17">
      <c r="I3258" s="578" t="str">
        <f t="shared" si="196"/>
        <v>2007dhbNorthlandNeo</v>
      </c>
      <c r="J3258" s="604">
        <v>2007</v>
      </c>
      <c r="K3258" s="604" t="s">
        <v>448</v>
      </c>
      <c r="L3258" s="604" t="s">
        <v>85</v>
      </c>
      <c r="M3258" s="604">
        <v>8</v>
      </c>
      <c r="N3258" s="604">
        <v>2372</v>
      </c>
      <c r="O3258" s="604">
        <v>3.4</v>
      </c>
      <c r="P3258" s="604" t="s">
        <v>484</v>
      </c>
      <c r="Q3258" s="499"/>
    </row>
    <row r="3259" spans="9:17">
      <c r="I3259" s="578" t="str">
        <f t="shared" si="196"/>
        <v>2007dhbWaitemataNeo</v>
      </c>
      <c r="J3259" s="604">
        <v>2007</v>
      </c>
      <c r="K3259" s="604" t="s">
        <v>448</v>
      </c>
      <c r="L3259" s="604" t="s">
        <v>86</v>
      </c>
      <c r="M3259" s="604">
        <v>5</v>
      </c>
      <c r="N3259" s="604">
        <v>7829</v>
      </c>
      <c r="O3259" s="604">
        <v>0.6</v>
      </c>
      <c r="P3259" s="604" t="s">
        <v>484</v>
      </c>
      <c r="Q3259" s="499"/>
    </row>
    <row r="3260" spans="9:17">
      <c r="I3260" s="578" t="str">
        <f t="shared" si="196"/>
        <v>2007dhbAucklandNeo</v>
      </c>
      <c r="J3260" s="604">
        <v>2007</v>
      </c>
      <c r="K3260" s="604" t="s">
        <v>448</v>
      </c>
      <c r="L3260" s="604" t="s">
        <v>87</v>
      </c>
      <c r="M3260" s="604">
        <v>21</v>
      </c>
      <c r="N3260" s="604">
        <v>6738</v>
      </c>
      <c r="O3260" s="604">
        <v>3.1</v>
      </c>
      <c r="P3260" s="604" t="s">
        <v>484</v>
      </c>
      <c r="Q3260" s="499"/>
    </row>
    <row r="3261" spans="9:17">
      <c r="I3261" s="578" t="str">
        <f t="shared" si="196"/>
        <v>2007dhbCounties ManukauNeo</v>
      </c>
      <c r="J3261" s="604">
        <v>2007</v>
      </c>
      <c r="K3261" s="604" t="s">
        <v>448</v>
      </c>
      <c r="L3261" s="604" t="s">
        <v>88</v>
      </c>
      <c r="M3261" s="604">
        <v>31</v>
      </c>
      <c r="N3261" s="604">
        <v>8998</v>
      </c>
      <c r="O3261" s="604">
        <v>3.4</v>
      </c>
      <c r="P3261" s="604" t="s">
        <v>484</v>
      </c>
      <c r="Q3261" s="499"/>
    </row>
    <row r="3262" spans="9:17">
      <c r="I3262" s="578" t="str">
        <f t="shared" si="196"/>
        <v>2007dhbWaikatoNeo</v>
      </c>
      <c r="J3262" s="604">
        <v>2007</v>
      </c>
      <c r="K3262" s="604" t="s">
        <v>448</v>
      </c>
      <c r="L3262" s="604" t="s">
        <v>89</v>
      </c>
      <c r="M3262" s="604">
        <v>18</v>
      </c>
      <c r="N3262" s="604">
        <v>5630</v>
      </c>
      <c r="O3262" s="604">
        <v>3.2</v>
      </c>
      <c r="P3262" s="604" t="s">
        <v>484</v>
      </c>
      <c r="Q3262" s="499"/>
    </row>
    <row r="3263" spans="9:17">
      <c r="I3263" s="578" t="str">
        <f t="shared" si="196"/>
        <v>2007dhbLakesNeo</v>
      </c>
      <c r="J3263" s="604">
        <v>2007</v>
      </c>
      <c r="K3263" s="604" t="s">
        <v>448</v>
      </c>
      <c r="L3263" s="604" t="s">
        <v>90</v>
      </c>
      <c r="M3263" s="604">
        <v>6</v>
      </c>
      <c r="N3263" s="604">
        <v>1692</v>
      </c>
      <c r="O3263" s="604">
        <v>3.5</v>
      </c>
      <c r="P3263" s="604" t="s">
        <v>484</v>
      </c>
      <c r="Q3263" s="499"/>
    </row>
    <row r="3264" spans="9:17">
      <c r="I3264" s="578" t="str">
        <f t="shared" si="196"/>
        <v>2007dhbBay of PlentyNeo</v>
      </c>
      <c r="J3264" s="604">
        <v>2007</v>
      </c>
      <c r="K3264" s="604" t="s">
        <v>448</v>
      </c>
      <c r="L3264" s="604" t="s">
        <v>91</v>
      </c>
      <c r="M3264" s="604">
        <v>8</v>
      </c>
      <c r="N3264" s="604">
        <v>3050</v>
      </c>
      <c r="O3264" s="604">
        <v>2.6</v>
      </c>
      <c r="P3264" s="604" t="s">
        <v>484</v>
      </c>
      <c r="Q3264" s="499"/>
    </row>
    <row r="3265" spans="9:17">
      <c r="I3265" s="578" t="str">
        <f t="shared" si="196"/>
        <v>2007dhbTairawhitiNeo</v>
      </c>
      <c r="J3265" s="604">
        <v>2007</v>
      </c>
      <c r="K3265" s="604" t="s">
        <v>448</v>
      </c>
      <c r="L3265" s="604" t="s">
        <v>433</v>
      </c>
      <c r="M3265" s="604">
        <v>2</v>
      </c>
      <c r="N3265" s="604">
        <v>836</v>
      </c>
      <c r="O3265" s="604">
        <v>2.4</v>
      </c>
      <c r="P3265" s="604" t="s">
        <v>484</v>
      </c>
      <c r="Q3265" s="499"/>
    </row>
    <row r="3266" spans="9:17">
      <c r="I3266" s="578" t="str">
        <f t="shared" si="196"/>
        <v>2007dhbHawke's BayNeo</v>
      </c>
      <c r="J3266" s="604">
        <v>2007</v>
      </c>
      <c r="K3266" s="604" t="s">
        <v>448</v>
      </c>
      <c r="L3266" s="604" t="s">
        <v>92</v>
      </c>
      <c r="M3266" s="604">
        <v>5</v>
      </c>
      <c r="N3266" s="604">
        <v>2379</v>
      </c>
      <c r="O3266" s="604">
        <v>2.1</v>
      </c>
      <c r="P3266" s="604" t="s">
        <v>484</v>
      </c>
      <c r="Q3266" s="499"/>
    </row>
    <row r="3267" spans="9:17">
      <c r="I3267" s="578" t="str">
        <f t="shared" si="196"/>
        <v>2007dhbTaranakiNeo</v>
      </c>
      <c r="J3267" s="604">
        <v>2007</v>
      </c>
      <c r="K3267" s="604" t="s">
        <v>448</v>
      </c>
      <c r="L3267" s="604" t="s">
        <v>93</v>
      </c>
      <c r="M3267" s="604">
        <v>4</v>
      </c>
      <c r="N3267" s="604">
        <v>1626</v>
      </c>
      <c r="O3267" s="604">
        <v>2.5</v>
      </c>
      <c r="P3267" s="604" t="s">
        <v>484</v>
      </c>
      <c r="Q3267" s="499"/>
    </row>
    <row r="3268" spans="9:17">
      <c r="I3268" s="578" t="str">
        <f t="shared" ref="I3268:I3331" si="197">J3268&amp;K3268&amp;L3268&amp;P3268</f>
        <v>2007dhbMidCentralNeo</v>
      </c>
      <c r="J3268" s="604">
        <v>2007</v>
      </c>
      <c r="K3268" s="604" t="s">
        <v>448</v>
      </c>
      <c r="L3268" s="604" t="s">
        <v>94</v>
      </c>
      <c r="M3268" s="604">
        <v>5</v>
      </c>
      <c r="N3268" s="604">
        <v>2350</v>
      </c>
      <c r="O3268" s="604">
        <v>2.1</v>
      </c>
      <c r="P3268" s="604" t="s">
        <v>484</v>
      </c>
      <c r="Q3268" s="499"/>
    </row>
    <row r="3269" spans="9:17">
      <c r="I3269" s="578" t="str">
        <f t="shared" si="197"/>
        <v>2007dhbWhanganuiNeo</v>
      </c>
      <c r="J3269" s="604">
        <v>2007</v>
      </c>
      <c r="K3269" s="604" t="s">
        <v>448</v>
      </c>
      <c r="L3269" s="604" t="s">
        <v>95</v>
      </c>
      <c r="M3269" s="604">
        <v>0</v>
      </c>
      <c r="N3269" s="604">
        <v>905</v>
      </c>
      <c r="O3269" s="604">
        <v>0</v>
      </c>
      <c r="P3269" s="604" t="s">
        <v>484</v>
      </c>
      <c r="Q3269" s="499"/>
    </row>
    <row r="3270" spans="9:17">
      <c r="I3270" s="578" t="str">
        <f t="shared" si="197"/>
        <v>2007dhbCapital &amp; CoastNeo</v>
      </c>
      <c r="J3270" s="604">
        <v>2007</v>
      </c>
      <c r="K3270" s="604" t="s">
        <v>448</v>
      </c>
      <c r="L3270" s="604" t="s">
        <v>96</v>
      </c>
      <c r="M3270" s="604">
        <v>9</v>
      </c>
      <c r="N3270" s="604">
        <v>4056</v>
      </c>
      <c r="O3270" s="604">
        <v>2.2000000000000002</v>
      </c>
      <c r="P3270" s="604" t="s">
        <v>484</v>
      </c>
      <c r="Q3270" s="499"/>
    </row>
    <row r="3271" spans="9:17">
      <c r="I3271" s="578" t="str">
        <f t="shared" si="197"/>
        <v>2007dhbHutt ValleyNeo</v>
      </c>
      <c r="J3271" s="604">
        <v>2007</v>
      </c>
      <c r="K3271" s="604" t="s">
        <v>448</v>
      </c>
      <c r="L3271" s="604" t="s">
        <v>97</v>
      </c>
      <c r="M3271" s="604">
        <v>7</v>
      </c>
      <c r="N3271" s="604">
        <v>2264</v>
      </c>
      <c r="O3271" s="604">
        <v>3.1</v>
      </c>
      <c r="P3271" s="604" t="s">
        <v>484</v>
      </c>
      <c r="Q3271" s="499"/>
    </row>
    <row r="3272" spans="9:17">
      <c r="I3272" s="578" t="str">
        <f t="shared" si="197"/>
        <v>2007dhbWairarapaNeo</v>
      </c>
      <c r="J3272" s="604">
        <v>2007</v>
      </c>
      <c r="K3272" s="604" t="s">
        <v>448</v>
      </c>
      <c r="L3272" s="604" t="s">
        <v>98</v>
      </c>
      <c r="M3272" s="604">
        <v>0</v>
      </c>
      <c r="N3272" s="604">
        <v>539</v>
      </c>
      <c r="O3272" s="604">
        <v>0</v>
      </c>
      <c r="P3272" s="604" t="s">
        <v>484</v>
      </c>
      <c r="Q3272" s="499"/>
    </row>
    <row r="3273" spans="9:17">
      <c r="I3273" s="578" t="str">
        <f t="shared" si="197"/>
        <v>2007dhbNelson MarlboroughNeo</v>
      </c>
      <c r="J3273" s="604">
        <v>2007</v>
      </c>
      <c r="K3273" s="604" t="s">
        <v>448</v>
      </c>
      <c r="L3273" s="604" t="s">
        <v>99</v>
      </c>
      <c r="M3273" s="604">
        <v>10</v>
      </c>
      <c r="N3273" s="604">
        <v>1718</v>
      </c>
      <c r="O3273" s="604">
        <v>5.8</v>
      </c>
      <c r="P3273" s="604" t="s">
        <v>484</v>
      </c>
      <c r="Q3273" s="499"/>
    </row>
    <row r="3274" spans="9:17">
      <c r="I3274" s="578" t="str">
        <f t="shared" si="197"/>
        <v>2007dhbWest CoastNeo</v>
      </c>
      <c r="J3274" s="604">
        <v>2007</v>
      </c>
      <c r="K3274" s="604" t="s">
        <v>448</v>
      </c>
      <c r="L3274" s="604" t="s">
        <v>100</v>
      </c>
      <c r="M3274" s="604">
        <v>3</v>
      </c>
      <c r="N3274" s="604">
        <v>408</v>
      </c>
      <c r="O3274" s="604">
        <v>7.4</v>
      </c>
      <c r="P3274" s="604" t="s">
        <v>484</v>
      </c>
      <c r="Q3274" s="499"/>
    </row>
    <row r="3275" spans="9:17">
      <c r="I3275" s="578" t="str">
        <f t="shared" si="197"/>
        <v>2007dhbCanterburyNeo</v>
      </c>
      <c r="J3275" s="604">
        <v>2007</v>
      </c>
      <c r="K3275" s="604" t="s">
        <v>448</v>
      </c>
      <c r="L3275" s="604" t="s">
        <v>101</v>
      </c>
      <c r="M3275" s="604">
        <v>17</v>
      </c>
      <c r="N3275" s="604">
        <v>6908</v>
      </c>
      <c r="O3275" s="604">
        <v>2.5</v>
      </c>
      <c r="P3275" s="604" t="s">
        <v>484</v>
      </c>
      <c r="Q3275" s="499"/>
    </row>
    <row r="3276" spans="9:17">
      <c r="I3276" s="578" t="str">
        <f t="shared" si="197"/>
        <v>2007dhbSouth CanterburyNeo</v>
      </c>
      <c r="J3276" s="604">
        <v>2007</v>
      </c>
      <c r="K3276" s="604" t="s">
        <v>448</v>
      </c>
      <c r="L3276" s="604" t="s">
        <v>102</v>
      </c>
      <c r="M3276" s="604">
        <v>0</v>
      </c>
      <c r="N3276" s="604">
        <v>675</v>
      </c>
      <c r="O3276" s="604">
        <v>0</v>
      </c>
      <c r="P3276" s="604" t="s">
        <v>484</v>
      </c>
      <c r="Q3276" s="499"/>
    </row>
    <row r="3277" spans="9:17">
      <c r="I3277" s="578" t="str">
        <f t="shared" si="197"/>
        <v>2007dhbSouthernNeo</v>
      </c>
      <c r="J3277" s="604">
        <v>2007</v>
      </c>
      <c r="K3277" s="604" t="s">
        <v>448</v>
      </c>
      <c r="L3277" s="604" t="s">
        <v>103</v>
      </c>
      <c r="M3277" s="604">
        <v>7</v>
      </c>
      <c r="N3277" s="604">
        <v>3742</v>
      </c>
      <c r="O3277" s="604">
        <v>1.9</v>
      </c>
      <c r="P3277" s="604" t="s">
        <v>484</v>
      </c>
      <c r="Q3277" s="499"/>
    </row>
    <row r="3278" spans="9:17">
      <c r="I3278" s="578" t="str">
        <f t="shared" si="197"/>
        <v>2007dhbUnknownNeo</v>
      </c>
      <c r="J3278" s="604">
        <v>2007</v>
      </c>
      <c r="K3278" s="604" t="s">
        <v>448</v>
      </c>
      <c r="L3278" s="604" t="s">
        <v>63</v>
      </c>
      <c r="M3278" s="604">
        <v>0</v>
      </c>
      <c r="N3278" s="604">
        <v>406</v>
      </c>
      <c r="O3278" s="604" t="s">
        <v>119</v>
      </c>
      <c r="P3278" s="604" t="s">
        <v>484</v>
      </c>
      <c r="Q3278" s="499"/>
    </row>
    <row r="3279" spans="9:17">
      <c r="I3279" s="578" t="str">
        <f t="shared" si="197"/>
        <v>2008dhbNorthlandNeo</v>
      </c>
      <c r="J3279" s="604">
        <v>2008</v>
      </c>
      <c r="K3279" s="604" t="s">
        <v>448</v>
      </c>
      <c r="L3279" s="604" t="s">
        <v>85</v>
      </c>
      <c r="M3279" s="604">
        <v>12</v>
      </c>
      <c r="N3279" s="604">
        <v>2368</v>
      </c>
      <c r="O3279" s="604">
        <v>5.0999999999999996</v>
      </c>
      <c r="P3279" s="604" t="s">
        <v>484</v>
      </c>
      <c r="Q3279" s="499"/>
    </row>
    <row r="3280" spans="9:17">
      <c r="I3280" s="578" t="str">
        <f t="shared" si="197"/>
        <v>2008dhbWaitemataNeo</v>
      </c>
      <c r="J3280" s="604">
        <v>2008</v>
      </c>
      <c r="K3280" s="604" t="s">
        <v>448</v>
      </c>
      <c r="L3280" s="604" t="s">
        <v>86</v>
      </c>
      <c r="M3280" s="604">
        <v>14</v>
      </c>
      <c r="N3280" s="604">
        <v>7944</v>
      </c>
      <c r="O3280" s="604">
        <v>1.8</v>
      </c>
      <c r="P3280" s="604" t="s">
        <v>484</v>
      </c>
      <c r="Q3280" s="499"/>
    </row>
    <row r="3281" spans="9:17">
      <c r="I3281" s="578" t="str">
        <f t="shared" si="197"/>
        <v>2008dhbAucklandNeo</v>
      </c>
      <c r="J3281" s="604">
        <v>2008</v>
      </c>
      <c r="K3281" s="604" t="s">
        <v>448</v>
      </c>
      <c r="L3281" s="604" t="s">
        <v>87</v>
      </c>
      <c r="M3281" s="604">
        <v>21</v>
      </c>
      <c r="N3281" s="604">
        <v>6588</v>
      </c>
      <c r="O3281" s="604">
        <v>3.2</v>
      </c>
      <c r="P3281" s="604" t="s">
        <v>484</v>
      </c>
      <c r="Q3281" s="499"/>
    </row>
    <row r="3282" spans="9:17">
      <c r="I3282" s="578" t="str">
        <f t="shared" si="197"/>
        <v>2008dhbCounties ManukauNeo</v>
      </c>
      <c r="J3282" s="604">
        <v>2008</v>
      </c>
      <c r="K3282" s="604" t="s">
        <v>448</v>
      </c>
      <c r="L3282" s="604" t="s">
        <v>88</v>
      </c>
      <c r="M3282" s="604">
        <v>27</v>
      </c>
      <c r="N3282" s="604">
        <v>9052</v>
      </c>
      <c r="O3282" s="604">
        <v>3</v>
      </c>
      <c r="P3282" s="604" t="s">
        <v>484</v>
      </c>
      <c r="Q3282" s="499"/>
    </row>
    <row r="3283" spans="9:17">
      <c r="I3283" s="578" t="str">
        <f t="shared" si="197"/>
        <v>2008dhbWaikatoNeo</v>
      </c>
      <c r="J3283" s="604">
        <v>2008</v>
      </c>
      <c r="K3283" s="604" t="s">
        <v>448</v>
      </c>
      <c r="L3283" s="604" t="s">
        <v>89</v>
      </c>
      <c r="M3283" s="604">
        <v>20</v>
      </c>
      <c r="N3283" s="604">
        <v>5843</v>
      </c>
      <c r="O3283" s="604">
        <v>3.4</v>
      </c>
      <c r="P3283" s="604" t="s">
        <v>484</v>
      </c>
      <c r="Q3283" s="499"/>
    </row>
    <row r="3284" spans="9:17">
      <c r="I3284" s="578" t="str">
        <f t="shared" si="197"/>
        <v>2008dhbLakesNeo</v>
      </c>
      <c r="J3284" s="604">
        <v>2008</v>
      </c>
      <c r="K3284" s="604" t="s">
        <v>448</v>
      </c>
      <c r="L3284" s="604" t="s">
        <v>90</v>
      </c>
      <c r="M3284" s="604">
        <v>9</v>
      </c>
      <c r="N3284" s="604">
        <v>1726</v>
      </c>
      <c r="O3284" s="604">
        <v>5.2</v>
      </c>
      <c r="P3284" s="604" t="s">
        <v>484</v>
      </c>
      <c r="Q3284" s="499"/>
    </row>
    <row r="3285" spans="9:17">
      <c r="I3285" s="578" t="str">
        <f t="shared" si="197"/>
        <v>2008dhbBay of PlentyNeo</v>
      </c>
      <c r="J3285" s="604">
        <v>2008</v>
      </c>
      <c r="K3285" s="604" t="s">
        <v>448</v>
      </c>
      <c r="L3285" s="604" t="s">
        <v>91</v>
      </c>
      <c r="M3285" s="604">
        <v>15</v>
      </c>
      <c r="N3285" s="604">
        <v>3047</v>
      </c>
      <c r="O3285" s="604">
        <v>4.9000000000000004</v>
      </c>
      <c r="P3285" s="604" t="s">
        <v>484</v>
      </c>
      <c r="Q3285" s="499"/>
    </row>
    <row r="3286" spans="9:17">
      <c r="I3286" s="578" t="str">
        <f t="shared" si="197"/>
        <v>2008dhbTairawhitiNeo</v>
      </c>
      <c r="J3286" s="604">
        <v>2008</v>
      </c>
      <c r="K3286" s="604" t="s">
        <v>448</v>
      </c>
      <c r="L3286" s="604" t="s">
        <v>433</v>
      </c>
      <c r="M3286" s="604">
        <v>2</v>
      </c>
      <c r="N3286" s="604">
        <v>862</v>
      </c>
      <c r="O3286" s="604">
        <v>2.2999999999999998</v>
      </c>
      <c r="P3286" s="604" t="s">
        <v>484</v>
      </c>
      <c r="Q3286" s="499"/>
    </row>
    <row r="3287" spans="9:17">
      <c r="I3287" s="578" t="str">
        <f t="shared" si="197"/>
        <v>2008dhbHawke's BayNeo</v>
      </c>
      <c r="J3287" s="604">
        <v>2008</v>
      </c>
      <c r="K3287" s="604" t="s">
        <v>448</v>
      </c>
      <c r="L3287" s="604" t="s">
        <v>92</v>
      </c>
      <c r="M3287" s="604">
        <v>5</v>
      </c>
      <c r="N3287" s="604">
        <v>2404</v>
      </c>
      <c r="O3287" s="604">
        <v>2.1</v>
      </c>
      <c r="P3287" s="604" t="s">
        <v>484</v>
      </c>
      <c r="Q3287" s="499"/>
    </row>
    <row r="3288" spans="9:17">
      <c r="I3288" s="578" t="str">
        <f t="shared" si="197"/>
        <v>2008dhbTaranakiNeo</v>
      </c>
      <c r="J3288" s="604">
        <v>2008</v>
      </c>
      <c r="K3288" s="604" t="s">
        <v>448</v>
      </c>
      <c r="L3288" s="604" t="s">
        <v>93</v>
      </c>
      <c r="M3288" s="604">
        <v>5</v>
      </c>
      <c r="N3288" s="604">
        <v>1623</v>
      </c>
      <c r="O3288" s="604">
        <v>3.1</v>
      </c>
      <c r="P3288" s="604" t="s">
        <v>484</v>
      </c>
      <c r="Q3288" s="499"/>
    </row>
    <row r="3289" spans="9:17">
      <c r="I3289" s="578" t="str">
        <f t="shared" si="197"/>
        <v>2008dhbMidCentralNeo</v>
      </c>
      <c r="J3289" s="604">
        <v>2008</v>
      </c>
      <c r="K3289" s="604" t="s">
        <v>448</v>
      </c>
      <c r="L3289" s="604" t="s">
        <v>94</v>
      </c>
      <c r="M3289" s="604">
        <v>8</v>
      </c>
      <c r="N3289" s="604">
        <v>2458</v>
      </c>
      <c r="O3289" s="604">
        <v>3.3</v>
      </c>
      <c r="P3289" s="604" t="s">
        <v>484</v>
      </c>
      <c r="Q3289" s="499"/>
    </row>
    <row r="3290" spans="9:17">
      <c r="I3290" s="578" t="str">
        <f t="shared" si="197"/>
        <v>2008dhbWhanganuiNeo</v>
      </c>
      <c r="J3290" s="604">
        <v>2008</v>
      </c>
      <c r="K3290" s="604" t="s">
        <v>448</v>
      </c>
      <c r="L3290" s="604" t="s">
        <v>95</v>
      </c>
      <c r="M3290" s="604">
        <v>2</v>
      </c>
      <c r="N3290" s="604">
        <v>950</v>
      </c>
      <c r="O3290" s="604">
        <v>2.1</v>
      </c>
      <c r="P3290" s="604" t="s">
        <v>484</v>
      </c>
      <c r="Q3290" s="499"/>
    </row>
    <row r="3291" spans="9:17">
      <c r="I3291" s="578" t="str">
        <f t="shared" si="197"/>
        <v>2008dhbCapital &amp; CoastNeo</v>
      </c>
      <c r="J3291" s="604">
        <v>2008</v>
      </c>
      <c r="K3291" s="604" t="s">
        <v>448</v>
      </c>
      <c r="L3291" s="604" t="s">
        <v>96</v>
      </c>
      <c r="M3291" s="604">
        <v>8</v>
      </c>
      <c r="N3291" s="604">
        <v>4133</v>
      </c>
      <c r="O3291" s="604">
        <v>1.9</v>
      </c>
      <c r="P3291" s="604" t="s">
        <v>484</v>
      </c>
      <c r="Q3291" s="499"/>
    </row>
    <row r="3292" spans="9:17">
      <c r="I3292" s="578" t="str">
        <f t="shared" si="197"/>
        <v>2008dhbHutt ValleyNeo</v>
      </c>
      <c r="J3292" s="604">
        <v>2008</v>
      </c>
      <c r="K3292" s="604" t="s">
        <v>448</v>
      </c>
      <c r="L3292" s="604" t="s">
        <v>97</v>
      </c>
      <c r="M3292" s="604">
        <v>7</v>
      </c>
      <c r="N3292" s="604">
        <v>2249</v>
      </c>
      <c r="O3292" s="604">
        <v>3.1</v>
      </c>
      <c r="P3292" s="604" t="s">
        <v>484</v>
      </c>
      <c r="Q3292" s="499"/>
    </row>
    <row r="3293" spans="9:17">
      <c r="I3293" s="578" t="str">
        <f t="shared" si="197"/>
        <v>2008dhbWairarapaNeo</v>
      </c>
      <c r="J3293" s="604">
        <v>2008</v>
      </c>
      <c r="K3293" s="604" t="s">
        <v>448</v>
      </c>
      <c r="L3293" s="604" t="s">
        <v>98</v>
      </c>
      <c r="M3293" s="604">
        <v>0</v>
      </c>
      <c r="N3293" s="604">
        <v>530</v>
      </c>
      <c r="O3293" s="604">
        <v>0</v>
      </c>
      <c r="P3293" s="604" t="s">
        <v>484</v>
      </c>
      <c r="Q3293" s="499"/>
    </row>
    <row r="3294" spans="9:17">
      <c r="I3294" s="578" t="str">
        <f t="shared" si="197"/>
        <v>2008dhbNelson MarlboroughNeo</v>
      </c>
      <c r="J3294" s="604">
        <v>2008</v>
      </c>
      <c r="K3294" s="604" t="s">
        <v>448</v>
      </c>
      <c r="L3294" s="604" t="s">
        <v>99</v>
      </c>
      <c r="M3294" s="604">
        <v>1</v>
      </c>
      <c r="N3294" s="604">
        <v>1756</v>
      </c>
      <c r="O3294" s="604">
        <v>0.6</v>
      </c>
      <c r="P3294" s="604" t="s">
        <v>484</v>
      </c>
      <c r="Q3294" s="499"/>
    </row>
    <row r="3295" spans="9:17">
      <c r="I3295" s="578" t="str">
        <f t="shared" si="197"/>
        <v>2008dhbWest CoastNeo</v>
      </c>
      <c r="J3295" s="604">
        <v>2008</v>
      </c>
      <c r="K3295" s="604" t="s">
        <v>448</v>
      </c>
      <c r="L3295" s="604" t="s">
        <v>100</v>
      </c>
      <c r="M3295" s="604">
        <v>2</v>
      </c>
      <c r="N3295" s="604">
        <v>452</v>
      </c>
      <c r="O3295" s="604">
        <v>4.4000000000000004</v>
      </c>
      <c r="P3295" s="604" t="s">
        <v>484</v>
      </c>
      <c r="Q3295" s="499"/>
    </row>
    <row r="3296" spans="9:17">
      <c r="I3296" s="578" t="str">
        <f t="shared" si="197"/>
        <v>2008dhbCanterburyNeo</v>
      </c>
      <c r="J3296" s="604">
        <v>2008</v>
      </c>
      <c r="K3296" s="604" t="s">
        <v>448</v>
      </c>
      <c r="L3296" s="604" t="s">
        <v>101</v>
      </c>
      <c r="M3296" s="604">
        <v>20</v>
      </c>
      <c r="N3296" s="604">
        <v>6665</v>
      </c>
      <c r="O3296" s="604">
        <v>3</v>
      </c>
      <c r="P3296" s="604" t="s">
        <v>484</v>
      </c>
      <c r="Q3296" s="499"/>
    </row>
    <row r="3297" spans="9:17">
      <c r="I3297" s="578" t="str">
        <f t="shared" si="197"/>
        <v>2008dhbSouth CanterburyNeo</v>
      </c>
      <c r="J3297" s="604">
        <v>2008</v>
      </c>
      <c r="K3297" s="604" t="s">
        <v>448</v>
      </c>
      <c r="L3297" s="604" t="s">
        <v>102</v>
      </c>
      <c r="M3297" s="604">
        <v>3</v>
      </c>
      <c r="N3297" s="604">
        <v>643</v>
      </c>
      <c r="O3297" s="604">
        <v>4.7</v>
      </c>
      <c r="P3297" s="604" t="s">
        <v>484</v>
      </c>
      <c r="Q3297" s="499"/>
    </row>
    <row r="3298" spans="9:17">
      <c r="I3298" s="578" t="str">
        <f t="shared" si="197"/>
        <v>2008dhbSouthernNeo</v>
      </c>
      <c r="J3298" s="604">
        <v>2008</v>
      </c>
      <c r="K3298" s="604" t="s">
        <v>448</v>
      </c>
      <c r="L3298" s="604" t="s">
        <v>103</v>
      </c>
      <c r="M3298" s="604">
        <v>4</v>
      </c>
      <c r="N3298" s="604">
        <v>3746</v>
      </c>
      <c r="O3298" s="604">
        <v>1.1000000000000001</v>
      </c>
      <c r="P3298" s="604" t="s">
        <v>484</v>
      </c>
      <c r="Q3298" s="499"/>
    </row>
    <row r="3299" spans="9:17">
      <c r="I3299" s="578" t="str">
        <f t="shared" si="197"/>
        <v>2008dhbUnknownNeo</v>
      </c>
      <c r="J3299" s="604">
        <v>2008</v>
      </c>
      <c r="K3299" s="604" t="s">
        <v>448</v>
      </c>
      <c r="L3299" s="604" t="s">
        <v>63</v>
      </c>
      <c r="M3299" s="604">
        <v>2</v>
      </c>
      <c r="N3299" s="604">
        <v>294</v>
      </c>
      <c r="O3299" s="604" t="s">
        <v>119</v>
      </c>
      <c r="P3299" s="604" t="s">
        <v>484</v>
      </c>
      <c r="Q3299" s="499"/>
    </row>
    <row r="3300" spans="9:17">
      <c r="I3300" s="578" t="str">
        <f t="shared" si="197"/>
        <v>2009dhbNorthlandNeo</v>
      </c>
      <c r="J3300" s="604">
        <v>2009</v>
      </c>
      <c r="K3300" s="604" t="s">
        <v>448</v>
      </c>
      <c r="L3300" s="604" t="s">
        <v>85</v>
      </c>
      <c r="M3300" s="604">
        <v>9</v>
      </c>
      <c r="N3300" s="604">
        <v>2233</v>
      </c>
      <c r="O3300" s="604">
        <v>4</v>
      </c>
      <c r="P3300" s="604" t="s">
        <v>484</v>
      </c>
      <c r="Q3300" s="499"/>
    </row>
    <row r="3301" spans="9:17">
      <c r="I3301" s="578" t="str">
        <f t="shared" si="197"/>
        <v>2009dhbWaitemataNeo</v>
      </c>
      <c r="J3301" s="604">
        <v>2009</v>
      </c>
      <c r="K3301" s="604" t="s">
        <v>448</v>
      </c>
      <c r="L3301" s="604" t="s">
        <v>86</v>
      </c>
      <c r="M3301" s="604">
        <v>19</v>
      </c>
      <c r="N3301" s="604">
        <v>7691</v>
      </c>
      <c r="O3301" s="604">
        <v>2.5</v>
      </c>
      <c r="P3301" s="604" t="s">
        <v>484</v>
      </c>
      <c r="Q3301" s="499"/>
    </row>
    <row r="3302" spans="9:17">
      <c r="I3302" s="578" t="str">
        <f t="shared" si="197"/>
        <v>2009dhbAucklandNeo</v>
      </c>
      <c r="J3302" s="604">
        <v>2009</v>
      </c>
      <c r="K3302" s="604" t="s">
        <v>448</v>
      </c>
      <c r="L3302" s="604" t="s">
        <v>87</v>
      </c>
      <c r="M3302" s="604">
        <v>18</v>
      </c>
      <c r="N3302" s="604">
        <v>6732</v>
      </c>
      <c r="O3302" s="604">
        <v>2.7</v>
      </c>
      <c r="P3302" s="604" t="s">
        <v>484</v>
      </c>
      <c r="Q3302" s="499"/>
    </row>
    <row r="3303" spans="9:17">
      <c r="I3303" s="578" t="str">
        <f t="shared" si="197"/>
        <v>2009dhbCounties ManukauNeo</v>
      </c>
      <c r="J3303" s="604">
        <v>2009</v>
      </c>
      <c r="K3303" s="604" t="s">
        <v>448</v>
      </c>
      <c r="L3303" s="604" t="s">
        <v>88</v>
      </c>
      <c r="M3303" s="604">
        <v>41</v>
      </c>
      <c r="N3303" s="604">
        <v>8600</v>
      </c>
      <c r="O3303" s="604">
        <v>4.8</v>
      </c>
      <c r="P3303" s="604" t="s">
        <v>484</v>
      </c>
      <c r="Q3303" s="499"/>
    </row>
    <row r="3304" spans="9:17">
      <c r="I3304" s="578" t="str">
        <f t="shared" si="197"/>
        <v>2009dhbWaikatoNeo</v>
      </c>
      <c r="J3304" s="604">
        <v>2009</v>
      </c>
      <c r="K3304" s="604" t="s">
        <v>448</v>
      </c>
      <c r="L3304" s="604" t="s">
        <v>89</v>
      </c>
      <c r="M3304" s="604">
        <v>21</v>
      </c>
      <c r="N3304" s="604">
        <v>5548</v>
      </c>
      <c r="O3304" s="604">
        <v>3.8</v>
      </c>
      <c r="P3304" s="604" t="s">
        <v>484</v>
      </c>
      <c r="Q3304" s="499"/>
    </row>
    <row r="3305" spans="9:17">
      <c r="I3305" s="578" t="str">
        <f t="shared" si="197"/>
        <v>2009dhbLakesNeo</v>
      </c>
      <c r="J3305" s="604">
        <v>2009</v>
      </c>
      <c r="K3305" s="604" t="s">
        <v>448</v>
      </c>
      <c r="L3305" s="604" t="s">
        <v>90</v>
      </c>
      <c r="M3305" s="604">
        <v>6</v>
      </c>
      <c r="N3305" s="604">
        <v>1685</v>
      </c>
      <c r="O3305" s="604">
        <v>3.6</v>
      </c>
      <c r="P3305" s="604" t="s">
        <v>484</v>
      </c>
      <c r="Q3305" s="499"/>
    </row>
    <row r="3306" spans="9:17">
      <c r="I3306" s="578" t="str">
        <f t="shared" si="197"/>
        <v>2009dhbBay of PlentyNeo</v>
      </c>
      <c r="J3306" s="604">
        <v>2009</v>
      </c>
      <c r="K3306" s="604" t="s">
        <v>448</v>
      </c>
      <c r="L3306" s="604" t="s">
        <v>91</v>
      </c>
      <c r="M3306" s="604">
        <v>10</v>
      </c>
      <c r="N3306" s="604">
        <v>2900</v>
      </c>
      <c r="O3306" s="604">
        <v>3.4</v>
      </c>
      <c r="P3306" s="604" t="s">
        <v>484</v>
      </c>
      <c r="Q3306" s="499"/>
    </row>
    <row r="3307" spans="9:17">
      <c r="I3307" s="578" t="str">
        <f t="shared" si="197"/>
        <v>2009dhbTairawhitiNeo</v>
      </c>
      <c r="J3307" s="604">
        <v>2009</v>
      </c>
      <c r="K3307" s="604" t="s">
        <v>448</v>
      </c>
      <c r="L3307" s="604" t="s">
        <v>433</v>
      </c>
      <c r="M3307" s="604">
        <v>2</v>
      </c>
      <c r="N3307" s="604">
        <v>746</v>
      </c>
      <c r="O3307" s="604">
        <v>2.7</v>
      </c>
      <c r="P3307" s="604" t="s">
        <v>484</v>
      </c>
      <c r="Q3307" s="499"/>
    </row>
    <row r="3308" spans="9:17">
      <c r="I3308" s="578" t="str">
        <f t="shared" si="197"/>
        <v>2009dhbHawke's BayNeo</v>
      </c>
      <c r="J3308" s="604">
        <v>2009</v>
      </c>
      <c r="K3308" s="604" t="s">
        <v>448</v>
      </c>
      <c r="L3308" s="604" t="s">
        <v>92</v>
      </c>
      <c r="M3308" s="604">
        <v>7</v>
      </c>
      <c r="N3308" s="604">
        <v>2395</v>
      </c>
      <c r="O3308" s="604">
        <v>2.9</v>
      </c>
      <c r="P3308" s="604" t="s">
        <v>484</v>
      </c>
      <c r="Q3308" s="499"/>
    </row>
    <row r="3309" spans="9:17">
      <c r="I3309" s="578" t="str">
        <f t="shared" si="197"/>
        <v>2009dhbTaranakiNeo</v>
      </c>
      <c r="J3309" s="604">
        <v>2009</v>
      </c>
      <c r="K3309" s="604" t="s">
        <v>448</v>
      </c>
      <c r="L3309" s="604" t="s">
        <v>93</v>
      </c>
      <c r="M3309" s="604">
        <v>5</v>
      </c>
      <c r="N3309" s="604">
        <v>1601</v>
      </c>
      <c r="O3309" s="604">
        <v>3.1</v>
      </c>
      <c r="P3309" s="604" t="s">
        <v>484</v>
      </c>
      <c r="Q3309" s="499"/>
    </row>
    <row r="3310" spans="9:17">
      <c r="I3310" s="578" t="str">
        <f t="shared" si="197"/>
        <v>2009dhbMidCentralNeo</v>
      </c>
      <c r="J3310" s="604">
        <v>2009</v>
      </c>
      <c r="K3310" s="604" t="s">
        <v>448</v>
      </c>
      <c r="L3310" s="604" t="s">
        <v>94</v>
      </c>
      <c r="M3310" s="604">
        <v>9</v>
      </c>
      <c r="N3310" s="604">
        <v>2204</v>
      </c>
      <c r="O3310" s="604">
        <v>4.0999999999999996</v>
      </c>
      <c r="P3310" s="604" t="s">
        <v>484</v>
      </c>
      <c r="Q3310" s="499"/>
    </row>
    <row r="3311" spans="9:17">
      <c r="I3311" s="578" t="str">
        <f t="shared" si="197"/>
        <v>2009dhbWhanganuiNeo</v>
      </c>
      <c r="J3311" s="604">
        <v>2009</v>
      </c>
      <c r="K3311" s="604" t="s">
        <v>448</v>
      </c>
      <c r="L3311" s="604" t="s">
        <v>95</v>
      </c>
      <c r="M3311" s="604">
        <v>4</v>
      </c>
      <c r="N3311" s="604">
        <v>927</v>
      </c>
      <c r="O3311" s="604">
        <v>4.3</v>
      </c>
      <c r="P3311" s="604" t="s">
        <v>484</v>
      </c>
      <c r="Q3311" s="499"/>
    </row>
    <row r="3312" spans="9:17">
      <c r="I3312" s="578" t="str">
        <f t="shared" si="197"/>
        <v>2009dhbCapital &amp; CoastNeo</v>
      </c>
      <c r="J3312" s="604">
        <v>2009</v>
      </c>
      <c r="K3312" s="604" t="s">
        <v>448</v>
      </c>
      <c r="L3312" s="604" t="s">
        <v>96</v>
      </c>
      <c r="M3312" s="604">
        <v>11</v>
      </c>
      <c r="N3312" s="604">
        <v>3983</v>
      </c>
      <c r="O3312" s="604">
        <v>2.8</v>
      </c>
      <c r="P3312" s="604" t="s">
        <v>484</v>
      </c>
      <c r="Q3312" s="499"/>
    </row>
    <row r="3313" spans="9:17">
      <c r="I3313" s="578" t="str">
        <f t="shared" si="197"/>
        <v>2009dhbHutt ValleyNeo</v>
      </c>
      <c r="J3313" s="604">
        <v>2009</v>
      </c>
      <c r="K3313" s="604" t="s">
        <v>448</v>
      </c>
      <c r="L3313" s="604" t="s">
        <v>97</v>
      </c>
      <c r="M3313" s="604">
        <v>3</v>
      </c>
      <c r="N3313" s="604">
        <v>2201</v>
      </c>
      <c r="O3313" s="604">
        <v>1.4</v>
      </c>
      <c r="P3313" s="604" t="s">
        <v>484</v>
      </c>
      <c r="Q3313" s="499"/>
    </row>
    <row r="3314" spans="9:17">
      <c r="I3314" s="578" t="str">
        <f t="shared" si="197"/>
        <v>2009dhbWairarapaNeo</v>
      </c>
      <c r="J3314" s="604">
        <v>2009</v>
      </c>
      <c r="K3314" s="604" t="s">
        <v>448</v>
      </c>
      <c r="L3314" s="604" t="s">
        <v>98</v>
      </c>
      <c r="M3314" s="604">
        <v>2</v>
      </c>
      <c r="N3314" s="604">
        <v>555</v>
      </c>
      <c r="O3314" s="604">
        <v>3.6</v>
      </c>
      <c r="P3314" s="604" t="s">
        <v>484</v>
      </c>
      <c r="Q3314" s="499"/>
    </row>
    <row r="3315" spans="9:17">
      <c r="I3315" s="578" t="str">
        <f t="shared" si="197"/>
        <v>2009dhbNelson MarlboroughNeo</v>
      </c>
      <c r="J3315" s="604">
        <v>2009</v>
      </c>
      <c r="K3315" s="604" t="s">
        <v>448</v>
      </c>
      <c r="L3315" s="604" t="s">
        <v>99</v>
      </c>
      <c r="M3315" s="604">
        <v>2</v>
      </c>
      <c r="N3315" s="604">
        <v>1660</v>
      </c>
      <c r="O3315" s="604">
        <v>1.2</v>
      </c>
      <c r="P3315" s="604" t="s">
        <v>484</v>
      </c>
      <c r="Q3315" s="499"/>
    </row>
    <row r="3316" spans="9:17">
      <c r="I3316" s="578" t="str">
        <f t="shared" si="197"/>
        <v>2009dhbWest CoastNeo</v>
      </c>
      <c r="J3316" s="604">
        <v>2009</v>
      </c>
      <c r="K3316" s="604" t="s">
        <v>448</v>
      </c>
      <c r="L3316" s="604" t="s">
        <v>100</v>
      </c>
      <c r="M3316" s="604">
        <v>2</v>
      </c>
      <c r="N3316" s="604">
        <v>432</v>
      </c>
      <c r="O3316" s="604">
        <v>4.5999999999999996</v>
      </c>
      <c r="P3316" s="604" t="s">
        <v>484</v>
      </c>
      <c r="Q3316" s="499"/>
    </row>
    <row r="3317" spans="9:17">
      <c r="I3317" s="578" t="str">
        <f t="shared" si="197"/>
        <v>2009dhbCanterburyNeo</v>
      </c>
      <c r="J3317" s="604">
        <v>2009</v>
      </c>
      <c r="K3317" s="604" t="s">
        <v>448</v>
      </c>
      <c r="L3317" s="604" t="s">
        <v>101</v>
      </c>
      <c r="M3317" s="604">
        <v>16</v>
      </c>
      <c r="N3317" s="604">
        <v>6533</v>
      </c>
      <c r="O3317" s="604">
        <v>2.4</v>
      </c>
      <c r="P3317" s="604" t="s">
        <v>484</v>
      </c>
      <c r="Q3317" s="499"/>
    </row>
    <row r="3318" spans="9:17">
      <c r="I3318" s="578" t="str">
        <f t="shared" si="197"/>
        <v>2009dhbSouth CanterburyNeo</v>
      </c>
      <c r="J3318" s="604">
        <v>2009</v>
      </c>
      <c r="K3318" s="604" t="s">
        <v>448</v>
      </c>
      <c r="L3318" s="604" t="s">
        <v>102</v>
      </c>
      <c r="M3318" s="604">
        <v>3</v>
      </c>
      <c r="N3318" s="604">
        <v>654</v>
      </c>
      <c r="O3318" s="604">
        <v>4.5999999999999996</v>
      </c>
      <c r="P3318" s="604" t="s">
        <v>484</v>
      </c>
      <c r="Q3318" s="499"/>
    </row>
    <row r="3319" spans="9:17">
      <c r="I3319" s="578" t="str">
        <f t="shared" si="197"/>
        <v>2009dhbSouthernNeo</v>
      </c>
      <c r="J3319" s="604">
        <v>2009</v>
      </c>
      <c r="K3319" s="604" t="s">
        <v>448</v>
      </c>
      <c r="L3319" s="604" t="s">
        <v>103</v>
      </c>
      <c r="M3319" s="604">
        <v>7</v>
      </c>
      <c r="N3319" s="604">
        <v>3733</v>
      </c>
      <c r="O3319" s="604">
        <v>1.9</v>
      </c>
      <c r="P3319" s="604" t="s">
        <v>484</v>
      </c>
      <c r="Q3319" s="499"/>
    </row>
    <row r="3320" spans="9:17">
      <c r="I3320" s="578" t="str">
        <f t="shared" si="197"/>
        <v>2009dhbUnknownNeo</v>
      </c>
      <c r="J3320" s="604">
        <v>2009</v>
      </c>
      <c r="K3320" s="604" t="s">
        <v>448</v>
      </c>
      <c r="L3320" s="604" t="s">
        <v>63</v>
      </c>
      <c r="M3320" s="604">
        <v>0</v>
      </c>
      <c r="N3320" s="604">
        <v>272</v>
      </c>
      <c r="O3320" s="604" t="s">
        <v>119</v>
      </c>
      <c r="P3320" s="604" t="s">
        <v>484</v>
      </c>
      <c r="Q3320" s="499"/>
    </row>
    <row r="3321" spans="9:17">
      <c r="I3321" s="578" t="str">
        <f t="shared" si="197"/>
        <v>2010dhbNorthlandNeo</v>
      </c>
      <c r="J3321" s="604">
        <v>2010</v>
      </c>
      <c r="K3321" s="604" t="s">
        <v>448</v>
      </c>
      <c r="L3321" s="604" t="s">
        <v>85</v>
      </c>
      <c r="M3321" s="604">
        <v>13</v>
      </c>
      <c r="N3321" s="604">
        <v>2456</v>
      </c>
      <c r="O3321" s="604">
        <v>5.3</v>
      </c>
      <c r="P3321" s="604" t="s">
        <v>484</v>
      </c>
      <c r="Q3321" s="499"/>
    </row>
    <row r="3322" spans="9:17">
      <c r="I3322" s="578" t="str">
        <f t="shared" si="197"/>
        <v>2010dhbWaitemataNeo</v>
      </c>
      <c r="J3322" s="604">
        <v>2010</v>
      </c>
      <c r="K3322" s="604" t="s">
        <v>448</v>
      </c>
      <c r="L3322" s="604" t="s">
        <v>86</v>
      </c>
      <c r="M3322" s="604">
        <v>21</v>
      </c>
      <c r="N3322" s="604">
        <v>8106</v>
      </c>
      <c r="O3322" s="604">
        <v>2.6</v>
      </c>
      <c r="P3322" s="604" t="s">
        <v>484</v>
      </c>
      <c r="Q3322" s="499"/>
    </row>
    <row r="3323" spans="9:17">
      <c r="I3323" s="578" t="str">
        <f t="shared" si="197"/>
        <v>2010dhbAucklandNeo</v>
      </c>
      <c r="J3323" s="604">
        <v>2010</v>
      </c>
      <c r="K3323" s="604" t="s">
        <v>448</v>
      </c>
      <c r="L3323" s="604" t="s">
        <v>87</v>
      </c>
      <c r="M3323" s="604">
        <v>20</v>
      </c>
      <c r="N3323" s="604">
        <v>6700</v>
      </c>
      <c r="O3323" s="604">
        <v>3</v>
      </c>
      <c r="P3323" s="604" t="s">
        <v>484</v>
      </c>
      <c r="Q3323" s="499"/>
    </row>
    <row r="3324" spans="9:17">
      <c r="I3324" s="578" t="str">
        <f t="shared" si="197"/>
        <v>2010dhbCounties ManukauNeo</v>
      </c>
      <c r="J3324" s="604">
        <v>2010</v>
      </c>
      <c r="K3324" s="604" t="s">
        <v>448</v>
      </c>
      <c r="L3324" s="604" t="s">
        <v>88</v>
      </c>
      <c r="M3324" s="604">
        <v>32</v>
      </c>
      <c r="N3324" s="604">
        <v>8851</v>
      </c>
      <c r="O3324" s="604">
        <v>3.6</v>
      </c>
      <c r="P3324" s="604" t="s">
        <v>484</v>
      </c>
      <c r="Q3324" s="499"/>
    </row>
    <row r="3325" spans="9:17">
      <c r="I3325" s="578" t="str">
        <f t="shared" si="197"/>
        <v>2010dhbWaikatoNeo</v>
      </c>
      <c r="J3325" s="604">
        <v>2010</v>
      </c>
      <c r="K3325" s="604" t="s">
        <v>448</v>
      </c>
      <c r="L3325" s="604" t="s">
        <v>89</v>
      </c>
      <c r="M3325" s="604">
        <v>20</v>
      </c>
      <c r="N3325" s="604">
        <v>5697</v>
      </c>
      <c r="O3325" s="604">
        <v>3.5</v>
      </c>
      <c r="P3325" s="604" t="s">
        <v>484</v>
      </c>
      <c r="Q3325" s="499"/>
    </row>
    <row r="3326" spans="9:17">
      <c r="I3326" s="578" t="str">
        <f t="shared" si="197"/>
        <v>2010dhbLakesNeo</v>
      </c>
      <c r="J3326" s="604">
        <v>2010</v>
      </c>
      <c r="K3326" s="604" t="s">
        <v>448</v>
      </c>
      <c r="L3326" s="604" t="s">
        <v>90</v>
      </c>
      <c r="M3326" s="604">
        <v>8</v>
      </c>
      <c r="N3326" s="604">
        <v>1624</v>
      </c>
      <c r="O3326" s="604">
        <v>4.9000000000000004</v>
      </c>
      <c r="P3326" s="604" t="s">
        <v>484</v>
      </c>
      <c r="Q3326" s="499"/>
    </row>
    <row r="3327" spans="9:17">
      <c r="I3327" s="578" t="str">
        <f t="shared" si="197"/>
        <v>2010dhbBay of PlentyNeo</v>
      </c>
      <c r="J3327" s="604">
        <v>2010</v>
      </c>
      <c r="K3327" s="604" t="s">
        <v>448</v>
      </c>
      <c r="L3327" s="604" t="s">
        <v>91</v>
      </c>
      <c r="M3327" s="604">
        <v>15</v>
      </c>
      <c r="N3327" s="604">
        <v>2988</v>
      </c>
      <c r="O3327" s="604">
        <v>5</v>
      </c>
      <c r="P3327" s="604" t="s">
        <v>484</v>
      </c>
      <c r="Q3327" s="499"/>
    </row>
    <row r="3328" spans="9:17">
      <c r="I3328" s="578" t="str">
        <f t="shared" si="197"/>
        <v>2010dhbTairawhitiNeo</v>
      </c>
      <c r="J3328" s="604">
        <v>2010</v>
      </c>
      <c r="K3328" s="604" t="s">
        <v>448</v>
      </c>
      <c r="L3328" s="604" t="s">
        <v>433</v>
      </c>
      <c r="M3328" s="604">
        <v>5</v>
      </c>
      <c r="N3328" s="604">
        <v>805</v>
      </c>
      <c r="O3328" s="604">
        <v>6.2</v>
      </c>
      <c r="P3328" s="604" t="s">
        <v>484</v>
      </c>
      <c r="Q3328" s="499"/>
    </row>
    <row r="3329" spans="9:17">
      <c r="I3329" s="578" t="str">
        <f t="shared" si="197"/>
        <v>2010dhbHawke's BayNeo</v>
      </c>
      <c r="J3329" s="604">
        <v>2010</v>
      </c>
      <c r="K3329" s="604" t="s">
        <v>448</v>
      </c>
      <c r="L3329" s="604" t="s">
        <v>92</v>
      </c>
      <c r="M3329" s="604">
        <v>10</v>
      </c>
      <c r="N3329" s="604">
        <v>2331</v>
      </c>
      <c r="O3329" s="604">
        <v>4.3</v>
      </c>
      <c r="P3329" s="604" t="s">
        <v>484</v>
      </c>
      <c r="Q3329" s="499"/>
    </row>
    <row r="3330" spans="9:17">
      <c r="I3330" s="578" t="str">
        <f t="shared" si="197"/>
        <v>2010dhbTaranakiNeo</v>
      </c>
      <c r="J3330" s="604">
        <v>2010</v>
      </c>
      <c r="K3330" s="604" t="s">
        <v>448</v>
      </c>
      <c r="L3330" s="604" t="s">
        <v>93</v>
      </c>
      <c r="M3330" s="604">
        <v>4</v>
      </c>
      <c r="N3330" s="604">
        <v>1607</v>
      </c>
      <c r="O3330" s="604">
        <v>2.5</v>
      </c>
      <c r="P3330" s="604" t="s">
        <v>484</v>
      </c>
      <c r="Q3330" s="499"/>
    </row>
    <row r="3331" spans="9:17">
      <c r="I3331" s="578" t="str">
        <f t="shared" si="197"/>
        <v>2010dhbMidCentralNeo</v>
      </c>
      <c r="J3331" s="604">
        <v>2010</v>
      </c>
      <c r="K3331" s="604" t="s">
        <v>448</v>
      </c>
      <c r="L3331" s="604" t="s">
        <v>94</v>
      </c>
      <c r="M3331" s="604">
        <v>8</v>
      </c>
      <c r="N3331" s="604">
        <v>2373</v>
      </c>
      <c r="O3331" s="604">
        <v>3.4</v>
      </c>
      <c r="P3331" s="604" t="s">
        <v>484</v>
      </c>
      <c r="Q3331" s="499"/>
    </row>
    <row r="3332" spans="9:17">
      <c r="I3332" s="578" t="str">
        <f t="shared" ref="I3332:I3395" si="198">J3332&amp;K3332&amp;L3332&amp;P3332</f>
        <v>2010dhbWhanganuiNeo</v>
      </c>
      <c r="J3332" s="604">
        <v>2010</v>
      </c>
      <c r="K3332" s="604" t="s">
        <v>448</v>
      </c>
      <c r="L3332" s="604" t="s">
        <v>95</v>
      </c>
      <c r="M3332" s="604">
        <v>4</v>
      </c>
      <c r="N3332" s="604">
        <v>912</v>
      </c>
      <c r="O3332" s="604">
        <v>4.4000000000000004</v>
      </c>
      <c r="P3332" s="604" t="s">
        <v>484</v>
      </c>
      <c r="Q3332" s="499"/>
    </row>
    <row r="3333" spans="9:17">
      <c r="I3333" s="578" t="str">
        <f t="shared" si="198"/>
        <v>2010dhbCapital &amp; CoastNeo</v>
      </c>
      <c r="J3333" s="604">
        <v>2010</v>
      </c>
      <c r="K3333" s="604" t="s">
        <v>448</v>
      </c>
      <c r="L3333" s="604" t="s">
        <v>96</v>
      </c>
      <c r="M3333" s="604">
        <v>11</v>
      </c>
      <c r="N3333" s="604">
        <v>3998</v>
      </c>
      <c r="O3333" s="604">
        <v>2.8</v>
      </c>
      <c r="P3333" s="604" t="s">
        <v>484</v>
      </c>
      <c r="Q3333" s="499"/>
    </row>
    <row r="3334" spans="9:17">
      <c r="I3334" s="578" t="str">
        <f t="shared" si="198"/>
        <v>2010dhbHutt ValleyNeo</v>
      </c>
      <c r="J3334" s="604">
        <v>2010</v>
      </c>
      <c r="K3334" s="604" t="s">
        <v>448</v>
      </c>
      <c r="L3334" s="604" t="s">
        <v>97</v>
      </c>
      <c r="M3334" s="604">
        <v>6</v>
      </c>
      <c r="N3334" s="604">
        <v>2151</v>
      </c>
      <c r="O3334" s="604">
        <v>2.8</v>
      </c>
      <c r="P3334" s="604" t="s">
        <v>484</v>
      </c>
      <c r="Q3334" s="499"/>
    </row>
    <row r="3335" spans="9:17">
      <c r="I3335" s="578" t="str">
        <f t="shared" si="198"/>
        <v>2010dhbWairarapaNeo</v>
      </c>
      <c r="J3335" s="604">
        <v>2010</v>
      </c>
      <c r="K3335" s="604" t="s">
        <v>448</v>
      </c>
      <c r="L3335" s="604" t="s">
        <v>98</v>
      </c>
      <c r="M3335" s="604">
        <v>5</v>
      </c>
      <c r="N3335" s="604">
        <v>549</v>
      </c>
      <c r="O3335" s="604">
        <v>9.1</v>
      </c>
      <c r="P3335" s="604" t="s">
        <v>484</v>
      </c>
      <c r="Q3335" s="499"/>
    </row>
    <row r="3336" spans="9:17">
      <c r="I3336" s="578" t="str">
        <f t="shared" si="198"/>
        <v>2010dhbNelson MarlboroughNeo</v>
      </c>
      <c r="J3336" s="604">
        <v>2010</v>
      </c>
      <c r="K3336" s="604" t="s">
        <v>448</v>
      </c>
      <c r="L3336" s="604" t="s">
        <v>99</v>
      </c>
      <c r="M3336" s="604">
        <v>7</v>
      </c>
      <c r="N3336" s="604">
        <v>1725</v>
      </c>
      <c r="O3336" s="604">
        <v>4.0999999999999996</v>
      </c>
      <c r="P3336" s="604" t="s">
        <v>484</v>
      </c>
      <c r="Q3336" s="499"/>
    </row>
    <row r="3337" spans="9:17">
      <c r="I3337" s="578" t="str">
        <f t="shared" si="198"/>
        <v>2010dhbWest CoastNeo</v>
      </c>
      <c r="J3337" s="604">
        <v>2010</v>
      </c>
      <c r="K3337" s="604" t="s">
        <v>448</v>
      </c>
      <c r="L3337" s="604" t="s">
        <v>100</v>
      </c>
      <c r="M3337" s="604">
        <v>2</v>
      </c>
      <c r="N3337" s="604">
        <v>432</v>
      </c>
      <c r="O3337" s="604">
        <v>4.5999999999999996</v>
      </c>
      <c r="P3337" s="604" t="s">
        <v>484</v>
      </c>
      <c r="Q3337" s="499"/>
    </row>
    <row r="3338" spans="9:17">
      <c r="I3338" s="578" t="str">
        <f t="shared" si="198"/>
        <v>2010dhbCanterburyNeo</v>
      </c>
      <c r="J3338" s="604">
        <v>2010</v>
      </c>
      <c r="K3338" s="604" t="s">
        <v>448</v>
      </c>
      <c r="L3338" s="604" t="s">
        <v>101</v>
      </c>
      <c r="M3338" s="604">
        <v>28</v>
      </c>
      <c r="N3338" s="604">
        <v>6688</v>
      </c>
      <c r="O3338" s="604">
        <v>4.2</v>
      </c>
      <c r="P3338" s="604" t="s">
        <v>484</v>
      </c>
      <c r="Q3338" s="499"/>
    </row>
    <row r="3339" spans="9:17">
      <c r="I3339" s="578" t="str">
        <f t="shared" si="198"/>
        <v>2010dhbSouth CanterburyNeo</v>
      </c>
      <c r="J3339" s="604">
        <v>2010</v>
      </c>
      <c r="K3339" s="604" t="s">
        <v>448</v>
      </c>
      <c r="L3339" s="604" t="s">
        <v>102</v>
      </c>
      <c r="M3339" s="604">
        <v>3</v>
      </c>
      <c r="N3339" s="604">
        <v>627</v>
      </c>
      <c r="O3339" s="604">
        <v>4.8</v>
      </c>
      <c r="P3339" s="604" t="s">
        <v>484</v>
      </c>
      <c r="Q3339" s="499"/>
    </row>
    <row r="3340" spans="9:17">
      <c r="I3340" s="578" t="str">
        <f t="shared" si="198"/>
        <v>2010dhbSouthernNeo</v>
      </c>
      <c r="J3340" s="604">
        <v>2010</v>
      </c>
      <c r="K3340" s="604" t="s">
        <v>448</v>
      </c>
      <c r="L3340" s="604" t="s">
        <v>103</v>
      </c>
      <c r="M3340" s="604">
        <v>11</v>
      </c>
      <c r="N3340" s="604">
        <v>3772</v>
      </c>
      <c r="O3340" s="604">
        <v>2.9</v>
      </c>
      <c r="P3340" s="604" t="s">
        <v>484</v>
      </c>
      <c r="Q3340" s="499"/>
    </row>
    <row r="3341" spans="9:17">
      <c r="I3341" s="578" t="str">
        <f t="shared" si="198"/>
        <v>2010dhbUnknownNeo</v>
      </c>
      <c r="J3341" s="604">
        <v>2010</v>
      </c>
      <c r="K3341" s="604" t="s">
        <v>448</v>
      </c>
      <c r="L3341" s="604" t="s">
        <v>63</v>
      </c>
      <c r="M3341" s="604">
        <v>1</v>
      </c>
      <c r="N3341" s="604">
        <v>307</v>
      </c>
      <c r="O3341" s="604" t="s">
        <v>119</v>
      </c>
      <c r="P3341" s="604" t="s">
        <v>484</v>
      </c>
      <c r="Q3341" s="499"/>
    </row>
    <row r="3342" spans="9:17">
      <c r="I3342" s="578" t="str">
        <f t="shared" si="198"/>
        <v>2011dhbNorthlandNeo</v>
      </c>
      <c r="J3342" s="604">
        <v>2011</v>
      </c>
      <c r="K3342" s="604" t="s">
        <v>448</v>
      </c>
      <c r="L3342" s="604" t="s">
        <v>85</v>
      </c>
      <c r="M3342" s="604">
        <v>8</v>
      </c>
      <c r="N3342" s="604">
        <v>2261</v>
      </c>
      <c r="O3342" s="604">
        <v>3.5</v>
      </c>
      <c r="P3342" s="604" t="s">
        <v>484</v>
      </c>
      <c r="Q3342" s="499"/>
    </row>
    <row r="3343" spans="9:17">
      <c r="I3343" s="578" t="str">
        <f t="shared" si="198"/>
        <v>2011dhbWaitemataNeo</v>
      </c>
      <c r="J3343" s="604">
        <v>2011</v>
      </c>
      <c r="K3343" s="604" t="s">
        <v>448</v>
      </c>
      <c r="L3343" s="604" t="s">
        <v>86</v>
      </c>
      <c r="M3343" s="604">
        <v>11</v>
      </c>
      <c r="N3343" s="604">
        <v>7880</v>
      </c>
      <c r="O3343" s="604">
        <v>1.4</v>
      </c>
      <c r="P3343" s="604" t="s">
        <v>484</v>
      </c>
      <c r="Q3343" s="499"/>
    </row>
    <row r="3344" spans="9:17">
      <c r="I3344" s="578" t="str">
        <f t="shared" si="198"/>
        <v>2011dhbAucklandNeo</v>
      </c>
      <c r="J3344" s="604">
        <v>2011</v>
      </c>
      <c r="K3344" s="604" t="s">
        <v>448</v>
      </c>
      <c r="L3344" s="604" t="s">
        <v>87</v>
      </c>
      <c r="M3344" s="604">
        <v>13</v>
      </c>
      <c r="N3344" s="604">
        <v>6524</v>
      </c>
      <c r="O3344" s="604">
        <v>2</v>
      </c>
      <c r="P3344" s="604" t="s">
        <v>484</v>
      </c>
      <c r="Q3344" s="499"/>
    </row>
    <row r="3345" spans="9:17">
      <c r="I3345" s="578" t="str">
        <f t="shared" si="198"/>
        <v>2011dhbCounties ManukauNeo</v>
      </c>
      <c r="J3345" s="604">
        <v>2011</v>
      </c>
      <c r="K3345" s="604" t="s">
        <v>448</v>
      </c>
      <c r="L3345" s="604" t="s">
        <v>88</v>
      </c>
      <c r="M3345" s="604">
        <v>41</v>
      </c>
      <c r="N3345" s="604">
        <v>8608</v>
      </c>
      <c r="O3345" s="604">
        <v>4.8</v>
      </c>
      <c r="P3345" s="604" t="s">
        <v>484</v>
      </c>
      <c r="Q3345" s="499"/>
    </row>
    <row r="3346" spans="9:17">
      <c r="I3346" s="578" t="str">
        <f t="shared" si="198"/>
        <v>2011dhbWaikatoNeo</v>
      </c>
      <c r="J3346" s="604">
        <v>2011</v>
      </c>
      <c r="K3346" s="604" t="s">
        <v>448</v>
      </c>
      <c r="L3346" s="604" t="s">
        <v>89</v>
      </c>
      <c r="M3346" s="604">
        <v>24</v>
      </c>
      <c r="N3346" s="604">
        <v>5401</v>
      </c>
      <c r="O3346" s="604">
        <v>4.4000000000000004</v>
      </c>
      <c r="P3346" s="604" t="s">
        <v>484</v>
      </c>
      <c r="Q3346" s="499"/>
    </row>
    <row r="3347" spans="9:17">
      <c r="I3347" s="578" t="str">
        <f t="shared" si="198"/>
        <v>2011dhbLakesNeo</v>
      </c>
      <c r="J3347" s="604">
        <v>2011</v>
      </c>
      <c r="K3347" s="604" t="s">
        <v>448</v>
      </c>
      <c r="L3347" s="604" t="s">
        <v>90</v>
      </c>
      <c r="M3347" s="604">
        <v>5</v>
      </c>
      <c r="N3347" s="604">
        <v>1552</v>
      </c>
      <c r="O3347" s="604">
        <v>3.2</v>
      </c>
      <c r="P3347" s="604" t="s">
        <v>484</v>
      </c>
      <c r="Q3347" s="499"/>
    </row>
    <row r="3348" spans="9:17">
      <c r="I3348" s="578" t="str">
        <f t="shared" si="198"/>
        <v>2011dhbBay of PlentyNeo</v>
      </c>
      <c r="J3348" s="604">
        <v>2011</v>
      </c>
      <c r="K3348" s="604" t="s">
        <v>448</v>
      </c>
      <c r="L3348" s="604" t="s">
        <v>91</v>
      </c>
      <c r="M3348" s="604">
        <v>8</v>
      </c>
      <c r="N3348" s="604">
        <v>2975</v>
      </c>
      <c r="O3348" s="604">
        <v>2.7</v>
      </c>
      <c r="P3348" s="604" t="s">
        <v>484</v>
      </c>
      <c r="Q3348" s="499"/>
    </row>
    <row r="3349" spans="9:17">
      <c r="I3349" s="578" t="str">
        <f t="shared" si="198"/>
        <v>2011dhbTairawhitiNeo</v>
      </c>
      <c r="J3349" s="604">
        <v>2011</v>
      </c>
      <c r="K3349" s="604" t="s">
        <v>448</v>
      </c>
      <c r="L3349" s="604" t="s">
        <v>433</v>
      </c>
      <c r="M3349" s="604">
        <v>4</v>
      </c>
      <c r="N3349" s="604">
        <v>756</v>
      </c>
      <c r="O3349" s="604">
        <v>5.3</v>
      </c>
      <c r="P3349" s="604" t="s">
        <v>484</v>
      </c>
      <c r="Q3349" s="499"/>
    </row>
    <row r="3350" spans="9:17">
      <c r="I3350" s="578" t="str">
        <f t="shared" si="198"/>
        <v>2011dhbHawke's BayNeo</v>
      </c>
      <c r="J3350" s="604">
        <v>2011</v>
      </c>
      <c r="K3350" s="604" t="s">
        <v>448</v>
      </c>
      <c r="L3350" s="604" t="s">
        <v>92</v>
      </c>
      <c r="M3350" s="604">
        <v>11</v>
      </c>
      <c r="N3350" s="604">
        <v>2250</v>
      </c>
      <c r="O3350" s="604">
        <v>4.9000000000000004</v>
      </c>
      <c r="P3350" s="604" t="s">
        <v>484</v>
      </c>
      <c r="Q3350" s="499"/>
    </row>
    <row r="3351" spans="9:17">
      <c r="I3351" s="578" t="str">
        <f t="shared" si="198"/>
        <v>2011dhbTaranakiNeo</v>
      </c>
      <c r="J3351" s="604">
        <v>2011</v>
      </c>
      <c r="K3351" s="604" t="s">
        <v>448</v>
      </c>
      <c r="L3351" s="604" t="s">
        <v>93</v>
      </c>
      <c r="M3351" s="604">
        <v>6</v>
      </c>
      <c r="N3351" s="604">
        <v>1567</v>
      </c>
      <c r="O3351" s="604">
        <v>3.8</v>
      </c>
      <c r="P3351" s="604" t="s">
        <v>484</v>
      </c>
      <c r="Q3351" s="499"/>
    </row>
    <row r="3352" spans="9:17">
      <c r="I3352" s="578" t="str">
        <f t="shared" si="198"/>
        <v>2011dhbMidCentralNeo</v>
      </c>
      <c r="J3352" s="604">
        <v>2011</v>
      </c>
      <c r="K3352" s="604" t="s">
        <v>448</v>
      </c>
      <c r="L3352" s="604" t="s">
        <v>94</v>
      </c>
      <c r="M3352" s="604">
        <v>8</v>
      </c>
      <c r="N3352" s="604">
        <v>2364</v>
      </c>
      <c r="O3352" s="604">
        <v>3.4</v>
      </c>
      <c r="P3352" s="604" t="s">
        <v>484</v>
      </c>
      <c r="Q3352" s="499"/>
    </row>
    <row r="3353" spans="9:17">
      <c r="I3353" s="578" t="str">
        <f t="shared" si="198"/>
        <v>2011dhbWhanganuiNeo</v>
      </c>
      <c r="J3353" s="604">
        <v>2011</v>
      </c>
      <c r="K3353" s="604" t="s">
        <v>448</v>
      </c>
      <c r="L3353" s="604" t="s">
        <v>95</v>
      </c>
      <c r="M3353" s="604">
        <v>5</v>
      </c>
      <c r="N3353" s="604">
        <v>827</v>
      </c>
      <c r="O3353" s="604">
        <v>6</v>
      </c>
      <c r="P3353" s="604" t="s">
        <v>484</v>
      </c>
      <c r="Q3353" s="499"/>
    </row>
    <row r="3354" spans="9:17">
      <c r="I3354" s="578" t="str">
        <f t="shared" si="198"/>
        <v>2011dhbCapital &amp; CoastNeo</v>
      </c>
      <c r="J3354" s="604">
        <v>2011</v>
      </c>
      <c r="K3354" s="604" t="s">
        <v>448</v>
      </c>
      <c r="L3354" s="604" t="s">
        <v>96</v>
      </c>
      <c r="M3354" s="604">
        <v>10</v>
      </c>
      <c r="N3354" s="604">
        <v>3882</v>
      </c>
      <c r="O3354" s="604">
        <v>2.6</v>
      </c>
      <c r="P3354" s="604" t="s">
        <v>484</v>
      </c>
      <c r="Q3354" s="499"/>
    </row>
    <row r="3355" spans="9:17">
      <c r="I3355" s="578" t="str">
        <f t="shared" si="198"/>
        <v>2011dhbHutt ValleyNeo</v>
      </c>
      <c r="J3355" s="604">
        <v>2011</v>
      </c>
      <c r="K3355" s="604" t="s">
        <v>448</v>
      </c>
      <c r="L3355" s="604" t="s">
        <v>97</v>
      </c>
      <c r="M3355" s="604">
        <v>4</v>
      </c>
      <c r="N3355" s="604">
        <v>2052</v>
      </c>
      <c r="O3355" s="604">
        <v>1.9</v>
      </c>
      <c r="P3355" s="604" t="s">
        <v>484</v>
      </c>
      <c r="Q3355" s="499"/>
    </row>
    <row r="3356" spans="9:17">
      <c r="I3356" s="578" t="str">
        <f t="shared" si="198"/>
        <v>2011dhbWairarapaNeo</v>
      </c>
      <c r="J3356" s="604">
        <v>2011</v>
      </c>
      <c r="K3356" s="604" t="s">
        <v>448</v>
      </c>
      <c r="L3356" s="604" t="s">
        <v>98</v>
      </c>
      <c r="M3356" s="604">
        <v>1</v>
      </c>
      <c r="N3356" s="604">
        <v>534</v>
      </c>
      <c r="O3356" s="604">
        <v>1.9</v>
      </c>
      <c r="P3356" s="604" t="s">
        <v>484</v>
      </c>
      <c r="Q3356" s="499"/>
    </row>
    <row r="3357" spans="9:17">
      <c r="I3357" s="578" t="str">
        <f t="shared" si="198"/>
        <v>2011dhbNelson MarlboroughNeo</v>
      </c>
      <c r="J3357" s="604">
        <v>2011</v>
      </c>
      <c r="K3357" s="604" t="s">
        <v>448</v>
      </c>
      <c r="L3357" s="604" t="s">
        <v>99</v>
      </c>
      <c r="M3357" s="604">
        <v>1</v>
      </c>
      <c r="N3357" s="604">
        <v>1647</v>
      </c>
      <c r="O3357" s="604">
        <v>0.6</v>
      </c>
      <c r="P3357" s="604" t="s">
        <v>484</v>
      </c>
      <c r="Q3357" s="499"/>
    </row>
    <row r="3358" spans="9:17">
      <c r="I3358" s="578" t="str">
        <f t="shared" si="198"/>
        <v>2011dhbWest CoastNeo</v>
      </c>
      <c r="J3358" s="604">
        <v>2011</v>
      </c>
      <c r="K3358" s="604" t="s">
        <v>448</v>
      </c>
      <c r="L3358" s="604" t="s">
        <v>100</v>
      </c>
      <c r="M3358" s="604">
        <v>2</v>
      </c>
      <c r="N3358" s="604">
        <v>435</v>
      </c>
      <c r="O3358" s="604">
        <v>4.5999999999999996</v>
      </c>
      <c r="P3358" s="604" t="s">
        <v>484</v>
      </c>
      <c r="Q3358" s="499"/>
    </row>
    <row r="3359" spans="9:17">
      <c r="I3359" s="578" t="str">
        <f t="shared" si="198"/>
        <v>2011dhbCanterburyNeo</v>
      </c>
      <c r="J3359" s="604">
        <v>2011</v>
      </c>
      <c r="K3359" s="604" t="s">
        <v>448</v>
      </c>
      <c r="L3359" s="604" t="s">
        <v>101</v>
      </c>
      <c r="M3359" s="604">
        <v>19</v>
      </c>
      <c r="N3359" s="604">
        <v>6121</v>
      </c>
      <c r="O3359" s="604">
        <v>3.1</v>
      </c>
      <c r="P3359" s="604" t="s">
        <v>484</v>
      </c>
      <c r="Q3359" s="499"/>
    </row>
    <row r="3360" spans="9:17">
      <c r="I3360" s="578" t="str">
        <f t="shared" si="198"/>
        <v>2011dhbSouth CanterburyNeo</v>
      </c>
      <c r="J3360" s="604">
        <v>2011</v>
      </c>
      <c r="K3360" s="604" t="s">
        <v>448</v>
      </c>
      <c r="L3360" s="604" t="s">
        <v>102</v>
      </c>
      <c r="M3360" s="604">
        <v>5</v>
      </c>
      <c r="N3360" s="604">
        <v>586</v>
      </c>
      <c r="O3360" s="604">
        <v>8.5</v>
      </c>
      <c r="P3360" s="604" t="s">
        <v>484</v>
      </c>
      <c r="Q3360" s="499"/>
    </row>
    <row r="3361" spans="9:17">
      <c r="I3361" s="578" t="str">
        <f t="shared" si="198"/>
        <v>2011dhbSouthernNeo</v>
      </c>
      <c r="J3361" s="604">
        <v>2011</v>
      </c>
      <c r="K3361" s="604" t="s">
        <v>448</v>
      </c>
      <c r="L3361" s="604" t="s">
        <v>103</v>
      </c>
      <c r="M3361" s="604">
        <v>10</v>
      </c>
      <c r="N3361" s="604">
        <v>3710</v>
      </c>
      <c r="O3361" s="604">
        <v>2.7</v>
      </c>
      <c r="P3361" s="604" t="s">
        <v>484</v>
      </c>
      <c r="Q3361" s="499"/>
    </row>
    <row r="3362" spans="9:17">
      <c r="I3362" s="578" t="str">
        <f t="shared" si="198"/>
        <v>2011dhbUnknownNeo</v>
      </c>
      <c r="J3362" s="604">
        <v>2011</v>
      </c>
      <c r="K3362" s="604" t="s">
        <v>448</v>
      </c>
      <c r="L3362" s="604" t="s">
        <v>63</v>
      </c>
      <c r="M3362" s="604">
        <v>1</v>
      </c>
      <c r="N3362" s="604">
        <v>242</v>
      </c>
      <c r="O3362" s="604" t="s">
        <v>119</v>
      </c>
      <c r="P3362" s="604" t="s">
        <v>484</v>
      </c>
      <c r="Q3362" s="499"/>
    </row>
    <row r="3363" spans="9:17">
      <c r="I3363" s="578" t="str">
        <f t="shared" si="198"/>
        <v>2012dhbNorthlandNeo</v>
      </c>
      <c r="J3363" s="604">
        <v>2012</v>
      </c>
      <c r="K3363" s="604" t="s">
        <v>448</v>
      </c>
      <c r="L3363" s="604" t="s">
        <v>85</v>
      </c>
      <c r="M3363" s="604">
        <v>7</v>
      </c>
      <c r="N3363" s="604">
        <v>2387</v>
      </c>
      <c r="O3363" s="604">
        <v>2.9</v>
      </c>
      <c r="P3363" s="604" t="s">
        <v>484</v>
      </c>
      <c r="Q3363" s="499"/>
    </row>
    <row r="3364" spans="9:17">
      <c r="I3364" s="578" t="str">
        <f t="shared" si="198"/>
        <v>2012dhbWaitemataNeo</v>
      </c>
      <c r="J3364" s="604">
        <v>2012</v>
      </c>
      <c r="K3364" s="604" t="s">
        <v>448</v>
      </c>
      <c r="L3364" s="604" t="s">
        <v>86</v>
      </c>
      <c r="M3364" s="604">
        <v>16</v>
      </c>
      <c r="N3364" s="604">
        <v>7953</v>
      </c>
      <c r="O3364" s="604">
        <v>2</v>
      </c>
      <c r="P3364" s="604" t="s">
        <v>484</v>
      </c>
      <c r="Q3364" s="499"/>
    </row>
    <row r="3365" spans="9:17">
      <c r="I3365" s="578" t="str">
        <f t="shared" si="198"/>
        <v>2012dhbAucklandNeo</v>
      </c>
      <c r="J3365" s="604">
        <v>2012</v>
      </c>
      <c r="K3365" s="604" t="s">
        <v>448</v>
      </c>
      <c r="L3365" s="604" t="s">
        <v>87</v>
      </c>
      <c r="M3365" s="604">
        <v>29</v>
      </c>
      <c r="N3365" s="604">
        <v>6556</v>
      </c>
      <c r="O3365" s="604">
        <v>4.4000000000000004</v>
      </c>
      <c r="P3365" s="604" t="s">
        <v>484</v>
      </c>
      <c r="Q3365" s="499"/>
    </row>
    <row r="3366" spans="9:17">
      <c r="I3366" s="578" t="str">
        <f t="shared" si="198"/>
        <v>2012dhbCounties ManukauNeo</v>
      </c>
      <c r="J3366" s="604">
        <v>2012</v>
      </c>
      <c r="K3366" s="604" t="s">
        <v>448</v>
      </c>
      <c r="L3366" s="604" t="s">
        <v>88</v>
      </c>
      <c r="M3366" s="604">
        <v>40</v>
      </c>
      <c r="N3366" s="604">
        <v>8748</v>
      </c>
      <c r="O3366" s="604">
        <v>4.5999999999999996</v>
      </c>
      <c r="P3366" s="604" t="s">
        <v>484</v>
      </c>
      <c r="Q3366" s="499"/>
    </row>
    <row r="3367" spans="9:17">
      <c r="I3367" s="578" t="str">
        <f t="shared" si="198"/>
        <v>2012dhbWaikatoNeo</v>
      </c>
      <c r="J3367" s="604">
        <v>2012</v>
      </c>
      <c r="K3367" s="604" t="s">
        <v>448</v>
      </c>
      <c r="L3367" s="604" t="s">
        <v>89</v>
      </c>
      <c r="M3367" s="604">
        <v>22</v>
      </c>
      <c r="N3367" s="604">
        <v>5485</v>
      </c>
      <c r="O3367" s="604">
        <v>4</v>
      </c>
      <c r="P3367" s="604" t="s">
        <v>484</v>
      </c>
      <c r="Q3367" s="499"/>
    </row>
    <row r="3368" spans="9:17">
      <c r="I3368" s="578" t="str">
        <f t="shared" si="198"/>
        <v>2012dhbLakesNeo</v>
      </c>
      <c r="J3368" s="604">
        <v>2012</v>
      </c>
      <c r="K3368" s="604" t="s">
        <v>448</v>
      </c>
      <c r="L3368" s="604" t="s">
        <v>90</v>
      </c>
      <c r="M3368" s="604">
        <v>4</v>
      </c>
      <c r="N3368" s="604">
        <v>1517</v>
      </c>
      <c r="O3368" s="604">
        <v>2.6</v>
      </c>
      <c r="P3368" s="604" t="s">
        <v>484</v>
      </c>
      <c r="Q3368" s="499"/>
    </row>
    <row r="3369" spans="9:17">
      <c r="I3369" s="578" t="str">
        <f t="shared" si="198"/>
        <v>2012dhbBay of PlentyNeo</v>
      </c>
      <c r="J3369" s="604">
        <v>2012</v>
      </c>
      <c r="K3369" s="604" t="s">
        <v>448</v>
      </c>
      <c r="L3369" s="604" t="s">
        <v>91</v>
      </c>
      <c r="M3369" s="604">
        <v>15</v>
      </c>
      <c r="N3369" s="604">
        <v>2978</v>
      </c>
      <c r="O3369" s="604">
        <v>5</v>
      </c>
      <c r="P3369" s="604" t="s">
        <v>484</v>
      </c>
      <c r="Q3369" s="499"/>
    </row>
    <row r="3370" spans="9:17">
      <c r="I3370" s="578" t="str">
        <f t="shared" si="198"/>
        <v>2012dhbTairawhitiNeo</v>
      </c>
      <c r="J3370" s="604">
        <v>2012</v>
      </c>
      <c r="K3370" s="604" t="s">
        <v>448</v>
      </c>
      <c r="L3370" s="604" t="s">
        <v>433</v>
      </c>
      <c r="M3370" s="604">
        <v>3</v>
      </c>
      <c r="N3370" s="604">
        <v>721</v>
      </c>
      <c r="O3370" s="604">
        <v>4.2</v>
      </c>
      <c r="P3370" s="604" t="s">
        <v>484</v>
      </c>
      <c r="Q3370" s="499"/>
    </row>
    <row r="3371" spans="9:17">
      <c r="I3371" s="578" t="str">
        <f t="shared" si="198"/>
        <v>2012dhbHawke's BayNeo</v>
      </c>
      <c r="J3371" s="604">
        <v>2012</v>
      </c>
      <c r="K3371" s="604" t="s">
        <v>448</v>
      </c>
      <c r="L3371" s="604" t="s">
        <v>92</v>
      </c>
      <c r="M3371" s="604">
        <v>3</v>
      </c>
      <c r="N3371" s="604">
        <v>2284</v>
      </c>
      <c r="O3371" s="604">
        <v>1.3</v>
      </c>
      <c r="P3371" s="604" t="s">
        <v>484</v>
      </c>
      <c r="Q3371" s="499"/>
    </row>
    <row r="3372" spans="9:17">
      <c r="I3372" s="578" t="str">
        <f t="shared" si="198"/>
        <v>2012dhbTaranakiNeo</v>
      </c>
      <c r="J3372" s="604">
        <v>2012</v>
      </c>
      <c r="K3372" s="604" t="s">
        <v>448</v>
      </c>
      <c r="L3372" s="604" t="s">
        <v>93</v>
      </c>
      <c r="M3372" s="604">
        <v>5</v>
      </c>
      <c r="N3372" s="604">
        <v>1553</v>
      </c>
      <c r="O3372" s="604">
        <v>3.2</v>
      </c>
      <c r="P3372" s="604" t="s">
        <v>484</v>
      </c>
      <c r="Q3372" s="499"/>
    </row>
    <row r="3373" spans="9:17">
      <c r="I3373" s="578" t="str">
        <f t="shared" si="198"/>
        <v>2012dhbMidCentralNeo</v>
      </c>
      <c r="J3373" s="604">
        <v>2012</v>
      </c>
      <c r="K3373" s="604" t="s">
        <v>448</v>
      </c>
      <c r="L3373" s="604" t="s">
        <v>94</v>
      </c>
      <c r="M3373" s="604">
        <v>8</v>
      </c>
      <c r="N3373" s="604">
        <v>2182</v>
      </c>
      <c r="O3373" s="604">
        <v>3.7</v>
      </c>
      <c r="P3373" s="604" t="s">
        <v>484</v>
      </c>
      <c r="Q3373" s="499"/>
    </row>
    <row r="3374" spans="9:17">
      <c r="I3374" s="578" t="str">
        <f t="shared" si="198"/>
        <v>2012dhbWhanganuiNeo</v>
      </c>
      <c r="J3374" s="604">
        <v>2012</v>
      </c>
      <c r="K3374" s="604" t="s">
        <v>448</v>
      </c>
      <c r="L3374" s="604" t="s">
        <v>95</v>
      </c>
      <c r="M3374" s="604">
        <v>3</v>
      </c>
      <c r="N3374" s="604">
        <v>845</v>
      </c>
      <c r="O3374" s="604">
        <v>3.6</v>
      </c>
      <c r="P3374" s="604" t="s">
        <v>484</v>
      </c>
      <c r="Q3374" s="499"/>
    </row>
    <row r="3375" spans="9:17">
      <c r="I3375" s="578" t="str">
        <f t="shared" si="198"/>
        <v>2012dhbCapital &amp; CoastNeo</v>
      </c>
      <c r="J3375" s="604">
        <v>2012</v>
      </c>
      <c r="K3375" s="604" t="s">
        <v>448</v>
      </c>
      <c r="L3375" s="604" t="s">
        <v>96</v>
      </c>
      <c r="M3375" s="604">
        <v>5</v>
      </c>
      <c r="N3375" s="604">
        <v>3833</v>
      </c>
      <c r="O3375" s="604">
        <v>1.3</v>
      </c>
      <c r="P3375" s="604" t="s">
        <v>484</v>
      </c>
      <c r="Q3375" s="499"/>
    </row>
    <row r="3376" spans="9:17">
      <c r="I3376" s="578" t="str">
        <f t="shared" si="198"/>
        <v>2012dhbHutt ValleyNeo</v>
      </c>
      <c r="J3376" s="604">
        <v>2012</v>
      </c>
      <c r="K3376" s="604" t="s">
        <v>448</v>
      </c>
      <c r="L3376" s="604" t="s">
        <v>97</v>
      </c>
      <c r="M3376" s="604">
        <v>4</v>
      </c>
      <c r="N3376" s="604">
        <v>2041</v>
      </c>
      <c r="O3376" s="604">
        <v>2</v>
      </c>
      <c r="P3376" s="604" t="s">
        <v>484</v>
      </c>
      <c r="Q3376" s="499"/>
    </row>
    <row r="3377" spans="9:17">
      <c r="I3377" s="578" t="str">
        <f t="shared" si="198"/>
        <v>2012dhbWairarapaNeo</v>
      </c>
      <c r="J3377" s="604">
        <v>2012</v>
      </c>
      <c r="K3377" s="604" t="s">
        <v>448</v>
      </c>
      <c r="L3377" s="604" t="s">
        <v>98</v>
      </c>
      <c r="M3377" s="604">
        <v>0</v>
      </c>
      <c r="N3377" s="604">
        <v>513</v>
      </c>
      <c r="O3377" s="604">
        <v>0</v>
      </c>
      <c r="P3377" s="604" t="s">
        <v>484</v>
      </c>
      <c r="Q3377" s="499"/>
    </row>
    <row r="3378" spans="9:17">
      <c r="I3378" s="578" t="str">
        <f t="shared" si="198"/>
        <v>2012dhbNelson MarlboroughNeo</v>
      </c>
      <c r="J3378" s="604">
        <v>2012</v>
      </c>
      <c r="K3378" s="604" t="s">
        <v>448</v>
      </c>
      <c r="L3378" s="604" t="s">
        <v>99</v>
      </c>
      <c r="M3378" s="604">
        <v>3</v>
      </c>
      <c r="N3378" s="604">
        <v>1541</v>
      </c>
      <c r="O3378" s="604">
        <v>1.9</v>
      </c>
      <c r="P3378" s="604" t="s">
        <v>484</v>
      </c>
      <c r="Q3378" s="499"/>
    </row>
    <row r="3379" spans="9:17">
      <c r="I3379" s="578" t="str">
        <f t="shared" si="198"/>
        <v>2012dhbWest CoastNeo</v>
      </c>
      <c r="J3379" s="604">
        <v>2012</v>
      </c>
      <c r="K3379" s="604" t="s">
        <v>448</v>
      </c>
      <c r="L3379" s="604" t="s">
        <v>100</v>
      </c>
      <c r="M3379" s="604">
        <v>2</v>
      </c>
      <c r="N3379" s="604">
        <v>419</v>
      </c>
      <c r="O3379" s="604">
        <v>4.8</v>
      </c>
      <c r="P3379" s="604" t="s">
        <v>484</v>
      </c>
      <c r="Q3379" s="499"/>
    </row>
    <row r="3380" spans="9:17">
      <c r="I3380" s="578" t="str">
        <f t="shared" si="198"/>
        <v>2012dhbCanterburyNeo</v>
      </c>
      <c r="J3380" s="604">
        <v>2012</v>
      </c>
      <c r="K3380" s="604" t="s">
        <v>448</v>
      </c>
      <c r="L3380" s="604" t="s">
        <v>101</v>
      </c>
      <c r="M3380" s="604">
        <v>15</v>
      </c>
      <c r="N3380" s="604">
        <v>6041</v>
      </c>
      <c r="O3380" s="604">
        <v>2.5</v>
      </c>
      <c r="P3380" s="604" t="s">
        <v>484</v>
      </c>
      <c r="Q3380" s="499"/>
    </row>
    <row r="3381" spans="9:17">
      <c r="I3381" s="578" t="str">
        <f t="shared" si="198"/>
        <v>2012dhbSouth CanterburyNeo</v>
      </c>
      <c r="J3381" s="604">
        <v>2012</v>
      </c>
      <c r="K3381" s="604" t="s">
        <v>448</v>
      </c>
      <c r="L3381" s="604" t="s">
        <v>102</v>
      </c>
      <c r="M3381" s="604">
        <v>1</v>
      </c>
      <c r="N3381" s="604">
        <v>626</v>
      </c>
      <c r="O3381" s="604">
        <v>1.6</v>
      </c>
      <c r="P3381" s="604" t="s">
        <v>484</v>
      </c>
      <c r="Q3381" s="499"/>
    </row>
    <row r="3382" spans="9:17">
      <c r="I3382" s="578" t="str">
        <f t="shared" si="198"/>
        <v>2012dhbSouthernNeo</v>
      </c>
      <c r="J3382" s="604">
        <v>2012</v>
      </c>
      <c r="K3382" s="604" t="s">
        <v>448</v>
      </c>
      <c r="L3382" s="604" t="s">
        <v>103</v>
      </c>
      <c r="M3382" s="604">
        <v>9</v>
      </c>
      <c r="N3382" s="604">
        <v>3620</v>
      </c>
      <c r="O3382" s="604">
        <v>2.5</v>
      </c>
      <c r="P3382" s="604" t="s">
        <v>484</v>
      </c>
      <c r="Q3382" s="499"/>
    </row>
    <row r="3383" spans="9:17">
      <c r="I3383" s="578" t="str">
        <f t="shared" si="198"/>
        <v>2012dhbUnknownNeo</v>
      </c>
      <c r="J3383" s="604">
        <v>2012</v>
      </c>
      <c r="K3383" s="604" t="s">
        <v>448</v>
      </c>
      <c r="L3383" s="604" t="s">
        <v>63</v>
      </c>
      <c r="M3383" s="604">
        <v>0</v>
      </c>
      <c r="N3383" s="604">
        <v>192</v>
      </c>
      <c r="O3383" s="604" t="s">
        <v>119</v>
      </c>
      <c r="P3383" s="604" t="s">
        <v>484</v>
      </c>
      <c r="Q3383" s="499"/>
    </row>
    <row r="3384" spans="9:17">
      <c r="I3384" s="578" t="str">
        <f t="shared" si="198"/>
        <v>2013dhbNorthlandNeo</v>
      </c>
      <c r="J3384" s="604">
        <v>2013</v>
      </c>
      <c r="K3384" s="604" t="s">
        <v>448</v>
      </c>
      <c r="L3384" s="604" t="s">
        <v>85</v>
      </c>
      <c r="M3384" s="604">
        <v>10</v>
      </c>
      <c r="N3384" s="604">
        <v>2196</v>
      </c>
      <c r="O3384" s="604">
        <v>4.5999999999999996</v>
      </c>
      <c r="P3384" s="604" t="s">
        <v>484</v>
      </c>
      <c r="Q3384" s="499"/>
    </row>
    <row r="3385" spans="9:17">
      <c r="I3385" s="578" t="str">
        <f t="shared" si="198"/>
        <v>2013dhbWaitemataNeo</v>
      </c>
      <c r="J3385" s="604">
        <v>2013</v>
      </c>
      <c r="K3385" s="604" t="s">
        <v>448</v>
      </c>
      <c r="L3385" s="604" t="s">
        <v>86</v>
      </c>
      <c r="M3385" s="604">
        <v>16</v>
      </c>
      <c r="N3385" s="604">
        <v>7678</v>
      </c>
      <c r="O3385" s="604">
        <v>2.1</v>
      </c>
      <c r="P3385" s="604" t="s">
        <v>484</v>
      </c>
      <c r="Q3385" s="499"/>
    </row>
    <row r="3386" spans="9:17">
      <c r="I3386" s="578" t="str">
        <f t="shared" si="198"/>
        <v>2013dhbAucklandNeo</v>
      </c>
      <c r="J3386" s="604">
        <v>2013</v>
      </c>
      <c r="K3386" s="604" t="s">
        <v>448</v>
      </c>
      <c r="L3386" s="604" t="s">
        <v>87</v>
      </c>
      <c r="M3386" s="604">
        <v>20</v>
      </c>
      <c r="N3386" s="604">
        <v>6215</v>
      </c>
      <c r="O3386" s="604">
        <v>3.2</v>
      </c>
      <c r="P3386" s="604" t="s">
        <v>484</v>
      </c>
      <c r="Q3386" s="499"/>
    </row>
    <row r="3387" spans="9:17">
      <c r="I3387" s="578" t="str">
        <f t="shared" si="198"/>
        <v>2013dhbCounties ManukauNeo</v>
      </c>
      <c r="J3387" s="604">
        <v>2013</v>
      </c>
      <c r="K3387" s="604" t="s">
        <v>448</v>
      </c>
      <c r="L3387" s="604" t="s">
        <v>88</v>
      </c>
      <c r="M3387" s="604">
        <v>45</v>
      </c>
      <c r="N3387" s="604">
        <v>8350</v>
      </c>
      <c r="O3387" s="604">
        <v>5.4</v>
      </c>
      <c r="P3387" s="604" t="s">
        <v>484</v>
      </c>
      <c r="Q3387" s="499"/>
    </row>
    <row r="3388" spans="9:17">
      <c r="I3388" s="578" t="str">
        <f t="shared" si="198"/>
        <v>2013dhbWaikatoNeo</v>
      </c>
      <c r="J3388" s="604">
        <v>2013</v>
      </c>
      <c r="K3388" s="604" t="s">
        <v>448</v>
      </c>
      <c r="L3388" s="604" t="s">
        <v>89</v>
      </c>
      <c r="M3388" s="604">
        <v>17</v>
      </c>
      <c r="N3388" s="604">
        <v>5287</v>
      </c>
      <c r="O3388" s="604">
        <v>3.2</v>
      </c>
      <c r="P3388" s="604" t="s">
        <v>484</v>
      </c>
      <c r="Q3388" s="499"/>
    </row>
    <row r="3389" spans="9:17">
      <c r="I3389" s="578" t="str">
        <f t="shared" si="198"/>
        <v>2013dhbLakesNeo</v>
      </c>
      <c r="J3389" s="604">
        <v>2013</v>
      </c>
      <c r="K3389" s="604" t="s">
        <v>448</v>
      </c>
      <c r="L3389" s="604" t="s">
        <v>90</v>
      </c>
      <c r="M3389" s="604">
        <v>6</v>
      </c>
      <c r="N3389" s="604">
        <v>1480</v>
      </c>
      <c r="O3389" s="604">
        <v>4.0999999999999996</v>
      </c>
      <c r="P3389" s="604" t="s">
        <v>484</v>
      </c>
      <c r="Q3389" s="499"/>
    </row>
    <row r="3390" spans="9:17">
      <c r="I3390" s="578" t="str">
        <f t="shared" si="198"/>
        <v>2013dhbBay of PlentyNeo</v>
      </c>
      <c r="J3390" s="604">
        <v>2013</v>
      </c>
      <c r="K3390" s="604" t="s">
        <v>448</v>
      </c>
      <c r="L3390" s="604" t="s">
        <v>91</v>
      </c>
      <c r="M3390" s="604">
        <v>11</v>
      </c>
      <c r="N3390" s="604">
        <v>2806</v>
      </c>
      <c r="O3390" s="604">
        <v>3.9</v>
      </c>
      <c r="P3390" s="604" t="s">
        <v>484</v>
      </c>
      <c r="Q3390" s="499"/>
    </row>
    <row r="3391" spans="9:17">
      <c r="I3391" s="578" t="str">
        <f t="shared" si="198"/>
        <v>2013dhbTairawhitiNeo</v>
      </c>
      <c r="J3391" s="604">
        <v>2013</v>
      </c>
      <c r="K3391" s="604" t="s">
        <v>448</v>
      </c>
      <c r="L3391" s="604" t="s">
        <v>433</v>
      </c>
      <c r="M3391" s="604">
        <v>2</v>
      </c>
      <c r="N3391" s="604">
        <v>714</v>
      </c>
      <c r="O3391" s="604">
        <v>2.8</v>
      </c>
      <c r="P3391" s="604" t="s">
        <v>484</v>
      </c>
      <c r="Q3391" s="499"/>
    </row>
    <row r="3392" spans="9:17">
      <c r="I3392" s="578" t="str">
        <f t="shared" si="198"/>
        <v>2013dhbHawke's BayNeo</v>
      </c>
      <c r="J3392" s="604">
        <v>2013</v>
      </c>
      <c r="K3392" s="604" t="s">
        <v>448</v>
      </c>
      <c r="L3392" s="604" t="s">
        <v>92</v>
      </c>
      <c r="M3392" s="604">
        <v>10</v>
      </c>
      <c r="N3392" s="604">
        <v>2207</v>
      </c>
      <c r="O3392" s="604">
        <v>4.5</v>
      </c>
      <c r="P3392" s="604" t="s">
        <v>484</v>
      </c>
      <c r="Q3392" s="499"/>
    </row>
    <row r="3393" spans="9:17">
      <c r="I3393" s="578" t="str">
        <f t="shared" si="198"/>
        <v>2013dhbTaranakiNeo</v>
      </c>
      <c r="J3393" s="604">
        <v>2013</v>
      </c>
      <c r="K3393" s="604" t="s">
        <v>448</v>
      </c>
      <c r="L3393" s="604" t="s">
        <v>93</v>
      </c>
      <c r="M3393" s="604">
        <v>5</v>
      </c>
      <c r="N3393" s="604">
        <v>1522</v>
      </c>
      <c r="O3393" s="604">
        <v>3.3</v>
      </c>
      <c r="P3393" s="604" t="s">
        <v>484</v>
      </c>
      <c r="Q3393" s="499"/>
    </row>
    <row r="3394" spans="9:17">
      <c r="I3394" s="578" t="str">
        <f t="shared" si="198"/>
        <v>2013dhbMidCentralNeo</v>
      </c>
      <c r="J3394" s="604">
        <v>2013</v>
      </c>
      <c r="K3394" s="604" t="s">
        <v>448</v>
      </c>
      <c r="L3394" s="604" t="s">
        <v>94</v>
      </c>
      <c r="M3394" s="604">
        <v>9</v>
      </c>
      <c r="N3394" s="604">
        <v>2145</v>
      </c>
      <c r="O3394" s="604">
        <v>4.2</v>
      </c>
      <c r="P3394" s="604" t="s">
        <v>484</v>
      </c>
      <c r="Q3394" s="499"/>
    </row>
    <row r="3395" spans="9:17">
      <c r="I3395" s="578" t="str">
        <f t="shared" si="198"/>
        <v>2013dhbWhanganuiNeo</v>
      </c>
      <c r="J3395" s="604">
        <v>2013</v>
      </c>
      <c r="K3395" s="604" t="s">
        <v>448</v>
      </c>
      <c r="L3395" s="604" t="s">
        <v>95</v>
      </c>
      <c r="M3395" s="604">
        <v>1</v>
      </c>
      <c r="N3395" s="604">
        <v>867</v>
      </c>
      <c r="O3395" s="604">
        <v>1.2</v>
      </c>
      <c r="P3395" s="604" t="s">
        <v>484</v>
      </c>
      <c r="Q3395" s="499"/>
    </row>
    <row r="3396" spans="9:17">
      <c r="I3396" s="578" t="str">
        <f t="shared" ref="I3396:I3459" si="199">J3396&amp;K3396&amp;L3396&amp;P3396</f>
        <v>2013dhbCapital &amp; CoastNeo</v>
      </c>
      <c r="J3396" s="604">
        <v>2013</v>
      </c>
      <c r="K3396" s="604" t="s">
        <v>448</v>
      </c>
      <c r="L3396" s="604" t="s">
        <v>96</v>
      </c>
      <c r="M3396" s="604">
        <v>6</v>
      </c>
      <c r="N3396" s="604">
        <v>3638</v>
      </c>
      <c r="O3396" s="604">
        <v>1.6</v>
      </c>
      <c r="P3396" s="604" t="s">
        <v>484</v>
      </c>
      <c r="Q3396" s="499"/>
    </row>
    <row r="3397" spans="9:17">
      <c r="I3397" s="578" t="str">
        <f t="shared" si="199"/>
        <v>2013dhbHutt ValleyNeo</v>
      </c>
      <c r="J3397" s="604">
        <v>2013</v>
      </c>
      <c r="K3397" s="604" t="s">
        <v>448</v>
      </c>
      <c r="L3397" s="604" t="s">
        <v>97</v>
      </c>
      <c r="M3397" s="604">
        <v>7</v>
      </c>
      <c r="N3397" s="604">
        <v>1903</v>
      </c>
      <c r="O3397" s="604">
        <v>3.7</v>
      </c>
      <c r="P3397" s="604" t="s">
        <v>484</v>
      </c>
      <c r="Q3397" s="499"/>
    </row>
    <row r="3398" spans="9:17">
      <c r="I3398" s="578" t="str">
        <f t="shared" si="199"/>
        <v>2013dhbWairarapaNeo</v>
      </c>
      <c r="J3398" s="604">
        <v>2013</v>
      </c>
      <c r="K3398" s="604" t="s">
        <v>448</v>
      </c>
      <c r="L3398" s="604" t="s">
        <v>98</v>
      </c>
      <c r="M3398" s="604">
        <v>1</v>
      </c>
      <c r="N3398" s="604">
        <v>497</v>
      </c>
      <c r="O3398" s="604">
        <v>2</v>
      </c>
      <c r="P3398" s="604" t="s">
        <v>484</v>
      </c>
      <c r="Q3398" s="499"/>
    </row>
    <row r="3399" spans="9:17">
      <c r="I3399" s="578" t="str">
        <f t="shared" si="199"/>
        <v>2013dhbNelson MarlboroughNeo</v>
      </c>
      <c r="J3399" s="604">
        <v>2013</v>
      </c>
      <c r="K3399" s="604" t="s">
        <v>448</v>
      </c>
      <c r="L3399" s="604" t="s">
        <v>99</v>
      </c>
      <c r="M3399" s="604">
        <v>6</v>
      </c>
      <c r="N3399" s="604">
        <v>1556</v>
      </c>
      <c r="O3399" s="604">
        <v>3.9</v>
      </c>
      <c r="P3399" s="604" t="s">
        <v>484</v>
      </c>
      <c r="Q3399" s="499"/>
    </row>
    <row r="3400" spans="9:17">
      <c r="I3400" s="578" t="str">
        <f t="shared" si="199"/>
        <v>2013dhbWest CoastNeo</v>
      </c>
      <c r="J3400" s="604">
        <v>2013</v>
      </c>
      <c r="K3400" s="604" t="s">
        <v>448</v>
      </c>
      <c r="L3400" s="604" t="s">
        <v>100</v>
      </c>
      <c r="M3400" s="604">
        <v>1</v>
      </c>
      <c r="N3400" s="604">
        <v>392</v>
      </c>
      <c r="O3400" s="604">
        <v>2.6</v>
      </c>
      <c r="P3400" s="604" t="s">
        <v>484</v>
      </c>
      <c r="Q3400" s="499"/>
    </row>
    <row r="3401" spans="9:17">
      <c r="I3401" s="578" t="str">
        <f t="shared" si="199"/>
        <v>2013dhbCanterburyNeo</v>
      </c>
      <c r="J3401" s="604">
        <v>2013</v>
      </c>
      <c r="K3401" s="604" t="s">
        <v>448</v>
      </c>
      <c r="L3401" s="604" t="s">
        <v>101</v>
      </c>
      <c r="M3401" s="604">
        <v>13</v>
      </c>
      <c r="N3401" s="604">
        <v>5945</v>
      </c>
      <c r="O3401" s="604">
        <v>2.2000000000000002</v>
      </c>
      <c r="P3401" s="604" t="s">
        <v>484</v>
      </c>
      <c r="Q3401" s="499"/>
    </row>
    <row r="3402" spans="9:17">
      <c r="I3402" s="578" t="str">
        <f t="shared" si="199"/>
        <v>2013dhbSouth CanterburyNeo</v>
      </c>
      <c r="J3402" s="604">
        <v>2013</v>
      </c>
      <c r="K3402" s="604" t="s">
        <v>448</v>
      </c>
      <c r="L3402" s="604" t="s">
        <v>102</v>
      </c>
      <c r="M3402" s="604">
        <v>4</v>
      </c>
      <c r="N3402" s="604">
        <v>629</v>
      </c>
      <c r="O3402" s="604">
        <v>6.4</v>
      </c>
      <c r="P3402" s="604" t="s">
        <v>484</v>
      </c>
      <c r="Q3402" s="499"/>
    </row>
    <row r="3403" spans="9:17">
      <c r="I3403" s="578" t="str">
        <f t="shared" si="199"/>
        <v>2013dhbSouthernNeo</v>
      </c>
      <c r="J3403" s="604">
        <v>2013</v>
      </c>
      <c r="K3403" s="604" t="s">
        <v>448</v>
      </c>
      <c r="L3403" s="604" t="s">
        <v>103</v>
      </c>
      <c r="M3403" s="604">
        <v>7</v>
      </c>
      <c r="N3403" s="604">
        <v>3478</v>
      </c>
      <c r="O3403" s="604">
        <v>2</v>
      </c>
      <c r="P3403" s="604" t="s">
        <v>484</v>
      </c>
      <c r="Q3403" s="499"/>
    </row>
    <row r="3404" spans="9:17">
      <c r="I3404" s="578" t="str">
        <f t="shared" si="199"/>
        <v>2013dhbUnknownNeo</v>
      </c>
      <c r="J3404" s="604">
        <v>2013</v>
      </c>
      <c r="K3404" s="604" t="s">
        <v>448</v>
      </c>
      <c r="L3404" s="604" t="s">
        <v>63</v>
      </c>
      <c r="M3404" s="604">
        <v>1</v>
      </c>
      <c r="N3404" s="604">
        <v>196</v>
      </c>
      <c r="O3404" s="604" t="s">
        <v>119</v>
      </c>
      <c r="P3404" s="604" t="s">
        <v>484</v>
      </c>
      <c r="Q3404" s="499"/>
    </row>
    <row r="3405" spans="9:17">
      <c r="I3405" s="578" t="str">
        <f t="shared" si="199"/>
        <v>2014dhbNorthlandNeo</v>
      </c>
      <c r="J3405" s="604">
        <v>2014</v>
      </c>
      <c r="K3405" s="604" t="s">
        <v>448</v>
      </c>
      <c r="L3405" s="604" t="s">
        <v>85</v>
      </c>
      <c r="M3405" s="604">
        <v>11</v>
      </c>
      <c r="N3405" s="604">
        <v>2127</v>
      </c>
      <c r="O3405" s="604">
        <v>5.2</v>
      </c>
      <c r="P3405" s="604" t="s">
        <v>484</v>
      </c>
      <c r="Q3405" s="499"/>
    </row>
    <row r="3406" spans="9:17">
      <c r="I3406" s="578" t="str">
        <f t="shared" si="199"/>
        <v>2014dhbWaitemataNeo</v>
      </c>
      <c r="J3406" s="604">
        <v>2014</v>
      </c>
      <c r="K3406" s="604" t="s">
        <v>448</v>
      </c>
      <c r="L3406" s="604" t="s">
        <v>86</v>
      </c>
      <c r="M3406" s="604">
        <v>27</v>
      </c>
      <c r="N3406" s="604">
        <v>7737</v>
      </c>
      <c r="O3406" s="604">
        <v>3.5</v>
      </c>
      <c r="P3406" s="604" t="s">
        <v>484</v>
      </c>
      <c r="Q3406" s="499"/>
    </row>
    <row r="3407" spans="9:17">
      <c r="I3407" s="578" t="str">
        <f t="shared" si="199"/>
        <v>2014dhbAucklandNeo</v>
      </c>
      <c r="J3407" s="604">
        <v>2014</v>
      </c>
      <c r="K3407" s="604" t="s">
        <v>448</v>
      </c>
      <c r="L3407" s="604" t="s">
        <v>87</v>
      </c>
      <c r="M3407" s="604">
        <v>26</v>
      </c>
      <c r="N3407" s="604">
        <v>6074</v>
      </c>
      <c r="O3407" s="604">
        <v>4.3</v>
      </c>
      <c r="P3407" s="604" t="s">
        <v>484</v>
      </c>
      <c r="Q3407" s="499"/>
    </row>
    <row r="3408" spans="9:17">
      <c r="I3408" s="578" t="str">
        <f t="shared" si="199"/>
        <v>2014dhbCounties ManukauNeo</v>
      </c>
      <c r="J3408" s="604">
        <v>2014</v>
      </c>
      <c r="K3408" s="604" t="s">
        <v>448</v>
      </c>
      <c r="L3408" s="604" t="s">
        <v>88</v>
      </c>
      <c r="M3408" s="604">
        <v>39</v>
      </c>
      <c r="N3408" s="604">
        <v>8072</v>
      </c>
      <c r="O3408" s="604">
        <v>4.8</v>
      </c>
      <c r="P3408" s="604" t="s">
        <v>484</v>
      </c>
      <c r="Q3408" s="499"/>
    </row>
    <row r="3409" spans="9:17">
      <c r="I3409" s="578" t="str">
        <f t="shared" si="199"/>
        <v>2014dhbWaikatoNeo</v>
      </c>
      <c r="J3409" s="604">
        <v>2014</v>
      </c>
      <c r="K3409" s="604" t="s">
        <v>448</v>
      </c>
      <c r="L3409" s="604" t="s">
        <v>89</v>
      </c>
      <c r="M3409" s="604">
        <v>28</v>
      </c>
      <c r="N3409" s="604">
        <v>5235</v>
      </c>
      <c r="O3409" s="604">
        <v>5.3</v>
      </c>
      <c r="P3409" s="604" t="s">
        <v>484</v>
      </c>
      <c r="Q3409" s="499"/>
    </row>
    <row r="3410" spans="9:17">
      <c r="I3410" s="578" t="str">
        <f t="shared" si="199"/>
        <v>2014dhbLakesNeo</v>
      </c>
      <c r="J3410" s="604">
        <v>2014</v>
      </c>
      <c r="K3410" s="604" t="s">
        <v>448</v>
      </c>
      <c r="L3410" s="604" t="s">
        <v>90</v>
      </c>
      <c r="M3410" s="604">
        <v>10</v>
      </c>
      <c r="N3410" s="604">
        <v>1364</v>
      </c>
      <c r="O3410" s="604">
        <v>7.3</v>
      </c>
      <c r="P3410" s="604" t="s">
        <v>484</v>
      </c>
      <c r="Q3410" s="499"/>
    </row>
    <row r="3411" spans="9:17">
      <c r="I3411" s="578" t="str">
        <f t="shared" si="199"/>
        <v>2014dhbBay of PlentyNeo</v>
      </c>
      <c r="J3411" s="604">
        <v>2014</v>
      </c>
      <c r="K3411" s="604" t="s">
        <v>448</v>
      </c>
      <c r="L3411" s="604" t="s">
        <v>91</v>
      </c>
      <c r="M3411" s="604">
        <v>18</v>
      </c>
      <c r="N3411" s="604">
        <v>2688</v>
      </c>
      <c r="O3411" s="604">
        <v>6.7</v>
      </c>
      <c r="P3411" s="604" t="s">
        <v>484</v>
      </c>
      <c r="Q3411" s="499"/>
    </row>
    <row r="3412" spans="9:17">
      <c r="I3412" s="578" t="str">
        <f t="shared" si="199"/>
        <v>2014dhbTairawhitiNeo</v>
      </c>
      <c r="J3412" s="604">
        <v>2014</v>
      </c>
      <c r="K3412" s="604" t="s">
        <v>448</v>
      </c>
      <c r="L3412" s="604" t="s">
        <v>433</v>
      </c>
      <c r="M3412" s="604">
        <v>3</v>
      </c>
      <c r="N3412" s="604">
        <v>673</v>
      </c>
      <c r="O3412" s="604">
        <v>4.5</v>
      </c>
      <c r="P3412" s="604" t="s">
        <v>484</v>
      </c>
      <c r="Q3412" s="499"/>
    </row>
    <row r="3413" spans="9:17">
      <c r="I3413" s="578" t="str">
        <f t="shared" si="199"/>
        <v>2014dhbHawke's BayNeo</v>
      </c>
      <c r="J3413" s="604">
        <v>2014</v>
      </c>
      <c r="K3413" s="604" t="s">
        <v>448</v>
      </c>
      <c r="L3413" s="604" t="s">
        <v>92</v>
      </c>
      <c r="M3413" s="604">
        <v>6</v>
      </c>
      <c r="N3413" s="604">
        <v>2094</v>
      </c>
      <c r="O3413" s="604">
        <v>2.9</v>
      </c>
      <c r="P3413" s="604" t="s">
        <v>484</v>
      </c>
      <c r="Q3413" s="499"/>
    </row>
    <row r="3414" spans="9:17">
      <c r="I3414" s="578" t="str">
        <f t="shared" si="199"/>
        <v>2014dhbTaranakiNeo</v>
      </c>
      <c r="J3414" s="604">
        <v>2014</v>
      </c>
      <c r="K3414" s="604" t="s">
        <v>448</v>
      </c>
      <c r="L3414" s="604" t="s">
        <v>93</v>
      </c>
      <c r="M3414" s="604">
        <v>7</v>
      </c>
      <c r="N3414" s="604">
        <v>1534</v>
      </c>
      <c r="O3414" s="604">
        <v>4.5999999999999996</v>
      </c>
      <c r="P3414" s="604" t="s">
        <v>484</v>
      </c>
      <c r="Q3414" s="499"/>
    </row>
    <row r="3415" spans="9:17">
      <c r="I3415" s="578" t="str">
        <f t="shared" si="199"/>
        <v>2014dhbMidCentralNeo</v>
      </c>
      <c r="J3415" s="604">
        <v>2014</v>
      </c>
      <c r="K3415" s="604" t="s">
        <v>448</v>
      </c>
      <c r="L3415" s="604" t="s">
        <v>94</v>
      </c>
      <c r="M3415" s="604">
        <v>2</v>
      </c>
      <c r="N3415" s="604">
        <v>2093</v>
      </c>
      <c r="O3415" s="604">
        <v>1</v>
      </c>
      <c r="P3415" s="604" t="s">
        <v>484</v>
      </c>
      <c r="Q3415" s="499"/>
    </row>
    <row r="3416" spans="9:17">
      <c r="I3416" s="578" t="str">
        <f t="shared" si="199"/>
        <v>2014dhbWhanganuiNeo</v>
      </c>
      <c r="J3416" s="604">
        <v>2014</v>
      </c>
      <c r="K3416" s="604" t="s">
        <v>448</v>
      </c>
      <c r="L3416" s="604" t="s">
        <v>95</v>
      </c>
      <c r="M3416" s="604">
        <v>3</v>
      </c>
      <c r="N3416" s="604">
        <v>800</v>
      </c>
      <c r="O3416" s="604">
        <v>3.8</v>
      </c>
      <c r="P3416" s="604" t="s">
        <v>484</v>
      </c>
      <c r="Q3416" s="499"/>
    </row>
    <row r="3417" spans="9:17">
      <c r="I3417" s="578" t="str">
        <f t="shared" si="199"/>
        <v>2014dhbCapital &amp; CoastNeo</v>
      </c>
      <c r="J3417" s="604">
        <v>2014</v>
      </c>
      <c r="K3417" s="604" t="s">
        <v>448</v>
      </c>
      <c r="L3417" s="604" t="s">
        <v>96</v>
      </c>
      <c r="M3417" s="604">
        <v>13</v>
      </c>
      <c r="N3417" s="604">
        <v>3559</v>
      </c>
      <c r="O3417" s="604">
        <v>3.7</v>
      </c>
      <c r="P3417" s="604" t="s">
        <v>484</v>
      </c>
      <c r="Q3417" s="499"/>
    </row>
    <row r="3418" spans="9:17">
      <c r="I3418" s="578" t="str">
        <f t="shared" si="199"/>
        <v>2014dhbHutt ValleyNeo</v>
      </c>
      <c r="J3418" s="604">
        <v>2014</v>
      </c>
      <c r="K3418" s="604" t="s">
        <v>448</v>
      </c>
      <c r="L3418" s="604" t="s">
        <v>97</v>
      </c>
      <c r="M3418" s="604">
        <v>3</v>
      </c>
      <c r="N3418" s="604">
        <v>1814</v>
      </c>
      <c r="O3418" s="604">
        <v>1.7</v>
      </c>
      <c r="P3418" s="604" t="s">
        <v>484</v>
      </c>
      <c r="Q3418" s="499"/>
    </row>
    <row r="3419" spans="9:17">
      <c r="I3419" s="578" t="str">
        <f t="shared" si="199"/>
        <v>2014dhbWairarapaNeo</v>
      </c>
      <c r="J3419" s="604">
        <v>2014</v>
      </c>
      <c r="K3419" s="604" t="s">
        <v>448</v>
      </c>
      <c r="L3419" s="604" t="s">
        <v>98</v>
      </c>
      <c r="M3419" s="604">
        <v>1</v>
      </c>
      <c r="N3419" s="604">
        <v>493</v>
      </c>
      <c r="O3419" s="604">
        <v>2</v>
      </c>
      <c r="P3419" s="604" t="s">
        <v>484</v>
      </c>
      <c r="Q3419" s="499"/>
    </row>
    <row r="3420" spans="9:17">
      <c r="I3420" s="578" t="str">
        <f t="shared" si="199"/>
        <v>2014dhbNelson MarlboroughNeo</v>
      </c>
      <c r="J3420" s="604">
        <v>2014</v>
      </c>
      <c r="K3420" s="604" t="s">
        <v>448</v>
      </c>
      <c r="L3420" s="604" t="s">
        <v>99</v>
      </c>
      <c r="M3420" s="604">
        <v>8</v>
      </c>
      <c r="N3420" s="604">
        <v>1449</v>
      </c>
      <c r="O3420" s="604">
        <v>5.5</v>
      </c>
      <c r="P3420" s="604" t="s">
        <v>484</v>
      </c>
      <c r="Q3420" s="499"/>
    </row>
    <row r="3421" spans="9:17">
      <c r="I3421" s="578" t="str">
        <f t="shared" si="199"/>
        <v>2014dhbWest CoastNeo</v>
      </c>
      <c r="J3421" s="604">
        <v>2014</v>
      </c>
      <c r="K3421" s="604" t="s">
        <v>448</v>
      </c>
      <c r="L3421" s="604" t="s">
        <v>100</v>
      </c>
      <c r="M3421" s="604">
        <v>2</v>
      </c>
      <c r="N3421" s="604">
        <v>381</v>
      </c>
      <c r="O3421" s="604">
        <v>5.2</v>
      </c>
      <c r="P3421" s="604" t="s">
        <v>484</v>
      </c>
      <c r="Q3421" s="499"/>
    </row>
    <row r="3422" spans="9:17">
      <c r="I3422" s="578" t="str">
        <f t="shared" si="199"/>
        <v>2014dhbCanterburyNeo</v>
      </c>
      <c r="J3422" s="604">
        <v>2014</v>
      </c>
      <c r="K3422" s="604" t="s">
        <v>448</v>
      </c>
      <c r="L3422" s="604" t="s">
        <v>101</v>
      </c>
      <c r="M3422" s="604">
        <v>16</v>
      </c>
      <c r="N3422" s="604">
        <v>5993</v>
      </c>
      <c r="O3422" s="604">
        <v>2.7</v>
      </c>
      <c r="P3422" s="604" t="s">
        <v>484</v>
      </c>
      <c r="Q3422" s="499"/>
    </row>
    <row r="3423" spans="9:17">
      <c r="I3423" s="578" t="str">
        <f t="shared" si="199"/>
        <v>2014dhbSouth CanterburyNeo</v>
      </c>
      <c r="J3423" s="604">
        <v>2014</v>
      </c>
      <c r="K3423" s="604" t="s">
        <v>448</v>
      </c>
      <c r="L3423" s="604" t="s">
        <v>102</v>
      </c>
      <c r="M3423" s="604">
        <v>2</v>
      </c>
      <c r="N3423" s="604">
        <v>624</v>
      </c>
      <c r="O3423" s="604">
        <v>3.2</v>
      </c>
      <c r="P3423" s="604" t="s">
        <v>484</v>
      </c>
      <c r="Q3423" s="499"/>
    </row>
    <row r="3424" spans="9:17">
      <c r="I3424" s="578" t="str">
        <f t="shared" si="199"/>
        <v>2014dhbSouthernNeo</v>
      </c>
      <c r="J3424" s="604">
        <v>2014</v>
      </c>
      <c r="K3424" s="604" t="s">
        <v>448</v>
      </c>
      <c r="L3424" s="604" t="s">
        <v>103</v>
      </c>
      <c r="M3424" s="604">
        <v>14</v>
      </c>
      <c r="N3424" s="604">
        <v>3269</v>
      </c>
      <c r="O3424" s="604">
        <v>4.3</v>
      </c>
      <c r="P3424" s="604" t="s">
        <v>484</v>
      </c>
      <c r="Q3424" s="499"/>
    </row>
    <row r="3425" spans="9:17">
      <c r="I3425" s="578" t="str">
        <f t="shared" si="199"/>
        <v>2014dhbUnknownNeo</v>
      </c>
      <c r="J3425" s="604">
        <v>2014</v>
      </c>
      <c r="K3425" s="604" t="s">
        <v>448</v>
      </c>
      <c r="L3425" s="604" t="s">
        <v>63</v>
      </c>
      <c r="M3425" s="604">
        <v>1</v>
      </c>
      <c r="N3425" s="604">
        <v>212</v>
      </c>
      <c r="O3425" s="604" t="s">
        <v>119</v>
      </c>
      <c r="P3425" s="604" t="s">
        <v>484</v>
      </c>
      <c r="Q3425" s="499"/>
    </row>
    <row r="3426" spans="9:17">
      <c r="I3426" s="578" t="str">
        <f t="shared" si="199"/>
        <v>2015dhbNorthlandNeo</v>
      </c>
      <c r="J3426" s="604">
        <v>2015</v>
      </c>
      <c r="K3426" s="604" t="s">
        <v>448</v>
      </c>
      <c r="L3426" s="604" t="s">
        <v>85</v>
      </c>
      <c r="M3426" s="604">
        <v>4</v>
      </c>
      <c r="N3426" s="604">
        <v>2287</v>
      </c>
      <c r="O3426" s="604">
        <v>1.7</v>
      </c>
      <c r="P3426" s="604" t="s">
        <v>484</v>
      </c>
      <c r="Q3426" s="499"/>
    </row>
    <row r="3427" spans="9:17">
      <c r="I3427" s="578" t="str">
        <f t="shared" si="199"/>
        <v>2015dhbWaitemataNeo</v>
      </c>
      <c r="J3427" s="604">
        <v>2015</v>
      </c>
      <c r="K3427" s="604" t="s">
        <v>448</v>
      </c>
      <c r="L3427" s="604" t="s">
        <v>86</v>
      </c>
      <c r="M3427" s="604">
        <v>14</v>
      </c>
      <c r="N3427" s="604">
        <v>8092</v>
      </c>
      <c r="O3427" s="604">
        <v>1.7</v>
      </c>
      <c r="P3427" s="604" t="s">
        <v>484</v>
      </c>
      <c r="Q3427" s="499"/>
    </row>
    <row r="3428" spans="9:17">
      <c r="I3428" s="578" t="str">
        <f t="shared" si="199"/>
        <v>2015dhbAucklandNeo</v>
      </c>
      <c r="J3428" s="604">
        <v>2015</v>
      </c>
      <c r="K3428" s="604" t="s">
        <v>448</v>
      </c>
      <c r="L3428" s="604" t="s">
        <v>87</v>
      </c>
      <c r="M3428" s="604">
        <v>20</v>
      </c>
      <c r="N3428" s="604">
        <v>6264</v>
      </c>
      <c r="O3428" s="604">
        <v>3.2</v>
      </c>
      <c r="P3428" s="604" t="s">
        <v>484</v>
      </c>
      <c r="Q3428" s="499"/>
    </row>
    <row r="3429" spans="9:17">
      <c r="I3429" s="578" t="str">
        <f t="shared" si="199"/>
        <v>2015dhbCounties ManukauNeo</v>
      </c>
      <c r="J3429" s="604">
        <v>2015</v>
      </c>
      <c r="K3429" s="604" t="s">
        <v>448</v>
      </c>
      <c r="L3429" s="604" t="s">
        <v>88</v>
      </c>
      <c r="M3429" s="604">
        <v>38</v>
      </c>
      <c r="N3429" s="604">
        <v>8562</v>
      </c>
      <c r="O3429" s="604">
        <v>4.4000000000000004</v>
      </c>
      <c r="P3429" s="604" t="s">
        <v>484</v>
      </c>
      <c r="Q3429" s="499"/>
    </row>
    <row r="3430" spans="9:17">
      <c r="I3430" s="578" t="str">
        <f t="shared" si="199"/>
        <v>2015dhbWaikatoNeo</v>
      </c>
      <c r="J3430" s="604">
        <v>2015</v>
      </c>
      <c r="K3430" s="604" t="s">
        <v>448</v>
      </c>
      <c r="L3430" s="604" t="s">
        <v>89</v>
      </c>
      <c r="M3430" s="604">
        <v>19</v>
      </c>
      <c r="N3430" s="604">
        <v>5690</v>
      </c>
      <c r="O3430" s="604">
        <v>3.3</v>
      </c>
      <c r="P3430" s="604" t="s">
        <v>484</v>
      </c>
      <c r="Q3430" s="499"/>
    </row>
    <row r="3431" spans="9:17">
      <c r="I3431" s="578" t="str">
        <f t="shared" si="199"/>
        <v>2015dhbLakesNeo</v>
      </c>
      <c r="J3431" s="604">
        <v>2015</v>
      </c>
      <c r="K3431" s="604" t="s">
        <v>448</v>
      </c>
      <c r="L3431" s="604" t="s">
        <v>90</v>
      </c>
      <c r="M3431" s="604">
        <v>1</v>
      </c>
      <c r="N3431" s="604">
        <v>1591</v>
      </c>
      <c r="O3431" s="604">
        <v>0.6</v>
      </c>
      <c r="P3431" s="604" t="s">
        <v>484</v>
      </c>
      <c r="Q3431" s="499"/>
    </row>
    <row r="3432" spans="9:17">
      <c r="I3432" s="578" t="str">
        <f t="shared" si="199"/>
        <v>2015dhbBay of PlentyNeo</v>
      </c>
      <c r="J3432" s="604">
        <v>2015</v>
      </c>
      <c r="K3432" s="604" t="s">
        <v>448</v>
      </c>
      <c r="L3432" s="604" t="s">
        <v>91</v>
      </c>
      <c r="M3432" s="604">
        <v>4</v>
      </c>
      <c r="N3432" s="604">
        <v>2946</v>
      </c>
      <c r="O3432" s="604">
        <v>1.4</v>
      </c>
      <c r="P3432" s="604" t="s">
        <v>484</v>
      </c>
      <c r="Q3432" s="499"/>
    </row>
    <row r="3433" spans="9:17">
      <c r="I3433" s="578" t="str">
        <f t="shared" si="199"/>
        <v>2015dhbTairawhitiNeo</v>
      </c>
      <c r="J3433" s="604">
        <v>2015</v>
      </c>
      <c r="K3433" s="604" t="s">
        <v>448</v>
      </c>
      <c r="L3433" s="604" t="s">
        <v>433</v>
      </c>
      <c r="M3433" s="604">
        <v>1</v>
      </c>
      <c r="N3433" s="604">
        <v>739</v>
      </c>
      <c r="O3433" s="604">
        <v>1.4</v>
      </c>
      <c r="P3433" s="604" t="s">
        <v>484</v>
      </c>
      <c r="Q3433" s="499"/>
    </row>
    <row r="3434" spans="9:17">
      <c r="I3434" s="578" t="str">
        <f t="shared" si="199"/>
        <v>2015dhbHawke's BayNeo</v>
      </c>
      <c r="J3434" s="604">
        <v>2015</v>
      </c>
      <c r="K3434" s="604" t="s">
        <v>448</v>
      </c>
      <c r="L3434" s="604" t="s">
        <v>92</v>
      </c>
      <c r="M3434" s="604">
        <v>4</v>
      </c>
      <c r="N3434" s="604">
        <v>2208</v>
      </c>
      <c r="O3434" s="604">
        <v>1.8</v>
      </c>
      <c r="P3434" s="604" t="s">
        <v>484</v>
      </c>
      <c r="Q3434" s="499"/>
    </row>
    <row r="3435" spans="9:17">
      <c r="I3435" s="578" t="str">
        <f t="shared" si="199"/>
        <v>2015dhbTaranakiNeo</v>
      </c>
      <c r="J3435" s="604">
        <v>2015</v>
      </c>
      <c r="K3435" s="604" t="s">
        <v>448</v>
      </c>
      <c r="L3435" s="604" t="s">
        <v>93</v>
      </c>
      <c r="M3435" s="604">
        <v>5</v>
      </c>
      <c r="N3435" s="604">
        <v>1638</v>
      </c>
      <c r="O3435" s="604">
        <v>3.1</v>
      </c>
      <c r="P3435" s="604" t="s">
        <v>484</v>
      </c>
      <c r="Q3435" s="499"/>
    </row>
    <row r="3436" spans="9:17">
      <c r="I3436" s="578" t="str">
        <f t="shared" si="199"/>
        <v>2015dhbMidCentralNeo</v>
      </c>
      <c r="J3436" s="604">
        <v>2015</v>
      </c>
      <c r="K3436" s="604" t="s">
        <v>448</v>
      </c>
      <c r="L3436" s="604" t="s">
        <v>94</v>
      </c>
      <c r="M3436" s="604">
        <v>11</v>
      </c>
      <c r="N3436" s="604">
        <v>2217</v>
      </c>
      <c r="O3436" s="604">
        <v>5</v>
      </c>
      <c r="P3436" s="604" t="s">
        <v>484</v>
      </c>
      <c r="Q3436" s="499"/>
    </row>
    <row r="3437" spans="9:17">
      <c r="I3437" s="578" t="str">
        <f t="shared" si="199"/>
        <v>2015dhbWhanganuiNeo</v>
      </c>
      <c r="J3437" s="604">
        <v>2015</v>
      </c>
      <c r="K3437" s="604" t="s">
        <v>448</v>
      </c>
      <c r="L3437" s="604" t="s">
        <v>95</v>
      </c>
      <c r="M3437" s="604">
        <v>3</v>
      </c>
      <c r="N3437" s="604">
        <v>874</v>
      </c>
      <c r="O3437" s="604">
        <v>3.4</v>
      </c>
      <c r="P3437" s="604" t="s">
        <v>484</v>
      </c>
      <c r="Q3437" s="499"/>
    </row>
    <row r="3438" spans="9:17">
      <c r="I3438" s="578" t="str">
        <f t="shared" si="199"/>
        <v>2015dhbCapital &amp; CoastNeo</v>
      </c>
      <c r="J3438" s="604">
        <v>2015</v>
      </c>
      <c r="K3438" s="604" t="s">
        <v>448</v>
      </c>
      <c r="L3438" s="604" t="s">
        <v>96</v>
      </c>
      <c r="M3438" s="604">
        <v>8</v>
      </c>
      <c r="N3438" s="604">
        <v>3615</v>
      </c>
      <c r="O3438" s="604">
        <v>2.2000000000000002</v>
      </c>
      <c r="P3438" s="604" t="s">
        <v>484</v>
      </c>
      <c r="Q3438" s="499"/>
    </row>
    <row r="3439" spans="9:17">
      <c r="I3439" s="578" t="str">
        <f t="shared" si="199"/>
        <v>2015dhbHutt ValleyNeo</v>
      </c>
      <c r="J3439" s="604">
        <v>2015</v>
      </c>
      <c r="K3439" s="604" t="s">
        <v>448</v>
      </c>
      <c r="L3439" s="604" t="s">
        <v>97</v>
      </c>
      <c r="M3439" s="604">
        <v>7</v>
      </c>
      <c r="N3439" s="604">
        <v>2091</v>
      </c>
      <c r="O3439" s="604">
        <v>3.3</v>
      </c>
      <c r="P3439" s="604" t="s">
        <v>484</v>
      </c>
      <c r="Q3439" s="499"/>
    </row>
    <row r="3440" spans="9:17">
      <c r="I3440" s="578" t="str">
        <f t="shared" si="199"/>
        <v>2015dhbWairarapaNeo</v>
      </c>
      <c r="J3440" s="604">
        <v>2015</v>
      </c>
      <c r="K3440" s="604" t="s">
        <v>448</v>
      </c>
      <c r="L3440" s="604" t="s">
        <v>98</v>
      </c>
      <c r="M3440" s="604">
        <v>2</v>
      </c>
      <c r="N3440" s="604">
        <v>494</v>
      </c>
      <c r="O3440" s="604">
        <v>4</v>
      </c>
      <c r="P3440" s="604" t="s">
        <v>484</v>
      </c>
      <c r="Q3440" s="499"/>
    </row>
    <row r="3441" spans="9:17">
      <c r="I3441" s="578" t="str">
        <f t="shared" si="199"/>
        <v>2015dhbNelson MarlboroughNeo</v>
      </c>
      <c r="J3441" s="604">
        <v>2015</v>
      </c>
      <c r="K3441" s="604" t="s">
        <v>448</v>
      </c>
      <c r="L3441" s="604" t="s">
        <v>99</v>
      </c>
      <c r="M3441" s="604">
        <v>1</v>
      </c>
      <c r="N3441" s="604">
        <v>1489</v>
      </c>
      <c r="O3441" s="604">
        <v>0.7</v>
      </c>
      <c r="P3441" s="604" t="s">
        <v>484</v>
      </c>
      <c r="Q3441" s="499"/>
    </row>
    <row r="3442" spans="9:17">
      <c r="I3442" s="578" t="str">
        <f t="shared" si="199"/>
        <v>2015dhbWest CoastNeo</v>
      </c>
      <c r="J3442" s="604">
        <v>2015</v>
      </c>
      <c r="K3442" s="604" t="s">
        <v>448</v>
      </c>
      <c r="L3442" s="604" t="s">
        <v>100</v>
      </c>
      <c r="M3442" s="604">
        <v>0</v>
      </c>
      <c r="N3442" s="604">
        <v>389</v>
      </c>
      <c r="O3442" s="604">
        <v>0</v>
      </c>
      <c r="P3442" s="604" t="s">
        <v>484</v>
      </c>
      <c r="Q3442" s="499"/>
    </row>
    <row r="3443" spans="9:17">
      <c r="I3443" s="578" t="str">
        <f t="shared" si="199"/>
        <v>2015dhbCanterburyNeo</v>
      </c>
      <c r="J3443" s="604">
        <v>2015</v>
      </c>
      <c r="K3443" s="604" t="s">
        <v>448</v>
      </c>
      <c r="L3443" s="604" t="s">
        <v>101</v>
      </c>
      <c r="M3443" s="604">
        <v>19</v>
      </c>
      <c r="N3443" s="604">
        <v>6439</v>
      </c>
      <c r="O3443" s="604">
        <v>3</v>
      </c>
      <c r="P3443" s="604" t="s">
        <v>484</v>
      </c>
      <c r="Q3443" s="499"/>
    </row>
    <row r="3444" spans="9:17">
      <c r="I3444" s="578" t="str">
        <f t="shared" si="199"/>
        <v>2015dhbSouth CanterburyNeo</v>
      </c>
      <c r="J3444" s="604">
        <v>2015</v>
      </c>
      <c r="K3444" s="604" t="s">
        <v>448</v>
      </c>
      <c r="L3444" s="604" t="s">
        <v>102</v>
      </c>
      <c r="M3444" s="604">
        <v>3</v>
      </c>
      <c r="N3444" s="604">
        <v>682</v>
      </c>
      <c r="O3444" s="604">
        <v>4.4000000000000004</v>
      </c>
      <c r="P3444" s="604" t="s">
        <v>484</v>
      </c>
      <c r="Q3444" s="499"/>
    </row>
    <row r="3445" spans="9:17">
      <c r="I3445" s="578" t="str">
        <f t="shared" si="199"/>
        <v>2015dhbSouthernNeo</v>
      </c>
      <c r="J3445" s="604">
        <v>2015</v>
      </c>
      <c r="K3445" s="604" t="s">
        <v>448</v>
      </c>
      <c r="L3445" s="604" t="s">
        <v>103</v>
      </c>
      <c r="M3445" s="604">
        <v>9</v>
      </c>
      <c r="N3445" s="604">
        <v>3646</v>
      </c>
      <c r="O3445" s="604">
        <v>2.5</v>
      </c>
      <c r="P3445" s="604" t="s">
        <v>484</v>
      </c>
      <c r="Q3445" s="499"/>
    </row>
    <row r="3446" spans="9:17">
      <c r="I3446" s="578" t="str">
        <f t="shared" si="199"/>
        <v>2015dhbUnknownNeo</v>
      </c>
      <c r="J3446" s="604">
        <v>2015</v>
      </c>
      <c r="K3446" s="604" t="s">
        <v>448</v>
      </c>
      <c r="L3446" s="604" t="s">
        <v>63</v>
      </c>
      <c r="M3446" s="604">
        <v>2</v>
      </c>
      <c r="N3446" s="604">
        <v>169</v>
      </c>
      <c r="O3446" s="604" t="s">
        <v>119</v>
      </c>
      <c r="P3446" s="604" t="s">
        <v>484</v>
      </c>
      <c r="Q3446" s="499"/>
    </row>
    <row r="3447" spans="9:17">
      <c r="I3447" s="578" t="str">
        <f t="shared" si="199"/>
        <v>2016dhbNorthlandNeo</v>
      </c>
      <c r="J3447" s="604">
        <v>2016</v>
      </c>
      <c r="K3447" s="604" t="s">
        <v>448</v>
      </c>
      <c r="L3447" s="604" t="s">
        <v>85</v>
      </c>
      <c r="M3447" s="604">
        <v>8</v>
      </c>
      <c r="N3447" s="604">
        <v>2320</v>
      </c>
      <c r="O3447" s="604">
        <v>3.4</v>
      </c>
      <c r="P3447" s="604" t="s">
        <v>484</v>
      </c>
      <c r="Q3447" s="499"/>
    </row>
    <row r="3448" spans="9:17">
      <c r="I3448" s="578" t="str">
        <f t="shared" si="199"/>
        <v>2016dhbWaitemataNeo</v>
      </c>
      <c r="J3448" s="604">
        <v>2016</v>
      </c>
      <c r="K3448" s="604" t="s">
        <v>448</v>
      </c>
      <c r="L3448" s="604" t="s">
        <v>86</v>
      </c>
      <c r="M3448" s="604">
        <v>15</v>
      </c>
      <c r="N3448" s="604">
        <v>8051</v>
      </c>
      <c r="O3448" s="604">
        <v>1.9</v>
      </c>
      <c r="P3448" s="604" t="s">
        <v>484</v>
      </c>
      <c r="Q3448" s="499"/>
    </row>
    <row r="3449" spans="9:17">
      <c r="I3449" s="578" t="str">
        <f t="shared" si="199"/>
        <v>2016dhbAucklandNeo</v>
      </c>
      <c r="J3449" s="604">
        <v>2016</v>
      </c>
      <c r="K3449" s="604" t="s">
        <v>448</v>
      </c>
      <c r="L3449" s="604" t="s">
        <v>87</v>
      </c>
      <c r="M3449" s="604">
        <v>14</v>
      </c>
      <c r="N3449" s="604">
        <v>5905</v>
      </c>
      <c r="O3449" s="604">
        <v>2.4</v>
      </c>
      <c r="P3449" s="604" t="s">
        <v>484</v>
      </c>
      <c r="Q3449" s="499"/>
    </row>
    <row r="3450" spans="9:17">
      <c r="I3450" s="578" t="str">
        <f t="shared" si="199"/>
        <v>2016dhbCounties ManukauNeo</v>
      </c>
      <c r="J3450" s="604">
        <v>2016</v>
      </c>
      <c r="K3450" s="604" t="s">
        <v>448</v>
      </c>
      <c r="L3450" s="604" t="s">
        <v>88</v>
      </c>
      <c r="M3450" s="604">
        <v>41</v>
      </c>
      <c r="N3450" s="604">
        <v>8375</v>
      </c>
      <c r="O3450" s="604">
        <v>4.9000000000000004</v>
      </c>
      <c r="P3450" s="604" t="s">
        <v>484</v>
      </c>
      <c r="Q3450" s="499"/>
    </row>
    <row r="3451" spans="9:17">
      <c r="I3451" s="578" t="str">
        <f t="shared" si="199"/>
        <v>2016dhbWaikatoNeo</v>
      </c>
      <c r="J3451" s="604">
        <v>2016</v>
      </c>
      <c r="K3451" s="604" t="s">
        <v>448</v>
      </c>
      <c r="L3451" s="604" t="s">
        <v>89</v>
      </c>
      <c r="M3451" s="604">
        <v>16</v>
      </c>
      <c r="N3451" s="604">
        <v>5507</v>
      </c>
      <c r="O3451" s="604">
        <v>2.9</v>
      </c>
      <c r="P3451" s="604" t="s">
        <v>484</v>
      </c>
      <c r="Q3451" s="499"/>
    </row>
    <row r="3452" spans="9:17">
      <c r="I3452" s="578" t="str">
        <f t="shared" si="199"/>
        <v>2016dhbLakesNeo</v>
      </c>
      <c r="J3452" s="604">
        <v>2016</v>
      </c>
      <c r="K3452" s="604" t="s">
        <v>448</v>
      </c>
      <c r="L3452" s="604" t="s">
        <v>90</v>
      </c>
      <c r="M3452" s="604">
        <v>0</v>
      </c>
      <c r="N3452" s="604">
        <v>1569</v>
      </c>
      <c r="O3452" s="604">
        <v>0</v>
      </c>
      <c r="P3452" s="604" t="s">
        <v>484</v>
      </c>
      <c r="Q3452" s="499"/>
    </row>
    <row r="3453" spans="9:17">
      <c r="I3453" s="578" t="str">
        <f t="shared" si="199"/>
        <v>2016dhbBay of PlentyNeo</v>
      </c>
      <c r="J3453" s="604">
        <v>2016</v>
      </c>
      <c r="K3453" s="604" t="s">
        <v>448</v>
      </c>
      <c r="L3453" s="604" t="s">
        <v>91</v>
      </c>
      <c r="M3453" s="604">
        <v>13</v>
      </c>
      <c r="N3453" s="604">
        <v>2940</v>
      </c>
      <c r="O3453" s="604">
        <v>4.4000000000000004</v>
      </c>
      <c r="P3453" s="604" t="s">
        <v>484</v>
      </c>
      <c r="Q3453" s="499"/>
    </row>
    <row r="3454" spans="9:17">
      <c r="I3454" s="578" t="str">
        <f t="shared" si="199"/>
        <v>2016dhbTairawhitiNeo</v>
      </c>
      <c r="J3454" s="604">
        <v>2016</v>
      </c>
      <c r="K3454" s="604" t="s">
        <v>448</v>
      </c>
      <c r="L3454" s="604" t="s">
        <v>433</v>
      </c>
      <c r="M3454" s="604">
        <v>0</v>
      </c>
      <c r="N3454" s="604">
        <v>769</v>
      </c>
      <c r="O3454" s="604">
        <v>0</v>
      </c>
      <c r="P3454" s="604" t="s">
        <v>484</v>
      </c>
      <c r="Q3454" s="499"/>
    </row>
    <row r="3455" spans="9:17">
      <c r="I3455" s="578" t="str">
        <f t="shared" si="199"/>
        <v>2016dhbHawke's BayNeo</v>
      </c>
      <c r="J3455" s="604">
        <v>2016</v>
      </c>
      <c r="K3455" s="604" t="s">
        <v>448</v>
      </c>
      <c r="L3455" s="604" t="s">
        <v>92</v>
      </c>
      <c r="M3455" s="604">
        <v>2</v>
      </c>
      <c r="N3455" s="604">
        <v>2098</v>
      </c>
      <c r="O3455" s="604">
        <v>1</v>
      </c>
      <c r="P3455" s="604" t="s">
        <v>484</v>
      </c>
      <c r="Q3455" s="499"/>
    </row>
    <row r="3456" spans="9:17">
      <c r="I3456" s="578" t="str">
        <f t="shared" si="199"/>
        <v>2016dhbTaranakiNeo</v>
      </c>
      <c r="J3456" s="604">
        <v>2016</v>
      </c>
      <c r="K3456" s="604" t="s">
        <v>448</v>
      </c>
      <c r="L3456" s="604" t="s">
        <v>93</v>
      </c>
      <c r="M3456" s="604">
        <v>2</v>
      </c>
      <c r="N3456" s="604">
        <v>1491</v>
      </c>
      <c r="O3456" s="604">
        <v>1.3</v>
      </c>
      <c r="P3456" s="604" t="s">
        <v>484</v>
      </c>
      <c r="Q3456" s="499"/>
    </row>
    <row r="3457" spans="9:17">
      <c r="I3457" s="578" t="str">
        <f t="shared" si="199"/>
        <v>2016dhbMidCentralNeo</v>
      </c>
      <c r="J3457" s="604">
        <v>2016</v>
      </c>
      <c r="K3457" s="604" t="s">
        <v>448</v>
      </c>
      <c r="L3457" s="604" t="s">
        <v>94</v>
      </c>
      <c r="M3457" s="604">
        <v>7</v>
      </c>
      <c r="N3457" s="604">
        <v>2106</v>
      </c>
      <c r="O3457" s="604">
        <v>3.3</v>
      </c>
      <c r="P3457" s="604" t="s">
        <v>484</v>
      </c>
      <c r="Q3457" s="499"/>
    </row>
    <row r="3458" spans="9:17">
      <c r="I3458" s="578" t="str">
        <f t="shared" si="199"/>
        <v>2016dhbWhanganuiNeo</v>
      </c>
      <c r="J3458" s="604">
        <v>2016</v>
      </c>
      <c r="K3458" s="604" t="s">
        <v>448</v>
      </c>
      <c r="L3458" s="604" t="s">
        <v>95</v>
      </c>
      <c r="M3458" s="604">
        <v>3</v>
      </c>
      <c r="N3458" s="604">
        <v>843</v>
      </c>
      <c r="O3458" s="604">
        <v>3.6</v>
      </c>
      <c r="P3458" s="604" t="s">
        <v>484</v>
      </c>
      <c r="Q3458" s="499"/>
    </row>
    <row r="3459" spans="9:17">
      <c r="I3459" s="578" t="str">
        <f t="shared" si="199"/>
        <v>2016dhbCapital &amp; CoastNeo</v>
      </c>
      <c r="J3459" s="604">
        <v>2016</v>
      </c>
      <c r="K3459" s="604" t="s">
        <v>448</v>
      </c>
      <c r="L3459" s="604" t="s">
        <v>96</v>
      </c>
      <c r="M3459" s="604">
        <v>7</v>
      </c>
      <c r="N3459" s="604">
        <v>3527</v>
      </c>
      <c r="O3459" s="604">
        <v>2</v>
      </c>
      <c r="P3459" s="604" t="s">
        <v>484</v>
      </c>
      <c r="Q3459" s="499"/>
    </row>
    <row r="3460" spans="9:17">
      <c r="I3460" s="578" t="str">
        <f t="shared" ref="I3460:I3523" si="200">J3460&amp;K3460&amp;L3460&amp;P3460</f>
        <v>2016dhbHutt ValleyNeo</v>
      </c>
      <c r="J3460" s="604">
        <v>2016</v>
      </c>
      <c r="K3460" s="604" t="s">
        <v>448</v>
      </c>
      <c r="L3460" s="604" t="s">
        <v>97</v>
      </c>
      <c r="M3460" s="604">
        <v>8</v>
      </c>
      <c r="N3460" s="604">
        <v>2004</v>
      </c>
      <c r="O3460" s="604">
        <v>4</v>
      </c>
      <c r="P3460" s="604" t="s">
        <v>484</v>
      </c>
      <c r="Q3460" s="499"/>
    </row>
    <row r="3461" spans="9:17">
      <c r="I3461" s="578" t="str">
        <f t="shared" si="200"/>
        <v>2016dhbWairarapaNeo</v>
      </c>
      <c r="J3461" s="604">
        <v>2016</v>
      </c>
      <c r="K3461" s="604" t="s">
        <v>448</v>
      </c>
      <c r="L3461" s="604" t="s">
        <v>98</v>
      </c>
      <c r="M3461" s="604">
        <v>1</v>
      </c>
      <c r="N3461" s="604">
        <v>481</v>
      </c>
      <c r="O3461" s="604">
        <v>2.1</v>
      </c>
      <c r="P3461" s="604" t="s">
        <v>484</v>
      </c>
      <c r="Q3461" s="499"/>
    </row>
    <row r="3462" spans="9:17">
      <c r="I3462" s="578" t="str">
        <f t="shared" si="200"/>
        <v>2016dhbNelson MarlboroughNeo</v>
      </c>
      <c r="J3462" s="604">
        <v>2016</v>
      </c>
      <c r="K3462" s="604" t="s">
        <v>448</v>
      </c>
      <c r="L3462" s="604" t="s">
        <v>99</v>
      </c>
      <c r="M3462" s="604">
        <v>0</v>
      </c>
      <c r="N3462" s="604">
        <v>1539</v>
      </c>
      <c r="O3462" s="604">
        <v>0</v>
      </c>
      <c r="P3462" s="604" t="s">
        <v>484</v>
      </c>
      <c r="Q3462" s="499"/>
    </row>
    <row r="3463" spans="9:17">
      <c r="I3463" s="578" t="str">
        <f t="shared" si="200"/>
        <v>2016dhbWest CoastNeo</v>
      </c>
      <c r="J3463" s="604">
        <v>2016</v>
      </c>
      <c r="K3463" s="604" t="s">
        <v>448</v>
      </c>
      <c r="L3463" s="604" t="s">
        <v>100</v>
      </c>
      <c r="M3463" s="604">
        <v>2</v>
      </c>
      <c r="N3463" s="604">
        <v>327</v>
      </c>
      <c r="O3463" s="604">
        <v>6.1</v>
      </c>
      <c r="P3463" s="604" t="s">
        <v>484</v>
      </c>
      <c r="Q3463" s="499"/>
    </row>
    <row r="3464" spans="9:17">
      <c r="I3464" s="578" t="str">
        <f t="shared" si="200"/>
        <v>2016dhbCanterburyNeo</v>
      </c>
      <c r="J3464" s="604">
        <v>2016</v>
      </c>
      <c r="K3464" s="604" t="s">
        <v>448</v>
      </c>
      <c r="L3464" s="604" t="s">
        <v>101</v>
      </c>
      <c r="M3464" s="604">
        <v>13</v>
      </c>
      <c r="N3464" s="604">
        <v>6399</v>
      </c>
      <c r="O3464" s="604">
        <v>2</v>
      </c>
      <c r="P3464" s="604" t="s">
        <v>484</v>
      </c>
      <c r="Q3464" s="499"/>
    </row>
    <row r="3465" spans="9:17">
      <c r="I3465" s="578" t="str">
        <f t="shared" si="200"/>
        <v>2016dhbSouth CanterburyNeo</v>
      </c>
      <c r="J3465" s="604">
        <v>2016</v>
      </c>
      <c r="K3465" s="604" t="s">
        <v>448</v>
      </c>
      <c r="L3465" s="604" t="s">
        <v>102</v>
      </c>
      <c r="M3465" s="604">
        <v>3</v>
      </c>
      <c r="N3465" s="604">
        <v>641</v>
      </c>
      <c r="O3465" s="604">
        <v>4.7</v>
      </c>
      <c r="P3465" s="604" t="s">
        <v>484</v>
      </c>
      <c r="Q3465" s="499"/>
    </row>
    <row r="3466" spans="9:17">
      <c r="I3466" s="578" t="str">
        <f t="shared" si="200"/>
        <v>2016dhbSouthernNeo</v>
      </c>
      <c r="J3466" s="604">
        <v>2016</v>
      </c>
      <c r="K3466" s="604" t="s">
        <v>448</v>
      </c>
      <c r="L3466" s="604" t="s">
        <v>103</v>
      </c>
      <c r="M3466" s="604">
        <v>6</v>
      </c>
      <c r="N3466" s="604">
        <v>3414</v>
      </c>
      <c r="O3466" s="604">
        <v>1.8</v>
      </c>
      <c r="P3466" s="604" t="s">
        <v>484</v>
      </c>
      <c r="Q3466" s="499"/>
    </row>
    <row r="3467" spans="9:17">
      <c r="I3467" s="578" t="str">
        <f t="shared" si="200"/>
        <v>2016dhbUnknownNeo</v>
      </c>
      <c r="J3467" s="604">
        <v>2016</v>
      </c>
      <c r="K3467" s="604" t="s">
        <v>448</v>
      </c>
      <c r="L3467" s="604" t="s">
        <v>63</v>
      </c>
      <c r="M3467" s="604">
        <v>0</v>
      </c>
      <c r="N3467" s="604">
        <v>130</v>
      </c>
      <c r="O3467" s="604" t="s">
        <v>119</v>
      </c>
      <c r="P3467" s="604" t="s">
        <v>484</v>
      </c>
      <c r="Q3467" s="499"/>
    </row>
    <row r="3468" spans="9:17">
      <c r="I3468" s="578" t="str">
        <f t="shared" si="200"/>
        <v>1996OverallTotalPN</v>
      </c>
      <c r="J3468" s="604">
        <v>1996</v>
      </c>
      <c r="K3468" s="604" t="s">
        <v>104</v>
      </c>
      <c r="L3468" s="604" t="s">
        <v>44</v>
      </c>
      <c r="M3468" s="604">
        <v>194</v>
      </c>
      <c r="N3468" s="604">
        <v>57434</v>
      </c>
      <c r="O3468" s="604">
        <v>3.4</v>
      </c>
      <c r="P3468" s="604" t="s">
        <v>436</v>
      </c>
      <c r="Q3468" s="499"/>
    </row>
    <row r="3469" spans="9:17">
      <c r="I3469" s="578" t="str">
        <f t="shared" si="200"/>
        <v>1997OverallTotalPN</v>
      </c>
      <c r="J3469" s="604">
        <v>1997</v>
      </c>
      <c r="K3469" s="604" t="s">
        <v>104</v>
      </c>
      <c r="L3469" s="604" t="s">
        <v>44</v>
      </c>
      <c r="M3469" s="604">
        <v>182</v>
      </c>
      <c r="N3469" s="604">
        <v>57734</v>
      </c>
      <c r="O3469" s="604">
        <v>3.2</v>
      </c>
      <c r="P3469" s="604" t="s">
        <v>436</v>
      </c>
      <c r="Q3469" s="499"/>
    </row>
    <row r="3470" spans="9:17">
      <c r="I3470" s="578" t="str">
        <f t="shared" si="200"/>
        <v>1998OverallTotalPN</v>
      </c>
      <c r="J3470" s="604">
        <v>1998</v>
      </c>
      <c r="K3470" s="604" t="s">
        <v>104</v>
      </c>
      <c r="L3470" s="604" t="s">
        <v>44</v>
      </c>
      <c r="M3470" s="604">
        <v>137</v>
      </c>
      <c r="N3470" s="604">
        <v>57734</v>
      </c>
      <c r="O3470" s="604">
        <v>2.4</v>
      </c>
      <c r="P3470" s="604" t="s">
        <v>436</v>
      </c>
      <c r="Q3470" s="499"/>
    </row>
    <row r="3471" spans="9:17">
      <c r="I3471" s="578" t="str">
        <f t="shared" si="200"/>
        <v>1999OverallTotalPN</v>
      </c>
      <c r="J3471" s="604">
        <v>1999</v>
      </c>
      <c r="K3471" s="604" t="s">
        <v>104</v>
      </c>
      <c r="L3471" s="604" t="s">
        <v>44</v>
      </c>
      <c r="M3471" s="604">
        <v>153</v>
      </c>
      <c r="N3471" s="604">
        <v>57421</v>
      </c>
      <c r="O3471" s="604">
        <v>2.7</v>
      </c>
      <c r="P3471" s="604" t="s">
        <v>436</v>
      </c>
      <c r="Q3471" s="499"/>
    </row>
    <row r="3472" spans="9:17">
      <c r="I3472" s="578" t="str">
        <f t="shared" si="200"/>
        <v>2000OverallTotalPN</v>
      </c>
      <c r="J3472" s="604">
        <v>2000</v>
      </c>
      <c r="K3472" s="604" t="s">
        <v>104</v>
      </c>
      <c r="L3472" s="604" t="s">
        <v>44</v>
      </c>
      <c r="M3472" s="604">
        <v>143</v>
      </c>
      <c r="N3472" s="604">
        <v>56994</v>
      </c>
      <c r="O3472" s="604">
        <v>2.5</v>
      </c>
      <c r="P3472" s="604" t="s">
        <v>436</v>
      </c>
      <c r="Q3472" s="499"/>
    </row>
    <row r="3473" spans="9:17">
      <c r="I3473" s="578" t="str">
        <f t="shared" si="200"/>
        <v>2001OverallTotalPN</v>
      </c>
      <c r="J3473" s="604">
        <v>2001</v>
      </c>
      <c r="K3473" s="604" t="s">
        <v>104</v>
      </c>
      <c r="L3473" s="604" t="s">
        <v>44</v>
      </c>
      <c r="M3473" s="604">
        <v>145</v>
      </c>
      <c r="N3473" s="604">
        <v>56224</v>
      </c>
      <c r="O3473" s="604">
        <v>2.6</v>
      </c>
      <c r="P3473" s="604" t="s">
        <v>436</v>
      </c>
      <c r="Q3473" s="499"/>
    </row>
    <row r="3474" spans="9:17">
      <c r="I3474" s="578" t="str">
        <f t="shared" si="200"/>
        <v>2002OverallTotalPN</v>
      </c>
      <c r="J3474" s="604">
        <v>2002</v>
      </c>
      <c r="K3474" s="604" t="s">
        <v>104</v>
      </c>
      <c r="L3474" s="604" t="s">
        <v>44</v>
      </c>
      <c r="M3474" s="604">
        <v>116</v>
      </c>
      <c r="N3474" s="604">
        <v>54515</v>
      </c>
      <c r="O3474" s="604">
        <v>2.1</v>
      </c>
      <c r="P3474" s="604" t="s">
        <v>436</v>
      </c>
      <c r="Q3474" s="499"/>
    </row>
    <row r="3475" spans="9:17">
      <c r="I3475" s="578" t="str">
        <f t="shared" si="200"/>
        <v>2003OverallTotalPN</v>
      </c>
      <c r="J3475" s="604">
        <v>2003</v>
      </c>
      <c r="K3475" s="604" t="s">
        <v>104</v>
      </c>
      <c r="L3475" s="604" t="s">
        <v>44</v>
      </c>
      <c r="M3475" s="604">
        <v>120</v>
      </c>
      <c r="N3475" s="604">
        <v>56576</v>
      </c>
      <c r="O3475" s="604">
        <v>2.1</v>
      </c>
      <c r="P3475" s="604" t="s">
        <v>436</v>
      </c>
      <c r="Q3475" s="499"/>
    </row>
    <row r="3476" spans="9:17">
      <c r="I3476" s="578" t="str">
        <f t="shared" si="200"/>
        <v>2004OverallTotalPN</v>
      </c>
      <c r="J3476" s="604">
        <v>2004</v>
      </c>
      <c r="K3476" s="604" t="s">
        <v>104</v>
      </c>
      <c r="L3476" s="604" t="s">
        <v>44</v>
      </c>
      <c r="M3476" s="604">
        <v>149</v>
      </c>
      <c r="N3476" s="604">
        <v>58723</v>
      </c>
      <c r="O3476" s="604">
        <v>2.5</v>
      </c>
      <c r="P3476" s="604" t="s">
        <v>436</v>
      </c>
      <c r="Q3476" s="499"/>
    </row>
    <row r="3477" spans="9:17">
      <c r="I3477" s="578" t="str">
        <f t="shared" si="200"/>
        <v>2005OverallTotalPN</v>
      </c>
      <c r="J3477" s="604">
        <v>2005</v>
      </c>
      <c r="K3477" s="604" t="s">
        <v>104</v>
      </c>
      <c r="L3477" s="604" t="s">
        <v>44</v>
      </c>
      <c r="M3477" s="604">
        <v>111</v>
      </c>
      <c r="N3477" s="604">
        <v>58727</v>
      </c>
      <c r="O3477" s="604">
        <v>1.9</v>
      </c>
      <c r="P3477" s="604" t="s">
        <v>436</v>
      </c>
      <c r="Q3477" s="499"/>
    </row>
    <row r="3478" spans="9:17">
      <c r="I3478" s="578" t="str">
        <f t="shared" si="200"/>
        <v>2006OverallTotalPN</v>
      </c>
      <c r="J3478" s="604">
        <v>2006</v>
      </c>
      <c r="K3478" s="604" t="s">
        <v>104</v>
      </c>
      <c r="L3478" s="604" t="s">
        <v>44</v>
      </c>
      <c r="M3478" s="604">
        <v>143</v>
      </c>
      <c r="N3478" s="604">
        <v>60274</v>
      </c>
      <c r="O3478" s="604">
        <v>2.4</v>
      </c>
      <c r="P3478" s="604" t="s">
        <v>436</v>
      </c>
      <c r="Q3478" s="499"/>
    </row>
    <row r="3479" spans="9:17">
      <c r="I3479" s="578" t="str">
        <f t="shared" si="200"/>
        <v>2007OverallTotalPN</v>
      </c>
      <c r="J3479" s="604">
        <v>2007</v>
      </c>
      <c r="K3479" s="604" t="s">
        <v>104</v>
      </c>
      <c r="L3479" s="604" t="s">
        <v>44</v>
      </c>
      <c r="M3479" s="604">
        <v>146</v>
      </c>
      <c r="N3479" s="604">
        <v>65121</v>
      </c>
      <c r="O3479" s="604">
        <v>2.2000000000000002</v>
      </c>
      <c r="P3479" s="604" t="s">
        <v>436</v>
      </c>
      <c r="Q3479" s="499"/>
    </row>
    <row r="3480" spans="9:17">
      <c r="I3480" s="578" t="str">
        <f t="shared" si="200"/>
        <v>2008OverallTotalPN</v>
      </c>
      <c r="J3480" s="604">
        <v>2008</v>
      </c>
      <c r="K3480" s="604" t="s">
        <v>104</v>
      </c>
      <c r="L3480" s="604" t="s">
        <v>44</v>
      </c>
      <c r="M3480" s="604">
        <v>136</v>
      </c>
      <c r="N3480" s="604">
        <v>65333</v>
      </c>
      <c r="O3480" s="604">
        <v>2.1</v>
      </c>
      <c r="P3480" s="604" t="s">
        <v>436</v>
      </c>
      <c r="Q3480" s="499"/>
    </row>
    <row r="3481" spans="9:17">
      <c r="I3481" s="578" t="str">
        <f t="shared" si="200"/>
        <v>2009OverallTotalPN</v>
      </c>
      <c r="J3481" s="604">
        <v>2009</v>
      </c>
      <c r="K3481" s="604" t="s">
        <v>104</v>
      </c>
      <c r="L3481" s="604" t="s">
        <v>44</v>
      </c>
      <c r="M3481" s="604">
        <v>135</v>
      </c>
      <c r="N3481" s="604">
        <v>63285</v>
      </c>
      <c r="O3481" s="604">
        <v>2.1</v>
      </c>
      <c r="P3481" s="604" t="s">
        <v>436</v>
      </c>
      <c r="Q3481" s="499"/>
    </row>
    <row r="3482" spans="9:17">
      <c r="I3482" s="578" t="str">
        <f t="shared" si="200"/>
        <v>2010OverallTotalPN</v>
      </c>
      <c r="J3482" s="604">
        <v>2010</v>
      </c>
      <c r="K3482" s="604" t="s">
        <v>104</v>
      </c>
      <c r="L3482" s="604" t="s">
        <v>44</v>
      </c>
      <c r="M3482" s="604">
        <v>127</v>
      </c>
      <c r="N3482" s="604">
        <v>64699</v>
      </c>
      <c r="O3482" s="604">
        <v>2</v>
      </c>
      <c r="P3482" s="604" t="s">
        <v>436</v>
      </c>
      <c r="Q3482" s="499"/>
    </row>
    <row r="3483" spans="9:17">
      <c r="I3483" s="578" t="str">
        <f t="shared" si="200"/>
        <v>2011OverallTotalPN</v>
      </c>
      <c r="J3483" s="604">
        <v>2011</v>
      </c>
      <c r="K3483" s="604" t="s">
        <v>104</v>
      </c>
      <c r="L3483" s="604" t="s">
        <v>44</v>
      </c>
      <c r="M3483" s="604">
        <v>125</v>
      </c>
      <c r="N3483" s="604">
        <v>62174</v>
      </c>
      <c r="O3483" s="604">
        <v>2</v>
      </c>
      <c r="P3483" s="604" t="s">
        <v>436</v>
      </c>
      <c r="Q3483" s="499"/>
    </row>
    <row r="3484" spans="9:17">
      <c r="I3484" s="578" t="str">
        <f t="shared" si="200"/>
        <v>2012OverallTotalPN</v>
      </c>
      <c r="J3484" s="604">
        <v>2012</v>
      </c>
      <c r="K3484" s="604" t="s">
        <v>104</v>
      </c>
      <c r="L3484" s="604" t="s">
        <v>44</v>
      </c>
      <c r="M3484" s="604">
        <v>100</v>
      </c>
      <c r="N3484" s="604">
        <v>62035</v>
      </c>
      <c r="O3484" s="604">
        <v>1.6</v>
      </c>
      <c r="P3484" s="604" t="s">
        <v>436</v>
      </c>
      <c r="Q3484" s="499"/>
    </row>
    <row r="3485" spans="9:17">
      <c r="I3485" s="578" t="str">
        <f t="shared" si="200"/>
        <v>2013OverallTotalPN</v>
      </c>
      <c r="J3485" s="604">
        <v>2013</v>
      </c>
      <c r="K3485" s="604" t="s">
        <v>104</v>
      </c>
      <c r="L3485" s="604" t="s">
        <v>44</v>
      </c>
      <c r="M3485" s="604">
        <v>98</v>
      </c>
      <c r="N3485" s="604">
        <v>59701</v>
      </c>
      <c r="O3485" s="604">
        <v>1.6</v>
      </c>
      <c r="P3485" s="604" t="s">
        <v>436</v>
      </c>
      <c r="Q3485" s="499"/>
    </row>
    <row r="3486" spans="9:17">
      <c r="I3486" s="578" t="str">
        <f t="shared" si="200"/>
        <v>2014OverallTotalPN</v>
      </c>
      <c r="J3486" s="604">
        <v>2014</v>
      </c>
      <c r="K3486" s="604" t="s">
        <v>104</v>
      </c>
      <c r="L3486" s="604" t="s">
        <v>44</v>
      </c>
      <c r="M3486" s="604">
        <v>93</v>
      </c>
      <c r="N3486" s="604">
        <v>58285</v>
      </c>
      <c r="O3486" s="604">
        <v>1.6</v>
      </c>
      <c r="P3486" s="604" t="s">
        <v>436</v>
      </c>
      <c r="Q3486" s="499"/>
    </row>
    <row r="3487" spans="9:17">
      <c r="I3487" s="578" t="str">
        <f t="shared" si="200"/>
        <v>2015OverallTotalPN</v>
      </c>
      <c r="J3487" s="604">
        <v>2015</v>
      </c>
      <c r="K3487" s="604" t="s">
        <v>104</v>
      </c>
      <c r="L3487" s="604" t="s">
        <v>44</v>
      </c>
      <c r="M3487" s="604">
        <v>91</v>
      </c>
      <c r="N3487" s="604">
        <v>62122</v>
      </c>
      <c r="O3487" s="604">
        <v>1.5</v>
      </c>
      <c r="P3487" s="604" t="s">
        <v>436</v>
      </c>
      <c r="Q3487" s="499"/>
    </row>
    <row r="3488" spans="9:17">
      <c r="I3488" s="578" t="str">
        <f t="shared" si="200"/>
        <v>2016OverallTotalPN</v>
      </c>
      <c r="J3488" s="604">
        <v>2016</v>
      </c>
      <c r="K3488" s="604" t="s">
        <v>104</v>
      </c>
      <c r="L3488" s="604" t="s">
        <v>44</v>
      </c>
      <c r="M3488" s="604">
        <v>80</v>
      </c>
      <c r="N3488" s="604">
        <v>60436</v>
      </c>
      <c r="O3488" s="604">
        <v>1.3</v>
      </c>
      <c r="P3488" s="604" t="s">
        <v>436</v>
      </c>
      <c r="Q3488" s="499"/>
    </row>
    <row r="3489" spans="9:17">
      <c r="I3489" s="578" t="str">
        <f t="shared" si="200"/>
        <v>1996age&lt;20PN</v>
      </c>
      <c r="J3489" s="604">
        <v>1996</v>
      </c>
      <c r="K3489" s="604" t="s">
        <v>453</v>
      </c>
      <c r="L3489" s="604" t="s">
        <v>339</v>
      </c>
      <c r="M3489" s="604">
        <v>36</v>
      </c>
      <c r="N3489" s="604">
        <v>4412</v>
      </c>
      <c r="O3489" s="604">
        <v>8.1999999999999993</v>
      </c>
      <c r="P3489" s="604" t="s">
        <v>436</v>
      </c>
      <c r="Q3489" s="499"/>
    </row>
    <row r="3490" spans="9:17">
      <c r="I3490" s="578" t="str">
        <f t="shared" si="200"/>
        <v>1996age20-24PN</v>
      </c>
      <c r="J3490" s="604">
        <v>1996</v>
      </c>
      <c r="K3490" s="604" t="s">
        <v>453</v>
      </c>
      <c r="L3490" s="604" t="s">
        <v>130</v>
      </c>
      <c r="M3490" s="604">
        <v>59</v>
      </c>
      <c r="N3490" s="604">
        <v>11417</v>
      </c>
      <c r="O3490" s="604">
        <v>5.2</v>
      </c>
      <c r="P3490" s="604" t="s">
        <v>436</v>
      </c>
      <c r="Q3490" s="499"/>
    </row>
    <row r="3491" spans="9:17">
      <c r="I3491" s="578" t="str">
        <f t="shared" si="200"/>
        <v>1996age25-29PN</v>
      </c>
      <c r="J3491" s="604">
        <v>1996</v>
      </c>
      <c r="K3491" s="604" t="s">
        <v>453</v>
      </c>
      <c r="L3491" s="604" t="s">
        <v>131</v>
      </c>
      <c r="M3491" s="604">
        <v>46</v>
      </c>
      <c r="N3491" s="604">
        <v>17456</v>
      </c>
      <c r="O3491" s="604">
        <v>2.6</v>
      </c>
      <c r="P3491" s="604" t="s">
        <v>436</v>
      </c>
      <c r="Q3491" s="499"/>
    </row>
    <row r="3492" spans="9:17">
      <c r="I3492" s="578" t="str">
        <f t="shared" si="200"/>
        <v>1996age30-34PN</v>
      </c>
      <c r="J3492" s="604">
        <v>1996</v>
      </c>
      <c r="K3492" s="604" t="s">
        <v>453</v>
      </c>
      <c r="L3492" s="604" t="s">
        <v>132</v>
      </c>
      <c r="M3492" s="604">
        <v>30</v>
      </c>
      <c r="N3492" s="604">
        <v>16299</v>
      </c>
      <c r="O3492" s="604">
        <v>1.8</v>
      </c>
      <c r="P3492" s="604" t="s">
        <v>436</v>
      </c>
      <c r="Q3492" s="499"/>
    </row>
    <row r="3493" spans="9:17">
      <c r="I3493" s="578" t="str">
        <f t="shared" si="200"/>
        <v>1996age35-39PN</v>
      </c>
      <c r="J3493" s="604">
        <v>1996</v>
      </c>
      <c r="K3493" s="604" t="s">
        <v>453</v>
      </c>
      <c r="L3493" s="604" t="s">
        <v>133</v>
      </c>
      <c r="M3493" s="604">
        <v>16</v>
      </c>
      <c r="N3493" s="604">
        <v>6726</v>
      </c>
      <c r="O3493" s="604">
        <v>2.4</v>
      </c>
      <c r="P3493" s="604" t="s">
        <v>436</v>
      </c>
      <c r="Q3493" s="499"/>
    </row>
    <row r="3494" spans="9:17">
      <c r="I3494" s="578" t="str">
        <f t="shared" si="200"/>
        <v>1996age40+PN</v>
      </c>
      <c r="J3494" s="604">
        <v>1996</v>
      </c>
      <c r="K3494" s="604" t="s">
        <v>453</v>
      </c>
      <c r="L3494" s="604" t="s">
        <v>134</v>
      </c>
      <c r="M3494" s="604">
        <v>5</v>
      </c>
      <c r="N3494" s="604">
        <v>1124</v>
      </c>
      <c r="O3494" s="604">
        <v>4.4000000000000004</v>
      </c>
      <c r="P3494" s="604" t="s">
        <v>436</v>
      </c>
      <c r="Q3494" s="499"/>
    </row>
    <row r="3495" spans="9:17">
      <c r="I3495" s="578" t="str">
        <f t="shared" si="200"/>
        <v>1996ageUnknownPN</v>
      </c>
      <c r="J3495" s="604">
        <v>1996</v>
      </c>
      <c r="K3495" s="604" t="s">
        <v>453</v>
      </c>
      <c r="L3495" s="604" t="s">
        <v>63</v>
      </c>
      <c r="M3495" s="604">
        <v>2</v>
      </c>
      <c r="N3495" s="604">
        <v>0</v>
      </c>
      <c r="O3495" s="604" t="s">
        <v>119</v>
      </c>
      <c r="P3495" s="604" t="s">
        <v>436</v>
      </c>
      <c r="Q3495" s="499"/>
    </row>
    <row r="3496" spans="9:17">
      <c r="I3496" s="578" t="str">
        <f t="shared" si="200"/>
        <v>1997age&lt;20PN</v>
      </c>
      <c r="J3496" s="604">
        <v>1997</v>
      </c>
      <c r="K3496" s="604" t="s">
        <v>453</v>
      </c>
      <c r="L3496" s="604" t="s">
        <v>339</v>
      </c>
      <c r="M3496" s="604">
        <v>24</v>
      </c>
      <c r="N3496" s="604">
        <v>4403</v>
      </c>
      <c r="O3496" s="604">
        <v>5.5</v>
      </c>
      <c r="P3496" s="604" t="s">
        <v>436</v>
      </c>
      <c r="Q3496" s="499"/>
    </row>
    <row r="3497" spans="9:17">
      <c r="I3497" s="578" t="str">
        <f t="shared" si="200"/>
        <v>1997age20-24PN</v>
      </c>
      <c r="J3497" s="604">
        <v>1997</v>
      </c>
      <c r="K3497" s="604" t="s">
        <v>453</v>
      </c>
      <c r="L3497" s="604" t="s">
        <v>130</v>
      </c>
      <c r="M3497" s="604">
        <v>52</v>
      </c>
      <c r="N3497" s="604">
        <v>10833</v>
      </c>
      <c r="O3497" s="604">
        <v>4.8</v>
      </c>
      <c r="P3497" s="604" t="s">
        <v>436</v>
      </c>
      <c r="Q3497" s="499"/>
    </row>
    <row r="3498" spans="9:17">
      <c r="I3498" s="578" t="str">
        <f t="shared" si="200"/>
        <v>1997age25-29PN</v>
      </c>
      <c r="J3498" s="604">
        <v>1997</v>
      </c>
      <c r="K3498" s="604" t="s">
        <v>453</v>
      </c>
      <c r="L3498" s="604" t="s">
        <v>131</v>
      </c>
      <c r="M3498" s="604">
        <v>50</v>
      </c>
      <c r="N3498" s="604">
        <v>17156</v>
      </c>
      <c r="O3498" s="604">
        <v>2.9</v>
      </c>
      <c r="P3498" s="604" t="s">
        <v>436</v>
      </c>
      <c r="Q3498" s="499"/>
    </row>
    <row r="3499" spans="9:17">
      <c r="I3499" s="578" t="str">
        <f t="shared" si="200"/>
        <v>1997age30-34PN</v>
      </c>
      <c r="J3499" s="604">
        <v>1997</v>
      </c>
      <c r="K3499" s="604" t="s">
        <v>453</v>
      </c>
      <c r="L3499" s="604" t="s">
        <v>132</v>
      </c>
      <c r="M3499" s="604">
        <v>33</v>
      </c>
      <c r="N3499" s="604">
        <v>16688</v>
      </c>
      <c r="O3499" s="604">
        <v>2</v>
      </c>
      <c r="P3499" s="604" t="s">
        <v>436</v>
      </c>
      <c r="Q3499" s="499"/>
    </row>
    <row r="3500" spans="9:17">
      <c r="I3500" s="578" t="str">
        <f t="shared" si="200"/>
        <v>1997age35-39PN</v>
      </c>
      <c r="J3500" s="604">
        <v>1997</v>
      </c>
      <c r="K3500" s="604" t="s">
        <v>453</v>
      </c>
      <c r="L3500" s="604" t="s">
        <v>133</v>
      </c>
      <c r="M3500" s="604">
        <v>19</v>
      </c>
      <c r="N3500" s="604">
        <v>7397</v>
      </c>
      <c r="O3500" s="604">
        <v>2.6</v>
      </c>
      <c r="P3500" s="604" t="s">
        <v>436</v>
      </c>
      <c r="Q3500" s="499"/>
    </row>
    <row r="3501" spans="9:17">
      <c r="I3501" s="578" t="str">
        <f t="shared" si="200"/>
        <v>1997age40+PN</v>
      </c>
      <c r="J3501" s="604">
        <v>1997</v>
      </c>
      <c r="K3501" s="604" t="s">
        <v>453</v>
      </c>
      <c r="L3501" s="604" t="s">
        <v>134</v>
      </c>
      <c r="M3501" s="604">
        <v>1</v>
      </c>
      <c r="N3501" s="604">
        <v>1257</v>
      </c>
      <c r="O3501" s="604">
        <v>0.8</v>
      </c>
      <c r="P3501" s="604" t="s">
        <v>436</v>
      </c>
      <c r="Q3501" s="499"/>
    </row>
    <row r="3502" spans="9:17">
      <c r="I3502" s="578" t="str">
        <f t="shared" si="200"/>
        <v>1997ageUnknownPN</v>
      </c>
      <c r="J3502" s="604">
        <v>1997</v>
      </c>
      <c r="K3502" s="604" t="s">
        <v>453</v>
      </c>
      <c r="L3502" s="604" t="s">
        <v>63</v>
      </c>
      <c r="M3502" s="604">
        <v>3</v>
      </c>
      <c r="N3502" s="604">
        <v>0</v>
      </c>
      <c r="O3502" s="604" t="s">
        <v>119</v>
      </c>
      <c r="P3502" s="604" t="s">
        <v>436</v>
      </c>
      <c r="Q3502" s="499"/>
    </row>
    <row r="3503" spans="9:17">
      <c r="I3503" s="578" t="str">
        <f t="shared" si="200"/>
        <v>1998age&lt;20PN</v>
      </c>
      <c r="J3503" s="604">
        <v>1998</v>
      </c>
      <c r="K3503" s="604" t="s">
        <v>453</v>
      </c>
      <c r="L3503" s="604" t="s">
        <v>339</v>
      </c>
      <c r="M3503" s="604">
        <v>23</v>
      </c>
      <c r="N3503" s="604">
        <v>4403</v>
      </c>
      <c r="O3503" s="604">
        <v>5.2</v>
      </c>
      <c r="P3503" s="604" t="s">
        <v>436</v>
      </c>
      <c r="Q3503" s="499"/>
    </row>
    <row r="3504" spans="9:17">
      <c r="I3504" s="578" t="str">
        <f t="shared" si="200"/>
        <v>1998age20-24PN</v>
      </c>
      <c r="J3504" s="604">
        <v>1998</v>
      </c>
      <c r="K3504" s="604" t="s">
        <v>453</v>
      </c>
      <c r="L3504" s="604" t="s">
        <v>130</v>
      </c>
      <c r="M3504" s="604">
        <v>37</v>
      </c>
      <c r="N3504" s="604">
        <v>10833</v>
      </c>
      <c r="O3504" s="604">
        <v>3.4</v>
      </c>
      <c r="P3504" s="604" t="s">
        <v>436</v>
      </c>
      <c r="Q3504" s="499"/>
    </row>
    <row r="3505" spans="9:17">
      <c r="I3505" s="578" t="str">
        <f t="shared" si="200"/>
        <v>1998age25-29PN</v>
      </c>
      <c r="J3505" s="604">
        <v>1998</v>
      </c>
      <c r="K3505" s="604" t="s">
        <v>453</v>
      </c>
      <c r="L3505" s="604" t="s">
        <v>131</v>
      </c>
      <c r="M3505" s="604">
        <v>35</v>
      </c>
      <c r="N3505" s="604">
        <v>17156</v>
      </c>
      <c r="O3505" s="604">
        <v>2</v>
      </c>
      <c r="P3505" s="604" t="s">
        <v>436</v>
      </c>
      <c r="Q3505" s="499"/>
    </row>
    <row r="3506" spans="9:17">
      <c r="I3506" s="578" t="str">
        <f t="shared" si="200"/>
        <v>1998age30-34PN</v>
      </c>
      <c r="J3506" s="604">
        <v>1998</v>
      </c>
      <c r="K3506" s="604" t="s">
        <v>453</v>
      </c>
      <c r="L3506" s="604" t="s">
        <v>132</v>
      </c>
      <c r="M3506" s="604">
        <v>21</v>
      </c>
      <c r="N3506" s="604">
        <v>16688</v>
      </c>
      <c r="O3506" s="604">
        <v>1.3</v>
      </c>
      <c r="P3506" s="604" t="s">
        <v>436</v>
      </c>
      <c r="Q3506" s="499"/>
    </row>
    <row r="3507" spans="9:17">
      <c r="I3507" s="578" t="str">
        <f t="shared" si="200"/>
        <v>1998age35-39PN</v>
      </c>
      <c r="J3507" s="604">
        <v>1998</v>
      </c>
      <c r="K3507" s="604" t="s">
        <v>453</v>
      </c>
      <c r="L3507" s="604" t="s">
        <v>133</v>
      </c>
      <c r="M3507" s="604">
        <v>19</v>
      </c>
      <c r="N3507" s="604">
        <v>7397</v>
      </c>
      <c r="O3507" s="604">
        <v>2.6</v>
      </c>
      <c r="P3507" s="604" t="s">
        <v>436</v>
      </c>
      <c r="Q3507" s="499"/>
    </row>
    <row r="3508" spans="9:17">
      <c r="I3508" s="578" t="str">
        <f t="shared" si="200"/>
        <v>1998age40+PN</v>
      </c>
      <c r="J3508" s="604">
        <v>1998</v>
      </c>
      <c r="K3508" s="604" t="s">
        <v>453</v>
      </c>
      <c r="L3508" s="604" t="s">
        <v>134</v>
      </c>
      <c r="M3508" s="604">
        <v>2</v>
      </c>
      <c r="N3508" s="604">
        <v>1257</v>
      </c>
      <c r="O3508" s="604">
        <v>1.6</v>
      </c>
      <c r="P3508" s="604" t="s">
        <v>436</v>
      </c>
      <c r="Q3508" s="499"/>
    </row>
    <row r="3509" spans="9:17">
      <c r="I3509" s="578" t="str">
        <f t="shared" si="200"/>
        <v>1998ageUnknownPN</v>
      </c>
      <c r="J3509" s="604">
        <v>1998</v>
      </c>
      <c r="K3509" s="604" t="s">
        <v>453</v>
      </c>
      <c r="L3509" s="604" t="s">
        <v>63</v>
      </c>
      <c r="M3509" s="604">
        <v>0</v>
      </c>
      <c r="N3509" s="604">
        <v>0</v>
      </c>
      <c r="O3509" s="604" t="s">
        <v>119</v>
      </c>
      <c r="P3509" s="604" t="s">
        <v>436</v>
      </c>
      <c r="Q3509" s="499"/>
    </row>
    <row r="3510" spans="9:17">
      <c r="I3510" s="578" t="str">
        <f t="shared" si="200"/>
        <v>1999age&lt;20PN</v>
      </c>
      <c r="J3510" s="604">
        <v>1999</v>
      </c>
      <c r="K3510" s="604" t="s">
        <v>453</v>
      </c>
      <c r="L3510" s="604" t="s">
        <v>339</v>
      </c>
      <c r="M3510" s="604">
        <v>26</v>
      </c>
      <c r="N3510" s="604">
        <v>3889</v>
      </c>
      <c r="O3510" s="604">
        <v>6.7</v>
      </c>
      <c r="P3510" s="604" t="s">
        <v>436</v>
      </c>
      <c r="Q3510" s="499"/>
    </row>
    <row r="3511" spans="9:17">
      <c r="I3511" s="578" t="str">
        <f t="shared" si="200"/>
        <v>1999age20-24PN</v>
      </c>
      <c r="J3511" s="604">
        <v>1999</v>
      </c>
      <c r="K3511" s="604" t="s">
        <v>453</v>
      </c>
      <c r="L3511" s="604" t="s">
        <v>130</v>
      </c>
      <c r="M3511" s="604">
        <v>52</v>
      </c>
      <c r="N3511" s="604">
        <v>10070</v>
      </c>
      <c r="O3511" s="604">
        <v>5.2</v>
      </c>
      <c r="P3511" s="604" t="s">
        <v>436</v>
      </c>
      <c r="Q3511" s="499"/>
    </row>
    <row r="3512" spans="9:17">
      <c r="I3512" s="578" t="str">
        <f t="shared" si="200"/>
        <v>1999age25-29PN</v>
      </c>
      <c r="J3512" s="604">
        <v>1999</v>
      </c>
      <c r="K3512" s="604" t="s">
        <v>453</v>
      </c>
      <c r="L3512" s="604" t="s">
        <v>131</v>
      </c>
      <c r="M3512" s="604">
        <v>34</v>
      </c>
      <c r="N3512" s="604">
        <v>16548</v>
      </c>
      <c r="O3512" s="604">
        <v>2.1</v>
      </c>
      <c r="P3512" s="604" t="s">
        <v>436</v>
      </c>
      <c r="Q3512" s="499"/>
    </row>
    <row r="3513" spans="9:17">
      <c r="I3513" s="578" t="str">
        <f t="shared" si="200"/>
        <v>1999age30-34PN</v>
      </c>
      <c r="J3513" s="604">
        <v>1999</v>
      </c>
      <c r="K3513" s="604" t="s">
        <v>453</v>
      </c>
      <c r="L3513" s="604" t="s">
        <v>132</v>
      </c>
      <c r="M3513" s="604">
        <v>28</v>
      </c>
      <c r="N3513" s="604">
        <v>17187</v>
      </c>
      <c r="O3513" s="604">
        <v>1.6</v>
      </c>
      <c r="P3513" s="604" t="s">
        <v>436</v>
      </c>
      <c r="Q3513" s="499"/>
    </row>
    <row r="3514" spans="9:17">
      <c r="I3514" s="578" t="str">
        <f t="shared" si="200"/>
        <v>1999age35-39PN</v>
      </c>
      <c r="J3514" s="604">
        <v>1999</v>
      </c>
      <c r="K3514" s="604" t="s">
        <v>453</v>
      </c>
      <c r="L3514" s="604" t="s">
        <v>133</v>
      </c>
      <c r="M3514" s="604">
        <v>10</v>
      </c>
      <c r="N3514" s="604">
        <v>8266</v>
      </c>
      <c r="O3514" s="604">
        <v>1.2</v>
      </c>
      <c r="P3514" s="604" t="s">
        <v>436</v>
      </c>
      <c r="Q3514" s="499"/>
    </row>
    <row r="3515" spans="9:17">
      <c r="I3515" s="578" t="str">
        <f t="shared" si="200"/>
        <v>1999age40+PN</v>
      </c>
      <c r="J3515" s="604">
        <v>1999</v>
      </c>
      <c r="K3515" s="604" t="s">
        <v>453</v>
      </c>
      <c r="L3515" s="604" t="s">
        <v>134</v>
      </c>
      <c r="M3515" s="604">
        <v>1</v>
      </c>
      <c r="N3515" s="604">
        <v>1458</v>
      </c>
      <c r="O3515" s="604">
        <v>0.7</v>
      </c>
      <c r="P3515" s="604" t="s">
        <v>436</v>
      </c>
      <c r="Q3515" s="499"/>
    </row>
    <row r="3516" spans="9:17">
      <c r="I3516" s="578" t="str">
        <f t="shared" si="200"/>
        <v>1999ageUnknownPN</v>
      </c>
      <c r="J3516" s="604">
        <v>1999</v>
      </c>
      <c r="K3516" s="604" t="s">
        <v>453</v>
      </c>
      <c r="L3516" s="604" t="s">
        <v>63</v>
      </c>
      <c r="M3516" s="604">
        <v>2</v>
      </c>
      <c r="N3516" s="604">
        <v>3</v>
      </c>
      <c r="O3516" s="604" t="s">
        <v>119</v>
      </c>
      <c r="P3516" s="604" t="s">
        <v>436</v>
      </c>
      <c r="Q3516" s="499"/>
    </row>
    <row r="3517" spans="9:17">
      <c r="I3517" s="578" t="str">
        <f t="shared" si="200"/>
        <v>2000age&lt;20PN</v>
      </c>
      <c r="J3517" s="604">
        <v>2000</v>
      </c>
      <c r="K3517" s="604" t="s">
        <v>453</v>
      </c>
      <c r="L3517" s="604" t="s">
        <v>339</v>
      </c>
      <c r="M3517" s="604">
        <v>22</v>
      </c>
      <c r="N3517" s="604">
        <v>3823</v>
      </c>
      <c r="O3517" s="604">
        <v>5.8</v>
      </c>
      <c r="P3517" s="604" t="s">
        <v>436</v>
      </c>
      <c r="Q3517" s="499"/>
    </row>
    <row r="3518" spans="9:17">
      <c r="I3518" s="578" t="str">
        <f t="shared" si="200"/>
        <v>2000age20-24PN</v>
      </c>
      <c r="J3518" s="604">
        <v>2000</v>
      </c>
      <c r="K3518" s="604" t="s">
        <v>453</v>
      </c>
      <c r="L3518" s="604" t="s">
        <v>130</v>
      </c>
      <c r="M3518" s="604">
        <v>51</v>
      </c>
      <c r="N3518" s="604">
        <v>9937</v>
      </c>
      <c r="O3518" s="604">
        <v>5.0999999999999996</v>
      </c>
      <c r="P3518" s="604" t="s">
        <v>436</v>
      </c>
      <c r="Q3518" s="499"/>
    </row>
    <row r="3519" spans="9:17">
      <c r="I3519" s="578" t="str">
        <f t="shared" si="200"/>
        <v>2000age25-29PN</v>
      </c>
      <c r="J3519" s="604">
        <v>2000</v>
      </c>
      <c r="K3519" s="604" t="s">
        <v>453</v>
      </c>
      <c r="L3519" s="604" t="s">
        <v>131</v>
      </c>
      <c r="M3519" s="604">
        <v>24</v>
      </c>
      <c r="N3519" s="604">
        <v>15892</v>
      </c>
      <c r="O3519" s="604">
        <v>1.5</v>
      </c>
      <c r="P3519" s="604" t="s">
        <v>436</v>
      </c>
      <c r="Q3519" s="499"/>
    </row>
    <row r="3520" spans="9:17">
      <c r="I3520" s="578" t="str">
        <f t="shared" si="200"/>
        <v>2000age30-34PN</v>
      </c>
      <c r="J3520" s="604">
        <v>2000</v>
      </c>
      <c r="K3520" s="604" t="s">
        <v>453</v>
      </c>
      <c r="L3520" s="604" t="s">
        <v>132</v>
      </c>
      <c r="M3520" s="604">
        <v>29</v>
      </c>
      <c r="N3520" s="604">
        <v>17282</v>
      </c>
      <c r="O3520" s="604">
        <v>1.7</v>
      </c>
      <c r="P3520" s="604" t="s">
        <v>436</v>
      </c>
      <c r="Q3520" s="499"/>
    </row>
    <row r="3521" spans="9:17">
      <c r="I3521" s="578" t="str">
        <f t="shared" si="200"/>
        <v>2000age35-39PN</v>
      </c>
      <c r="J3521" s="604">
        <v>2000</v>
      </c>
      <c r="K3521" s="604" t="s">
        <v>453</v>
      </c>
      <c r="L3521" s="604" t="s">
        <v>133</v>
      </c>
      <c r="M3521" s="604">
        <v>14</v>
      </c>
      <c r="N3521" s="604">
        <v>8493</v>
      </c>
      <c r="O3521" s="604">
        <v>1.6</v>
      </c>
      <c r="P3521" s="604" t="s">
        <v>436</v>
      </c>
      <c r="Q3521" s="499"/>
    </row>
    <row r="3522" spans="9:17">
      <c r="I3522" s="578" t="str">
        <f t="shared" si="200"/>
        <v>2000age40+PN</v>
      </c>
      <c r="J3522" s="604">
        <v>2000</v>
      </c>
      <c r="K3522" s="604" t="s">
        <v>453</v>
      </c>
      <c r="L3522" s="604" t="s">
        <v>134</v>
      </c>
      <c r="M3522" s="604">
        <v>0</v>
      </c>
      <c r="N3522" s="604">
        <v>1567</v>
      </c>
      <c r="O3522" s="604">
        <v>0</v>
      </c>
      <c r="P3522" s="604" t="s">
        <v>436</v>
      </c>
      <c r="Q3522" s="499"/>
    </row>
    <row r="3523" spans="9:17">
      <c r="I3523" s="578" t="str">
        <f t="shared" si="200"/>
        <v>2000ageUnknownPN</v>
      </c>
      <c r="J3523" s="604">
        <v>2000</v>
      </c>
      <c r="K3523" s="604" t="s">
        <v>453</v>
      </c>
      <c r="L3523" s="604" t="s">
        <v>63</v>
      </c>
      <c r="M3523" s="604">
        <v>3</v>
      </c>
      <c r="N3523" s="604">
        <v>0</v>
      </c>
      <c r="O3523" s="604" t="s">
        <v>119</v>
      </c>
      <c r="P3523" s="604" t="s">
        <v>436</v>
      </c>
      <c r="Q3523" s="499"/>
    </row>
    <row r="3524" spans="9:17">
      <c r="I3524" s="578" t="str">
        <f t="shared" ref="I3524:I3587" si="201">J3524&amp;K3524&amp;L3524&amp;P3524</f>
        <v>2001age&lt;20PN</v>
      </c>
      <c r="J3524" s="604">
        <v>2001</v>
      </c>
      <c r="K3524" s="604" t="s">
        <v>453</v>
      </c>
      <c r="L3524" s="604" t="s">
        <v>339</v>
      </c>
      <c r="M3524" s="604">
        <v>24</v>
      </c>
      <c r="N3524" s="604">
        <v>3783</v>
      </c>
      <c r="O3524" s="604">
        <v>6.3</v>
      </c>
      <c r="P3524" s="604" t="s">
        <v>436</v>
      </c>
      <c r="Q3524" s="499"/>
    </row>
    <row r="3525" spans="9:17">
      <c r="I3525" s="578" t="str">
        <f t="shared" si="201"/>
        <v>2001age20-24PN</v>
      </c>
      <c r="J3525" s="604">
        <v>2001</v>
      </c>
      <c r="K3525" s="604" t="s">
        <v>453</v>
      </c>
      <c r="L3525" s="604" t="s">
        <v>130</v>
      </c>
      <c r="M3525" s="604">
        <v>31</v>
      </c>
      <c r="N3525" s="604">
        <v>9825</v>
      </c>
      <c r="O3525" s="604">
        <v>3.2</v>
      </c>
      <c r="P3525" s="604" t="s">
        <v>436</v>
      </c>
      <c r="Q3525" s="499"/>
    </row>
    <row r="3526" spans="9:17">
      <c r="I3526" s="578" t="str">
        <f t="shared" si="201"/>
        <v>2001age25-29PN</v>
      </c>
      <c r="J3526" s="604">
        <v>2001</v>
      </c>
      <c r="K3526" s="604" t="s">
        <v>453</v>
      </c>
      <c r="L3526" s="604" t="s">
        <v>131</v>
      </c>
      <c r="M3526" s="604">
        <v>28</v>
      </c>
      <c r="N3526" s="604">
        <v>15208</v>
      </c>
      <c r="O3526" s="604">
        <v>1.8</v>
      </c>
      <c r="P3526" s="604" t="s">
        <v>436</v>
      </c>
      <c r="Q3526" s="499"/>
    </row>
    <row r="3527" spans="9:17">
      <c r="I3527" s="578" t="str">
        <f t="shared" si="201"/>
        <v>2001age30-34PN</v>
      </c>
      <c r="J3527" s="604">
        <v>2001</v>
      </c>
      <c r="K3527" s="604" t="s">
        <v>453</v>
      </c>
      <c r="L3527" s="604" t="s">
        <v>132</v>
      </c>
      <c r="M3527" s="604">
        <v>44</v>
      </c>
      <c r="N3527" s="604">
        <v>17158</v>
      </c>
      <c r="O3527" s="604">
        <v>2.6</v>
      </c>
      <c r="P3527" s="604" t="s">
        <v>436</v>
      </c>
      <c r="Q3527" s="499"/>
    </row>
    <row r="3528" spans="9:17">
      <c r="I3528" s="578" t="str">
        <f t="shared" si="201"/>
        <v>2001age35-39PN</v>
      </c>
      <c r="J3528" s="604">
        <v>2001</v>
      </c>
      <c r="K3528" s="604" t="s">
        <v>453</v>
      </c>
      <c r="L3528" s="604" t="s">
        <v>133</v>
      </c>
      <c r="M3528" s="604">
        <v>12</v>
      </c>
      <c r="N3528" s="604">
        <v>8586</v>
      </c>
      <c r="O3528" s="604">
        <v>1.4</v>
      </c>
      <c r="P3528" s="604" t="s">
        <v>436</v>
      </c>
      <c r="Q3528" s="499"/>
    </row>
    <row r="3529" spans="9:17">
      <c r="I3529" s="578" t="str">
        <f t="shared" si="201"/>
        <v>2001age40+PN</v>
      </c>
      <c r="J3529" s="604">
        <v>2001</v>
      </c>
      <c r="K3529" s="604" t="s">
        <v>453</v>
      </c>
      <c r="L3529" s="604" t="s">
        <v>134</v>
      </c>
      <c r="M3529" s="604">
        <v>5</v>
      </c>
      <c r="N3529" s="604">
        <v>1664</v>
      </c>
      <c r="O3529" s="604">
        <v>3</v>
      </c>
      <c r="P3529" s="604" t="s">
        <v>436</v>
      </c>
      <c r="Q3529" s="499"/>
    </row>
    <row r="3530" spans="9:17">
      <c r="I3530" s="578" t="str">
        <f t="shared" si="201"/>
        <v>2001ageUnknownPN</v>
      </c>
      <c r="J3530" s="604">
        <v>2001</v>
      </c>
      <c r="K3530" s="604" t="s">
        <v>453</v>
      </c>
      <c r="L3530" s="604" t="s">
        <v>63</v>
      </c>
      <c r="M3530" s="604">
        <v>1</v>
      </c>
      <c r="N3530" s="604">
        <v>0</v>
      </c>
      <c r="O3530" s="604" t="s">
        <v>119</v>
      </c>
      <c r="P3530" s="604" t="s">
        <v>436</v>
      </c>
      <c r="Q3530" s="499"/>
    </row>
    <row r="3531" spans="9:17">
      <c r="I3531" s="578" t="str">
        <f t="shared" si="201"/>
        <v>2002age&lt;20PN</v>
      </c>
      <c r="J3531" s="604">
        <v>2002</v>
      </c>
      <c r="K3531" s="604" t="s">
        <v>453</v>
      </c>
      <c r="L3531" s="604" t="s">
        <v>339</v>
      </c>
      <c r="M3531" s="604">
        <v>15</v>
      </c>
      <c r="N3531" s="604">
        <v>3637</v>
      </c>
      <c r="O3531" s="604">
        <v>4.0999999999999996</v>
      </c>
      <c r="P3531" s="604" t="s">
        <v>436</v>
      </c>
      <c r="Q3531" s="499"/>
    </row>
    <row r="3532" spans="9:17">
      <c r="I3532" s="578" t="str">
        <f t="shared" si="201"/>
        <v>2002age20-24PN</v>
      </c>
      <c r="J3532" s="604">
        <v>2002</v>
      </c>
      <c r="K3532" s="604" t="s">
        <v>453</v>
      </c>
      <c r="L3532" s="604" t="s">
        <v>130</v>
      </c>
      <c r="M3532" s="604">
        <v>35</v>
      </c>
      <c r="N3532" s="604">
        <v>9337</v>
      </c>
      <c r="O3532" s="604">
        <v>3.7</v>
      </c>
      <c r="P3532" s="604" t="s">
        <v>436</v>
      </c>
      <c r="Q3532" s="499"/>
    </row>
    <row r="3533" spans="9:17">
      <c r="I3533" s="578" t="str">
        <f t="shared" si="201"/>
        <v>2002age25-29PN</v>
      </c>
      <c r="J3533" s="604">
        <v>2002</v>
      </c>
      <c r="K3533" s="604" t="s">
        <v>453</v>
      </c>
      <c r="L3533" s="604" t="s">
        <v>131</v>
      </c>
      <c r="M3533" s="604">
        <v>23</v>
      </c>
      <c r="N3533" s="604">
        <v>13906</v>
      </c>
      <c r="O3533" s="604">
        <v>1.7</v>
      </c>
      <c r="P3533" s="604" t="s">
        <v>436</v>
      </c>
      <c r="Q3533" s="499"/>
    </row>
    <row r="3534" spans="9:17">
      <c r="I3534" s="578" t="str">
        <f t="shared" si="201"/>
        <v>2002age30-34PN</v>
      </c>
      <c r="J3534" s="604">
        <v>2002</v>
      </c>
      <c r="K3534" s="604" t="s">
        <v>453</v>
      </c>
      <c r="L3534" s="604" t="s">
        <v>132</v>
      </c>
      <c r="M3534" s="604">
        <v>17</v>
      </c>
      <c r="N3534" s="604">
        <v>17067</v>
      </c>
      <c r="O3534" s="604">
        <v>1</v>
      </c>
      <c r="P3534" s="604" t="s">
        <v>436</v>
      </c>
      <c r="Q3534" s="499"/>
    </row>
    <row r="3535" spans="9:17">
      <c r="I3535" s="578" t="str">
        <f t="shared" si="201"/>
        <v>2002age35-39PN</v>
      </c>
      <c r="J3535" s="604">
        <v>2002</v>
      </c>
      <c r="K3535" s="604" t="s">
        <v>453</v>
      </c>
      <c r="L3535" s="604" t="s">
        <v>133</v>
      </c>
      <c r="M3535" s="604">
        <v>19</v>
      </c>
      <c r="N3535" s="604">
        <v>8738</v>
      </c>
      <c r="O3535" s="604">
        <v>2.2000000000000002</v>
      </c>
      <c r="P3535" s="604" t="s">
        <v>436</v>
      </c>
      <c r="Q3535" s="499"/>
    </row>
    <row r="3536" spans="9:17">
      <c r="I3536" s="578" t="str">
        <f t="shared" si="201"/>
        <v>2002age40+PN</v>
      </c>
      <c r="J3536" s="604">
        <v>2002</v>
      </c>
      <c r="K3536" s="604" t="s">
        <v>453</v>
      </c>
      <c r="L3536" s="604" t="s">
        <v>134</v>
      </c>
      <c r="M3536" s="604">
        <v>5</v>
      </c>
      <c r="N3536" s="604">
        <v>1830</v>
      </c>
      <c r="O3536" s="604">
        <v>2.7</v>
      </c>
      <c r="P3536" s="604" t="s">
        <v>436</v>
      </c>
      <c r="Q3536" s="499"/>
    </row>
    <row r="3537" spans="9:17">
      <c r="I3537" s="578" t="str">
        <f t="shared" si="201"/>
        <v>2002ageUnknownPN</v>
      </c>
      <c r="J3537" s="604">
        <v>2002</v>
      </c>
      <c r="K3537" s="604" t="s">
        <v>453</v>
      </c>
      <c r="L3537" s="604" t="s">
        <v>63</v>
      </c>
      <c r="M3537" s="604">
        <v>2</v>
      </c>
      <c r="N3537" s="604">
        <v>0</v>
      </c>
      <c r="O3537" s="604" t="s">
        <v>119</v>
      </c>
      <c r="P3537" s="604" t="s">
        <v>436</v>
      </c>
      <c r="Q3537" s="499"/>
    </row>
    <row r="3538" spans="9:17">
      <c r="I3538" s="578" t="str">
        <f t="shared" si="201"/>
        <v>2003age&lt;20PN</v>
      </c>
      <c r="J3538" s="604">
        <v>2003</v>
      </c>
      <c r="K3538" s="604" t="s">
        <v>453</v>
      </c>
      <c r="L3538" s="604" t="s">
        <v>339</v>
      </c>
      <c r="M3538" s="604">
        <v>13</v>
      </c>
      <c r="N3538" s="604">
        <v>3795</v>
      </c>
      <c r="O3538" s="604">
        <v>3.4</v>
      </c>
      <c r="P3538" s="604" t="s">
        <v>436</v>
      </c>
      <c r="Q3538" s="499"/>
    </row>
    <row r="3539" spans="9:17">
      <c r="I3539" s="578" t="str">
        <f t="shared" si="201"/>
        <v>2003age20-24PN</v>
      </c>
      <c r="J3539" s="604">
        <v>2003</v>
      </c>
      <c r="K3539" s="604" t="s">
        <v>453</v>
      </c>
      <c r="L3539" s="604" t="s">
        <v>130</v>
      </c>
      <c r="M3539" s="604">
        <v>30</v>
      </c>
      <c r="N3539" s="604">
        <v>9548</v>
      </c>
      <c r="O3539" s="604">
        <v>3.1</v>
      </c>
      <c r="P3539" s="604" t="s">
        <v>436</v>
      </c>
      <c r="Q3539" s="499"/>
    </row>
    <row r="3540" spans="9:17">
      <c r="I3540" s="578" t="str">
        <f t="shared" si="201"/>
        <v>2003age25-29PN</v>
      </c>
      <c r="J3540" s="604">
        <v>2003</v>
      </c>
      <c r="K3540" s="604" t="s">
        <v>453</v>
      </c>
      <c r="L3540" s="604" t="s">
        <v>131</v>
      </c>
      <c r="M3540" s="604">
        <v>34</v>
      </c>
      <c r="N3540" s="604">
        <v>14104</v>
      </c>
      <c r="O3540" s="604">
        <v>2.4</v>
      </c>
      <c r="P3540" s="604" t="s">
        <v>436</v>
      </c>
      <c r="Q3540" s="499"/>
    </row>
    <row r="3541" spans="9:17">
      <c r="I3541" s="578" t="str">
        <f t="shared" si="201"/>
        <v>2003age30-34PN</v>
      </c>
      <c r="J3541" s="604">
        <v>2003</v>
      </c>
      <c r="K3541" s="604" t="s">
        <v>453</v>
      </c>
      <c r="L3541" s="604" t="s">
        <v>132</v>
      </c>
      <c r="M3541" s="604">
        <v>20</v>
      </c>
      <c r="N3541" s="604">
        <v>17664</v>
      </c>
      <c r="O3541" s="604">
        <v>1.1000000000000001</v>
      </c>
      <c r="P3541" s="604" t="s">
        <v>436</v>
      </c>
      <c r="Q3541" s="499"/>
    </row>
    <row r="3542" spans="9:17">
      <c r="I3542" s="578" t="str">
        <f t="shared" si="201"/>
        <v>2003age35-39PN</v>
      </c>
      <c r="J3542" s="604">
        <v>2003</v>
      </c>
      <c r="K3542" s="604" t="s">
        <v>453</v>
      </c>
      <c r="L3542" s="604" t="s">
        <v>133</v>
      </c>
      <c r="M3542" s="604">
        <v>15</v>
      </c>
      <c r="N3542" s="604">
        <v>9384</v>
      </c>
      <c r="O3542" s="604">
        <v>1.6</v>
      </c>
      <c r="P3542" s="604" t="s">
        <v>436</v>
      </c>
      <c r="Q3542" s="499"/>
    </row>
    <row r="3543" spans="9:17">
      <c r="I3543" s="578" t="str">
        <f t="shared" si="201"/>
        <v>2003age40+PN</v>
      </c>
      <c r="J3543" s="604">
        <v>2003</v>
      </c>
      <c r="K3543" s="604" t="s">
        <v>453</v>
      </c>
      <c r="L3543" s="604" t="s">
        <v>134</v>
      </c>
      <c r="M3543" s="604">
        <v>5</v>
      </c>
      <c r="N3543" s="604">
        <v>2081</v>
      </c>
      <c r="O3543" s="604">
        <v>2.4</v>
      </c>
      <c r="P3543" s="604" t="s">
        <v>436</v>
      </c>
      <c r="Q3543" s="499"/>
    </row>
    <row r="3544" spans="9:17">
      <c r="I3544" s="578" t="str">
        <f t="shared" si="201"/>
        <v>2003ageUnknownPN</v>
      </c>
      <c r="J3544" s="604">
        <v>2003</v>
      </c>
      <c r="K3544" s="604" t="s">
        <v>453</v>
      </c>
      <c r="L3544" s="604" t="s">
        <v>63</v>
      </c>
      <c r="M3544" s="604">
        <v>3</v>
      </c>
      <c r="N3544" s="604">
        <v>0</v>
      </c>
      <c r="O3544" s="604" t="s">
        <v>119</v>
      </c>
      <c r="P3544" s="604" t="s">
        <v>436</v>
      </c>
      <c r="Q3544" s="499"/>
    </row>
    <row r="3545" spans="9:17">
      <c r="I3545" s="578" t="str">
        <f t="shared" si="201"/>
        <v>2004age&lt;20PN</v>
      </c>
      <c r="J3545" s="604">
        <v>2004</v>
      </c>
      <c r="K3545" s="604" t="s">
        <v>453</v>
      </c>
      <c r="L3545" s="604" t="s">
        <v>339</v>
      </c>
      <c r="M3545" s="604">
        <v>18</v>
      </c>
      <c r="N3545" s="604">
        <v>4095</v>
      </c>
      <c r="O3545" s="604">
        <v>4.4000000000000004</v>
      </c>
      <c r="P3545" s="604" t="s">
        <v>436</v>
      </c>
      <c r="Q3545" s="499"/>
    </row>
    <row r="3546" spans="9:17">
      <c r="I3546" s="578" t="str">
        <f t="shared" si="201"/>
        <v>2004age20-24PN</v>
      </c>
      <c r="J3546" s="604">
        <v>2004</v>
      </c>
      <c r="K3546" s="604" t="s">
        <v>453</v>
      </c>
      <c r="L3546" s="604" t="s">
        <v>130</v>
      </c>
      <c r="M3546" s="604">
        <v>39</v>
      </c>
      <c r="N3546" s="604">
        <v>10153</v>
      </c>
      <c r="O3546" s="604">
        <v>3.8</v>
      </c>
      <c r="P3546" s="604" t="s">
        <v>436</v>
      </c>
      <c r="Q3546" s="499"/>
    </row>
    <row r="3547" spans="9:17">
      <c r="I3547" s="578" t="str">
        <f t="shared" si="201"/>
        <v>2004age25-29PN</v>
      </c>
      <c r="J3547" s="604">
        <v>2004</v>
      </c>
      <c r="K3547" s="604" t="s">
        <v>453</v>
      </c>
      <c r="L3547" s="604" t="s">
        <v>131</v>
      </c>
      <c r="M3547" s="604">
        <v>37</v>
      </c>
      <c r="N3547" s="604">
        <v>14254</v>
      </c>
      <c r="O3547" s="604">
        <v>2.6</v>
      </c>
      <c r="P3547" s="604" t="s">
        <v>436</v>
      </c>
      <c r="Q3547" s="499"/>
    </row>
    <row r="3548" spans="9:17">
      <c r="I3548" s="578" t="str">
        <f t="shared" si="201"/>
        <v>2004age30-34PN</v>
      </c>
      <c r="J3548" s="604">
        <v>2004</v>
      </c>
      <c r="K3548" s="604" t="s">
        <v>453</v>
      </c>
      <c r="L3548" s="604" t="s">
        <v>132</v>
      </c>
      <c r="M3548" s="604">
        <v>30</v>
      </c>
      <c r="N3548" s="604">
        <v>18417</v>
      </c>
      <c r="O3548" s="604">
        <v>1.6</v>
      </c>
      <c r="P3548" s="604" t="s">
        <v>436</v>
      </c>
      <c r="Q3548" s="499"/>
    </row>
    <row r="3549" spans="9:17">
      <c r="I3549" s="578" t="str">
        <f t="shared" si="201"/>
        <v>2004age35-39PN</v>
      </c>
      <c r="J3549" s="604">
        <v>2004</v>
      </c>
      <c r="K3549" s="604" t="s">
        <v>453</v>
      </c>
      <c r="L3549" s="604" t="s">
        <v>133</v>
      </c>
      <c r="M3549" s="604">
        <v>16</v>
      </c>
      <c r="N3549" s="604">
        <v>9675</v>
      </c>
      <c r="O3549" s="604">
        <v>1.7</v>
      </c>
      <c r="P3549" s="604" t="s">
        <v>436</v>
      </c>
      <c r="Q3549" s="499"/>
    </row>
    <row r="3550" spans="9:17">
      <c r="I3550" s="578" t="str">
        <f t="shared" si="201"/>
        <v>2004age40+PN</v>
      </c>
      <c r="J3550" s="604">
        <v>2004</v>
      </c>
      <c r="K3550" s="604" t="s">
        <v>453</v>
      </c>
      <c r="L3550" s="604" t="s">
        <v>134</v>
      </c>
      <c r="M3550" s="604">
        <v>2</v>
      </c>
      <c r="N3550" s="604">
        <v>2129</v>
      </c>
      <c r="O3550" s="604">
        <v>0.9</v>
      </c>
      <c r="P3550" s="604" t="s">
        <v>436</v>
      </c>
      <c r="Q3550" s="499"/>
    </row>
    <row r="3551" spans="9:17">
      <c r="I3551" s="578" t="str">
        <f t="shared" si="201"/>
        <v>2004ageUnknownPN</v>
      </c>
      <c r="J3551" s="604">
        <v>2004</v>
      </c>
      <c r="K3551" s="604" t="s">
        <v>453</v>
      </c>
      <c r="L3551" s="604" t="s">
        <v>63</v>
      </c>
      <c r="M3551" s="604">
        <v>7</v>
      </c>
      <c r="N3551" s="604">
        <v>0</v>
      </c>
      <c r="O3551" s="604" t="s">
        <v>119</v>
      </c>
      <c r="P3551" s="604" t="s">
        <v>436</v>
      </c>
      <c r="Q3551" s="499"/>
    </row>
    <row r="3552" spans="9:17">
      <c r="I3552" s="578" t="str">
        <f t="shared" si="201"/>
        <v>2005age&lt;20PN</v>
      </c>
      <c r="J3552" s="604">
        <v>2005</v>
      </c>
      <c r="K3552" s="604" t="s">
        <v>453</v>
      </c>
      <c r="L3552" s="604" t="s">
        <v>339</v>
      </c>
      <c r="M3552" s="604">
        <v>22</v>
      </c>
      <c r="N3552" s="604">
        <v>4245</v>
      </c>
      <c r="O3552" s="604">
        <v>5.2</v>
      </c>
      <c r="P3552" s="604" t="s">
        <v>436</v>
      </c>
      <c r="Q3552" s="499"/>
    </row>
    <row r="3553" spans="9:17">
      <c r="I3553" s="578" t="str">
        <f t="shared" si="201"/>
        <v>2005age20-24PN</v>
      </c>
      <c r="J3553" s="604">
        <v>2005</v>
      </c>
      <c r="K3553" s="604" t="s">
        <v>453</v>
      </c>
      <c r="L3553" s="604" t="s">
        <v>130</v>
      </c>
      <c r="M3553" s="604">
        <v>27</v>
      </c>
      <c r="N3553" s="604">
        <v>10022</v>
      </c>
      <c r="O3553" s="604">
        <v>2.7</v>
      </c>
      <c r="P3553" s="604" t="s">
        <v>436</v>
      </c>
      <c r="Q3553" s="499"/>
    </row>
    <row r="3554" spans="9:17">
      <c r="I3554" s="578" t="str">
        <f t="shared" si="201"/>
        <v>2005age25-29PN</v>
      </c>
      <c r="J3554" s="604">
        <v>2005</v>
      </c>
      <c r="K3554" s="604" t="s">
        <v>453</v>
      </c>
      <c r="L3554" s="604" t="s">
        <v>131</v>
      </c>
      <c r="M3554" s="604">
        <v>21</v>
      </c>
      <c r="N3554" s="604">
        <v>14057</v>
      </c>
      <c r="O3554" s="604">
        <v>1.5</v>
      </c>
      <c r="P3554" s="604" t="s">
        <v>436</v>
      </c>
      <c r="Q3554" s="499"/>
    </row>
    <row r="3555" spans="9:17">
      <c r="I3555" s="578" t="str">
        <f t="shared" si="201"/>
        <v>2005age30-34PN</v>
      </c>
      <c r="J3555" s="604">
        <v>2005</v>
      </c>
      <c r="K3555" s="604" t="s">
        <v>453</v>
      </c>
      <c r="L3555" s="604" t="s">
        <v>132</v>
      </c>
      <c r="M3555" s="604">
        <v>23</v>
      </c>
      <c r="N3555" s="604">
        <v>18155</v>
      </c>
      <c r="O3555" s="604">
        <v>1.3</v>
      </c>
      <c r="P3555" s="604" t="s">
        <v>436</v>
      </c>
      <c r="Q3555" s="499"/>
    </row>
    <row r="3556" spans="9:17">
      <c r="I3556" s="578" t="str">
        <f t="shared" si="201"/>
        <v>2005age35-39PN</v>
      </c>
      <c r="J3556" s="604">
        <v>2005</v>
      </c>
      <c r="K3556" s="604" t="s">
        <v>453</v>
      </c>
      <c r="L3556" s="604" t="s">
        <v>133</v>
      </c>
      <c r="M3556" s="604">
        <v>14</v>
      </c>
      <c r="N3556" s="604">
        <v>10120</v>
      </c>
      <c r="O3556" s="604">
        <v>1.4</v>
      </c>
      <c r="P3556" s="604" t="s">
        <v>436</v>
      </c>
      <c r="Q3556" s="499"/>
    </row>
    <row r="3557" spans="9:17">
      <c r="I3557" s="578" t="str">
        <f t="shared" si="201"/>
        <v>2005age40+PN</v>
      </c>
      <c r="J3557" s="604">
        <v>2005</v>
      </c>
      <c r="K3557" s="604" t="s">
        <v>453</v>
      </c>
      <c r="L3557" s="604" t="s">
        <v>134</v>
      </c>
      <c r="M3557" s="604">
        <v>2</v>
      </c>
      <c r="N3557" s="604">
        <v>2128</v>
      </c>
      <c r="O3557" s="604">
        <v>0.9</v>
      </c>
      <c r="P3557" s="604" t="s">
        <v>436</v>
      </c>
      <c r="Q3557" s="499"/>
    </row>
    <row r="3558" spans="9:17">
      <c r="I3558" s="578" t="str">
        <f t="shared" si="201"/>
        <v>2005ageUnknownPN</v>
      </c>
      <c r="J3558" s="604">
        <v>2005</v>
      </c>
      <c r="K3558" s="604" t="s">
        <v>453</v>
      </c>
      <c r="L3558" s="604" t="s">
        <v>63</v>
      </c>
      <c r="M3558" s="604">
        <v>2</v>
      </c>
      <c r="N3558" s="604">
        <v>0</v>
      </c>
      <c r="O3558" s="604" t="s">
        <v>119</v>
      </c>
      <c r="P3558" s="604" t="s">
        <v>436</v>
      </c>
      <c r="Q3558" s="499"/>
    </row>
    <row r="3559" spans="9:17">
      <c r="I3559" s="578" t="str">
        <f t="shared" si="201"/>
        <v>2006age&lt;20PN</v>
      </c>
      <c r="J3559" s="604">
        <v>2006</v>
      </c>
      <c r="K3559" s="604" t="s">
        <v>453</v>
      </c>
      <c r="L3559" s="604" t="s">
        <v>339</v>
      </c>
      <c r="M3559" s="604">
        <v>21</v>
      </c>
      <c r="N3559" s="604">
        <v>4455</v>
      </c>
      <c r="O3559" s="604">
        <v>4.7</v>
      </c>
      <c r="P3559" s="604" t="s">
        <v>436</v>
      </c>
      <c r="Q3559" s="499"/>
    </row>
    <row r="3560" spans="9:17">
      <c r="I3560" s="578" t="str">
        <f t="shared" si="201"/>
        <v>2006age20-24PN</v>
      </c>
      <c r="J3560" s="604">
        <v>2006</v>
      </c>
      <c r="K3560" s="604" t="s">
        <v>453</v>
      </c>
      <c r="L3560" s="604" t="s">
        <v>130</v>
      </c>
      <c r="M3560" s="604">
        <v>33</v>
      </c>
      <c r="N3560" s="604">
        <v>10647</v>
      </c>
      <c r="O3560" s="604">
        <v>3.1</v>
      </c>
      <c r="P3560" s="604" t="s">
        <v>436</v>
      </c>
      <c r="Q3560" s="499"/>
    </row>
    <row r="3561" spans="9:17">
      <c r="I3561" s="578" t="str">
        <f t="shared" si="201"/>
        <v>2006age25-29PN</v>
      </c>
      <c r="J3561" s="604">
        <v>2006</v>
      </c>
      <c r="K3561" s="604" t="s">
        <v>453</v>
      </c>
      <c r="L3561" s="604" t="s">
        <v>131</v>
      </c>
      <c r="M3561" s="604">
        <v>43</v>
      </c>
      <c r="N3561" s="604">
        <v>14386</v>
      </c>
      <c r="O3561" s="604">
        <v>3</v>
      </c>
      <c r="P3561" s="604" t="s">
        <v>436</v>
      </c>
      <c r="Q3561" s="499"/>
    </row>
    <row r="3562" spans="9:17">
      <c r="I3562" s="578" t="str">
        <f t="shared" si="201"/>
        <v>2006age30-34PN</v>
      </c>
      <c r="J3562" s="604">
        <v>2006</v>
      </c>
      <c r="K3562" s="604" t="s">
        <v>453</v>
      </c>
      <c r="L3562" s="604" t="s">
        <v>132</v>
      </c>
      <c r="M3562" s="604">
        <v>24</v>
      </c>
      <c r="N3562" s="604">
        <v>18090</v>
      </c>
      <c r="O3562" s="604">
        <v>1.3</v>
      </c>
      <c r="P3562" s="604" t="s">
        <v>436</v>
      </c>
      <c r="Q3562" s="499"/>
    </row>
    <row r="3563" spans="9:17">
      <c r="I3563" s="578" t="str">
        <f t="shared" si="201"/>
        <v>2006age35-39PN</v>
      </c>
      <c r="J3563" s="604">
        <v>2006</v>
      </c>
      <c r="K3563" s="604" t="s">
        <v>453</v>
      </c>
      <c r="L3563" s="604" t="s">
        <v>133</v>
      </c>
      <c r="M3563" s="604">
        <v>16</v>
      </c>
      <c r="N3563" s="604">
        <v>10499</v>
      </c>
      <c r="O3563" s="604">
        <v>1.5</v>
      </c>
      <c r="P3563" s="604" t="s">
        <v>436</v>
      </c>
      <c r="Q3563" s="499"/>
    </row>
    <row r="3564" spans="9:17">
      <c r="I3564" s="578" t="str">
        <f t="shared" si="201"/>
        <v>2006age40+PN</v>
      </c>
      <c r="J3564" s="604">
        <v>2006</v>
      </c>
      <c r="K3564" s="604" t="s">
        <v>453</v>
      </c>
      <c r="L3564" s="604" t="s">
        <v>134</v>
      </c>
      <c r="M3564" s="604">
        <v>4</v>
      </c>
      <c r="N3564" s="604">
        <v>2197</v>
      </c>
      <c r="O3564" s="604">
        <v>1.8</v>
      </c>
      <c r="P3564" s="604" t="s">
        <v>436</v>
      </c>
      <c r="Q3564" s="499"/>
    </row>
    <row r="3565" spans="9:17">
      <c r="I3565" s="578" t="str">
        <f t="shared" si="201"/>
        <v>2006ageUnknownPN</v>
      </c>
      <c r="J3565" s="604">
        <v>2006</v>
      </c>
      <c r="K3565" s="604" t="s">
        <v>453</v>
      </c>
      <c r="L3565" s="604" t="s">
        <v>63</v>
      </c>
      <c r="M3565" s="604">
        <v>2</v>
      </c>
      <c r="N3565" s="604">
        <v>0</v>
      </c>
      <c r="O3565" s="604" t="s">
        <v>119</v>
      </c>
      <c r="P3565" s="604" t="s">
        <v>436</v>
      </c>
      <c r="Q3565" s="499"/>
    </row>
    <row r="3566" spans="9:17">
      <c r="I3566" s="578" t="str">
        <f t="shared" si="201"/>
        <v>2007age&lt;20PN</v>
      </c>
      <c r="J3566" s="604">
        <v>2007</v>
      </c>
      <c r="K3566" s="604" t="s">
        <v>453</v>
      </c>
      <c r="L3566" s="604" t="s">
        <v>339</v>
      </c>
      <c r="M3566" s="604">
        <v>23</v>
      </c>
      <c r="N3566" s="604">
        <v>5051</v>
      </c>
      <c r="O3566" s="604">
        <v>4.5999999999999996</v>
      </c>
      <c r="P3566" s="604" t="s">
        <v>436</v>
      </c>
      <c r="Q3566" s="499"/>
    </row>
    <row r="3567" spans="9:17">
      <c r="I3567" s="578" t="str">
        <f t="shared" si="201"/>
        <v>2007age20-24PN</v>
      </c>
      <c r="J3567" s="604">
        <v>2007</v>
      </c>
      <c r="K3567" s="604" t="s">
        <v>453</v>
      </c>
      <c r="L3567" s="604" t="s">
        <v>130</v>
      </c>
      <c r="M3567" s="604">
        <v>41</v>
      </c>
      <c r="N3567" s="604">
        <v>11423</v>
      </c>
      <c r="O3567" s="604">
        <v>3.6</v>
      </c>
      <c r="P3567" s="604" t="s">
        <v>436</v>
      </c>
      <c r="Q3567" s="499"/>
    </row>
    <row r="3568" spans="9:17">
      <c r="I3568" s="578" t="str">
        <f t="shared" si="201"/>
        <v>2007age25-29PN</v>
      </c>
      <c r="J3568" s="604">
        <v>2007</v>
      </c>
      <c r="K3568" s="604" t="s">
        <v>453</v>
      </c>
      <c r="L3568" s="604" t="s">
        <v>131</v>
      </c>
      <c r="M3568" s="604">
        <v>30</v>
      </c>
      <c r="N3568" s="604">
        <v>15815</v>
      </c>
      <c r="O3568" s="604">
        <v>1.9</v>
      </c>
      <c r="P3568" s="604" t="s">
        <v>436</v>
      </c>
      <c r="Q3568" s="499"/>
    </row>
    <row r="3569" spans="9:17">
      <c r="I3569" s="578" t="str">
        <f t="shared" si="201"/>
        <v>2007age30-34PN</v>
      </c>
      <c r="J3569" s="604">
        <v>2007</v>
      </c>
      <c r="K3569" s="604" t="s">
        <v>453</v>
      </c>
      <c r="L3569" s="604" t="s">
        <v>132</v>
      </c>
      <c r="M3569" s="604">
        <v>24</v>
      </c>
      <c r="N3569" s="604">
        <v>18716</v>
      </c>
      <c r="O3569" s="604">
        <v>1.3</v>
      </c>
      <c r="P3569" s="604" t="s">
        <v>436</v>
      </c>
      <c r="Q3569" s="499"/>
    </row>
    <row r="3570" spans="9:17">
      <c r="I3570" s="578" t="str">
        <f t="shared" si="201"/>
        <v>2007age35-39PN</v>
      </c>
      <c r="J3570" s="604">
        <v>2007</v>
      </c>
      <c r="K3570" s="604" t="s">
        <v>453</v>
      </c>
      <c r="L3570" s="604" t="s">
        <v>133</v>
      </c>
      <c r="M3570" s="604">
        <v>18</v>
      </c>
      <c r="N3570" s="604">
        <v>11704</v>
      </c>
      <c r="O3570" s="604">
        <v>1.5</v>
      </c>
      <c r="P3570" s="604" t="s">
        <v>436</v>
      </c>
      <c r="Q3570" s="499"/>
    </row>
    <row r="3571" spans="9:17">
      <c r="I3571" s="578" t="str">
        <f t="shared" si="201"/>
        <v>2007age40+PN</v>
      </c>
      <c r="J3571" s="604">
        <v>2007</v>
      </c>
      <c r="K3571" s="604" t="s">
        <v>453</v>
      </c>
      <c r="L3571" s="604" t="s">
        <v>134</v>
      </c>
      <c r="M3571" s="604">
        <v>7</v>
      </c>
      <c r="N3571" s="604">
        <v>2412</v>
      </c>
      <c r="O3571" s="604">
        <v>2.9</v>
      </c>
      <c r="P3571" s="604" t="s">
        <v>436</v>
      </c>
      <c r="Q3571" s="499"/>
    </row>
    <row r="3572" spans="9:17">
      <c r="I3572" s="578" t="str">
        <f t="shared" si="201"/>
        <v>2007ageUnknownPN</v>
      </c>
      <c r="J3572" s="604">
        <v>2007</v>
      </c>
      <c r="K3572" s="604" t="s">
        <v>453</v>
      </c>
      <c r="L3572" s="604" t="s">
        <v>63</v>
      </c>
      <c r="M3572" s="604">
        <v>3</v>
      </c>
      <c r="N3572" s="604">
        <v>0</v>
      </c>
      <c r="O3572" s="604" t="s">
        <v>119</v>
      </c>
      <c r="P3572" s="604" t="s">
        <v>436</v>
      </c>
      <c r="Q3572" s="499"/>
    </row>
    <row r="3573" spans="9:17">
      <c r="I3573" s="578" t="str">
        <f t="shared" si="201"/>
        <v>2008age&lt;20PN</v>
      </c>
      <c r="J3573" s="604">
        <v>2008</v>
      </c>
      <c r="K3573" s="604" t="s">
        <v>453</v>
      </c>
      <c r="L3573" s="604" t="s">
        <v>339</v>
      </c>
      <c r="M3573" s="604">
        <v>25</v>
      </c>
      <c r="N3573" s="604">
        <v>5310</v>
      </c>
      <c r="O3573" s="604">
        <v>4.7</v>
      </c>
      <c r="P3573" s="604" t="s">
        <v>436</v>
      </c>
      <c r="Q3573" s="499"/>
    </row>
    <row r="3574" spans="9:17">
      <c r="I3574" s="578" t="str">
        <f t="shared" si="201"/>
        <v>2008age20-24PN</v>
      </c>
      <c r="J3574" s="604">
        <v>2008</v>
      </c>
      <c r="K3574" s="604" t="s">
        <v>453</v>
      </c>
      <c r="L3574" s="604" t="s">
        <v>130</v>
      </c>
      <c r="M3574" s="604">
        <v>31</v>
      </c>
      <c r="N3574" s="604">
        <v>11795</v>
      </c>
      <c r="O3574" s="604">
        <v>2.6</v>
      </c>
      <c r="P3574" s="604" t="s">
        <v>436</v>
      </c>
      <c r="Q3574" s="499"/>
    </row>
    <row r="3575" spans="9:17">
      <c r="I3575" s="578" t="str">
        <f t="shared" si="201"/>
        <v>2008age25-29PN</v>
      </c>
      <c r="J3575" s="604">
        <v>2008</v>
      </c>
      <c r="K3575" s="604" t="s">
        <v>453</v>
      </c>
      <c r="L3575" s="604" t="s">
        <v>131</v>
      </c>
      <c r="M3575" s="604">
        <v>30</v>
      </c>
      <c r="N3575" s="604">
        <v>15901</v>
      </c>
      <c r="O3575" s="604">
        <v>1.9</v>
      </c>
      <c r="P3575" s="604" t="s">
        <v>436</v>
      </c>
      <c r="Q3575" s="499"/>
    </row>
    <row r="3576" spans="9:17">
      <c r="I3576" s="578" t="str">
        <f t="shared" si="201"/>
        <v>2008age30-34PN</v>
      </c>
      <c r="J3576" s="604">
        <v>2008</v>
      </c>
      <c r="K3576" s="604" t="s">
        <v>453</v>
      </c>
      <c r="L3576" s="604" t="s">
        <v>132</v>
      </c>
      <c r="M3576" s="604">
        <v>26</v>
      </c>
      <c r="N3576" s="604">
        <v>18009</v>
      </c>
      <c r="O3576" s="604">
        <v>1.4</v>
      </c>
      <c r="P3576" s="604" t="s">
        <v>436</v>
      </c>
      <c r="Q3576" s="499"/>
    </row>
    <row r="3577" spans="9:17">
      <c r="I3577" s="578" t="str">
        <f t="shared" si="201"/>
        <v>2008age35-39PN</v>
      </c>
      <c r="J3577" s="604">
        <v>2008</v>
      </c>
      <c r="K3577" s="604" t="s">
        <v>453</v>
      </c>
      <c r="L3577" s="604" t="s">
        <v>133</v>
      </c>
      <c r="M3577" s="604">
        <v>12</v>
      </c>
      <c r="N3577" s="604">
        <v>11900</v>
      </c>
      <c r="O3577" s="604">
        <v>1</v>
      </c>
      <c r="P3577" s="604" t="s">
        <v>436</v>
      </c>
      <c r="Q3577" s="499"/>
    </row>
    <row r="3578" spans="9:17">
      <c r="I3578" s="578" t="str">
        <f t="shared" si="201"/>
        <v>2008age40+PN</v>
      </c>
      <c r="J3578" s="604">
        <v>2008</v>
      </c>
      <c r="K3578" s="604" t="s">
        <v>453</v>
      </c>
      <c r="L3578" s="604" t="s">
        <v>134</v>
      </c>
      <c r="M3578" s="604">
        <v>7</v>
      </c>
      <c r="N3578" s="604">
        <v>2418</v>
      </c>
      <c r="O3578" s="604">
        <v>2.9</v>
      </c>
      <c r="P3578" s="604" t="s">
        <v>436</v>
      </c>
      <c r="Q3578" s="499"/>
    </row>
    <row r="3579" spans="9:17">
      <c r="I3579" s="578" t="str">
        <f t="shared" si="201"/>
        <v>2008ageUnknownPN</v>
      </c>
      <c r="J3579" s="604">
        <v>2008</v>
      </c>
      <c r="K3579" s="604" t="s">
        <v>453</v>
      </c>
      <c r="L3579" s="604" t="s">
        <v>63</v>
      </c>
      <c r="M3579" s="604">
        <v>5</v>
      </c>
      <c r="N3579" s="604">
        <v>0</v>
      </c>
      <c r="O3579" s="604" t="s">
        <v>119</v>
      </c>
      <c r="P3579" s="604" t="s">
        <v>436</v>
      </c>
      <c r="Q3579" s="499"/>
    </row>
    <row r="3580" spans="9:17">
      <c r="I3580" s="578" t="str">
        <f t="shared" si="201"/>
        <v>2009age&lt;20PN</v>
      </c>
      <c r="J3580" s="604">
        <v>2009</v>
      </c>
      <c r="K3580" s="604" t="s">
        <v>453</v>
      </c>
      <c r="L3580" s="604" t="s">
        <v>339</v>
      </c>
      <c r="M3580" s="604">
        <v>25</v>
      </c>
      <c r="N3580" s="604">
        <v>4735</v>
      </c>
      <c r="O3580" s="604">
        <v>5.3</v>
      </c>
      <c r="P3580" s="604" t="s">
        <v>436</v>
      </c>
      <c r="Q3580" s="499"/>
    </row>
    <row r="3581" spans="9:17">
      <c r="I3581" s="578" t="str">
        <f t="shared" si="201"/>
        <v>2009age20-24PN</v>
      </c>
      <c r="J3581" s="604">
        <v>2009</v>
      </c>
      <c r="K3581" s="604" t="s">
        <v>453</v>
      </c>
      <c r="L3581" s="604" t="s">
        <v>130</v>
      </c>
      <c r="M3581" s="604">
        <v>41</v>
      </c>
      <c r="N3581" s="604">
        <v>11699</v>
      </c>
      <c r="O3581" s="604">
        <v>3.5</v>
      </c>
      <c r="P3581" s="604" t="s">
        <v>436</v>
      </c>
      <c r="Q3581" s="499"/>
    </row>
    <row r="3582" spans="9:17">
      <c r="I3582" s="578" t="str">
        <f t="shared" si="201"/>
        <v>2009age25-29PN</v>
      </c>
      <c r="J3582" s="604">
        <v>2009</v>
      </c>
      <c r="K3582" s="604" t="s">
        <v>453</v>
      </c>
      <c r="L3582" s="604" t="s">
        <v>131</v>
      </c>
      <c r="M3582" s="604">
        <v>27</v>
      </c>
      <c r="N3582" s="604">
        <v>15518</v>
      </c>
      <c r="O3582" s="604">
        <v>1.7</v>
      </c>
      <c r="P3582" s="604" t="s">
        <v>436</v>
      </c>
      <c r="Q3582" s="499"/>
    </row>
    <row r="3583" spans="9:17">
      <c r="I3583" s="578" t="str">
        <f t="shared" si="201"/>
        <v>2009age30-34PN</v>
      </c>
      <c r="J3583" s="604">
        <v>2009</v>
      </c>
      <c r="K3583" s="604" t="s">
        <v>453</v>
      </c>
      <c r="L3583" s="604" t="s">
        <v>132</v>
      </c>
      <c r="M3583" s="604">
        <v>22</v>
      </c>
      <c r="N3583" s="604">
        <v>17463</v>
      </c>
      <c r="O3583" s="604">
        <v>1.3</v>
      </c>
      <c r="P3583" s="604" t="s">
        <v>436</v>
      </c>
      <c r="Q3583" s="499"/>
    </row>
    <row r="3584" spans="9:17">
      <c r="I3584" s="578" t="str">
        <f t="shared" si="201"/>
        <v>2009age35-39PN</v>
      </c>
      <c r="J3584" s="604">
        <v>2009</v>
      </c>
      <c r="K3584" s="604" t="s">
        <v>453</v>
      </c>
      <c r="L3584" s="604" t="s">
        <v>133</v>
      </c>
      <c r="M3584" s="604">
        <v>12</v>
      </c>
      <c r="N3584" s="604">
        <v>11391</v>
      </c>
      <c r="O3584" s="604">
        <v>1.1000000000000001</v>
      </c>
      <c r="P3584" s="604" t="s">
        <v>436</v>
      </c>
      <c r="Q3584" s="499"/>
    </row>
    <row r="3585" spans="9:17">
      <c r="I3585" s="578" t="str">
        <f t="shared" si="201"/>
        <v>2009age40+PN</v>
      </c>
      <c r="J3585" s="604">
        <v>2009</v>
      </c>
      <c r="K3585" s="604" t="s">
        <v>453</v>
      </c>
      <c r="L3585" s="604" t="s">
        <v>134</v>
      </c>
      <c r="M3585" s="604">
        <v>4</v>
      </c>
      <c r="N3585" s="604">
        <v>2479</v>
      </c>
      <c r="O3585" s="604">
        <v>1.6</v>
      </c>
      <c r="P3585" s="604" t="s">
        <v>436</v>
      </c>
      <c r="Q3585" s="499"/>
    </row>
    <row r="3586" spans="9:17">
      <c r="I3586" s="578" t="str">
        <f t="shared" si="201"/>
        <v>2009ageUnknownPN</v>
      </c>
      <c r="J3586" s="604">
        <v>2009</v>
      </c>
      <c r="K3586" s="604" t="s">
        <v>453</v>
      </c>
      <c r="L3586" s="604" t="s">
        <v>63</v>
      </c>
      <c r="M3586" s="604">
        <v>4</v>
      </c>
      <c r="N3586" s="604">
        <v>0</v>
      </c>
      <c r="O3586" s="604" t="s">
        <v>119</v>
      </c>
      <c r="P3586" s="604" t="s">
        <v>436</v>
      </c>
      <c r="Q3586" s="499"/>
    </row>
    <row r="3587" spans="9:17">
      <c r="I3587" s="578" t="str">
        <f t="shared" si="201"/>
        <v>2010age&lt;20PN</v>
      </c>
      <c r="J3587" s="604">
        <v>2010</v>
      </c>
      <c r="K3587" s="604" t="s">
        <v>453</v>
      </c>
      <c r="L3587" s="604" t="s">
        <v>339</v>
      </c>
      <c r="M3587" s="604">
        <v>22</v>
      </c>
      <c r="N3587" s="604">
        <v>4600</v>
      </c>
      <c r="O3587" s="604">
        <v>4.8</v>
      </c>
      <c r="P3587" s="604" t="s">
        <v>436</v>
      </c>
      <c r="Q3587" s="499"/>
    </row>
    <row r="3588" spans="9:17">
      <c r="I3588" s="578" t="str">
        <f t="shared" ref="I3588:I3651" si="202">J3588&amp;K3588&amp;L3588&amp;P3588</f>
        <v>2010age20-24PN</v>
      </c>
      <c r="J3588" s="604">
        <v>2010</v>
      </c>
      <c r="K3588" s="604" t="s">
        <v>453</v>
      </c>
      <c r="L3588" s="604" t="s">
        <v>130</v>
      </c>
      <c r="M3588" s="604">
        <v>45</v>
      </c>
      <c r="N3588" s="604">
        <v>12034</v>
      </c>
      <c r="O3588" s="604">
        <v>3.7</v>
      </c>
      <c r="P3588" s="604" t="s">
        <v>436</v>
      </c>
      <c r="Q3588" s="499"/>
    </row>
    <row r="3589" spans="9:17">
      <c r="I3589" s="578" t="str">
        <f t="shared" si="202"/>
        <v>2010age25-29PN</v>
      </c>
      <c r="J3589" s="604">
        <v>2010</v>
      </c>
      <c r="K3589" s="604" t="s">
        <v>453</v>
      </c>
      <c r="L3589" s="604" t="s">
        <v>131</v>
      </c>
      <c r="M3589" s="604">
        <v>24</v>
      </c>
      <c r="N3589" s="604">
        <v>16132</v>
      </c>
      <c r="O3589" s="604">
        <v>1.5</v>
      </c>
      <c r="P3589" s="604" t="s">
        <v>436</v>
      </c>
      <c r="Q3589" s="499"/>
    </row>
    <row r="3590" spans="9:17">
      <c r="I3590" s="578" t="str">
        <f t="shared" si="202"/>
        <v>2010age30-34PN</v>
      </c>
      <c r="J3590" s="604">
        <v>2010</v>
      </c>
      <c r="K3590" s="604" t="s">
        <v>453</v>
      </c>
      <c r="L3590" s="604" t="s">
        <v>132</v>
      </c>
      <c r="M3590" s="604">
        <v>14</v>
      </c>
      <c r="N3590" s="604">
        <v>17871</v>
      </c>
      <c r="O3590" s="604">
        <v>0.8</v>
      </c>
      <c r="P3590" s="604" t="s">
        <v>436</v>
      </c>
      <c r="Q3590" s="499"/>
    </row>
    <row r="3591" spans="9:17">
      <c r="I3591" s="578" t="str">
        <f t="shared" si="202"/>
        <v>2010age35-39PN</v>
      </c>
      <c r="J3591" s="604">
        <v>2010</v>
      </c>
      <c r="K3591" s="604" t="s">
        <v>453</v>
      </c>
      <c r="L3591" s="604" t="s">
        <v>133</v>
      </c>
      <c r="M3591" s="604">
        <v>15</v>
      </c>
      <c r="N3591" s="604">
        <v>11413</v>
      </c>
      <c r="O3591" s="604">
        <v>1.3</v>
      </c>
      <c r="P3591" s="604" t="s">
        <v>436</v>
      </c>
      <c r="Q3591" s="499"/>
    </row>
    <row r="3592" spans="9:17">
      <c r="I3592" s="578" t="str">
        <f t="shared" si="202"/>
        <v>2010age40+PN</v>
      </c>
      <c r="J3592" s="604">
        <v>2010</v>
      </c>
      <c r="K3592" s="604" t="s">
        <v>453</v>
      </c>
      <c r="L3592" s="604" t="s">
        <v>134</v>
      </c>
      <c r="M3592" s="604">
        <v>3</v>
      </c>
      <c r="N3592" s="604">
        <v>2649</v>
      </c>
      <c r="O3592" s="604">
        <v>1.1000000000000001</v>
      </c>
      <c r="P3592" s="604" t="s">
        <v>436</v>
      </c>
      <c r="Q3592" s="499"/>
    </row>
    <row r="3593" spans="9:17">
      <c r="I3593" s="578" t="str">
        <f t="shared" si="202"/>
        <v>2010ageUnknownPN</v>
      </c>
      <c r="J3593" s="604">
        <v>2010</v>
      </c>
      <c r="K3593" s="604" t="s">
        <v>453</v>
      </c>
      <c r="L3593" s="604" t="s">
        <v>63</v>
      </c>
      <c r="M3593" s="604">
        <v>4</v>
      </c>
      <c r="N3593" s="604">
        <v>0</v>
      </c>
      <c r="O3593" s="604" t="s">
        <v>119</v>
      </c>
      <c r="P3593" s="604" t="s">
        <v>436</v>
      </c>
      <c r="Q3593" s="499"/>
    </row>
    <row r="3594" spans="9:17">
      <c r="I3594" s="578" t="str">
        <f t="shared" si="202"/>
        <v>2011age&lt;20PN</v>
      </c>
      <c r="J3594" s="604">
        <v>2011</v>
      </c>
      <c r="K3594" s="604" t="s">
        <v>453</v>
      </c>
      <c r="L3594" s="604" t="s">
        <v>339</v>
      </c>
      <c r="M3594" s="604">
        <v>12</v>
      </c>
      <c r="N3594" s="604">
        <v>4065</v>
      </c>
      <c r="O3594" s="604">
        <v>3</v>
      </c>
      <c r="P3594" s="604" t="s">
        <v>436</v>
      </c>
      <c r="Q3594" s="499"/>
    </row>
    <row r="3595" spans="9:17">
      <c r="I3595" s="578" t="str">
        <f t="shared" si="202"/>
        <v>2011age20-24PN</v>
      </c>
      <c r="J3595" s="604">
        <v>2011</v>
      </c>
      <c r="K3595" s="604" t="s">
        <v>453</v>
      </c>
      <c r="L3595" s="604" t="s">
        <v>130</v>
      </c>
      <c r="M3595" s="604">
        <v>43</v>
      </c>
      <c r="N3595" s="604">
        <v>11604</v>
      </c>
      <c r="O3595" s="604">
        <v>3.7</v>
      </c>
      <c r="P3595" s="604" t="s">
        <v>436</v>
      </c>
      <c r="Q3595" s="499"/>
    </row>
    <row r="3596" spans="9:17">
      <c r="I3596" s="578" t="str">
        <f t="shared" si="202"/>
        <v>2011age25-29PN</v>
      </c>
      <c r="J3596" s="604">
        <v>2011</v>
      </c>
      <c r="K3596" s="604" t="s">
        <v>453</v>
      </c>
      <c r="L3596" s="604" t="s">
        <v>131</v>
      </c>
      <c r="M3596" s="604">
        <v>30</v>
      </c>
      <c r="N3596" s="604">
        <v>15636</v>
      </c>
      <c r="O3596" s="604">
        <v>1.9</v>
      </c>
      <c r="P3596" s="604" t="s">
        <v>436</v>
      </c>
      <c r="Q3596" s="499"/>
    </row>
    <row r="3597" spans="9:17">
      <c r="I3597" s="578" t="str">
        <f t="shared" si="202"/>
        <v>2011age30-34PN</v>
      </c>
      <c r="J3597" s="604">
        <v>2011</v>
      </c>
      <c r="K3597" s="604" t="s">
        <v>453</v>
      </c>
      <c r="L3597" s="604" t="s">
        <v>132</v>
      </c>
      <c r="M3597" s="604">
        <v>27</v>
      </c>
      <c r="N3597" s="604">
        <v>17359</v>
      </c>
      <c r="O3597" s="604">
        <v>1.6</v>
      </c>
      <c r="P3597" s="604" t="s">
        <v>436</v>
      </c>
      <c r="Q3597" s="499"/>
    </row>
    <row r="3598" spans="9:17">
      <c r="I3598" s="578" t="str">
        <f t="shared" si="202"/>
        <v>2011age35-39PN</v>
      </c>
      <c r="J3598" s="604">
        <v>2011</v>
      </c>
      <c r="K3598" s="604" t="s">
        <v>453</v>
      </c>
      <c r="L3598" s="604" t="s">
        <v>133</v>
      </c>
      <c r="M3598" s="604">
        <v>6</v>
      </c>
      <c r="N3598" s="604">
        <v>10940</v>
      </c>
      <c r="O3598" s="604">
        <v>0.5</v>
      </c>
      <c r="P3598" s="604" t="s">
        <v>436</v>
      </c>
      <c r="Q3598" s="499"/>
    </row>
    <row r="3599" spans="9:17">
      <c r="I3599" s="578" t="str">
        <f t="shared" si="202"/>
        <v>2011age40+PN</v>
      </c>
      <c r="J3599" s="604">
        <v>2011</v>
      </c>
      <c r="K3599" s="604" t="s">
        <v>453</v>
      </c>
      <c r="L3599" s="604" t="s">
        <v>134</v>
      </c>
      <c r="M3599" s="604">
        <v>2</v>
      </c>
      <c r="N3599" s="604">
        <v>2570</v>
      </c>
      <c r="O3599" s="604">
        <v>0.8</v>
      </c>
      <c r="P3599" s="604" t="s">
        <v>436</v>
      </c>
      <c r="Q3599" s="499"/>
    </row>
    <row r="3600" spans="9:17">
      <c r="I3600" s="578" t="str">
        <f t="shared" si="202"/>
        <v>2011ageUnknownPN</v>
      </c>
      <c r="J3600" s="604">
        <v>2011</v>
      </c>
      <c r="K3600" s="604" t="s">
        <v>453</v>
      </c>
      <c r="L3600" s="604" t="s">
        <v>63</v>
      </c>
      <c r="M3600" s="604">
        <v>5</v>
      </c>
      <c r="N3600" s="604">
        <v>0</v>
      </c>
      <c r="O3600" s="604" t="s">
        <v>119</v>
      </c>
      <c r="P3600" s="604" t="s">
        <v>436</v>
      </c>
      <c r="Q3600" s="499"/>
    </row>
    <row r="3601" spans="9:17">
      <c r="I3601" s="578" t="str">
        <f t="shared" si="202"/>
        <v>2012age&lt;20PN</v>
      </c>
      <c r="J3601" s="604">
        <v>2012</v>
      </c>
      <c r="K3601" s="604" t="s">
        <v>453</v>
      </c>
      <c r="L3601" s="604" t="s">
        <v>339</v>
      </c>
      <c r="M3601" s="604">
        <v>14</v>
      </c>
      <c r="N3601" s="604">
        <v>3881</v>
      </c>
      <c r="O3601" s="604">
        <v>3.6</v>
      </c>
      <c r="P3601" s="604" t="s">
        <v>436</v>
      </c>
      <c r="Q3601" s="499"/>
    </row>
    <row r="3602" spans="9:17">
      <c r="I3602" s="578" t="str">
        <f t="shared" si="202"/>
        <v>2012age20-24PN</v>
      </c>
      <c r="J3602" s="604">
        <v>2012</v>
      </c>
      <c r="K3602" s="604" t="s">
        <v>453</v>
      </c>
      <c r="L3602" s="604" t="s">
        <v>130</v>
      </c>
      <c r="M3602" s="604">
        <v>30</v>
      </c>
      <c r="N3602" s="604">
        <v>11530</v>
      </c>
      <c r="O3602" s="604">
        <v>2.6</v>
      </c>
      <c r="P3602" s="604" t="s">
        <v>436</v>
      </c>
      <c r="Q3602" s="499"/>
    </row>
    <row r="3603" spans="9:17">
      <c r="I3603" s="578" t="str">
        <f t="shared" si="202"/>
        <v>2012age25-29PN</v>
      </c>
      <c r="J3603" s="604">
        <v>2012</v>
      </c>
      <c r="K3603" s="604" t="s">
        <v>453</v>
      </c>
      <c r="L3603" s="604" t="s">
        <v>131</v>
      </c>
      <c r="M3603" s="604">
        <v>19</v>
      </c>
      <c r="N3603" s="604">
        <v>15863</v>
      </c>
      <c r="O3603" s="604">
        <v>1.2</v>
      </c>
      <c r="P3603" s="604" t="s">
        <v>436</v>
      </c>
      <c r="Q3603" s="499"/>
    </row>
    <row r="3604" spans="9:17">
      <c r="I3604" s="578" t="str">
        <f t="shared" si="202"/>
        <v>2012age30-34PN</v>
      </c>
      <c r="J3604" s="604">
        <v>2012</v>
      </c>
      <c r="K3604" s="604" t="s">
        <v>453</v>
      </c>
      <c r="L3604" s="604" t="s">
        <v>132</v>
      </c>
      <c r="M3604" s="604">
        <v>16</v>
      </c>
      <c r="N3604" s="604">
        <v>17635</v>
      </c>
      <c r="O3604" s="604">
        <v>0.9</v>
      </c>
      <c r="P3604" s="604" t="s">
        <v>436</v>
      </c>
      <c r="Q3604" s="499"/>
    </row>
    <row r="3605" spans="9:17">
      <c r="I3605" s="578" t="str">
        <f t="shared" si="202"/>
        <v>2012age35-39PN</v>
      </c>
      <c r="J3605" s="604">
        <v>2012</v>
      </c>
      <c r="K3605" s="604" t="s">
        <v>453</v>
      </c>
      <c r="L3605" s="604" t="s">
        <v>133</v>
      </c>
      <c r="M3605" s="604">
        <v>16</v>
      </c>
      <c r="N3605" s="604">
        <v>10460</v>
      </c>
      <c r="O3605" s="604">
        <v>1.5</v>
      </c>
      <c r="P3605" s="604" t="s">
        <v>436</v>
      </c>
      <c r="Q3605" s="499"/>
    </row>
    <row r="3606" spans="9:17">
      <c r="I3606" s="578" t="str">
        <f t="shared" si="202"/>
        <v>2012age40+PN</v>
      </c>
      <c r="J3606" s="604">
        <v>2012</v>
      </c>
      <c r="K3606" s="604" t="s">
        <v>453</v>
      </c>
      <c r="L3606" s="604" t="s">
        <v>134</v>
      </c>
      <c r="M3606" s="604">
        <v>4</v>
      </c>
      <c r="N3606" s="604">
        <v>2666</v>
      </c>
      <c r="O3606" s="604">
        <v>1.5</v>
      </c>
      <c r="P3606" s="604" t="s">
        <v>436</v>
      </c>
      <c r="Q3606" s="499"/>
    </row>
    <row r="3607" spans="9:17">
      <c r="I3607" s="578" t="str">
        <f t="shared" si="202"/>
        <v>2012ageUnknownPN</v>
      </c>
      <c r="J3607" s="604">
        <v>2012</v>
      </c>
      <c r="K3607" s="604" t="s">
        <v>453</v>
      </c>
      <c r="L3607" s="604" t="s">
        <v>63</v>
      </c>
      <c r="M3607" s="604">
        <v>1</v>
      </c>
      <c r="N3607" s="604">
        <v>0</v>
      </c>
      <c r="O3607" s="604" t="s">
        <v>119</v>
      </c>
      <c r="P3607" s="604" t="s">
        <v>436</v>
      </c>
      <c r="Q3607" s="499"/>
    </row>
    <row r="3608" spans="9:17">
      <c r="I3608" s="578" t="str">
        <f t="shared" si="202"/>
        <v>2013age&lt;20PN</v>
      </c>
      <c r="J3608" s="604">
        <v>2013</v>
      </c>
      <c r="K3608" s="604" t="s">
        <v>453</v>
      </c>
      <c r="L3608" s="604" t="s">
        <v>339</v>
      </c>
      <c r="M3608" s="604">
        <v>9</v>
      </c>
      <c r="N3608" s="604">
        <v>3409</v>
      </c>
      <c r="O3608" s="604">
        <v>2.6</v>
      </c>
      <c r="P3608" s="604" t="s">
        <v>436</v>
      </c>
      <c r="Q3608" s="499"/>
    </row>
    <row r="3609" spans="9:17">
      <c r="I3609" s="578" t="str">
        <f t="shared" si="202"/>
        <v>2013age20-24PN</v>
      </c>
      <c r="J3609" s="604">
        <v>2013</v>
      </c>
      <c r="K3609" s="604" t="s">
        <v>453</v>
      </c>
      <c r="L3609" s="604" t="s">
        <v>130</v>
      </c>
      <c r="M3609" s="604">
        <v>27</v>
      </c>
      <c r="N3609" s="604">
        <v>10983</v>
      </c>
      <c r="O3609" s="604">
        <v>2.5</v>
      </c>
      <c r="P3609" s="604" t="s">
        <v>436</v>
      </c>
      <c r="Q3609" s="499"/>
    </row>
    <row r="3610" spans="9:17">
      <c r="I3610" s="578" t="str">
        <f t="shared" si="202"/>
        <v>2013age25-29PN</v>
      </c>
      <c r="J3610" s="604">
        <v>2013</v>
      </c>
      <c r="K3610" s="604" t="s">
        <v>453</v>
      </c>
      <c r="L3610" s="604" t="s">
        <v>131</v>
      </c>
      <c r="M3610" s="604">
        <v>19</v>
      </c>
      <c r="N3610" s="604">
        <v>15486</v>
      </c>
      <c r="O3610" s="604">
        <v>1.2</v>
      </c>
      <c r="P3610" s="604" t="s">
        <v>436</v>
      </c>
      <c r="Q3610" s="499"/>
    </row>
    <row r="3611" spans="9:17">
      <c r="I3611" s="578" t="str">
        <f t="shared" si="202"/>
        <v>2013age30-34PN</v>
      </c>
      <c r="J3611" s="604">
        <v>2013</v>
      </c>
      <c r="K3611" s="604" t="s">
        <v>453</v>
      </c>
      <c r="L3611" s="604" t="s">
        <v>132</v>
      </c>
      <c r="M3611" s="604">
        <v>21</v>
      </c>
      <c r="N3611" s="604">
        <v>16970</v>
      </c>
      <c r="O3611" s="604">
        <v>1.2</v>
      </c>
      <c r="P3611" s="604" t="s">
        <v>436</v>
      </c>
      <c r="Q3611" s="499"/>
    </row>
    <row r="3612" spans="9:17">
      <c r="I3612" s="578" t="str">
        <f t="shared" si="202"/>
        <v>2013age35-39PN</v>
      </c>
      <c r="J3612" s="604">
        <v>2013</v>
      </c>
      <c r="K3612" s="604" t="s">
        <v>453</v>
      </c>
      <c r="L3612" s="604" t="s">
        <v>133</v>
      </c>
      <c r="M3612" s="604">
        <v>13</v>
      </c>
      <c r="N3612" s="604">
        <v>10235</v>
      </c>
      <c r="O3612" s="604">
        <v>1.3</v>
      </c>
      <c r="P3612" s="604" t="s">
        <v>436</v>
      </c>
      <c r="Q3612" s="499"/>
    </row>
    <row r="3613" spans="9:17">
      <c r="I3613" s="578" t="str">
        <f t="shared" si="202"/>
        <v>2013age40+PN</v>
      </c>
      <c r="J3613" s="604">
        <v>2013</v>
      </c>
      <c r="K3613" s="604" t="s">
        <v>453</v>
      </c>
      <c r="L3613" s="604" t="s">
        <v>134</v>
      </c>
      <c r="M3613" s="604">
        <v>7</v>
      </c>
      <c r="N3613" s="604">
        <v>2618</v>
      </c>
      <c r="O3613" s="604">
        <v>2.7</v>
      </c>
      <c r="P3613" s="604" t="s">
        <v>436</v>
      </c>
      <c r="Q3613" s="499"/>
    </row>
    <row r="3614" spans="9:17">
      <c r="I3614" s="578" t="str">
        <f t="shared" si="202"/>
        <v>2013ageUnknownPN</v>
      </c>
      <c r="J3614" s="604">
        <v>2013</v>
      </c>
      <c r="K3614" s="604" t="s">
        <v>453</v>
      </c>
      <c r="L3614" s="604" t="s">
        <v>63</v>
      </c>
      <c r="M3614" s="604">
        <v>2</v>
      </c>
      <c r="N3614" s="604">
        <v>0</v>
      </c>
      <c r="O3614" s="604" t="s">
        <v>119</v>
      </c>
      <c r="P3614" s="604" t="s">
        <v>436</v>
      </c>
      <c r="Q3614" s="499"/>
    </row>
    <row r="3615" spans="9:17">
      <c r="I3615" s="578" t="str">
        <f t="shared" si="202"/>
        <v>2014age&lt;20PN</v>
      </c>
      <c r="J3615" s="604">
        <v>2014</v>
      </c>
      <c r="K3615" s="604" t="s">
        <v>453</v>
      </c>
      <c r="L3615" s="604" t="s">
        <v>339</v>
      </c>
      <c r="M3615" s="604">
        <v>18</v>
      </c>
      <c r="N3615" s="604">
        <v>3017</v>
      </c>
      <c r="O3615" s="604">
        <v>6</v>
      </c>
      <c r="P3615" s="604" t="s">
        <v>436</v>
      </c>
      <c r="Q3615" s="499"/>
    </row>
    <row r="3616" spans="9:17">
      <c r="I3616" s="578" t="str">
        <f t="shared" si="202"/>
        <v>2014age20-24PN</v>
      </c>
      <c r="J3616" s="604">
        <v>2014</v>
      </c>
      <c r="K3616" s="604" t="s">
        <v>453</v>
      </c>
      <c r="L3616" s="604" t="s">
        <v>130</v>
      </c>
      <c r="M3616" s="604">
        <v>33</v>
      </c>
      <c r="N3616" s="604">
        <v>10235</v>
      </c>
      <c r="O3616" s="604">
        <v>3.2</v>
      </c>
      <c r="P3616" s="604" t="s">
        <v>436</v>
      </c>
      <c r="Q3616" s="499"/>
    </row>
    <row r="3617" spans="9:17">
      <c r="I3617" s="578" t="str">
        <f t="shared" si="202"/>
        <v>2014age25-29PN</v>
      </c>
      <c r="J3617" s="604">
        <v>2014</v>
      </c>
      <c r="K3617" s="604" t="s">
        <v>453</v>
      </c>
      <c r="L3617" s="604" t="s">
        <v>131</v>
      </c>
      <c r="M3617" s="604">
        <v>19</v>
      </c>
      <c r="N3617" s="604">
        <v>15519</v>
      </c>
      <c r="O3617" s="604">
        <v>1.2</v>
      </c>
      <c r="P3617" s="604" t="s">
        <v>436</v>
      </c>
      <c r="Q3617" s="499"/>
    </row>
    <row r="3618" spans="9:17">
      <c r="I3618" s="578" t="str">
        <f t="shared" si="202"/>
        <v>2014age30-34PN</v>
      </c>
      <c r="J3618" s="604">
        <v>2014</v>
      </c>
      <c r="K3618" s="604" t="s">
        <v>453</v>
      </c>
      <c r="L3618" s="604" t="s">
        <v>132</v>
      </c>
      <c r="M3618" s="604">
        <v>10</v>
      </c>
      <c r="N3618" s="604">
        <v>17375</v>
      </c>
      <c r="O3618" s="604">
        <v>0.6</v>
      </c>
      <c r="P3618" s="604" t="s">
        <v>436</v>
      </c>
      <c r="Q3618" s="499"/>
    </row>
    <row r="3619" spans="9:17">
      <c r="I3619" s="578" t="str">
        <f t="shared" si="202"/>
        <v>2014age35-39PN</v>
      </c>
      <c r="J3619" s="604">
        <v>2014</v>
      </c>
      <c r="K3619" s="604" t="s">
        <v>453</v>
      </c>
      <c r="L3619" s="604" t="s">
        <v>133</v>
      </c>
      <c r="M3619" s="604">
        <v>9</v>
      </c>
      <c r="N3619" s="604">
        <v>9639</v>
      </c>
      <c r="O3619" s="604">
        <v>0.9</v>
      </c>
      <c r="P3619" s="604" t="s">
        <v>436</v>
      </c>
      <c r="Q3619" s="499"/>
    </row>
    <row r="3620" spans="9:17">
      <c r="I3620" s="578" t="str">
        <f t="shared" si="202"/>
        <v>2014age40+PN</v>
      </c>
      <c r="J3620" s="604">
        <v>2014</v>
      </c>
      <c r="K3620" s="604" t="s">
        <v>453</v>
      </c>
      <c r="L3620" s="604" t="s">
        <v>134</v>
      </c>
      <c r="M3620" s="604">
        <v>2</v>
      </c>
      <c r="N3620" s="604">
        <v>2500</v>
      </c>
      <c r="O3620" s="604">
        <v>0.8</v>
      </c>
      <c r="P3620" s="604" t="s">
        <v>436</v>
      </c>
      <c r="Q3620" s="499"/>
    </row>
    <row r="3621" spans="9:17">
      <c r="I3621" s="578" t="str">
        <f t="shared" si="202"/>
        <v>2014ageUnknownPN</v>
      </c>
      <c r="J3621" s="604">
        <v>2014</v>
      </c>
      <c r="K3621" s="604" t="s">
        <v>453</v>
      </c>
      <c r="L3621" s="604" t="s">
        <v>63</v>
      </c>
      <c r="M3621" s="604">
        <v>2</v>
      </c>
      <c r="N3621" s="604">
        <v>0</v>
      </c>
      <c r="O3621" s="604" t="s">
        <v>119</v>
      </c>
      <c r="P3621" s="604" t="s">
        <v>436</v>
      </c>
      <c r="Q3621" s="499"/>
    </row>
    <row r="3622" spans="9:17">
      <c r="I3622" s="578" t="str">
        <f t="shared" si="202"/>
        <v>2015age&lt;20PN</v>
      </c>
      <c r="J3622" s="604">
        <v>2015</v>
      </c>
      <c r="K3622" s="604" t="s">
        <v>453</v>
      </c>
      <c r="L3622" s="604" t="s">
        <v>339</v>
      </c>
      <c r="M3622" s="604">
        <v>12</v>
      </c>
      <c r="N3622" s="604">
        <v>2977</v>
      </c>
      <c r="O3622" s="604">
        <v>4</v>
      </c>
      <c r="P3622" s="604" t="s">
        <v>436</v>
      </c>
      <c r="Q3622" s="499"/>
    </row>
    <row r="3623" spans="9:17">
      <c r="I3623" s="578" t="str">
        <f t="shared" si="202"/>
        <v>2015age20-24PN</v>
      </c>
      <c r="J3623" s="604">
        <v>2015</v>
      </c>
      <c r="K3623" s="604" t="s">
        <v>453</v>
      </c>
      <c r="L3623" s="604" t="s">
        <v>130</v>
      </c>
      <c r="M3623" s="604">
        <v>20</v>
      </c>
      <c r="N3623" s="604">
        <v>10795</v>
      </c>
      <c r="O3623" s="604">
        <v>1.9</v>
      </c>
      <c r="P3623" s="604" t="s">
        <v>436</v>
      </c>
      <c r="Q3623" s="499"/>
    </row>
    <row r="3624" spans="9:17">
      <c r="I3624" s="578" t="str">
        <f t="shared" si="202"/>
        <v>2015age25-29PN</v>
      </c>
      <c r="J3624" s="604">
        <v>2015</v>
      </c>
      <c r="K3624" s="604" t="s">
        <v>453</v>
      </c>
      <c r="L3624" s="604" t="s">
        <v>131</v>
      </c>
      <c r="M3624" s="604">
        <v>22</v>
      </c>
      <c r="N3624" s="604">
        <v>16661</v>
      </c>
      <c r="O3624" s="604">
        <v>1.3</v>
      </c>
      <c r="P3624" s="604" t="s">
        <v>436</v>
      </c>
      <c r="Q3624" s="499"/>
    </row>
    <row r="3625" spans="9:17">
      <c r="I3625" s="578" t="str">
        <f t="shared" si="202"/>
        <v>2015age30-34PN</v>
      </c>
      <c r="J3625" s="604">
        <v>2015</v>
      </c>
      <c r="K3625" s="604" t="s">
        <v>453</v>
      </c>
      <c r="L3625" s="604" t="s">
        <v>132</v>
      </c>
      <c r="M3625" s="604">
        <v>20</v>
      </c>
      <c r="N3625" s="604">
        <v>18793</v>
      </c>
      <c r="O3625" s="604">
        <v>1.1000000000000001</v>
      </c>
      <c r="P3625" s="604" t="s">
        <v>436</v>
      </c>
      <c r="Q3625" s="499"/>
    </row>
    <row r="3626" spans="9:17">
      <c r="I3626" s="578" t="str">
        <f t="shared" si="202"/>
        <v>2015age35-39PN</v>
      </c>
      <c r="J3626" s="604">
        <v>2015</v>
      </c>
      <c r="K3626" s="604" t="s">
        <v>453</v>
      </c>
      <c r="L3626" s="604" t="s">
        <v>133</v>
      </c>
      <c r="M3626" s="604">
        <v>11</v>
      </c>
      <c r="N3626" s="604">
        <v>10321</v>
      </c>
      <c r="O3626" s="604">
        <v>1.1000000000000001</v>
      </c>
      <c r="P3626" s="604" t="s">
        <v>436</v>
      </c>
      <c r="Q3626" s="499"/>
    </row>
    <row r="3627" spans="9:17">
      <c r="I3627" s="578" t="str">
        <f t="shared" si="202"/>
        <v>2015age40+PN</v>
      </c>
      <c r="J3627" s="604">
        <v>2015</v>
      </c>
      <c r="K3627" s="604" t="s">
        <v>453</v>
      </c>
      <c r="L3627" s="604" t="s">
        <v>134</v>
      </c>
      <c r="M3627" s="604">
        <v>2</v>
      </c>
      <c r="N3627" s="604">
        <v>2575</v>
      </c>
      <c r="O3627" s="604">
        <v>0.8</v>
      </c>
      <c r="P3627" s="604" t="s">
        <v>436</v>
      </c>
      <c r="Q3627" s="499"/>
    </row>
    <row r="3628" spans="9:17">
      <c r="I3628" s="578" t="str">
        <f t="shared" si="202"/>
        <v>2015ageUnknownPN</v>
      </c>
      <c r="J3628" s="604">
        <v>2015</v>
      </c>
      <c r="K3628" s="604" t="s">
        <v>453</v>
      </c>
      <c r="L3628" s="604" t="s">
        <v>63</v>
      </c>
      <c r="M3628" s="604">
        <v>4</v>
      </c>
      <c r="N3628" s="604">
        <v>0</v>
      </c>
      <c r="O3628" s="604" t="s">
        <v>119</v>
      </c>
      <c r="P3628" s="604" t="s">
        <v>436</v>
      </c>
      <c r="Q3628" s="499"/>
    </row>
    <row r="3629" spans="9:17">
      <c r="I3629" s="578" t="str">
        <f t="shared" si="202"/>
        <v>2016age&lt;20PN</v>
      </c>
      <c r="J3629" s="604">
        <v>2016</v>
      </c>
      <c r="K3629" s="604" t="s">
        <v>453</v>
      </c>
      <c r="L3629" s="604" t="s">
        <v>339</v>
      </c>
      <c r="M3629" s="604">
        <v>10</v>
      </c>
      <c r="N3629" s="604">
        <v>2559</v>
      </c>
      <c r="O3629" s="604">
        <v>3.9</v>
      </c>
      <c r="P3629" s="604" t="s">
        <v>436</v>
      </c>
      <c r="Q3629" s="499"/>
    </row>
    <row r="3630" spans="9:17">
      <c r="I3630" s="578" t="str">
        <f t="shared" si="202"/>
        <v>2016age20-24PN</v>
      </c>
      <c r="J3630" s="604">
        <v>2016</v>
      </c>
      <c r="K3630" s="604" t="s">
        <v>453</v>
      </c>
      <c r="L3630" s="604" t="s">
        <v>130</v>
      </c>
      <c r="M3630" s="604">
        <v>19</v>
      </c>
      <c r="N3630" s="604">
        <v>9934</v>
      </c>
      <c r="O3630" s="604">
        <v>1.9</v>
      </c>
      <c r="P3630" s="604" t="s">
        <v>436</v>
      </c>
      <c r="Q3630" s="499"/>
    </row>
    <row r="3631" spans="9:17">
      <c r="I3631" s="578" t="str">
        <f t="shared" si="202"/>
        <v>2016age25-29PN</v>
      </c>
      <c r="J3631" s="604">
        <v>2016</v>
      </c>
      <c r="K3631" s="604" t="s">
        <v>453</v>
      </c>
      <c r="L3631" s="604" t="s">
        <v>131</v>
      </c>
      <c r="M3631" s="604">
        <v>22</v>
      </c>
      <c r="N3631" s="604">
        <v>16664</v>
      </c>
      <c r="O3631" s="604">
        <v>1.3</v>
      </c>
      <c r="P3631" s="604" t="s">
        <v>436</v>
      </c>
      <c r="Q3631" s="499"/>
    </row>
    <row r="3632" spans="9:17">
      <c r="I3632" s="578" t="str">
        <f t="shared" si="202"/>
        <v>2016age30-34PN</v>
      </c>
      <c r="J3632" s="604">
        <v>2016</v>
      </c>
      <c r="K3632" s="604" t="s">
        <v>453</v>
      </c>
      <c r="L3632" s="604" t="s">
        <v>132</v>
      </c>
      <c r="M3632" s="604">
        <v>18</v>
      </c>
      <c r="N3632" s="604">
        <v>18720</v>
      </c>
      <c r="O3632" s="604">
        <v>1</v>
      </c>
      <c r="P3632" s="604" t="s">
        <v>436</v>
      </c>
      <c r="Q3632" s="499"/>
    </row>
    <row r="3633" spans="9:17">
      <c r="I3633" s="578" t="str">
        <f t="shared" si="202"/>
        <v>2016age35-39PN</v>
      </c>
      <c r="J3633" s="604">
        <v>2016</v>
      </c>
      <c r="K3633" s="604" t="s">
        <v>453</v>
      </c>
      <c r="L3633" s="604" t="s">
        <v>133</v>
      </c>
      <c r="M3633" s="604">
        <v>7</v>
      </c>
      <c r="N3633" s="604">
        <v>10105</v>
      </c>
      <c r="O3633" s="604">
        <v>0.7</v>
      </c>
      <c r="P3633" s="604" t="s">
        <v>436</v>
      </c>
      <c r="Q3633" s="499"/>
    </row>
    <row r="3634" spans="9:17">
      <c r="I3634" s="578" t="str">
        <f t="shared" si="202"/>
        <v>2016age40+PN</v>
      </c>
      <c r="J3634" s="604">
        <v>2016</v>
      </c>
      <c r="K3634" s="604" t="s">
        <v>453</v>
      </c>
      <c r="L3634" s="604" t="s">
        <v>134</v>
      </c>
      <c r="M3634" s="604">
        <v>3</v>
      </c>
      <c r="N3634" s="604">
        <v>2454</v>
      </c>
      <c r="O3634" s="604">
        <v>1.2</v>
      </c>
      <c r="P3634" s="604" t="s">
        <v>436</v>
      </c>
      <c r="Q3634" s="499"/>
    </row>
    <row r="3635" spans="9:17">
      <c r="I3635" s="578" t="str">
        <f t="shared" si="202"/>
        <v>2016ageUnknownPN</v>
      </c>
      <c r="J3635" s="604">
        <v>2016</v>
      </c>
      <c r="K3635" s="604" t="s">
        <v>453</v>
      </c>
      <c r="L3635" s="604" t="s">
        <v>63</v>
      </c>
      <c r="M3635" s="604">
        <v>1</v>
      </c>
      <c r="N3635" s="604">
        <v>0</v>
      </c>
      <c r="O3635" s="604" t="s">
        <v>119</v>
      </c>
      <c r="P3635" s="604" t="s">
        <v>436</v>
      </c>
      <c r="Q3635" s="499"/>
    </row>
    <row r="3636" spans="9:17">
      <c r="I3636" s="578" t="str">
        <f t="shared" si="202"/>
        <v>1996sexMalePN</v>
      </c>
      <c r="J3636" s="604">
        <v>1996</v>
      </c>
      <c r="K3636" s="604" t="s">
        <v>451</v>
      </c>
      <c r="L3636" s="604" t="s">
        <v>70</v>
      </c>
      <c r="M3636" s="604">
        <v>104</v>
      </c>
      <c r="N3636" s="604">
        <v>29549</v>
      </c>
      <c r="O3636" s="604">
        <v>3.5</v>
      </c>
      <c r="P3636" s="604" t="s">
        <v>436</v>
      </c>
      <c r="Q3636" s="499"/>
    </row>
    <row r="3637" spans="9:17">
      <c r="I3637" s="578" t="str">
        <f t="shared" si="202"/>
        <v>1996sexFemalePN</v>
      </c>
      <c r="J3637" s="604">
        <v>1996</v>
      </c>
      <c r="K3637" s="604" t="s">
        <v>451</v>
      </c>
      <c r="L3637" s="604" t="s">
        <v>71</v>
      </c>
      <c r="M3637" s="604">
        <v>90</v>
      </c>
      <c r="N3637" s="604">
        <v>27885</v>
      </c>
      <c r="O3637" s="604">
        <v>3.2</v>
      </c>
      <c r="P3637" s="604" t="s">
        <v>436</v>
      </c>
      <c r="Q3637" s="499"/>
    </row>
    <row r="3638" spans="9:17">
      <c r="I3638" s="578" t="str">
        <f t="shared" si="202"/>
        <v>1996sexInd/UnkPN</v>
      </c>
      <c r="J3638" s="604">
        <v>1996</v>
      </c>
      <c r="K3638" s="604" t="s">
        <v>451</v>
      </c>
      <c r="L3638" s="604" t="s">
        <v>458</v>
      </c>
      <c r="M3638" s="604">
        <v>0</v>
      </c>
      <c r="N3638" s="604">
        <v>0</v>
      </c>
      <c r="O3638" s="604" t="s">
        <v>119</v>
      </c>
      <c r="P3638" s="604" t="s">
        <v>436</v>
      </c>
      <c r="Q3638" s="499"/>
    </row>
    <row r="3639" spans="9:17">
      <c r="I3639" s="578" t="str">
        <f t="shared" si="202"/>
        <v>1997sexMalePN</v>
      </c>
      <c r="J3639" s="604">
        <v>1997</v>
      </c>
      <c r="K3639" s="604" t="s">
        <v>451</v>
      </c>
      <c r="L3639" s="604" t="s">
        <v>70</v>
      </c>
      <c r="M3639" s="604">
        <v>107</v>
      </c>
      <c r="N3639" s="604">
        <v>29493</v>
      </c>
      <c r="O3639" s="604">
        <v>3.6</v>
      </c>
      <c r="P3639" s="604" t="s">
        <v>436</v>
      </c>
      <c r="Q3639" s="499"/>
    </row>
    <row r="3640" spans="9:17">
      <c r="I3640" s="578" t="str">
        <f t="shared" si="202"/>
        <v>1997sexFemalePN</v>
      </c>
      <c r="J3640" s="604">
        <v>1997</v>
      </c>
      <c r="K3640" s="604" t="s">
        <v>451</v>
      </c>
      <c r="L3640" s="604" t="s">
        <v>71</v>
      </c>
      <c r="M3640" s="604">
        <v>75</v>
      </c>
      <c r="N3640" s="604">
        <v>28241</v>
      </c>
      <c r="O3640" s="604">
        <v>2.7</v>
      </c>
      <c r="P3640" s="604" t="s">
        <v>436</v>
      </c>
      <c r="Q3640" s="499"/>
    </row>
    <row r="3641" spans="9:17">
      <c r="I3641" s="578" t="str">
        <f t="shared" si="202"/>
        <v>1997sexInd/UnkPN</v>
      </c>
      <c r="J3641" s="604">
        <v>1997</v>
      </c>
      <c r="K3641" s="604" t="s">
        <v>451</v>
      </c>
      <c r="L3641" s="604" t="s">
        <v>458</v>
      </c>
      <c r="M3641" s="604">
        <v>0</v>
      </c>
      <c r="N3641" s="604">
        <v>0</v>
      </c>
      <c r="O3641" s="604" t="s">
        <v>119</v>
      </c>
      <c r="P3641" s="604" t="s">
        <v>436</v>
      </c>
      <c r="Q3641" s="499"/>
    </row>
    <row r="3642" spans="9:17">
      <c r="I3642" s="578" t="str">
        <f t="shared" si="202"/>
        <v>1998sexMalePN</v>
      </c>
      <c r="J3642" s="604">
        <v>1998</v>
      </c>
      <c r="K3642" s="604" t="s">
        <v>451</v>
      </c>
      <c r="L3642" s="604" t="s">
        <v>70</v>
      </c>
      <c r="M3642" s="604">
        <v>89</v>
      </c>
      <c r="N3642" s="604">
        <v>29493</v>
      </c>
      <c r="O3642" s="604">
        <v>3</v>
      </c>
      <c r="P3642" s="604" t="s">
        <v>436</v>
      </c>
      <c r="Q3642" s="499"/>
    </row>
    <row r="3643" spans="9:17">
      <c r="I3643" s="578" t="str">
        <f t="shared" si="202"/>
        <v>1998sexFemalePN</v>
      </c>
      <c r="J3643" s="604">
        <v>1998</v>
      </c>
      <c r="K3643" s="604" t="s">
        <v>451</v>
      </c>
      <c r="L3643" s="604" t="s">
        <v>71</v>
      </c>
      <c r="M3643" s="604">
        <v>48</v>
      </c>
      <c r="N3643" s="604">
        <v>28241</v>
      </c>
      <c r="O3643" s="604">
        <v>1.7</v>
      </c>
      <c r="P3643" s="604" t="s">
        <v>436</v>
      </c>
      <c r="Q3643" s="499"/>
    </row>
    <row r="3644" spans="9:17">
      <c r="I3644" s="578" t="str">
        <f t="shared" si="202"/>
        <v>1998sexInd/UnkPN</v>
      </c>
      <c r="J3644" s="604">
        <v>1998</v>
      </c>
      <c r="K3644" s="604" t="s">
        <v>451</v>
      </c>
      <c r="L3644" s="604" t="s">
        <v>458</v>
      </c>
      <c r="M3644" s="604">
        <v>0</v>
      </c>
      <c r="N3644" s="604">
        <v>0</v>
      </c>
      <c r="O3644" s="604" t="s">
        <v>119</v>
      </c>
      <c r="P3644" s="604" t="s">
        <v>436</v>
      </c>
      <c r="Q3644" s="499"/>
    </row>
    <row r="3645" spans="9:17">
      <c r="I3645" s="578" t="str">
        <f t="shared" si="202"/>
        <v>1999sexMalePN</v>
      </c>
      <c r="J3645" s="604">
        <v>1999</v>
      </c>
      <c r="K3645" s="604" t="s">
        <v>451</v>
      </c>
      <c r="L3645" s="604" t="s">
        <v>70</v>
      </c>
      <c r="M3645" s="604">
        <v>96</v>
      </c>
      <c r="N3645" s="604">
        <v>29372</v>
      </c>
      <c r="O3645" s="604">
        <v>3.3</v>
      </c>
      <c r="P3645" s="604" t="s">
        <v>436</v>
      </c>
      <c r="Q3645" s="499"/>
    </row>
    <row r="3646" spans="9:17">
      <c r="I3646" s="578" t="str">
        <f t="shared" si="202"/>
        <v>1999sexFemalePN</v>
      </c>
      <c r="J3646" s="604">
        <v>1999</v>
      </c>
      <c r="K3646" s="604" t="s">
        <v>451</v>
      </c>
      <c r="L3646" s="604" t="s">
        <v>71</v>
      </c>
      <c r="M3646" s="604">
        <v>57</v>
      </c>
      <c r="N3646" s="604">
        <v>28049</v>
      </c>
      <c r="O3646" s="604">
        <v>2</v>
      </c>
      <c r="P3646" s="604" t="s">
        <v>436</v>
      </c>
      <c r="Q3646" s="499"/>
    </row>
    <row r="3647" spans="9:17">
      <c r="I3647" s="578" t="str">
        <f t="shared" si="202"/>
        <v>1999sexInd/UnkPN</v>
      </c>
      <c r="J3647" s="604">
        <v>1999</v>
      </c>
      <c r="K3647" s="604" t="s">
        <v>451</v>
      </c>
      <c r="L3647" s="604" t="s">
        <v>458</v>
      </c>
      <c r="M3647" s="604">
        <v>0</v>
      </c>
      <c r="N3647" s="604">
        <v>0</v>
      </c>
      <c r="O3647" s="604" t="s">
        <v>119</v>
      </c>
      <c r="P3647" s="604" t="s">
        <v>436</v>
      </c>
      <c r="Q3647" s="499"/>
    </row>
    <row r="3648" spans="9:17">
      <c r="I3648" s="578" t="str">
        <f t="shared" si="202"/>
        <v>2000sexMalePN</v>
      </c>
      <c r="J3648" s="604">
        <v>2000</v>
      </c>
      <c r="K3648" s="604" t="s">
        <v>451</v>
      </c>
      <c r="L3648" s="604" t="s">
        <v>70</v>
      </c>
      <c r="M3648" s="604">
        <v>85</v>
      </c>
      <c r="N3648" s="604">
        <v>29351</v>
      </c>
      <c r="O3648" s="604">
        <v>2.9</v>
      </c>
      <c r="P3648" s="604" t="s">
        <v>436</v>
      </c>
      <c r="Q3648" s="499"/>
    </row>
    <row r="3649" spans="9:17">
      <c r="I3649" s="578" t="str">
        <f t="shared" si="202"/>
        <v>2000sexFemalePN</v>
      </c>
      <c r="J3649" s="604">
        <v>2000</v>
      </c>
      <c r="K3649" s="604" t="s">
        <v>451</v>
      </c>
      <c r="L3649" s="604" t="s">
        <v>71</v>
      </c>
      <c r="M3649" s="604">
        <v>58</v>
      </c>
      <c r="N3649" s="604">
        <v>27643</v>
      </c>
      <c r="O3649" s="604">
        <v>2.1</v>
      </c>
      <c r="P3649" s="604" t="s">
        <v>436</v>
      </c>
      <c r="Q3649" s="499"/>
    </row>
    <row r="3650" spans="9:17">
      <c r="I3650" s="578" t="str">
        <f t="shared" si="202"/>
        <v>2000sexInd/UnkPN</v>
      </c>
      <c r="J3650" s="604">
        <v>2000</v>
      </c>
      <c r="K3650" s="604" t="s">
        <v>451</v>
      </c>
      <c r="L3650" s="604" t="s">
        <v>458</v>
      </c>
      <c r="M3650" s="604">
        <v>0</v>
      </c>
      <c r="N3650" s="604">
        <v>0</v>
      </c>
      <c r="O3650" s="604" t="s">
        <v>119</v>
      </c>
      <c r="P3650" s="604" t="s">
        <v>436</v>
      </c>
      <c r="Q3650" s="499"/>
    </row>
    <row r="3651" spans="9:17">
      <c r="I3651" s="578" t="str">
        <f t="shared" si="202"/>
        <v>2001sexMalePN</v>
      </c>
      <c r="J3651" s="604">
        <v>2001</v>
      </c>
      <c r="K3651" s="604" t="s">
        <v>451</v>
      </c>
      <c r="L3651" s="604" t="s">
        <v>70</v>
      </c>
      <c r="M3651" s="604">
        <v>96</v>
      </c>
      <c r="N3651" s="604">
        <v>28575</v>
      </c>
      <c r="O3651" s="604">
        <v>3.4</v>
      </c>
      <c r="P3651" s="604" t="s">
        <v>436</v>
      </c>
      <c r="Q3651" s="499"/>
    </row>
    <row r="3652" spans="9:17">
      <c r="I3652" s="578" t="str">
        <f t="shared" ref="I3652:I3715" si="203">J3652&amp;K3652&amp;L3652&amp;P3652</f>
        <v>2001sexFemalePN</v>
      </c>
      <c r="J3652" s="604">
        <v>2001</v>
      </c>
      <c r="K3652" s="604" t="s">
        <v>451</v>
      </c>
      <c r="L3652" s="604" t="s">
        <v>71</v>
      </c>
      <c r="M3652" s="604">
        <v>49</v>
      </c>
      <c r="N3652" s="604">
        <v>27649</v>
      </c>
      <c r="O3652" s="604">
        <v>1.8</v>
      </c>
      <c r="P3652" s="604" t="s">
        <v>436</v>
      </c>
      <c r="Q3652" s="499"/>
    </row>
    <row r="3653" spans="9:17">
      <c r="I3653" s="578" t="str">
        <f t="shared" si="203"/>
        <v>2001sexInd/UnkPN</v>
      </c>
      <c r="J3653" s="604">
        <v>2001</v>
      </c>
      <c r="K3653" s="604" t="s">
        <v>451</v>
      </c>
      <c r="L3653" s="604" t="s">
        <v>458</v>
      </c>
      <c r="M3653" s="604">
        <v>0</v>
      </c>
      <c r="N3653" s="604">
        <v>0</v>
      </c>
      <c r="O3653" s="604" t="s">
        <v>119</v>
      </c>
      <c r="P3653" s="604" t="s">
        <v>436</v>
      </c>
      <c r="Q3653" s="499"/>
    </row>
    <row r="3654" spans="9:17">
      <c r="I3654" s="578" t="str">
        <f t="shared" si="203"/>
        <v>2002sexMalePN</v>
      </c>
      <c r="J3654" s="604">
        <v>2002</v>
      </c>
      <c r="K3654" s="604" t="s">
        <v>451</v>
      </c>
      <c r="L3654" s="604" t="s">
        <v>70</v>
      </c>
      <c r="M3654" s="604">
        <v>60</v>
      </c>
      <c r="N3654" s="604">
        <v>27822</v>
      </c>
      <c r="O3654" s="604">
        <v>2.2000000000000002</v>
      </c>
      <c r="P3654" s="604" t="s">
        <v>436</v>
      </c>
      <c r="Q3654" s="499"/>
    </row>
    <row r="3655" spans="9:17">
      <c r="I3655" s="578" t="str">
        <f t="shared" si="203"/>
        <v>2002sexFemalePN</v>
      </c>
      <c r="J3655" s="604">
        <v>2002</v>
      </c>
      <c r="K3655" s="604" t="s">
        <v>451</v>
      </c>
      <c r="L3655" s="604" t="s">
        <v>71</v>
      </c>
      <c r="M3655" s="604">
        <v>56</v>
      </c>
      <c r="N3655" s="604">
        <v>26693</v>
      </c>
      <c r="O3655" s="604">
        <v>2.1</v>
      </c>
      <c r="P3655" s="604" t="s">
        <v>436</v>
      </c>
      <c r="Q3655" s="499"/>
    </row>
    <row r="3656" spans="9:17">
      <c r="I3656" s="578" t="str">
        <f t="shared" si="203"/>
        <v>2002sexInd/UnkPN</v>
      </c>
      <c r="J3656" s="604">
        <v>2002</v>
      </c>
      <c r="K3656" s="604" t="s">
        <v>451</v>
      </c>
      <c r="L3656" s="604" t="s">
        <v>458</v>
      </c>
      <c r="M3656" s="604">
        <v>0</v>
      </c>
      <c r="N3656" s="604">
        <v>0</v>
      </c>
      <c r="O3656" s="604" t="s">
        <v>119</v>
      </c>
      <c r="P3656" s="604" t="s">
        <v>436</v>
      </c>
      <c r="Q3656" s="499"/>
    </row>
    <row r="3657" spans="9:17">
      <c r="I3657" s="578" t="str">
        <f t="shared" si="203"/>
        <v>2003sexMalePN</v>
      </c>
      <c r="J3657" s="604">
        <v>2003</v>
      </c>
      <c r="K3657" s="604" t="s">
        <v>451</v>
      </c>
      <c r="L3657" s="604" t="s">
        <v>70</v>
      </c>
      <c r="M3657" s="604">
        <v>73</v>
      </c>
      <c r="N3657" s="604">
        <v>29050</v>
      </c>
      <c r="O3657" s="604">
        <v>2.5</v>
      </c>
      <c r="P3657" s="604" t="s">
        <v>436</v>
      </c>
      <c r="Q3657" s="499"/>
    </row>
    <row r="3658" spans="9:17">
      <c r="I3658" s="578" t="str">
        <f t="shared" si="203"/>
        <v>2003sexFemalePN</v>
      </c>
      <c r="J3658" s="604">
        <v>2003</v>
      </c>
      <c r="K3658" s="604" t="s">
        <v>451</v>
      </c>
      <c r="L3658" s="604" t="s">
        <v>71</v>
      </c>
      <c r="M3658" s="604">
        <v>47</v>
      </c>
      <c r="N3658" s="604">
        <v>27526</v>
      </c>
      <c r="O3658" s="604">
        <v>1.7</v>
      </c>
      <c r="P3658" s="604" t="s">
        <v>436</v>
      </c>
      <c r="Q3658" s="499"/>
    </row>
    <row r="3659" spans="9:17">
      <c r="I3659" s="578" t="str">
        <f t="shared" si="203"/>
        <v>2003sexInd/UnkPN</v>
      </c>
      <c r="J3659" s="604">
        <v>2003</v>
      </c>
      <c r="K3659" s="604" t="s">
        <v>451</v>
      </c>
      <c r="L3659" s="604" t="s">
        <v>458</v>
      </c>
      <c r="M3659" s="604">
        <v>0</v>
      </c>
      <c r="N3659" s="604">
        <v>0</v>
      </c>
      <c r="O3659" s="604" t="s">
        <v>119</v>
      </c>
      <c r="P3659" s="604" t="s">
        <v>436</v>
      </c>
      <c r="Q3659" s="499"/>
    </row>
    <row r="3660" spans="9:17">
      <c r="I3660" s="578" t="str">
        <f t="shared" si="203"/>
        <v>2004sexMalePN</v>
      </c>
      <c r="J3660" s="604">
        <v>2004</v>
      </c>
      <c r="K3660" s="604" t="s">
        <v>451</v>
      </c>
      <c r="L3660" s="604" t="s">
        <v>70</v>
      </c>
      <c r="M3660" s="604">
        <v>79</v>
      </c>
      <c r="N3660" s="604">
        <v>30091</v>
      </c>
      <c r="O3660" s="604">
        <v>2.6</v>
      </c>
      <c r="P3660" s="604" t="s">
        <v>436</v>
      </c>
      <c r="Q3660" s="499"/>
    </row>
    <row r="3661" spans="9:17">
      <c r="I3661" s="578" t="str">
        <f t="shared" si="203"/>
        <v>2004sexFemalePN</v>
      </c>
      <c r="J3661" s="604">
        <v>2004</v>
      </c>
      <c r="K3661" s="604" t="s">
        <v>451</v>
      </c>
      <c r="L3661" s="604" t="s">
        <v>71</v>
      </c>
      <c r="M3661" s="604">
        <v>70</v>
      </c>
      <c r="N3661" s="604">
        <v>28632</v>
      </c>
      <c r="O3661" s="604">
        <v>2.4</v>
      </c>
      <c r="P3661" s="604" t="s">
        <v>436</v>
      </c>
      <c r="Q3661" s="499"/>
    </row>
    <row r="3662" spans="9:17">
      <c r="I3662" s="578" t="str">
        <f t="shared" si="203"/>
        <v>2004sexInd/UnkPN</v>
      </c>
      <c r="J3662" s="604">
        <v>2004</v>
      </c>
      <c r="K3662" s="604" t="s">
        <v>451</v>
      </c>
      <c r="L3662" s="604" t="s">
        <v>458</v>
      </c>
      <c r="M3662" s="604">
        <v>0</v>
      </c>
      <c r="N3662" s="604">
        <v>0</v>
      </c>
      <c r="O3662" s="604" t="s">
        <v>119</v>
      </c>
      <c r="P3662" s="604" t="s">
        <v>436</v>
      </c>
      <c r="Q3662" s="499"/>
    </row>
    <row r="3663" spans="9:17">
      <c r="I3663" s="578" t="str">
        <f t="shared" si="203"/>
        <v>2005sexMalePN</v>
      </c>
      <c r="J3663" s="604">
        <v>2005</v>
      </c>
      <c r="K3663" s="604" t="s">
        <v>451</v>
      </c>
      <c r="L3663" s="604" t="s">
        <v>70</v>
      </c>
      <c r="M3663" s="604">
        <v>62</v>
      </c>
      <c r="N3663" s="604">
        <v>30067</v>
      </c>
      <c r="O3663" s="604">
        <v>2.1</v>
      </c>
      <c r="P3663" s="604" t="s">
        <v>436</v>
      </c>
      <c r="Q3663" s="499"/>
    </row>
    <row r="3664" spans="9:17">
      <c r="I3664" s="578" t="str">
        <f t="shared" si="203"/>
        <v>2005sexFemalePN</v>
      </c>
      <c r="J3664" s="604">
        <v>2005</v>
      </c>
      <c r="K3664" s="604" t="s">
        <v>451</v>
      </c>
      <c r="L3664" s="604" t="s">
        <v>71</v>
      </c>
      <c r="M3664" s="604">
        <v>49</v>
      </c>
      <c r="N3664" s="604">
        <v>28660</v>
      </c>
      <c r="O3664" s="604">
        <v>1.7</v>
      </c>
      <c r="P3664" s="604" t="s">
        <v>436</v>
      </c>
      <c r="Q3664" s="499"/>
    </row>
    <row r="3665" spans="9:17">
      <c r="I3665" s="578" t="str">
        <f t="shared" si="203"/>
        <v>2005sexInd/UnkPN</v>
      </c>
      <c r="J3665" s="604">
        <v>2005</v>
      </c>
      <c r="K3665" s="604" t="s">
        <v>451</v>
      </c>
      <c r="L3665" s="604" t="s">
        <v>458</v>
      </c>
      <c r="M3665" s="604">
        <v>0</v>
      </c>
      <c r="N3665" s="604">
        <v>0</v>
      </c>
      <c r="O3665" s="604" t="s">
        <v>119</v>
      </c>
      <c r="P3665" s="604" t="s">
        <v>436</v>
      </c>
      <c r="Q3665" s="499"/>
    </row>
    <row r="3666" spans="9:17">
      <c r="I3666" s="578" t="str">
        <f t="shared" si="203"/>
        <v>2006sexMalePN</v>
      </c>
      <c r="J3666" s="604">
        <v>2006</v>
      </c>
      <c r="K3666" s="604" t="s">
        <v>451</v>
      </c>
      <c r="L3666" s="604" t="s">
        <v>70</v>
      </c>
      <c r="M3666" s="604">
        <v>88</v>
      </c>
      <c r="N3666" s="604">
        <v>30808</v>
      </c>
      <c r="O3666" s="604">
        <v>2.9</v>
      </c>
      <c r="P3666" s="604" t="s">
        <v>436</v>
      </c>
      <c r="Q3666" s="499"/>
    </row>
    <row r="3667" spans="9:17">
      <c r="I3667" s="578" t="str">
        <f t="shared" si="203"/>
        <v>2006sexFemalePN</v>
      </c>
      <c r="J3667" s="604">
        <v>2006</v>
      </c>
      <c r="K3667" s="604" t="s">
        <v>451</v>
      </c>
      <c r="L3667" s="604" t="s">
        <v>71</v>
      </c>
      <c r="M3667" s="604">
        <v>55</v>
      </c>
      <c r="N3667" s="604">
        <v>29466</v>
      </c>
      <c r="O3667" s="604">
        <v>1.9</v>
      </c>
      <c r="P3667" s="604" t="s">
        <v>436</v>
      </c>
      <c r="Q3667" s="499"/>
    </row>
    <row r="3668" spans="9:17">
      <c r="I3668" s="578" t="str">
        <f t="shared" si="203"/>
        <v>2006sexInd/UnkPN</v>
      </c>
      <c r="J3668" s="604">
        <v>2006</v>
      </c>
      <c r="K3668" s="604" t="s">
        <v>451</v>
      </c>
      <c r="L3668" s="604" t="s">
        <v>458</v>
      </c>
      <c r="M3668" s="604">
        <v>0</v>
      </c>
      <c r="N3668" s="604">
        <v>0</v>
      </c>
      <c r="O3668" s="604" t="s">
        <v>119</v>
      </c>
      <c r="P3668" s="604" t="s">
        <v>436</v>
      </c>
      <c r="Q3668" s="499"/>
    </row>
    <row r="3669" spans="9:17">
      <c r="I3669" s="578" t="str">
        <f t="shared" si="203"/>
        <v>2007sexMalePN</v>
      </c>
      <c r="J3669" s="604">
        <v>2007</v>
      </c>
      <c r="K3669" s="604" t="s">
        <v>451</v>
      </c>
      <c r="L3669" s="604" t="s">
        <v>70</v>
      </c>
      <c r="M3669" s="604">
        <v>86</v>
      </c>
      <c r="N3669" s="604">
        <v>33569</v>
      </c>
      <c r="O3669" s="604">
        <v>2.6</v>
      </c>
      <c r="P3669" s="604" t="s">
        <v>436</v>
      </c>
      <c r="Q3669" s="499"/>
    </row>
    <row r="3670" spans="9:17">
      <c r="I3670" s="578" t="str">
        <f t="shared" si="203"/>
        <v>2007sexFemalePN</v>
      </c>
      <c r="J3670" s="604">
        <v>2007</v>
      </c>
      <c r="K3670" s="604" t="s">
        <v>451</v>
      </c>
      <c r="L3670" s="604" t="s">
        <v>71</v>
      </c>
      <c r="M3670" s="604">
        <v>60</v>
      </c>
      <c r="N3670" s="604">
        <v>31552</v>
      </c>
      <c r="O3670" s="604">
        <v>1.9</v>
      </c>
      <c r="P3670" s="604" t="s">
        <v>436</v>
      </c>
      <c r="Q3670" s="499"/>
    </row>
    <row r="3671" spans="9:17">
      <c r="I3671" s="578" t="str">
        <f t="shared" si="203"/>
        <v>2007sexInd/UnkPN</v>
      </c>
      <c r="J3671" s="604">
        <v>2007</v>
      </c>
      <c r="K3671" s="604" t="s">
        <v>451</v>
      </c>
      <c r="L3671" s="604" t="s">
        <v>458</v>
      </c>
      <c r="M3671" s="604">
        <v>0</v>
      </c>
      <c r="N3671" s="604">
        <v>0</v>
      </c>
      <c r="O3671" s="604" t="s">
        <v>119</v>
      </c>
      <c r="P3671" s="604" t="s">
        <v>436</v>
      </c>
      <c r="Q3671" s="499"/>
    </row>
    <row r="3672" spans="9:17">
      <c r="I3672" s="578" t="str">
        <f t="shared" si="203"/>
        <v>2008sexMalePN</v>
      </c>
      <c r="J3672" s="604">
        <v>2008</v>
      </c>
      <c r="K3672" s="604" t="s">
        <v>451</v>
      </c>
      <c r="L3672" s="604" t="s">
        <v>70</v>
      </c>
      <c r="M3672" s="604">
        <v>78</v>
      </c>
      <c r="N3672" s="604">
        <v>33622</v>
      </c>
      <c r="O3672" s="604">
        <v>2.2999999999999998</v>
      </c>
      <c r="P3672" s="604" t="s">
        <v>436</v>
      </c>
      <c r="Q3672" s="499"/>
    </row>
    <row r="3673" spans="9:17">
      <c r="I3673" s="578" t="str">
        <f t="shared" si="203"/>
        <v>2008sexFemalePN</v>
      </c>
      <c r="J3673" s="604">
        <v>2008</v>
      </c>
      <c r="K3673" s="604" t="s">
        <v>451</v>
      </c>
      <c r="L3673" s="604" t="s">
        <v>71</v>
      </c>
      <c r="M3673" s="604">
        <v>58</v>
      </c>
      <c r="N3673" s="604">
        <v>31711</v>
      </c>
      <c r="O3673" s="604">
        <v>1.8</v>
      </c>
      <c r="P3673" s="604" t="s">
        <v>436</v>
      </c>
      <c r="Q3673" s="499"/>
    </row>
    <row r="3674" spans="9:17">
      <c r="I3674" s="578" t="str">
        <f t="shared" si="203"/>
        <v>2008sexInd/UnkPN</v>
      </c>
      <c r="J3674" s="604">
        <v>2008</v>
      </c>
      <c r="K3674" s="604" t="s">
        <v>451</v>
      </c>
      <c r="L3674" s="604" t="s">
        <v>458</v>
      </c>
      <c r="M3674" s="604">
        <v>0</v>
      </c>
      <c r="N3674" s="604">
        <v>0</v>
      </c>
      <c r="O3674" s="604" t="s">
        <v>119</v>
      </c>
      <c r="P3674" s="604" t="s">
        <v>436</v>
      </c>
      <c r="Q3674" s="499"/>
    </row>
    <row r="3675" spans="9:17">
      <c r="I3675" s="578" t="str">
        <f t="shared" si="203"/>
        <v>2009sexMalePN</v>
      </c>
      <c r="J3675" s="604">
        <v>2009</v>
      </c>
      <c r="K3675" s="604" t="s">
        <v>451</v>
      </c>
      <c r="L3675" s="604" t="s">
        <v>70</v>
      </c>
      <c r="M3675" s="604">
        <v>77</v>
      </c>
      <c r="N3675" s="604">
        <v>32482</v>
      </c>
      <c r="O3675" s="604">
        <v>2.4</v>
      </c>
      <c r="P3675" s="604" t="s">
        <v>436</v>
      </c>
      <c r="Q3675" s="499"/>
    </row>
    <row r="3676" spans="9:17">
      <c r="I3676" s="578" t="str">
        <f t="shared" si="203"/>
        <v>2009sexFemalePN</v>
      </c>
      <c r="J3676" s="604">
        <v>2009</v>
      </c>
      <c r="K3676" s="604" t="s">
        <v>451</v>
      </c>
      <c r="L3676" s="604" t="s">
        <v>71</v>
      </c>
      <c r="M3676" s="604">
        <v>58</v>
      </c>
      <c r="N3676" s="604">
        <v>30803</v>
      </c>
      <c r="O3676" s="604">
        <v>1.9</v>
      </c>
      <c r="P3676" s="604" t="s">
        <v>436</v>
      </c>
      <c r="Q3676" s="499"/>
    </row>
    <row r="3677" spans="9:17">
      <c r="I3677" s="578" t="str">
        <f t="shared" si="203"/>
        <v>2009sexInd/UnkPN</v>
      </c>
      <c r="J3677" s="604">
        <v>2009</v>
      </c>
      <c r="K3677" s="604" t="s">
        <v>451</v>
      </c>
      <c r="L3677" s="604" t="s">
        <v>458</v>
      </c>
      <c r="M3677" s="604">
        <v>0</v>
      </c>
      <c r="N3677" s="604">
        <v>0</v>
      </c>
      <c r="O3677" s="604" t="s">
        <v>119</v>
      </c>
      <c r="P3677" s="604" t="s">
        <v>436</v>
      </c>
      <c r="Q3677" s="499"/>
    </row>
    <row r="3678" spans="9:17">
      <c r="I3678" s="578" t="str">
        <f t="shared" si="203"/>
        <v>2010sexMalePN</v>
      </c>
      <c r="J3678" s="604">
        <v>2010</v>
      </c>
      <c r="K3678" s="604" t="s">
        <v>451</v>
      </c>
      <c r="L3678" s="604" t="s">
        <v>70</v>
      </c>
      <c r="M3678" s="604">
        <v>72</v>
      </c>
      <c r="N3678" s="604">
        <v>33319</v>
      </c>
      <c r="O3678" s="604">
        <v>2.2000000000000002</v>
      </c>
      <c r="P3678" s="604" t="s">
        <v>436</v>
      </c>
      <c r="Q3678" s="499"/>
    </row>
    <row r="3679" spans="9:17">
      <c r="I3679" s="578" t="str">
        <f t="shared" si="203"/>
        <v>2010sexFemalePN</v>
      </c>
      <c r="J3679" s="604">
        <v>2010</v>
      </c>
      <c r="K3679" s="604" t="s">
        <v>451</v>
      </c>
      <c r="L3679" s="604" t="s">
        <v>71</v>
      </c>
      <c r="M3679" s="604">
        <v>55</v>
      </c>
      <c r="N3679" s="604">
        <v>31380</v>
      </c>
      <c r="O3679" s="604">
        <v>1.8</v>
      </c>
      <c r="P3679" s="604" t="s">
        <v>436</v>
      </c>
      <c r="Q3679" s="499"/>
    </row>
    <row r="3680" spans="9:17">
      <c r="I3680" s="578" t="str">
        <f t="shared" si="203"/>
        <v>2010sexInd/UnkPN</v>
      </c>
      <c r="J3680" s="604">
        <v>2010</v>
      </c>
      <c r="K3680" s="604" t="s">
        <v>451</v>
      </c>
      <c r="L3680" s="604" t="s">
        <v>458</v>
      </c>
      <c r="M3680" s="604">
        <v>0</v>
      </c>
      <c r="N3680" s="604">
        <v>0</v>
      </c>
      <c r="O3680" s="604" t="s">
        <v>119</v>
      </c>
      <c r="P3680" s="604" t="s">
        <v>436</v>
      </c>
      <c r="Q3680" s="499"/>
    </row>
    <row r="3681" spans="9:17">
      <c r="I3681" s="578" t="str">
        <f t="shared" si="203"/>
        <v>2011sexMalePN</v>
      </c>
      <c r="J3681" s="604">
        <v>2011</v>
      </c>
      <c r="K3681" s="604" t="s">
        <v>451</v>
      </c>
      <c r="L3681" s="604" t="s">
        <v>70</v>
      </c>
      <c r="M3681" s="604">
        <v>77</v>
      </c>
      <c r="N3681" s="604">
        <v>31894</v>
      </c>
      <c r="O3681" s="604">
        <v>2.4</v>
      </c>
      <c r="P3681" s="604" t="s">
        <v>436</v>
      </c>
      <c r="Q3681" s="499"/>
    </row>
    <row r="3682" spans="9:17">
      <c r="I3682" s="578" t="str">
        <f t="shared" si="203"/>
        <v>2011sexFemalePN</v>
      </c>
      <c r="J3682" s="604">
        <v>2011</v>
      </c>
      <c r="K3682" s="604" t="s">
        <v>451</v>
      </c>
      <c r="L3682" s="604" t="s">
        <v>71</v>
      </c>
      <c r="M3682" s="604">
        <v>48</v>
      </c>
      <c r="N3682" s="604">
        <v>30280</v>
      </c>
      <c r="O3682" s="604">
        <v>1.6</v>
      </c>
      <c r="P3682" s="604" t="s">
        <v>436</v>
      </c>
      <c r="Q3682" s="499"/>
    </row>
    <row r="3683" spans="9:17">
      <c r="I3683" s="578" t="str">
        <f t="shared" si="203"/>
        <v>2011sexInd/UnkPN</v>
      </c>
      <c r="J3683" s="604">
        <v>2011</v>
      </c>
      <c r="K3683" s="604" t="s">
        <v>451</v>
      </c>
      <c r="L3683" s="604" t="s">
        <v>458</v>
      </c>
      <c r="M3683" s="604">
        <v>0</v>
      </c>
      <c r="N3683" s="604">
        <v>0</v>
      </c>
      <c r="O3683" s="604" t="s">
        <v>119</v>
      </c>
      <c r="P3683" s="604" t="s">
        <v>436</v>
      </c>
      <c r="Q3683" s="499"/>
    </row>
    <row r="3684" spans="9:17">
      <c r="I3684" s="578" t="str">
        <f t="shared" si="203"/>
        <v>2012sexMalePN</v>
      </c>
      <c r="J3684" s="604">
        <v>2012</v>
      </c>
      <c r="K3684" s="604" t="s">
        <v>451</v>
      </c>
      <c r="L3684" s="604" t="s">
        <v>70</v>
      </c>
      <c r="M3684" s="604">
        <v>60</v>
      </c>
      <c r="N3684" s="604">
        <v>31698</v>
      </c>
      <c r="O3684" s="604">
        <v>1.9</v>
      </c>
      <c r="P3684" s="604" t="s">
        <v>436</v>
      </c>
      <c r="Q3684" s="499"/>
    </row>
    <row r="3685" spans="9:17">
      <c r="I3685" s="578" t="str">
        <f t="shared" si="203"/>
        <v>2012sexFemalePN</v>
      </c>
      <c r="J3685" s="604">
        <v>2012</v>
      </c>
      <c r="K3685" s="604" t="s">
        <v>451</v>
      </c>
      <c r="L3685" s="604" t="s">
        <v>71</v>
      </c>
      <c r="M3685" s="604">
        <v>40</v>
      </c>
      <c r="N3685" s="604">
        <v>30337</v>
      </c>
      <c r="O3685" s="604">
        <v>1.3</v>
      </c>
      <c r="P3685" s="604" t="s">
        <v>436</v>
      </c>
      <c r="Q3685" s="499"/>
    </row>
    <row r="3686" spans="9:17">
      <c r="I3686" s="578" t="str">
        <f t="shared" si="203"/>
        <v>2012sexInd/UnkPN</v>
      </c>
      <c r="J3686" s="604">
        <v>2012</v>
      </c>
      <c r="K3686" s="604" t="s">
        <v>451</v>
      </c>
      <c r="L3686" s="604" t="s">
        <v>458</v>
      </c>
      <c r="M3686" s="604">
        <v>0</v>
      </c>
      <c r="N3686" s="604">
        <v>0</v>
      </c>
      <c r="O3686" s="604" t="s">
        <v>119</v>
      </c>
      <c r="P3686" s="604" t="s">
        <v>436</v>
      </c>
      <c r="Q3686" s="499"/>
    </row>
    <row r="3687" spans="9:17">
      <c r="I3687" s="578" t="str">
        <f t="shared" si="203"/>
        <v>2013sexMalePN</v>
      </c>
      <c r="J3687" s="604">
        <v>2013</v>
      </c>
      <c r="K3687" s="604" t="s">
        <v>451</v>
      </c>
      <c r="L3687" s="604" t="s">
        <v>70</v>
      </c>
      <c r="M3687" s="604">
        <v>58</v>
      </c>
      <c r="N3687" s="604">
        <v>30626</v>
      </c>
      <c r="O3687" s="604">
        <v>1.9</v>
      </c>
      <c r="P3687" s="604" t="s">
        <v>436</v>
      </c>
      <c r="Q3687" s="499"/>
    </row>
    <row r="3688" spans="9:17">
      <c r="I3688" s="578" t="str">
        <f t="shared" si="203"/>
        <v>2013sexFemalePN</v>
      </c>
      <c r="J3688" s="604">
        <v>2013</v>
      </c>
      <c r="K3688" s="604" t="s">
        <v>451</v>
      </c>
      <c r="L3688" s="604" t="s">
        <v>71</v>
      </c>
      <c r="M3688" s="604">
        <v>40</v>
      </c>
      <c r="N3688" s="604">
        <v>29075</v>
      </c>
      <c r="O3688" s="604">
        <v>1.4</v>
      </c>
      <c r="P3688" s="604" t="s">
        <v>436</v>
      </c>
      <c r="Q3688" s="499"/>
    </row>
    <row r="3689" spans="9:17">
      <c r="I3689" s="578" t="str">
        <f t="shared" si="203"/>
        <v>2013sexInd/UnkPN</v>
      </c>
      <c r="J3689" s="604">
        <v>2013</v>
      </c>
      <c r="K3689" s="604" t="s">
        <v>451</v>
      </c>
      <c r="L3689" s="604" t="s">
        <v>458</v>
      </c>
      <c r="M3689" s="604">
        <v>0</v>
      </c>
      <c r="N3689" s="604">
        <v>0</v>
      </c>
      <c r="O3689" s="604" t="s">
        <v>119</v>
      </c>
      <c r="P3689" s="604" t="s">
        <v>436</v>
      </c>
      <c r="Q3689" s="499"/>
    </row>
    <row r="3690" spans="9:17">
      <c r="I3690" s="578" t="str">
        <f t="shared" si="203"/>
        <v>2014sexMalePN</v>
      </c>
      <c r="J3690" s="604">
        <v>2014</v>
      </c>
      <c r="K3690" s="604" t="s">
        <v>451</v>
      </c>
      <c r="L3690" s="604" t="s">
        <v>70</v>
      </c>
      <c r="M3690" s="604">
        <v>57</v>
      </c>
      <c r="N3690" s="604">
        <v>30135</v>
      </c>
      <c r="O3690" s="604">
        <v>1.9</v>
      </c>
      <c r="P3690" s="604" t="s">
        <v>436</v>
      </c>
      <c r="Q3690" s="499"/>
    </row>
    <row r="3691" spans="9:17">
      <c r="I3691" s="578" t="str">
        <f t="shared" si="203"/>
        <v>2014sexFemalePN</v>
      </c>
      <c r="J3691" s="604">
        <v>2014</v>
      </c>
      <c r="K3691" s="604" t="s">
        <v>451</v>
      </c>
      <c r="L3691" s="604" t="s">
        <v>71</v>
      </c>
      <c r="M3691" s="604">
        <v>36</v>
      </c>
      <c r="N3691" s="604">
        <v>28150</v>
      </c>
      <c r="O3691" s="604">
        <v>1.3</v>
      </c>
      <c r="P3691" s="604" t="s">
        <v>436</v>
      </c>
      <c r="Q3691" s="499"/>
    </row>
    <row r="3692" spans="9:17">
      <c r="I3692" s="578" t="str">
        <f t="shared" si="203"/>
        <v>2014sexInd/UnkPN</v>
      </c>
      <c r="J3692" s="604">
        <v>2014</v>
      </c>
      <c r="K3692" s="604" t="s">
        <v>451</v>
      </c>
      <c r="L3692" s="604" t="s">
        <v>458</v>
      </c>
      <c r="M3692" s="604">
        <v>0</v>
      </c>
      <c r="N3692" s="604">
        <v>0</v>
      </c>
      <c r="O3692" s="604" t="s">
        <v>119</v>
      </c>
      <c r="P3692" s="604" t="s">
        <v>436</v>
      </c>
      <c r="Q3692" s="499"/>
    </row>
    <row r="3693" spans="9:17">
      <c r="I3693" s="578" t="str">
        <f t="shared" si="203"/>
        <v>2015sexMalePN</v>
      </c>
      <c r="J3693" s="604">
        <v>2015</v>
      </c>
      <c r="K3693" s="604" t="s">
        <v>451</v>
      </c>
      <c r="L3693" s="604" t="s">
        <v>70</v>
      </c>
      <c r="M3693" s="604">
        <v>49</v>
      </c>
      <c r="N3693" s="604">
        <v>31923</v>
      </c>
      <c r="O3693" s="604">
        <v>1.5</v>
      </c>
      <c r="P3693" s="604" t="s">
        <v>436</v>
      </c>
      <c r="Q3693" s="499"/>
    </row>
    <row r="3694" spans="9:17">
      <c r="I3694" s="578" t="str">
        <f t="shared" si="203"/>
        <v>2015sexFemalePN</v>
      </c>
      <c r="J3694" s="604">
        <v>2015</v>
      </c>
      <c r="K3694" s="604" t="s">
        <v>451</v>
      </c>
      <c r="L3694" s="604" t="s">
        <v>71</v>
      </c>
      <c r="M3694" s="604">
        <v>42</v>
      </c>
      <c r="N3694" s="604">
        <v>30199</v>
      </c>
      <c r="O3694" s="604">
        <v>1.4</v>
      </c>
      <c r="P3694" s="604" t="s">
        <v>436</v>
      </c>
      <c r="Q3694" s="499"/>
    </row>
    <row r="3695" spans="9:17">
      <c r="I3695" s="578" t="str">
        <f t="shared" si="203"/>
        <v>2015sexInd/UnkPN</v>
      </c>
      <c r="J3695" s="604">
        <v>2015</v>
      </c>
      <c r="K3695" s="604" t="s">
        <v>451</v>
      </c>
      <c r="L3695" s="604" t="s">
        <v>458</v>
      </c>
      <c r="M3695" s="604">
        <v>0</v>
      </c>
      <c r="N3695" s="604">
        <v>0</v>
      </c>
      <c r="O3695" s="604" t="s">
        <v>119</v>
      </c>
      <c r="P3695" s="604" t="s">
        <v>436</v>
      </c>
      <c r="Q3695" s="499"/>
    </row>
    <row r="3696" spans="9:17">
      <c r="I3696" s="578" t="str">
        <f t="shared" si="203"/>
        <v>2016sexMalePN</v>
      </c>
      <c r="J3696" s="604">
        <v>2016</v>
      </c>
      <c r="K3696" s="604" t="s">
        <v>451</v>
      </c>
      <c r="L3696" s="604" t="s">
        <v>70</v>
      </c>
      <c r="M3696" s="604">
        <v>47</v>
      </c>
      <c r="N3696" s="604">
        <v>31009</v>
      </c>
      <c r="O3696" s="604">
        <v>1.5</v>
      </c>
      <c r="P3696" s="604" t="s">
        <v>436</v>
      </c>
      <c r="Q3696" s="499"/>
    </row>
    <row r="3697" spans="9:17">
      <c r="I3697" s="578" t="str">
        <f t="shared" si="203"/>
        <v>2016sexFemalePN</v>
      </c>
      <c r="J3697" s="604">
        <v>2016</v>
      </c>
      <c r="K3697" s="604" t="s">
        <v>451</v>
      </c>
      <c r="L3697" s="604" t="s">
        <v>71</v>
      </c>
      <c r="M3697" s="604">
        <v>33</v>
      </c>
      <c r="N3697" s="604">
        <v>29427</v>
      </c>
      <c r="O3697" s="604">
        <v>1.1000000000000001</v>
      </c>
      <c r="P3697" s="604" t="s">
        <v>436</v>
      </c>
      <c r="Q3697" s="499"/>
    </row>
    <row r="3698" spans="9:17">
      <c r="I3698" s="578" t="str">
        <f t="shared" si="203"/>
        <v>2016sexInd/UnkPN</v>
      </c>
      <c r="J3698" s="604">
        <v>2016</v>
      </c>
      <c r="K3698" s="604" t="s">
        <v>451</v>
      </c>
      <c r="L3698" s="604" t="s">
        <v>458</v>
      </c>
      <c r="M3698" s="604">
        <v>0</v>
      </c>
      <c r="N3698" s="604">
        <v>0</v>
      </c>
      <c r="O3698" s="604" t="s">
        <v>119</v>
      </c>
      <c r="P3698" s="604" t="s">
        <v>436</v>
      </c>
      <c r="Q3698" s="499"/>
    </row>
    <row r="3699" spans="9:17">
      <c r="I3699" s="578" t="str">
        <f t="shared" si="203"/>
        <v>1996ethMaoriPN</v>
      </c>
      <c r="J3699" s="604">
        <v>1996</v>
      </c>
      <c r="K3699" s="604" t="s">
        <v>449</v>
      </c>
      <c r="L3699" s="604" t="s">
        <v>129</v>
      </c>
      <c r="M3699" s="604">
        <v>107</v>
      </c>
      <c r="N3699" s="604">
        <v>16011</v>
      </c>
      <c r="O3699" s="604">
        <v>6.7</v>
      </c>
      <c r="P3699" s="604" t="s">
        <v>436</v>
      </c>
      <c r="Q3699" s="499"/>
    </row>
    <row r="3700" spans="9:17">
      <c r="I3700" s="578" t="str">
        <f t="shared" si="203"/>
        <v>1996ethPacific peoplesPN</v>
      </c>
      <c r="J3700" s="604">
        <v>1996</v>
      </c>
      <c r="K3700" s="604" t="s">
        <v>449</v>
      </c>
      <c r="L3700" s="604" t="s">
        <v>320</v>
      </c>
      <c r="M3700" s="604">
        <v>23</v>
      </c>
      <c r="N3700" s="604">
        <v>5726</v>
      </c>
      <c r="O3700" s="604">
        <v>4</v>
      </c>
      <c r="P3700" s="604" t="s">
        <v>436</v>
      </c>
      <c r="Q3700" s="499"/>
    </row>
    <row r="3701" spans="9:17">
      <c r="I3701" s="578" t="str">
        <f t="shared" si="203"/>
        <v>1996ethAsianPN</v>
      </c>
      <c r="J3701" s="604">
        <v>1996</v>
      </c>
      <c r="K3701" s="604" t="s">
        <v>449</v>
      </c>
      <c r="L3701" s="604" t="s">
        <v>355</v>
      </c>
      <c r="M3701" s="604">
        <v>6</v>
      </c>
      <c r="N3701" s="604">
        <v>3394</v>
      </c>
      <c r="O3701" s="604">
        <v>1.8</v>
      </c>
      <c r="P3701" s="604" t="s">
        <v>436</v>
      </c>
      <c r="Q3701" s="499"/>
    </row>
    <row r="3702" spans="9:17">
      <c r="I3702" s="578" t="str">
        <f t="shared" si="203"/>
        <v>1996ethEuropean or OtherPN</v>
      </c>
      <c r="J3702" s="604">
        <v>1996</v>
      </c>
      <c r="K3702" s="604" t="s">
        <v>449</v>
      </c>
      <c r="L3702" s="604" t="s">
        <v>356</v>
      </c>
      <c r="M3702" s="604">
        <v>58</v>
      </c>
      <c r="N3702" s="604">
        <v>32303</v>
      </c>
      <c r="O3702" s="604">
        <v>1.8</v>
      </c>
      <c r="P3702" s="604" t="s">
        <v>436</v>
      </c>
      <c r="Q3702" s="499"/>
    </row>
    <row r="3703" spans="9:17">
      <c r="I3703" s="578" t="str">
        <f t="shared" si="203"/>
        <v>1997ethMaoriPN</v>
      </c>
      <c r="J3703" s="604">
        <v>1997</v>
      </c>
      <c r="K3703" s="604" t="s">
        <v>449</v>
      </c>
      <c r="L3703" s="604" t="s">
        <v>129</v>
      </c>
      <c r="M3703" s="604">
        <v>98</v>
      </c>
      <c r="N3703" s="604">
        <v>16309</v>
      </c>
      <c r="O3703" s="604">
        <v>6</v>
      </c>
      <c r="P3703" s="604" t="s">
        <v>436</v>
      </c>
      <c r="Q3703" s="499"/>
    </row>
    <row r="3704" spans="9:17">
      <c r="I3704" s="578" t="str">
        <f t="shared" si="203"/>
        <v>1997ethPacific peoplesPN</v>
      </c>
      <c r="J3704" s="604">
        <v>1997</v>
      </c>
      <c r="K3704" s="604" t="s">
        <v>449</v>
      </c>
      <c r="L3704" s="604" t="s">
        <v>320</v>
      </c>
      <c r="M3704" s="604">
        <v>21</v>
      </c>
      <c r="N3704" s="604">
        <v>5696</v>
      </c>
      <c r="O3704" s="604">
        <v>3.7</v>
      </c>
      <c r="P3704" s="604" t="s">
        <v>436</v>
      </c>
      <c r="Q3704" s="499"/>
    </row>
    <row r="3705" spans="9:17">
      <c r="I3705" s="578" t="str">
        <f t="shared" si="203"/>
        <v>1997ethAsianPN</v>
      </c>
      <c r="J3705" s="604">
        <v>1997</v>
      </c>
      <c r="K3705" s="604" t="s">
        <v>449</v>
      </c>
      <c r="L3705" s="604" t="s">
        <v>355</v>
      </c>
      <c r="M3705" s="604">
        <v>9</v>
      </c>
      <c r="N3705" s="604">
        <v>3802</v>
      </c>
      <c r="O3705" s="604">
        <v>2.4</v>
      </c>
      <c r="P3705" s="604" t="s">
        <v>436</v>
      </c>
      <c r="Q3705" s="499"/>
    </row>
    <row r="3706" spans="9:17">
      <c r="I3706" s="578" t="str">
        <f t="shared" si="203"/>
        <v>1997ethEuropean or OtherPN</v>
      </c>
      <c r="J3706" s="604">
        <v>1997</v>
      </c>
      <c r="K3706" s="604" t="s">
        <v>449</v>
      </c>
      <c r="L3706" s="604" t="s">
        <v>356</v>
      </c>
      <c r="M3706" s="604">
        <v>54</v>
      </c>
      <c r="N3706" s="604">
        <v>31927</v>
      </c>
      <c r="O3706" s="604">
        <v>1.7</v>
      </c>
      <c r="P3706" s="604" t="s">
        <v>436</v>
      </c>
      <c r="Q3706" s="499"/>
    </row>
    <row r="3707" spans="9:17">
      <c r="I3707" s="578" t="str">
        <f t="shared" si="203"/>
        <v>1998ethMaoriPN</v>
      </c>
      <c r="J3707" s="604">
        <v>1998</v>
      </c>
      <c r="K3707" s="604" t="s">
        <v>449</v>
      </c>
      <c r="L3707" s="604" t="s">
        <v>129</v>
      </c>
      <c r="M3707" s="604">
        <v>63</v>
      </c>
      <c r="N3707" s="604">
        <v>16309</v>
      </c>
      <c r="O3707" s="604">
        <v>3.9</v>
      </c>
      <c r="P3707" s="604" t="s">
        <v>436</v>
      </c>
      <c r="Q3707" s="499"/>
    </row>
    <row r="3708" spans="9:17">
      <c r="I3708" s="578" t="str">
        <f t="shared" si="203"/>
        <v>1998ethPacific peoplesPN</v>
      </c>
      <c r="J3708" s="604">
        <v>1998</v>
      </c>
      <c r="K3708" s="604" t="s">
        <v>449</v>
      </c>
      <c r="L3708" s="604" t="s">
        <v>320</v>
      </c>
      <c r="M3708" s="604">
        <v>18</v>
      </c>
      <c r="N3708" s="604">
        <v>5696</v>
      </c>
      <c r="O3708" s="604">
        <v>3.2</v>
      </c>
      <c r="P3708" s="604" t="s">
        <v>436</v>
      </c>
      <c r="Q3708" s="499"/>
    </row>
    <row r="3709" spans="9:17">
      <c r="I3709" s="578" t="str">
        <f t="shared" si="203"/>
        <v>1998ethAsianPN</v>
      </c>
      <c r="J3709" s="604">
        <v>1998</v>
      </c>
      <c r="K3709" s="604" t="s">
        <v>449</v>
      </c>
      <c r="L3709" s="604" t="s">
        <v>355</v>
      </c>
      <c r="M3709" s="604">
        <v>4</v>
      </c>
      <c r="N3709" s="604">
        <v>3802</v>
      </c>
      <c r="O3709" s="604">
        <v>1.1000000000000001</v>
      </c>
      <c r="P3709" s="604" t="s">
        <v>436</v>
      </c>
      <c r="Q3709" s="499"/>
    </row>
    <row r="3710" spans="9:17">
      <c r="I3710" s="578" t="str">
        <f t="shared" si="203"/>
        <v>1998ethEuropean or OtherPN</v>
      </c>
      <c r="J3710" s="604">
        <v>1998</v>
      </c>
      <c r="K3710" s="604" t="s">
        <v>449</v>
      </c>
      <c r="L3710" s="604" t="s">
        <v>356</v>
      </c>
      <c r="M3710" s="604">
        <v>52</v>
      </c>
      <c r="N3710" s="604">
        <v>31927</v>
      </c>
      <c r="O3710" s="604">
        <v>1.6</v>
      </c>
      <c r="P3710" s="604" t="s">
        <v>436</v>
      </c>
      <c r="Q3710" s="499"/>
    </row>
    <row r="3711" spans="9:17">
      <c r="I3711" s="578" t="str">
        <f t="shared" si="203"/>
        <v>1999ethMaoriPN</v>
      </c>
      <c r="J3711" s="604">
        <v>1999</v>
      </c>
      <c r="K3711" s="604" t="s">
        <v>449</v>
      </c>
      <c r="L3711" s="604" t="s">
        <v>129</v>
      </c>
      <c r="M3711" s="604">
        <v>80</v>
      </c>
      <c r="N3711" s="604">
        <v>16027</v>
      </c>
      <c r="O3711" s="604">
        <v>5</v>
      </c>
      <c r="P3711" s="604" t="s">
        <v>436</v>
      </c>
      <c r="Q3711" s="499"/>
    </row>
    <row r="3712" spans="9:17">
      <c r="I3712" s="578" t="str">
        <f t="shared" si="203"/>
        <v>1999ethPacific peoplesPN</v>
      </c>
      <c r="J3712" s="604">
        <v>1999</v>
      </c>
      <c r="K3712" s="604" t="s">
        <v>449</v>
      </c>
      <c r="L3712" s="604" t="s">
        <v>320</v>
      </c>
      <c r="M3712" s="604">
        <v>22</v>
      </c>
      <c r="N3712" s="604">
        <v>6223</v>
      </c>
      <c r="O3712" s="604">
        <v>3.5</v>
      </c>
      <c r="P3712" s="604" t="s">
        <v>436</v>
      </c>
      <c r="Q3712" s="499"/>
    </row>
    <row r="3713" spans="9:17">
      <c r="I3713" s="578" t="str">
        <f t="shared" si="203"/>
        <v>1999ethAsianPN</v>
      </c>
      <c r="J3713" s="604">
        <v>1999</v>
      </c>
      <c r="K3713" s="604" t="s">
        <v>449</v>
      </c>
      <c r="L3713" s="604" t="s">
        <v>355</v>
      </c>
      <c r="M3713" s="604">
        <v>5</v>
      </c>
      <c r="N3713" s="604">
        <v>3980</v>
      </c>
      <c r="O3713" s="604">
        <v>1.3</v>
      </c>
      <c r="P3713" s="604" t="s">
        <v>436</v>
      </c>
      <c r="Q3713" s="499"/>
    </row>
    <row r="3714" spans="9:17">
      <c r="I3714" s="578" t="str">
        <f t="shared" si="203"/>
        <v>1999ethEuropean or OtherPN</v>
      </c>
      <c r="J3714" s="604">
        <v>1999</v>
      </c>
      <c r="K3714" s="604" t="s">
        <v>449</v>
      </c>
      <c r="L3714" s="604" t="s">
        <v>356</v>
      </c>
      <c r="M3714" s="604">
        <v>46</v>
      </c>
      <c r="N3714" s="604">
        <v>31191</v>
      </c>
      <c r="O3714" s="604">
        <v>1.5</v>
      </c>
      <c r="P3714" s="604" t="s">
        <v>436</v>
      </c>
      <c r="Q3714" s="499"/>
    </row>
    <row r="3715" spans="9:17">
      <c r="I3715" s="578" t="str">
        <f t="shared" si="203"/>
        <v>2000ethMaoriPN</v>
      </c>
      <c r="J3715" s="604">
        <v>2000</v>
      </c>
      <c r="K3715" s="604" t="s">
        <v>449</v>
      </c>
      <c r="L3715" s="604" t="s">
        <v>129</v>
      </c>
      <c r="M3715" s="604">
        <v>75</v>
      </c>
      <c r="N3715" s="604">
        <v>15867</v>
      </c>
      <c r="O3715" s="604">
        <v>4.7</v>
      </c>
      <c r="P3715" s="604" t="s">
        <v>436</v>
      </c>
      <c r="Q3715" s="499"/>
    </row>
    <row r="3716" spans="9:17">
      <c r="I3716" s="578" t="str">
        <f t="shared" ref="I3716:I3779" si="204">J3716&amp;K3716&amp;L3716&amp;P3716</f>
        <v>2000ethPacific peoplesPN</v>
      </c>
      <c r="J3716" s="604">
        <v>2000</v>
      </c>
      <c r="K3716" s="604" t="s">
        <v>449</v>
      </c>
      <c r="L3716" s="604" t="s">
        <v>320</v>
      </c>
      <c r="M3716" s="604">
        <v>22</v>
      </c>
      <c r="N3716" s="604">
        <v>6149</v>
      </c>
      <c r="O3716" s="604">
        <v>3.6</v>
      </c>
      <c r="P3716" s="604" t="s">
        <v>436</v>
      </c>
      <c r="Q3716" s="499"/>
    </row>
    <row r="3717" spans="9:17">
      <c r="I3717" s="578" t="str">
        <f t="shared" si="204"/>
        <v>2000ethAsianPN</v>
      </c>
      <c r="J3717" s="604">
        <v>2000</v>
      </c>
      <c r="K3717" s="604" t="s">
        <v>449</v>
      </c>
      <c r="L3717" s="604" t="s">
        <v>355</v>
      </c>
      <c r="M3717" s="604">
        <v>5</v>
      </c>
      <c r="N3717" s="604">
        <v>4222</v>
      </c>
      <c r="O3717" s="604">
        <v>1.2</v>
      </c>
      <c r="P3717" s="604" t="s">
        <v>436</v>
      </c>
      <c r="Q3717" s="499"/>
    </row>
    <row r="3718" spans="9:17">
      <c r="I3718" s="578" t="str">
        <f t="shared" si="204"/>
        <v>2000ethEuropean or OtherPN</v>
      </c>
      <c r="J3718" s="604">
        <v>2000</v>
      </c>
      <c r="K3718" s="604" t="s">
        <v>449</v>
      </c>
      <c r="L3718" s="604" t="s">
        <v>356</v>
      </c>
      <c r="M3718" s="604">
        <v>41</v>
      </c>
      <c r="N3718" s="604">
        <v>30756</v>
      </c>
      <c r="O3718" s="604">
        <v>1.3</v>
      </c>
      <c r="P3718" s="604" t="s">
        <v>436</v>
      </c>
      <c r="Q3718" s="499"/>
    </row>
    <row r="3719" spans="9:17">
      <c r="I3719" s="578" t="str">
        <f t="shared" si="204"/>
        <v>2001ethMaoriPN</v>
      </c>
      <c r="J3719" s="604">
        <v>2001</v>
      </c>
      <c r="K3719" s="604" t="s">
        <v>449</v>
      </c>
      <c r="L3719" s="604" t="s">
        <v>129</v>
      </c>
      <c r="M3719" s="604">
        <v>75</v>
      </c>
      <c r="N3719" s="604">
        <v>15869</v>
      </c>
      <c r="O3719" s="604">
        <v>4.7</v>
      </c>
      <c r="P3719" s="604" t="s">
        <v>436</v>
      </c>
      <c r="Q3719" s="499"/>
    </row>
    <row r="3720" spans="9:17">
      <c r="I3720" s="578" t="str">
        <f t="shared" si="204"/>
        <v>2001ethPacific peoplesPN</v>
      </c>
      <c r="J3720" s="604">
        <v>2001</v>
      </c>
      <c r="K3720" s="604" t="s">
        <v>449</v>
      </c>
      <c r="L3720" s="604" t="s">
        <v>320</v>
      </c>
      <c r="M3720" s="604">
        <v>20</v>
      </c>
      <c r="N3720" s="604">
        <v>6140</v>
      </c>
      <c r="O3720" s="604">
        <v>3.3</v>
      </c>
      <c r="P3720" s="604" t="s">
        <v>436</v>
      </c>
      <c r="Q3720" s="499"/>
    </row>
    <row r="3721" spans="9:17">
      <c r="I3721" s="578" t="str">
        <f t="shared" si="204"/>
        <v>2001ethAsianPN</v>
      </c>
      <c r="J3721" s="604">
        <v>2001</v>
      </c>
      <c r="K3721" s="604" t="s">
        <v>449</v>
      </c>
      <c r="L3721" s="604" t="s">
        <v>355</v>
      </c>
      <c r="M3721" s="604">
        <v>6</v>
      </c>
      <c r="N3721" s="604">
        <v>4041</v>
      </c>
      <c r="O3721" s="604">
        <v>1.5</v>
      </c>
      <c r="P3721" s="604" t="s">
        <v>436</v>
      </c>
      <c r="Q3721" s="499"/>
    </row>
    <row r="3722" spans="9:17">
      <c r="I3722" s="578" t="str">
        <f t="shared" si="204"/>
        <v>2001ethEuropean or OtherPN</v>
      </c>
      <c r="J3722" s="604">
        <v>2001</v>
      </c>
      <c r="K3722" s="604" t="s">
        <v>449</v>
      </c>
      <c r="L3722" s="604" t="s">
        <v>356</v>
      </c>
      <c r="M3722" s="604">
        <v>44</v>
      </c>
      <c r="N3722" s="604">
        <v>30174</v>
      </c>
      <c r="O3722" s="604">
        <v>1.5</v>
      </c>
      <c r="P3722" s="604" t="s">
        <v>436</v>
      </c>
      <c r="Q3722" s="499"/>
    </row>
    <row r="3723" spans="9:17">
      <c r="I3723" s="578" t="str">
        <f t="shared" si="204"/>
        <v>2002ethMaoriPN</v>
      </c>
      <c r="J3723" s="604">
        <v>2002</v>
      </c>
      <c r="K3723" s="604" t="s">
        <v>449</v>
      </c>
      <c r="L3723" s="604" t="s">
        <v>129</v>
      </c>
      <c r="M3723" s="604">
        <v>54</v>
      </c>
      <c r="N3723" s="604">
        <v>14905</v>
      </c>
      <c r="O3723" s="604">
        <v>3.6</v>
      </c>
      <c r="P3723" s="604" t="s">
        <v>436</v>
      </c>
      <c r="Q3723" s="499"/>
    </row>
    <row r="3724" spans="9:17">
      <c r="I3724" s="578" t="str">
        <f t="shared" si="204"/>
        <v>2002ethPacific peoplesPN</v>
      </c>
      <c r="J3724" s="604">
        <v>2002</v>
      </c>
      <c r="K3724" s="604" t="s">
        <v>449</v>
      </c>
      <c r="L3724" s="604" t="s">
        <v>320</v>
      </c>
      <c r="M3724" s="604">
        <v>20</v>
      </c>
      <c r="N3724" s="604">
        <v>5977</v>
      </c>
      <c r="O3724" s="604">
        <v>3.3</v>
      </c>
      <c r="P3724" s="604" t="s">
        <v>436</v>
      </c>
      <c r="Q3724" s="499"/>
    </row>
    <row r="3725" spans="9:17">
      <c r="I3725" s="578" t="str">
        <f t="shared" si="204"/>
        <v>2002ethAsianPN</v>
      </c>
      <c r="J3725" s="604">
        <v>2002</v>
      </c>
      <c r="K3725" s="604" t="s">
        <v>449</v>
      </c>
      <c r="L3725" s="604" t="s">
        <v>355</v>
      </c>
      <c r="M3725" s="604">
        <v>4</v>
      </c>
      <c r="N3725" s="604">
        <v>4599</v>
      </c>
      <c r="O3725" s="604">
        <v>0.9</v>
      </c>
      <c r="P3725" s="604" t="s">
        <v>436</v>
      </c>
      <c r="Q3725" s="499"/>
    </row>
    <row r="3726" spans="9:17">
      <c r="I3726" s="578" t="str">
        <f t="shared" si="204"/>
        <v>2002ethEuropean or OtherPN</v>
      </c>
      <c r="J3726" s="604">
        <v>2002</v>
      </c>
      <c r="K3726" s="604" t="s">
        <v>449</v>
      </c>
      <c r="L3726" s="604" t="s">
        <v>356</v>
      </c>
      <c r="M3726" s="604">
        <v>38</v>
      </c>
      <c r="N3726" s="604">
        <v>29034</v>
      </c>
      <c r="O3726" s="604">
        <v>1.3</v>
      </c>
      <c r="P3726" s="604" t="s">
        <v>436</v>
      </c>
      <c r="Q3726" s="499"/>
    </row>
    <row r="3727" spans="9:17">
      <c r="I3727" s="578" t="str">
        <f t="shared" si="204"/>
        <v>2003ethMaoriPN</v>
      </c>
      <c r="J3727" s="604">
        <v>2003</v>
      </c>
      <c r="K3727" s="604" t="s">
        <v>449</v>
      </c>
      <c r="L3727" s="604" t="s">
        <v>129</v>
      </c>
      <c r="M3727" s="604">
        <v>63</v>
      </c>
      <c r="N3727" s="604">
        <v>15682</v>
      </c>
      <c r="O3727" s="604">
        <v>4</v>
      </c>
      <c r="P3727" s="604" t="s">
        <v>436</v>
      </c>
      <c r="Q3727" s="499"/>
    </row>
    <row r="3728" spans="9:17">
      <c r="I3728" s="578" t="str">
        <f t="shared" si="204"/>
        <v>2003ethPacific peoplesPN</v>
      </c>
      <c r="J3728" s="604">
        <v>2003</v>
      </c>
      <c r="K3728" s="604" t="s">
        <v>449</v>
      </c>
      <c r="L3728" s="604" t="s">
        <v>320</v>
      </c>
      <c r="M3728" s="604">
        <v>11</v>
      </c>
      <c r="N3728" s="604">
        <v>6146</v>
      </c>
      <c r="O3728" s="604">
        <v>1.8</v>
      </c>
      <c r="P3728" s="604" t="s">
        <v>436</v>
      </c>
      <c r="Q3728" s="499"/>
    </row>
    <row r="3729" spans="9:17">
      <c r="I3729" s="578" t="str">
        <f t="shared" si="204"/>
        <v>2003ethAsianPN</v>
      </c>
      <c r="J3729" s="604">
        <v>2003</v>
      </c>
      <c r="K3729" s="604" t="s">
        <v>449</v>
      </c>
      <c r="L3729" s="604" t="s">
        <v>355</v>
      </c>
      <c r="M3729" s="604">
        <v>8</v>
      </c>
      <c r="N3729" s="604">
        <v>5223</v>
      </c>
      <c r="O3729" s="604">
        <v>1.5</v>
      </c>
      <c r="P3729" s="604" t="s">
        <v>436</v>
      </c>
      <c r="Q3729" s="499"/>
    </row>
    <row r="3730" spans="9:17">
      <c r="I3730" s="578" t="str">
        <f t="shared" si="204"/>
        <v>2003ethEuropean or OtherPN</v>
      </c>
      <c r="J3730" s="604">
        <v>2003</v>
      </c>
      <c r="K3730" s="604" t="s">
        <v>449</v>
      </c>
      <c r="L3730" s="604" t="s">
        <v>356</v>
      </c>
      <c r="M3730" s="604">
        <v>38</v>
      </c>
      <c r="N3730" s="604">
        <v>29525</v>
      </c>
      <c r="O3730" s="604">
        <v>1.3</v>
      </c>
      <c r="P3730" s="604" t="s">
        <v>436</v>
      </c>
      <c r="Q3730" s="499"/>
    </row>
    <row r="3731" spans="9:17">
      <c r="I3731" s="578" t="str">
        <f t="shared" si="204"/>
        <v>2004ethMaoriPN</v>
      </c>
      <c r="J3731" s="604">
        <v>2004</v>
      </c>
      <c r="K3731" s="604" t="s">
        <v>449</v>
      </c>
      <c r="L3731" s="604" t="s">
        <v>129</v>
      </c>
      <c r="M3731" s="604">
        <v>76</v>
      </c>
      <c r="N3731" s="604">
        <v>16520</v>
      </c>
      <c r="O3731" s="604">
        <v>4.5999999999999996</v>
      </c>
      <c r="P3731" s="604" t="s">
        <v>436</v>
      </c>
      <c r="Q3731" s="499"/>
    </row>
    <row r="3732" spans="9:17">
      <c r="I3732" s="578" t="str">
        <f t="shared" si="204"/>
        <v>2004ethPacific peoplesPN</v>
      </c>
      <c r="J3732" s="604">
        <v>2004</v>
      </c>
      <c r="K3732" s="604" t="s">
        <v>449</v>
      </c>
      <c r="L3732" s="604" t="s">
        <v>320</v>
      </c>
      <c r="M3732" s="604">
        <v>24</v>
      </c>
      <c r="N3732" s="604">
        <v>6345</v>
      </c>
      <c r="O3732" s="604">
        <v>3.8</v>
      </c>
      <c r="P3732" s="604" t="s">
        <v>436</v>
      </c>
      <c r="Q3732" s="499"/>
    </row>
    <row r="3733" spans="9:17">
      <c r="I3733" s="578" t="str">
        <f t="shared" si="204"/>
        <v>2004ethAsianPN</v>
      </c>
      <c r="J3733" s="604">
        <v>2004</v>
      </c>
      <c r="K3733" s="604" t="s">
        <v>449</v>
      </c>
      <c r="L3733" s="604" t="s">
        <v>355</v>
      </c>
      <c r="M3733" s="604">
        <v>6</v>
      </c>
      <c r="N3733" s="604">
        <v>5647</v>
      </c>
      <c r="O3733" s="604">
        <v>1.1000000000000001</v>
      </c>
      <c r="P3733" s="604" t="s">
        <v>436</v>
      </c>
      <c r="Q3733" s="499"/>
    </row>
    <row r="3734" spans="9:17">
      <c r="I3734" s="578" t="str">
        <f t="shared" si="204"/>
        <v>2004ethEuropean or OtherPN</v>
      </c>
      <c r="J3734" s="604">
        <v>2004</v>
      </c>
      <c r="K3734" s="604" t="s">
        <v>449</v>
      </c>
      <c r="L3734" s="604" t="s">
        <v>356</v>
      </c>
      <c r="M3734" s="604">
        <v>43</v>
      </c>
      <c r="N3734" s="604">
        <v>30211</v>
      </c>
      <c r="O3734" s="604">
        <v>1.4</v>
      </c>
      <c r="P3734" s="604" t="s">
        <v>436</v>
      </c>
      <c r="Q3734" s="499"/>
    </row>
    <row r="3735" spans="9:17">
      <c r="I3735" s="578" t="str">
        <f t="shared" si="204"/>
        <v>2005ethMaoriPN</v>
      </c>
      <c r="J3735" s="604">
        <v>2005</v>
      </c>
      <c r="K3735" s="604" t="s">
        <v>449</v>
      </c>
      <c r="L3735" s="604" t="s">
        <v>129</v>
      </c>
      <c r="M3735" s="604">
        <v>57</v>
      </c>
      <c r="N3735" s="604">
        <v>17004</v>
      </c>
      <c r="O3735" s="604">
        <v>3.4</v>
      </c>
      <c r="P3735" s="604" t="s">
        <v>436</v>
      </c>
      <c r="Q3735" s="499"/>
    </row>
    <row r="3736" spans="9:17">
      <c r="I3736" s="578" t="str">
        <f t="shared" si="204"/>
        <v>2005ethPacific peoplesPN</v>
      </c>
      <c r="J3736" s="604">
        <v>2005</v>
      </c>
      <c r="K3736" s="604" t="s">
        <v>449</v>
      </c>
      <c r="L3736" s="604" t="s">
        <v>320</v>
      </c>
      <c r="M3736" s="604">
        <v>14</v>
      </c>
      <c r="N3736" s="604">
        <v>6238</v>
      </c>
      <c r="O3736" s="604">
        <v>2.2000000000000002</v>
      </c>
      <c r="P3736" s="604" t="s">
        <v>436</v>
      </c>
      <c r="Q3736" s="499"/>
    </row>
    <row r="3737" spans="9:17">
      <c r="I3737" s="578" t="str">
        <f t="shared" si="204"/>
        <v>2005ethAsianPN</v>
      </c>
      <c r="J3737" s="604">
        <v>2005</v>
      </c>
      <c r="K3737" s="604" t="s">
        <v>449</v>
      </c>
      <c r="L3737" s="604" t="s">
        <v>355</v>
      </c>
      <c r="M3737" s="604">
        <v>6</v>
      </c>
      <c r="N3737" s="604">
        <v>5495</v>
      </c>
      <c r="O3737" s="604">
        <v>1.1000000000000001</v>
      </c>
      <c r="P3737" s="604" t="s">
        <v>436</v>
      </c>
      <c r="Q3737" s="499"/>
    </row>
    <row r="3738" spans="9:17">
      <c r="I3738" s="578" t="str">
        <f t="shared" si="204"/>
        <v>2005ethEuropean or OtherPN</v>
      </c>
      <c r="J3738" s="604">
        <v>2005</v>
      </c>
      <c r="K3738" s="604" t="s">
        <v>449</v>
      </c>
      <c r="L3738" s="604" t="s">
        <v>356</v>
      </c>
      <c r="M3738" s="604">
        <v>34</v>
      </c>
      <c r="N3738" s="604">
        <v>29990</v>
      </c>
      <c r="O3738" s="604">
        <v>1.1000000000000001</v>
      </c>
      <c r="P3738" s="604" t="s">
        <v>436</v>
      </c>
      <c r="Q3738" s="499"/>
    </row>
    <row r="3739" spans="9:17">
      <c r="I3739" s="578" t="str">
        <f t="shared" si="204"/>
        <v>2006ethMaoriPN</v>
      </c>
      <c r="J3739" s="604">
        <v>2006</v>
      </c>
      <c r="K3739" s="604" t="s">
        <v>449</v>
      </c>
      <c r="L3739" s="604" t="s">
        <v>129</v>
      </c>
      <c r="M3739" s="604">
        <v>68</v>
      </c>
      <c r="N3739" s="604">
        <v>17935</v>
      </c>
      <c r="O3739" s="604">
        <v>3.8</v>
      </c>
      <c r="P3739" s="604" t="s">
        <v>436</v>
      </c>
      <c r="Q3739" s="499"/>
    </row>
    <row r="3740" spans="9:17">
      <c r="I3740" s="578" t="str">
        <f t="shared" si="204"/>
        <v>2006ethPacific peoplesPN</v>
      </c>
      <c r="J3740" s="604">
        <v>2006</v>
      </c>
      <c r="K3740" s="604" t="s">
        <v>449</v>
      </c>
      <c r="L3740" s="604" t="s">
        <v>320</v>
      </c>
      <c r="M3740" s="604">
        <v>23</v>
      </c>
      <c r="N3740" s="604">
        <v>6408</v>
      </c>
      <c r="O3740" s="604">
        <v>3.6</v>
      </c>
      <c r="P3740" s="604" t="s">
        <v>436</v>
      </c>
      <c r="Q3740" s="499"/>
    </row>
    <row r="3741" spans="9:17">
      <c r="I3741" s="578" t="str">
        <f t="shared" si="204"/>
        <v>2006ethAsianPN</v>
      </c>
      <c r="J3741" s="604">
        <v>2006</v>
      </c>
      <c r="K3741" s="604" t="s">
        <v>449</v>
      </c>
      <c r="L3741" s="604" t="s">
        <v>355</v>
      </c>
      <c r="M3741" s="604">
        <v>7</v>
      </c>
      <c r="N3741" s="604">
        <v>5389</v>
      </c>
      <c r="O3741" s="604">
        <v>1.3</v>
      </c>
      <c r="P3741" s="604" t="s">
        <v>436</v>
      </c>
      <c r="Q3741" s="499"/>
    </row>
    <row r="3742" spans="9:17">
      <c r="I3742" s="578" t="str">
        <f t="shared" si="204"/>
        <v>2006ethEuropean or OtherPN</v>
      </c>
      <c r="J3742" s="604">
        <v>2006</v>
      </c>
      <c r="K3742" s="604" t="s">
        <v>449</v>
      </c>
      <c r="L3742" s="604" t="s">
        <v>356</v>
      </c>
      <c r="M3742" s="604">
        <v>45</v>
      </c>
      <c r="N3742" s="604">
        <v>30542</v>
      </c>
      <c r="O3742" s="604">
        <v>1.5</v>
      </c>
      <c r="P3742" s="604" t="s">
        <v>436</v>
      </c>
      <c r="Q3742" s="499"/>
    </row>
    <row r="3743" spans="9:17">
      <c r="I3743" s="578" t="str">
        <f t="shared" si="204"/>
        <v>2007ethMaoriPN</v>
      </c>
      <c r="J3743" s="604">
        <v>2007</v>
      </c>
      <c r="K3743" s="604" t="s">
        <v>449</v>
      </c>
      <c r="L3743" s="604" t="s">
        <v>129</v>
      </c>
      <c r="M3743" s="604">
        <v>73</v>
      </c>
      <c r="N3743" s="604">
        <v>19338</v>
      </c>
      <c r="O3743" s="604">
        <v>3.8</v>
      </c>
      <c r="P3743" s="604" t="s">
        <v>436</v>
      </c>
      <c r="Q3743" s="499"/>
    </row>
    <row r="3744" spans="9:17">
      <c r="I3744" s="578" t="str">
        <f t="shared" si="204"/>
        <v>2007ethPacific peoplesPN</v>
      </c>
      <c r="J3744" s="604">
        <v>2007</v>
      </c>
      <c r="K3744" s="604" t="s">
        <v>449</v>
      </c>
      <c r="L3744" s="604" t="s">
        <v>320</v>
      </c>
      <c r="M3744" s="604">
        <v>23</v>
      </c>
      <c r="N3744" s="604">
        <v>7005</v>
      </c>
      <c r="O3744" s="604">
        <v>3.3</v>
      </c>
      <c r="P3744" s="604" t="s">
        <v>436</v>
      </c>
      <c r="Q3744" s="499"/>
    </row>
    <row r="3745" spans="9:17">
      <c r="I3745" s="578" t="str">
        <f t="shared" si="204"/>
        <v>2007ethAsianPN</v>
      </c>
      <c r="J3745" s="604">
        <v>2007</v>
      </c>
      <c r="K3745" s="604" t="s">
        <v>449</v>
      </c>
      <c r="L3745" s="604" t="s">
        <v>355</v>
      </c>
      <c r="M3745" s="604">
        <v>3</v>
      </c>
      <c r="N3745" s="604">
        <v>6386</v>
      </c>
      <c r="O3745" s="604">
        <v>0.5</v>
      </c>
      <c r="P3745" s="604" t="s">
        <v>436</v>
      </c>
      <c r="Q3745" s="499"/>
    </row>
    <row r="3746" spans="9:17">
      <c r="I3746" s="578" t="str">
        <f t="shared" si="204"/>
        <v>2007ethEuropean or OtherPN</v>
      </c>
      <c r="J3746" s="604">
        <v>2007</v>
      </c>
      <c r="K3746" s="604" t="s">
        <v>449</v>
      </c>
      <c r="L3746" s="604" t="s">
        <v>356</v>
      </c>
      <c r="M3746" s="604">
        <v>47</v>
      </c>
      <c r="N3746" s="604">
        <v>32392</v>
      </c>
      <c r="O3746" s="604">
        <v>1.5</v>
      </c>
      <c r="P3746" s="604" t="s">
        <v>436</v>
      </c>
      <c r="Q3746" s="499"/>
    </row>
    <row r="3747" spans="9:17">
      <c r="I3747" s="578" t="str">
        <f t="shared" si="204"/>
        <v>2008ethMaoriPN</v>
      </c>
      <c r="J3747" s="604">
        <v>2008</v>
      </c>
      <c r="K3747" s="604" t="s">
        <v>449</v>
      </c>
      <c r="L3747" s="604" t="s">
        <v>129</v>
      </c>
      <c r="M3747" s="604">
        <v>66</v>
      </c>
      <c r="N3747" s="604">
        <v>19452</v>
      </c>
      <c r="O3747" s="604">
        <v>3.4</v>
      </c>
      <c r="P3747" s="604" t="s">
        <v>436</v>
      </c>
      <c r="Q3747" s="499"/>
    </row>
    <row r="3748" spans="9:17">
      <c r="I3748" s="578" t="str">
        <f t="shared" si="204"/>
        <v>2008ethPacific peoplesPN</v>
      </c>
      <c r="J3748" s="604">
        <v>2008</v>
      </c>
      <c r="K3748" s="604" t="s">
        <v>449</v>
      </c>
      <c r="L3748" s="604" t="s">
        <v>320</v>
      </c>
      <c r="M3748" s="604">
        <v>17</v>
      </c>
      <c r="N3748" s="604">
        <v>7221</v>
      </c>
      <c r="O3748" s="604">
        <v>2.4</v>
      </c>
      <c r="P3748" s="604" t="s">
        <v>436</v>
      </c>
      <c r="Q3748" s="499"/>
    </row>
    <row r="3749" spans="9:17">
      <c r="I3749" s="578" t="str">
        <f t="shared" si="204"/>
        <v>2008ethAsianPN</v>
      </c>
      <c r="J3749" s="604">
        <v>2008</v>
      </c>
      <c r="K3749" s="604" t="s">
        <v>449</v>
      </c>
      <c r="L3749" s="604" t="s">
        <v>355</v>
      </c>
      <c r="M3749" s="604">
        <v>5</v>
      </c>
      <c r="N3749" s="604">
        <v>6557</v>
      </c>
      <c r="O3749" s="604">
        <v>0.8</v>
      </c>
      <c r="P3749" s="604" t="s">
        <v>436</v>
      </c>
      <c r="Q3749" s="499"/>
    </row>
    <row r="3750" spans="9:17">
      <c r="I3750" s="578" t="str">
        <f t="shared" si="204"/>
        <v>2008ethEuropean or OtherPN</v>
      </c>
      <c r="J3750" s="604">
        <v>2008</v>
      </c>
      <c r="K3750" s="604" t="s">
        <v>449</v>
      </c>
      <c r="L3750" s="604" t="s">
        <v>356</v>
      </c>
      <c r="M3750" s="604">
        <v>48</v>
      </c>
      <c r="N3750" s="604">
        <v>32103</v>
      </c>
      <c r="O3750" s="604">
        <v>1.5</v>
      </c>
      <c r="P3750" s="604" t="s">
        <v>436</v>
      </c>
      <c r="Q3750" s="499"/>
    </row>
    <row r="3751" spans="9:17">
      <c r="I3751" s="578" t="str">
        <f t="shared" si="204"/>
        <v>2009ethMaoriPN</v>
      </c>
      <c r="J3751" s="604">
        <v>2009</v>
      </c>
      <c r="K3751" s="604" t="s">
        <v>449</v>
      </c>
      <c r="L3751" s="604" t="s">
        <v>129</v>
      </c>
      <c r="M3751" s="604">
        <v>66</v>
      </c>
      <c r="N3751" s="604">
        <v>18470</v>
      </c>
      <c r="O3751" s="604">
        <v>3.6</v>
      </c>
      <c r="P3751" s="604" t="s">
        <v>436</v>
      </c>
      <c r="Q3751" s="499"/>
    </row>
    <row r="3752" spans="9:17">
      <c r="I3752" s="578" t="str">
        <f t="shared" si="204"/>
        <v>2009ethPacific peoplesPN</v>
      </c>
      <c r="J3752" s="604">
        <v>2009</v>
      </c>
      <c r="K3752" s="604" t="s">
        <v>449</v>
      </c>
      <c r="L3752" s="604" t="s">
        <v>320</v>
      </c>
      <c r="M3752" s="604">
        <v>18</v>
      </c>
      <c r="N3752" s="604">
        <v>7124</v>
      </c>
      <c r="O3752" s="604">
        <v>2.5</v>
      </c>
      <c r="P3752" s="604" t="s">
        <v>436</v>
      </c>
      <c r="Q3752" s="499"/>
    </row>
    <row r="3753" spans="9:17">
      <c r="I3753" s="578" t="str">
        <f t="shared" si="204"/>
        <v>2009ethAsianPN</v>
      </c>
      <c r="J3753" s="604">
        <v>2009</v>
      </c>
      <c r="K3753" s="604" t="s">
        <v>449</v>
      </c>
      <c r="L3753" s="604" t="s">
        <v>355</v>
      </c>
      <c r="M3753" s="604">
        <v>6</v>
      </c>
      <c r="N3753" s="604">
        <v>6763</v>
      </c>
      <c r="O3753" s="604">
        <v>0.9</v>
      </c>
      <c r="P3753" s="604" t="s">
        <v>436</v>
      </c>
      <c r="Q3753" s="499"/>
    </row>
    <row r="3754" spans="9:17">
      <c r="I3754" s="578" t="str">
        <f t="shared" si="204"/>
        <v>2009ethEuropean or OtherPN</v>
      </c>
      <c r="J3754" s="604">
        <v>2009</v>
      </c>
      <c r="K3754" s="604" t="s">
        <v>449</v>
      </c>
      <c r="L3754" s="604" t="s">
        <v>356</v>
      </c>
      <c r="M3754" s="604">
        <v>45</v>
      </c>
      <c r="N3754" s="604">
        <v>30928</v>
      </c>
      <c r="O3754" s="604">
        <v>1.5</v>
      </c>
      <c r="P3754" s="604" t="s">
        <v>436</v>
      </c>
      <c r="Q3754" s="499"/>
    </row>
    <row r="3755" spans="9:17">
      <c r="I3755" s="578" t="str">
        <f t="shared" si="204"/>
        <v>2010ethMaoriPN</v>
      </c>
      <c r="J3755" s="604">
        <v>2010</v>
      </c>
      <c r="K3755" s="604" t="s">
        <v>449</v>
      </c>
      <c r="L3755" s="604" t="s">
        <v>129</v>
      </c>
      <c r="M3755" s="604">
        <v>64</v>
      </c>
      <c r="N3755" s="604">
        <v>18893</v>
      </c>
      <c r="O3755" s="604">
        <v>3.4</v>
      </c>
      <c r="P3755" s="604" t="s">
        <v>436</v>
      </c>
      <c r="Q3755" s="499"/>
    </row>
    <row r="3756" spans="9:17">
      <c r="I3756" s="578" t="str">
        <f t="shared" si="204"/>
        <v>2010ethPacific peoplesPN</v>
      </c>
      <c r="J3756" s="604">
        <v>2010</v>
      </c>
      <c r="K3756" s="604" t="s">
        <v>449</v>
      </c>
      <c r="L3756" s="604" t="s">
        <v>320</v>
      </c>
      <c r="M3756" s="604">
        <v>18</v>
      </c>
      <c r="N3756" s="604">
        <v>7261</v>
      </c>
      <c r="O3756" s="604">
        <v>2.5</v>
      </c>
      <c r="P3756" s="604" t="s">
        <v>436</v>
      </c>
      <c r="Q3756" s="499"/>
    </row>
    <row r="3757" spans="9:17">
      <c r="I3757" s="578" t="str">
        <f t="shared" si="204"/>
        <v>2010ethAsianPN</v>
      </c>
      <c r="J3757" s="604">
        <v>2010</v>
      </c>
      <c r="K3757" s="604" t="s">
        <v>449</v>
      </c>
      <c r="L3757" s="604" t="s">
        <v>355</v>
      </c>
      <c r="M3757" s="604">
        <v>3</v>
      </c>
      <c r="N3757" s="604">
        <v>7451</v>
      </c>
      <c r="O3757" s="604">
        <v>0.4</v>
      </c>
      <c r="P3757" s="604" t="s">
        <v>436</v>
      </c>
      <c r="Q3757" s="499"/>
    </row>
    <row r="3758" spans="9:17">
      <c r="I3758" s="578" t="str">
        <f t="shared" si="204"/>
        <v>2010ethEuropean or OtherPN</v>
      </c>
      <c r="J3758" s="604">
        <v>2010</v>
      </c>
      <c r="K3758" s="604" t="s">
        <v>449</v>
      </c>
      <c r="L3758" s="604" t="s">
        <v>356</v>
      </c>
      <c r="M3758" s="604">
        <v>42</v>
      </c>
      <c r="N3758" s="604">
        <v>31094</v>
      </c>
      <c r="O3758" s="604">
        <v>1.4</v>
      </c>
      <c r="P3758" s="604" t="s">
        <v>436</v>
      </c>
      <c r="Q3758" s="499"/>
    </row>
    <row r="3759" spans="9:17">
      <c r="I3759" s="578" t="str">
        <f t="shared" si="204"/>
        <v>2011ethMaoriPN</v>
      </c>
      <c r="J3759" s="604">
        <v>2011</v>
      </c>
      <c r="K3759" s="604" t="s">
        <v>449</v>
      </c>
      <c r="L3759" s="604" t="s">
        <v>129</v>
      </c>
      <c r="M3759" s="604">
        <v>67</v>
      </c>
      <c r="N3759" s="604">
        <v>18034</v>
      </c>
      <c r="O3759" s="604">
        <v>3.7</v>
      </c>
      <c r="P3759" s="604" t="s">
        <v>436</v>
      </c>
      <c r="Q3759" s="499"/>
    </row>
    <row r="3760" spans="9:17">
      <c r="I3760" s="578" t="str">
        <f t="shared" si="204"/>
        <v>2011ethPacific peoplesPN</v>
      </c>
      <c r="J3760" s="604">
        <v>2011</v>
      </c>
      <c r="K3760" s="604" t="s">
        <v>449</v>
      </c>
      <c r="L3760" s="604" t="s">
        <v>320</v>
      </c>
      <c r="M3760" s="604">
        <v>22</v>
      </c>
      <c r="N3760" s="604">
        <v>7141</v>
      </c>
      <c r="O3760" s="604">
        <v>3.1</v>
      </c>
      <c r="P3760" s="604" t="s">
        <v>436</v>
      </c>
      <c r="Q3760" s="499"/>
    </row>
    <row r="3761" spans="9:17">
      <c r="I3761" s="578" t="str">
        <f t="shared" si="204"/>
        <v>2011ethAsianPN</v>
      </c>
      <c r="J3761" s="604">
        <v>2011</v>
      </c>
      <c r="K3761" s="604" t="s">
        <v>449</v>
      </c>
      <c r="L3761" s="604" t="s">
        <v>355</v>
      </c>
      <c r="M3761" s="604">
        <v>5</v>
      </c>
      <c r="N3761" s="604">
        <v>7517</v>
      </c>
      <c r="O3761" s="604">
        <v>0.7</v>
      </c>
      <c r="P3761" s="604" t="s">
        <v>436</v>
      </c>
      <c r="Q3761" s="499"/>
    </row>
    <row r="3762" spans="9:17">
      <c r="I3762" s="578" t="str">
        <f t="shared" si="204"/>
        <v>2011ethEuropean or OtherPN</v>
      </c>
      <c r="J3762" s="604">
        <v>2011</v>
      </c>
      <c r="K3762" s="604" t="s">
        <v>449</v>
      </c>
      <c r="L3762" s="604" t="s">
        <v>356</v>
      </c>
      <c r="M3762" s="604">
        <v>31</v>
      </c>
      <c r="N3762" s="604">
        <v>29482</v>
      </c>
      <c r="O3762" s="604">
        <v>1.1000000000000001</v>
      </c>
      <c r="P3762" s="604" t="s">
        <v>436</v>
      </c>
      <c r="Q3762" s="499"/>
    </row>
    <row r="3763" spans="9:17">
      <c r="I3763" s="578" t="str">
        <f t="shared" si="204"/>
        <v>2012ethMaoriPN</v>
      </c>
      <c r="J3763" s="604">
        <v>2012</v>
      </c>
      <c r="K3763" s="604" t="s">
        <v>449</v>
      </c>
      <c r="L3763" s="604" t="s">
        <v>129</v>
      </c>
      <c r="M3763" s="604">
        <v>44</v>
      </c>
      <c r="N3763" s="604">
        <v>17948</v>
      </c>
      <c r="O3763" s="604">
        <v>2.5</v>
      </c>
      <c r="P3763" s="604" t="s">
        <v>436</v>
      </c>
      <c r="Q3763" s="499"/>
    </row>
    <row r="3764" spans="9:17">
      <c r="I3764" s="578" t="str">
        <f t="shared" si="204"/>
        <v>2012ethPacific peoplesPN</v>
      </c>
      <c r="J3764" s="604">
        <v>2012</v>
      </c>
      <c r="K3764" s="604" t="s">
        <v>449</v>
      </c>
      <c r="L3764" s="604" t="s">
        <v>320</v>
      </c>
      <c r="M3764" s="604">
        <v>15</v>
      </c>
      <c r="N3764" s="604">
        <v>6955</v>
      </c>
      <c r="O3764" s="604">
        <v>2.2000000000000002</v>
      </c>
      <c r="P3764" s="604" t="s">
        <v>436</v>
      </c>
      <c r="Q3764" s="499"/>
    </row>
    <row r="3765" spans="9:17">
      <c r="I3765" s="578" t="str">
        <f t="shared" si="204"/>
        <v>2012ethAsianPN</v>
      </c>
      <c r="J3765" s="604">
        <v>2012</v>
      </c>
      <c r="K3765" s="604" t="s">
        <v>449</v>
      </c>
      <c r="L3765" s="604" t="s">
        <v>355</v>
      </c>
      <c r="M3765" s="604">
        <v>4</v>
      </c>
      <c r="N3765" s="604">
        <v>8613</v>
      </c>
      <c r="O3765" s="604">
        <v>0.5</v>
      </c>
      <c r="P3765" s="604" t="s">
        <v>436</v>
      </c>
      <c r="Q3765" s="499"/>
    </row>
    <row r="3766" spans="9:17">
      <c r="I3766" s="578" t="str">
        <f t="shared" si="204"/>
        <v>2012ethEuropean or OtherPN</v>
      </c>
      <c r="J3766" s="604">
        <v>2012</v>
      </c>
      <c r="K3766" s="604" t="s">
        <v>449</v>
      </c>
      <c r="L3766" s="604" t="s">
        <v>356</v>
      </c>
      <c r="M3766" s="604">
        <v>37</v>
      </c>
      <c r="N3766" s="604">
        <v>28519</v>
      </c>
      <c r="O3766" s="604">
        <v>1.3</v>
      </c>
      <c r="P3766" s="604" t="s">
        <v>436</v>
      </c>
      <c r="Q3766" s="499"/>
    </row>
    <row r="3767" spans="9:17">
      <c r="I3767" s="578" t="str">
        <f t="shared" si="204"/>
        <v>2013ethMaoriPN</v>
      </c>
      <c r="J3767" s="604">
        <v>2013</v>
      </c>
      <c r="K3767" s="604" t="s">
        <v>449</v>
      </c>
      <c r="L3767" s="604" t="s">
        <v>129</v>
      </c>
      <c r="M3767" s="604">
        <v>33</v>
      </c>
      <c r="N3767" s="604">
        <v>17149</v>
      </c>
      <c r="O3767" s="604">
        <v>1.9</v>
      </c>
      <c r="P3767" s="604" t="s">
        <v>436</v>
      </c>
      <c r="Q3767" s="499"/>
    </row>
    <row r="3768" spans="9:17">
      <c r="I3768" s="578" t="str">
        <f t="shared" si="204"/>
        <v>2013ethPacific peoplesPN</v>
      </c>
      <c r="J3768" s="604">
        <v>2013</v>
      </c>
      <c r="K3768" s="604" t="s">
        <v>449</v>
      </c>
      <c r="L3768" s="604" t="s">
        <v>320</v>
      </c>
      <c r="M3768" s="604">
        <v>16</v>
      </c>
      <c r="N3768" s="604">
        <v>6438</v>
      </c>
      <c r="O3768" s="604">
        <v>2.5</v>
      </c>
      <c r="P3768" s="604" t="s">
        <v>436</v>
      </c>
      <c r="Q3768" s="499"/>
    </row>
    <row r="3769" spans="9:17">
      <c r="I3769" s="578" t="str">
        <f t="shared" si="204"/>
        <v>2013ethAsianPN</v>
      </c>
      <c r="J3769" s="604">
        <v>2013</v>
      </c>
      <c r="K3769" s="604" t="s">
        <v>449</v>
      </c>
      <c r="L3769" s="604" t="s">
        <v>355</v>
      </c>
      <c r="M3769" s="604">
        <v>12</v>
      </c>
      <c r="N3769" s="604">
        <v>8707</v>
      </c>
      <c r="O3769" s="604">
        <v>1.4</v>
      </c>
      <c r="P3769" s="604" t="s">
        <v>436</v>
      </c>
      <c r="Q3769" s="499"/>
    </row>
    <row r="3770" spans="9:17">
      <c r="I3770" s="578" t="str">
        <f t="shared" si="204"/>
        <v>2013ethEuropean or OtherPN</v>
      </c>
      <c r="J3770" s="604">
        <v>2013</v>
      </c>
      <c r="K3770" s="604" t="s">
        <v>449</v>
      </c>
      <c r="L3770" s="604" t="s">
        <v>356</v>
      </c>
      <c r="M3770" s="604">
        <v>37</v>
      </c>
      <c r="N3770" s="604">
        <v>27407</v>
      </c>
      <c r="O3770" s="604">
        <v>1.4</v>
      </c>
      <c r="P3770" s="604" t="s">
        <v>436</v>
      </c>
      <c r="Q3770" s="499"/>
    </row>
    <row r="3771" spans="9:17">
      <c r="I3771" s="578" t="str">
        <f t="shared" si="204"/>
        <v>2014ethMaoriPN</v>
      </c>
      <c r="J3771" s="604">
        <v>2014</v>
      </c>
      <c r="K3771" s="604" t="s">
        <v>449</v>
      </c>
      <c r="L3771" s="604" t="s">
        <v>129</v>
      </c>
      <c r="M3771" s="604">
        <v>52</v>
      </c>
      <c r="N3771" s="604">
        <v>16479</v>
      </c>
      <c r="O3771" s="604">
        <v>3.2</v>
      </c>
      <c r="P3771" s="604" t="s">
        <v>436</v>
      </c>
      <c r="Q3771" s="499"/>
    </row>
    <row r="3772" spans="9:17">
      <c r="I3772" s="578" t="str">
        <f t="shared" si="204"/>
        <v>2014ethPacific peoplesPN</v>
      </c>
      <c r="J3772" s="604">
        <v>2014</v>
      </c>
      <c r="K3772" s="604" t="s">
        <v>449</v>
      </c>
      <c r="L3772" s="604" t="s">
        <v>320</v>
      </c>
      <c r="M3772" s="604">
        <v>13</v>
      </c>
      <c r="N3772" s="604">
        <v>6196</v>
      </c>
      <c r="O3772" s="604">
        <v>2.1</v>
      </c>
      <c r="P3772" s="604" t="s">
        <v>436</v>
      </c>
      <c r="Q3772" s="499"/>
    </row>
    <row r="3773" spans="9:17">
      <c r="I3773" s="578" t="str">
        <f t="shared" si="204"/>
        <v>2014ethAsianPN</v>
      </c>
      <c r="J3773" s="604">
        <v>2014</v>
      </c>
      <c r="K3773" s="604" t="s">
        <v>449</v>
      </c>
      <c r="L3773" s="604" t="s">
        <v>355</v>
      </c>
      <c r="M3773" s="604">
        <v>8</v>
      </c>
      <c r="N3773" s="604">
        <v>9320</v>
      </c>
      <c r="O3773" s="604">
        <v>0.9</v>
      </c>
      <c r="P3773" s="604" t="s">
        <v>436</v>
      </c>
      <c r="Q3773" s="499"/>
    </row>
    <row r="3774" spans="9:17">
      <c r="I3774" s="578" t="str">
        <f t="shared" si="204"/>
        <v>2014ethEuropean or OtherPN</v>
      </c>
      <c r="J3774" s="604">
        <v>2014</v>
      </c>
      <c r="K3774" s="604" t="s">
        <v>449</v>
      </c>
      <c r="L3774" s="604" t="s">
        <v>356</v>
      </c>
      <c r="M3774" s="604">
        <v>20</v>
      </c>
      <c r="N3774" s="604">
        <v>26290</v>
      </c>
      <c r="O3774" s="604">
        <v>0.8</v>
      </c>
      <c r="P3774" s="604" t="s">
        <v>436</v>
      </c>
      <c r="Q3774" s="499"/>
    </row>
    <row r="3775" spans="9:17">
      <c r="I3775" s="578" t="str">
        <f t="shared" si="204"/>
        <v>2015ethMaoriPN</v>
      </c>
      <c r="J3775" s="604">
        <v>2015</v>
      </c>
      <c r="K3775" s="604" t="s">
        <v>449</v>
      </c>
      <c r="L3775" s="604" t="s">
        <v>129</v>
      </c>
      <c r="M3775" s="604">
        <v>33</v>
      </c>
      <c r="N3775" s="604">
        <v>17781</v>
      </c>
      <c r="O3775" s="604">
        <v>1.9</v>
      </c>
      <c r="P3775" s="604" t="s">
        <v>436</v>
      </c>
      <c r="Q3775" s="499"/>
    </row>
    <row r="3776" spans="9:17">
      <c r="I3776" s="578" t="str">
        <f t="shared" si="204"/>
        <v>2015ethPacific peoplesPN</v>
      </c>
      <c r="J3776" s="604">
        <v>2015</v>
      </c>
      <c r="K3776" s="604" t="s">
        <v>449</v>
      </c>
      <c r="L3776" s="604" t="s">
        <v>320</v>
      </c>
      <c r="M3776" s="604">
        <v>19</v>
      </c>
      <c r="N3776" s="604">
        <v>6377</v>
      </c>
      <c r="O3776" s="604">
        <v>3</v>
      </c>
      <c r="P3776" s="604" t="s">
        <v>436</v>
      </c>
      <c r="Q3776" s="499"/>
    </row>
    <row r="3777" spans="9:17">
      <c r="I3777" s="578" t="str">
        <f t="shared" si="204"/>
        <v>2015ethAsianPN</v>
      </c>
      <c r="J3777" s="604">
        <v>2015</v>
      </c>
      <c r="K3777" s="604" t="s">
        <v>449</v>
      </c>
      <c r="L3777" s="604" t="s">
        <v>355</v>
      </c>
      <c r="M3777" s="604">
        <v>12</v>
      </c>
      <c r="N3777" s="604">
        <v>10189</v>
      </c>
      <c r="O3777" s="604">
        <v>1.2</v>
      </c>
      <c r="P3777" s="604" t="s">
        <v>436</v>
      </c>
      <c r="Q3777" s="499"/>
    </row>
    <row r="3778" spans="9:17">
      <c r="I3778" s="578" t="str">
        <f t="shared" si="204"/>
        <v>2015ethEuropean or OtherPN</v>
      </c>
      <c r="J3778" s="604">
        <v>2015</v>
      </c>
      <c r="K3778" s="604" t="s">
        <v>449</v>
      </c>
      <c r="L3778" s="604" t="s">
        <v>356</v>
      </c>
      <c r="M3778" s="604">
        <v>27</v>
      </c>
      <c r="N3778" s="604">
        <v>27775</v>
      </c>
      <c r="O3778" s="604">
        <v>1</v>
      </c>
      <c r="P3778" s="604" t="s">
        <v>436</v>
      </c>
      <c r="Q3778" s="499"/>
    </row>
    <row r="3779" spans="9:17">
      <c r="I3779" s="578" t="str">
        <f t="shared" si="204"/>
        <v>2016ethMaoriPN</v>
      </c>
      <c r="J3779" s="604">
        <v>2016</v>
      </c>
      <c r="K3779" s="604" t="s">
        <v>449</v>
      </c>
      <c r="L3779" s="604" t="s">
        <v>129</v>
      </c>
      <c r="M3779" s="604">
        <v>39</v>
      </c>
      <c r="N3779" s="604">
        <v>17329</v>
      </c>
      <c r="O3779" s="604">
        <v>2.2999999999999998</v>
      </c>
      <c r="P3779" s="604" t="s">
        <v>436</v>
      </c>
      <c r="Q3779" s="499"/>
    </row>
    <row r="3780" spans="9:17">
      <c r="I3780" s="578" t="str">
        <f t="shared" ref="I3780:I3843" si="205">J3780&amp;K3780&amp;L3780&amp;P3780</f>
        <v>2016ethPacific peoplesPN</v>
      </c>
      <c r="J3780" s="604">
        <v>2016</v>
      </c>
      <c r="K3780" s="604" t="s">
        <v>449</v>
      </c>
      <c r="L3780" s="604" t="s">
        <v>320</v>
      </c>
      <c r="M3780" s="604">
        <v>12</v>
      </c>
      <c r="N3780" s="604">
        <v>5976</v>
      </c>
      <c r="O3780" s="604">
        <v>2</v>
      </c>
      <c r="P3780" s="604" t="s">
        <v>436</v>
      </c>
      <c r="Q3780" s="499"/>
    </row>
    <row r="3781" spans="9:17">
      <c r="I3781" s="578" t="str">
        <f t="shared" si="205"/>
        <v>2016ethAsianPN</v>
      </c>
      <c r="J3781" s="604">
        <v>2016</v>
      </c>
      <c r="K3781" s="604" t="s">
        <v>449</v>
      </c>
      <c r="L3781" s="604" t="s">
        <v>355</v>
      </c>
      <c r="M3781" s="604">
        <v>3</v>
      </c>
      <c r="N3781" s="604">
        <v>10902</v>
      </c>
      <c r="O3781" s="604">
        <v>0.3</v>
      </c>
      <c r="P3781" s="604" t="s">
        <v>436</v>
      </c>
      <c r="Q3781" s="499"/>
    </row>
    <row r="3782" spans="9:17">
      <c r="I3782" s="578" t="str">
        <f t="shared" si="205"/>
        <v>2016ethEuropean or OtherPN</v>
      </c>
      <c r="J3782" s="604">
        <v>2016</v>
      </c>
      <c r="K3782" s="604" t="s">
        <v>449</v>
      </c>
      <c r="L3782" s="604" t="s">
        <v>356</v>
      </c>
      <c r="M3782" s="604">
        <v>26</v>
      </c>
      <c r="N3782" s="604">
        <v>26229</v>
      </c>
      <c r="O3782" s="604">
        <v>1</v>
      </c>
      <c r="P3782" s="604" t="s">
        <v>436</v>
      </c>
      <c r="Q3782" s="499"/>
    </row>
    <row r="3783" spans="9:17">
      <c r="I3783" s="578" t="str">
        <f t="shared" si="205"/>
        <v>1996depQuin 1PN</v>
      </c>
      <c r="J3783" s="604">
        <v>1996</v>
      </c>
      <c r="K3783" s="604" t="s">
        <v>454</v>
      </c>
      <c r="L3783" s="604" t="s">
        <v>421</v>
      </c>
      <c r="M3783" s="604">
        <v>14</v>
      </c>
      <c r="N3783" s="604">
        <v>6224</v>
      </c>
      <c r="O3783" s="604">
        <v>2.2000000000000002</v>
      </c>
      <c r="P3783" s="604" t="s">
        <v>436</v>
      </c>
      <c r="Q3783" s="499"/>
    </row>
    <row r="3784" spans="9:17">
      <c r="I3784" s="578" t="str">
        <f t="shared" si="205"/>
        <v>1996depQuin 2PN</v>
      </c>
      <c r="J3784" s="604">
        <v>1996</v>
      </c>
      <c r="K3784" s="604" t="s">
        <v>454</v>
      </c>
      <c r="L3784" s="604" t="s">
        <v>422</v>
      </c>
      <c r="M3784" s="604">
        <v>16</v>
      </c>
      <c r="N3784" s="604">
        <v>7213</v>
      </c>
      <c r="O3784" s="604">
        <v>2.2000000000000002</v>
      </c>
      <c r="P3784" s="604" t="s">
        <v>436</v>
      </c>
      <c r="Q3784" s="499"/>
    </row>
    <row r="3785" spans="9:17">
      <c r="I3785" s="578" t="str">
        <f t="shared" si="205"/>
        <v>1996depQuin 3PN</v>
      </c>
      <c r="J3785" s="604">
        <v>1996</v>
      </c>
      <c r="K3785" s="604" t="s">
        <v>454</v>
      </c>
      <c r="L3785" s="604" t="s">
        <v>423</v>
      </c>
      <c r="M3785" s="604">
        <v>30</v>
      </c>
      <c r="N3785" s="604">
        <v>9023</v>
      </c>
      <c r="O3785" s="604">
        <v>3.3</v>
      </c>
      <c r="P3785" s="604" t="s">
        <v>436</v>
      </c>
      <c r="Q3785" s="499"/>
    </row>
    <row r="3786" spans="9:17">
      <c r="I3786" s="578" t="str">
        <f t="shared" si="205"/>
        <v>1996depQuin 4PN</v>
      </c>
      <c r="J3786" s="604">
        <v>1996</v>
      </c>
      <c r="K3786" s="604" t="s">
        <v>454</v>
      </c>
      <c r="L3786" s="604" t="s">
        <v>424</v>
      </c>
      <c r="M3786" s="604">
        <v>31</v>
      </c>
      <c r="N3786" s="604">
        <v>11553</v>
      </c>
      <c r="O3786" s="604">
        <v>2.7</v>
      </c>
      <c r="P3786" s="604" t="s">
        <v>436</v>
      </c>
      <c r="Q3786" s="499"/>
    </row>
    <row r="3787" spans="9:17">
      <c r="I3787" s="578" t="str">
        <f t="shared" si="205"/>
        <v>1996depQuin 5PN</v>
      </c>
      <c r="J3787" s="604">
        <v>1996</v>
      </c>
      <c r="K3787" s="604" t="s">
        <v>454</v>
      </c>
      <c r="L3787" s="604" t="s">
        <v>425</v>
      </c>
      <c r="M3787" s="604">
        <v>85</v>
      </c>
      <c r="N3787" s="604">
        <v>15161</v>
      </c>
      <c r="O3787" s="604">
        <v>5.6</v>
      </c>
      <c r="P3787" s="604" t="s">
        <v>436</v>
      </c>
      <c r="Q3787" s="499"/>
    </row>
    <row r="3788" spans="9:17">
      <c r="I3788" s="578" t="str">
        <f t="shared" si="205"/>
        <v>1996depQuin 9PN</v>
      </c>
      <c r="J3788" s="604">
        <v>1996</v>
      </c>
      <c r="K3788" s="604" t="s">
        <v>454</v>
      </c>
      <c r="L3788" s="604" t="s">
        <v>426</v>
      </c>
      <c r="M3788" s="604">
        <v>18</v>
      </c>
      <c r="N3788" s="604">
        <v>8260</v>
      </c>
      <c r="O3788" s="604" t="s">
        <v>119</v>
      </c>
      <c r="P3788" s="604" t="s">
        <v>436</v>
      </c>
      <c r="Q3788" s="499"/>
    </row>
    <row r="3789" spans="9:17">
      <c r="I3789" s="578" t="str">
        <f t="shared" si="205"/>
        <v>1997depQuin 1PN</v>
      </c>
      <c r="J3789" s="604">
        <v>1997</v>
      </c>
      <c r="K3789" s="604" t="s">
        <v>454</v>
      </c>
      <c r="L3789" s="604" t="s">
        <v>421</v>
      </c>
      <c r="M3789" s="604">
        <v>12</v>
      </c>
      <c r="N3789" s="604">
        <v>6314</v>
      </c>
      <c r="O3789" s="604">
        <v>1.9</v>
      </c>
      <c r="P3789" s="604" t="s">
        <v>436</v>
      </c>
      <c r="Q3789" s="499"/>
    </row>
    <row r="3790" spans="9:17">
      <c r="I3790" s="578" t="str">
        <f t="shared" si="205"/>
        <v>1997depQuin 2PN</v>
      </c>
      <c r="J3790" s="604">
        <v>1997</v>
      </c>
      <c r="K3790" s="604" t="s">
        <v>454</v>
      </c>
      <c r="L3790" s="604" t="s">
        <v>422</v>
      </c>
      <c r="M3790" s="604">
        <v>9</v>
      </c>
      <c r="N3790" s="604">
        <v>7191</v>
      </c>
      <c r="O3790" s="604">
        <v>1.3</v>
      </c>
      <c r="P3790" s="604" t="s">
        <v>436</v>
      </c>
      <c r="Q3790" s="499"/>
    </row>
    <row r="3791" spans="9:17">
      <c r="I3791" s="578" t="str">
        <f t="shared" si="205"/>
        <v>1997depQuin 3PN</v>
      </c>
      <c r="J3791" s="604">
        <v>1997</v>
      </c>
      <c r="K3791" s="604" t="s">
        <v>454</v>
      </c>
      <c r="L3791" s="604" t="s">
        <v>423</v>
      </c>
      <c r="M3791" s="604">
        <v>16</v>
      </c>
      <c r="N3791" s="604">
        <v>9059</v>
      </c>
      <c r="O3791" s="604">
        <v>1.8</v>
      </c>
      <c r="P3791" s="604" t="s">
        <v>436</v>
      </c>
      <c r="Q3791" s="499"/>
    </row>
    <row r="3792" spans="9:17">
      <c r="I3792" s="578" t="str">
        <f t="shared" si="205"/>
        <v>1997depQuin 4PN</v>
      </c>
      <c r="J3792" s="604">
        <v>1997</v>
      </c>
      <c r="K3792" s="604" t="s">
        <v>454</v>
      </c>
      <c r="L3792" s="604" t="s">
        <v>424</v>
      </c>
      <c r="M3792" s="604">
        <v>40</v>
      </c>
      <c r="N3792" s="604">
        <v>11648</v>
      </c>
      <c r="O3792" s="604">
        <v>3.4</v>
      </c>
      <c r="P3792" s="604" t="s">
        <v>436</v>
      </c>
      <c r="Q3792" s="499"/>
    </row>
    <row r="3793" spans="9:17">
      <c r="I3793" s="578" t="str">
        <f t="shared" si="205"/>
        <v>1997depQuin 5PN</v>
      </c>
      <c r="J3793" s="604">
        <v>1997</v>
      </c>
      <c r="K3793" s="604" t="s">
        <v>454</v>
      </c>
      <c r="L3793" s="604" t="s">
        <v>425</v>
      </c>
      <c r="M3793" s="604">
        <v>75</v>
      </c>
      <c r="N3793" s="604">
        <v>15072</v>
      </c>
      <c r="O3793" s="604">
        <v>5</v>
      </c>
      <c r="P3793" s="604" t="s">
        <v>436</v>
      </c>
      <c r="Q3793" s="499"/>
    </row>
    <row r="3794" spans="9:17">
      <c r="I3794" s="578" t="str">
        <f t="shared" si="205"/>
        <v>1997depQuin 9PN</v>
      </c>
      <c r="J3794" s="604">
        <v>1997</v>
      </c>
      <c r="K3794" s="604" t="s">
        <v>454</v>
      </c>
      <c r="L3794" s="604" t="s">
        <v>426</v>
      </c>
      <c r="M3794" s="604">
        <v>30</v>
      </c>
      <c r="N3794" s="604">
        <v>8450</v>
      </c>
      <c r="O3794" s="604" t="s">
        <v>119</v>
      </c>
      <c r="P3794" s="604" t="s">
        <v>436</v>
      </c>
      <c r="Q3794" s="499"/>
    </row>
    <row r="3795" spans="9:17">
      <c r="I3795" s="578" t="str">
        <f t="shared" si="205"/>
        <v>1998depQuin 1PN</v>
      </c>
      <c r="J3795" s="604">
        <v>1998</v>
      </c>
      <c r="K3795" s="604" t="s">
        <v>454</v>
      </c>
      <c r="L3795" s="604" t="s">
        <v>421</v>
      </c>
      <c r="M3795" s="604">
        <v>5</v>
      </c>
      <c r="N3795" s="604">
        <v>6314</v>
      </c>
      <c r="O3795" s="604">
        <v>0.8</v>
      </c>
      <c r="P3795" s="604" t="s">
        <v>436</v>
      </c>
      <c r="Q3795" s="499"/>
    </row>
    <row r="3796" spans="9:17">
      <c r="I3796" s="578" t="str">
        <f t="shared" si="205"/>
        <v>1998depQuin 2PN</v>
      </c>
      <c r="J3796" s="604">
        <v>1998</v>
      </c>
      <c r="K3796" s="604" t="s">
        <v>454</v>
      </c>
      <c r="L3796" s="604" t="s">
        <v>422</v>
      </c>
      <c r="M3796" s="604">
        <v>13</v>
      </c>
      <c r="N3796" s="604">
        <v>7191</v>
      </c>
      <c r="O3796" s="604">
        <v>1.8</v>
      </c>
      <c r="P3796" s="604" t="s">
        <v>436</v>
      </c>
      <c r="Q3796" s="499"/>
    </row>
    <row r="3797" spans="9:17">
      <c r="I3797" s="578" t="str">
        <f t="shared" si="205"/>
        <v>1998depQuin 3PN</v>
      </c>
      <c r="J3797" s="604">
        <v>1998</v>
      </c>
      <c r="K3797" s="604" t="s">
        <v>454</v>
      </c>
      <c r="L3797" s="604" t="s">
        <v>423</v>
      </c>
      <c r="M3797" s="604">
        <v>20</v>
      </c>
      <c r="N3797" s="604">
        <v>9059</v>
      </c>
      <c r="O3797" s="604">
        <v>2.2000000000000002</v>
      </c>
      <c r="P3797" s="604" t="s">
        <v>436</v>
      </c>
      <c r="Q3797" s="499"/>
    </row>
    <row r="3798" spans="9:17">
      <c r="I3798" s="578" t="str">
        <f t="shared" si="205"/>
        <v>1998depQuin 4PN</v>
      </c>
      <c r="J3798" s="604">
        <v>1998</v>
      </c>
      <c r="K3798" s="604" t="s">
        <v>454</v>
      </c>
      <c r="L3798" s="604" t="s">
        <v>424</v>
      </c>
      <c r="M3798" s="604">
        <v>32</v>
      </c>
      <c r="N3798" s="604">
        <v>11648</v>
      </c>
      <c r="O3798" s="604">
        <v>2.7</v>
      </c>
      <c r="P3798" s="604" t="s">
        <v>436</v>
      </c>
      <c r="Q3798" s="499"/>
    </row>
    <row r="3799" spans="9:17">
      <c r="I3799" s="578" t="str">
        <f t="shared" si="205"/>
        <v>1998depQuin 5PN</v>
      </c>
      <c r="J3799" s="604">
        <v>1998</v>
      </c>
      <c r="K3799" s="604" t="s">
        <v>454</v>
      </c>
      <c r="L3799" s="604" t="s">
        <v>425</v>
      </c>
      <c r="M3799" s="604">
        <v>56</v>
      </c>
      <c r="N3799" s="604">
        <v>15072</v>
      </c>
      <c r="O3799" s="604">
        <v>3.7</v>
      </c>
      <c r="P3799" s="604" t="s">
        <v>436</v>
      </c>
      <c r="Q3799" s="499"/>
    </row>
    <row r="3800" spans="9:17">
      <c r="I3800" s="578" t="str">
        <f t="shared" si="205"/>
        <v>1998depQuin 9PN</v>
      </c>
      <c r="J3800" s="604">
        <v>1998</v>
      </c>
      <c r="K3800" s="604" t="s">
        <v>454</v>
      </c>
      <c r="L3800" s="604" t="s">
        <v>426</v>
      </c>
      <c r="M3800" s="604">
        <v>11</v>
      </c>
      <c r="N3800" s="604">
        <v>8450</v>
      </c>
      <c r="O3800" s="604" t="s">
        <v>119</v>
      </c>
      <c r="P3800" s="604" t="s">
        <v>436</v>
      </c>
      <c r="Q3800" s="499"/>
    </row>
    <row r="3801" spans="9:17">
      <c r="I3801" s="578" t="str">
        <f t="shared" si="205"/>
        <v>1999depQuin 1PN</v>
      </c>
      <c r="J3801" s="604">
        <v>1999</v>
      </c>
      <c r="K3801" s="604" t="s">
        <v>454</v>
      </c>
      <c r="L3801" s="604" t="s">
        <v>421</v>
      </c>
      <c r="M3801" s="604">
        <v>9</v>
      </c>
      <c r="N3801" s="604">
        <v>7250</v>
      </c>
      <c r="O3801" s="604">
        <v>1.2</v>
      </c>
      <c r="P3801" s="604" t="s">
        <v>436</v>
      </c>
      <c r="Q3801" s="499"/>
    </row>
    <row r="3802" spans="9:17">
      <c r="I3802" s="578" t="str">
        <f t="shared" si="205"/>
        <v>1999depQuin 2PN</v>
      </c>
      <c r="J3802" s="604">
        <v>1999</v>
      </c>
      <c r="K3802" s="604" t="s">
        <v>454</v>
      </c>
      <c r="L3802" s="604" t="s">
        <v>422</v>
      </c>
      <c r="M3802" s="604">
        <v>12</v>
      </c>
      <c r="N3802" s="604">
        <v>8066</v>
      </c>
      <c r="O3802" s="604">
        <v>1.5</v>
      </c>
      <c r="P3802" s="604" t="s">
        <v>436</v>
      </c>
      <c r="Q3802" s="499"/>
    </row>
    <row r="3803" spans="9:17">
      <c r="I3803" s="578" t="str">
        <f t="shared" si="205"/>
        <v>1999depQuin 3PN</v>
      </c>
      <c r="J3803" s="604">
        <v>1999</v>
      </c>
      <c r="K3803" s="604" t="s">
        <v>454</v>
      </c>
      <c r="L3803" s="604" t="s">
        <v>423</v>
      </c>
      <c r="M3803" s="604">
        <v>18</v>
      </c>
      <c r="N3803" s="604">
        <v>9708</v>
      </c>
      <c r="O3803" s="604">
        <v>1.9</v>
      </c>
      <c r="P3803" s="604" t="s">
        <v>436</v>
      </c>
      <c r="Q3803" s="499"/>
    </row>
    <row r="3804" spans="9:17">
      <c r="I3804" s="578" t="str">
        <f t="shared" si="205"/>
        <v>1999depQuin 4PN</v>
      </c>
      <c r="J3804" s="604">
        <v>1999</v>
      </c>
      <c r="K3804" s="604" t="s">
        <v>454</v>
      </c>
      <c r="L3804" s="604" t="s">
        <v>424</v>
      </c>
      <c r="M3804" s="604">
        <v>35</v>
      </c>
      <c r="N3804" s="604">
        <v>12198</v>
      </c>
      <c r="O3804" s="604">
        <v>2.9</v>
      </c>
      <c r="P3804" s="604" t="s">
        <v>436</v>
      </c>
      <c r="Q3804" s="499"/>
    </row>
    <row r="3805" spans="9:17">
      <c r="I3805" s="578" t="str">
        <f t="shared" si="205"/>
        <v>1999depQuin 5PN</v>
      </c>
      <c r="J3805" s="604">
        <v>1999</v>
      </c>
      <c r="K3805" s="604" t="s">
        <v>454</v>
      </c>
      <c r="L3805" s="604" t="s">
        <v>425</v>
      </c>
      <c r="M3805" s="604">
        <v>69</v>
      </c>
      <c r="N3805" s="604">
        <v>14745</v>
      </c>
      <c r="O3805" s="604">
        <v>4.7</v>
      </c>
      <c r="P3805" s="604" t="s">
        <v>436</v>
      </c>
      <c r="Q3805" s="499"/>
    </row>
    <row r="3806" spans="9:17">
      <c r="I3806" s="578" t="str">
        <f t="shared" si="205"/>
        <v>1999depQuin 9PN</v>
      </c>
      <c r="J3806" s="604">
        <v>1999</v>
      </c>
      <c r="K3806" s="604" t="s">
        <v>454</v>
      </c>
      <c r="L3806" s="604" t="s">
        <v>426</v>
      </c>
      <c r="M3806" s="604">
        <v>10</v>
      </c>
      <c r="N3806" s="604">
        <v>5454</v>
      </c>
      <c r="O3806" s="604" t="s">
        <v>119</v>
      </c>
      <c r="P3806" s="604" t="s">
        <v>436</v>
      </c>
      <c r="Q3806" s="499"/>
    </row>
    <row r="3807" spans="9:17">
      <c r="I3807" s="578" t="str">
        <f t="shared" si="205"/>
        <v>2000depQuin 1PN</v>
      </c>
      <c r="J3807" s="604">
        <v>2000</v>
      </c>
      <c r="K3807" s="604" t="s">
        <v>454</v>
      </c>
      <c r="L3807" s="604" t="s">
        <v>421</v>
      </c>
      <c r="M3807" s="604">
        <v>7</v>
      </c>
      <c r="N3807" s="604">
        <v>7052</v>
      </c>
      <c r="O3807" s="604">
        <v>1</v>
      </c>
      <c r="P3807" s="604" t="s">
        <v>436</v>
      </c>
      <c r="Q3807" s="499"/>
    </row>
    <row r="3808" spans="9:17">
      <c r="I3808" s="578" t="str">
        <f t="shared" si="205"/>
        <v>2000depQuin 2PN</v>
      </c>
      <c r="J3808" s="604">
        <v>2000</v>
      </c>
      <c r="K3808" s="604" t="s">
        <v>454</v>
      </c>
      <c r="L3808" s="604" t="s">
        <v>422</v>
      </c>
      <c r="M3808" s="604">
        <v>14</v>
      </c>
      <c r="N3808" s="604">
        <v>8032</v>
      </c>
      <c r="O3808" s="604">
        <v>1.7</v>
      </c>
      <c r="P3808" s="604" t="s">
        <v>436</v>
      </c>
      <c r="Q3808" s="499"/>
    </row>
    <row r="3809" spans="9:17">
      <c r="I3809" s="578" t="str">
        <f t="shared" si="205"/>
        <v>2000depQuin 3PN</v>
      </c>
      <c r="J3809" s="604">
        <v>2000</v>
      </c>
      <c r="K3809" s="604" t="s">
        <v>454</v>
      </c>
      <c r="L3809" s="604" t="s">
        <v>423</v>
      </c>
      <c r="M3809" s="604">
        <v>13</v>
      </c>
      <c r="N3809" s="604">
        <v>9828</v>
      </c>
      <c r="O3809" s="604">
        <v>1.3</v>
      </c>
      <c r="P3809" s="604" t="s">
        <v>436</v>
      </c>
      <c r="Q3809" s="499"/>
    </row>
    <row r="3810" spans="9:17">
      <c r="I3810" s="578" t="str">
        <f t="shared" si="205"/>
        <v>2000depQuin 4PN</v>
      </c>
      <c r="J3810" s="604">
        <v>2000</v>
      </c>
      <c r="K3810" s="604" t="s">
        <v>454</v>
      </c>
      <c r="L3810" s="604" t="s">
        <v>424</v>
      </c>
      <c r="M3810" s="604">
        <v>30</v>
      </c>
      <c r="N3810" s="604">
        <v>12434</v>
      </c>
      <c r="O3810" s="604">
        <v>2.4</v>
      </c>
      <c r="P3810" s="604" t="s">
        <v>436</v>
      </c>
      <c r="Q3810" s="499"/>
    </row>
    <row r="3811" spans="9:17">
      <c r="I3811" s="578" t="str">
        <f t="shared" si="205"/>
        <v>2000depQuin 5PN</v>
      </c>
      <c r="J3811" s="604">
        <v>2000</v>
      </c>
      <c r="K3811" s="604" t="s">
        <v>454</v>
      </c>
      <c r="L3811" s="604" t="s">
        <v>425</v>
      </c>
      <c r="M3811" s="604">
        <v>68</v>
      </c>
      <c r="N3811" s="604">
        <v>14106</v>
      </c>
      <c r="O3811" s="604">
        <v>4.8</v>
      </c>
      <c r="P3811" s="604" t="s">
        <v>436</v>
      </c>
      <c r="Q3811" s="499"/>
    </row>
    <row r="3812" spans="9:17">
      <c r="I3812" s="578" t="str">
        <f t="shared" si="205"/>
        <v>2000depQuin 9PN</v>
      </c>
      <c r="J3812" s="604">
        <v>2000</v>
      </c>
      <c r="K3812" s="604" t="s">
        <v>454</v>
      </c>
      <c r="L3812" s="604" t="s">
        <v>426</v>
      </c>
      <c r="M3812" s="604">
        <v>11</v>
      </c>
      <c r="N3812" s="604">
        <v>5542</v>
      </c>
      <c r="O3812" s="604" t="s">
        <v>119</v>
      </c>
      <c r="P3812" s="604" t="s">
        <v>436</v>
      </c>
      <c r="Q3812" s="499"/>
    </row>
    <row r="3813" spans="9:17">
      <c r="I3813" s="578" t="str">
        <f t="shared" si="205"/>
        <v>2001depQuin 1PN</v>
      </c>
      <c r="J3813" s="604">
        <v>2001</v>
      </c>
      <c r="K3813" s="604" t="s">
        <v>454</v>
      </c>
      <c r="L3813" s="604" t="s">
        <v>421</v>
      </c>
      <c r="M3813" s="604">
        <v>9</v>
      </c>
      <c r="N3813" s="604">
        <v>7106</v>
      </c>
      <c r="O3813" s="604">
        <v>1.3</v>
      </c>
      <c r="P3813" s="604" t="s">
        <v>436</v>
      </c>
      <c r="Q3813" s="499"/>
    </row>
    <row r="3814" spans="9:17">
      <c r="I3814" s="578" t="str">
        <f t="shared" si="205"/>
        <v>2001depQuin 2PN</v>
      </c>
      <c r="J3814" s="604">
        <v>2001</v>
      </c>
      <c r="K3814" s="604" t="s">
        <v>454</v>
      </c>
      <c r="L3814" s="604" t="s">
        <v>422</v>
      </c>
      <c r="M3814" s="604">
        <v>14</v>
      </c>
      <c r="N3814" s="604">
        <v>8027</v>
      </c>
      <c r="O3814" s="604">
        <v>1.7</v>
      </c>
      <c r="P3814" s="604" t="s">
        <v>436</v>
      </c>
      <c r="Q3814" s="499"/>
    </row>
    <row r="3815" spans="9:17">
      <c r="I3815" s="578" t="str">
        <f t="shared" si="205"/>
        <v>2001depQuin 3PN</v>
      </c>
      <c r="J3815" s="604">
        <v>2001</v>
      </c>
      <c r="K3815" s="604" t="s">
        <v>454</v>
      </c>
      <c r="L3815" s="604" t="s">
        <v>423</v>
      </c>
      <c r="M3815" s="604">
        <v>24</v>
      </c>
      <c r="N3815" s="604">
        <v>9618</v>
      </c>
      <c r="O3815" s="604">
        <v>2.5</v>
      </c>
      <c r="P3815" s="604" t="s">
        <v>436</v>
      </c>
      <c r="Q3815" s="499"/>
    </row>
    <row r="3816" spans="9:17">
      <c r="I3816" s="578" t="str">
        <f t="shared" si="205"/>
        <v>2001depQuin 4PN</v>
      </c>
      <c r="J3816" s="604">
        <v>2001</v>
      </c>
      <c r="K3816" s="604" t="s">
        <v>454</v>
      </c>
      <c r="L3816" s="604" t="s">
        <v>424</v>
      </c>
      <c r="M3816" s="604">
        <v>22</v>
      </c>
      <c r="N3816" s="604">
        <v>11942</v>
      </c>
      <c r="O3816" s="604">
        <v>1.8</v>
      </c>
      <c r="P3816" s="604" t="s">
        <v>436</v>
      </c>
      <c r="Q3816" s="499"/>
    </row>
    <row r="3817" spans="9:17">
      <c r="I3817" s="578" t="str">
        <f t="shared" si="205"/>
        <v>2001depQuin 5PN</v>
      </c>
      <c r="J3817" s="604">
        <v>2001</v>
      </c>
      <c r="K3817" s="604" t="s">
        <v>454</v>
      </c>
      <c r="L3817" s="604" t="s">
        <v>425</v>
      </c>
      <c r="M3817" s="604">
        <v>59</v>
      </c>
      <c r="N3817" s="604">
        <v>13913</v>
      </c>
      <c r="O3817" s="604">
        <v>4.2</v>
      </c>
      <c r="P3817" s="604" t="s">
        <v>436</v>
      </c>
      <c r="Q3817" s="499"/>
    </row>
    <row r="3818" spans="9:17">
      <c r="I3818" s="578" t="str">
        <f t="shared" si="205"/>
        <v>2001depQuin 9PN</v>
      </c>
      <c r="J3818" s="604">
        <v>2001</v>
      </c>
      <c r="K3818" s="604" t="s">
        <v>454</v>
      </c>
      <c r="L3818" s="604" t="s">
        <v>426</v>
      </c>
      <c r="M3818" s="604">
        <v>17</v>
      </c>
      <c r="N3818" s="604">
        <v>5618</v>
      </c>
      <c r="O3818" s="604" t="s">
        <v>119</v>
      </c>
      <c r="P3818" s="604" t="s">
        <v>436</v>
      </c>
      <c r="Q3818" s="499"/>
    </row>
    <row r="3819" spans="9:17">
      <c r="I3819" s="578" t="str">
        <f t="shared" si="205"/>
        <v>2002depQuin 1PN</v>
      </c>
      <c r="J3819" s="604">
        <v>2002</v>
      </c>
      <c r="K3819" s="604" t="s">
        <v>454</v>
      </c>
      <c r="L3819" s="604" t="s">
        <v>421</v>
      </c>
      <c r="M3819" s="604">
        <v>7</v>
      </c>
      <c r="N3819" s="604">
        <v>7804</v>
      </c>
      <c r="O3819" s="604">
        <v>0.9</v>
      </c>
      <c r="P3819" s="604" t="s">
        <v>436</v>
      </c>
      <c r="Q3819" s="499"/>
    </row>
    <row r="3820" spans="9:17">
      <c r="I3820" s="578" t="str">
        <f t="shared" si="205"/>
        <v>2002depQuin 2PN</v>
      </c>
      <c r="J3820" s="604">
        <v>2002</v>
      </c>
      <c r="K3820" s="604" t="s">
        <v>454</v>
      </c>
      <c r="L3820" s="604" t="s">
        <v>422</v>
      </c>
      <c r="M3820" s="604">
        <v>14</v>
      </c>
      <c r="N3820" s="604">
        <v>8158</v>
      </c>
      <c r="O3820" s="604">
        <v>1.7</v>
      </c>
      <c r="P3820" s="604" t="s">
        <v>436</v>
      </c>
      <c r="Q3820" s="499"/>
    </row>
    <row r="3821" spans="9:17">
      <c r="I3821" s="578" t="str">
        <f t="shared" si="205"/>
        <v>2002depQuin 3PN</v>
      </c>
      <c r="J3821" s="604">
        <v>2002</v>
      </c>
      <c r="K3821" s="604" t="s">
        <v>454</v>
      </c>
      <c r="L3821" s="604" t="s">
        <v>423</v>
      </c>
      <c r="M3821" s="604">
        <v>12</v>
      </c>
      <c r="N3821" s="604">
        <v>9762</v>
      </c>
      <c r="O3821" s="604">
        <v>1.2</v>
      </c>
      <c r="P3821" s="604" t="s">
        <v>436</v>
      </c>
      <c r="Q3821" s="499"/>
    </row>
    <row r="3822" spans="9:17">
      <c r="I3822" s="578" t="str">
        <f t="shared" si="205"/>
        <v>2002depQuin 4PN</v>
      </c>
      <c r="J3822" s="604">
        <v>2002</v>
      </c>
      <c r="K3822" s="604" t="s">
        <v>454</v>
      </c>
      <c r="L3822" s="604" t="s">
        <v>424</v>
      </c>
      <c r="M3822" s="604">
        <v>24</v>
      </c>
      <c r="N3822" s="604">
        <v>11700</v>
      </c>
      <c r="O3822" s="604">
        <v>2.1</v>
      </c>
      <c r="P3822" s="604" t="s">
        <v>436</v>
      </c>
      <c r="Q3822" s="499"/>
    </row>
    <row r="3823" spans="9:17">
      <c r="I3823" s="578" t="str">
        <f t="shared" si="205"/>
        <v>2002depQuin 5PN</v>
      </c>
      <c r="J3823" s="604">
        <v>2002</v>
      </c>
      <c r="K3823" s="604" t="s">
        <v>454</v>
      </c>
      <c r="L3823" s="604" t="s">
        <v>425</v>
      </c>
      <c r="M3823" s="604">
        <v>48</v>
      </c>
      <c r="N3823" s="604">
        <v>13542</v>
      </c>
      <c r="O3823" s="604">
        <v>3.5</v>
      </c>
      <c r="P3823" s="604" t="s">
        <v>436</v>
      </c>
      <c r="Q3823" s="499"/>
    </row>
    <row r="3824" spans="9:17">
      <c r="I3824" s="578" t="str">
        <f t="shared" si="205"/>
        <v>2002depQuin 9PN</v>
      </c>
      <c r="J3824" s="604">
        <v>2002</v>
      </c>
      <c r="K3824" s="604" t="s">
        <v>454</v>
      </c>
      <c r="L3824" s="604" t="s">
        <v>426</v>
      </c>
      <c r="M3824" s="604">
        <v>11</v>
      </c>
      <c r="N3824" s="604">
        <v>3549</v>
      </c>
      <c r="O3824" s="604" t="s">
        <v>119</v>
      </c>
      <c r="P3824" s="604" t="s">
        <v>436</v>
      </c>
      <c r="Q3824" s="499"/>
    </row>
    <row r="3825" spans="9:17">
      <c r="I3825" s="578" t="str">
        <f t="shared" si="205"/>
        <v>2003depQuin 1PN</v>
      </c>
      <c r="J3825" s="604">
        <v>2003</v>
      </c>
      <c r="K3825" s="604" t="s">
        <v>454</v>
      </c>
      <c r="L3825" s="604" t="s">
        <v>421</v>
      </c>
      <c r="M3825" s="604">
        <v>9</v>
      </c>
      <c r="N3825" s="604">
        <v>7940</v>
      </c>
      <c r="O3825" s="604">
        <v>1.1000000000000001</v>
      </c>
      <c r="P3825" s="604" t="s">
        <v>436</v>
      </c>
      <c r="Q3825" s="499"/>
    </row>
    <row r="3826" spans="9:17">
      <c r="I3826" s="578" t="str">
        <f t="shared" si="205"/>
        <v>2003depQuin 2PN</v>
      </c>
      <c r="J3826" s="604">
        <v>2003</v>
      </c>
      <c r="K3826" s="604" t="s">
        <v>454</v>
      </c>
      <c r="L3826" s="604" t="s">
        <v>422</v>
      </c>
      <c r="M3826" s="604">
        <v>12</v>
      </c>
      <c r="N3826" s="604">
        <v>8596</v>
      </c>
      <c r="O3826" s="604">
        <v>1.4</v>
      </c>
      <c r="P3826" s="604" t="s">
        <v>436</v>
      </c>
      <c r="Q3826" s="499"/>
    </row>
    <row r="3827" spans="9:17">
      <c r="I3827" s="578" t="str">
        <f t="shared" si="205"/>
        <v>2003depQuin 3PN</v>
      </c>
      <c r="J3827" s="604">
        <v>2003</v>
      </c>
      <c r="K3827" s="604" t="s">
        <v>454</v>
      </c>
      <c r="L3827" s="604" t="s">
        <v>423</v>
      </c>
      <c r="M3827" s="604">
        <v>17</v>
      </c>
      <c r="N3827" s="604">
        <v>10109</v>
      </c>
      <c r="O3827" s="604">
        <v>1.7</v>
      </c>
      <c r="P3827" s="604" t="s">
        <v>436</v>
      </c>
      <c r="Q3827" s="499"/>
    </row>
    <row r="3828" spans="9:17">
      <c r="I3828" s="578" t="str">
        <f t="shared" si="205"/>
        <v>2003depQuin 4PN</v>
      </c>
      <c r="J3828" s="604">
        <v>2003</v>
      </c>
      <c r="K3828" s="604" t="s">
        <v>454</v>
      </c>
      <c r="L3828" s="604" t="s">
        <v>424</v>
      </c>
      <c r="M3828" s="604">
        <v>27</v>
      </c>
      <c r="N3828" s="604">
        <v>12037</v>
      </c>
      <c r="O3828" s="604">
        <v>2.2000000000000002</v>
      </c>
      <c r="P3828" s="604" t="s">
        <v>436</v>
      </c>
      <c r="Q3828" s="499"/>
    </row>
    <row r="3829" spans="9:17">
      <c r="I3829" s="578" t="str">
        <f t="shared" si="205"/>
        <v>2003depQuin 5PN</v>
      </c>
      <c r="J3829" s="604">
        <v>2003</v>
      </c>
      <c r="K3829" s="604" t="s">
        <v>454</v>
      </c>
      <c r="L3829" s="604" t="s">
        <v>425</v>
      </c>
      <c r="M3829" s="604">
        <v>45</v>
      </c>
      <c r="N3829" s="604">
        <v>14244</v>
      </c>
      <c r="O3829" s="604">
        <v>3.2</v>
      </c>
      <c r="P3829" s="604" t="s">
        <v>436</v>
      </c>
      <c r="Q3829" s="499"/>
    </row>
    <row r="3830" spans="9:17">
      <c r="I3830" s="578" t="str">
        <f t="shared" si="205"/>
        <v>2003depQuin 9PN</v>
      </c>
      <c r="J3830" s="604">
        <v>2003</v>
      </c>
      <c r="K3830" s="604" t="s">
        <v>454</v>
      </c>
      <c r="L3830" s="604" t="s">
        <v>426</v>
      </c>
      <c r="M3830" s="604">
        <v>10</v>
      </c>
      <c r="N3830" s="604">
        <v>3650</v>
      </c>
      <c r="O3830" s="604" t="s">
        <v>119</v>
      </c>
      <c r="P3830" s="604" t="s">
        <v>436</v>
      </c>
      <c r="Q3830" s="499"/>
    </row>
    <row r="3831" spans="9:17">
      <c r="I3831" s="578" t="str">
        <f t="shared" si="205"/>
        <v>2004depQuin 1PN</v>
      </c>
      <c r="J3831" s="604">
        <v>2004</v>
      </c>
      <c r="K3831" s="604" t="s">
        <v>454</v>
      </c>
      <c r="L3831" s="604" t="s">
        <v>421</v>
      </c>
      <c r="M3831" s="604">
        <v>3</v>
      </c>
      <c r="N3831" s="604">
        <v>8248</v>
      </c>
      <c r="O3831" s="604">
        <v>0.4</v>
      </c>
      <c r="P3831" s="604" t="s">
        <v>436</v>
      </c>
      <c r="Q3831" s="499"/>
    </row>
    <row r="3832" spans="9:17">
      <c r="I3832" s="578" t="str">
        <f t="shared" si="205"/>
        <v>2004depQuin 2PN</v>
      </c>
      <c r="J3832" s="604">
        <v>2004</v>
      </c>
      <c r="K3832" s="604" t="s">
        <v>454</v>
      </c>
      <c r="L3832" s="604" t="s">
        <v>422</v>
      </c>
      <c r="M3832" s="604">
        <v>16</v>
      </c>
      <c r="N3832" s="604">
        <v>8758</v>
      </c>
      <c r="O3832" s="604">
        <v>1.8</v>
      </c>
      <c r="P3832" s="604" t="s">
        <v>436</v>
      </c>
      <c r="Q3832" s="499"/>
    </row>
    <row r="3833" spans="9:17">
      <c r="I3833" s="578" t="str">
        <f t="shared" si="205"/>
        <v>2004depQuin 3PN</v>
      </c>
      <c r="J3833" s="604">
        <v>2004</v>
      </c>
      <c r="K3833" s="604" t="s">
        <v>454</v>
      </c>
      <c r="L3833" s="604" t="s">
        <v>423</v>
      </c>
      <c r="M3833" s="604">
        <v>17</v>
      </c>
      <c r="N3833" s="604">
        <v>10519</v>
      </c>
      <c r="O3833" s="604">
        <v>1.6</v>
      </c>
      <c r="P3833" s="604" t="s">
        <v>436</v>
      </c>
      <c r="Q3833" s="499"/>
    </row>
    <row r="3834" spans="9:17">
      <c r="I3834" s="578" t="str">
        <f t="shared" si="205"/>
        <v>2004depQuin 4PN</v>
      </c>
      <c r="J3834" s="604">
        <v>2004</v>
      </c>
      <c r="K3834" s="604" t="s">
        <v>454</v>
      </c>
      <c r="L3834" s="604" t="s">
        <v>424</v>
      </c>
      <c r="M3834" s="604">
        <v>36</v>
      </c>
      <c r="N3834" s="604">
        <v>12617</v>
      </c>
      <c r="O3834" s="604">
        <v>2.9</v>
      </c>
      <c r="P3834" s="604" t="s">
        <v>436</v>
      </c>
      <c r="Q3834" s="499"/>
    </row>
    <row r="3835" spans="9:17">
      <c r="I3835" s="578" t="str">
        <f t="shared" si="205"/>
        <v>2004depQuin 5PN</v>
      </c>
      <c r="J3835" s="604">
        <v>2004</v>
      </c>
      <c r="K3835" s="604" t="s">
        <v>454</v>
      </c>
      <c r="L3835" s="604" t="s">
        <v>425</v>
      </c>
      <c r="M3835" s="604">
        <v>69</v>
      </c>
      <c r="N3835" s="604">
        <v>14784</v>
      </c>
      <c r="O3835" s="604">
        <v>4.7</v>
      </c>
      <c r="P3835" s="604" t="s">
        <v>436</v>
      </c>
      <c r="Q3835" s="499"/>
    </row>
    <row r="3836" spans="9:17">
      <c r="I3836" s="578" t="str">
        <f t="shared" si="205"/>
        <v>2004depQuin 9PN</v>
      </c>
      <c r="J3836" s="604">
        <v>2004</v>
      </c>
      <c r="K3836" s="604" t="s">
        <v>454</v>
      </c>
      <c r="L3836" s="604" t="s">
        <v>426</v>
      </c>
      <c r="M3836" s="604">
        <v>8</v>
      </c>
      <c r="N3836" s="604">
        <v>3797</v>
      </c>
      <c r="O3836" s="604" t="s">
        <v>119</v>
      </c>
      <c r="P3836" s="604" t="s">
        <v>436</v>
      </c>
      <c r="Q3836" s="499"/>
    </row>
    <row r="3837" spans="9:17">
      <c r="I3837" s="578" t="str">
        <f t="shared" si="205"/>
        <v>2005depQuin 1PN</v>
      </c>
      <c r="J3837" s="604">
        <v>2005</v>
      </c>
      <c r="K3837" s="604" t="s">
        <v>454</v>
      </c>
      <c r="L3837" s="604" t="s">
        <v>421</v>
      </c>
      <c r="M3837" s="604">
        <v>9</v>
      </c>
      <c r="N3837" s="604">
        <v>8469</v>
      </c>
      <c r="O3837" s="604">
        <v>1.1000000000000001</v>
      </c>
      <c r="P3837" s="604" t="s">
        <v>436</v>
      </c>
      <c r="Q3837" s="499"/>
    </row>
    <row r="3838" spans="9:17">
      <c r="I3838" s="578" t="str">
        <f t="shared" si="205"/>
        <v>2005depQuin 2PN</v>
      </c>
      <c r="J3838" s="604">
        <v>2005</v>
      </c>
      <c r="K3838" s="604" t="s">
        <v>454</v>
      </c>
      <c r="L3838" s="604" t="s">
        <v>422</v>
      </c>
      <c r="M3838" s="604">
        <v>12</v>
      </c>
      <c r="N3838" s="604">
        <v>8862</v>
      </c>
      <c r="O3838" s="604">
        <v>1.4</v>
      </c>
      <c r="P3838" s="604" t="s">
        <v>436</v>
      </c>
      <c r="Q3838" s="499"/>
    </row>
    <row r="3839" spans="9:17">
      <c r="I3839" s="578" t="str">
        <f t="shared" si="205"/>
        <v>2005depQuin 3PN</v>
      </c>
      <c r="J3839" s="604">
        <v>2005</v>
      </c>
      <c r="K3839" s="604" t="s">
        <v>454</v>
      </c>
      <c r="L3839" s="604" t="s">
        <v>423</v>
      </c>
      <c r="M3839" s="604">
        <v>16</v>
      </c>
      <c r="N3839" s="604">
        <v>10417</v>
      </c>
      <c r="O3839" s="604">
        <v>1.5</v>
      </c>
      <c r="P3839" s="604" t="s">
        <v>436</v>
      </c>
      <c r="Q3839" s="499"/>
    </row>
    <row r="3840" spans="9:17">
      <c r="I3840" s="578" t="str">
        <f t="shared" si="205"/>
        <v>2005depQuin 4PN</v>
      </c>
      <c r="J3840" s="604">
        <v>2005</v>
      </c>
      <c r="K3840" s="604" t="s">
        <v>454</v>
      </c>
      <c r="L3840" s="604" t="s">
        <v>424</v>
      </c>
      <c r="M3840" s="604">
        <v>20</v>
      </c>
      <c r="N3840" s="604">
        <v>12478</v>
      </c>
      <c r="O3840" s="604">
        <v>1.6</v>
      </c>
      <c r="P3840" s="604" t="s">
        <v>436</v>
      </c>
      <c r="Q3840" s="499"/>
    </row>
    <row r="3841" spans="9:17">
      <c r="I3841" s="578" t="str">
        <f t="shared" si="205"/>
        <v>2005depQuin 5PN</v>
      </c>
      <c r="J3841" s="604">
        <v>2005</v>
      </c>
      <c r="K3841" s="604" t="s">
        <v>454</v>
      </c>
      <c r="L3841" s="604" t="s">
        <v>425</v>
      </c>
      <c r="M3841" s="604">
        <v>48</v>
      </c>
      <c r="N3841" s="604">
        <v>14813</v>
      </c>
      <c r="O3841" s="604">
        <v>3.2</v>
      </c>
      <c r="P3841" s="604" t="s">
        <v>436</v>
      </c>
      <c r="Q3841" s="499"/>
    </row>
    <row r="3842" spans="9:17">
      <c r="I3842" s="578" t="str">
        <f t="shared" si="205"/>
        <v>2005depQuin 9PN</v>
      </c>
      <c r="J3842" s="604">
        <v>2005</v>
      </c>
      <c r="K3842" s="604" t="s">
        <v>454</v>
      </c>
      <c r="L3842" s="604" t="s">
        <v>426</v>
      </c>
      <c r="M3842" s="604">
        <v>6</v>
      </c>
      <c r="N3842" s="604">
        <v>3688</v>
      </c>
      <c r="O3842" s="604" t="s">
        <v>119</v>
      </c>
      <c r="P3842" s="604" t="s">
        <v>436</v>
      </c>
      <c r="Q3842" s="499"/>
    </row>
    <row r="3843" spans="9:17">
      <c r="I3843" s="578" t="str">
        <f t="shared" si="205"/>
        <v>2006depQuin 1PN</v>
      </c>
      <c r="J3843" s="604">
        <v>2006</v>
      </c>
      <c r="K3843" s="604" t="s">
        <v>454</v>
      </c>
      <c r="L3843" s="604" t="s">
        <v>421</v>
      </c>
      <c r="M3843" s="604">
        <v>11</v>
      </c>
      <c r="N3843" s="604">
        <v>8545</v>
      </c>
      <c r="O3843" s="604">
        <v>1.3</v>
      </c>
      <c r="P3843" s="604" t="s">
        <v>436</v>
      </c>
      <c r="Q3843" s="499"/>
    </row>
    <row r="3844" spans="9:17">
      <c r="I3844" s="578" t="str">
        <f t="shared" ref="I3844:I3907" si="206">J3844&amp;K3844&amp;L3844&amp;P3844</f>
        <v>2006depQuin 2PN</v>
      </c>
      <c r="J3844" s="604">
        <v>2006</v>
      </c>
      <c r="K3844" s="604" t="s">
        <v>454</v>
      </c>
      <c r="L3844" s="604" t="s">
        <v>422</v>
      </c>
      <c r="M3844" s="604">
        <v>11</v>
      </c>
      <c r="N3844" s="604">
        <v>8970</v>
      </c>
      <c r="O3844" s="604">
        <v>1.2</v>
      </c>
      <c r="P3844" s="604" t="s">
        <v>436</v>
      </c>
      <c r="Q3844" s="499"/>
    </row>
    <row r="3845" spans="9:17">
      <c r="I3845" s="578" t="str">
        <f t="shared" si="206"/>
        <v>2006depQuin 3PN</v>
      </c>
      <c r="J3845" s="604">
        <v>2006</v>
      </c>
      <c r="K3845" s="604" t="s">
        <v>454</v>
      </c>
      <c r="L3845" s="604" t="s">
        <v>423</v>
      </c>
      <c r="M3845" s="604">
        <v>19</v>
      </c>
      <c r="N3845" s="604">
        <v>10890</v>
      </c>
      <c r="O3845" s="604">
        <v>1.7</v>
      </c>
      <c r="P3845" s="604" t="s">
        <v>436</v>
      </c>
      <c r="Q3845" s="499"/>
    </row>
    <row r="3846" spans="9:17">
      <c r="I3846" s="578" t="str">
        <f t="shared" si="206"/>
        <v>2006depQuin 4PN</v>
      </c>
      <c r="J3846" s="604">
        <v>2006</v>
      </c>
      <c r="K3846" s="604" t="s">
        <v>454</v>
      </c>
      <c r="L3846" s="604" t="s">
        <v>424</v>
      </c>
      <c r="M3846" s="604">
        <v>21</v>
      </c>
      <c r="N3846" s="604">
        <v>12831</v>
      </c>
      <c r="O3846" s="604">
        <v>1.6</v>
      </c>
      <c r="P3846" s="604" t="s">
        <v>436</v>
      </c>
      <c r="Q3846" s="499"/>
    </row>
    <row r="3847" spans="9:17">
      <c r="I3847" s="578" t="str">
        <f t="shared" si="206"/>
        <v>2006depQuin 5PN</v>
      </c>
      <c r="J3847" s="604">
        <v>2006</v>
      </c>
      <c r="K3847" s="604" t="s">
        <v>454</v>
      </c>
      <c r="L3847" s="604" t="s">
        <v>425</v>
      </c>
      <c r="M3847" s="604">
        <v>71</v>
      </c>
      <c r="N3847" s="604">
        <v>15033</v>
      </c>
      <c r="O3847" s="604">
        <v>4.7</v>
      </c>
      <c r="P3847" s="604" t="s">
        <v>436</v>
      </c>
      <c r="Q3847" s="499"/>
    </row>
    <row r="3848" spans="9:17">
      <c r="I3848" s="578" t="str">
        <f t="shared" si="206"/>
        <v>2006depQuin 9PN</v>
      </c>
      <c r="J3848" s="604">
        <v>2006</v>
      </c>
      <c r="K3848" s="604" t="s">
        <v>454</v>
      </c>
      <c r="L3848" s="604" t="s">
        <v>426</v>
      </c>
      <c r="M3848" s="604">
        <v>10</v>
      </c>
      <c r="N3848" s="604">
        <v>4005</v>
      </c>
      <c r="O3848" s="604" t="s">
        <v>119</v>
      </c>
      <c r="P3848" s="604" t="s">
        <v>436</v>
      </c>
      <c r="Q3848" s="499"/>
    </row>
    <row r="3849" spans="9:17">
      <c r="I3849" s="578" t="str">
        <f t="shared" si="206"/>
        <v>2007depQuin 1PN</v>
      </c>
      <c r="J3849" s="604">
        <v>2007</v>
      </c>
      <c r="K3849" s="604" t="s">
        <v>454</v>
      </c>
      <c r="L3849" s="604" t="s">
        <v>421</v>
      </c>
      <c r="M3849" s="604">
        <v>9</v>
      </c>
      <c r="N3849" s="604">
        <v>9191</v>
      </c>
      <c r="O3849" s="604">
        <v>1</v>
      </c>
      <c r="P3849" s="604" t="s">
        <v>436</v>
      </c>
      <c r="Q3849" s="499"/>
    </row>
    <row r="3850" spans="9:17">
      <c r="I3850" s="578" t="str">
        <f t="shared" si="206"/>
        <v>2007depQuin 2PN</v>
      </c>
      <c r="J3850" s="604">
        <v>2007</v>
      </c>
      <c r="K3850" s="604" t="s">
        <v>454</v>
      </c>
      <c r="L3850" s="604" t="s">
        <v>422</v>
      </c>
      <c r="M3850" s="604">
        <v>12</v>
      </c>
      <c r="N3850" s="604">
        <v>9712</v>
      </c>
      <c r="O3850" s="604">
        <v>1.2</v>
      </c>
      <c r="P3850" s="604" t="s">
        <v>436</v>
      </c>
      <c r="Q3850" s="499"/>
    </row>
    <row r="3851" spans="9:17">
      <c r="I3851" s="578" t="str">
        <f t="shared" si="206"/>
        <v>2007depQuin 3PN</v>
      </c>
      <c r="J3851" s="604">
        <v>2007</v>
      </c>
      <c r="K3851" s="604" t="s">
        <v>454</v>
      </c>
      <c r="L3851" s="604" t="s">
        <v>423</v>
      </c>
      <c r="M3851" s="604">
        <v>23</v>
      </c>
      <c r="N3851" s="604">
        <v>11599</v>
      </c>
      <c r="O3851" s="604">
        <v>2</v>
      </c>
      <c r="P3851" s="604" t="s">
        <v>436</v>
      </c>
      <c r="Q3851" s="499"/>
    </row>
    <row r="3852" spans="9:17">
      <c r="I3852" s="578" t="str">
        <f t="shared" si="206"/>
        <v>2007depQuin 4PN</v>
      </c>
      <c r="J3852" s="604">
        <v>2007</v>
      </c>
      <c r="K3852" s="604" t="s">
        <v>454</v>
      </c>
      <c r="L3852" s="604" t="s">
        <v>424</v>
      </c>
      <c r="M3852" s="604">
        <v>26</v>
      </c>
      <c r="N3852" s="604">
        <v>14079</v>
      </c>
      <c r="O3852" s="604">
        <v>1.8</v>
      </c>
      <c r="P3852" s="604" t="s">
        <v>436</v>
      </c>
      <c r="Q3852" s="499"/>
    </row>
    <row r="3853" spans="9:17">
      <c r="I3853" s="578" t="str">
        <f t="shared" si="206"/>
        <v>2007depQuin 5PN</v>
      </c>
      <c r="J3853" s="604">
        <v>2007</v>
      </c>
      <c r="K3853" s="604" t="s">
        <v>454</v>
      </c>
      <c r="L3853" s="604" t="s">
        <v>425</v>
      </c>
      <c r="M3853" s="604">
        <v>66</v>
      </c>
      <c r="N3853" s="604">
        <v>16131</v>
      </c>
      <c r="O3853" s="604">
        <v>4.0999999999999996</v>
      </c>
      <c r="P3853" s="604" t="s">
        <v>436</v>
      </c>
      <c r="Q3853" s="499"/>
    </row>
    <row r="3854" spans="9:17">
      <c r="I3854" s="578" t="str">
        <f t="shared" si="206"/>
        <v>2007depQuin 9PN</v>
      </c>
      <c r="J3854" s="604">
        <v>2007</v>
      </c>
      <c r="K3854" s="604" t="s">
        <v>454</v>
      </c>
      <c r="L3854" s="604" t="s">
        <v>426</v>
      </c>
      <c r="M3854" s="604">
        <v>10</v>
      </c>
      <c r="N3854" s="604">
        <v>4409</v>
      </c>
      <c r="O3854" s="604" t="s">
        <v>119</v>
      </c>
      <c r="P3854" s="604" t="s">
        <v>436</v>
      </c>
      <c r="Q3854" s="499"/>
    </row>
    <row r="3855" spans="9:17">
      <c r="I3855" s="578" t="str">
        <f t="shared" si="206"/>
        <v>2008depQuin 1PN</v>
      </c>
      <c r="J3855" s="604">
        <v>2008</v>
      </c>
      <c r="K3855" s="604" t="s">
        <v>454</v>
      </c>
      <c r="L3855" s="604" t="s">
        <v>421</v>
      </c>
      <c r="M3855" s="604">
        <v>9</v>
      </c>
      <c r="N3855" s="604">
        <v>9619</v>
      </c>
      <c r="O3855" s="604">
        <v>0.9</v>
      </c>
      <c r="P3855" s="604" t="s">
        <v>436</v>
      </c>
      <c r="Q3855" s="499"/>
    </row>
    <row r="3856" spans="9:17">
      <c r="I3856" s="578" t="str">
        <f t="shared" si="206"/>
        <v>2008depQuin 2PN</v>
      </c>
      <c r="J3856" s="604">
        <v>2008</v>
      </c>
      <c r="K3856" s="604" t="s">
        <v>454</v>
      </c>
      <c r="L3856" s="604" t="s">
        <v>422</v>
      </c>
      <c r="M3856" s="604">
        <v>14</v>
      </c>
      <c r="N3856" s="604">
        <v>10484</v>
      </c>
      <c r="O3856" s="604">
        <v>1.3</v>
      </c>
      <c r="P3856" s="604" t="s">
        <v>436</v>
      </c>
      <c r="Q3856" s="499"/>
    </row>
    <row r="3857" spans="9:17">
      <c r="I3857" s="578" t="str">
        <f t="shared" si="206"/>
        <v>2008depQuin 3PN</v>
      </c>
      <c r="J3857" s="604">
        <v>2008</v>
      </c>
      <c r="K3857" s="604" t="s">
        <v>454</v>
      </c>
      <c r="L3857" s="604" t="s">
        <v>423</v>
      </c>
      <c r="M3857" s="604">
        <v>16</v>
      </c>
      <c r="N3857" s="604">
        <v>12163</v>
      </c>
      <c r="O3857" s="604">
        <v>1.3</v>
      </c>
      <c r="P3857" s="604" t="s">
        <v>436</v>
      </c>
      <c r="Q3857" s="499"/>
    </row>
    <row r="3858" spans="9:17">
      <c r="I3858" s="578" t="str">
        <f t="shared" si="206"/>
        <v>2008depQuin 4PN</v>
      </c>
      <c r="J3858" s="604">
        <v>2008</v>
      </c>
      <c r="K3858" s="604" t="s">
        <v>454</v>
      </c>
      <c r="L3858" s="604" t="s">
        <v>424</v>
      </c>
      <c r="M3858" s="604">
        <v>29</v>
      </c>
      <c r="N3858" s="604">
        <v>14806</v>
      </c>
      <c r="O3858" s="604">
        <v>2</v>
      </c>
      <c r="P3858" s="604" t="s">
        <v>436</v>
      </c>
      <c r="Q3858" s="499"/>
    </row>
    <row r="3859" spans="9:17">
      <c r="I3859" s="578" t="str">
        <f t="shared" si="206"/>
        <v>2008depQuin 5PN</v>
      </c>
      <c r="J3859" s="604">
        <v>2008</v>
      </c>
      <c r="K3859" s="604" t="s">
        <v>454</v>
      </c>
      <c r="L3859" s="604" t="s">
        <v>425</v>
      </c>
      <c r="M3859" s="604">
        <v>54</v>
      </c>
      <c r="N3859" s="604">
        <v>17965</v>
      </c>
      <c r="O3859" s="604">
        <v>3</v>
      </c>
      <c r="P3859" s="604" t="s">
        <v>436</v>
      </c>
      <c r="Q3859" s="499"/>
    </row>
    <row r="3860" spans="9:17">
      <c r="I3860" s="578" t="str">
        <f t="shared" si="206"/>
        <v>2008depQuin 9PN</v>
      </c>
      <c r="J3860" s="604">
        <v>2008</v>
      </c>
      <c r="K3860" s="604" t="s">
        <v>454</v>
      </c>
      <c r="L3860" s="604" t="s">
        <v>426</v>
      </c>
      <c r="M3860" s="604">
        <v>14</v>
      </c>
      <c r="N3860" s="604">
        <v>296</v>
      </c>
      <c r="O3860" s="604" t="s">
        <v>119</v>
      </c>
      <c r="P3860" s="604" t="s">
        <v>436</v>
      </c>
      <c r="Q3860" s="499"/>
    </row>
    <row r="3861" spans="9:17">
      <c r="I3861" s="578" t="str">
        <f t="shared" si="206"/>
        <v>2009depQuin 1PN</v>
      </c>
      <c r="J3861" s="604">
        <v>2009</v>
      </c>
      <c r="K3861" s="604" t="s">
        <v>454</v>
      </c>
      <c r="L3861" s="604" t="s">
        <v>421</v>
      </c>
      <c r="M3861" s="604">
        <v>16</v>
      </c>
      <c r="N3861" s="604">
        <v>9377</v>
      </c>
      <c r="O3861" s="604">
        <v>1.7</v>
      </c>
      <c r="P3861" s="604" t="s">
        <v>436</v>
      </c>
      <c r="Q3861" s="499"/>
    </row>
    <row r="3862" spans="9:17">
      <c r="I3862" s="578" t="str">
        <f t="shared" si="206"/>
        <v>2009depQuin 2PN</v>
      </c>
      <c r="J3862" s="604">
        <v>2009</v>
      </c>
      <c r="K3862" s="604" t="s">
        <v>454</v>
      </c>
      <c r="L3862" s="604" t="s">
        <v>422</v>
      </c>
      <c r="M3862" s="604">
        <v>9</v>
      </c>
      <c r="N3862" s="604">
        <v>10051</v>
      </c>
      <c r="O3862" s="604">
        <v>0.9</v>
      </c>
      <c r="P3862" s="604" t="s">
        <v>436</v>
      </c>
      <c r="Q3862" s="499"/>
    </row>
    <row r="3863" spans="9:17">
      <c r="I3863" s="578" t="str">
        <f t="shared" si="206"/>
        <v>2009depQuin 3PN</v>
      </c>
      <c r="J3863" s="604">
        <v>2009</v>
      </c>
      <c r="K3863" s="604" t="s">
        <v>454</v>
      </c>
      <c r="L3863" s="604" t="s">
        <v>423</v>
      </c>
      <c r="M3863" s="604">
        <v>16</v>
      </c>
      <c r="N3863" s="604">
        <v>11836</v>
      </c>
      <c r="O3863" s="604">
        <v>1.4</v>
      </c>
      <c r="P3863" s="604" t="s">
        <v>436</v>
      </c>
      <c r="Q3863" s="499"/>
    </row>
    <row r="3864" spans="9:17">
      <c r="I3864" s="578" t="str">
        <f t="shared" si="206"/>
        <v>2009depQuin 4PN</v>
      </c>
      <c r="J3864" s="604">
        <v>2009</v>
      </c>
      <c r="K3864" s="604" t="s">
        <v>454</v>
      </c>
      <c r="L3864" s="604" t="s">
        <v>424</v>
      </c>
      <c r="M3864" s="604">
        <v>26</v>
      </c>
      <c r="N3864" s="604">
        <v>14590</v>
      </c>
      <c r="O3864" s="604">
        <v>1.8</v>
      </c>
      <c r="P3864" s="604" t="s">
        <v>436</v>
      </c>
      <c r="Q3864" s="499"/>
    </row>
    <row r="3865" spans="9:17">
      <c r="I3865" s="578" t="str">
        <f t="shared" si="206"/>
        <v>2009depQuin 5PN</v>
      </c>
      <c r="J3865" s="604">
        <v>2009</v>
      </c>
      <c r="K3865" s="604" t="s">
        <v>454</v>
      </c>
      <c r="L3865" s="604" t="s">
        <v>425</v>
      </c>
      <c r="M3865" s="604">
        <v>65</v>
      </c>
      <c r="N3865" s="604">
        <v>17157</v>
      </c>
      <c r="O3865" s="604">
        <v>3.8</v>
      </c>
      <c r="P3865" s="604" t="s">
        <v>436</v>
      </c>
      <c r="Q3865" s="499"/>
    </row>
    <row r="3866" spans="9:17">
      <c r="I3866" s="578" t="str">
        <f t="shared" si="206"/>
        <v>2009depQuin 9PN</v>
      </c>
      <c r="J3866" s="604">
        <v>2009</v>
      </c>
      <c r="K3866" s="604" t="s">
        <v>454</v>
      </c>
      <c r="L3866" s="604" t="s">
        <v>426</v>
      </c>
      <c r="M3866" s="604">
        <v>3</v>
      </c>
      <c r="N3866" s="604">
        <v>274</v>
      </c>
      <c r="O3866" s="604" t="s">
        <v>119</v>
      </c>
      <c r="P3866" s="604" t="s">
        <v>436</v>
      </c>
      <c r="Q3866" s="499"/>
    </row>
    <row r="3867" spans="9:17">
      <c r="I3867" s="578" t="str">
        <f t="shared" si="206"/>
        <v>2010depQuin 1PN</v>
      </c>
      <c r="J3867" s="604">
        <v>2010</v>
      </c>
      <c r="K3867" s="604" t="s">
        <v>454</v>
      </c>
      <c r="L3867" s="604" t="s">
        <v>421</v>
      </c>
      <c r="M3867" s="604">
        <v>10</v>
      </c>
      <c r="N3867" s="604">
        <v>8682</v>
      </c>
      <c r="O3867" s="604">
        <v>1.2</v>
      </c>
      <c r="P3867" s="604" t="s">
        <v>436</v>
      </c>
      <c r="Q3867" s="499"/>
    </row>
    <row r="3868" spans="9:17">
      <c r="I3868" s="578" t="str">
        <f t="shared" si="206"/>
        <v>2010depQuin 2PN</v>
      </c>
      <c r="J3868" s="604">
        <v>2010</v>
      </c>
      <c r="K3868" s="604" t="s">
        <v>454</v>
      </c>
      <c r="L3868" s="604" t="s">
        <v>422</v>
      </c>
      <c r="M3868" s="604">
        <v>10</v>
      </c>
      <c r="N3868" s="604">
        <v>9539</v>
      </c>
      <c r="O3868" s="604">
        <v>1</v>
      </c>
      <c r="P3868" s="604" t="s">
        <v>436</v>
      </c>
      <c r="Q3868" s="499"/>
    </row>
    <row r="3869" spans="9:17">
      <c r="I3869" s="578" t="str">
        <f t="shared" si="206"/>
        <v>2010depQuin 3PN</v>
      </c>
      <c r="J3869" s="604">
        <v>2010</v>
      </c>
      <c r="K3869" s="604" t="s">
        <v>454</v>
      </c>
      <c r="L3869" s="604" t="s">
        <v>423</v>
      </c>
      <c r="M3869" s="604">
        <v>20</v>
      </c>
      <c r="N3869" s="604">
        <v>11388</v>
      </c>
      <c r="O3869" s="604">
        <v>1.8</v>
      </c>
      <c r="P3869" s="604" t="s">
        <v>436</v>
      </c>
      <c r="Q3869" s="499"/>
    </row>
    <row r="3870" spans="9:17">
      <c r="I3870" s="578" t="str">
        <f t="shared" si="206"/>
        <v>2010depQuin 4PN</v>
      </c>
      <c r="J3870" s="604">
        <v>2010</v>
      </c>
      <c r="K3870" s="604" t="s">
        <v>454</v>
      </c>
      <c r="L3870" s="604" t="s">
        <v>424</v>
      </c>
      <c r="M3870" s="604">
        <v>19</v>
      </c>
      <c r="N3870" s="604">
        <v>13795</v>
      </c>
      <c r="O3870" s="604">
        <v>1.4</v>
      </c>
      <c r="P3870" s="604" t="s">
        <v>436</v>
      </c>
      <c r="Q3870" s="499"/>
    </row>
    <row r="3871" spans="9:17">
      <c r="I3871" s="578" t="str">
        <f t="shared" si="206"/>
        <v>2010depQuin 5PN</v>
      </c>
      <c r="J3871" s="604">
        <v>2010</v>
      </c>
      <c r="K3871" s="604" t="s">
        <v>454</v>
      </c>
      <c r="L3871" s="604" t="s">
        <v>425</v>
      </c>
      <c r="M3871" s="604">
        <v>63</v>
      </c>
      <c r="N3871" s="604">
        <v>18469</v>
      </c>
      <c r="O3871" s="604">
        <v>3.4</v>
      </c>
      <c r="P3871" s="604" t="s">
        <v>436</v>
      </c>
      <c r="Q3871" s="499"/>
    </row>
    <row r="3872" spans="9:17">
      <c r="I3872" s="578" t="str">
        <f t="shared" si="206"/>
        <v>2010depQuin 9PN</v>
      </c>
      <c r="J3872" s="604">
        <v>2010</v>
      </c>
      <c r="K3872" s="604" t="s">
        <v>454</v>
      </c>
      <c r="L3872" s="604" t="s">
        <v>426</v>
      </c>
      <c r="M3872" s="604">
        <v>5</v>
      </c>
      <c r="N3872" s="604">
        <v>2826</v>
      </c>
      <c r="O3872" s="604" t="s">
        <v>119</v>
      </c>
      <c r="P3872" s="604" t="s">
        <v>436</v>
      </c>
      <c r="Q3872" s="499"/>
    </row>
    <row r="3873" spans="9:17">
      <c r="I3873" s="578" t="str">
        <f t="shared" si="206"/>
        <v>2011depQuin 1PN</v>
      </c>
      <c r="J3873" s="604">
        <v>2011</v>
      </c>
      <c r="K3873" s="604" t="s">
        <v>454</v>
      </c>
      <c r="L3873" s="604" t="s">
        <v>421</v>
      </c>
      <c r="M3873" s="604">
        <v>2</v>
      </c>
      <c r="N3873" s="604">
        <v>8387</v>
      </c>
      <c r="O3873" s="604">
        <v>0.2</v>
      </c>
      <c r="P3873" s="604" t="s">
        <v>436</v>
      </c>
      <c r="Q3873" s="499"/>
    </row>
    <row r="3874" spans="9:17">
      <c r="I3874" s="578" t="str">
        <f t="shared" si="206"/>
        <v>2011depQuin 2PN</v>
      </c>
      <c r="J3874" s="604">
        <v>2011</v>
      </c>
      <c r="K3874" s="604" t="s">
        <v>454</v>
      </c>
      <c r="L3874" s="604" t="s">
        <v>422</v>
      </c>
      <c r="M3874" s="604">
        <v>10</v>
      </c>
      <c r="N3874" s="604">
        <v>9337</v>
      </c>
      <c r="O3874" s="604">
        <v>1.1000000000000001</v>
      </c>
      <c r="P3874" s="604" t="s">
        <v>436</v>
      </c>
      <c r="Q3874" s="499"/>
    </row>
    <row r="3875" spans="9:17">
      <c r="I3875" s="578" t="str">
        <f t="shared" si="206"/>
        <v>2011depQuin 3PN</v>
      </c>
      <c r="J3875" s="604">
        <v>2011</v>
      </c>
      <c r="K3875" s="604" t="s">
        <v>454</v>
      </c>
      <c r="L3875" s="604" t="s">
        <v>423</v>
      </c>
      <c r="M3875" s="604">
        <v>15</v>
      </c>
      <c r="N3875" s="604">
        <v>10802</v>
      </c>
      <c r="O3875" s="604">
        <v>1.4</v>
      </c>
      <c r="P3875" s="604" t="s">
        <v>436</v>
      </c>
      <c r="Q3875" s="499"/>
    </row>
    <row r="3876" spans="9:17">
      <c r="I3876" s="578" t="str">
        <f t="shared" si="206"/>
        <v>2011depQuin 4PN</v>
      </c>
      <c r="J3876" s="604">
        <v>2011</v>
      </c>
      <c r="K3876" s="604" t="s">
        <v>454</v>
      </c>
      <c r="L3876" s="604" t="s">
        <v>424</v>
      </c>
      <c r="M3876" s="604">
        <v>26</v>
      </c>
      <c r="N3876" s="604">
        <v>13277</v>
      </c>
      <c r="O3876" s="604">
        <v>2</v>
      </c>
      <c r="P3876" s="604" t="s">
        <v>436</v>
      </c>
      <c r="Q3876" s="499"/>
    </row>
    <row r="3877" spans="9:17">
      <c r="I3877" s="578" t="str">
        <f t="shared" si="206"/>
        <v>2011depQuin 5PN</v>
      </c>
      <c r="J3877" s="604">
        <v>2011</v>
      </c>
      <c r="K3877" s="604" t="s">
        <v>454</v>
      </c>
      <c r="L3877" s="604" t="s">
        <v>425</v>
      </c>
      <c r="M3877" s="604">
        <v>70</v>
      </c>
      <c r="N3877" s="604">
        <v>17705</v>
      </c>
      <c r="O3877" s="604">
        <v>4</v>
      </c>
      <c r="P3877" s="604" t="s">
        <v>436</v>
      </c>
      <c r="Q3877" s="499"/>
    </row>
    <row r="3878" spans="9:17">
      <c r="I3878" s="578" t="str">
        <f t="shared" si="206"/>
        <v>2011depQuin 9PN</v>
      </c>
      <c r="J3878" s="604">
        <v>2011</v>
      </c>
      <c r="K3878" s="604" t="s">
        <v>454</v>
      </c>
      <c r="L3878" s="604" t="s">
        <v>426</v>
      </c>
      <c r="M3878" s="604">
        <v>2</v>
      </c>
      <c r="N3878" s="604">
        <v>2666</v>
      </c>
      <c r="O3878" s="604" t="s">
        <v>119</v>
      </c>
      <c r="P3878" s="604" t="s">
        <v>436</v>
      </c>
      <c r="Q3878" s="499"/>
    </row>
    <row r="3879" spans="9:17">
      <c r="I3879" s="578" t="str">
        <f t="shared" si="206"/>
        <v>2012depQuin 1PN</v>
      </c>
      <c r="J3879" s="604">
        <v>2012</v>
      </c>
      <c r="K3879" s="604" t="s">
        <v>454</v>
      </c>
      <c r="L3879" s="604" t="s">
        <v>421</v>
      </c>
      <c r="M3879" s="604">
        <v>6</v>
      </c>
      <c r="N3879" s="604">
        <v>8301</v>
      </c>
      <c r="O3879" s="604">
        <v>0.7</v>
      </c>
      <c r="P3879" s="604" t="s">
        <v>436</v>
      </c>
      <c r="Q3879" s="499"/>
    </row>
    <row r="3880" spans="9:17">
      <c r="I3880" s="578" t="str">
        <f t="shared" si="206"/>
        <v>2012depQuin 2PN</v>
      </c>
      <c r="J3880" s="604">
        <v>2012</v>
      </c>
      <c r="K3880" s="604" t="s">
        <v>454</v>
      </c>
      <c r="L3880" s="604" t="s">
        <v>422</v>
      </c>
      <c r="M3880" s="604">
        <v>13</v>
      </c>
      <c r="N3880" s="604">
        <v>9356</v>
      </c>
      <c r="O3880" s="604">
        <v>1.4</v>
      </c>
      <c r="P3880" s="604" t="s">
        <v>436</v>
      </c>
      <c r="Q3880" s="499"/>
    </row>
    <row r="3881" spans="9:17">
      <c r="I3881" s="578" t="str">
        <f t="shared" si="206"/>
        <v>2012depQuin 3PN</v>
      </c>
      <c r="J3881" s="604">
        <v>2012</v>
      </c>
      <c r="K3881" s="604" t="s">
        <v>454</v>
      </c>
      <c r="L3881" s="604" t="s">
        <v>423</v>
      </c>
      <c r="M3881" s="604">
        <v>9</v>
      </c>
      <c r="N3881" s="604">
        <v>10749</v>
      </c>
      <c r="O3881" s="604">
        <v>0.8</v>
      </c>
      <c r="P3881" s="604" t="s">
        <v>436</v>
      </c>
      <c r="Q3881" s="499"/>
    </row>
    <row r="3882" spans="9:17">
      <c r="I3882" s="578" t="str">
        <f t="shared" si="206"/>
        <v>2012depQuin 4PN</v>
      </c>
      <c r="J3882" s="604">
        <v>2012</v>
      </c>
      <c r="K3882" s="604" t="s">
        <v>454</v>
      </c>
      <c r="L3882" s="604" t="s">
        <v>424</v>
      </c>
      <c r="M3882" s="604">
        <v>17</v>
      </c>
      <c r="N3882" s="604">
        <v>13313</v>
      </c>
      <c r="O3882" s="604">
        <v>1.3</v>
      </c>
      <c r="P3882" s="604" t="s">
        <v>436</v>
      </c>
      <c r="Q3882" s="499"/>
    </row>
    <row r="3883" spans="9:17">
      <c r="I3883" s="578" t="str">
        <f t="shared" si="206"/>
        <v>2012depQuin 5PN</v>
      </c>
      <c r="J3883" s="604">
        <v>2012</v>
      </c>
      <c r="K3883" s="604" t="s">
        <v>454</v>
      </c>
      <c r="L3883" s="604" t="s">
        <v>425</v>
      </c>
      <c r="M3883" s="604">
        <v>51</v>
      </c>
      <c r="N3883" s="604">
        <v>17671</v>
      </c>
      <c r="O3883" s="604">
        <v>2.9</v>
      </c>
      <c r="P3883" s="604" t="s">
        <v>436</v>
      </c>
      <c r="Q3883" s="499"/>
    </row>
    <row r="3884" spans="9:17">
      <c r="I3884" s="578" t="str">
        <f t="shared" si="206"/>
        <v>2012depQuin 9PN</v>
      </c>
      <c r="J3884" s="604">
        <v>2012</v>
      </c>
      <c r="K3884" s="604" t="s">
        <v>454</v>
      </c>
      <c r="L3884" s="604" t="s">
        <v>426</v>
      </c>
      <c r="M3884" s="604">
        <v>4</v>
      </c>
      <c r="N3884" s="604">
        <v>2645</v>
      </c>
      <c r="O3884" s="604" t="s">
        <v>119</v>
      </c>
      <c r="P3884" s="604" t="s">
        <v>436</v>
      </c>
      <c r="Q3884" s="499"/>
    </row>
    <row r="3885" spans="9:17">
      <c r="I3885" s="578" t="str">
        <f t="shared" si="206"/>
        <v>2013depQuin 1PN</v>
      </c>
      <c r="J3885" s="604">
        <v>2013</v>
      </c>
      <c r="K3885" s="604" t="s">
        <v>454</v>
      </c>
      <c r="L3885" s="604" t="s">
        <v>421</v>
      </c>
      <c r="M3885" s="604">
        <v>7</v>
      </c>
      <c r="N3885" s="604">
        <v>8187</v>
      </c>
      <c r="O3885" s="604">
        <v>0.9</v>
      </c>
      <c r="P3885" s="604" t="s">
        <v>436</v>
      </c>
      <c r="Q3885" s="499"/>
    </row>
    <row r="3886" spans="9:17">
      <c r="I3886" s="578" t="str">
        <f t="shared" si="206"/>
        <v>2013depQuin 2PN</v>
      </c>
      <c r="J3886" s="604">
        <v>2013</v>
      </c>
      <c r="K3886" s="604" t="s">
        <v>454</v>
      </c>
      <c r="L3886" s="604" t="s">
        <v>422</v>
      </c>
      <c r="M3886" s="604">
        <v>12</v>
      </c>
      <c r="N3886" s="604">
        <v>9257</v>
      </c>
      <c r="O3886" s="604">
        <v>1.3</v>
      </c>
      <c r="P3886" s="604" t="s">
        <v>436</v>
      </c>
      <c r="Q3886" s="499"/>
    </row>
    <row r="3887" spans="9:17">
      <c r="I3887" s="578" t="str">
        <f t="shared" si="206"/>
        <v>2013depQuin 3PN</v>
      </c>
      <c r="J3887" s="604">
        <v>2013</v>
      </c>
      <c r="K3887" s="604" t="s">
        <v>454</v>
      </c>
      <c r="L3887" s="604" t="s">
        <v>423</v>
      </c>
      <c r="M3887" s="604">
        <v>16</v>
      </c>
      <c r="N3887" s="604">
        <v>10314</v>
      </c>
      <c r="O3887" s="604">
        <v>1.6</v>
      </c>
      <c r="P3887" s="604" t="s">
        <v>436</v>
      </c>
      <c r="Q3887" s="499"/>
    </row>
    <row r="3888" spans="9:17">
      <c r="I3888" s="578" t="str">
        <f t="shared" si="206"/>
        <v>2013depQuin 4PN</v>
      </c>
      <c r="J3888" s="604">
        <v>2013</v>
      </c>
      <c r="K3888" s="604" t="s">
        <v>454</v>
      </c>
      <c r="L3888" s="604" t="s">
        <v>424</v>
      </c>
      <c r="M3888" s="604">
        <v>17</v>
      </c>
      <c r="N3888" s="604">
        <v>12838</v>
      </c>
      <c r="O3888" s="604">
        <v>1.3</v>
      </c>
      <c r="P3888" s="604" t="s">
        <v>436</v>
      </c>
      <c r="Q3888" s="499"/>
    </row>
    <row r="3889" spans="9:17">
      <c r="I3889" s="578" t="str">
        <f t="shared" si="206"/>
        <v>2013depQuin 5PN</v>
      </c>
      <c r="J3889" s="604">
        <v>2013</v>
      </c>
      <c r="K3889" s="604" t="s">
        <v>454</v>
      </c>
      <c r="L3889" s="604" t="s">
        <v>425</v>
      </c>
      <c r="M3889" s="604">
        <v>44</v>
      </c>
      <c r="N3889" s="604">
        <v>16525</v>
      </c>
      <c r="O3889" s="604">
        <v>2.7</v>
      </c>
      <c r="P3889" s="604" t="s">
        <v>436</v>
      </c>
      <c r="Q3889" s="499"/>
    </row>
    <row r="3890" spans="9:17">
      <c r="I3890" s="578" t="str">
        <f t="shared" si="206"/>
        <v>2013depQuin 9PN</v>
      </c>
      <c r="J3890" s="604">
        <v>2013</v>
      </c>
      <c r="K3890" s="604" t="s">
        <v>454</v>
      </c>
      <c r="L3890" s="604" t="s">
        <v>426</v>
      </c>
      <c r="M3890" s="604">
        <v>2</v>
      </c>
      <c r="N3890" s="604">
        <v>2580</v>
      </c>
      <c r="O3890" s="604" t="s">
        <v>119</v>
      </c>
      <c r="P3890" s="604" t="s">
        <v>436</v>
      </c>
      <c r="Q3890" s="499"/>
    </row>
    <row r="3891" spans="9:17">
      <c r="I3891" s="578" t="str">
        <f t="shared" si="206"/>
        <v>2014depQuin 1PN</v>
      </c>
      <c r="J3891" s="604">
        <v>2014</v>
      </c>
      <c r="K3891" s="604" t="s">
        <v>454</v>
      </c>
      <c r="L3891" s="604" t="s">
        <v>421</v>
      </c>
      <c r="M3891" s="604">
        <v>7</v>
      </c>
      <c r="N3891" s="604">
        <v>8221</v>
      </c>
      <c r="O3891" s="604">
        <v>0.9</v>
      </c>
      <c r="P3891" s="604" t="s">
        <v>436</v>
      </c>
      <c r="Q3891" s="499"/>
    </row>
    <row r="3892" spans="9:17">
      <c r="I3892" s="578" t="str">
        <f t="shared" si="206"/>
        <v>2014depQuin 2PN</v>
      </c>
      <c r="J3892" s="604">
        <v>2014</v>
      </c>
      <c r="K3892" s="604" t="s">
        <v>454</v>
      </c>
      <c r="L3892" s="604" t="s">
        <v>422</v>
      </c>
      <c r="M3892" s="604">
        <v>6</v>
      </c>
      <c r="N3892" s="604">
        <v>8889</v>
      </c>
      <c r="O3892" s="604">
        <v>0.7</v>
      </c>
      <c r="P3892" s="604" t="s">
        <v>436</v>
      </c>
      <c r="Q3892" s="499"/>
    </row>
    <row r="3893" spans="9:17">
      <c r="I3893" s="578" t="str">
        <f t="shared" si="206"/>
        <v>2014depQuin 3PN</v>
      </c>
      <c r="J3893" s="604">
        <v>2014</v>
      </c>
      <c r="K3893" s="604" t="s">
        <v>454</v>
      </c>
      <c r="L3893" s="604" t="s">
        <v>423</v>
      </c>
      <c r="M3893" s="604">
        <v>9</v>
      </c>
      <c r="N3893" s="604">
        <v>10045</v>
      </c>
      <c r="O3893" s="604">
        <v>0.9</v>
      </c>
      <c r="P3893" s="604" t="s">
        <v>436</v>
      </c>
      <c r="Q3893" s="499"/>
    </row>
    <row r="3894" spans="9:17">
      <c r="I3894" s="578" t="str">
        <f t="shared" si="206"/>
        <v>2014depQuin 4PN</v>
      </c>
      <c r="J3894" s="604">
        <v>2014</v>
      </c>
      <c r="K3894" s="604" t="s">
        <v>454</v>
      </c>
      <c r="L3894" s="604" t="s">
        <v>424</v>
      </c>
      <c r="M3894" s="604">
        <v>18</v>
      </c>
      <c r="N3894" s="604">
        <v>12442</v>
      </c>
      <c r="O3894" s="604">
        <v>1.4</v>
      </c>
      <c r="P3894" s="604" t="s">
        <v>436</v>
      </c>
      <c r="Q3894" s="499"/>
    </row>
    <row r="3895" spans="9:17">
      <c r="I3895" s="578" t="str">
        <f t="shared" si="206"/>
        <v>2014depQuin 5PN</v>
      </c>
      <c r="J3895" s="604">
        <v>2014</v>
      </c>
      <c r="K3895" s="604" t="s">
        <v>454</v>
      </c>
      <c r="L3895" s="604" t="s">
        <v>425</v>
      </c>
      <c r="M3895" s="604">
        <v>51</v>
      </c>
      <c r="N3895" s="604">
        <v>16100</v>
      </c>
      <c r="O3895" s="604">
        <v>3.2</v>
      </c>
      <c r="P3895" s="604" t="s">
        <v>436</v>
      </c>
      <c r="Q3895" s="499"/>
    </row>
    <row r="3896" spans="9:17">
      <c r="I3896" s="578" t="str">
        <f t="shared" si="206"/>
        <v>2014depQuin 9PN</v>
      </c>
      <c r="J3896" s="604">
        <v>2014</v>
      </c>
      <c r="K3896" s="604" t="s">
        <v>454</v>
      </c>
      <c r="L3896" s="604" t="s">
        <v>426</v>
      </c>
      <c r="M3896" s="604">
        <v>2</v>
      </c>
      <c r="N3896" s="604">
        <v>2588</v>
      </c>
      <c r="O3896" s="604" t="s">
        <v>119</v>
      </c>
      <c r="P3896" s="604" t="s">
        <v>436</v>
      </c>
      <c r="Q3896" s="499"/>
    </row>
    <row r="3897" spans="9:17">
      <c r="I3897" s="578" t="str">
        <f t="shared" si="206"/>
        <v>2015depQuin 1PN</v>
      </c>
      <c r="J3897" s="604">
        <v>2015</v>
      </c>
      <c r="K3897" s="604" t="s">
        <v>454</v>
      </c>
      <c r="L3897" s="604" t="s">
        <v>421</v>
      </c>
      <c r="M3897" s="604">
        <v>11</v>
      </c>
      <c r="N3897" s="604">
        <v>9428</v>
      </c>
      <c r="O3897" s="604">
        <v>1.2</v>
      </c>
      <c r="P3897" s="604" t="s">
        <v>436</v>
      </c>
      <c r="Q3897" s="499"/>
    </row>
    <row r="3898" spans="9:17">
      <c r="I3898" s="578" t="str">
        <f t="shared" si="206"/>
        <v>2015depQuin 2PN</v>
      </c>
      <c r="J3898" s="604">
        <v>2015</v>
      </c>
      <c r="K3898" s="604" t="s">
        <v>454</v>
      </c>
      <c r="L3898" s="604" t="s">
        <v>422</v>
      </c>
      <c r="M3898" s="604">
        <v>10</v>
      </c>
      <c r="N3898" s="604">
        <v>10259</v>
      </c>
      <c r="O3898" s="604">
        <v>1</v>
      </c>
      <c r="P3898" s="604" t="s">
        <v>436</v>
      </c>
      <c r="Q3898" s="499"/>
    </row>
    <row r="3899" spans="9:17">
      <c r="I3899" s="578" t="str">
        <f t="shared" si="206"/>
        <v>2015depQuin 3PN</v>
      </c>
      <c r="J3899" s="604">
        <v>2015</v>
      </c>
      <c r="K3899" s="604" t="s">
        <v>454</v>
      </c>
      <c r="L3899" s="604" t="s">
        <v>423</v>
      </c>
      <c r="M3899" s="604">
        <v>11</v>
      </c>
      <c r="N3899" s="604">
        <v>11196</v>
      </c>
      <c r="O3899" s="604">
        <v>1</v>
      </c>
      <c r="P3899" s="604" t="s">
        <v>436</v>
      </c>
      <c r="Q3899" s="499"/>
    </row>
    <row r="3900" spans="9:17">
      <c r="I3900" s="578" t="str">
        <f t="shared" si="206"/>
        <v>2015depQuin 4PN</v>
      </c>
      <c r="J3900" s="604">
        <v>2015</v>
      </c>
      <c r="K3900" s="604" t="s">
        <v>454</v>
      </c>
      <c r="L3900" s="604" t="s">
        <v>424</v>
      </c>
      <c r="M3900" s="604">
        <v>16</v>
      </c>
      <c r="N3900" s="604">
        <v>13614</v>
      </c>
      <c r="O3900" s="604">
        <v>1.2</v>
      </c>
      <c r="P3900" s="604" t="s">
        <v>436</v>
      </c>
      <c r="Q3900" s="499"/>
    </row>
    <row r="3901" spans="9:17">
      <c r="I3901" s="578" t="str">
        <f t="shared" si="206"/>
        <v>2015depQuin 5PN</v>
      </c>
      <c r="J3901" s="604">
        <v>2015</v>
      </c>
      <c r="K3901" s="604" t="s">
        <v>454</v>
      </c>
      <c r="L3901" s="604" t="s">
        <v>425</v>
      </c>
      <c r="M3901" s="604">
        <v>42</v>
      </c>
      <c r="N3901" s="604">
        <v>17454</v>
      </c>
      <c r="O3901" s="604">
        <v>2.4</v>
      </c>
      <c r="P3901" s="604" t="s">
        <v>436</v>
      </c>
      <c r="Q3901" s="499"/>
    </row>
    <row r="3902" spans="9:17">
      <c r="I3902" s="578" t="str">
        <f t="shared" si="206"/>
        <v>2015depQuin 9PN</v>
      </c>
      <c r="J3902" s="604">
        <v>2015</v>
      </c>
      <c r="K3902" s="604" t="s">
        <v>454</v>
      </c>
      <c r="L3902" s="604" t="s">
        <v>426</v>
      </c>
      <c r="M3902" s="604">
        <v>1</v>
      </c>
      <c r="N3902" s="604">
        <v>171</v>
      </c>
      <c r="O3902" s="604" t="s">
        <v>119</v>
      </c>
      <c r="P3902" s="604" t="s">
        <v>436</v>
      </c>
      <c r="Q3902" s="499"/>
    </row>
    <row r="3903" spans="9:17">
      <c r="I3903" s="578" t="str">
        <f t="shared" si="206"/>
        <v>2016depQuin 1PN</v>
      </c>
      <c r="J3903" s="604">
        <v>2016</v>
      </c>
      <c r="K3903" s="604" t="s">
        <v>454</v>
      </c>
      <c r="L3903" s="604" t="s">
        <v>421</v>
      </c>
      <c r="M3903" s="604">
        <v>5</v>
      </c>
      <c r="N3903" s="604">
        <v>9194</v>
      </c>
      <c r="O3903" s="604">
        <v>0.5</v>
      </c>
      <c r="P3903" s="604" t="s">
        <v>436</v>
      </c>
      <c r="Q3903" s="499"/>
    </row>
    <row r="3904" spans="9:17">
      <c r="I3904" s="578" t="str">
        <f t="shared" si="206"/>
        <v>2016depQuin 2PN</v>
      </c>
      <c r="J3904" s="604">
        <v>2016</v>
      </c>
      <c r="K3904" s="604" t="s">
        <v>454</v>
      </c>
      <c r="L3904" s="604" t="s">
        <v>422</v>
      </c>
      <c r="M3904" s="604">
        <v>9</v>
      </c>
      <c r="N3904" s="604">
        <v>10123</v>
      </c>
      <c r="O3904" s="604">
        <v>0.9</v>
      </c>
      <c r="P3904" s="604" t="s">
        <v>436</v>
      </c>
      <c r="Q3904" s="499"/>
    </row>
    <row r="3905" spans="9:17">
      <c r="I3905" s="578" t="str">
        <f t="shared" si="206"/>
        <v>2016depQuin 3PN</v>
      </c>
      <c r="J3905" s="604">
        <v>2016</v>
      </c>
      <c r="K3905" s="604" t="s">
        <v>454</v>
      </c>
      <c r="L3905" s="604" t="s">
        <v>423</v>
      </c>
      <c r="M3905" s="604">
        <v>9</v>
      </c>
      <c r="N3905" s="604">
        <v>10971</v>
      </c>
      <c r="O3905" s="604">
        <v>0.8</v>
      </c>
      <c r="P3905" s="604" t="s">
        <v>436</v>
      </c>
      <c r="Q3905" s="499"/>
    </row>
    <row r="3906" spans="9:17">
      <c r="I3906" s="578" t="str">
        <f t="shared" si="206"/>
        <v>2016depQuin 4PN</v>
      </c>
      <c r="J3906" s="604">
        <v>2016</v>
      </c>
      <c r="K3906" s="604" t="s">
        <v>454</v>
      </c>
      <c r="L3906" s="604" t="s">
        <v>424</v>
      </c>
      <c r="M3906" s="604">
        <v>19</v>
      </c>
      <c r="N3906" s="604">
        <v>13131</v>
      </c>
      <c r="O3906" s="604">
        <v>1.4</v>
      </c>
      <c r="P3906" s="604" t="s">
        <v>436</v>
      </c>
      <c r="Q3906" s="499"/>
    </row>
    <row r="3907" spans="9:17">
      <c r="I3907" s="578" t="str">
        <f t="shared" si="206"/>
        <v>2016depQuin 5PN</v>
      </c>
      <c r="J3907" s="604">
        <v>2016</v>
      </c>
      <c r="K3907" s="604" t="s">
        <v>454</v>
      </c>
      <c r="L3907" s="604" t="s">
        <v>425</v>
      </c>
      <c r="M3907" s="604">
        <v>37</v>
      </c>
      <c r="N3907" s="604">
        <v>16886</v>
      </c>
      <c r="O3907" s="604">
        <v>2.2000000000000002</v>
      </c>
      <c r="P3907" s="604" t="s">
        <v>436</v>
      </c>
      <c r="Q3907" s="499"/>
    </row>
    <row r="3908" spans="9:17">
      <c r="I3908" s="578" t="str">
        <f t="shared" ref="I3908:I3971" si="207">J3908&amp;K3908&amp;L3908&amp;P3908</f>
        <v>2016depQuin 9PN</v>
      </c>
      <c r="J3908" s="604">
        <v>2016</v>
      </c>
      <c r="K3908" s="604" t="s">
        <v>454</v>
      </c>
      <c r="L3908" s="604" t="s">
        <v>426</v>
      </c>
      <c r="M3908" s="604">
        <v>1</v>
      </c>
      <c r="N3908" s="604">
        <v>131</v>
      </c>
      <c r="O3908" s="604" t="s">
        <v>119</v>
      </c>
      <c r="P3908" s="604" t="s">
        <v>436</v>
      </c>
      <c r="Q3908" s="499"/>
    </row>
    <row r="3909" spans="9:17">
      <c r="I3909" s="578" t="str">
        <f t="shared" si="207"/>
        <v>1996bwt&lt;500PN</v>
      </c>
      <c r="J3909" s="604">
        <v>1996</v>
      </c>
      <c r="K3909" s="604" t="s">
        <v>447</v>
      </c>
      <c r="L3909" s="604" t="s">
        <v>427</v>
      </c>
      <c r="M3909" s="604">
        <v>0</v>
      </c>
      <c r="N3909" s="604">
        <v>44</v>
      </c>
      <c r="O3909" s="604">
        <v>0</v>
      </c>
      <c r="P3909" s="604" t="s">
        <v>436</v>
      </c>
      <c r="Q3909" s="499"/>
    </row>
    <row r="3910" spans="9:17">
      <c r="I3910" s="578" t="str">
        <f t="shared" si="207"/>
        <v>1996bwt500-999PN</v>
      </c>
      <c r="J3910" s="604">
        <v>1996</v>
      </c>
      <c r="K3910" s="604" t="s">
        <v>447</v>
      </c>
      <c r="L3910" s="604" t="s">
        <v>428</v>
      </c>
      <c r="M3910" s="604">
        <v>14</v>
      </c>
      <c r="N3910" s="604">
        <v>207</v>
      </c>
      <c r="O3910" s="604">
        <v>67.599999999999994</v>
      </c>
      <c r="P3910" s="604" t="s">
        <v>436</v>
      </c>
      <c r="Q3910" s="499"/>
    </row>
    <row r="3911" spans="9:17">
      <c r="I3911" s="578" t="str">
        <f t="shared" si="207"/>
        <v>1996bwt1000-1499PN</v>
      </c>
      <c r="J3911" s="604">
        <v>1996</v>
      </c>
      <c r="K3911" s="604" t="s">
        <v>447</v>
      </c>
      <c r="L3911" s="604" t="s">
        <v>429</v>
      </c>
      <c r="M3911" s="604">
        <v>6</v>
      </c>
      <c r="N3911" s="604">
        <v>366</v>
      </c>
      <c r="O3911" s="604">
        <v>16.399999999999999</v>
      </c>
      <c r="P3911" s="604" t="s">
        <v>436</v>
      </c>
      <c r="Q3911" s="499"/>
    </row>
    <row r="3912" spans="9:17">
      <c r="I3912" s="578" t="str">
        <f t="shared" si="207"/>
        <v>1996bwt1500-2499PN</v>
      </c>
      <c r="J3912" s="604">
        <v>1996</v>
      </c>
      <c r="K3912" s="604" t="s">
        <v>447</v>
      </c>
      <c r="L3912" s="604" t="s">
        <v>430</v>
      </c>
      <c r="M3912" s="604">
        <v>30</v>
      </c>
      <c r="N3912" s="604">
        <v>2976</v>
      </c>
      <c r="O3912" s="604">
        <v>10.1</v>
      </c>
      <c r="P3912" s="604" t="s">
        <v>436</v>
      </c>
      <c r="Q3912" s="499"/>
    </row>
    <row r="3913" spans="9:17">
      <c r="I3913" s="578" t="str">
        <f t="shared" si="207"/>
        <v>1996bwt2500-4499PN</v>
      </c>
      <c r="J3913" s="604">
        <v>1996</v>
      </c>
      <c r="K3913" s="604" t="s">
        <v>447</v>
      </c>
      <c r="L3913" s="604" t="s">
        <v>431</v>
      </c>
      <c r="M3913" s="604">
        <v>127</v>
      </c>
      <c r="N3913" s="604">
        <v>52386</v>
      </c>
      <c r="O3913" s="604">
        <v>2.4</v>
      </c>
      <c r="P3913" s="604" t="s">
        <v>436</v>
      </c>
      <c r="Q3913" s="499"/>
    </row>
    <row r="3914" spans="9:17">
      <c r="I3914" s="578" t="str">
        <f t="shared" si="207"/>
        <v>1996bwt4500+PN</v>
      </c>
      <c r="J3914" s="604">
        <v>1996</v>
      </c>
      <c r="K3914" s="604" t="s">
        <v>447</v>
      </c>
      <c r="L3914" s="604" t="s">
        <v>432</v>
      </c>
      <c r="M3914" s="604">
        <v>1</v>
      </c>
      <c r="N3914" s="604">
        <v>1339</v>
      </c>
      <c r="O3914" s="604">
        <v>0.7</v>
      </c>
      <c r="P3914" s="604" t="s">
        <v>436</v>
      </c>
      <c r="Q3914" s="499"/>
    </row>
    <row r="3915" spans="9:17">
      <c r="I3915" s="578" t="str">
        <f t="shared" si="207"/>
        <v>1996bwtUnknownPN</v>
      </c>
      <c r="J3915" s="604">
        <v>1996</v>
      </c>
      <c r="K3915" s="604" t="s">
        <v>447</v>
      </c>
      <c r="L3915" s="604" t="s">
        <v>63</v>
      </c>
      <c r="M3915" s="604">
        <v>16</v>
      </c>
      <c r="N3915" s="604">
        <v>116</v>
      </c>
      <c r="O3915" s="604" t="s">
        <v>119</v>
      </c>
      <c r="P3915" s="604" t="s">
        <v>436</v>
      </c>
      <c r="Q3915" s="499"/>
    </row>
    <row r="3916" spans="9:17">
      <c r="I3916" s="578" t="str">
        <f t="shared" si="207"/>
        <v>1997bwt&lt;500PN</v>
      </c>
      <c r="J3916" s="604">
        <v>1997</v>
      </c>
      <c r="K3916" s="604" t="s">
        <v>447</v>
      </c>
      <c r="L3916" s="604" t="s">
        <v>427</v>
      </c>
      <c r="M3916" s="604">
        <v>0</v>
      </c>
      <c r="N3916" s="604">
        <v>33</v>
      </c>
      <c r="O3916" s="604">
        <v>0</v>
      </c>
      <c r="P3916" s="604" t="s">
        <v>436</v>
      </c>
      <c r="Q3916" s="499"/>
    </row>
    <row r="3917" spans="9:17">
      <c r="I3917" s="578" t="str">
        <f t="shared" si="207"/>
        <v>1997bwt500-999PN</v>
      </c>
      <c r="J3917" s="604">
        <v>1997</v>
      </c>
      <c r="K3917" s="604" t="s">
        <v>447</v>
      </c>
      <c r="L3917" s="604" t="s">
        <v>428</v>
      </c>
      <c r="M3917" s="604">
        <v>11</v>
      </c>
      <c r="N3917" s="604">
        <v>231</v>
      </c>
      <c r="O3917" s="604">
        <v>47.6</v>
      </c>
      <c r="P3917" s="604" t="s">
        <v>436</v>
      </c>
      <c r="Q3917" s="499"/>
    </row>
    <row r="3918" spans="9:17">
      <c r="I3918" s="578" t="str">
        <f t="shared" si="207"/>
        <v>1997bwt1000-1499PN</v>
      </c>
      <c r="J3918" s="604">
        <v>1997</v>
      </c>
      <c r="K3918" s="604" t="s">
        <v>447</v>
      </c>
      <c r="L3918" s="604" t="s">
        <v>429</v>
      </c>
      <c r="M3918" s="604">
        <v>10</v>
      </c>
      <c r="N3918" s="604">
        <v>353</v>
      </c>
      <c r="O3918" s="604">
        <v>28.3</v>
      </c>
      <c r="P3918" s="604" t="s">
        <v>436</v>
      </c>
      <c r="Q3918" s="499"/>
    </row>
    <row r="3919" spans="9:17">
      <c r="I3919" s="578" t="str">
        <f t="shared" si="207"/>
        <v>1997bwt1500-2499PN</v>
      </c>
      <c r="J3919" s="604">
        <v>1997</v>
      </c>
      <c r="K3919" s="604" t="s">
        <v>447</v>
      </c>
      <c r="L3919" s="604" t="s">
        <v>430</v>
      </c>
      <c r="M3919" s="604">
        <v>25</v>
      </c>
      <c r="N3919" s="604">
        <v>2980</v>
      </c>
      <c r="O3919" s="604">
        <v>8.4</v>
      </c>
      <c r="P3919" s="604" t="s">
        <v>436</v>
      </c>
      <c r="Q3919" s="499"/>
    </row>
    <row r="3920" spans="9:17">
      <c r="I3920" s="578" t="str">
        <f t="shared" si="207"/>
        <v>1997bwt2500-4499PN</v>
      </c>
      <c r="J3920" s="604">
        <v>1997</v>
      </c>
      <c r="K3920" s="604" t="s">
        <v>447</v>
      </c>
      <c r="L3920" s="604" t="s">
        <v>431</v>
      </c>
      <c r="M3920" s="604">
        <v>117</v>
      </c>
      <c r="N3920" s="604">
        <v>52712</v>
      </c>
      <c r="O3920" s="604">
        <v>2.2000000000000002</v>
      </c>
      <c r="P3920" s="604" t="s">
        <v>436</v>
      </c>
      <c r="Q3920" s="499"/>
    </row>
    <row r="3921" spans="9:17">
      <c r="I3921" s="578" t="str">
        <f t="shared" si="207"/>
        <v>1997bwt4500+PN</v>
      </c>
      <c r="J3921" s="604">
        <v>1997</v>
      </c>
      <c r="K3921" s="604" t="s">
        <v>447</v>
      </c>
      <c r="L3921" s="604" t="s">
        <v>432</v>
      </c>
      <c r="M3921" s="604">
        <v>1</v>
      </c>
      <c r="N3921" s="604">
        <v>1351</v>
      </c>
      <c r="O3921" s="604">
        <v>0.7</v>
      </c>
      <c r="P3921" s="604" t="s">
        <v>436</v>
      </c>
      <c r="Q3921" s="499"/>
    </row>
    <row r="3922" spans="9:17">
      <c r="I3922" s="578" t="str">
        <f t="shared" si="207"/>
        <v>1997bwtUnknownPN</v>
      </c>
      <c r="J3922" s="604">
        <v>1997</v>
      </c>
      <c r="K3922" s="604" t="s">
        <v>447</v>
      </c>
      <c r="L3922" s="604" t="s">
        <v>63</v>
      </c>
      <c r="M3922" s="604">
        <v>18</v>
      </c>
      <c r="N3922" s="604">
        <v>74</v>
      </c>
      <c r="O3922" s="604" t="s">
        <v>119</v>
      </c>
      <c r="P3922" s="604" t="s">
        <v>436</v>
      </c>
      <c r="Q3922" s="499"/>
    </row>
    <row r="3923" spans="9:17">
      <c r="I3923" s="578" t="str">
        <f t="shared" si="207"/>
        <v>1998bwt&lt;500PN</v>
      </c>
      <c r="J3923" s="604">
        <v>1998</v>
      </c>
      <c r="K3923" s="604" t="s">
        <v>447</v>
      </c>
      <c r="L3923" s="604" t="s">
        <v>427</v>
      </c>
      <c r="M3923" s="604">
        <v>0</v>
      </c>
      <c r="N3923" s="604">
        <v>33</v>
      </c>
      <c r="O3923" s="604">
        <v>0</v>
      </c>
      <c r="P3923" s="604" t="s">
        <v>436</v>
      </c>
      <c r="Q3923" s="499"/>
    </row>
    <row r="3924" spans="9:17">
      <c r="I3924" s="578" t="str">
        <f t="shared" si="207"/>
        <v>1998bwt500-999PN</v>
      </c>
      <c r="J3924" s="604">
        <v>1998</v>
      </c>
      <c r="K3924" s="604" t="s">
        <v>447</v>
      </c>
      <c r="L3924" s="604" t="s">
        <v>428</v>
      </c>
      <c r="M3924" s="604">
        <v>7</v>
      </c>
      <c r="N3924" s="604">
        <v>231</v>
      </c>
      <c r="O3924" s="604">
        <v>30.3</v>
      </c>
      <c r="P3924" s="604" t="s">
        <v>436</v>
      </c>
      <c r="Q3924" s="499"/>
    </row>
    <row r="3925" spans="9:17">
      <c r="I3925" s="578" t="str">
        <f t="shared" si="207"/>
        <v>1998bwt1000-1499PN</v>
      </c>
      <c r="J3925" s="604">
        <v>1998</v>
      </c>
      <c r="K3925" s="604" t="s">
        <v>447</v>
      </c>
      <c r="L3925" s="604" t="s">
        <v>429</v>
      </c>
      <c r="M3925" s="604">
        <v>3</v>
      </c>
      <c r="N3925" s="604">
        <v>353</v>
      </c>
      <c r="O3925" s="604">
        <v>8.5</v>
      </c>
      <c r="P3925" s="604" t="s">
        <v>436</v>
      </c>
      <c r="Q3925" s="499"/>
    </row>
    <row r="3926" spans="9:17">
      <c r="I3926" s="578" t="str">
        <f t="shared" si="207"/>
        <v>1998bwt1500-2499PN</v>
      </c>
      <c r="J3926" s="604">
        <v>1998</v>
      </c>
      <c r="K3926" s="604" t="s">
        <v>447</v>
      </c>
      <c r="L3926" s="604" t="s">
        <v>430</v>
      </c>
      <c r="M3926" s="604">
        <v>20</v>
      </c>
      <c r="N3926" s="604">
        <v>2980</v>
      </c>
      <c r="O3926" s="604">
        <v>6.7</v>
      </c>
      <c r="P3926" s="604" t="s">
        <v>436</v>
      </c>
      <c r="Q3926" s="499"/>
    </row>
    <row r="3927" spans="9:17">
      <c r="I3927" s="578" t="str">
        <f t="shared" si="207"/>
        <v>1998bwt2500-4499PN</v>
      </c>
      <c r="J3927" s="604">
        <v>1998</v>
      </c>
      <c r="K3927" s="604" t="s">
        <v>447</v>
      </c>
      <c r="L3927" s="604" t="s">
        <v>431</v>
      </c>
      <c r="M3927" s="604">
        <v>106</v>
      </c>
      <c r="N3927" s="604">
        <v>52712</v>
      </c>
      <c r="O3927" s="604">
        <v>2</v>
      </c>
      <c r="P3927" s="604" t="s">
        <v>436</v>
      </c>
      <c r="Q3927" s="499"/>
    </row>
    <row r="3928" spans="9:17">
      <c r="I3928" s="578" t="str">
        <f t="shared" si="207"/>
        <v>1998bwt4500+PN</v>
      </c>
      <c r="J3928" s="604">
        <v>1998</v>
      </c>
      <c r="K3928" s="604" t="s">
        <v>447</v>
      </c>
      <c r="L3928" s="604" t="s">
        <v>432</v>
      </c>
      <c r="M3928" s="604">
        <v>0</v>
      </c>
      <c r="N3928" s="604">
        <v>1351</v>
      </c>
      <c r="O3928" s="604">
        <v>0</v>
      </c>
      <c r="P3928" s="604" t="s">
        <v>436</v>
      </c>
      <c r="Q3928" s="499"/>
    </row>
    <row r="3929" spans="9:17">
      <c r="I3929" s="578" t="str">
        <f t="shared" si="207"/>
        <v>1998bwtUnknownPN</v>
      </c>
      <c r="J3929" s="604">
        <v>1998</v>
      </c>
      <c r="K3929" s="604" t="s">
        <v>447</v>
      </c>
      <c r="L3929" s="604" t="s">
        <v>63</v>
      </c>
      <c r="M3929" s="604">
        <v>1</v>
      </c>
      <c r="N3929" s="604">
        <v>74</v>
      </c>
      <c r="O3929" s="604" t="s">
        <v>119</v>
      </c>
      <c r="P3929" s="604" t="s">
        <v>436</v>
      </c>
      <c r="Q3929" s="499"/>
    </row>
    <row r="3930" spans="9:17">
      <c r="I3930" s="578" t="str">
        <f t="shared" si="207"/>
        <v>1999bwt&lt;500PN</v>
      </c>
      <c r="J3930" s="604">
        <v>1999</v>
      </c>
      <c r="K3930" s="604" t="s">
        <v>447</v>
      </c>
      <c r="L3930" s="604" t="s">
        <v>427</v>
      </c>
      <c r="M3930" s="604">
        <v>0</v>
      </c>
      <c r="N3930" s="604">
        <v>45</v>
      </c>
      <c r="O3930" s="604">
        <v>0</v>
      </c>
      <c r="P3930" s="604" t="s">
        <v>436</v>
      </c>
      <c r="Q3930" s="499"/>
    </row>
    <row r="3931" spans="9:17">
      <c r="I3931" s="578" t="str">
        <f t="shared" si="207"/>
        <v>1999bwt500-999PN</v>
      </c>
      <c r="J3931" s="604">
        <v>1999</v>
      </c>
      <c r="K3931" s="604" t="s">
        <v>447</v>
      </c>
      <c r="L3931" s="604" t="s">
        <v>428</v>
      </c>
      <c r="M3931" s="604">
        <v>9</v>
      </c>
      <c r="N3931" s="604">
        <v>231</v>
      </c>
      <c r="O3931" s="604">
        <v>39</v>
      </c>
      <c r="P3931" s="604" t="s">
        <v>436</v>
      </c>
      <c r="Q3931" s="499"/>
    </row>
    <row r="3932" spans="9:17">
      <c r="I3932" s="578" t="str">
        <f t="shared" si="207"/>
        <v>1999bwt1000-1499PN</v>
      </c>
      <c r="J3932" s="604">
        <v>1999</v>
      </c>
      <c r="K3932" s="604" t="s">
        <v>447</v>
      </c>
      <c r="L3932" s="604" t="s">
        <v>429</v>
      </c>
      <c r="M3932" s="604">
        <v>4</v>
      </c>
      <c r="N3932" s="604">
        <v>355</v>
      </c>
      <c r="O3932" s="604">
        <v>11.3</v>
      </c>
      <c r="P3932" s="604" t="s">
        <v>436</v>
      </c>
      <c r="Q3932" s="499"/>
    </row>
    <row r="3933" spans="9:17">
      <c r="I3933" s="578" t="str">
        <f t="shared" si="207"/>
        <v>1999bwt1500-2499PN</v>
      </c>
      <c r="J3933" s="604">
        <v>1999</v>
      </c>
      <c r="K3933" s="604" t="s">
        <v>447</v>
      </c>
      <c r="L3933" s="604" t="s">
        <v>430</v>
      </c>
      <c r="M3933" s="604">
        <v>13</v>
      </c>
      <c r="N3933" s="604">
        <v>3005</v>
      </c>
      <c r="O3933" s="604">
        <v>4.3</v>
      </c>
      <c r="P3933" s="604" t="s">
        <v>436</v>
      </c>
      <c r="Q3933" s="499"/>
    </row>
    <row r="3934" spans="9:17">
      <c r="I3934" s="578" t="str">
        <f t="shared" si="207"/>
        <v>1999bwt2500-4499PN</v>
      </c>
      <c r="J3934" s="604">
        <v>1999</v>
      </c>
      <c r="K3934" s="604" t="s">
        <v>447</v>
      </c>
      <c r="L3934" s="604" t="s">
        <v>431</v>
      </c>
      <c r="M3934" s="604">
        <v>122</v>
      </c>
      <c r="N3934" s="604">
        <v>52234</v>
      </c>
      <c r="O3934" s="604">
        <v>2.2999999999999998</v>
      </c>
      <c r="P3934" s="604" t="s">
        <v>436</v>
      </c>
      <c r="Q3934" s="499"/>
    </row>
    <row r="3935" spans="9:17">
      <c r="I3935" s="578" t="str">
        <f t="shared" si="207"/>
        <v>1999bwt4500+PN</v>
      </c>
      <c r="J3935" s="604">
        <v>1999</v>
      </c>
      <c r="K3935" s="604" t="s">
        <v>447</v>
      </c>
      <c r="L3935" s="604" t="s">
        <v>432</v>
      </c>
      <c r="M3935" s="604">
        <v>2</v>
      </c>
      <c r="N3935" s="604">
        <v>1505</v>
      </c>
      <c r="O3935" s="604">
        <v>1.3</v>
      </c>
      <c r="P3935" s="604" t="s">
        <v>436</v>
      </c>
      <c r="Q3935" s="499"/>
    </row>
    <row r="3936" spans="9:17">
      <c r="I3936" s="578" t="str">
        <f t="shared" si="207"/>
        <v>1999bwtUnknownPN</v>
      </c>
      <c r="J3936" s="604">
        <v>1999</v>
      </c>
      <c r="K3936" s="604" t="s">
        <v>447</v>
      </c>
      <c r="L3936" s="604" t="s">
        <v>63</v>
      </c>
      <c r="M3936" s="604">
        <v>3</v>
      </c>
      <c r="N3936" s="604">
        <v>46</v>
      </c>
      <c r="O3936" s="604" t="s">
        <v>119</v>
      </c>
      <c r="P3936" s="604" t="s">
        <v>436</v>
      </c>
      <c r="Q3936" s="499"/>
    </row>
    <row r="3937" spans="9:17">
      <c r="I3937" s="578" t="str">
        <f t="shared" si="207"/>
        <v>2000bwt&lt;500PN</v>
      </c>
      <c r="J3937" s="604">
        <v>2000</v>
      </c>
      <c r="K3937" s="604" t="s">
        <v>447</v>
      </c>
      <c r="L3937" s="604" t="s">
        <v>427</v>
      </c>
      <c r="M3937" s="604">
        <v>1</v>
      </c>
      <c r="N3937" s="604">
        <v>65</v>
      </c>
      <c r="O3937" s="604">
        <v>15.4</v>
      </c>
      <c r="P3937" s="604" t="s">
        <v>436</v>
      </c>
      <c r="Q3937" s="499"/>
    </row>
    <row r="3938" spans="9:17">
      <c r="I3938" s="578" t="str">
        <f t="shared" si="207"/>
        <v>2000bwt500-999PN</v>
      </c>
      <c r="J3938" s="604">
        <v>2000</v>
      </c>
      <c r="K3938" s="604" t="s">
        <v>447</v>
      </c>
      <c r="L3938" s="604" t="s">
        <v>428</v>
      </c>
      <c r="M3938" s="604">
        <v>4</v>
      </c>
      <c r="N3938" s="604">
        <v>235</v>
      </c>
      <c r="O3938" s="604">
        <v>17</v>
      </c>
      <c r="P3938" s="604" t="s">
        <v>436</v>
      </c>
      <c r="Q3938" s="499"/>
    </row>
    <row r="3939" spans="9:17">
      <c r="I3939" s="578" t="str">
        <f t="shared" si="207"/>
        <v>2000bwt1000-1499PN</v>
      </c>
      <c r="J3939" s="604">
        <v>2000</v>
      </c>
      <c r="K3939" s="604" t="s">
        <v>447</v>
      </c>
      <c r="L3939" s="604" t="s">
        <v>429</v>
      </c>
      <c r="M3939" s="604">
        <v>5</v>
      </c>
      <c r="N3939" s="604">
        <v>365</v>
      </c>
      <c r="O3939" s="604">
        <v>13.7</v>
      </c>
      <c r="P3939" s="604" t="s">
        <v>436</v>
      </c>
      <c r="Q3939" s="499"/>
    </row>
    <row r="3940" spans="9:17">
      <c r="I3940" s="578" t="str">
        <f t="shared" si="207"/>
        <v>2000bwt1500-2499PN</v>
      </c>
      <c r="J3940" s="604">
        <v>2000</v>
      </c>
      <c r="K3940" s="604" t="s">
        <v>447</v>
      </c>
      <c r="L3940" s="604" t="s">
        <v>430</v>
      </c>
      <c r="M3940" s="604">
        <v>31</v>
      </c>
      <c r="N3940" s="604">
        <v>2949</v>
      </c>
      <c r="O3940" s="604">
        <v>10.5</v>
      </c>
      <c r="P3940" s="604" t="s">
        <v>436</v>
      </c>
      <c r="Q3940" s="499"/>
    </row>
    <row r="3941" spans="9:17">
      <c r="I3941" s="578" t="str">
        <f t="shared" si="207"/>
        <v>2000bwt2500-4499PN</v>
      </c>
      <c r="J3941" s="604">
        <v>2000</v>
      </c>
      <c r="K3941" s="604" t="s">
        <v>447</v>
      </c>
      <c r="L3941" s="604" t="s">
        <v>431</v>
      </c>
      <c r="M3941" s="604">
        <v>97</v>
      </c>
      <c r="N3941" s="604">
        <v>51817</v>
      </c>
      <c r="O3941" s="604">
        <v>1.9</v>
      </c>
      <c r="P3941" s="604" t="s">
        <v>436</v>
      </c>
      <c r="Q3941" s="499"/>
    </row>
    <row r="3942" spans="9:17">
      <c r="I3942" s="578" t="str">
        <f t="shared" si="207"/>
        <v>2000bwt4500+PN</v>
      </c>
      <c r="J3942" s="604">
        <v>2000</v>
      </c>
      <c r="K3942" s="604" t="s">
        <v>447</v>
      </c>
      <c r="L3942" s="604" t="s">
        <v>432</v>
      </c>
      <c r="M3942" s="604">
        <v>1</v>
      </c>
      <c r="N3942" s="604">
        <v>1521</v>
      </c>
      <c r="O3942" s="604">
        <v>0.7</v>
      </c>
      <c r="P3942" s="604" t="s">
        <v>436</v>
      </c>
      <c r="Q3942" s="499"/>
    </row>
    <row r="3943" spans="9:17">
      <c r="I3943" s="578" t="str">
        <f t="shared" si="207"/>
        <v>2000bwtUnknownPN</v>
      </c>
      <c r="J3943" s="604">
        <v>2000</v>
      </c>
      <c r="K3943" s="604" t="s">
        <v>447</v>
      </c>
      <c r="L3943" s="604" t="s">
        <v>63</v>
      </c>
      <c r="M3943" s="604">
        <v>4</v>
      </c>
      <c r="N3943" s="604">
        <v>42</v>
      </c>
      <c r="O3943" s="604" t="s">
        <v>119</v>
      </c>
      <c r="P3943" s="604" t="s">
        <v>436</v>
      </c>
      <c r="Q3943" s="499"/>
    </row>
    <row r="3944" spans="9:17">
      <c r="I3944" s="578" t="str">
        <f t="shared" si="207"/>
        <v>2001bwt&lt;500PN</v>
      </c>
      <c r="J3944" s="604">
        <v>2001</v>
      </c>
      <c r="K3944" s="604" t="s">
        <v>447</v>
      </c>
      <c r="L3944" s="604" t="s">
        <v>427</v>
      </c>
      <c r="M3944" s="604">
        <v>0</v>
      </c>
      <c r="N3944" s="604">
        <v>46</v>
      </c>
      <c r="O3944" s="604">
        <v>0</v>
      </c>
      <c r="P3944" s="604" t="s">
        <v>436</v>
      </c>
      <c r="Q3944" s="499"/>
    </row>
    <row r="3945" spans="9:17">
      <c r="I3945" s="578" t="str">
        <f t="shared" si="207"/>
        <v>2001bwt500-999PN</v>
      </c>
      <c r="J3945" s="604">
        <v>2001</v>
      </c>
      <c r="K3945" s="604" t="s">
        <v>447</v>
      </c>
      <c r="L3945" s="604" t="s">
        <v>428</v>
      </c>
      <c r="M3945" s="604">
        <v>15</v>
      </c>
      <c r="N3945" s="604">
        <v>221</v>
      </c>
      <c r="O3945" s="604">
        <v>67.900000000000006</v>
      </c>
      <c r="P3945" s="604" t="s">
        <v>436</v>
      </c>
      <c r="Q3945" s="499"/>
    </row>
    <row r="3946" spans="9:17">
      <c r="I3946" s="578" t="str">
        <f t="shared" si="207"/>
        <v>2001bwt1000-1499PN</v>
      </c>
      <c r="J3946" s="604">
        <v>2001</v>
      </c>
      <c r="K3946" s="604" t="s">
        <v>447</v>
      </c>
      <c r="L3946" s="604" t="s">
        <v>429</v>
      </c>
      <c r="M3946" s="604">
        <v>6</v>
      </c>
      <c r="N3946" s="604">
        <v>387</v>
      </c>
      <c r="O3946" s="604">
        <v>15.5</v>
      </c>
      <c r="P3946" s="604" t="s">
        <v>436</v>
      </c>
      <c r="Q3946" s="499"/>
    </row>
    <row r="3947" spans="9:17">
      <c r="I3947" s="578" t="str">
        <f t="shared" si="207"/>
        <v>2001bwt1500-2499PN</v>
      </c>
      <c r="J3947" s="604">
        <v>2001</v>
      </c>
      <c r="K3947" s="604" t="s">
        <v>447</v>
      </c>
      <c r="L3947" s="604" t="s">
        <v>430</v>
      </c>
      <c r="M3947" s="604">
        <v>29</v>
      </c>
      <c r="N3947" s="604">
        <v>2989</v>
      </c>
      <c r="O3947" s="604">
        <v>9.6999999999999993</v>
      </c>
      <c r="P3947" s="604" t="s">
        <v>436</v>
      </c>
      <c r="Q3947" s="499"/>
    </row>
    <row r="3948" spans="9:17">
      <c r="I3948" s="578" t="str">
        <f t="shared" si="207"/>
        <v>2001bwt2500-4499PN</v>
      </c>
      <c r="J3948" s="604">
        <v>2001</v>
      </c>
      <c r="K3948" s="604" t="s">
        <v>447</v>
      </c>
      <c r="L3948" s="604" t="s">
        <v>431</v>
      </c>
      <c r="M3948" s="604">
        <v>93</v>
      </c>
      <c r="N3948" s="604">
        <v>51068</v>
      </c>
      <c r="O3948" s="604">
        <v>1.8</v>
      </c>
      <c r="P3948" s="604" t="s">
        <v>436</v>
      </c>
      <c r="Q3948" s="499"/>
    </row>
    <row r="3949" spans="9:17">
      <c r="I3949" s="578" t="str">
        <f t="shared" si="207"/>
        <v>2001bwt4500+PN</v>
      </c>
      <c r="J3949" s="604">
        <v>2001</v>
      </c>
      <c r="K3949" s="604" t="s">
        <v>447</v>
      </c>
      <c r="L3949" s="604" t="s">
        <v>432</v>
      </c>
      <c r="M3949" s="604">
        <v>0</v>
      </c>
      <c r="N3949" s="604">
        <v>1410</v>
      </c>
      <c r="O3949" s="604">
        <v>0</v>
      </c>
      <c r="P3949" s="604" t="s">
        <v>436</v>
      </c>
      <c r="Q3949" s="499"/>
    </row>
    <row r="3950" spans="9:17">
      <c r="I3950" s="578" t="str">
        <f t="shared" si="207"/>
        <v>2001bwtUnknownPN</v>
      </c>
      <c r="J3950" s="604">
        <v>2001</v>
      </c>
      <c r="K3950" s="604" t="s">
        <v>447</v>
      </c>
      <c r="L3950" s="604" t="s">
        <v>63</v>
      </c>
      <c r="M3950" s="604">
        <v>2</v>
      </c>
      <c r="N3950" s="604">
        <v>103</v>
      </c>
      <c r="O3950" s="604" t="s">
        <v>119</v>
      </c>
      <c r="P3950" s="604" t="s">
        <v>436</v>
      </c>
      <c r="Q3950" s="499"/>
    </row>
    <row r="3951" spans="9:17">
      <c r="I3951" s="578" t="str">
        <f t="shared" si="207"/>
        <v>2002bwt&lt;500PN</v>
      </c>
      <c r="J3951" s="604">
        <v>2002</v>
      </c>
      <c r="K3951" s="604" t="s">
        <v>447</v>
      </c>
      <c r="L3951" s="604" t="s">
        <v>427</v>
      </c>
      <c r="M3951" s="604">
        <v>2</v>
      </c>
      <c r="N3951" s="604">
        <v>67</v>
      </c>
      <c r="O3951" s="604">
        <v>29.9</v>
      </c>
      <c r="P3951" s="604" t="s">
        <v>436</v>
      </c>
      <c r="Q3951" s="499"/>
    </row>
    <row r="3952" spans="9:17">
      <c r="I3952" s="578" t="str">
        <f t="shared" si="207"/>
        <v>2002bwt500-999PN</v>
      </c>
      <c r="J3952" s="604">
        <v>2002</v>
      </c>
      <c r="K3952" s="604" t="s">
        <v>447</v>
      </c>
      <c r="L3952" s="604" t="s">
        <v>428</v>
      </c>
      <c r="M3952" s="604">
        <v>12</v>
      </c>
      <c r="N3952" s="604">
        <v>271</v>
      </c>
      <c r="O3952" s="604">
        <v>44.3</v>
      </c>
      <c r="P3952" s="604" t="s">
        <v>436</v>
      </c>
      <c r="Q3952" s="499"/>
    </row>
    <row r="3953" spans="9:17">
      <c r="I3953" s="578" t="str">
        <f t="shared" si="207"/>
        <v>2002bwt1000-1499PN</v>
      </c>
      <c r="J3953" s="604">
        <v>2002</v>
      </c>
      <c r="K3953" s="604" t="s">
        <v>447</v>
      </c>
      <c r="L3953" s="604" t="s">
        <v>429</v>
      </c>
      <c r="M3953" s="604">
        <v>8</v>
      </c>
      <c r="N3953" s="604">
        <v>357</v>
      </c>
      <c r="O3953" s="604">
        <v>22.4</v>
      </c>
      <c r="P3953" s="604" t="s">
        <v>436</v>
      </c>
      <c r="Q3953" s="499"/>
    </row>
    <row r="3954" spans="9:17">
      <c r="I3954" s="578" t="str">
        <f t="shared" si="207"/>
        <v>2002bwt1500-2499PN</v>
      </c>
      <c r="J3954" s="604">
        <v>2002</v>
      </c>
      <c r="K3954" s="604" t="s">
        <v>447</v>
      </c>
      <c r="L3954" s="604" t="s">
        <v>430</v>
      </c>
      <c r="M3954" s="604">
        <v>20</v>
      </c>
      <c r="N3954" s="604">
        <v>2842</v>
      </c>
      <c r="O3954" s="604">
        <v>7</v>
      </c>
      <c r="P3954" s="604" t="s">
        <v>436</v>
      </c>
      <c r="Q3954" s="499"/>
    </row>
    <row r="3955" spans="9:17">
      <c r="I3955" s="578" t="str">
        <f t="shared" si="207"/>
        <v>2002bwt2500-4499PN</v>
      </c>
      <c r="J3955" s="604">
        <v>2002</v>
      </c>
      <c r="K3955" s="604" t="s">
        <v>447</v>
      </c>
      <c r="L3955" s="604" t="s">
        <v>431</v>
      </c>
      <c r="M3955" s="604">
        <v>63</v>
      </c>
      <c r="N3955" s="604">
        <v>49477</v>
      </c>
      <c r="O3955" s="604">
        <v>1.3</v>
      </c>
      <c r="P3955" s="604" t="s">
        <v>436</v>
      </c>
      <c r="Q3955" s="499"/>
    </row>
    <row r="3956" spans="9:17">
      <c r="I3956" s="578" t="str">
        <f t="shared" si="207"/>
        <v>2002bwt4500+PN</v>
      </c>
      <c r="J3956" s="604">
        <v>2002</v>
      </c>
      <c r="K3956" s="604" t="s">
        <v>447</v>
      </c>
      <c r="L3956" s="604" t="s">
        <v>432</v>
      </c>
      <c r="M3956" s="604">
        <v>1</v>
      </c>
      <c r="N3956" s="604">
        <v>1360</v>
      </c>
      <c r="O3956" s="604">
        <v>0.7</v>
      </c>
      <c r="P3956" s="604" t="s">
        <v>436</v>
      </c>
      <c r="Q3956" s="499"/>
    </row>
    <row r="3957" spans="9:17">
      <c r="I3957" s="578" t="str">
        <f t="shared" si="207"/>
        <v>2002bwtUnknownPN</v>
      </c>
      <c r="J3957" s="604">
        <v>2002</v>
      </c>
      <c r="K3957" s="604" t="s">
        <v>447</v>
      </c>
      <c r="L3957" s="604" t="s">
        <v>63</v>
      </c>
      <c r="M3957" s="604">
        <v>10</v>
      </c>
      <c r="N3957" s="604">
        <v>141</v>
      </c>
      <c r="O3957" s="604" t="s">
        <v>119</v>
      </c>
      <c r="P3957" s="604" t="s">
        <v>436</v>
      </c>
      <c r="Q3957" s="499"/>
    </row>
    <row r="3958" spans="9:17">
      <c r="I3958" s="578" t="str">
        <f t="shared" si="207"/>
        <v>2003bwt&lt;500PN</v>
      </c>
      <c r="J3958" s="604">
        <v>2003</v>
      </c>
      <c r="K3958" s="604" t="s">
        <v>447</v>
      </c>
      <c r="L3958" s="604" t="s">
        <v>427</v>
      </c>
      <c r="M3958" s="604">
        <v>0</v>
      </c>
      <c r="N3958" s="604">
        <v>48</v>
      </c>
      <c r="O3958" s="604">
        <v>0</v>
      </c>
      <c r="P3958" s="604" t="s">
        <v>436</v>
      </c>
      <c r="Q3958" s="499"/>
    </row>
    <row r="3959" spans="9:17">
      <c r="I3959" s="578" t="str">
        <f t="shared" si="207"/>
        <v>2003bwt500-999PN</v>
      </c>
      <c r="J3959" s="604">
        <v>2003</v>
      </c>
      <c r="K3959" s="604" t="s">
        <v>447</v>
      </c>
      <c r="L3959" s="604" t="s">
        <v>428</v>
      </c>
      <c r="M3959" s="604">
        <v>6</v>
      </c>
      <c r="N3959" s="604">
        <v>237</v>
      </c>
      <c r="O3959" s="604">
        <v>25.3</v>
      </c>
      <c r="P3959" s="604" t="s">
        <v>436</v>
      </c>
      <c r="Q3959" s="499"/>
    </row>
    <row r="3960" spans="9:17">
      <c r="I3960" s="578" t="str">
        <f t="shared" si="207"/>
        <v>2003bwt1000-1499PN</v>
      </c>
      <c r="J3960" s="604">
        <v>2003</v>
      </c>
      <c r="K3960" s="604" t="s">
        <v>447</v>
      </c>
      <c r="L3960" s="604" t="s">
        <v>429</v>
      </c>
      <c r="M3960" s="604">
        <v>4</v>
      </c>
      <c r="N3960" s="604">
        <v>380</v>
      </c>
      <c r="O3960" s="604">
        <v>10.5</v>
      </c>
      <c r="P3960" s="604" t="s">
        <v>436</v>
      </c>
      <c r="Q3960" s="499"/>
    </row>
    <row r="3961" spans="9:17">
      <c r="I3961" s="578" t="str">
        <f t="shared" si="207"/>
        <v>2003bwt1500-2499PN</v>
      </c>
      <c r="J3961" s="604">
        <v>2003</v>
      </c>
      <c r="K3961" s="604" t="s">
        <v>447</v>
      </c>
      <c r="L3961" s="604" t="s">
        <v>430</v>
      </c>
      <c r="M3961" s="604">
        <v>18</v>
      </c>
      <c r="N3961" s="604">
        <v>2777</v>
      </c>
      <c r="O3961" s="604">
        <v>6.5</v>
      </c>
      <c r="P3961" s="604" t="s">
        <v>436</v>
      </c>
      <c r="Q3961" s="499"/>
    </row>
    <row r="3962" spans="9:17">
      <c r="I3962" s="578" t="str">
        <f t="shared" si="207"/>
        <v>2003bwt2500-4499PN</v>
      </c>
      <c r="J3962" s="604">
        <v>2003</v>
      </c>
      <c r="K3962" s="604" t="s">
        <v>447</v>
      </c>
      <c r="L3962" s="604" t="s">
        <v>431</v>
      </c>
      <c r="M3962" s="604">
        <v>82</v>
      </c>
      <c r="N3962" s="604">
        <v>51534</v>
      </c>
      <c r="O3962" s="604">
        <v>1.6</v>
      </c>
      <c r="P3962" s="604" t="s">
        <v>436</v>
      </c>
      <c r="Q3962" s="499"/>
    </row>
    <row r="3963" spans="9:17">
      <c r="I3963" s="578" t="str">
        <f t="shared" si="207"/>
        <v>2003bwt4500+PN</v>
      </c>
      <c r="J3963" s="604">
        <v>2003</v>
      </c>
      <c r="K3963" s="604" t="s">
        <v>447</v>
      </c>
      <c r="L3963" s="604" t="s">
        <v>432</v>
      </c>
      <c r="M3963" s="604">
        <v>1</v>
      </c>
      <c r="N3963" s="604">
        <v>1557</v>
      </c>
      <c r="O3963" s="604">
        <v>0.6</v>
      </c>
      <c r="P3963" s="604" t="s">
        <v>436</v>
      </c>
      <c r="Q3963" s="499"/>
    </row>
    <row r="3964" spans="9:17">
      <c r="I3964" s="578" t="str">
        <f t="shared" si="207"/>
        <v>2003bwtUnknownPN</v>
      </c>
      <c r="J3964" s="604">
        <v>2003</v>
      </c>
      <c r="K3964" s="604" t="s">
        <v>447</v>
      </c>
      <c r="L3964" s="604" t="s">
        <v>63</v>
      </c>
      <c r="M3964" s="604">
        <v>9</v>
      </c>
      <c r="N3964" s="604">
        <v>43</v>
      </c>
      <c r="O3964" s="604" t="s">
        <v>119</v>
      </c>
      <c r="P3964" s="604" t="s">
        <v>436</v>
      </c>
      <c r="Q3964" s="499"/>
    </row>
    <row r="3965" spans="9:17">
      <c r="I3965" s="578" t="str">
        <f t="shared" si="207"/>
        <v>2004bwt&lt;500PN</v>
      </c>
      <c r="J3965" s="604">
        <v>2004</v>
      </c>
      <c r="K3965" s="604" t="s">
        <v>447</v>
      </c>
      <c r="L3965" s="604" t="s">
        <v>427</v>
      </c>
      <c r="M3965" s="604">
        <v>0</v>
      </c>
      <c r="N3965" s="604">
        <v>60</v>
      </c>
      <c r="O3965" s="604">
        <v>0</v>
      </c>
      <c r="P3965" s="604" t="s">
        <v>436</v>
      </c>
      <c r="Q3965" s="499"/>
    </row>
    <row r="3966" spans="9:17">
      <c r="I3966" s="578" t="str">
        <f t="shared" si="207"/>
        <v>2004bwt500-999PN</v>
      </c>
      <c r="J3966" s="604">
        <v>2004</v>
      </c>
      <c r="K3966" s="604" t="s">
        <v>447</v>
      </c>
      <c r="L3966" s="604" t="s">
        <v>428</v>
      </c>
      <c r="M3966" s="604">
        <v>11</v>
      </c>
      <c r="N3966" s="604">
        <v>218</v>
      </c>
      <c r="O3966" s="604">
        <v>50.5</v>
      </c>
      <c r="P3966" s="604" t="s">
        <v>436</v>
      </c>
      <c r="Q3966" s="499"/>
    </row>
    <row r="3967" spans="9:17">
      <c r="I3967" s="578" t="str">
        <f t="shared" si="207"/>
        <v>2004bwt1000-1499PN</v>
      </c>
      <c r="J3967" s="604">
        <v>2004</v>
      </c>
      <c r="K3967" s="604" t="s">
        <v>447</v>
      </c>
      <c r="L3967" s="604" t="s">
        <v>429</v>
      </c>
      <c r="M3967" s="604">
        <v>8</v>
      </c>
      <c r="N3967" s="604">
        <v>360</v>
      </c>
      <c r="O3967" s="604">
        <v>22.2</v>
      </c>
      <c r="P3967" s="604" t="s">
        <v>436</v>
      </c>
      <c r="Q3967" s="499"/>
    </row>
    <row r="3968" spans="9:17">
      <c r="I3968" s="578" t="str">
        <f t="shared" si="207"/>
        <v>2004bwt1500-2499PN</v>
      </c>
      <c r="J3968" s="604">
        <v>2004</v>
      </c>
      <c r="K3968" s="604" t="s">
        <v>447</v>
      </c>
      <c r="L3968" s="604" t="s">
        <v>430</v>
      </c>
      <c r="M3968" s="604">
        <v>24</v>
      </c>
      <c r="N3968" s="604">
        <v>2964</v>
      </c>
      <c r="O3968" s="604">
        <v>8.1</v>
      </c>
      <c r="P3968" s="604" t="s">
        <v>436</v>
      </c>
      <c r="Q3968" s="499"/>
    </row>
    <row r="3969" spans="9:17">
      <c r="I3969" s="578" t="str">
        <f t="shared" si="207"/>
        <v>2004bwt2500-4499PN</v>
      </c>
      <c r="J3969" s="604">
        <v>2004</v>
      </c>
      <c r="K3969" s="604" t="s">
        <v>447</v>
      </c>
      <c r="L3969" s="604" t="s">
        <v>431</v>
      </c>
      <c r="M3969" s="604">
        <v>95</v>
      </c>
      <c r="N3969" s="604">
        <v>53449</v>
      </c>
      <c r="O3969" s="604">
        <v>1.8</v>
      </c>
      <c r="P3969" s="604" t="s">
        <v>436</v>
      </c>
      <c r="Q3969" s="499"/>
    </row>
    <row r="3970" spans="9:17">
      <c r="I3970" s="578" t="str">
        <f t="shared" si="207"/>
        <v>2004bwt4500+PN</v>
      </c>
      <c r="J3970" s="604">
        <v>2004</v>
      </c>
      <c r="K3970" s="604" t="s">
        <v>447</v>
      </c>
      <c r="L3970" s="604" t="s">
        <v>432</v>
      </c>
      <c r="M3970" s="604">
        <v>1</v>
      </c>
      <c r="N3970" s="604">
        <v>1613</v>
      </c>
      <c r="O3970" s="604">
        <v>0.6</v>
      </c>
      <c r="P3970" s="604" t="s">
        <v>436</v>
      </c>
      <c r="Q3970" s="499"/>
    </row>
    <row r="3971" spans="9:17">
      <c r="I3971" s="578" t="str">
        <f t="shared" si="207"/>
        <v>2004bwtUnknownPN</v>
      </c>
      <c r="J3971" s="604">
        <v>2004</v>
      </c>
      <c r="K3971" s="604" t="s">
        <v>447</v>
      </c>
      <c r="L3971" s="604" t="s">
        <v>63</v>
      </c>
      <c r="M3971" s="604">
        <v>10</v>
      </c>
      <c r="N3971" s="604">
        <v>59</v>
      </c>
      <c r="O3971" s="604" t="s">
        <v>119</v>
      </c>
      <c r="P3971" s="604" t="s">
        <v>436</v>
      </c>
      <c r="Q3971" s="499"/>
    </row>
    <row r="3972" spans="9:17">
      <c r="I3972" s="578" t="str">
        <f t="shared" ref="I3972:I4035" si="208">J3972&amp;K3972&amp;L3972&amp;P3972</f>
        <v>2005bwt&lt;500PN</v>
      </c>
      <c r="J3972" s="604">
        <v>2005</v>
      </c>
      <c r="K3972" s="604" t="s">
        <v>447</v>
      </c>
      <c r="L3972" s="604" t="s">
        <v>427</v>
      </c>
      <c r="M3972" s="604">
        <v>1</v>
      </c>
      <c r="N3972" s="604">
        <v>46</v>
      </c>
      <c r="O3972" s="604">
        <v>21.7</v>
      </c>
      <c r="P3972" s="604" t="s">
        <v>436</v>
      </c>
      <c r="Q3972" s="499"/>
    </row>
    <row r="3973" spans="9:17">
      <c r="I3973" s="578" t="str">
        <f t="shared" si="208"/>
        <v>2005bwt500-999PN</v>
      </c>
      <c r="J3973" s="604">
        <v>2005</v>
      </c>
      <c r="K3973" s="604" t="s">
        <v>447</v>
      </c>
      <c r="L3973" s="604" t="s">
        <v>428</v>
      </c>
      <c r="M3973" s="604">
        <v>7</v>
      </c>
      <c r="N3973" s="604">
        <v>232</v>
      </c>
      <c r="O3973" s="604">
        <v>30.2</v>
      </c>
      <c r="P3973" s="604" t="s">
        <v>436</v>
      </c>
      <c r="Q3973" s="499"/>
    </row>
    <row r="3974" spans="9:17">
      <c r="I3974" s="578" t="str">
        <f t="shared" si="208"/>
        <v>2005bwt1000-1499PN</v>
      </c>
      <c r="J3974" s="604">
        <v>2005</v>
      </c>
      <c r="K3974" s="604" t="s">
        <v>447</v>
      </c>
      <c r="L3974" s="604" t="s">
        <v>429</v>
      </c>
      <c r="M3974" s="604">
        <v>5</v>
      </c>
      <c r="N3974" s="604">
        <v>361</v>
      </c>
      <c r="O3974" s="604">
        <v>13.9</v>
      </c>
      <c r="P3974" s="604" t="s">
        <v>436</v>
      </c>
      <c r="Q3974" s="499"/>
    </row>
    <row r="3975" spans="9:17">
      <c r="I3975" s="578" t="str">
        <f t="shared" si="208"/>
        <v>2005bwt1500-2499PN</v>
      </c>
      <c r="J3975" s="604">
        <v>2005</v>
      </c>
      <c r="K3975" s="604" t="s">
        <v>447</v>
      </c>
      <c r="L3975" s="604" t="s">
        <v>430</v>
      </c>
      <c r="M3975" s="604">
        <v>22</v>
      </c>
      <c r="N3975" s="604">
        <v>2861</v>
      </c>
      <c r="O3975" s="604">
        <v>7.7</v>
      </c>
      <c r="P3975" s="604" t="s">
        <v>436</v>
      </c>
      <c r="Q3975" s="499"/>
    </row>
    <row r="3976" spans="9:17">
      <c r="I3976" s="578" t="str">
        <f t="shared" si="208"/>
        <v>2005bwt2500-4499PN</v>
      </c>
      <c r="J3976" s="604">
        <v>2005</v>
      </c>
      <c r="K3976" s="604" t="s">
        <v>447</v>
      </c>
      <c r="L3976" s="604" t="s">
        <v>431</v>
      </c>
      <c r="M3976" s="604">
        <v>73</v>
      </c>
      <c r="N3976" s="604">
        <v>53572</v>
      </c>
      <c r="O3976" s="604">
        <v>1.4</v>
      </c>
      <c r="P3976" s="604" t="s">
        <v>436</v>
      </c>
      <c r="Q3976" s="499"/>
    </row>
    <row r="3977" spans="9:17">
      <c r="I3977" s="578" t="str">
        <f t="shared" si="208"/>
        <v>2005bwt4500+PN</v>
      </c>
      <c r="J3977" s="604">
        <v>2005</v>
      </c>
      <c r="K3977" s="604" t="s">
        <v>447</v>
      </c>
      <c r="L3977" s="604" t="s">
        <v>432</v>
      </c>
      <c r="M3977" s="604">
        <v>0</v>
      </c>
      <c r="N3977" s="604">
        <v>1607</v>
      </c>
      <c r="O3977" s="604">
        <v>0</v>
      </c>
      <c r="P3977" s="604" t="s">
        <v>436</v>
      </c>
      <c r="Q3977" s="499"/>
    </row>
    <row r="3978" spans="9:17">
      <c r="I3978" s="578" t="str">
        <f t="shared" si="208"/>
        <v>2005bwtUnknownPN</v>
      </c>
      <c r="J3978" s="604">
        <v>2005</v>
      </c>
      <c r="K3978" s="604" t="s">
        <v>447</v>
      </c>
      <c r="L3978" s="604" t="s">
        <v>63</v>
      </c>
      <c r="M3978" s="604">
        <v>3</v>
      </c>
      <c r="N3978" s="604">
        <v>48</v>
      </c>
      <c r="O3978" s="604" t="s">
        <v>119</v>
      </c>
      <c r="P3978" s="604" t="s">
        <v>436</v>
      </c>
      <c r="Q3978" s="499"/>
    </row>
    <row r="3979" spans="9:17">
      <c r="I3979" s="578" t="str">
        <f t="shared" si="208"/>
        <v>2006bwt&lt;500PN</v>
      </c>
      <c r="J3979" s="604">
        <v>2006</v>
      </c>
      <c r="K3979" s="604" t="s">
        <v>447</v>
      </c>
      <c r="L3979" s="604" t="s">
        <v>427</v>
      </c>
      <c r="M3979" s="604">
        <v>0</v>
      </c>
      <c r="N3979" s="604">
        <v>52</v>
      </c>
      <c r="O3979" s="604">
        <v>0</v>
      </c>
      <c r="P3979" s="604" t="s">
        <v>436</v>
      </c>
      <c r="Q3979" s="499"/>
    </row>
    <row r="3980" spans="9:17">
      <c r="I3980" s="578" t="str">
        <f t="shared" si="208"/>
        <v>2006bwt500-999PN</v>
      </c>
      <c r="J3980" s="604">
        <v>2006</v>
      </c>
      <c r="K3980" s="604" t="s">
        <v>447</v>
      </c>
      <c r="L3980" s="604" t="s">
        <v>428</v>
      </c>
      <c r="M3980" s="604">
        <v>10</v>
      </c>
      <c r="N3980" s="604">
        <v>194</v>
      </c>
      <c r="O3980" s="604">
        <v>51.5</v>
      </c>
      <c r="P3980" s="604" t="s">
        <v>436</v>
      </c>
      <c r="Q3980" s="499"/>
    </row>
    <row r="3981" spans="9:17">
      <c r="I3981" s="578" t="str">
        <f t="shared" si="208"/>
        <v>2006bwt1000-1499PN</v>
      </c>
      <c r="J3981" s="604">
        <v>2006</v>
      </c>
      <c r="K3981" s="604" t="s">
        <v>447</v>
      </c>
      <c r="L3981" s="604" t="s">
        <v>429</v>
      </c>
      <c r="M3981" s="604">
        <v>9</v>
      </c>
      <c r="N3981" s="604">
        <v>388</v>
      </c>
      <c r="O3981" s="604">
        <v>23.2</v>
      </c>
      <c r="P3981" s="604" t="s">
        <v>436</v>
      </c>
      <c r="Q3981" s="499"/>
    </row>
    <row r="3982" spans="9:17">
      <c r="I3982" s="578" t="str">
        <f t="shared" si="208"/>
        <v>2006bwt1500-2499PN</v>
      </c>
      <c r="J3982" s="604">
        <v>2006</v>
      </c>
      <c r="K3982" s="604" t="s">
        <v>447</v>
      </c>
      <c r="L3982" s="604" t="s">
        <v>430</v>
      </c>
      <c r="M3982" s="604">
        <v>20</v>
      </c>
      <c r="N3982" s="604">
        <v>2871</v>
      </c>
      <c r="O3982" s="604">
        <v>7</v>
      </c>
      <c r="P3982" s="604" t="s">
        <v>436</v>
      </c>
      <c r="Q3982" s="499"/>
    </row>
    <row r="3983" spans="9:17">
      <c r="I3983" s="578" t="str">
        <f t="shared" si="208"/>
        <v>2006bwt2500-4499PN</v>
      </c>
      <c r="J3983" s="604">
        <v>2006</v>
      </c>
      <c r="K3983" s="604" t="s">
        <v>447</v>
      </c>
      <c r="L3983" s="604" t="s">
        <v>431</v>
      </c>
      <c r="M3983" s="604">
        <v>96</v>
      </c>
      <c r="N3983" s="604">
        <v>55053</v>
      </c>
      <c r="O3983" s="604">
        <v>1.7</v>
      </c>
      <c r="P3983" s="604" t="s">
        <v>436</v>
      </c>
      <c r="Q3983" s="499"/>
    </row>
    <row r="3984" spans="9:17">
      <c r="I3984" s="578" t="str">
        <f t="shared" si="208"/>
        <v>2006bwt4500+PN</v>
      </c>
      <c r="J3984" s="604">
        <v>2006</v>
      </c>
      <c r="K3984" s="604" t="s">
        <v>447</v>
      </c>
      <c r="L3984" s="604" t="s">
        <v>432</v>
      </c>
      <c r="M3984" s="604">
        <v>1</v>
      </c>
      <c r="N3984" s="604">
        <v>1645</v>
      </c>
      <c r="O3984" s="604">
        <v>0.6</v>
      </c>
      <c r="P3984" s="604" t="s">
        <v>436</v>
      </c>
      <c r="Q3984" s="499"/>
    </row>
    <row r="3985" spans="9:17">
      <c r="I3985" s="578" t="str">
        <f t="shared" si="208"/>
        <v>2006bwtUnknownPN</v>
      </c>
      <c r="J3985" s="604">
        <v>2006</v>
      </c>
      <c r="K3985" s="604" t="s">
        <v>447</v>
      </c>
      <c r="L3985" s="604" t="s">
        <v>63</v>
      </c>
      <c r="M3985" s="604">
        <v>7</v>
      </c>
      <c r="N3985" s="604">
        <v>71</v>
      </c>
      <c r="O3985" s="604" t="s">
        <v>119</v>
      </c>
      <c r="P3985" s="604" t="s">
        <v>436</v>
      </c>
      <c r="Q3985" s="499"/>
    </row>
    <row r="3986" spans="9:17">
      <c r="I3986" s="578" t="str">
        <f t="shared" si="208"/>
        <v>2007bwt&lt;500PN</v>
      </c>
      <c r="J3986" s="604">
        <v>2007</v>
      </c>
      <c r="K3986" s="604" t="s">
        <v>447</v>
      </c>
      <c r="L3986" s="604" t="s">
        <v>427</v>
      </c>
      <c r="M3986" s="604">
        <v>1</v>
      </c>
      <c r="N3986" s="604">
        <v>49</v>
      </c>
      <c r="O3986" s="604">
        <v>20.399999999999999</v>
      </c>
      <c r="P3986" s="604" t="s">
        <v>436</v>
      </c>
      <c r="Q3986" s="499"/>
    </row>
    <row r="3987" spans="9:17">
      <c r="I3987" s="578" t="str">
        <f t="shared" si="208"/>
        <v>2007bwt500-999PN</v>
      </c>
      <c r="J3987" s="604">
        <v>2007</v>
      </c>
      <c r="K3987" s="604" t="s">
        <v>447</v>
      </c>
      <c r="L3987" s="604" t="s">
        <v>428</v>
      </c>
      <c r="M3987" s="604">
        <v>9</v>
      </c>
      <c r="N3987" s="604">
        <v>239</v>
      </c>
      <c r="O3987" s="604">
        <v>37.700000000000003</v>
      </c>
      <c r="P3987" s="604" t="s">
        <v>436</v>
      </c>
      <c r="Q3987" s="499"/>
    </row>
    <row r="3988" spans="9:17">
      <c r="I3988" s="578" t="str">
        <f t="shared" si="208"/>
        <v>2007bwt1000-1499PN</v>
      </c>
      <c r="J3988" s="604">
        <v>2007</v>
      </c>
      <c r="K3988" s="604" t="s">
        <v>447</v>
      </c>
      <c r="L3988" s="604" t="s">
        <v>429</v>
      </c>
      <c r="M3988" s="604">
        <v>8</v>
      </c>
      <c r="N3988" s="604">
        <v>396</v>
      </c>
      <c r="O3988" s="604">
        <v>20.2</v>
      </c>
      <c r="P3988" s="604" t="s">
        <v>436</v>
      </c>
      <c r="Q3988" s="499"/>
    </row>
    <row r="3989" spans="9:17">
      <c r="I3989" s="578" t="str">
        <f t="shared" si="208"/>
        <v>2007bwt1500-2499PN</v>
      </c>
      <c r="J3989" s="604">
        <v>2007</v>
      </c>
      <c r="K3989" s="604" t="s">
        <v>447</v>
      </c>
      <c r="L3989" s="604" t="s">
        <v>430</v>
      </c>
      <c r="M3989" s="604">
        <v>22</v>
      </c>
      <c r="N3989" s="604">
        <v>3138</v>
      </c>
      <c r="O3989" s="604">
        <v>7</v>
      </c>
      <c r="P3989" s="604" t="s">
        <v>436</v>
      </c>
      <c r="Q3989" s="499"/>
    </row>
    <row r="3990" spans="9:17">
      <c r="I3990" s="578" t="str">
        <f t="shared" si="208"/>
        <v>2007bwt2500-4499PN</v>
      </c>
      <c r="J3990" s="604">
        <v>2007</v>
      </c>
      <c r="K3990" s="604" t="s">
        <v>447</v>
      </c>
      <c r="L3990" s="604" t="s">
        <v>431</v>
      </c>
      <c r="M3990" s="604">
        <v>99</v>
      </c>
      <c r="N3990" s="604">
        <v>59406</v>
      </c>
      <c r="O3990" s="604">
        <v>1.7</v>
      </c>
      <c r="P3990" s="604" t="s">
        <v>436</v>
      </c>
      <c r="Q3990" s="499"/>
    </row>
    <row r="3991" spans="9:17">
      <c r="I3991" s="578" t="str">
        <f t="shared" si="208"/>
        <v>2007bwt4500+PN</v>
      </c>
      <c r="J3991" s="604">
        <v>2007</v>
      </c>
      <c r="K3991" s="604" t="s">
        <v>447</v>
      </c>
      <c r="L3991" s="604" t="s">
        <v>432</v>
      </c>
      <c r="M3991" s="604">
        <v>1</v>
      </c>
      <c r="N3991" s="604">
        <v>1833</v>
      </c>
      <c r="O3991" s="604">
        <v>0.5</v>
      </c>
      <c r="P3991" s="604" t="s">
        <v>436</v>
      </c>
      <c r="Q3991" s="499"/>
    </row>
    <row r="3992" spans="9:17">
      <c r="I3992" s="578" t="str">
        <f t="shared" si="208"/>
        <v>2007bwtUnknownPN</v>
      </c>
      <c r="J3992" s="604">
        <v>2007</v>
      </c>
      <c r="K3992" s="604" t="s">
        <v>447</v>
      </c>
      <c r="L3992" s="604" t="s">
        <v>63</v>
      </c>
      <c r="M3992" s="604">
        <v>6</v>
      </c>
      <c r="N3992" s="604">
        <v>60</v>
      </c>
      <c r="O3992" s="604" t="s">
        <v>119</v>
      </c>
      <c r="P3992" s="604" t="s">
        <v>436</v>
      </c>
      <c r="Q3992" s="499"/>
    </row>
    <row r="3993" spans="9:17">
      <c r="I3993" s="578" t="str">
        <f t="shared" si="208"/>
        <v>2008bwt&lt;500PN</v>
      </c>
      <c r="J3993" s="604">
        <v>2008</v>
      </c>
      <c r="K3993" s="604" t="s">
        <v>447</v>
      </c>
      <c r="L3993" s="604" t="s">
        <v>427</v>
      </c>
      <c r="M3993" s="604">
        <v>0</v>
      </c>
      <c r="N3993" s="604">
        <v>65</v>
      </c>
      <c r="O3993" s="604">
        <v>0</v>
      </c>
      <c r="P3993" s="604" t="s">
        <v>436</v>
      </c>
      <c r="Q3993" s="499"/>
    </row>
    <row r="3994" spans="9:17">
      <c r="I3994" s="578" t="str">
        <f t="shared" si="208"/>
        <v>2008bwt500-999PN</v>
      </c>
      <c r="J3994" s="604">
        <v>2008</v>
      </c>
      <c r="K3994" s="604" t="s">
        <v>447</v>
      </c>
      <c r="L3994" s="604" t="s">
        <v>428</v>
      </c>
      <c r="M3994" s="604">
        <v>19</v>
      </c>
      <c r="N3994" s="604">
        <v>208</v>
      </c>
      <c r="O3994" s="604">
        <v>91.3</v>
      </c>
      <c r="P3994" s="604" t="s">
        <v>436</v>
      </c>
      <c r="Q3994" s="499"/>
    </row>
    <row r="3995" spans="9:17">
      <c r="I3995" s="578" t="str">
        <f t="shared" si="208"/>
        <v>2008bwt1000-1499PN</v>
      </c>
      <c r="J3995" s="604">
        <v>2008</v>
      </c>
      <c r="K3995" s="604" t="s">
        <v>447</v>
      </c>
      <c r="L3995" s="604" t="s">
        <v>429</v>
      </c>
      <c r="M3995" s="604">
        <v>7</v>
      </c>
      <c r="N3995" s="604">
        <v>390</v>
      </c>
      <c r="O3995" s="604">
        <v>17.899999999999999</v>
      </c>
      <c r="P3995" s="604" t="s">
        <v>436</v>
      </c>
      <c r="Q3995" s="499"/>
    </row>
    <row r="3996" spans="9:17">
      <c r="I3996" s="578" t="str">
        <f t="shared" si="208"/>
        <v>2008bwt1500-2499PN</v>
      </c>
      <c r="J3996" s="604">
        <v>2008</v>
      </c>
      <c r="K3996" s="604" t="s">
        <v>447</v>
      </c>
      <c r="L3996" s="604" t="s">
        <v>430</v>
      </c>
      <c r="M3996" s="604">
        <v>20</v>
      </c>
      <c r="N3996" s="604">
        <v>3187</v>
      </c>
      <c r="O3996" s="604">
        <v>6.3</v>
      </c>
      <c r="P3996" s="604" t="s">
        <v>436</v>
      </c>
      <c r="Q3996" s="499"/>
    </row>
    <row r="3997" spans="9:17">
      <c r="I3997" s="578" t="str">
        <f t="shared" si="208"/>
        <v>2008bwt2500-4499PN</v>
      </c>
      <c r="J3997" s="604">
        <v>2008</v>
      </c>
      <c r="K3997" s="604" t="s">
        <v>447</v>
      </c>
      <c r="L3997" s="604" t="s">
        <v>431</v>
      </c>
      <c r="M3997" s="604">
        <v>78</v>
      </c>
      <c r="N3997" s="604">
        <v>59536</v>
      </c>
      <c r="O3997" s="604">
        <v>1.3</v>
      </c>
      <c r="P3997" s="604" t="s">
        <v>436</v>
      </c>
      <c r="Q3997" s="499"/>
    </row>
    <row r="3998" spans="9:17">
      <c r="I3998" s="578" t="str">
        <f t="shared" si="208"/>
        <v>2008bwt4500+PN</v>
      </c>
      <c r="J3998" s="604">
        <v>2008</v>
      </c>
      <c r="K3998" s="604" t="s">
        <v>447</v>
      </c>
      <c r="L3998" s="604" t="s">
        <v>432</v>
      </c>
      <c r="M3998" s="604">
        <v>3</v>
      </c>
      <c r="N3998" s="604">
        <v>1862</v>
      </c>
      <c r="O3998" s="604">
        <v>1.6</v>
      </c>
      <c r="P3998" s="604" t="s">
        <v>436</v>
      </c>
      <c r="Q3998" s="499"/>
    </row>
    <row r="3999" spans="9:17">
      <c r="I3999" s="578" t="str">
        <f t="shared" si="208"/>
        <v>2008bwtUnknownPN</v>
      </c>
      <c r="J3999" s="604">
        <v>2008</v>
      </c>
      <c r="K3999" s="604" t="s">
        <v>447</v>
      </c>
      <c r="L3999" s="604" t="s">
        <v>63</v>
      </c>
      <c r="M3999" s="604">
        <v>9</v>
      </c>
      <c r="N3999" s="604">
        <v>85</v>
      </c>
      <c r="O3999" s="604" t="s">
        <v>119</v>
      </c>
      <c r="P3999" s="604" t="s">
        <v>436</v>
      </c>
      <c r="Q3999" s="499"/>
    </row>
    <row r="4000" spans="9:17">
      <c r="I4000" s="578" t="str">
        <f t="shared" si="208"/>
        <v>2009bwt&lt;500PN</v>
      </c>
      <c r="J4000" s="604">
        <v>2009</v>
      </c>
      <c r="K4000" s="604" t="s">
        <v>447</v>
      </c>
      <c r="L4000" s="604" t="s">
        <v>427</v>
      </c>
      <c r="M4000" s="604">
        <v>2</v>
      </c>
      <c r="N4000" s="604">
        <v>60</v>
      </c>
      <c r="O4000" s="604">
        <v>33.299999999999997</v>
      </c>
      <c r="P4000" s="604" t="s">
        <v>436</v>
      </c>
      <c r="Q4000" s="499"/>
    </row>
    <row r="4001" spans="9:17">
      <c r="I4001" s="578" t="str">
        <f t="shared" si="208"/>
        <v>2009bwt500-999PN</v>
      </c>
      <c r="J4001" s="604">
        <v>2009</v>
      </c>
      <c r="K4001" s="604" t="s">
        <v>447</v>
      </c>
      <c r="L4001" s="604" t="s">
        <v>428</v>
      </c>
      <c r="M4001" s="604">
        <v>13</v>
      </c>
      <c r="N4001" s="604">
        <v>233</v>
      </c>
      <c r="O4001" s="604">
        <v>55.8</v>
      </c>
      <c r="P4001" s="604" t="s">
        <v>436</v>
      </c>
      <c r="Q4001" s="499"/>
    </row>
    <row r="4002" spans="9:17">
      <c r="I4002" s="578" t="str">
        <f t="shared" si="208"/>
        <v>2009bwt1000-1499PN</v>
      </c>
      <c r="J4002" s="604">
        <v>2009</v>
      </c>
      <c r="K4002" s="604" t="s">
        <v>447</v>
      </c>
      <c r="L4002" s="604" t="s">
        <v>429</v>
      </c>
      <c r="M4002" s="604">
        <v>7</v>
      </c>
      <c r="N4002" s="604">
        <v>379</v>
      </c>
      <c r="O4002" s="604">
        <v>18.5</v>
      </c>
      <c r="P4002" s="604" t="s">
        <v>436</v>
      </c>
      <c r="Q4002" s="499"/>
    </row>
    <row r="4003" spans="9:17">
      <c r="I4003" s="578" t="str">
        <f t="shared" si="208"/>
        <v>2009bwt1500-2499PN</v>
      </c>
      <c r="J4003" s="604">
        <v>2009</v>
      </c>
      <c r="K4003" s="604" t="s">
        <v>447</v>
      </c>
      <c r="L4003" s="604" t="s">
        <v>430</v>
      </c>
      <c r="M4003" s="604">
        <v>23</v>
      </c>
      <c r="N4003" s="604">
        <v>3050</v>
      </c>
      <c r="O4003" s="604">
        <v>7.5</v>
      </c>
      <c r="P4003" s="604" t="s">
        <v>436</v>
      </c>
      <c r="Q4003" s="499"/>
    </row>
    <row r="4004" spans="9:17">
      <c r="I4004" s="578" t="str">
        <f t="shared" si="208"/>
        <v>2009bwt2500-4499PN</v>
      </c>
      <c r="J4004" s="604">
        <v>2009</v>
      </c>
      <c r="K4004" s="604" t="s">
        <v>447</v>
      </c>
      <c r="L4004" s="604" t="s">
        <v>431</v>
      </c>
      <c r="M4004" s="604">
        <v>77</v>
      </c>
      <c r="N4004" s="604">
        <v>57781</v>
      </c>
      <c r="O4004" s="604">
        <v>1.3</v>
      </c>
      <c r="P4004" s="604" t="s">
        <v>436</v>
      </c>
      <c r="Q4004" s="499"/>
    </row>
    <row r="4005" spans="9:17">
      <c r="I4005" s="578" t="str">
        <f t="shared" si="208"/>
        <v>2009bwt4500+PN</v>
      </c>
      <c r="J4005" s="604">
        <v>2009</v>
      </c>
      <c r="K4005" s="604" t="s">
        <v>447</v>
      </c>
      <c r="L4005" s="604" t="s">
        <v>432</v>
      </c>
      <c r="M4005" s="604">
        <v>0</v>
      </c>
      <c r="N4005" s="604">
        <v>1693</v>
      </c>
      <c r="O4005" s="604">
        <v>0</v>
      </c>
      <c r="P4005" s="604" t="s">
        <v>436</v>
      </c>
      <c r="Q4005" s="499"/>
    </row>
    <row r="4006" spans="9:17">
      <c r="I4006" s="578" t="str">
        <f t="shared" si="208"/>
        <v>2009bwtUnknownPN</v>
      </c>
      <c r="J4006" s="604">
        <v>2009</v>
      </c>
      <c r="K4006" s="604" t="s">
        <v>447</v>
      </c>
      <c r="L4006" s="604" t="s">
        <v>63</v>
      </c>
      <c r="M4006" s="604">
        <v>13</v>
      </c>
      <c r="N4006" s="604">
        <v>89</v>
      </c>
      <c r="O4006" s="604" t="s">
        <v>119</v>
      </c>
      <c r="P4006" s="604" t="s">
        <v>436</v>
      </c>
      <c r="Q4006" s="499"/>
    </row>
    <row r="4007" spans="9:17">
      <c r="I4007" s="578" t="str">
        <f t="shared" si="208"/>
        <v>2010bwt&lt;500PN</v>
      </c>
      <c r="J4007" s="604">
        <v>2010</v>
      </c>
      <c r="K4007" s="604" t="s">
        <v>447</v>
      </c>
      <c r="L4007" s="604" t="s">
        <v>427</v>
      </c>
      <c r="M4007" s="604">
        <v>0</v>
      </c>
      <c r="N4007" s="604">
        <v>69</v>
      </c>
      <c r="O4007" s="604">
        <v>0</v>
      </c>
      <c r="P4007" s="604" t="s">
        <v>436</v>
      </c>
      <c r="Q4007" s="499"/>
    </row>
    <row r="4008" spans="9:17">
      <c r="I4008" s="578" t="str">
        <f t="shared" si="208"/>
        <v>2010bwt500-999PN</v>
      </c>
      <c r="J4008" s="604">
        <v>2010</v>
      </c>
      <c r="K4008" s="604" t="s">
        <v>447</v>
      </c>
      <c r="L4008" s="604" t="s">
        <v>428</v>
      </c>
      <c r="M4008" s="604">
        <v>11</v>
      </c>
      <c r="N4008" s="604">
        <v>230</v>
      </c>
      <c r="O4008" s="604">
        <v>47.8</v>
      </c>
      <c r="P4008" s="604" t="s">
        <v>436</v>
      </c>
      <c r="Q4008" s="499"/>
    </row>
    <row r="4009" spans="9:17">
      <c r="I4009" s="578" t="str">
        <f t="shared" si="208"/>
        <v>2010bwt1000-1499PN</v>
      </c>
      <c r="J4009" s="604">
        <v>2010</v>
      </c>
      <c r="K4009" s="604" t="s">
        <v>447</v>
      </c>
      <c r="L4009" s="604" t="s">
        <v>429</v>
      </c>
      <c r="M4009" s="604">
        <v>5</v>
      </c>
      <c r="N4009" s="604">
        <v>377</v>
      </c>
      <c r="O4009" s="604">
        <v>13.3</v>
      </c>
      <c r="P4009" s="604" t="s">
        <v>436</v>
      </c>
      <c r="Q4009" s="499"/>
    </row>
    <row r="4010" spans="9:17">
      <c r="I4010" s="578" t="str">
        <f t="shared" si="208"/>
        <v>2010bwt1500-2499PN</v>
      </c>
      <c r="J4010" s="604">
        <v>2010</v>
      </c>
      <c r="K4010" s="604" t="s">
        <v>447</v>
      </c>
      <c r="L4010" s="604" t="s">
        <v>430</v>
      </c>
      <c r="M4010" s="604">
        <v>22</v>
      </c>
      <c r="N4010" s="604">
        <v>3104</v>
      </c>
      <c r="O4010" s="604">
        <v>7.1</v>
      </c>
      <c r="P4010" s="604" t="s">
        <v>436</v>
      </c>
      <c r="Q4010" s="499"/>
    </row>
    <row r="4011" spans="9:17">
      <c r="I4011" s="578" t="str">
        <f t="shared" si="208"/>
        <v>2010bwt2500-4499PN</v>
      </c>
      <c r="J4011" s="604">
        <v>2010</v>
      </c>
      <c r="K4011" s="604" t="s">
        <v>447</v>
      </c>
      <c r="L4011" s="604" t="s">
        <v>431</v>
      </c>
      <c r="M4011" s="604">
        <v>81</v>
      </c>
      <c r="N4011" s="604">
        <v>59190</v>
      </c>
      <c r="O4011" s="604">
        <v>1.4</v>
      </c>
      <c r="P4011" s="604" t="s">
        <v>436</v>
      </c>
      <c r="Q4011" s="499"/>
    </row>
    <row r="4012" spans="9:17">
      <c r="I4012" s="578" t="str">
        <f t="shared" si="208"/>
        <v>2010bwt4500+PN</v>
      </c>
      <c r="J4012" s="604">
        <v>2010</v>
      </c>
      <c r="K4012" s="604" t="s">
        <v>447</v>
      </c>
      <c r="L4012" s="604" t="s">
        <v>432</v>
      </c>
      <c r="M4012" s="604">
        <v>1</v>
      </c>
      <c r="N4012" s="604">
        <v>1673</v>
      </c>
      <c r="O4012" s="604">
        <v>0.6</v>
      </c>
      <c r="P4012" s="604" t="s">
        <v>436</v>
      </c>
      <c r="Q4012" s="499"/>
    </row>
    <row r="4013" spans="9:17">
      <c r="I4013" s="578" t="str">
        <f t="shared" si="208"/>
        <v>2010bwtUnknownPN</v>
      </c>
      <c r="J4013" s="604">
        <v>2010</v>
      </c>
      <c r="K4013" s="604" t="s">
        <v>447</v>
      </c>
      <c r="L4013" s="604" t="s">
        <v>63</v>
      </c>
      <c r="M4013" s="604">
        <v>7</v>
      </c>
      <c r="N4013" s="604">
        <v>56</v>
      </c>
      <c r="O4013" s="604" t="s">
        <v>119</v>
      </c>
      <c r="P4013" s="604" t="s">
        <v>436</v>
      </c>
      <c r="Q4013" s="499"/>
    </row>
    <row r="4014" spans="9:17">
      <c r="I4014" s="578" t="str">
        <f t="shared" si="208"/>
        <v>2011bwt&lt;500PN</v>
      </c>
      <c r="J4014" s="604">
        <v>2011</v>
      </c>
      <c r="K4014" s="604" t="s">
        <v>447</v>
      </c>
      <c r="L4014" s="604" t="s">
        <v>427</v>
      </c>
      <c r="M4014" s="604">
        <v>1</v>
      </c>
      <c r="N4014" s="604">
        <v>63</v>
      </c>
      <c r="O4014" s="604">
        <v>15.9</v>
      </c>
      <c r="P4014" s="604" t="s">
        <v>436</v>
      </c>
      <c r="Q4014" s="499"/>
    </row>
    <row r="4015" spans="9:17">
      <c r="I4015" s="578" t="str">
        <f t="shared" si="208"/>
        <v>2011bwt500-999PN</v>
      </c>
      <c r="J4015" s="604">
        <v>2011</v>
      </c>
      <c r="K4015" s="604" t="s">
        <v>447</v>
      </c>
      <c r="L4015" s="604" t="s">
        <v>428</v>
      </c>
      <c r="M4015" s="604">
        <v>12</v>
      </c>
      <c r="N4015" s="604">
        <v>209</v>
      </c>
      <c r="O4015" s="604">
        <v>57.4</v>
      </c>
      <c r="P4015" s="604" t="s">
        <v>436</v>
      </c>
      <c r="Q4015" s="499"/>
    </row>
    <row r="4016" spans="9:17">
      <c r="I4016" s="578" t="str">
        <f t="shared" si="208"/>
        <v>2011bwt1000-1499PN</v>
      </c>
      <c r="J4016" s="604">
        <v>2011</v>
      </c>
      <c r="K4016" s="604" t="s">
        <v>447</v>
      </c>
      <c r="L4016" s="604" t="s">
        <v>429</v>
      </c>
      <c r="M4016" s="604">
        <v>7</v>
      </c>
      <c r="N4016" s="604">
        <v>327</v>
      </c>
      <c r="O4016" s="604">
        <v>21.4</v>
      </c>
      <c r="P4016" s="604" t="s">
        <v>436</v>
      </c>
      <c r="Q4016" s="499"/>
    </row>
    <row r="4017" spans="9:17">
      <c r="I4017" s="578" t="str">
        <f t="shared" si="208"/>
        <v>2011bwt1500-2499PN</v>
      </c>
      <c r="J4017" s="604">
        <v>2011</v>
      </c>
      <c r="K4017" s="604" t="s">
        <v>447</v>
      </c>
      <c r="L4017" s="604" t="s">
        <v>430</v>
      </c>
      <c r="M4017" s="604">
        <v>19</v>
      </c>
      <c r="N4017" s="604">
        <v>3086</v>
      </c>
      <c r="O4017" s="604">
        <v>6.2</v>
      </c>
      <c r="P4017" s="604" t="s">
        <v>436</v>
      </c>
      <c r="Q4017" s="499"/>
    </row>
    <row r="4018" spans="9:17">
      <c r="I4018" s="578" t="str">
        <f t="shared" si="208"/>
        <v>2011bwt2500-4499PN</v>
      </c>
      <c r="J4018" s="604">
        <v>2011</v>
      </c>
      <c r="K4018" s="604" t="s">
        <v>447</v>
      </c>
      <c r="L4018" s="604" t="s">
        <v>431</v>
      </c>
      <c r="M4018" s="604">
        <v>79</v>
      </c>
      <c r="N4018" s="604">
        <v>56859</v>
      </c>
      <c r="O4018" s="604">
        <v>1.4</v>
      </c>
      <c r="P4018" s="604" t="s">
        <v>436</v>
      </c>
      <c r="Q4018" s="499"/>
    </row>
    <row r="4019" spans="9:17">
      <c r="I4019" s="578" t="str">
        <f t="shared" si="208"/>
        <v>2011bwt4500+PN</v>
      </c>
      <c r="J4019" s="604">
        <v>2011</v>
      </c>
      <c r="K4019" s="604" t="s">
        <v>447</v>
      </c>
      <c r="L4019" s="604" t="s">
        <v>432</v>
      </c>
      <c r="M4019" s="604">
        <v>3</v>
      </c>
      <c r="N4019" s="604">
        <v>1597</v>
      </c>
      <c r="O4019" s="604">
        <v>1.9</v>
      </c>
      <c r="P4019" s="604" t="s">
        <v>436</v>
      </c>
      <c r="Q4019" s="499"/>
    </row>
    <row r="4020" spans="9:17">
      <c r="I4020" s="578" t="str">
        <f t="shared" si="208"/>
        <v>2011bwtUnknownPN</v>
      </c>
      <c r="J4020" s="604">
        <v>2011</v>
      </c>
      <c r="K4020" s="604" t="s">
        <v>447</v>
      </c>
      <c r="L4020" s="604" t="s">
        <v>63</v>
      </c>
      <c r="M4020" s="604">
        <v>4</v>
      </c>
      <c r="N4020" s="604">
        <v>33</v>
      </c>
      <c r="O4020" s="604" t="s">
        <v>119</v>
      </c>
      <c r="P4020" s="604" t="s">
        <v>436</v>
      </c>
      <c r="Q4020" s="499"/>
    </row>
    <row r="4021" spans="9:17">
      <c r="I4021" s="578" t="str">
        <f t="shared" si="208"/>
        <v>2012bwt&lt;500PN</v>
      </c>
      <c r="J4021" s="604">
        <v>2012</v>
      </c>
      <c r="K4021" s="604" t="s">
        <v>447</v>
      </c>
      <c r="L4021" s="604" t="s">
        <v>427</v>
      </c>
      <c r="M4021" s="604">
        <v>1</v>
      </c>
      <c r="N4021" s="604">
        <v>72</v>
      </c>
      <c r="O4021" s="604">
        <v>13.9</v>
      </c>
      <c r="P4021" s="604" t="s">
        <v>436</v>
      </c>
      <c r="Q4021" s="499"/>
    </row>
    <row r="4022" spans="9:17">
      <c r="I4022" s="578" t="str">
        <f t="shared" si="208"/>
        <v>2012bwt500-999PN</v>
      </c>
      <c r="J4022" s="604">
        <v>2012</v>
      </c>
      <c r="K4022" s="604" t="s">
        <v>447</v>
      </c>
      <c r="L4022" s="604" t="s">
        <v>428</v>
      </c>
      <c r="M4022" s="604">
        <v>11</v>
      </c>
      <c r="N4022" s="604">
        <v>219</v>
      </c>
      <c r="O4022" s="604">
        <v>50.2</v>
      </c>
      <c r="P4022" s="604" t="s">
        <v>436</v>
      </c>
      <c r="Q4022" s="499"/>
    </row>
    <row r="4023" spans="9:17">
      <c r="I4023" s="578" t="str">
        <f t="shared" si="208"/>
        <v>2012bwt1000-1499PN</v>
      </c>
      <c r="J4023" s="604">
        <v>2012</v>
      </c>
      <c r="K4023" s="604" t="s">
        <v>447</v>
      </c>
      <c r="L4023" s="604" t="s">
        <v>429</v>
      </c>
      <c r="M4023" s="604">
        <v>5</v>
      </c>
      <c r="N4023" s="604">
        <v>356</v>
      </c>
      <c r="O4023" s="604">
        <v>14</v>
      </c>
      <c r="P4023" s="604" t="s">
        <v>436</v>
      </c>
      <c r="Q4023" s="499"/>
    </row>
    <row r="4024" spans="9:17">
      <c r="I4024" s="578" t="str">
        <f t="shared" si="208"/>
        <v>2012bwt1500-2499PN</v>
      </c>
      <c r="J4024" s="604">
        <v>2012</v>
      </c>
      <c r="K4024" s="604" t="s">
        <v>447</v>
      </c>
      <c r="L4024" s="604" t="s">
        <v>430</v>
      </c>
      <c r="M4024" s="604">
        <v>15</v>
      </c>
      <c r="N4024" s="604">
        <v>3144</v>
      </c>
      <c r="O4024" s="604">
        <v>4.8</v>
      </c>
      <c r="P4024" s="604" t="s">
        <v>436</v>
      </c>
      <c r="Q4024" s="499"/>
    </row>
    <row r="4025" spans="9:17">
      <c r="I4025" s="578" t="str">
        <f t="shared" si="208"/>
        <v>2012bwt2500-4499PN</v>
      </c>
      <c r="J4025" s="604">
        <v>2012</v>
      </c>
      <c r="K4025" s="604" t="s">
        <v>447</v>
      </c>
      <c r="L4025" s="604" t="s">
        <v>431</v>
      </c>
      <c r="M4025" s="604">
        <v>64</v>
      </c>
      <c r="N4025" s="604">
        <v>56574</v>
      </c>
      <c r="O4025" s="604">
        <v>1.1000000000000001</v>
      </c>
      <c r="P4025" s="604" t="s">
        <v>436</v>
      </c>
      <c r="Q4025" s="499"/>
    </row>
    <row r="4026" spans="9:17">
      <c r="I4026" s="578" t="str">
        <f t="shared" si="208"/>
        <v>2012bwt4500+PN</v>
      </c>
      <c r="J4026" s="604">
        <v>2012</v>
      </c>
      <c r="K4026" s="604" t="s">
        <v>447</v>
      </c>
      <c r="L4026" s="604" t="s">
        <v>432</v>
      </c>
      <c r="M4026" s="604">
        <v>0</v>
      </c>
      <c r="N4026" s="604">
        <v>1642</v>
      </c>
      <c r="O4026" s="604">
        <v>0</v>
      </c>
      <c r="P4026" s="604" t="s">
        <v>436</v>
      </c>
      <c r="Q4026" s="499"/>
    </row>
    <row r="4027" spans="9:17">
      <c r="I4027" s="578" t="str">
        <f t="shared" si="208"/>
        <v>2012bwtUnknownPN</v>
      </c>
      <c r="J4027" s="604">
        <v>2012</v>
      </c>
      <c r="K4027" s="604" t="s">
        <v>447</v>
      </c>
      <c r="L4027" s="604" t="s">
        <v>63</v>
      </c>
      <c r="M4027" s="604">
        <v>4</v>
      </c>
      <c r="N4027" s="604">
        <v>28</v>
      </c>
      <c r="O4027" s="604" t="s">
        <v>119</v>
      </c>
      <c r="P4027" s="604" t="s">
        <v>436</v>
      </c>
      <c r="Q4027" s="499"/>
    </row>
    <row r="4028" spans="9:17">
      <c r="I4028" s="578" t="str">
        <f t="shared" si="208"/>
        <v>2013bwt&lt;500PN</v>
      </c>
      <c r="J4028" s="604">
        <v>2013</v>
      </c>
      <c r="K4028" s="604" t="s">
        <v>447</v>
      </c>
      <c r="L4028" s="604" t="s">
        <v>427</v>
      </c>
      <c r="M4028" s="604">
        <v>0</v>
      </c>
      <c r="N4028" s="604">
        <v>65</v>
      </c>
      <c r="O4028" s="604">
        <v>0</v>
      </c>
      <c r="P4028" s="604" t="s">
        <v>436</v>
      </c>
      <c r="Q4028" s="499"/>
    </row>
    <row r="4029" spans="9:17">
      <c r="I4029" s="578" t="str">
        <f t="shared" si="208"/>
        <v>2013bwt500-999PN</v>
      </c>
      <c r="J4029" s="604">
        <v>2013</v>
      </c>
      <c r="K4029" s="604" t="s">
        <v>447</v>
      </c>
      <c r="L4029" s="604" t="s">
        <v>428</v>
      </c>
      <c r="M4029" s="604">
        <v>19</v>
      </c>
      <c r="N4029" s="604">
        <v>216</v>
      </c>
      <c r="O4029" s="604">
        <v>88</v>
      </c>
      <c r="P4029" s="604" t="s">
        <v>436</v>
      </c>
      <c r="Q4029" s="499"/>
    </row>
    <row r="4030" spans="9:17">
      <c r="I4030" s="578" t="str">
        <f t="shared" si="208"/>
        <v>2013bwt1000-1499PN</v>
      </c>
      <c r="J4030" s="604">
        <v>2013</v>
      </c>
      <c r="K4030" s="604" t="s">
        <v>447</v>
      </c>
      <c r="L4030" s="604" t="s">
        <v>429</v>
      </c>
      <c r="M4030" s="604">
        <v>2</v>
      </c>
      <c r="N4030" s="604">
        <v>317</v>
      </c>
      <c r="O4030" s="604">
        <v>6.3</v>
      </c>
      <c r="P4030" s="604" t="s">
        <v>436</v>
      </c>
      <c r="Q4030" s="499"/>
    </row>
    <row r="4031" spans="9:17">
      <c r="I4031" s="578" t="str">
        <f t="shared" si="208"/>
        <v>2013bwt1500-2499PN</v>
      </c>
      <c r="J4031" s="604">
        <v>2013</v>
      </c>
      <c r="K4031" s="604" t="s">
        <v>447</v>
      </c>
      <c r="L4031" s="604" t="s">
        <v>430</v>
      </c>
      <c r="M4031" s="604">
        <v>11</v>
      </c>
      <c r="N4031" s="604">
        <v>2952</v>
      </c>
      <c r="O4031" s="604">
        <v>3.7</v>
      </c>
      <c r="P4031" s="604" t="s">
        <v>436</v>
      </c>
      <c r="Q4031" s="499"/>
    </row>
    <row r="4032" spans="9:17">
      <c r="I4032" s="578" t="str">
        <f t="shared" si="208"/>
        <v>2013bwt2500-4499PN</v>
      </c>
      <c r="J4032" s="604">
        <v>2013</v>
      </c>
      <c r="K4032" s="604" t="s">
        <v>447</v>
      </c>
      <c r="L4032" s="604" t="s">
        <v>431</v>
      </c>
      <c r="M4032" s="604">
        <v>57</v>
      </c>
      <c r="N4032" s="604">
        <v>54612</v>
      </c>
      <c r="O4032" s="604">
        <v>1</v>
      </c>
      <c r="P4032" s="604" t="s">
        <v>436</v>
      </c>
      <c r="Q4032" s="499"/>
    </row>
    <row r="4033" spans="9:17">
      <c r="I4033" s="578" t="str">
        <f t="shared" si="208"/>
        <v>2013bwt4500+PN</v>
      </c>
      <c r="J4033" s="604">
        <v>2013</v>
      </c>
      <c r="K4033" s="604" t="s">
        <v>447</v>
      </c>
      <c r="L4033" s="604" t="s">
        <v>432</v>
      </c>
      <c r="M4033" s="604">
        <v>1</v>
      </c>
      <c r="N4033" s="604">
        <v>1508</v>
      </c>
      <c r="O4033" s="604">
        <v>0.7</v>
      </c>
      <c r="P4033" s="604" t="s">
        <v>436</v>
      </c>
      <c r="Q4033" s="499"/>
    </row>
    <row r="4034" spans="9:17">
      <c r="I4034" s="578" t="str">
        <f t="shared" si="208"/>
        <v>2013bwtUnknownPN</v>
      </c>
      <c r="J4034" s="604">
        <v>2013</v>
      </c>
      <c r="K4034" s="604" t="s">
        <v>447</v>
      </c>
      <c r="L4034" s="604" t="s">
        <v>63</v>
      </c>
      <c r="M4034" s="604">
        <v>8</v>
      </c>
      <c r="N4034" s="604">
        <v>31</v>
      </c>
      <c r="O4034" s="604" t="s">
        <v>119</v>
      </c>
      <c r="P4034" s="604" t="s">
        <v>436</v>
      </c>
      <c r="Q4034" s="499"/>
    </row>
    <row r="4035" spans="9:17">
      <c r="I4035" s="578" t="str">
        <f t="shared" si="208"/>
        <v>2014bwt&lt;500PN</v>
      </c>
      <c r="J4035" s="604">
        <v>2014</v>
      </c>
      <c r="K4035" s="604" t="s">
        <v>447</v>
      </c>
      <c r="L4035" s="604" t="s">
        <v>427</v>
      </c>
      <c r="M4035" s="604">
        <v>0</v>
      </c>
      <c r="N4035" s="604">
        <v>95</v>
      </c>
      <c r="O4035" s="604">
        <v>0</v>
      </c>
      <c r="P4035" s="604" t="s">
        <v>436</v>
      </c>
      <c r="Q4035" s="499"/>
    </row>
    <row r="4036" spans="9:17">
      <c r="I4036" s="578" t="str">
        <f t="shared" ref="I4036:I4099" si="209">J4036&amp;K4036&amp;L4036&amp;P4036</f>
        <v>2014bwt500-999PN</v>
      </c>
      <c r="J4036" s="604">
        <v>2014</v>
      </c>
      <c r="K4036" s="604" t="s">
        <v>447</v>
      </c>
      <c r="L4036" s="604" t="s">
        <v>428</v>
      </c>
      <c r="M4036" s="604">
        <v>12</v>
      </c>
      <c r="N4036" s="604">
        <v>215</v>
      </c>
      <c r="O4036" s="604">
        <v>55.8</v>
      </c>
      <c r="P4036" s="604" t="s">
        <v>436</v>
      </c>
      <c r="Q4036" s="499"/>
    </row>
    <row r="4037" spans="9:17">
      <c r="I4037" s="578" t="str">
        <f t="shared" si="209"/>
        <v>2014bwt1000-1499PN</v>
      </c>
      <c r="J4037" s="604">
        <v>2014</v>
      </c>
      <c r="K4037" s="604" t="s">
        <v>447</v>
      </c>
      <c r="L4037" s="604" t="s">
        <v>429</v>
      </c>
      <c r="M4037" s="604">
        <v>1</v>
      </c>
      <c r="N4037" s="604">
        <v>312</v>
      </c>
      <c r="O4037" s="604">
        <v>3.2</v>
      </c>
      <c r="P4037" s="604" t="s">
        <v>436</v>
      </c>
      <c r="Q4037" s="499"/>
    </row>
    <row r="4038" spans="9:17">
      <c r="I4038" s="578" t="str">
        <f t="shared" si="209"/>
        <v>2014bwt1500-2499PN</v>
      </c>
      <c r="J4038" s="604">
        <v>2014</v>
      </c>
      <c r="K4038" s="604" t="s">
        <v>447</v>
      </c>
      <c r="L4038" s="604" t="s">
        <v>430</v>
      </c>
      <c r="M4038" s="604">
        <v>14</v>
      </c>
      <c r="N4038" s="604">
        <v>2781</v>
      </c>
      <c r="O4038" s="604">
        <v>5</v>
      </c>
      <c r="P4038" s="604" t="s">
        <v>436</v>
      </c>
      <c r="Q4038" s="499"/>
    </row>
    <row r="4039" spans="9:17">
      <c r="I4039" s="578" t="str">
        <f t="shared" si="209"/>
        <v>2014bwt2500-4499PN</v>
      </c>
      <c r="J4039" s="604">
        <v>2014</v>
      </c>
      <c r="K4039" s="604" t="s">
        <v>447</v>
      </c>
      <c r="L4039" s="604" t="s">
        <v>431</v>
      </c>
      <c r="M4039" s="604">
        <v>62</v>
      </c>
      <c r="N4039" s="604">
        <v>53374</v>
      </c>
      <c r="O4039" s="604">
        <v>1.2</v>
      </c>
      <c r="P4039" s="604" t="s">
        <v>436</v>
      </c>
      <c r="Q4039" s="499"/>
    </row>
    <row r="4040" spans="9:17">
      <c r="I4040" s="578" t="str">
        <f t="shared" si="209"/>
        <v>2014bwt4500+PN</v>
      </c>
      <c r="J4040" s="604">
        <v>2014</v>
      </c>
      <c r="K4040" s="604" t="s">
        <v>447</v>
      </c>
      <c r="L4040" s="604" t="s">
        <v>432</v>
      </c>
      <c r="M4040" s="604">
        <v>1</v>
      </c>
      <c r="N4040" s="604">
        <v>1481</v>
      </c>
      <c r="O4040" s="604">
        <v>0.7</v>
      </c>
      <c r="P4040" s="604" t="s">
        <v>436</v>
      </c>
      <c r="Q4040" s="499"/>
    </row>
    <row r="4041" spans="9:17">
      <c r="I4041" s="578" t="str">
        <f t="shared" si="209"/>
        <v>2014bwtUnknownPN</v>
      </c>
      <c r="J4041" s="604">
        <v>2014</v>
      </c>
      <c r="K4041" s="604" t="s">
        <v>447</v>
      </c>
      <c r="L4041" s="604" t="s">
        <v>63</v>
      </c>
      <c r="M4041" s="604">
        <v>3</v>
      </c>
      <c r="N4041" s="604">
        <v>27</v>
      </c>
      <c r="O4041" s="604" t="s">
        <v>119</v>
      </c>
      <c r="P4041" s="604" t="s">
        <v>436</v>
      </c>
      <c r="Q4041" s="499"/>
    </row>
    <row r="4042" spans="9:17">
      <c r="I4042" s="578" t="str">
        <f t="shared" si="209"/>
        <v>2015bwt&lt;500PN</v>
      </c>
      <c r="J4042" s="604">
        <v>2015</v>
      </c>
      <c r="K4042" s="604" t="s">
        <v>447</v>
      </c>
      <c r="L4042" s="604" t="s">
        <v>427</v>
      </c>
      <c r="M4042" s="604">
        <v>0</v>
      </c>
      <c r="N4042" s="604">
        <v>58</v>
      </c>
      <c r="O4042" s="604">
        <v>0</v>
      </c>
      <c r="P4042" s="604" t="s">
        <v>436</v>
      </c>
      <c r="Q4042" s="499"/>
    </row>
    <row r="4043" spans="9:17">
      <c r="I4043" s="578" t="str">
        <f t="shared" si="209"/>
        <v>2015bwt500-999PN</v>
      </c>
      <c r="J4043" s="604">
        <v>2015</v>
      </c>
      <c r="K4043" s="604" t="s">
        <v>447</v>
      </c>
      <c r="L4043" s="604" t="s">
        <v>428</v>
      </c>
      <c r="M4043" s="604">
        <v>8</v>
      </c>
      <c r="N4043" s="604">
        <v>195</v>
      </c>
      <c r="O4043" s="604">
        <v>41</v>
      </c>
      <c r="P4043" s="604" t="s">
        <v>436</v>
      </c>
      <c r="Q4043" s="499"/>
    </row>
    <row r="4044" spans="9:17">
      <c r="I4044" s="578" t="str">
        <f t="shared" si="209"/>
        <v>2015bwt1000-1499PN</v>
      </c>
      <c r="J4044" s="604">
        <v>2015</v>
      </c>
      <c r="K4044" s="604" t="s">
        <v>447</v>
      </c>
      <c r="L4044" s="604" t="s">
        <v>429</v>
      </c>
      <c r="M4044" s="604">
        <v>5</v>
      </c>
      <c r="N4044" s="604">
        <v>392</v>
      </c>
      <c r="O4044" s="604">
        <v>12.8</v>
      </c>
      <c r="P4044" s="604" t="s">
        <v>436</v>
      </c>
      <c r="Q4044" s="499"/>
    </row>
    <row r="4045" spans="9:17">
      <c r="I4045" s="578" t="str">
        <f t="shared" si="209"/>
        <v>2015bwt1500-2499PN</v>
      </c>
      <c r="J4045" s="604">
        <v>2015</v>
      </c>
      <c r="K4045" s="604" t="s">
        <v>447</v>
      </c>
      <c r="L4045" s="604" t="s">
        <v>430</v>
      </c>
      <c r="M4045" s="604">
        <v>15</v>
      </c>
      <c r="N4045" s="604">
        <v>3014</v>
      </c>
      <c r="O4045" s="604">
        <v>5</v>
      </c>
      <c r="P4045" s="604" t="s">
        <v>436</v>
      </c>
      <c r="Q4045" s="499"/>
    </row>
    <row r="4046" spans="9:17">
      <c r="I4046" s="578" t="str">
        <f t="shared" si="209"/>
        <v>2015bwt2500-4499PN</v>
      </c>
      <c r="J4046" s="604">
        <v>2015</v>
      </c>
      <c r="K4046" s="604" t="s">
        <v>447</v>
      </c>
      <c r="L4046" s="604" t="s">
        <v>431</v>
      </c>
      <c r="M4046" s="604">
        <v>53</v>
      </c>
      <c r="N4046" s="604">
        <v>57027</v>
      </c>
      <c r="O4046" s="604">
        <v>0.9</v>
      </c>
      <c r="P4046" s="604" t="s">
        <v>436</v>
      </c>
      <c r="Q4046" s="499"/>
    </row>
    <row r="4047" spans="9:17">
      <c r="I4047" s="578" t="str">
        <f t="shared" si="209"/>
        <v>2015bwt4500+PN</v>
      </c>
      <c r="J4047" s="604">
        <v>2015</v>
      </c>
      <c r="K4047" s="604" t="s">
        <v>447</v>
      </c>
      <c r="L4047" s="604" t="s">
        <v>432</v>
      </c>
      <c r="M4047" s="604">
        <v>1</v>
      </c>
      <c r="N4047" s="604">
        <v>1390</v>
      </c>
      <c r="O4047" s="604">
        <v>0.7</v>
      </c>
      <c r="P4047" s="604" t="s">
        <v>436</v>
      </c>
      <c r="Q4047" s="499"/>
    </row>
    <row r="4048" spans="9:17">
      <c r="I4048" s="578" t="str">
        <f t="shared" si="209"/>
        <v>2015bwtUnknownPN</v>
      </c>
      <c r="J4048" s="604">
        <v>2015</v>
      </c>
      <c r="K4048" s="604" t="s">
        <v>447</v>
      </c>
      <c r="L4048" s="604" t="s">
        <v>63</v>
      </c>
      <c r="M4048" s="604">
        <v>9</v>
      </c>
      <c r="N4048" s="604">
        <v>46</v>
      </c>
      <c r="O4048" s="604" t="s">
        <v>119</v>
      </c>
      <c r="P4048" s="604" t="s">
        <v>436</v>
      </c>
      <c r="Q4048" s="499"/>
    </row>
    <row r="4049" spans="9:17">
      <c r="I4049" s="578" t="str">
        <f t="shared" si="209"/>
        <v>2016bwt&lt;500PN</v>
      </c>
      <c r="J4049" s="604">
        <v>2016</v>
      </c>
      <c r="K4049" s="604" t="s">
        <v>447</v>
      </c>
      <c r="L4049" s="604" t="s">
        <v>427</v>
      </c>
      <c r="M4049" s="604">
        <v>0</v>
      </c>
      <c r="N4049" s="604">
        <v>53</v>
      </c>
      <c r="O4049" s="604">
        <v>0</v>
      </c>
      <c r="P4049" s="604" t="s">
        <v>436</v>
      </c>
      <c r="Q4049" s="499"/>
    </row>
    <row r="4050" spans="9:17">
      <c r="I4050" s="578" t="str">
        <f t="shared" si="209"/>
        <v>2016bwt500-999PN</v>
      </c>
      <c r="J4050" s="604">
        <v>2016</v>
      </c>
      <c r="K4050" s="604" t="s">
        <v>447</v>
      </c>
      <c r="L4050" s="604" t="s">
        <v>428</v>
      </c>
      <c r="M4050" s="604">
        <v>9</v>
      </c>
      <c r="N4050" s="604">
        <v>196</v>
      </c>
      <c r="O4050" s="604">
        <v>45.9</v>
      </c>
      <c r="P4050" s="604" t="s">
        <v>436</v>
      </c>
      <c r="Q4050" s="499"/>
    </row>
    <row r="4051" spans="9:17">
      <c r="I4051" s="578" t="str">
        <f t="shared" si="209"/>
        <v>2016bwt1000-1499PN</v>
      </c>
      <c r="J4051" s="604">
        <v>2016</v>
      </c>
      <c r="K4051" s="604" t="s">
        <v>447</v>
      </c>
      <c r="L4051" s="604" t="s">
        <v>429</v>
      </c>
      <c r="M4051" s="604">
        <v>2</v>
      </c>
      <c r="N4051" s="604">
        <v>331</v>
      </c>
      <c r="O4051" s="604">
        <v>6</v>
      </c>
      <c r="P4051" s="604" t="s">
        <v>436</v>
      </c>
      <c r="Q4051" s="499"/>
    </row>
    <row r="4052" spans="9:17">
      <c r="I4052" s="578" t="str">
        <f t="shared" si="209"/>
        <v>2016bwt1500-2499PN</v>
      </c>
      <c r="J4052" s="604">
        <v>2016</v>
      </c>
      <c r="K4052" s="604" t="s">
        <v>447</v>
      </c>
      <c r="L4052" s="604" t="s">
        <v>430</v>
      </c>
      <c r="M4052" s="604">
        <v>9</v>
      </c>
      <c r="N4052" s="604">
        <v>2991</v>
      </c>
      <c r="O4052" s="604">
        <v>3</v>
      </c>
      <c r="P4052" s="604" t="s">
        <v>436</v>
      </c>
      <c r="Q4052" s="499"/>
    </row>
    <row r="4053" spans="9:17">
      <c r="I4053" s="578" t="str">
        <f t="shared" si="209"/>
        <v>2016bwt2500-4499PN</v>
      </c>
      <c r="J4053" s="604">
        <v>2016</v>
      </c>
      <c r="K4053" s="604" t="s">
        <v>447</v>
      </c>
      <c r="L4053" s="604" t="s">
        <v>431</v>
      </c>
      <c r="M4053" s="604">
        <v>57</v>
      </c>
      <c r="N4053" s="604">
        <v>55407</v>
      </c>
      <c r="O4053" s="604">
        <v>1</v>
      </c>
      <c r="P4053" s="604" t="s">
        <v>436</v>
      </c>
      <c r="Q4053" s="499"/>
    </row>
    <row r="4054" spans="9:17">
      <c r="I4054" s="578" t="str">
        <f t="shared" si="209"/>
        <v>2016bwt4500+PN</v>
      </c>
      <c r="J4054" s="604">
        <v>2016</v>
      </c>
      <c r="K4054" s="604" t="s">
        <v>447</v>
      </c>
      <c r="L4054" s="604" t="s">
        <v>432</v>
      </c>
      <c r="M4054" s="604">
        <v>0</v>
      </c>
      <c r="N4054" s="604">
        <v>1423</v>
      </c>
      <c r="O4054" s="604">
        <v>0</v>
      </c>
      <c r="P4054" s="604" t="s">
        <v>436</v>
      </c>
      <c r="Q4054" s="499"/>
    </row>
    <row r="4055" spans="9:17">
      <c r="I4055" s="578" t="str">
        <f t="shared" si="209"/>
        <v>2016bwtUnknownPN</v>
      </c>
      <c r="J4055" s="604">
        <v>2016</v>
      </c>
      <c r="K4055" s="604" t="s">
        <v>447</v>
      </c>
      <c r="L4055" s="604" t="s">
        <v>63</v>
      </c>
      <c r="M4055" s="604">
        <v>3</v>
      </c>
      <c r="N4055" s="604">
        <v>35</v>
      </c>
      <c r="O4055" s="604" t="s">
        <v>119</v>
      </c>
      <c r="P4055" s="604" t="s">
        <v>436</v>
      </c>
      <c r="Q4055" s="499"/>
    </row>
    <row r="4056" spans="9:17">
      <c r="I4056" s="578" t="str">
        <f t="shared" si="209"/>
        <v>1996gest&lt;28PN</v>
      </c>
      <c r="J4056" s="604">
        <v>1996</v>
      </c>
      <c r="K4056" s="604" t="s">
        <v>450</v>
      </c>
      <c r="L4056" s="604" t="s">
        <v>375</v>
      </c>
      <c r="M4056" s="604">
        <v>12</v>
      </c>
      <c r="N4056" s="604">
        <v>254</v>
      </c>
      <c r="O4056" s="604">
        <v>47.2</v>
      </c>
      <c r="P4056" s="604" t="s">
        <v>436</v>
      </c>
      <c r="Q4056" s="499"/>
    </row>
    <row r="4057" spans="9:17">
      <c r="I4057" s="578" t="str">
        <f t="shared" si="209"/>
        <v>1996gest28-31PN</v>
      </c>
      <c r="J4057" s="604">
        <v>1996</v>
      </c>
      <c r="K4057" s="604" t="s">
        <v>450</v>
      </c>
      <c r="L4057" s="604" t="s">
        <v>395</v>
      </c>
      <c r="M4057" s="604">
        <v>6</v>
      </c>
      <c r="N4057" s="604">
        <v>461</v>
      </c>
      <c r="O4057" s="604">
        <v>13</v>
      </c>
      <c r="P4057" s="604" t="s">
        <v>436</v>
      </c>
      <c r="Q4057" s="499"/>
    </row>
    <row r="4058" spans="9:17">
      <c r="I4058" s="578" t="str">
        <f t="shared" si="209"/>
        <v>1996gest32-36PN</v>
      </c>
      <c r="J4058" s="604">
        <v>1996</v>
      </c>
      <c r="K4058" s="604" t="s">
        <v>450</v>
      </c>
      <c r="L4058" s="604" t="s">
        <v>136</v>
      </c>
      <c r="M4058" s="604">
        <v>27</v>
      </c>
      <c r="N4058" s="604">
        <v>3265</v>
      </c>
      <c r="O4058" s="604">
        <v>8.3000000000000007</v>
      </c>
      <c r="P4058" s="604" t="s">
        <v>436</v>
      </c>
      <c r="Q4058" s="499"/>
    </row>
    <row r="4059" spans="9:17">
      <c r="I4059" s="578" t="str">
        <f t="shared" si="209"/>
        <v>1996gest37-41PN</v>
      </c>
      <c r="J4059" s="604">
        <v>1996</v>
      </c>
      <c r="K4059" s="604" t="s">
        <v>450</v>
      </c>
      <c r="L4059" s="604" t="s">
        <v>137</v>
      </c>
      <c r="M4059" s="604">
        <v>126</v>
      </c>
      <c r="N4059" s="604">
        <v>50676</v>
      </c>
      <c r="O4059" s="604">
        <v>2.5</v>
      </c>
      <c r="P4059" s="604" t="s">
        <v>436</v>
      </c>
      <c r="Q4059" s="499"/>
    </row>
    <row r="4060" spans="9:17">
      <c r="I4060" s="578" t="str">
        <f t="shared" si="209"/>
        <v>1996gest42+PN</v>
      </c>
      <c r="J4060" s="604">
        <v>1996</v>
      </c>
      <c r="K4060" s="604" t="s">
        <v>450</v>
      </c>
      <c r="L4060" s="604" t="s">
        <v>138</v>
      </c>
      <c r="M4060" s="604">
        <v>6</v>
      </c>
      <c r="N4060" s="604">
        <v>2684</v>
      </c>
      <c r="O4060" s="604">
        <v>2.2000000000000002</v>
      </c>
      <c r="P4060" s="604" t="s">
        <v>436</v>
      </c>
      <c r="Q4060" s="499"/>
    </row>
    <row r="4061" spans="9:17">
      <c r="I4061" s="578" t="str">
        <f t="shared" si="209"/>
        <v>1996gestUnknownPN</v>
      </c>
      <c r="J4061" s="604">
        <v>1996</v>
      </c>
      <c r="K4061" s="604" t="s">
        <v>450</v>
      </c>
      <c r="L4061" s="604" t="s">
        <v>63</v>
      </c>
      <c r="M4061" s="604">
        <v>17</v>
      </c>
      <c r="N4061" s="604">
        <v>94</v>
      </c>
      <c r="O4061" s="604" t="s">
        <v>119</v>
      </c>
      <c r="P4061" s="604" t="s">
        <v>436</v>
      </c>
      <c r="Q4061" s="499"/>
    </row>
    <row r="4062" spans="9:17">
      <c r="I4062" s="578" t="str">
        <f t="shared" si="209"/>
        <v>1997gest&lt;28PN</v>
      </c>
      <c r="J4062" s="604">
        <v>1997</v>
      </c>
      <c r="K4062" s="604" t="s">
        <v>450</v>
      </c>
      <c r="L4062" s="604" t="s">
        <v>375</v>
      </c>
      <c r="M4062" s="604">
        <v>12</v>
      </c>
      <c r="N4062" s="604">
        <v>246</v>
      </c>
      <c r="O4062" s="604">
        <v>48.8</v>
      </c>
      <c r="P4062" s="604" t="s">
        <v>436</v>
      </c>
      <c r="Q4062" s="499"/>
    </row>
    <row r="4063" spans="9:17">
      <c r="I4063" s="578" t="str">
        <f t="shared" si="209"/>
        <v>1997gest28-31PN</v>
      </c>
      <c r="J4063" s="604">
        <v>1997</v>
      </c>
      <c r="K4063" s="604" t="s">
        <v>450</v>
      </c>
      <c r="L4063" s="604" t="s">
        <v>395</v>
      </c>
      <c r="M4063" s="604">
        <v>9</v>
      </c>
      <c r="N4063" s="604">
        <v>435</v>
      </c>
      <c r="O4063" s="604">
        <v>20.7</v>
      </c>
      <c r="P4063" s="604" t="s">
        <v>436</v>
      </c>
      <c r="Q4063" s="499"/>
    </row>
    <row r="4064" spans="9:17">
      <c r="I4064" s="578" t="str">
        <f t="shared" si="209"/>
        <v>1997gest32-36PN</v>
      </c>
      <c r="J4064" s="604">
        <v>1997</v>
      </c>
      <c r="K4064" s="604" t="s">
        <v>450</v>
      </c>
      <c r="L4064" s="604" t="s">
        <v>136</v>
      </c>
      <c r="M4064" s="604">
        <v>25</v>
      </c>
      <c r="N4064" s="604">
        <v>3324</v>
      </c>
      <c r="O4064" s="604">
        <v>7.5</v>
      </c>
      <c r="P4064" s="604" t="s">
        <v>436</v>
      </c>
      <c r="Q4064" s="499"/>
    </row>
    <row r="4065" spans="9:17">
      <c r="I4065" s="578" t="str">
        <f t="shared" si="209"/>
        <v>1997gest37-41PN</v>
      </c>
      <c r="J4065" s="604">
        <v>1997</v>
      </c>
      <c r="K4065" s="604" t="s">
        <v>450</v>
      </c>
      <c r="L4065" s="604" t="s">
        <v>137</v>
      </c>
      <c r="M4065" s="604">
        <v>111</v>
      </c>
      <c r="N4065" s="604">
        <v>51106</v>
      </c>
      <c r="O4065" s="604">
        <v>2.2000000000000002</v>
      </c>
      <c r="P4065" s="604" t="s">
        <v>436</v>
      </c>
      <c r="Q4065" s="499"/>
    </row>
    <row r="4066" spans="9:17">
      <c r="I4066" s="578" t="str">
        <f t="shared" si="209"/>
        <v>1997gest42+PN</v>
      </c>
      <c r="J4066" s="604">
        <v>1997</v>
      </c>
      <c r="K4066" s="604" t="s">
        <v>450</v>
      </c>
      <c r="L4066" s="604" t="s">
        <v>138</v>
      </c>
      <c r="M4066" s="604">
        <v>5</v>
      </c>
      <c r="N4066" s="604">
        <v>2569</v>
      </c>
      <c r="O4066" s="604">
        <v>1.9</v>
      </c>
      <c r="P4066" s="604" t="s">
        <v>436</v>
      </c>
      <c r="Q4066" s="499"/>
    </row>
    <row r="4067" spans="9:17">
      <c r="I4067" s="578" t="str">
        <f t="shared" si="209"/>
        <v>1997gestUnknownPN</v>
      </c>
      <c r="J4067" s="604">
        <v>1997</v>
      </c>
      <c r="K4067" s="604" t="s">
        <v>450</v>
      </c>
      <c r="L4067" s="604" t="s">
        <v>63</v>
      </c>
      <c r="M4067" s="604">
        <v>20</v>
      </c>
      <c r="N4067" s="604">
        <v>54</v>
      </c>
      <c r="O4067" s="604" t="s">
        <v>119</v>
      </c>
      <c r="P4067" s="604" t="s">
        <v>436</v>
      </c>
      <c r="Q4067" s="499"/>
    </row>
    <row r="4068" spans="9:17">
      <c r="I4068" s="578" t="str">
        <f t="shared" si="209"/>
        <v>1998gest&lt;28PN</v>
      </c>
      <c r="J4068" s="604">
        <v>1998</v>
      </c>
      <c r="K4068" s="604" t="s">
        <v>450</v>
      </c>
      <c r="L4068" s="604" t="s">
        <v>375</v>
      </c>
      <c r="M4068" s="604">
        <v>5</v>
      </c>
      <c r="N4068" s="604">
        <v>246</v>
      </c>
      <c r="O4068" s="604">
        <v>20.3</v>
      </c>
      <c r="P4068" s="604" t="s">
        <v>436</v>
      </c>
      <c r="Q4068" s="499"/>
    </row>
    <row r="4069" spans="9:17">
      <c r="I4069" s="578" t="str">
        <f t="shared" si="209"/>
        <v>1998gest28-31PN</v>
      </c>
      <c r="J4069" s="604">
        <v>1998</v>
      </c>
      <c r="K4069" s="604" t="s">
        <v>450</v>
      </c>
      <c r="L4069" s="604" t="s">
        <v>395</v>
      </c>
      <c r="M4069" s="604">
        <v>6</v>
      </c>
      <c r="N4069" s="604">
        <v>435</v>
      </c>
      <c r="O4069" s="604">
        <v>13.8</v>
      </c>
      <c r="P4069" s="604" t="s">
        <v>436</v>
      </c>
      <c r="Q4069" s="499"/>
    </row>
    <row r="4070" spans="9:17">
      <c r="I4070" s="578" t="str">
        <f t="shared" si="209"/>
        <v>1998gest32-36PN</v>
      </c>
      <c r="J4070" s="604">
        <v>1998</v>
      </c>
      <c r="K4070" s="604" t="s">
        <v>450</v>
      </c>
      <c r="L4070" s="604" t="s">
        <v>136</v>
      </c>
      <c r="M4070" s="604">
        <v>27</v>
      </c>
      <c r="N4070" s="604">
        <v>3324</v>
      </c>
      <c r="O4070" s="604">
        <v>8.1</v>
      </c>
      <c r="P4070" s="604" t="s">
        <v>436</v>
      </c>
      <c r="Q4070" s="499"/>
    </row>
    <row r="4071" spans="9:17">
      <c r="I4071" s="578" t="str">
        <f t="shared" si="209"/>
        <v>1998gest37-41PN</v>
      </c>
      <c r="J4071" s="604">
        <v>1998</v>
      </c>
      <c r="K4071" s="604" t="s">
        <v>450</v>
      </c>
      <c r="L4071" s="604" t="s">
        <v>137</v>
      </c>
      <c r="M4071" s="604">
        <v>95</v>
      </c>
      <c r="N4071" s="604">
        <v>51106</v>
      </c>
      <c r="O4071" s="604">
        <v>1.9</v>
      </c>
      <c r="P4071" s="604" t="s">
        <v>436</v>
      </c>
      <c r="Q4071" s="499"/>
    </row>
    <row r="4072" spans="9:17">
      <c r="I4072" s="578" t="str">
        <f t="shared" si="209"/>
        <v>1998gest42+PN</v>
      </c>
      <c r="J4072" s="604">
        <v>1998</v>
      </c>
      <c r="K4072" s="604" t="s">
        <v>450</v>
      </c>
      <c r="L4072" s="604" t="s">
        <v>138</v>
      </c>
      <c r="M4072" s="604">
        <v>3</v>
      </c>
      <c r="N4072" s="604">
        <v>2569</v>
      </c>
      <c r="O4072" s="604">
        <v>1.2</v>
      </c>
      <c r="P4072" s="604" t="s">
        <v>436</v>
      </c>
      <c r="Q4072" s="499"/>
    </row>
    <row r="4073" spans="9:17">
      <c r="I4073" s="578" t="str">
        <f t="shared" si="209"/>
        <v>1998gestUnknownPN</v>
      </c>
      <c r="J4073" s="604">
        <v>1998</v>
      </c>
      <c r="K4073" s="604" t="s">
        <v>450</v>
      </c>
      <c r="L4073" s="604" t="s">
        <v>63</v>
      </c>
      <c r="M4073" s="604">
        <v>1</v>
      </c>
      <c r="N4073" s="604">
        <v>54</v>
      </c>
      <c r="O4073" s="604" t="s">
        <v>119</v>
      </c>
      <c r="P4073" s="604" t="s">
        <v>436</v>
      </c>
      <c r="Q4073" s="499"/>
    </row>
    <row r="4074" spans="9:17">
      <c r="I4074" s="578" t="str">
        <f t="shared" si="209"/>
        <v>1999gest&lt;28PN</v>
      </c>
      <c r="J4074" s="604">
        <v>1999</v>
      </c>
      <c r="K4074" s="604" t="s">
        <v>450</v>
      </c>
      <c r="L4074" s="604" t="s">
        <v>375</v>
      </c>
      <c r="M4074" s="604">
        <v>9</v>
      </c>
      <c r="N4074" s="604">
        <v>283</v>
      </c>
      <c r="O4074" s="604">
        <v>31.8</v>
      </c>
      <c r="P4074" s="604" t="s">
        <v>436</v>
      </c>
      <c r="Q4074" s="499"/>
    </row>
    <row r="4075" spans="9:17">
      <c r="I4075" s="578" t="str">
        <f t="shared" si="209"/>
        <v>1999gest28-31PN</v>
      </c>
      <c r="J4075" s="604">
        <v>1999</v>
      </c>
      <c r="K4075" s="604" t="s">
        <v>450</v>
      </c>
      <c r="L4075" s="604" t="s">
        <v>395</v>
      </c>
      <c r="M4075" s="604">
        <v>5</v>
      </c>
      <c r="N4075" s="604">
        <v>458</v>
      </c>
      <c r="O4075" s="604">
        <v>10.9</v>
      </c>
      <c r="P4075" s="604" t="s">
        <v>436</v>
      </c>
      <c r="Q4075" s="499"/>
    </row>
    <row r="4076" spans="9:17">
      <c r="I4076" s="578" t="str">
        <f t="shared" si="209"/>
        <v>1999gest32-36PN</v>
      </c>
      <c r="J4076" s="604">
        <v>1999</v>
      </c>
      <c r="K4076" s="604" t="s">
        <v>450</v>
      </c>
      <c r="L4076" s="604" t="s">
        <v>136</v>
      </c>
      <c r="M4076" s="604">
        <v>10</v>
      </c>
      <c r="N4076" s="604">
        <v>3552</v>
      </c>
      <c r="O4076" s="604">
        <v>2.8</v>
      </c>
      <c r="P4076" s="604" t="s">
        <v>436</v>
      </c>
      <c r="Q4076" s="499"/>
    </row>
    <row r="4077" spans="9:17">
      <c r="I4077" s="578" t="str">
        <f t="shared" si="209"/>
        <v>1999gest37-41PN</v>
      </c>
      <c r="J4077" s="604">
        <v>1999</v>
      </c>
      <c r="K4077" s="604" t="s">
        <v>450</v>
      </c>
      <c r="L4077" s="604" t="s">
        <v>137</v>
      </c>
      <c r="M4077" s="604">
        <v>123</v>
      </c>
      <c r="N4077" s="604">
        <v>50938</v>
      </c>
      <c r="O4077" s="604">
        <v>2.4</v>
      </c>
      <c r="P4077" s="604" t="s">
        <v>436</v>
      </c>
      <c r="Q4077" s="499"/>
    </row>
    <row r="4078" spans="9:17">
      <c r="I4078" s="578" t="str">
        <f t="shared" si="209"/>
        <v>1999gest42+PN</v>
      </c>
      <c r="J4078" s="604">
        <v>1999</v>
      </c>
      <c r="K4078" s="604" t="s">
        <v>450</v>
      </c>
      <c r="L4078" s="604" t="s">
        <v>138</v>
      </c>
      <c r="M4078" s="604">
        <v>1</v>
      </c>
      <c r="N4078" s="604">
        <v>2156</v>
      </c>
      <c r="O4078" s="604">
        <v>0.5</v>
      </c>
      <c r="P4078" s="604" t="s">
        <v>436</v>
      </c>
      <c r="Q4078" s="499"/>
    </row>
    <row r="4079" spans="9:17">
      <c r="I4079" s="578" t="str">
        <f t="shared" si="209"/>
        <v>1999gestUnknownPN</v>
      </c>
      <c r="J4079" s="604">
        <v>1999</v>
      </c>
      <c r="K4079" s="604" t="s">
        <v>450</v>
      </c>
      <c r="L4079" s="604" t="s">
        <v>63</v>
      </c>
      <c r="M4079" s="604">
        <v>5</v>
      </c>
      <c r="N4079" s="604">
        <v>34</v>
      </c>
      <c r="O4079" s="604" t="s">
        <v>119</v>
      </c>
      <c r="P4079" s="604" t="s">
        <v>436</v>
      </c>
      <c r="Q4079" s="499"/>
    </row>
    <row r="4080" spans="9:17">
      <c r="I4080" s="578" t="str">
        <f t="shared" si="209"/>
        <v>2000gest&lt;28PN</v>
      </c>
      <c r="J4080" s="604">
        <v>2000</v>
      </c>
      <c r="K4080" s="604" t="s">
        <v>450</v>
      </c>
      <c r="L4080" s="604" t="s">
        <v>375</v>
      </c>
      <c r="M4080" s="604">
        <v>6</v>
      </c>
      <c r="N4080" s="604">
        <v>318</v>
      </c>
      <c r="O4080" s="604">
        <v>18.899999999999999</v>
      </c>
      <c r="P4080" s="604" t="s">
        <v>436</v>
      </c>
      <c r="Q4080" s="499"/>
    </row>
    <row r="4081" spans="9:17">
      <c r="I4081" s="578" t="str">
        <f t="shared" si="209"/>
        <v>2000gest28-31PN</v>
      </c>
      <c r="J4081" s="604">
        <v>2000</v>
      </c>
      <c r="K4081" s="604" t="s">
        <v>450</v>
      </c>
      <c r="L4081" s="604" t="s">
        <v>395</v>
      </c>
      <c r="M4081" s="604">
        <v>9</v>
      </c>
      <c r="N4081" s="604">
        <v>454</v>
      </c>
      <c r="O4081" s="604">
        <v>19.8</v>
      </c>
      <c r="P4081" s="604" t="s">
        <v>436</v>
      </c>
      <c r="Q4081" s="499"/>
    </row>
    <row r="4082" spans="9:17">
      <c r="I4082" s="578" t="str">
        <f t="shared" si="209"/>
        <v>2000gest32-36PN</v>
      </c>
      <c r="J4082" s="604">
        <v>2000</v>
      </c>
      <c r="K4082" s="604" t="s">
        <v>450</v>
      </c>
      <c r="L4082" s="604" t="s">
        <v>136</v>
      </c>
      <c r="M4082" s="604">
        <v>30</v>
      </c>
      <c r="N4082" s="604">
        <v>3461</v>
      </c>
      <c r="O4082" s="604">
        <v>8.6999999999999993</v>
      </c>
      <c r="P4082" s="604" t="s">
        <v>436</v>
      </c>
      <c r="Q4082" s="499"/>
    </row>
    <row r="4083" spans="9:17">
      <c r="I4083" s="578" t="str">
        <f t="shared" si="209"/>
        <v>2000gest37-41PN</v>
      </c>
      <c r="J4083" s="604">
        <v>2000</v>
      </c>
      <c r="K4083" s="604" t="s">
        <v>450</v>
      </c>
      <c r="L4083" s="604" t="s">
        <v>137</v>
      </c>
      <c r="M4083" s="604">
        <v>92</v>
      </c>
      <c r="N4083" s="604">
        <v>50864</v>
      </c>
      <c r="O4083" s="604">
        <v>1.8</v>
      </c>
      <c r="P4083" s="604" t="s">
        <v>436</v>
      </c>
      <c r="Q4083" s="499"/>
    </row>
    <row r="4084" spans="9:17">
      <c r="I4084" s="578" t="str">
        <f t="shared" si="209"/>
        <v>2000gest42+PN</v>
      </c>
      <c r="J4084" s="604">
        <v>2000</v>
      </c>
      <c r="K4084" s="604" t="s">
        <v>450</v>
      </c>
      <c r="L4084" s="604" t="s">
        <v>138</v>
      </c>
      <c r="M4084" s="604">
        <v>3</v>
      </c>
      <c r="N4084" s="604">
        <v>1868</v>
      </c>
      <c r="O4084" s="604">
        <v>1.6</v>
      </c>
      <c r="P4084" s="604" t="s">
        <v>436</v>
      </c>
      <c r="Q4084" s="499"/>
    </row>
    <row r="4085" spans="9:17">
      <c r="I4085" s="578" t="str">
        <f t="shared" si="209"/>
        <v>2000gestUnknownPN</v>
      </c>
      <c r="J4085" s="604">
        <v>2000</v>
      </c>
      <c r="K4085" s="604" t="s">
        <v>450</v>
      </c>
      <c r="L4085" s="604" t="s">
        <v>63</v>
      </c>
      <c r="M4085" s="604">
        <v>3</v>
      </c>
      <c r="N4085" s="604">
        <v>29</v>
      </c>
      <c r="O4085" s="604" t="s">
        <v>119</v>
      </c>
      <c r="P4085" s="604" t="s">
        <v>436</v>
      </c>
      <c r="Q4085" s="499"/>
    </row>
    <row r="4086" spans="9:17">
      <c r="I4086" s="578" t="str">
        <f t="shared" si="209"/>
        <v>2001gest&lt;28PN</v>
      </c>
      <c r="J4086" s="604">
        <v>2001</v>
      </c>
      <c r="K4086" s="604" t="s">
        <v>450</v>
      </c>
      <c r="L4086" s="604" t="s">
        <v>375</v>
      </c>
      <c r="M4086" s="604">
        <v>17</v>
      </c>
      <c r="N4086" s="604">
        <v>247</v>
      </c>
      <c r="O4086" s="604">
        <v>68.8</v>
      </c>
      <c r="P4086" s="604" t="s">
        <v>436</v>
      </c>
      <c r="Q4086" s="499"/>
    </row>
    <row r="4087" spans="9:17">
      <c r="I4087" s="578" t="str">
        <f t="shared" si="209"/>
        <v>2001gest28-31PN</v>
      </c>
      <c r="J4087" s="604">
        <v>2001</v>
      </c>
      <c r="K4087" s="604" t="s">
        <v>450</v>
      </c>
      <c r="L4087" s="604" t="s">
        <v>395</v>
      </c>
      <c r="M4087" s="604">
        <v>8</v>
      </c>
      <c r="N4087" s="604">
        <v>490</v>
      </c>
      <c r="O4087" s="604">
        <v>16.3</v>
      </c>
      <c r="P4087" s="604" t="s">
        <v>436</v>
      </c>
      <c r="Q4087" s="499"/>
    </row>
    <row r="4088" spans="9:17">
      <c r="I4088" s="578" t="str">
        <f t="shared" si="209"/>
        <v>2001gest32-36PN</v>
      </c>
      <c r="J4088" s="604">
        <v>2001</v>
      </c>
      <c r="K4088" s="604" t="s">
        <v>450</v>
      </c>
      <c r="L4088" s="604" t="s">
        <v>136</v>
      </c>
      <c r="M4088" s="604">
        <v>18</v>
      </c>
      <c r="N4088" s="604">
        <v>3463</v>
      </c>
      <c r="O4088" s="604">
        <v>5.2</v>
      </c>
      <c r="P4088" s="604" t="s">
        <v>436</v>
      </c>
      <c r="Q4088" s="499"/>
    </row>
    <row r="4089" spans="9:17">
      <c r="I4089" s="578" t="str">
        <f t="shared" si="209"/>
        <v>2001gest37-41PN</v>
      </c>
      <c r="J4089" s="604">
        <v>2001</v>
      </c>
      <c r="K4089" s="604" t="s">
        <v>450</v>
      </c>
      <c r="L4089" s="604" t="s">
        <v>137</v>
      </c>
      <c r="M4089" s="604">
        <v>98</v>
      </c>
      <c r="N4089" s="604">
        <v>50230</v>
      </c>
      <c r="O4089" s="604">
        <v>2</v>
      </c>
      <c r="P4089" s="604" t="s">
        <v>436</v>
      </c>
      <c r="Q4089" s="499"/>
    </row>
    <row r="4090" spans="9:17">
      <c r="I4090" s="578" t="str">
        <f t="shared" si="209"/>
        <v>2001gest42+PN</v>
      </c>
      <c r="J4090" s="604">
        <v>2001</v>
      </c>
      <c r="K4090" s="604" t="s">
        <v>450</v>
      </c>
      <c r="L4090" s="604" t="s">
        <v>138</v>
      </c>
      <c r="M4090" s="604">
        <v>2</v>
      </c>
      <c r="N4090" s="604">
        <v>1738</v>
      </c>
      <c r="O4090" s="604">
        <v>1.2</v>
      </c>
      <c r="P4090" s="604" t="s">
        <v>436</v>
      </c>
      <c r="Q4090" s="499"/>
    </row>
    <row r="4091" spans="9:17">
      <c r="I4091" s="578" t="str">
        <f t="shared" si="209"/>
        <v>2001gestUnknownPN</v>
      </c>
      <c r="J4091" s="604">
        <v>2001</v>
      </c>
      <c r="K4091" s="604" t="s">
        <v>450</v>
      </c>
      <c r="L4091" s="604" t="s">
        <v>63</v>
      </c>
      <c r="M4091" s="604">
        <v>2</v>
      </c>
      <c r="N4091" s="604">
        <v>56</v>
      </c>
      <c r="O4091" s="604" t="s">
        <v>119</v>
      </c>
      <c r="P4091" s="604" t="s">
        <v>436</v>
      </c>
      <c r="Q4091" s="499"/>
    </row>
    <row r="4092" spans="9:17">
      <c r="I4092" s="578" t="str">
        <f t="shared" si="209"/>
        <v>2002gest&lt;28PN</v>
      </c>
      <c r="J4092" s="604">
        <v>2002</v>
      </c>
      <c r="K4092" s="604" t="s">
        <v>450</v>
      </c>
      <c r="L4092" s="604" t="s">
        <v>375</v>
      </c>
      <c r="M4092" s="604">
        <v>13</v>
      </c>
      <c r="N4092" s="604">
        <v>326</v>
      </c>
      <c r="O4092" s="604">
        <v>39.9</v>
      </c>
      <c r="P4092" s="604" t="s">
        <v>436</v>
      </c>
      <c r="Q4092" s="499"/>
    </row>
    <row r="4093" spans="9:17">
      <c r="I4093" s="578" t="str">
        <f t="shared" si="209"/>
        <v>2002gest28-31PN</v>
      </c>
      <c r="J4093" s="604">
        <v>2002</v>
      </c>
      <c r="K4093" s="604" t="s">
        <v>450</v>
      </c>
      <c r="L4093" s="604" t="s">
        <v>395</v>
      </c>
      <c r="M4093" s="604">
        <v>7</v>
      </c>
      <c r="N4093" s="604">
        <v>433</v>
      </c>
      <c r="O4093" s="604">
        <v>16.2</v>
      </c>
      <c r="P4093" s="604" t="s">
        <v>436</v>
      </c>
      <c r="Q4093" s="499"/>
    </row>
    <row r="4094" spans="9:17">
      <c r="I4094" s="578" t="str">
        <f t="shared" si="209"/>
        <v>2002gest32-36PN</v>
      </c>
      <c r="J4094" s="604">
        <v>2002</v>
      </c>
      <c r="K4094" s="604" t="s">
        <v>450</v>
      </c>
      <c r="L4094" s="604" t="s">
        <v>136</v>
      </c>
      <c r="M4094" s="604">
        <v>20</v>
      </c>
      <c r="N4094" s="604">
        <v>3310</v>
      </c>
      <c r="O4094" s="604">
        <v>6</v>
      </c>
      <c r="P4094" s="604" t="s">
        <v>436</v>
      </c>
      <c r="Q4094" s="499"/>
    </row>
    <row r="4095" spans="9:17">
      <c r="I4095" s="578" t="str">
        <f t="shared" si="209"/>
        <v>2002gest37-41PN</v>
      </c>
      <c r="J4095" s="604">
        <v>2002</v>
      </c>
      <c r="K4095" s="604" t="s">
        <v>450</v>
      </c>
      <c r="L4095" s="604" t="s">
        <v>137</v>
      </c>
      <c r="M4095" s="604">
        <v>64</v>
      </c>
      <c r="N4095" s="604">
        <v>48776</v>
      </c>
      <c r="O4095" s="604">
        <v>1.3</v>
      </c>
      <c r="P4095" s="604" t="s">
        <v>436</v>
      </c>
      <c r="Q4095" s="499"/>
    </row>
    <row r="4096" spans="9:17">
      <c r="I4096" s="578" t="str">
        <f t="shared" si="209"/>
        <v>2002gest42+PN</v>
      </c>
      <c r="J4096" s="604">
        <v>2002</v>
      </c>
      <c r="K4096" s="604" t="s">
        <v>450</v>
      </c>
      <c r="L4096" s="604" t="s">
        <v>138</v>
      </c>
      <c r="M4096" s="604">
        <v>2</v>
      </c>
      <c r="N4096" s="604">
        <v>1606</v>
      </c>
      <c r="O4096" s="604">
        <v>1.2</v>
      </c>
      <c r="P4096" s="604" t="s">
        <v>436</v>
      </c>
      <c r="Q4096" s="499"/>
    </row>
    <row r="4097" spans="9:17">
      <c r="I4097" s="578" t="str">
        <f t="shared" si="209"/>
        <v>2002gestUnknownPN</v>
      </c>
      <c r="J4097" s="604">
        <v>2002</v>
      </c>
      <c r="K4097" s="604" t="s">
        <v>450</v>
      </c>
      <c r="L4097" s="604" t="s">
        <v>63</v>
      </c>
      <c r="M4097" s="604">
        <v>10</v>
      </c>
      <c r="N4097" s="604">
        <v>64</v>
      </c>
      <c r="O4097" s="604" t="s">
        <v>119</v>
      </c>
      <c r="P4097" s="604" t="s">
        <v>436</v>
      </c>
      <c r="Q4097" s="499"/>
    </row>
    <row r="4098" spans="9:17">
      <c r="I4098" s="578" t="str">
        <f t="shared" si="209"/>
        <v>2003gest&lt;28PN</v>
      </c>
      <c r="J4098" s="604">
        <v>2003</v>
      </c>
      <c r="K4098" s="604" t="s">
        <v>450</v>
      </c>
      <c r="L4098" s="604" t="s">
        <v>375</v>
      </c>
      <c r="M4098" s="604">
        <v>6</v>
      </c>
      <c r="N4098" s="604">
        <v>290</v>
      </c>
      <c r="O4098" s="604">
        <v>20.7</v>
      </c>
      <c r="P4098" s="604" t="s">
        <v>436</v>
      </c>
      <c r="Q4098" s="499"/>
    </row>
    <row r="4099" spans="9:17">
      <c r="I4099" s="578" t="str">
        <f t="shared" si="209"/>
        <v>2003gest28-31PN</v>
      </c>
      <c r="J4099" s="604">
        <v>2003</v>
      </c>
      <c r="K4099" s="604" t="s">
        <v>450</v>
      </c>
      <c r="L4099" s="604" t="s">
        <v>395</v>
      </c>
      <c r="M4099" s="604">
        <v>3</v>
      </c>
      <c r="N4099" s="604">
        <v>496</v>
      </c>
      <c r="O4099" s="604">
        <v>6</v>
      </c>
      <c r="P4099" s="604" t="s">
        <v>436</v>
      </c>
      <c r="Q4099" s="499"/>
    </row>
    <row r="4100" spans="9:17">
      <c r="I4100" s="578" t="str">
        <f t="shared" ref="I4100:I4163" si="210">J4100&amp;K4100&amp;L4100&amp;P4100</f>
        <v>2003gest32-36PN</v>
      </c>
      <c r="J4100" s="604">
        <v>2003</v>
      </c>
      <c r="K4100" s="604" t="s">
        <v>450</v>
      </c>
      <c r="L4100" s="604" t="s">
        <v>136</v>
      </c>
      <c r="M4100" s="604">
        <v>18</v>
      </c>
      <c r="N4100" s="604">
        <v>3358</v>
      </c>
      <c r="O4100" s="604">
        <v>5.4</v>
      </c>
      <c r="P4100" s="604" t="s">
        <v>436</v>
      </c>
      <c r="Q4100" s="499"/>
    </row>
    <row r="4101" spans="9:17">
      <c r="I4101" s="578" t="str">
        <f t="shared" si="210"/>
        <v>2003gest37-41PN</v>
      </c>
      <c r="J4101" s="604">
        <v>2003</v>
      </c>
      <c r="K4101" s="604" t="s">
        <v>450</v>
      </c>
      <c r="L4101" s="604" t="s">
        <v>137</v>
      </c>
      <c r="M4101" s="604">
        <v>80</v>
      </c>
      <c r="N4101" s="604">
        <v>50827</v>
      </c>
      <c r="O4101" s="604">
        <v>1.6</v>
      </c>
      <c r="P4101" s="604" t="s">
        <v>436</v>
      </c>
      <c r="Q4101" s="499"/>
    </row>
    <row r="4102" spans="9:17">
      <c r="I4102" s="578" t="str">
        <f t="shared" si="210"/>
        <v>2003gest42+PN</v>
      </c>
      <c r="J4102" s="604">
        <v>2003</v>
      </c>
      <c r="K4102" s="604" t="s">
        <v>450</v>
      </c>
      <c r="L4102" s="604" t="s">
        <v>138</v>
      </c>
      <c r="M4102" s="604">
        <v>1</v>
      </c>
      <c r="N4102" s="604">
        <v>1577</v>
      </c>
      <c r="O4102" s="604">
        <v>0.6</v>
      </c>
      <c r="P4102" s="604" t="s">
        <v>436</v>
      </c>
      <c r="Q4102" s="499"/>
    </row>
    <row r="4103" spans="9:17">
      <c r="I4103" s="578" t="str">
        <f t="shared" si="210"/>
        <v>2003gestUnknownPN</v>
      </c>
      <c r="J4103" s="604">
        <v>2003</v>
      </c>
      <c r="K4103" s="604" t="s">
        <v>450</v>
      </c>
      <c r="L4103" s="604" t="s">
        <v>63</v>
      </c>
      <c r="M4103" s="604">
        <v>12</v>
      </c>
      <c r="N4103" s="604">
        <v>28</v>
      </c>
      <c r="O4103" s="604" t="s">
        <v>119</v>
      </c>
      <c r="P4103" s="604" t="s">
        <v>436</v>
      </c>
      <c r="Q4103" s="499"/>
    </row>
    <row r="4104" spans="9:17">
      <c r="I4104" s="578" t="str">
        <f t="shared" si="210"/>
        <v>2004gest&lt;28PN</v>
      </c>
      <c r="J4104" s="604">
        <v>2004</v>
      </c>
      <c r="K4104" s="604" t="s">
        <v>450</v>
      </c>
      <c r="L4104" s="604" t="s">
        <v>375</v>
      </c>
      <c r="M4104" s="604">
        <v>13</v>
      </c>
      <c r="N4104" s="604">
        <v>290</v>
      </c>
      <c r="O4104" s="604">
        <v>44.8</v>
      </c>
      <c r="P4104" s="604" t="s">
        <v>436</v>
      </c>
      <c r="Q4104" s="499"/>
    </row>
    <row r="4105" spans="9:17">
      <c r="I4105" s="578" t="str">
        <f t="shared" si="210"/>
        <v>2004gest28-31PN</v>
      </c>
      <c r="J4105" s="604">
        <v>2004</v>
      </c>
      <c r="K4105" s="604" t="s">
        <v>450</v>
      </c>
      <c r="L4105" s="604" t="s">
        <v>395</v>
      </c>
      <c r="M4105" s="604">
        <v>11</v>
      </c>
      <c r="N4105" s="604">
        <v>469</v>
      </c>
      <c r="O4105" s="604">
        <v>23.5</v>
      </c>
      <c r="P4105" s="604" t="s">
        <v>436</v>
      </c>
      <c r="Q4105" s="499"/>
    </row>
    <row r="4106" spans="9:17">
      <c r="I4106" s="578" t="str">
        <f t="shared" si="210"/>
        <v>2004gest32-36PN</v>
      </c>
      <c r="J4106" s="604">
        <v>2004</v>
      </c>
      <c r="K4106" s="604" t="s">
        <v>450</v>
      </c>
      <c r="L4106" s="604" t="s">
        <v>136</v>
      </c>
      <c r="M4106" s="604">
        <v>27</v>
      </c>
      <c r="N4106" s="604">
        <v>3513</v>
      </c>
      <c r="O4106" s="604">
        <v>7.7</v>
      </c>
      <c r="P4106" s="604" t="s">
        <v>436</v>
      </c>
      <c r="Q4106" s="499"/>
    </row>
    <row r="4107" spans="9:17">
      <c r="I4107" s="578" t="str">
        <f t="shared" si="210"/>
        <v>2004gest37-41PN</v>
      </c>
      <c r="J4107" s="604">
        <v>2004</v>
      </c>
      <c r="K4107" s="604" t="s">
        <v>450</v>
      </c>
      <c r="L4107" s="604" t="s">
        <v>137</v>
      </c>
      <c r="M4107" s="604">
        <v>84</v>
      </c>
      <c r="N4107" s="604">
        <v>52717</v>
      </c>
      <c r="O4107" s="604">
        <v>1.6</v>
      </c>
      <c r="P4107" s="604" t="s">
        <v>436</v>
      </c>
      <c r="Q4107" s="499"/>
    </row>
    <row r="4108" spans="9:17">
      <c r="I4108" s="578" t="str">
        <f t="shared" si="210"/>
        <v>2004gest42+PN</v>
      </c>
      <c r="J4108" s="604">
        <v>2004</v>
      </c>
      <c r="K4108" s="604" t="s">
        <v>450</v>
      </c>
      <c r="L4108" s="604" t="s">
        <v>138</v>
      </c>
      <c r="M4108" s="604">
        <v>3</v>
      </c>
      <c r="N4108" s="604">
        <v>1690</v>
      </c>
      <c r="O4108" s="604">
        <v>1.8</v>
      </c>
      <c r="P4108" s="604" t="s">
        <v>436</v>
      </c>
      <c r="Q4108" s="499"/>
    </row>
    <row r="4109" spans="9:17">
      <c r="I4109" s="578" t="str">
        <f t="shared" si="210"/>
        <v>2004gestUnknownPN</v>
      </c>
      <c r="J4109" s="604">
        <v>2004</v>
      </c>
      <c r="K4109" s="604" t="s">
        <v>450</v>
      </c>
      <c r="L4109" s="604" t="s">
        <v>63</v>
      </c>
      <c r="M4109" s="604">
        <v>11</v>
      </c>
      <c r="N4109" s="604">
        <v>44</v>
      </c>
      <c r="O4109" s="604" t="s">
        <v>119</v>
      </c>
      <c r="P4109" s="604" t="s">
        <v>436</v>
      </c>
      <c r="Q4109" s="499"/>
    </row>
    <row r="4110" spans="9:17">
      <c r="I4110" s="578" t="str">
        <f t="shared" si="210"/>
        <v>2005gest&lt;28PN</v>
      </c>
      <c r="J4110" s="604">
        <v>2005</v>
      </c>
      <c r="K4110" s="604" t="s">
        <v>450</v>
      </c>
      <c r="L4110" s="604" t="s">
        <v>375</v>
      </c>
      <c r="M4110" s="604">
        <v>10</v>
      </c>
      <c r="N4110" s="604">
        <v>273</v>
      </c>
      <c r="O4110" s="604">
        <v>36.6</v>
      </c>
      <c r="P4110" s="604" t="s">
        <v>436</v>
      </c>
      <c r="Q4110" s="499"/>
    </row>
    <row r="4111" spans="9:17">
      <c r="I4111" s="578" t="str">
        <f t="shared" si="210"/>
        <v>2005gest28-31PN</v>
      </c>
      <c r="J4111" s="604">
        <v>2005</v>
      </c>
      <c r="K4111" s="604" t="s">
        <v>450</v>
      </c>
      <c r="L4111" s="604" t="s">
        <v>395</v>
      </c>
      <c r="M4111" s="604">
        <v>4</v>
      </c>
      <c r="N4111" s="604">
        <v>478</v>
      </c>
      <c r="O4111" s="604">
        <v>8.4</v>
      </c>
      <c r="P4111" s="604" t="s">
        <v>436</v>
      </c>
      <c r="Q4111" s="499"/>
    </row>
    <row r="4112" spans="9:17">
      <c r="I4112" s="578" t="str">
        <f t="shared" si="210"/>
        <v>2005gest32-36PN</v>
      </c>
      <c r="J4112" s="604">
        <v>2005</v>
      </c>
      <c r="K4112" s="604" t="s">
        <v>450</v>
      </c>
      <c r="L4112" s="604" t="s">
        <v>136</v>
      </c>
      <c r="M4112" s="604">
        <v>16</v>
      </c>
      <c r="N4112" s="604">
        <v>3464</v>
      </c>
      <c r="O4112" s="604">
        <v>4.5999999999999996</v>
      </c>
      <c r="P4112" s="604" t="s">
        <v>436</v>
      </c>
      <c r="Q4112" s="499"/>
    </row>
    <row r="4113" spans="9:17">
      <c r="I4113" s="578" t="str">
        <f t="shared" si="210"/>
        <v>2005gest37-41PN</v>
      </c>
      <c r="J4113" s="604">
        <v>2005</v>
      </c>
      <c r="K4113" s="604" t="s">
        <v>450</v>
      </c>
      <c r="L4113" s="604" t="s">
        <v>137</v>
      </c>
      <c r="M4113" s="604">
        <v>66</v>
      </c>
      <c r="N4113" s="604">
        <v>52647</v>
      </c>
      <c r="O4113" s="604">
        <v>1.3</v>
      </c>
      <c r="P4113" s="604" t="s">
        <v>436</v>
      </c>
      <c r="Q4113" s="499"/>
    </row>
    <row r="4114" spans="9:17">
      <c r="I4114" s="578" t="str">
        <f t="shared" si="210"/>
        <v>2005gest42+PN</v>
      </c>
      <c r="J4114" s="604">
        <v>2005</v>
      </c>
      <c r="K4114" s="604" t="s">
        <v>450</v>
      </c>
      <c r="L4114" s="604" t="s">
        <v>138</v>
      </c>
      <c r="M4114" s="604">
        <v>4</v>
      </c>
      <c r="N4114" s="604">
        <v>1825</v>
      </c>
      <c r="O4114" s="604">
        <v>2.2000000000000002</v>
      </c>
      <c r="P4114" s="604" t="s">
        <v>436</v>
      </c>
      <c r="Q4114" s="499"/>
    </row>
    <row r="4115" spans="9:17">
      <c r="I4115" s="578" t="str">
        <f t="shared" si="210"/>
        <v>2005gestUnknownPN</v>
      </c>
      <c r="J4115" s="604">
        <v>2005</v>
      </c>
      <c r="K4115" s="604" t="s">
        <v>450</v>
      </c>
      <c r="L4115" s="604" t="s">
        <v>63</v>
      </c>
      <c r="M4115" s="604">
        <v>11</v>
      </c>
      <c r="N4115" s="604">
        <v>40</v>
      </c>
      <c r="O4115" s="604" t="s">
        <v>119</v>
      </c>
      <c r="P4115" s="604" t="s">
        <v>436</v>
      </c>
      <c r="Q4115" s="499"/>
    </row>
    <row r="4116" spans="9:17">
      <c r="I4116" s="578" t="str">
        <f t="shared" si="210"/>
        <v>2006gest&lt;28PN</v>
      </c>
      <c r="J4116" s="604">
        <v>2006</v>
      </c>
      <c r="K4116" s="604" t="s">
        <v>450</v>
      </c>
      <c r="L4116" s="604" t="s">
        <v>375</v>
      </c>
      <c r="M4116" s="604">
        <v>11</v>
      </c>
      <c r="N4116" s="604">
        <v>269</v>
      </c>
      <c r="O4116" s="604">
        <v>40.9</v>
      </c>
      <c r="P4116" s="604" t="s">
        <v>436</v>
      </c>
      <c r="Q4116" s="499"/>
    </row>
    <row r="4117" spans="9:17">
      <c r="I4117" s="578" t="str">
        <f t="shared" si="210"/>
        <v>2006gest28-31PN</v>
      </c>
      <c r="J4117" s="604">
        <v>2006</v>
      </c>
      <c r="K4117" s="604" t="s">
        <v>450</v>
      </c>
      <c r="L4117" s="604" t="s">
        <v>395</v>
      </c>
      <c r="M4117" s="604">
        <v>10</v>
      </c>
      <c r="N4117" s="604">
        <v>481</v>
      </c>
      <c r="O4117" s="604">
        <v>20.8</v>
      </c>
      <c r="P4117" s="604" t="s">
        <v>436</v>
      </c>
      <c r="Q4117" s="499"/>
    </row>
    <row r="4118" spans="9:17">
      <c r="I4118" s="578" t="str">
        <f t="shared" si="210"/>
        <v>2006gest32-36PN</v>
      </c>
      <c r="J4118" s="604">
        <v>2006</v>
      </c>
      <c r="K4118" s="604" t="s">
        <v>450</v>
      </c>
      <c r="L4118" s="604" t="s">
        <v>136</v>
      </c>
      <c r="M4118" s="604">
        <v>12</v>
      </c>
      <c r="N4118" s="604">
        <v>3581</v>
      </c>
      <c r="O4118" s="604">
        <v>3.4</v>
      </c>
      <c r="P4118" s="604" t="s">
        <v>436</v>
      </c>
      <c r="Q4118" s="499"/>
    </row>
    <row r="4119" spans="9:17">
      <c r="I4119" s="578" t="str">
        <f t="shared" si="210"/>
        <v>2006gest37-41PN</v>
      </c>
      <c r="J4119" s="604">
        <v>2006</v>
      </c>
      <c r="K4119" s="604" t="s">
        <v>450</v>
      </c>
      <c r="L4119" s="604" t="s">
        <v>137</v>
      </c>
      <c r="M4119" s="604">
        <v>100</v>
      </c>
      <c r="N4119" s="604">
        <v>54076</v>
      </c>
      <c r="O4119" s="604">
        <v>1.8</v>
      </c>
      <c r="P4119" s="604" t="s">
        <v>436</v>
      </c>
      <c r="Q4119" s="499"/>
    </row>
    <row r="4120" spans="9:17">
      <c r="I4120" s="578" t="str">
        <f t="shared" si="210"/>
        <v>2006gest42+PN</v>
      </c>
      <c r="J4120" s="604">
        <v>2006</v>
      </c>
      <c r="K4120" s="604" t="s">
        <v>450</v>
      </c>
      <c r="L4120" s="604" t="s">
        <v>138</v>
      </c>
      <c r="M4120" s="604">
        <v>1</v>
      </c>
      <c r="N4120" s="604">
        <v>1795</v>
      </c>
      <c r="O4120" s="604">
        <v>0.6</v>
      </c>
      <c r="P4120" s="604" t="s">
        <v>436</v>
      </c>
      <c r="Q4120" s="499"/>
    </row>
    <row r="4121" spans="9:17">
      <c r="I4121" s="578" t="str">
        <f t="shared" si="210"/>
        <v>2006gestUnknownPN</v>
      </c>
      <c r="J4121" s="604">
        <v>2006</v>
      </c>
      <c r="K4121" s="604" t="s">
        <v>450</v>
      </c>
      <c r="L4121" s="604" t="s">
        <v>63</v>
      </c>
      <c r="M4121" s="604">
        <v>9</v>
      </c>
      <c r="N4121" s="604">
        <v>72</v>
      </c>
      <c r="O4121" s="604" t="s">
        <v>119</v>
      </c>
      <c r="P4121" s="604" t="s">
        <v>436</v>
      </c>
      <c r="Q4121" s="499"/>
    </row>
    <row r="4122" spans="9:17">
      <c r="I4122" s="578" t="str">
        <f t="shared" si="210"/>
        <v>2007gest&lt;28PN</v>
      </c>
      <c r="J4122" s="604">
        <v>2007</v>
      </c>
      <c r="K4122" s="604" t="s">
        <v>450</v>
      </c>
      <c r="L4122" s="604" t="s">
        <v>375</v>
      </c>
      <c r="M4122" s="604">
        <v>10</v>
      </c>
      <c r="N4122" s="604">
        <v>311</v>
      </c>
      <c r="O4122" s="604">
        <v>32.200000000000003</v>
      </c>
      <c r="P4122" s="604" t="s">
        <v>436</v>
      </c>
      <c r="Q4122" s="499"/>
    </row>
    <row r="4123" spans="9:17">
      <c r="I4123" s="578" t="str">
        <f t="shared" si="210"/>
        <v>2007gest28-31PN</v>
      </c>
      <c r="J4123" s="604">
        <v>2007</v>
      </c>
      <c r="K4123" s="604" t="s">
        <v>450</v>
      </c>
      <c r="L4123" s="604" t="s">
        <v>395</v>
      </c>
      <c r="M4123" s="604">
        <v>14</v>
      </c>
      <c r="N4123" s="604">
        <v>493</v>
      </c>
      <c r="O4123" s="604">
        <v>28.4</v>
      </c>
      <c r="P4123" s="604" t="s">
        <v>436</v>
      </c>
      <c r="Q4123" s="499"/>
    </row>
    <row r="4124" spans="9:17">
      <c r="I4124" s="578" t="str">
        <f t="shared" si="210"/>
        <v>2007gest32-36PN</v>
      </c>
      <c r="J4124" s="604">
        <v>2007</v>
      </c>
      <c r="K4124" s="604" t="s">
        <v>450</v>
      </c>
      <c r="L4124" s="604" t="s">
        <v>136</v>
      </c>
      <c r="M4124" s="604">
        <v>16</v>
      </c>
      <c r="N4124" s="604">
        <v>3851</v>
      </c>
      <c r="O4124" s="604">
        <v>4.2</v>
      </c>
      <c r="P4124" s="604" t="s">
        <v>436</v>
      </c>
      <c r="Q4124" s="499"/>
    </row>
    <row r="4125" spans="9:17">
      <c r="I4125" s="578" t="str">
        <f t="shared" si="210"/>
        <v>2007gest37-41PN</v>
      </c>
      <c r="J4125" s="604">
        <v>2007</v>
      </c>
      <c r="K4125" s="604" t="s">
        <v>450</v>
      </c>
      <c r="L4125" s="604" t="s">
        <v>137</v>
      </c>
      <c r="M4125" s="604">
        <v>97</v>
      </c>
      <c r="N4125" s="604">
        <v>58537</v>
      </c>
      <c r="O4125" s="604">
        <v>1.7</v>
      </c>
      <c r="P4125" s="604" t="s">
        <v>436</v>
      </c>
      <c r="Q4125" s="499"/>
    </row>
    <row r="4126" spans="9:17">
      <c r="I4126" s="578" t="str">
        <f t="shared" si="210"/>
        <v>2007gest42+PN</v>
      </c>
      <c r="J4126" s="604">
        <v>2007</v>
      </c>
      <c r="K4126" s="604" t="s">
        <v>450</v>
      </c>
      <c r="L4126" s="604" t="s">
        <v>138</v>
      </c>
      <c r="M4126" s="604">
        <v>1</v>
      </c>
      <c r="N4126" s="604">
        <v>1881</v>
      </c>
      <c r="O4126" s="604">
        <v>0.5</v>
      </c>
      <c r="P4126" s="604" t="s">
        <v>436</v>
      </c>
      <c r="Q4126" s="499"/>
    </row>
    <row r="4127" spans="9:17">
      <c r="I4127" s="578" t="str">
        <f t="shared" si="210"/>
        <v>2007gestUnknownPN</v>
      </c>
      <c r="J4127" s="604">
        <v>2007</v>
      </c>
      <c r="K4127" s="604" t="s">
        <v>450</v>
      </c>
      <c r="L4127" s="604" t="s">
        <v>63</v>
      </c>
      <c r="M4127" s="604">
        <v>8</v>
      </c>
      <c r="N4127" s="604">
        <v>48</v>
      </c>
      <c r="O4127" s="604" t="s">
        <v>119</v>
      </c>
      <c r="P4127" s="604" t="s">
        <v>436</v>
      </c>
      <c r="Q4127" s="499"/>
    </row>
    <row r="4128" spans="9:17">
      <c r="I4128" s="578" t="str">
        <f t="shared" si="210"/>
        <v>2008gest&lt;28PN</v>
      </c>
      <c r="J4128" s="604">
        <v>2008</v>
      </c>
      <c r="K4128" s="604" t="s">
        <v>450</v>
      </c>
      <c r="L4128" s="604" t="s">
        <v>375</v>
      </c>
      <c r="M4128" s="604">
        <v>23</v>
      </c>
      <c r="N4128" s="604">
        <v>308</v>
      </c>
      <c r="O4128" s="604">
        <v>74.7</v>
      </c>
      <c r="P4128" s="604" t="s">
        <v>436</v>
      </c>
      <c r="Q4128" s="499"/>
    </row>
    <row r="4129" spans="9:17">
      <c r="I4129" s="578" t="str">
        <f t="shared" si="210"/>
        <v>2008gest28-31PN</v>
      </c>
      <c r="J4129" s="604">
        <v>2008</v>
      </c>
      <c r="K4129" s="604" t="s">
        <v>450</v>
      </c>
      <c r="L4129" s="604" t="s">
        <v>395</v>
      </c>
      <c r="M4129" s="604">
        <v>2</v>
      </c>
      <c r="N4129" s="604">
        <v>531</v>
      </c>
      <c r="O4129" s="604">
        <v>3.8</v>
      </c>
      <c r="P4129" s="604" t="s">
        <v>436</v>
      </c>
      <c r="Q4129" s="499"/>
    </row>
    <row r="4130" spans="9:17">
      <c r="I4130" s="578" t="str">
        <f t="shared" si="210"/>
        <v>2008gest32-36PN</v>
      </c>
      <c r="J4130" s="604">
        <v>2008</v>
      </c>
      <c r="K4130" s="604" t="s">
        <v>450</v>
      </c>
      <c r="L4130" s="604" t="s">
        <v>136</v>
      </c>
      <c r="M4130" s="604">
        <v>21</v>
      </c>
      <c r="N4130" s="604">
        <v>4009</v>
      </c>
      <c r="O4130" s="604">
        <v>5.2</v>
      </c>
      <c r="P4130" s="604" t="s">
        <v>436</v>
      </c>
      <c r="Q4130" s="499"/>
    </row>
    <row r="4131" spans="9:17">
      <c r="I4131" s="578" t="str">
        <f t="shared" si="210"/>
        <v>2008gest37-41PN</v>
      </c>
      <c r="J4131" s="604">
        <v>2008</v>
      </c>
      <c r="K4131" s="604" t="s">
        <v>450</v>
      </c>
      <c r="L4131" s="604" t="s">
        <v>137</v>
      </c>
      <c r="M4131" s="604">
        <v>72</v>
      </c>
      <c r="N4131" s="604">
        <v>58459</v>
      </c>
      <c r="O4131" s="604">
        <v>1.2</v>
      </c>
      <c r="P4131" s="604" t="s">
        <v>436</v>
      </c>
      <c r="Q4131" s="499"/>
    </row>
    <row r="4132" spans="9:17">
      <c r="I4132" s="578" t="str">
        <f t="shared" si="210"/>
        <v>2008gest42+PN</v>
      </c>
      <c r="J4132" s="604">
        <v>2008</v>
      </c>
      <c r="K4132" s="604" t="s">
        <v>450</v>
      </c>
      <c r="L4132" s="604" t="s">
        <v>138</v>
      </c>
      <c r="M4132" s="604">
        <v>3</v>
      </c>
      <c r="N4132" s="604">
        <v>1981</v>
      </c>
      <c r="O4132" s="604">
        <v>1.5</v>
      </c>
      <c r="P4132" s="604" t="s">
        <v>436</v>
      </c>
      <c r="Q4132" s="499"/>
    </row>
    <row r="4133" spans="9:17">
      <c r="I4133" s="578" t="str">
        <f t="shared" si="210"/>
        <v>2008gestUnknownPN</v>
      </c>
      <c r="J4133" s="604">
        <v>2008</v>
      </c>
      <c r="K4133" s="604" t="s">
        <v>450</v>
      </c>
      <c r="L4133" s="604" t="s">
        <v>63</v>
      </c>
      <c r="M4133" s="604">
        <v>15</v>
      </c>
      <c r="N4133" s="604">
        <v>45</v>
      </c>
      <c r="O4133" s="604" t="s">
        <v>119</v>
      </c>
      <c r="P4133" s="604" t="s">
        <v>436</v>
      </c>
      <c r="Q4133" s="499"/>
    </row>
    <row r="4134" spans="9:17">
      <c r="I4134" s="578" t="str">
        <f t="shared" si="210"/>
        <v>2009gest&lt;28PN</v>
      </c>
      <c r="J4134" s="604">
        <v>2009</v>
      </c>
      <c r="K4134" s="604" t="s">
        <v>450</v>
      </c>
      <c r="L4134" s="604" t="s">
        <v>375</v>
      </c>
      <c r="M4134" s="604">
        <v>15</v>
      </c>
      <c r="N4134" s="604">
        <v>279</v>
      </c>
      <c r="O4134" s="604">
        <v>53.8</v>
      </c>
      <c r="P4134" s="604" t="s">
        <v>436</v>
      </c>
      <c r="Q4134" s="499"/>
    </row>
    <row r="4135" spans="9:17">
      <c r="I4135" s="578" t="str">
        <f t="shared" si="210"/>
        <v>2009gest28-31PN</v>
      </c>
      <c r="J4135" s="604">
        <v>2009</v>
      </c>
      <c r="K4135" s="604" t="s">
        <v>450</v>
      </c>
      <c r="L4135" s="604" t="s">
        <v>395</v>
      </c>
      <c r="M4135" s="604">
        <v>7</v>
      </c>
      <c r="N4135" s="604">
        <v>495</v>
      </c>
      <c r="O4135" s="604">
        <v>14.1</v>
      </c>
      <c r="P4135" s="604" t="s">
        <v>436</v>
      </c>
      <c r="Q4135" s="499"/>
    </row>
    <row r="4136" spans="9:17">
      <c r="I4136" s="578" t="str">
        <f t="shared" si="210"/>
        <v>2009gest32-36PN</v>
      </c>
      <c r="J4136" s="604">
        <v>2009</v>
      </c>
      <c r="K4136" s="604" t="s">
        <v>450</v>
      </c>
      <c r="L4136" s="604" t="s">
        <v>136</v>
      </c>
      <c r="M4136" s="604">
        <v>18</v>
      </c>
      <c r="N4136" s="604">
        <v>3878</v>
      </c>
      <c r="O4136" s="604">
        <v>4.5999999999999996</v>
      </c>
      <c r="P4136" s="604" t="s">
        <v>436</v>
      </c>
      <c r="Q4136" s="499"/>
    </row>
    <row r="4137" spans="9:17">
      <c r="I4137" s="578" t="str">
        <f t="shared" si="210"/>
        <v>2009gest37-41PN</v>
      </c>
      <c r="J4137" s="604">
        <v>2009</v>
      </c>
      <c r="K4137" s="604" t="s">
        <v>450</v>
      </c>
      <c r="L4137" s="604" t="s">
        <v>137</v>
      </c>
      <c r="M4137" s="604">
        <v>78</v>
      </c>
      <c r="N4137" s="604">
        <v>56864</v>
      </c>
      <c r="O4137" s="604">
        <v>1.4</v>
      </c>
      <c r="P4137" s="604" t="s">
        <v>436</v>
      </c>
      <c r="Q4137" s="499"/>
    </row>
    <row r="4138" spans="9:17">
      <c r="I4138" s="578" t="str">
        <f t="shared" si="210"/>
        <v>2009gest42+PN</v>
      </c>
      <c r="J4138" s="604">
        <v>2009</v>
      </c>
      <c r="K4138" s="604" t="s">
        <v>450</v>
      </c>
      <c r="L4138" s="604" t="s">
        <v>138</v>
      </c>
      <c r="M4138" s="604">
        <v>2</v>
      </c>
      <c r="N4138" s="604">
        <v>1715</v>
      </c>
      <c r="O4138" s="604">
        <v>1.2</v>
      </c>
      <c r="P4138" s="604" t="s">
        <v>436</v>
      </c>
      <c r="Q4138" s="499"/>
    </row>
    <row r="4139" spans="9:17">
      <c r="I4139" s="578" t="str">
        <f t="shared" si="210"/>
        <v>2009gestUnknownPN</v>
      </c>
      <c r="J4139" s="604">
        <v>2009</v>
      </c>
      <c r="K4139" s="604" t="s">
        <v>450</v>
      </c>
      <c r="L4139" s="604" t="s">
        <v>63</v>
      </c>
      <c r="M4139" s="604">
        <v>15</v>
      </c>
      <c r="N4139" s="604">
        <v>54</v>
      </c>
      <c r="O4139" s="604" t="s">
        <v>119</v>
      </c>
      <c r="P4139" s="604" t="s">
        <v>436</v>
      </c>
      <c r="Q4139" s="499"/>
    </row>
    <row r="4140" spans="9:17">
      <c r="I4140" s="578" t="str">
        <f t="shared" si="210"/>
        <v>2010gest&lt;28PN</v>
      </c>
      <c r="J4140" s="604">
        <v>2010</v>
      </c>
      <c r="K4140" s="604" t="s">
        <v>450</v>
      </c>
      <c r="L4140" s="604" t="s">
        <v>375</v>
      </c>
      <c r="M4140" s="604">
        <v>13</v>
      </c>
      <c r="N4140" s="604">
        <v>314</v>
      </c>
      <c r="O4140" s="604">
        <v>41.4</v>
      </c>
      <c r="P4140" s="604" t="s">
        <v>436</v>
      </c>
      <c r="Q4140" s="499"/>
    </row>
    <row r="4141" spans="9:17">
      <c r="I4141" s="578" t="str">
        <f t="shared" si="210"/>
        <v>2010gest28-31PN</v>
      </c>
      <c r="J4141" s="604">
        <v>2010</v>
      </c>
      <c r="K4141" s="604" t="s">
        <v>450</v>
      </c>
      <c r="L4141" s="604" t="s">
        <v>395</v>
      </c>
      <c r="M4141" s="604">
        <v>3</v>
      </c>
      <c r="N4141" s="604">
        <v>516</v>
      </c>
      <c r="O4141" s="604">
        <v>5.8</v>
      </c>
      <c r="P4141" s="604" t="s">
        <v>436</v>
      </c>
      <c r="Q4141" s="499"/>
    </row>
    <row r="4142" spans="9:17">
      <c r="I4142" s="578" t="str">
        <f t="shared" si="210"/>
        <v>2010gest32-36PN</v>
      </c>
      <c r="J4142" s="604">
        <v>2010</v>
      </c>
      <c r="K4142" s="604" t="s">
        <v>450</v>
      </c>
      <c r="L4142" s="604" t="s">
        <v>136</v>
      </c>
      <c r="M4142" s="604">
        <v>18</v>
      </c>
      <c r="N4142" s="604">
        <v>4054</v>
      </c>
      <c r="O4142" s="604">
        <v>4.4000000000000004</v>
      </c>
      <c r="P4142" s="604" t="s">
        <v>436</v>
      </c>
      <c r="Q4142" s="499"/>
    </row>
    <row r="4143" spans="9:17">
      <c r="I4143" s="578" t="str">
        <f t="shared" si="210"/>
        <v>2010gest37-41PN</v>
      </c>
      <c r="J4143" s="604">
        <v>2010</v>
      </c>
      <c r="K4143" s="604" t="s">
        <v>450</v>
      </c>
      <c r="L4143" s="604" t="s">
        <v>137</v>
      </c>
      <c r="M4143" s="604">
        <v>83</v>
      </c>
      <c r="N4143" s="604">
        <v>57958</v>
      </c>
      <c r="O4143" s="604">
        <v>1.4</v>
      </c>
      <c r="P4143" s="604" t="s">
        <v>436</v>
      </c>
      <c r="Q4143" s="499"/>
    </row>
    <row r="4144" spans="9:17">
      <c r="I4144" s="578" t="str">
        <f t="shared" si="210"/>
        <v>2010gest42+PN</v>
      </c>
      <c r="J4144" s="604">
        <v>2010</v>
      </c>
      <c r="K4144" s="604" t="s">
        <v>450</v>
      </c>
      <c r="L4144" s="604" t="s">
        <v>138</v>
      </c>
      <c r="M4144" s="604">
        <v>0</v>
      </c>
      <c r="N4144" s="604">
        <v>1833</v>
      </c>
      <c r="O4144" s="604">
        <v>0</v>
      </c>
      <c r="P4144" s="604" t="s">
        <v>436</v>
      </c>
      <c r="Q4144" s="499"/>
    </row>
    <row r="4145" spans="9:17">
      <c r="I4145" s="578" t="str">
        <f t="shared" si="210"/>
        <v>2010gestUnknownPN</v>
      </c>
      <c r="J4145" s="604">
        <v>2010</v>
      </c>
      <c r="K4145" s="604" t="s">
        <v>450</v>
      </c>
      <c r="L4145" s="604" t="s">
        <v>63</v>
      </c>
      <c r="M4145" s="604">
        <v>10</v>
      </c>
      <c r="N4145" s="604">
        <v>24</v>
      </c>
      <c r="O4145" s="604" t="s">
        <v>119</v>
      </c>
      <c r="P4145" s="604" t="s">
        <v>436</v>
      </c>
      <c r="Q4145" s="499"/>
    </row>
    <row r="4146" spans="9:17">
      <c r="I4146" s="578" t="str">
        <f t="shared" si="210"/>
        <v>2011gest&lt;28PN</v>
      </c>
      <c r="J4146" s="604">
        <v>2011</v>
      </c>
      <c r="K4146" s="604" t="s">
        <v>450</v>
      </c>
      <c r="L4146" s="604" t="s">
        <v>375</v>
      </c>
      <c r="M4146" s="604">
        <v>13</v>
      </c>
      <c r="N4146" s="604">
        <v>274</v>
      </c>
      <c r="O4146" s="604">
        <v>47.4</v>
      </c>
      <c r="P4146" s="604" t="s">
        <v>436</v>
      </c>
      <c r="Q4146" s="499"/>
    </row>
    <row r="4147" spans="9:17">
      <c r="I4147" s="578" t="str">
        <f t="shared" si="210"/>
        <v>2011gest28-31PN</v>
      </c>
      <c r="J4147" s="604">
        <v>2011</v>
      </c>
      <c r="K4147" s="604" t="s">
        <v>450</v>
      </c>
      <c r="L4147" s="604" t="s">
        <v>395</v>
      </c>
      <c r="M4147" s="604">
        <v>8</v>
      </c>
      <c r="N4147" s="604">
        <v>482</v>
      </c>
      <c r="O4147" s="604">
        <v>16.600000000000001</v>
      </c>
      <c r="P4147" s="604" t="s">
        <v>436</v>
      </c>
      <c r="Q4147" s="499"/>
    </row>
    <row r="4148" spans="9:17">
      <c r="I4148" s="578" t="str">
        <f t="shared" si="210"/>
        <v>2011gest32-36PN</v>
      </c>
      <c r="J4148" s="604">
        <v>2011</v>
      </c>
      <c r="K4148" s="604" t="s">
        <v>450</v>
      </c>
      <c r="L4148" s="604" t="s">
        <v>136</v>
      </c>
      <c r="M4148" s="604">
        <v>17</v>
      </c>
      <c r="N4148" s="604">
        <v>3882</v>
      </c>
      <c r="O4148" s="604">
        <v>4.4000000000000004</v>
      </c>
      <c r="P4148" s="604" t="s">
        <v>436</v>
      </c>
      <c r="Q4148" s="499"/>
    </row>
    <row r="4149" spans="9:17">
      <c r="I4149" s="578" t="str">
        <f t="shared" si="210"/>
        <v>2011gest37-41PN</v>
      </c>
      <c r="J4149" s="604">
        <v>2011</v>
      </c>
      <c r="K4149" s="604" t="s">
        <v>450</v>
      </c>
      <c r="L4149" s="604" t="s">
        <v>137</v>
      </c>
      <c r="M4149" s="604">
        <v>78</v>
      </c>
      <c r="N4149" s="604">
        <v>55919</v>
      </c>
      <c r="O4149" s="604">
        <v>1.4</v>
      </c>
      <c r="P4149" s="604" t="s">
        <v>436</v>
      </c>
      <c r="Q4149" s="499"/>
    </row>
    <row r="4150" spans="9:17">
      <c r="I4150" s="578" t="str">
        <f t="shared" si="210"/>
        <v>2011gest42+PN</v>
      </c>
      <c r="J4150" s="604">
        <v>2011</v>
      </c>
      <c r="K4150" s="604" t="s">
        <v>450</v>
      </c>
      <c r="L4150" s="604" t="s">
        <v>138</v>
      </c>
      <c r="M4150" s="604">
        <v>3</v>
      </c>
      <c r="N4150" s="604">
        <v>1599</v>
      </c>
      <c r="O4150" s="604">
        <v>1.9</v>
      </c>
      <c r="P4150" s="604" t="s">
        <v>436</v>
      </c>
      <c r="Q4150" s="499"/>
    </row>
    <row r="4151" spans="9:17">
      <c r="I4151" s="578" t="str">
        <f t="shared" si="210"/>
        <v>2011gestUnknownPN</v>
      </c>
      <c r="J4151" s="604">
        <v>2011</v>
      </c>
      <c r="K4151" s="604" t="s">
        <v>450</v>
      </c>
      <c r="L4151" s="604" t="s">
        <v>63</v>
      </c>
      <c r="M4151" s="604">
        <v>6</v>
      </c>
      <c r="N4151" s="604">
        <v>18</v>
      </c>
      <c r="O4151" s="604" t="s">
        <v>119</v>
      </c>
      <c r="P4151" s="604" t="s">
        <v>436</v>
      </c>
      <c r="Q4151" s="499"/>
    </row>
    <row r="4152" spans="9:17">
      <c r="I4152" s="578" t="str">
        <f t="shared" si="210"/>
        <v>2012gest&lt;28PN</v>
      </c>
      <c r="J4152" s="604">
        <v>2012</v>
      </c>
      <c r="K4152" s="604" t="s">
        <v>450</v>
      </c>
      <c r="L4152" s="604" t="s">
        <v>375</v>
      </c>
      <c r="M4152" s="604">
        <v>13</v>
      </c>
      <c r="N4152" s="604">
        <v>284</v>
      </c>
      <c r="O4152" s="604">
        <v>45.8</v>
      </c>
      <c r="P4152" s="604" t="s">
        <v>436</v>
      </c>
      <c r="Q4152" s="499"/>
    </row>
    <row r="4153" spans="9:17">
      <c r="I4153" s="578" t="str">
        <f t="shared" si="210"/>
        <v>2012gest28-31PN</v>
      </c>
      <c r="J4153" s="604">
        <v>2012</v>
      </c>
      <c r="K4153" s="604" t="s">
        <v>450</v>
      </c>
      <c r="L4153" s="604" t="s">
        <v>395</v>
      </c>
      <c r="M4153" s="604">
        <v>3</v>
      </c>
      <c r="N4153" s="604">
        <v>491</v>
      </c>
      <c r="O4153" s="604">
        <v>6.1</v>
      </c>
      <c r="P4153" s="604" t="s">
        <v>436</v>
      </c>
      <c r="Q4153" s="499"/>
    </row>
    <row r="4154" spans="9:17">
      <c r="I4154" s="578" t="str">
        <f t="shared" si="210"/>
        <v>2012gest32-36PN</v>
      </c>
      <c r="J4154" s="604">
        <v>2012</v>
      </c>
      <c r="K4154" s="604" t="s">
        <v>450</v>
      </c>
      <c r="L4154" s="604" t="s">
        <v>136</v>
      </c>
      <c r="M4154" s="604">
        <v>16</v>
      </c>
      <c r="N4154" s="604">
        <v>3935</v>
      </c>
      <c r="O4154" s="604">
        <v>4.0999999999999996</v>
      </c>
      <c r="P4154" s="604" t="s">
        <v>436</v>
      </c>
      <c r="Q4154" s="499"/>
    </row>
    <row r="4155" spans="9:17">
      <c r="I4155" s="578" t="str">
        <f t="shared" si="210"/>
        <v>2012gest37-41PN</v>
      </c>
      <c r="J4155" s="604">
        <v>2012</v>
      </c>
      <c r="K4155" s="604" t="s">
        <v>450</v>
      </c>
      <c r="L4155" s="604" t="s">
        <v>137</v>
      </c>
      <c r="M4155" s="604">
        <v>63</v>
      </c>
      <c r="N4155" s="604">
        <v>55825</v>
      </c>
      <c r="O4155" s="604">
        <v>1.1000000000000001</v>
      </c>
      <c r="P4155" s="604" t="s">
        <v>436</v>
      </c>
      <c r="Q4155" s="499"/>
    </row>
    <row r="4156" spans="9:17">
      <c r="I4156" s="578" t="str">
        <f t="shared" si="210"/>
        <v>2012gest42+PN</v>
      </c>
      <c r="J4156" s="604">
        <v>2012</v>
      </c>
      <c r="K4156" s="604" t="s">
        <v>450</v>
      </c>
      <c r="L4156" s="604" t="s">
        <v>138</v>
      </c>
      <c r="M4156" s="604">
        <v>1</v>
      </c>
      <c r="N4156" s="604">
        <v>1481</v>
      </c>
      <c r="O4156" s="604">
        <v>0.7</v>
      </c>
      <c r="P4156" s="604" t="s">
        <v>436</v>
      </c>
      <c r="Q4156" s="499"/>
    </row>
    <row r="4157" spans="9:17">
      <c r="I4157" s="578" t="str">
        <f t="shared" si="210"/>
        <v>2012gestUnknownPN</v>
      </c>
      <c r="J4157" s="604">
        <v>2012</v>
      </c>
      <c r="K4157" s="604" t="s">
        <v>450</v>
      </c>
      <c r="L4157" s="604" t="s">
        <v>63</v>
      </c>
      <c r="M4157" s="604">
        <v>4</v>
      </c>
      <c r="N4157" s="604">
        <v>19</v>
      </c>
      <c r="O4157" s="604" t="s">
        <v>119</v>
      </c>
      <c r="P4157" s="604" t="s">
        <v>436</v>
      </c>
      <c r="Q4157" s="499"/>
    </row>
    <row r="4158" spans="9:17">
      <c r="I4158" s="578" t="str">
        <f t="shared" si="210"/>
        <v>2013gest&lt;28PN</v>
      </c>
      <c r="J4158" s="604">
        <v>2013</v>
      </c>
      <c r="K4158" s="604" t="s">
        <v>450</v>
      </c>
      <c r="L4158" s="604" t="s">
        <v>375</v>
      </c>
      <c r="M4158" s="604">
        <v>15</v>
      </c>
      <c r="N4158" s="604">
        <v>299</v>
      </c>
      <c r="O4158" s="604">
        <v>50.2</v>
      </c>
      <c r="P4158" s="604" t="s">
        <v>436</v>
      </c>
      <c r="Q4158" s="499"/>
    </row>
    <row r="4159" spans="9:17">
      <c r="I4159" s="578" t="str">
        <f t="shared" si="210"/>
        <v>2013gest28-31PN</v>
      </c>
      <c r="J4159" s="604">
        <v>2013</v>
      </c>
      <c r="K4159" s="604" t="s">
        <v>450</v>
      </c>
      <c r="L4159" s="604" t="s">
        <v>395</v>
      </c>
      <c r="M4159" s="604">
        <v>7</v>
      </c>
      <c r="N4159" s="604">
        <v>448</v>
      </c>
      <c r="O4159" s="604">
        <v>15.6</v>
      </c>
      <c r="P4159" s="604" t="s">
        <v>436</v>
      </c>
      <c r="Q4159" s="499"/>
    </row>
    <row r="4160" spans="9:17">
      <c r="I4160" s="578" t="str">
        <f t="shared" si="210"/>
        <v>2013gest32-36PN</v>
      </c>
      <c r="J4160" s="604">
        <v>2013</v>
      </c>
      <c r="K4160" s="604" t="s">
        <v>450</v>
      </c>
      <c r="L4160" s="604" t="s">
        <v>136</v>
      </c>
      <c r="M4160" s="604">
        <v>15</v>
      </c>
      <c r="N4160" s="604">
        <v>3720</v>
      </c>
      <c r="O4160" s="604">
        <v>4</v>
      </c>
      <c r="P4160" s="604" t="s">
        <v>436</v>
      </c>
      <c r="Q4160" s="499"/>
    </row>
    <row r="4161" spans="9:17">
      <c r="I4161" s="578" t="str">
        <f t="shared" si="210"/>
        <v>2013gest37-41PN</v>
      </c>
      <c r="J4161" s="604">
        <v>2013</v>
      </c>
      <c r="K4161" s="604" t="s">
        <v>450</v>
      </c>
      <c r="L4161" s="604" t="s">
        <v>137</v>
      </c>
      <c r="M4161" s="604">
        <v>51</v>
      </c>
      <c r="N4161" s="604">
        <v>54038</v>
      </c>
      <c r="O4161" s="604">
        <v>0.9</v>
      </c>
      <c r="P4161" s="604" t="s">
        <v>436</v>
      </c>
      <c r="Q4161" s="499"/>
    </row>
    <row r="4162" spans="9:17">
      <c r="I4162" s="578" t="str">
        <f t="shared" si="210"/>
        <v>2013gest42+PN</v>
      </c>
      <c r="J4162" s="604">
        <v>2013</v>
      </c>
      <c r="K4162" s="604" t="s">
        <v>450</v>
      </c>
      <c r="L4162" s="604" t="s">
        <v>138</v>
      </c>
      <c r="M4162" s="604">
        <v>1</v>
      </c>
      <c r="N4162" s="604">
        <v>1175</v>
      </c>
      <c r="O4162" s="604">
        <v>0.9</v>
      </c>
      <c r="P4162" s="604" t="s">
        <v>436</v>
      </c>
      <c r="Q4162" s="499"/>
    </row>
    <row r="4163" spans="9:17">
      <c r="I4163" s="578" t="str">
        <f t="shared" si="210"/>
        <v>2013gestUnknownPN</v>
      </c>
      <c r="J4163" s="604">
        <v>2013</v>
      </c>
      <c r="K4163" s="604" t="s">
        <v>450</v>
      </c>
      <c r="L4163" s="604" t="s">
        <v>63</v>
      </c>
      <c r="M4163" s="604">
        <v>9</v>
      </c>
      <c r="N4163" s="604">
        <v>21</v>
      </c>
      <c r="O4163" s="604" t="s">
        <v>119</v>
      </c>
      <c r="P4163" s="604" t="s">
        <v>436</v>
      </c>
      <c r="Q4163" s="499"/>
    </row>
    <row r="4164" spans="9:17">
      <c r="I4164" s="578" t="str">
        <f t="shared" ref="I4164:I4227" si="211">J4164&amp;K4164&amp;L4164&amp;P4164</f>
        <v>2014gest&lt;28PN</v>
      </c>
      <c r="J4164" s="604">
        <v>2014</v>
      </c>
      <c r="K4164" s="604" t="s">
        <v>450</v>
      </c>
      <c r="L4164" s="604" t="s">
        <v>375</v>
      </c>
      <c r="M4164" s="604">
        <v>9</v>
      </c>
      <c r="N4164" s="604">
        <v>318</v>
      </c>
      <c r="O4164" s="604">
        <v>28.3</v>
      </c>
      <c r="P4164" s="604" t="s">
        <v>436</v>
      </c>
      <c r="Q4164" s="499"/>
    </row>
    <row r="4165" spans="9:17">
      <c r="I4165" s="578" t="str">
        <f t="shared" si="211"/>
        <v>2014gest28-31PN</v>
      </c>
      <c r="J4165" s="604">
        <v>2014</v>
      </c>
      <c r="K4165" s="604" t="s">
        <v>450</v>
      </c>
      <c r="L4165" s="604" t="s">
        <v>395</v>
      </c>
      <c r="M4165" s="604">
        <v>3</v>
      </c>
      <c r="N4165" s="604">
        <v>421</v>
      </c>
      <c r="O4165" s="604">
        <v>7.1</v>
      </c>
      <c r="P4165" s="604" t="s">
        <v>436</v>
      </c>
      <c r="Q4165" s="499"/>
    </row>
    <row r="4166" spans="9:17">
      <c r="I4166" s="578" t="str">
        <f t="shared" si="211"/>
        <v>2014gest32-36PN</v>
      </c>
      <c r="J4166" s="604">
        <v>2014</v>
      </c>
      <c r="K4166" s="604" t="s">
        <v>450</v>
      </c>
      <c r="L4166" s="604" t="s">
        <v>136</v>
      </c>
      <c r="M4166" s="604">
        <v>14</v>
      </c>
      <c r="N4166" s="604">
        <v>3617</v>
      </c>
      <c r="O4166" s="604">
        <v>3.9</v>
      </c>
      <c r="P4166" s="604" t="s">
        <v>436</v>
      </c>
      <c r="Q4166" s="499"/>
    </row>
    <row r="4167" spans="9:17">
      <c r="I4167" s="578" t="str">
        <f t="shared" si="211"/>
        <v>2014gest37-41PN</v>
      </c>
      <c r="J4167" s="604">
        <v>2014</v>
      </c>
      <c r="K4167" s="604" t="s">
        <v>450</v>
      </c>
      <c r="L4167" s="604" t="s">
        <v>137</v>
      </c>
      <c r="M4167" s="604">
        <v>63</v>
      </c>
      <c r="N4167" s="604">
        <v>52797</v>
      </c>
      <c r="O4167" s="604">
        <v>1.2</v>
      </c>
      <c r="P4167" s="604" t="s">
        <v>436</v>
      </c>
      <c r="Q4167" s="499"/>
    </row>
    <row r="4168" spans="9:17">
      <c r="I4168" s="578" t="str">
        <f t="shared" si="211"/>
        <v>2014gest42+PN</v>
      </c>
      <c r="J4168" s="604">
        <v>2014</v>
      </c>
      <c r="K4168" s="604" t="s">
        <v>450</v>
      </c>
      <c r="L4168" s="604" t="s">
        <v>138</v>
      </c>
      <c r="M4168" s="604">
        <v>1</v>
      </c>
      <c r="N4168" s="604">
        <v>1120</v>
      </c>
      <c r="O4168" s="604">
        <v>0.9</v>
      </c>
      <c r="P4168" s="604" t="s">
        <v>436</v>
      </c>
      <c r="Q4168" s="499"/>
    </row>
    <row r="4169" spans="9:17">
      <c r="I4169" s="578" t="str">
        <f t="shared" si="211"/>
        <v>2014gestUnknownPN</v>
      </c>
      <c r="J4169" s="604">
        <v>2014</v>
      </c>
      <c r="K4169" s="604" t="s">
        <v>450</v>
      </c>
      <c r="L4169" s="604" t="s">
        <v>63</v>
      </c>
      <c r="M4169" s="604">
        <v>3</v>
      </c>
      <c r="N4169" s="604">
        <v>12</v>
      </c>
      <c r="O4169" s="604" t="s">
        <v>119</v>
      </c>
      <c r="P4169" s="604" t="s">
        <v>436</v>
      </c>
      <c r="Q4169" s="499"/>
    </row>
    <row r="4170" spans="9:17">
      <c r="I4170" s="578" t="str">
        <f t="shared" si="211"/>
        <v>2015gest&lt;28PN</v>
      </c>
      <c r="J4170" s="604">
        <v>2015</v>
      </c>
      <c r="K4170" s="604" t="s">
        <v>450</v>
      </c>
      <c r="L4170" s="604" t="s">
        <v>375</v>
      </c>
      <c r="M4170" s="604">
        <v>9</v>
      </c>
      <c r="N4170" s="604">
        <v>285</v>
      </c>
      <c r="O4170" s="604">
        <v>31.6</v>
      </c>
      <c r="P4170" s="604" t="s">
        <v>436</v>
      </c>
      <c r="Q4170" s="499"/>
    </row>
    <row r="4171" spans="9:17">
      <c r="I4171" s="578" t="str">
        <f t="shared" si="211"/>
        <v>2015gest28-31PN</v>
      </c>
      <c r="J4171" s="604">
        <v>2015</v>
      </c>
      <c r="K4171" s="604" t="s">
        <v>450</v>
      </c>
      <c r="L4171" s="604" t="s">
        <v>395</v>
      </c>
      <c r="M4171" s="604">
        <v>4</v>
      </c>
      <c r="N4171" s="604">
        <v>477</v>
      </c>
      <c r="O4171" s="604">
        <v>8.4</v>
      </c>
      <c r="P4171" s="604" t="s">
        <v>436</v>
      </c>
      <c r="Q4171" s="499"/>
    </row>
    <row r="4172" spans="9:17">
      <c r="I4172" s="578" t="str">
        <f t="shared" si="211"/>
        <v>2015gest32-36PN</v>
      </c>
      <c r="J4172" s="604">
        <v>2015</v>
      </c>
      <c r="K4172" s="604" t="s">
        <v>450</v>
      </c>
      <c r="L4172" s="604" t="s">
        <v>136</v>
      </c>
      <c r="M4172" s="604">
        <v>12</v>
      </c>
      <c r="N4172" s="604">
        <v>3866</v>
      </c>
      <c r="O4172" s="604">
        <v>3.1</v>
      </c>
      <c r="P4172" s="604" t="s">
        <v>436</v>
      </c>
      <c r="Q4172" s="499"/>
    </row>
    <row r="4173" spans="9:17">
      <c r="I4173" s="578" t="str">
        <f t="shared" si="211"/>
        <v>2015gest37-41PN</v>
      </c>
      <c r="J4173" s="604">
        <v>2015</v>
      </c>
      <c r="K4173" s="604" t="s">
        <v>450</v>
      </c>
      <c r="L4173" s="604" t="s">
        <v>137</v>
      </c>
      <c r="M4173" s="604">
        <v>56</v>
      </c>
      <c r="N4173" s="604">
        <v>56298</v>
      </c>
      <c r="O4173" s="604">
        <v>1</v>
      </c>
      <c r="P4173" s="604" t="s">
        <v>436</v>
      </c>
      <c r="Q4173" s="499"/>
    </row>
    <row r="4174" spans="9:17">
      <c r="I4174" s="578" t="str">
        <f t="shared" si="211"/>
        <v>2015gest42+PN</v>
      </c>
      <c r="J4174" s="604">
        <v>2015</v>
      </c>
      <c r="K4174" s="604" t="s">
        <v>450</v>
      </c>
      <c r="L4174" s="604" t="s">
        <v>138</v>
      </c>
      <c r="M4174" s="604">
        <v>0</v>
      </c>
      <c r="N4174" s="604">
        <v>1182</v>
      </c>
      <c r="O4174" s="604">
        <v>0</v>
      </c>
      <c r="P4174" s="604" t="s">
        <v>436</v>
      </c>
      <c r="Q4174" s="499"/>
    </row>
    <row r="4175" spans="9:17">
      <c r="I4175" s="578" t="str">
        <f t="shared" si="211"/>
        <v>2015gestUnknownPN</v>
      </c>
      <c r="J4175" s="604">
        <v>2015</v>
      </c>
      <c r="K4175" s="604" t="s">
        <v>450</v>
      </c>
      <c r="L4175" s="604" t="s">
        <v>63</v>
      </c>
      <c r="M4175" s="604">
        <v>10</v>
      </c>
      <c r="N4175" s="604">
        <v>14</v>
      </c>
      <c r="O4175" s="604" t="s">
        <v>119</v>
      </c>
      <c r="P4175" s="604" t="s">
        <v>436</v>
      </c>
      <c r="Q4175" s="499"/>
    </row>
    <row r="4176" spans="9:17">
      <c r="I4176" s="578" t="str">
        <f t="shared" si="211"/>
        <v>2016gest&lt;28PN</v>
      </c>
      <c r="J4176" s="604">
        <v>2016</v>
      </c>
      <c r="K4176" s="604" t="s">
        <v>450</v>
      </c>
      <c r="L4176" s="604" t="s">
        <v>375</v>
      </c>
      <c r="M4176" s="604">
        <v>10</v>
      </c>
      <c r="N4176" s="604">
        <v>260</v>
      </c>
      <c r="O4176" s="604">
        <v>38.5</v>
      </c>
      <c r="P4176" s="604" t="s">
        <v>436</v>
      </c>
      <c r="Q4176" s="499"/>
    </row>
    <row r="4177" spans="9:17">
      <c r="I4177" s="578" t="str">
        <f t="shared" si="211"/>
        <v>2016gest28-31PN</v>
      </c>
      <c r="J4177" s="604">
        <v>2016</v>
      </c>
      <c r="K4177" s="604" t="s">
        <v>450</v>
      </c>
      <c r="L4177" s="604" t="s">
        <v>395</v>
      </c>
      <c r="M4177" s="604">
        <v>3</v>
      </c>
      <c r="N4177" s="604">
        <v>417</v>
      </c>
      <c r="O4177" s="604">
        <v>7.2</v>
      </c>
      <c r="P4177" s="604" t="s">
        <v>436</v>
      </c>
      <c r="Q4177" s="499"/>
    </row>
    <row r="4178" spans="9:17">
      <c r="I4178" s="578" t="str">
        <f t="shared" si="211"/>
        <v>2016gest32-36PN</v>
      </c>
      <c r="J4178" s="604">
        <v>2016</v>
      </c>
      <c r="K4178" s="604" t="s">
        <v>450</v>
      </c>
      <c r="L4178" s="604" t="s">
        <v>136</v>
      </c>
      <c r="M4178" s="604">
        <v>10</v>
      </c>
      <c r="N4178" s="604">
        <v>3814</v>
      </c>
      <c r="O4178" s="604">
        <v>2.6</v>
      </c>
      <c r="P4178" s="604" t="s">
        <v>436</v>
      </c>
      <c r="Q4178" s="499"/>
    </row>
    <row r="4179" spans="9:17">
      <c r="I4179" s="578" t="str">
        <f t="shared" si="211"/>
        <v>2016gest37-41PN</v>
      </c>
      <c r="J4179" s="604">
        <v>2016</v>
      </c>
      <c r="K4179" s="604" t="s">
        <v>450</v>
      </c>
      <c r="L4179" s="604" t="s">
        <v>137</v>
      </c>
      <c r="M4179" s="604">
        <v>53</v>
      </c>
      <c r="N4179" s="604">
        <v>54899</v>
      </c>
      <c r="O4179" s="604">
        <v>1</v>
      </c>
      <c r="P4179" s="604" t="s">
        <v>436</v>
      </c>
      <c r="Q4179" s="499"/>
    </row>
    <row r="4180" spans="9:17">
      <c r="I4180" s="578" t="str">
        <f t="shared" si="211"/>
        <v>2016gest42+PN</v>
      </c>
      <c r="J4180" s="604">
        <v>2016</v>
      </c>
      <c r="K4180" s="604" t="s">
        <v>450</v>
      </c>
      <c r="L4180" s="604" t="s">
        <v>138</v>
      </c>
      <c r="M4180" s="604">
        <v>1</v>
      </c>
      <c r="N4180" s="604">
        <v>1017</v>
      </c>
      <c r="O4180" s="604">
        <v>1</v>
      </c>
      <c r="P4180" s="604" t="s">
        <v>436</v>
      </c>
      <c r="Q4180" s="499"/>
    </row>
    <row r="4181" spans="9:17">
      <c r="I4181" s="578" t="str">
        <f t="shared" si="211"/>
        <v>2016gestUnknownPN</v>
      </c>
      <c r="J4181" s="604">
        <v>2016</v>
      </c>
      <c r="K4181" s="604" t="s">
        <v>450</v>
      </c>
      <c r="L4181" s="604" t="s">
        <v>63</v>
      </c>
      <c r="M4181" s="604">
        <v>3</v>
      </c>
      <c r="N4181" s="604">
        <v>29</v>
      </c>
      <c r="O4181" s="604" t="s">
        <v>119</v>
      </c>
      <c r="P4181" s="604" t="s">
        <v>436</v>
      </c>
      <c r="Q4181" s="499"/>
    </row>
    <row r="4182" spans="9:17">
      <c r="I4182" s="578" t="str">
        <f t="shared" si="211"/>
        <v>1996dhbNorthlandPN</v>
      </c>
      <c r="J4182" s="604">
        <v>1996</v>
      </c>
      <c r="K4182" s="604" t="s">
        <v>448</v>
      </c>
      <c r="L4182" s="604" t="s">
        <v>85</v>
      </c>
      <c r="M4182" s="604">
        <v>14</v>
      </c>
      <c r="N4182" s="604">
        <v>2240</v>
      </c>
      <c r="O4182" s="604">
        <v>6.2</v>
      </c>
      <c r="P4182" s="604" t="s">
        <v>436</v>
      </c>
      <c r="Q4182" s="499"/>
    </row>
    <row r="4183" spans="9:17">
      <c r="I4183" s="578" t="str">
        <f t="shared" si="211"/>
        <v>1996dhbWaitemataPN</v>
      </c>
      <c r="J4183" s="604">
        <v>1996</v>
      </c>
      <c r="K4183" s="604" t="s">
        <v>448</v>
      </c>
      <c r="L4183" s="604" t="s">
        <v>86</v>
      </c>
      <c r="M4183" s="604">
        <v>14</v>
      </c>
      <c r="N4183" s="604">
        <v>6325</v>
      </c>
      <c r="O4183" s="604">
        <v>2.2000000000000002</v>
      </c>
      <c r="P4183" s="604" t="s">
        <v>436</v>
      </c>
      <c r="Q4183" s="499"/>
    </row>
    <row r="4184" spans="9:17">
      <c r="I4184" s="578" t="str">
        <f t="shared" si="211"/>
        <v>1996dhbAucklandPN</v>
      </c>
      <c r="J4184" s="604">
        <v>1996</v>
      </c>
      <c r="K4184" s="604" t="s">
        <v>448</v>
      </c>
      <c r="L4184" s="604" t="s">
        <v>87</v>
      </c>
      <c r="M4184" s="604">
        <v>16</v>
      </c>
      <c r="N4184" s="604">
        <v>5994</v>
      </c>
      <c r="O4184" s="604">
        <v>2.7</v>
      </c>
      <c r="P4184" s="604" t="s">
        <v>436</v>
      </c>
      <c r="Q4184" s="499"/>
    </row>
    <row r="4185" spans="9:17">
      <c r="I4185" s="578" t="str">
        <f t="shared" si="211"/>
        <v>1996dhbCounties ManukauPN</v>
      </c>
      <c r="J4185" s="604">
        <v>1996</v>
      </c>
      <c r="K4185" s="604" t="s">
        <v>448</v>
      </c>
      <c r="L4185" s="604" t="s">
        <v>88</v>
      </c>
      <c r="M4185" s="604">
        <v>20</v>
      </c>
      <c r="N4185" s="604">
        <v>6875</v>
      </c>
      <c r="O4185" s="604">
        <v>2.9</v>
      </c>
      <c r="P4185" s="604" t="s">
        <v>436</v>
      </c>
      <c r="Q4185" s="499"/>
    </row>
    <row r="4186" spans="9:17">
      <c r="I4186" s="578" t="str">
        <f t="shared" si="211"/>
        <v>1996dhbWaikatoPN</v>
      </c>
      <c r="J4186" s="604">
        <v>1996</v>
      </c>
      <c r="K4186" s="604" t="s">
        <v>448</v>
      </c>
      <c r="L4186" s="604" t="s">
        <v>89</v>
      </c>
      <c r="M4186" s="604">
        <v>18</v>
      </c>
      <c r="N4186" s="604">
        <v>4944</v>
      </c>
      <c r="O4186" s="604">
        <v>3.6</v>
      </c>
      <c r="P4186" s="604" t="s">
        <v>436</v>
      </c>
      <c r="Q4186" s="499"/>
    </row>
    <row r="4187" spans="9:17">
      <c r="I4187" s="578" t="str">
        <f t="shared" si="211"/>
        <v>1996dhbLakesPN</v>
      </c>
      <c r="J4187" s="604">
        <v>1996</v>
      </c>
      <c r="K4187" s="604" t="s">
        <v>448</v>
      </c>
      <c r="L4187" s="604" t="s">
        <v>90</v>
      </c>
      <c r="M4187" s="604">
        <v>11</v>
      </c>
      <c r="N4187" s="604">
        <v>1732</v>
      </c>
      <c r="O4187" s="604">
        <v>6.4</v>
      </c>
      <c r="P4187" s="604" t="s">
        <v>436</v>
      </c>
      <c r="Q4187" s="499"/>
    </row>
    <row r="4188" spans="9:17">
      <c r="I4188" s="578" t="str">
        <f t="shared" si="211"/>
        <v>1996dhbBay of PlentyPN</v>
      </c>
      <c r="J4188" s="604">
        <v>1996</v>
      </c>
      <c r="K4188" s="604" t="s">
        <v>448</v>
      </c>
      <c r="L4188" s="604" t="s">
        <v>91</v>
      </c>
      <c r="M4188" s="604">
        <v>9</v>
      </c>
      <c r="N4188" s="604">
        <v>2575</v>
      </c>
      <c r="O4188" s="604">
        <v>3.5</v>
      </c>
      <c r="P4188" s="604" t="s">
        <v>436</v>
      </c>
      <c r="Q4188" s="499"/>
    </row>
    <row r="4189" spans="9:17">
      <c r="I4189" s="578" t="str">
        <f t="shared" si="211"/>
        <v>1996dhbTairawhitiPN</v>
      </c>
      <c r="J4189" s="604">
        <v>1996</v>
      </c>
      <c r="K4189" s="604" t="s">
        <v>448</v>
      </c>
      <c r="L4189" s="604" t="s">
        <v>433</v>
      </c>
      <c r="M4189" s="604">
        <v>6</v>
      </c>
      <c r="N4189" s="604">
        <v>871</v>
      </c>
      <c r="O4189" s="604">
        <v>6.9</v>
      </c>
      <c r="P4189" s="604" t="s">
        <v>436</v>
      </c>
      <c r="Q4189" s="499"/>
    </row>
    <row r="4190" spans="9:17">
      <c r="I4190" s="578" t="str">
        <f t="shared" si="211"/>
        <v>1996dhbHawke's BayPN</v>
      </c>
      <c r="J4190" s="604">
        <v>1996</v>
      </c>
      <c r="K4190" s="604" t="s">
        <v>448</v>
      </c>
      <c r="L4190" s="604" t="s">
        <v>92</v>
      </c>
      <c r="M4190" s="604">
        <v>9</v>
      </c>
      <c r="N4190" s="604">
        <v>2405</v>
      </c>
      <c r="O4190" s="604">
        <v>3.7</v>
      </c>
      <c r="P4190" s="604" t="s">
        <v>436</v>
      </c>
      <c r="Q4190" s="499"/>
    </row>
    <row r="4191" spans="9:17">
      <c r="I4191" s="578" t="str">
        <f t="shared" si="211"/>
        <v>1996dhbTaranakiPN</v>
      </c>
      <c r="J4191" s="604">
        <v>1996</v>
      </c>
      <c r="K4191" s="604" t="s">
        <v>448</v>
      </c>
      <c r="L4191" s="604" t="s">
        <v>93</v>
      </c>
      <c r="M4191" s="604">
        <v>6</v>
      </c>
      <c r="N4191" s="604">
        <v>1538</v>
      </c>
      <c r="O4191" s="604">
        <v>3.9</v>
      </c>
      <c r="P4191" s="604" t="s">
        <v>436</v>
      </c>
      <c r="Q4191" s="499"/>
    </row>
    <row r="4192" spans="9:17">
      <c r="I4192" s="578" t="str">
        <f t="shared" si="211"/>
        <v>1996dhbMidCentralPN</v>
      </c>
      <c r="J4192" s="604">
        <v>1996</v>
      </c>
      <c r="K4192" s="604" t="s">
        <v>448</v>
      </c>
      <c r="L4192" s="604" t="s">
        <v>94</v>
      </c>
      <c r="M4192" s="604">
        <v>5</v>
      </c>
      <c r="N4192" s="604">
        <v>2430</v>
      </c>
      <c r="O4192" s="604">
        <v>2.1</v>
      </c>
      <c r="P4192" s="604" t="s">
        <v>436</v>
      </c>
      <c r="Q4192" s="499"/>
    </row>
    <row r="4193" spans="9:17">
      <c r="I4193" s="578" t="str">
        <f t="shared" si="211"/>
        <v>1996dhbWhanganuiPN</v>
      </c>
      <c r="J4193" s="604">
        <v>1996</v>
      </c>
      <c r="K4193" s="604" t="s">
        <v>448</v>
      </c>
      <c r="L4193" s="604" t="s">
        <v>95</v>
      </c>
      <c r="M4193" s="604">
        <v>5</v>
      </c>
      <c r="N4193" s="604">
        <v>1078</v>
      </c>
      <c r="O4193" s="604">
        <v>4.5999999999999996</v>
      </c>
      <c r="P4193" s="604" t="s">
        <v>436</v>
      </c>
      <c r="Q4193" s="499"/>
    </row>
    <row r="4194" spans="9:17">
      <c r="I4194" s="578" t="str">
        <f t="shared" si="211"/>
        <v>1996dhbCapital &amp; CoastPN</v>
      </c>
      <c r="J4194" s="604">
        <v>1996</v>
      </c>
      <c r="K4194" s="604" t="s">
        <v>448</v>
      </c>
      <c r="L4194" s="604" t="s">
        <v>96</v>
      </c>
      <c r="M4194" s="604">
        <v>11</v>
      </c>
      <c r="N4194" s="604">
        <v>3644</v>
      </c>
      <c r="O4194" s="604">
        <v>3</v>
      </c>
      <c r="P4194" s="604" t="s">
        <v>436</v>
      </c>
      <c r="Q4194" s="499"/>
    </row>
    <row r="4195" spans="9:17">
      <c r="I4195" s="578" t="str">
        <f t="shared" si="211"/>
        <v>1996dhbHutt ValleyPN</v>
      </c>
      <c r="J4195" s="604">
        <v>1996</v>
      </c>
      <c r="K4195" s="604" t="s">
        <v>448</v>
      </c>
      <c r="L4195" s="604" t="s">
        <v>97</v>
      </c>
      <c r="M4195" s="604">
        <v>7</v>
      </c>
      <c r="N4195" s="604">
        <v>2135</v>
      </c>
      <c r="O4195" s="604">
        <v>3.3</v>
      </c>
      <c r="P4195" s="604" t="s">
        <v>436</v>
      </c>
      <c r="Q4195" s="499"/>
    </row>
    <row r="4196" spans="9:17">
      <c r="I4196" s="578" t="str">
        <f t="shared" si="211"/>
        <v>1996dhbWairarapaPN</v>
      </c>
      <c r="J4196" s="604">
        <v>1996</v>
      </c>
      <c r="K4196" s="604" t="s">
        <v>448</v>
      </c>
      <c r="L4196" s="604" t="s">
        <v>98</v>
      </c>
      <c r="M4196" s="604">
        <v>2</v>
      </c>
      <c r="N4196" s="604">
        <v>570</v>
      </c>
      <c r="O4196" s="604">
        <v>3.5</v>
      </c>
      <c r="P4196" s="604" t="s">
        <v>436</v>
      </c>
      <c r="Q4196" s="499"/>
    </row>
    <row r="4197" spans="9:17">
      <c r="I4197" s="578" t="str">
        <f t="shared" si="211"/>
        <v>1996dhbNelson MarlboroughPN</v>
      </c>
      <c r="J4197" s="604">
        <v>1996</v>
      </c>
      <c r="K4197" s="604" t="s">
        <v>448</v>
      </c>
      <c r="L4197" s="604" t="s">
        <v>99</v>
      </c>
      <c r="M4197" s="604">
        <v>6</v>
      </c>
      <c r="N4197" s="604">
        <v>1476</v>
      </c>
      <c r="O4197" s="604">
        <v>4.0999999999999996</v>
      </c>
      <c r="P4197" s="604" t="s">
        <v>436</v>
      </c>
      <c r="Q4197" s="499"/>
    </row>
    <row r="4198" spans="9:17">
      <c r="I4198" s="578" t="str">
        <f t="shared" si="211"/>
        <v>1996dhbWest CoastPN</v>
      </c>
      <c r="J4198" s="604">
        <v>1996</v>
      </c>
      <c r="K4198" s="604" t="s">
        <v>448</v>
      </c>
      <c r="L4198" s="604" t="s">
        <v>100</v>
      </c>
      <c r="M4198" s="604">
        <v>1</v>
      </c>
      <c r="N4198" s="604">
        <v>491</v>
      </c>
      <c r="O4198" s="604">
        <v>2</v>
      </c>
      <c r="P4198" s="604" t="s">
        <v>436</v>
      </c>
      <c r="Q4198" s="499"/>
    </row>
    <row r="4199" spans="9:17">
      <c r="I4199" s="578" t="str">
        <f t="shared" si="211"/>
        <v>1996dhbCanterburyPN</v>
      </c>
      <c r="J4199" s="604">
        <v>1996</v>
      </c>
      <c r="K4199" s="604" t="s">
        <v>448</v>
      </c>
      <c r="L4199" s="604" t="s">
        <v>101</v>
      </c>
      <c r="M4199" s="604">
        <v>23</v>
      </c>
      <c r="N4199" s="604">
        <v>5538</v>
      </c>
      <c r="O4199" s="604">
        <v>4.2</v>
      </c>
      <c r="P4199" s="604" t="s">
        <v>436</v>
      </c>
      <c r="Q4199" s="499"/>
    </row>
    <row r="4200" spans="9:17">
      <c r="I4200" s="578" t="str">
        <f t="shared" si="211"/>
        <v>1996dhbSouth CanterburyPN</v>
      </c>
      <c r="J4200" s="604">
        <v>1996</v>
      </c>
      <c r="K4200" s="604" t="s">
        <v>448</v>
      </c>
      <c r="L4200" s="604" t="s">
        <v>102</v>
      </c>
      <c r="M4200" s="604">
        <v>0</v>
      </c>
      <c r="N4200" s="604">
        <v>698</v>
      </c>
      <c r="O4200" s="604">
        <v>0</v>
      </c>
      <c r="P4200" s="604" t="s">
        <v>436</v>
      </c>
      <c r="Q4200" s="499"/>
    </row>
    <row r="4201" spans="9:17">
      <c r="I4201" s="578" t="str">
        <f t="shared" si="211"/>
        <v>1996dhbSouthernPN</v>
      </c>
      <c r="J4201" s="604">
        <v>1996</v>
      </c>
      <c r="K4201" s="604" t="s">
        <v>448</v>
      </c>
      <c r="L4201" s="604" t="s">
        <v>103</v>
      </c>
      <c r="M4201" s="604">
        <v>10</v>
      </c>
      <c r="N4201" s="604">
        <v>3717</v>
      </c>
      <c r="O4201" s="604">
        <v>2.7</v>
      </c>
      <c r="P4201" s="604" t="s">
        <v>436</v>
      </c>
      <c r="Q4201" s="499"/>
    </row>
    <row r="4202" spans="9:17">
      <c r="I4202" s="578" t="str">
        <f t="shared" si="211"/>
        <v>1996dhbUnknownPN</v>
      </c>
      <c r="J4202" s="604">
        <v>1996</v>
      </c>
      <c r="K4202" s="604" t="s">
        <v>448</v>
      </c>
      <c r="L4202" s="604" t="s">
        <v>63</v>
      </c>
      <c r="M4202" s="604">
        <v>1</v>
      </c>
      <c r="N4202" s="604">
        <v>158</v>
      </c>
      <c r="O4202" s="604" t="s">
        <v>119</v>
      </c>
      <c r="P4202" s="604" t="s">
        <v>436</v>
      </c>
      <c r="Q4202" s="499"/>
    </row>
    <row r="4203" spans="9:17">
      <c r="I4203" s="578" t="str">
        <f t="shared" si="211"/>
        <v>1997dhbNorthlandPN</v>
      </c>
      <c r="J4203" s="604">
        <v>1997</v>
      </c>
      <c r="K4203" s="604" t="s">
        <v>448</v>
      </c>
      <c r="L4203" s="604" t="s">
        <v>85</v>
      </c>
      <c r="M4203" s="604">
        <v>12</v>
      </c>
      <c r="N4203" s="604">
        <v>2213</v>
      </c>
      <c r="O4203" s="604">
        <v>5.4</v>
      </c>
      <c r="P4203" s="604" t="s">
        <v>436</v>
      </c>
      <c r="Q4203" s="499"/>
    </row>
    <row r="4204" spans="9:17">
      <c r="I4204" s="578" t="str">
        <f t="shared" si="211"/>
        <v>1997dhbWaitemataPN</v>
      </c>
      <c r="J4204" s="604">
        <v>1997</v>
      </c>
      <c r="K4204" s="604" t="s">
        <v>448</v>
      </c>
      <c r="L4204" s="604" t="s">
        <v>86</v>
      </c>
      <c r="M4204" s="604">
        <v>16</v>
      </c>
      <c r="N4204" s="604">
        <v>6361</v>
      </c>
      <c r="O4204" s="604">
        <v>2.5</v>
      </c>
      <c r="P4204" s="604" t="s">
        <v>436</v>
      </c>
      <c r="Q4204" s="499"/>
    </row>
    <row r="4205" spans="9:17">
      <c r="I4205" s="578" t="str">
        <f t="shared" si="211"/>
        <v>1997dhbAucklandPN</v>
      </c>
      <c r="J4205" s="604">
        <v>1997</v>
      </c>
      <c r="K4205" s="604" t="s">
        <v>448</v>
      </c>
      <c r="L4205" s="604" t="s">
        <v>87</v>
      </c>
      <c r="M4205" s="604">
        <v>12</v>
      </c>
      <c r="N4205" s="604">
        <v>5926</v>
      </c>
      <c r="O4205" s="604">
        <v>2</v>
      </c>
      <c r="P4205" s="604" t="s">
        <v>436</v>
      </c>
      <c r="Q4205" s="499"/>
    </row>
    <row r="4206" spans="9:17">
      <c r="I4206" s="578" t="str">
        <f t="shared" si="211"/>
        <v>1997dhbCounties ManukauPN</v>
      </c>
      <c r="J4206" s="604">
        <v>1997</v>
      </c>
      <c r="K4206" s="604" t="s">
        <v>448</v>
      </c>
      <c r="L4206" s="604" t="s">
        <v>88</v>
      </c>
      <c r="M4206" s="604">
        <v>32</v>
      </c>
      <c r="N4206" s="604">
        <v>6976</v>
      </c>
      <c r="O4206" s="604">
        <v>4.5999999999999996</v>
      </c>
      <c r="P4206" s="604" t="s">
        <v>436</v>
      </c>
      <c r="Q4206" s="499"/>
    </row>
    <row r="4207" spans="9:17">
      <c r="I4207" s="578" t="str">
        <f t="shared" si="211"/>
        <v>1997dhbWaikatoPN</v>
      </c>
      <c r="J4207" s="604">
        <v>1997</v>
      </c>
      <c r="K4207" s="604" t="s">
        <v>448</v>
      </c>
      <c r="L4207" s="604" t="s">
        <v>89</v>
      </c>
      <c r="M4207" s="604">
        <v>23</v>
      </c>
      <c r="N4207" s="604">
        <v>5239</v>
      </c>
      <c r="O4207" s="604">
        <v>4.4000000000000004</v>
      </c>
      <c r="P4207" s="604" t="s">
        <v>436</v>
      </c>
      <c r="Q4207" s="499"/>
    </row>
    <row r="4208" spans="9:17">
      <c r="I4208" s="578" t="str">
        <f t="shared" si="211"/>
        <v>1997dhbLakesPN</v>
      </c>
      <c r="J4208" s="604">
        <v>1997</v>
      </c>
      <c r="K4208" s="604" t="s">
        <v>448</v>
      </c>
      <c r="L4208" s="604" t="s">
        <v>90</v>
      </c>
      <c r="M4208" s="604">
        <v>8</v>
      </c>
      <c r="N4208" s="604">
        <v>1878</v>
      </c>
      <c r="O4208" s="604">
        <v>4.3</v>
      </c>
      <c r="P4208" s="604" t="s">
        <v>436</v>
      </c>
      <c r="Q4208" s="499"/>
    </row>
    <row r="4209" spans="9:17">
      <c r="I4209" s="578" t="str">
        <f t="shared" si="211"/>
        <v>1997dhbBay of PlentyPN</v>
      </c>
      <c r="J4209" s="604">
        <v>1997</v>
      </c>
      <c r="K4209" s="604" t="s">
        <v>448</v>
      </c>
      <c r="L4209" s="604" t="s">
        <v>91</v>
      </c>
      <c r="M4209" s="604">
        <v>8</v>
      </c>
      <c r="N4209" s="604">
        <v>2746</v>
      </c>
      <c r="O4209" s="604">
        <v>2.9</v>
      </c>
      <c r="P4209" s="604" t="s">
        <v>436</v>
      </c>
      <c r="Q4209" s="499"/>
    </row>
    <row r="4210" spans="9:17">
      <c r="I4210" s="578" t="str">
        <f t="shared" si="211"/>
        <v>1997dhbTairawhitiPN</v>
      </c>
      <c r="J4210" s="604">
        <v>1997</v>
      </c>
      <c r="K4210" s="604" t="s">
        <v>448</v>
      </c>
      <c r="L4210" s="604" t="s">
        <v>433</v>
      </c>
      <c r="M4210" s="604">
        <v>3</v>
      </c>
      <c r="N4210" s="604">
        <v>836</v>
      </c>
      <c r="O4210" s="604">
        <v>3.6</v>
      </c>
      <c r="P4210" s="604" t="s">
        <v>436</v>
      </c>
      <c r="Q4210" s="499"/>
    </row>
    <row r="4211" spans="9:17">
      <c r="I4211" s="578" t="str">
        <f t="shared" si="211"/>
        <v>1997dhbHawke's BayPN</v>
      </c>
      <c r="J4211" s="604">
        <v>1997</v>
      </c>
      <c r="K4211" s="604" t="s">
        <v>448</v>
      </c>
      <c r="L4211" s="604" t="s">
        <v>92</v>
      </c>
      <c r="M4211" s="604">
        <v>14</v>
      </c>
      <c r="N4211" s="604">
        <v>2303</v>
      </c>
      <c r="O4211" s="604">
        <v>6.1</v>
      </c>
      <c r="P4211" s="604" t="s">
        <v>436</v>
      </c>
      <c r="Q4211" s="499"/>
    </row>
    <row r="4212" spans="9:17">
      <c r="I4212" s="578" t="str">
        <f t="shared" si="211"/>
        <v>1997dhbTaranakiPN</v>
      </c>
      <c r="J4212" s="604">
        <v>1997</v>
      </c>
      <c r="K4212" s="604" t="s">
        <v>448</v>
      </c>
      <c r="L4212" s="604" t="s">
        <v>93</v>
      </c>
      <c r="M4212" s="604">
        <v>4</v>
      </c>
      <c r="N4212" s="604">
        <v>1504</v>
      </c>
      <c r="O4212" s="604">
        <v>2.7</v>
      </c>
      <c r="P4212" s="604" t="s">
        <v>436</v>
      </c>
      <c r="Q4212" s="499"/>
    </row>
    <row r="4213" spans="9:17">
      <c r="I4213" s="578" t="str">
        <f t="shared" si="211"/>
        <v>1997dhbMidCentralPN</v>
      </c>
      <c r="J4213" s="604">
        <v>1997</v>
      </c>
      <c r="K4213" s="604" t="s">
        <v>448</v>
      </c>
      <c r="L4213" s="604" t="s">
        <v>94</v>
      </c>
      <c r="M4213" s="604">
        <v>3</v>
      </c>
      <c r="N4213" s="604">
        <v>2380</v>
      </c>
      <c r="O4213" s="604">
        <v>1.3</v>
      </c>
      <c r="P4213" s="604" t="s">
        <v>436</v>
      </c>
      <c r="Q4213" s="499"/>
    </row>
    <row r="4214" spans="9:17">
      <c r="I4214" s="578" t="str">
        <f t="shared" si="211"/>
        <v>1997dhbWhanganuiPN</v>
      </c>
      <c r="J4214" s="604">
        <v>1997</v>
      </c>
      <c r="K4214" s="604" t="s">
        <v>448</v>
      </c>
      <c r="L4214" s="604" t="s">
        <v>95</v>
      </c>
      <c r="M4214" s="604">
        <v>7</v>
      </c>
      <c r="N4214" s="604">
        <v>1082</v>
      </c>
      <c r="O4214" s="604">
        <v>6.5</v>
      </c>
      <c r="P4214" s="604" t="s">
        <v>436</v>
      </c>
      <c r="Q4214" s="499"/>
    </row>
    <row r="4215" spans="9:17">
      <c r="I4215" s="578" t="str">
        <f t="shared" si="211"/>
        <v>1997dhbCapital &amp; CoastPN</v>
      </c>
      <c r="J4215" s="604">
        <v>1997</v>
      </c>
      <c r="K4215" s="604" t="s">
        <v>448</v>
      </c>
      <c r="L4215" s="604" t="s">
        <v>96</v>
      </c>
      <c r="M4215" s="604">
        <v>10</v>
      </c>
      <c r="N4215" s="604">
        <v>3566</v>
      </c>
      <c r="O4215" s="604">
        <v>2.8</v>
      </c>
      <c r="P4215" s="604" t="s">
        <v>436</v>
      </c>
      <c r="Q4215" s="499"/>
    </row>
    <row r="4216" spans="9:17">
      <c r="I4216" s="578" t="str">
        <f t="shared" si="211"/>
        <v>1997dhbHutt ValleyPN</v>
      </c>
      <c r="J4216" s="604">
        <v>1997</v>
      </c>
      <c r="K4216" s="604" t="s">
        <v>448</v>
      </c>
      <c r="L4216" s="604" t="s">
        <v>97</v>
      </c>
      <c r="M4216" s="604">
        <v>8</v>
      </c>
      <c r="N4216" s="604">
        <v>2116</v>
      </c>
      <c r="O4216" s="604">
        <v>3.8</v>
      </c>
      <c r="P4216" s="604" t="s">
        <v>436</v>
      </c>
      <c r="Q4216" s="499"/>
    </row>
    <row r="4217" spans="9:17">
      <c r="I4217" s="578" t="str">
        <f t="shared" si="211"/>
        <v>1997dhbWairarapaPN</v>
      </c>
      <c r="J4217" s="604">
        <v>1997</v>
      </c>
      <c r="K4217" s="604" t="s">
        <v>448</v>
      </c>
      <c r="L4217" s="604" t="s">
        <v>98</v>
      </c>
      <c r="M4217" s="604">
        <v>2</v>
      </c>
      <c r="N4217" s="604">
        <v>563</v>
      </c>
      <c r="O4217" s="604">
        <v>3.6</v>
      </c>
      <c r="P4217" s="604" t="s">
        <v>436</v>
      </c>
      <c r="Q4217" s="499"/>
    </row>
    <row r="4218" spans="9:17">
      <c r="I4218" s="578" t="str">
        <f t="shared" si="211"/>
        <v>1997dhbNelson MarlboroughPN</v>
      </c>
      <c r="J4218" s="604">
        <v>1997</v>
      </c>
      <c r="K4218" s="604" t="s">
        <v>448</v>
      </c>
      <c r="L4218" s="604" t="s">
        <v>99</v>
      </c>
      <c r="M4218" s="604">
        <v>4</v>
      </c>
      <c r="N4218" s="604">
        <v>1544</v>
      </c>
      <c r="O4218" s="604">
        <v>2.6</v>
      </c>
      <c r="P4218" s="604" t="s">
        <v>436</v>
      </c>
      <c r="Q4218" s="499"/>
    </row>
    <row r="4219" spans="9:17">
      <c r="I4219" s="578" t="str">
        <f t="shared" si="211"/>
        <v>1997dhbWest CoastPN</v>
      </c>
      <c r="J4219" s="604">
        <v>1997</v>
      </c>
      <c r="K4219" s="604" t="s">
        <v>448</v>
      </c>
      <c r="L4219" s="604" t="s">
        <v>100</v>
      </c>
      <c r="M4219" s="604">
        <v>0</v>
      </c>
      <c r="N4219" s="604">
        <v>428</v>
      </c>
      <c r="O4219" s="604">
        <v>0</v>
      </c>
      <c r="P4219" s="604" t="s">
        <v>436</v>
      </c>
      <c r="Q4219" s="499"/>
    </row>
    <row r="4220" spans="9:17">
      <c r="I4220" s="578" t="str">
        <f t="shared" si="211"/>
        <v>1997dhbCanterburyPN</v>
      </c>
      <c r="J4220" s="604">
        <v>1997</v>
      </c>
      <c r="K4220" s="604" t="s">
        <v>448</v>
      </c>
      <c r="L4220" s="604" t="s">
        <v>101</v>
      </c>
      <c r="M4220" s="604">
        <v>11</v>
      </c>
      <c r="N4220" s="604">
        <v>5667</v>
      </c>
      <c r="O4220" s="604">
        <v>1.9</v>
      </c>
      <c r="P4220" s="604" t="s">
        <v>436</v>
      </c>
      <c r="Q4220" s="499"/>
    </row>
    <row r="4221" spans="9:17">
      <c r="I4221" s="578" t="str">
        <f t="shared" si="211"/>
        <v>1997dhbSouth CanterburyPN</v>
      </c>
      <c r="J4221" s="604">
        <v>1997</v>
      </c>
      <c r="K4221" s="604" t="s">
        <v>448</v>
      </c>
      <c r="L4221" s="604" t="s">
        <v>102</v>
      </c>
      <c r="M4221" s="604">
        <v>2</v>
      </c>
      <c r="N4221" s="604">
        <v>653</v>
      </c>
      <c r="O4221" s="604">
        <v>3.1</v>
      </c>
      <c r="P4221" s="604" t="s">
        <v>436</v>
      </c>
      <c r="Q4221" s="499"/>
    </row>
    <row r="4222" spans="9:17">
      <c r="I4222" s="578" t="str">
        <f t="shared" si="211"/>
        <v>1997dhbSouthernPN</v>
      </c>
      <c r="J4222" s="604">
        <v>1997</v>
      </c>
      <c r="K4222" s="604" t="s">
        <v>448</v>
      </c>
      <c r="L4222" s="604" t="s">
        <v>103</v>
      </c>
      <c r="M4222" s="604">
        <v>2</v>
      </c>
      <c r="N4222" s="604">
        <v>3618</v>
      </c>
      <c r="O4222" s="604">
        <v>0.6</v>
      </c>
      <c r="P4222" s="604" t="s">
        <v>436</v>
      </c>
      <c r="Q4222" s="499"/>
    </row>
    <row r="4223" spans="9:17">
      <c r="I4223" s="578" t="str">
        <f t="shared" si="211"/>
        <v>1997dhbUnknownPN</v>
      </c>
      <c r="J4223" s="604">
        <v>1997</v>
      </c>
      <c r="K4223" s="604" t="s">
        <v>448</v>
      </c>
      <c r="L4223" s="604" t="s">
        <v>63</v>
      </c>
      <c r="M4223" s="604">
        <v>1</v>
      </c>
      <c r="N4223" s="604">
        <v>135</v>
      </c>
      <c r="O4223" s="604" t="s">
        <v>119</v>
      </c>
      <c r="P4223" s="604" t="s">
        <v>436</v>
      </c>
      <c r="Q4223" s="499"/>
    </row>
    <row r="4224" spans="9:17">
      <c r="I4224" s="578" t="str">
        <f t="shared" si="211"/>
        <v>1998dhbNorthlandPN</v>
      </c>
      <c r="J4224" s="604">
        <v>1998</v>
      </c>
      <c r="K4224" s="604" t="s">
        <v>448</v>
      </c>
      <c r="L4224" s="604" t="s">
        <v>85</v>
      </c>
      <c r="M4224" s="604">
        <v>11</v>
      </c>
      <c r="N4224" s="604">
        <v>2213</v>
      </c>
      <c r="O4224" s="604">
        <v>5</v>
      </c>
      <c r="P4224" s="604" t="s">
        <v>436</v>
      </c>
      <c r="Q4224" s="499"/>
    </row>
    <row r="4225" spans="9:17">
      <c r="I4225" s="578" t="str">
        <f t="shared" si="211"/>
        <v>1998dhbWaitemataPN</v>
      </c>
      <c r="J4225" s="604">
        <v>1998</v>
      </c>
      <c r="K4225" s="604" t="s">
        <v>448</v>
      </c>
      <c r="L4225" s="604" t="s">
        <v>86</v>
      </c>
      <c r="M4225" s="604">
        <v>8</v>
      </c>
      <c r="N4225" s="604">
        <v>6361</v>
      </c>
      <c r="O4225" s="604">
        <v>1.3</v>
      </c>
      <c r="P4225" s="604" t="s">
        <v>436</v>
      </c>
      <c r="Q4225" s="499"/>
    </row>
    <row r="4226" spans="9:17">
      <c r="I4226" s="578" t="str">
        <f t="shared" si="211"/>
        <v>1998dhbAucklandPN</v>
      </c>
      <c r="J4226" s="604">
        <v>1998</v>
      </c>
      <c r="K4226" s="604" t="s">
        <v>448</v>
      </c>
      <c r="L4226" s="604" t="s">
        <v>87</v>
      </c>
      <c r="M4226" s="604">
        <v>14</v>
      </c>
      <c r="N4226" s="604">
        <v>5926</v>
      </c>
      <c r="O4226" s="604">
        <v>2.4</v>
      </c>
      <c r="P4226" s="604" t="s">
        <v>436</v>
      </c>
      <c r="Q4226" s="499"/>
    </row>
    <row r="4227" spans="9:17">
      <c r="I4227" s="578" t="str">
        <f t="shared" si="211"/>
        <v>1998dhbCounties ManukauPN</v>
      </c>
      <c r="J4227" s="604">
        <v>1998</v>
      </c>
      <c r="K4227" s="604" t="s">
        <v>448</v>
      </c>
      <c r="L4227" s="604" t="s">
        <v>88</v>
      </c>
      <c r="M4227" s="604">
        <v>19</v>
      </c>
      <c r="N4227" s="604">
        <v>6976</v>
      </c>
      <c r="O4227" s="604">
        <v>2.7</v>
      </c>
      <c r="P4227" s="604" t="s">
        <v>436</v>
      </c>
      <c r="Q4227" s="499"/>
    </row>
    <row r="4228" spans="9:17">
      <c r="I4228" s="578" t="str">
        <f t="shared" ref="I4228:I4291" si="212">J4228&amp;K4228&amp;L4228&amp;P4228</f>
        <v>1998dhbWaikatoPN</v>
      </c>
      <c r="J4228" s="604">
        <v>1998</v>
      </c>
      <c r="K4228" s="604" t="s">
        <v>448</v>
      </c>
      <c r="L4228" s="604" t="s">
        <v>89</v>
      </c>
      <c r="M4228" s="604">
        <v>14</v>
      </c>
      <c r="N4228" s="604">
        <v>5239</v>
      </c>
      <c r="O4228" s="604">
        <v>2.7</v>
      </c>
      <c r="P4228" s="604" t="s">
        <v>436</v>
      </c>
      <c r="Q4228" s="499"/>
    </row>
    <row r="4229" spans="9:17">
      <c r="I4229" s="578" t="str">
        <f t="shared" si="212"/>
        <v>1998dhbLakesPN</v>
      </c>
      <c r="J4229" s="604">
        <v>1998</v>
      </c>
      <c r="K4229" s="604" t="s">
        <v>448</v>
      </c>
      <c r="L4229" s="604" t="s">
        <v>90</v>
      </c>
      <c r="M4229" s="604">
        <v>6</v>
      </c>
      <c r="N4229" s="604">
        <v>1878</v>
      </c>
      <c r="O4229" s="604">
        <v>3.2</v>
      </c>
      <c r="P4229" s="604" t="s">
        <v>436</v>
      </c>
      <c r="Q4229" s="499"/>
    </row>
    <row r="4230" spans="9:17">
      <c r="I4230" s="578" t="str">
        <f t="shared" si="212"/>
        <v>1998dhbBay of PlentyPN</v>
      </c>
      <c r="J4230" s="604">
        <v>1998</v>
      </c>
      <c r="K4230" s="604" t="s">
        <v>448</v>
      </c>
      <c r="L4230" s="604" t="s">
        <v>91</v>
      </c>
      <c r="M4230" s="604">
        <v>12</v>
      </c>
      <c r="N4230" s="604">
        <v>2746</v>
      </c>
      <c r="O4230" s="604">
        <v>4.4000000000000004</v>
      </c>
      <c r="P4230" s="604" t="s">
        <v>436</v>
      </c>
      <c r="Q4230" s="499"/>
    </row>
    <row r="4231" spans="9:17">
      <c r="I4231" s="578" t="str">
        <f t="shared" si="212"/>
        <v>1998dhbTairawhitiPN</v>
      </c>
      <c r="J4231" s="604">
        <v>1998</v>
      </c>
      <c r="K4231" s="604" t="s">
        <v>448</v>
      </c>
      <c r="L4231" s="604" t="s">
        <v>433</v>
      </c>
      <c r="M4231" s="604">
        <v>1</v>
      </c>
      <c r="N4231" s="604">
        <v>836</v>
      </c>
      <c r="O4231" s="604">
        <v>1.2</v>
      </c>
      <c r="P4231" s="604" t="s">
        <v>436</v>
      </c>
      <c r="Q4231" s="499"/>
    </row>
    <row r="4232" spans="9:17">
      <c r="I4232" s="578" t="str">
        <f t="shared" si="212"/>
        <v>1998dhbHawke's BayPN</v>
      </c>
      <c r="J4232" s="604">
        <v>1998</v>
      </c>
      <c r="K4232" s="604" t="s">
        <v>448</v>
      </c>
      <c r="L4232" s="604" t="s">
        <v>92</v>
      </c>
      <c r="M4232" s="604">
        <v>6</v>
      </c>
      <c r="N4232" s="604">
        <v>2303</v>
      </c>
      <c r="O4232" s="604">
        <v>2.6</v>
      </c>
      <c r="P4232" s="604" t="s">
        <v>436</v>
      </c>
      <c r="Q4232" s="499"/>
    </row>
    <row r="4233" spans="9:17">
      <c r="I4233" s="578" t="str">
        <f t="shared" si="212"/>
        <v>1998dhbTaranakiPN</v>
      </c>
      <c r="J4233" s="604">
        <v>1998</v>
      </c>
      <c r="K4233" s="604" t="s">
        <v>448</v>
      </c>
      <c r="L4233" s="604" t="s">
        <v>93</v>
      </c>
      <c r="M4233" s="604">
        <v>2</v>
      </c>
      <c r="N4233" s="604">
        <v>1504</v>
      </c>
      <c r="O4233" s="604">
        <v>1.3</v>
      </c>
      <c r="P4233" s="604" t="s">
        <v>436</v>
      </c>
      <c r="Q4233" s="499"/>
    </row>
    <row r="4234" spans="9:17">
      <c r="I4234" s="578" t="str">
        <f t="shared" si="212"/>
        <v>1998dhbMidCentralPN</v>
      </c>
      <c r="J4234" s="604">
        <v>1998</v>
      </c>
      <c r="K4234" s="604" t="s">
        <v>448</v>
      </c>
      <c r="L4234" s="604" t="s">
        <v>94</v>
      </c>
      <c r="M4234" s="604">
        <v>5</v>
      </c>
      <c r="N4234" s="604">
        <v>2380</v>
      </c>
      <c r="O4234" s="604">
        <v>2.1</v>
      </c>
      <c r="P4234" s="604" t="s">
        <v>436</v>
      </c>
      <c r="Q4234" s="499"/>
    </row>
    <row r="4235" spans="9:17">
      <c r="I4235" s="578" t="str">
        <f t="shared" si="212"/>
        <v>1998dhbWhanganuiPN</v>
      </c>
      <c r="J4235" s="604">
        <v>1998</v>
      </c>
      <c r="K4235" s="604" t="s">
        <v>448</v>
      </c>
      <c r="L4235" s="604" t="s">
        <v>95</v>
      </c>
      <c r="M4235" s="604">
        <v>1</v>
      </c>
      <c r="N4235" s="604">
        <v>1082</v>
      </c>
      <c r="O4235" s="604">
        <v>0.9</v>
      </c>
      <c r="P4235" s="604" t="s">
        <v>436</v>
      </c>
      <c r="Q4235" s="499"/>
    </row>
    <row r="4236" spans="9:17">
      <c r="I4236" s="578" t="str">
        <f t="shared" si="212"/>
        <v>1998dhbCapital &amp; CoastPN</v>
      </c>
      <c r="J4236" s="604">
        <v>1998</v>
      </c>
      <c r="K4236" s="604" t="s">
        <v>448</v>
      </c>
      <c r="L4236" s="604" t="s">
        <v>96</v>
      </c>
      <c r="M4236" s="604">
        <v>4</v>
      </c>
      <c r="N4236" s="604">
        <v>3566</v>
      </c>
      <c r="O4236" s="604">
        <v>1.1000000000000001</v>
      </c>
      <c r="P4236" s="604" t="s">
        <v>436</v>
      </c>
      <c r="Q4236" s="499"/>
    </row>
    <row r="4237" spans="9:17">
      <c r="I4237" s="578" t="str">
        <f t="shared" si="212"/>
        <v>1998dhbHutt ValleyPN</v>
      </c>
      <c r="J4237" s="604">
        <v>1998</v>
      </c>
      <c r="K4237" s="604" t="s">
        <v>448</v>
      </c>
      <c r="L4237" s="604" t="s">
        <v>97</v>
      </c>
      <c r="M4237" s="604">
        <v>1</v>
      </c>
      <c r="N4237" s="604">
        <v>2116</v>
      </c>
      <c r="O4237" s="604">
        <v>0.5</v>
      </c>
      <c r="P4237" s="604" t="s">
        <v>436</v>
      </c>
      <c r="Q4237" s="499"/>
    </row>
    <row r="4238" spans="9:17">
      <c r="I4238" s="578" t="str">
        <f t="shared" si="212"/>
        <v>1998dhbWairarapaPN</v>
      </c>
      <c r="J4238" s="604">
        <v>1998</v>
      </c>
      <c r="K4238" s="604" t="s">
        <v>448</v>
      </c>
      <c r="L4238" s="604" t="s">
        <v>98</v>
      </c>
      <c r="M4238" s="604">
        <v>1</v>
      </c>
      <c r="N4238" s="604">
        <v>563</v>
      </c>
      <c r="O4238" s="604">
        <v>1.8</v>
      </c>
      <c r="P4238" s="604" t="s">
        <v>436</v>
      </c>
      <c r="Q4238" s="499"/>
    </row>
    <row r="4239" spans="9:17">
      <c r="I4239" s="578" t="str">
        <f t="shared" si="212"/>
        <v>1998dhbNelson MarlboroughPN</v>
      </c>
      <c r="J4239" s="604">
        <v>1998</v>
      </c>
      <c r="K4239" s="604" t="s">
        <v>448</v>
      </c>
      <c r="L4239" s="604" t="s">
        <v>99</v>
      </c>
      <c r="M4239" s="604">
        <v>5</v>
      </c>
      <c r="N4239" s="604">
        <v>1544</v>
      </c>
      <c r="O4239" s="604">
        <v>3.2</v>
      </c>
      <c r="P4239" s="604" t="s">
        <v>436</v>
      </c>
      <c r="Q4239" s="499"/>
    </row>
    <row r="4240" spans="9:17">
      <c r="I4240" s="578" t="str">
        <f t="shared" si="212"/>
        <v>1998dhbWest CoastPN</v>
      </c>
      <c r="J4240" s="604">
        <v>1998</v>
      </c>
      <c r="K4240" s="604" t="s">
        <v>448</v>
      </c>
      <c r="L4240" s="604" t="s">
        <v>100</v>
      </c>
      <c r="M4240" s="604">
        <v>1</v>
      </c>
      <c r="N4240" s="604">
        <v>428</v>
      </c>
      <c r="O4240" s="604">
        <v>2.2999999999999998</v>
      </c>
      <c r="P4240" s="604" t="s">
        <v>436</v>
      </c>
      <c r="Q4240" s="499"/>
    </row>
    <row r="4241" spans="9:17">
      <c r="I4241" s="578" t="str">
        <f t="shared" si="212"/>
        <v>1998dhbCanterburyPN</v>
      </c>
      <c r="J4241" s="604">
        <v>1998</v>
      </c>
      <c r="K4241" s="604" t="s">
        <v>448</v>
      </c>
      <c r="L4241" s="604" t="s">
        <v>101</v>
      </c>
      <c r="M4241" s="604">
        <v>13</v>
      </c>
      <c r="N4241" s="604">
        <v>5667</v>
      </c>
      <c r="O4241" s="604">
        <v>2.2999999999999998</v>
      </c>
      <c r="P4241" s="604" t="s">
        <v>436</v>
      </c>
      <c r="Q4241" s="499"/>
    </row>
    <row r="4242" spans="9:17">
      <c r="I4242" s="578" t="str">
        <f t="shared" si="212"/>
        <v>1998dhbSouth CanterburyPN</v>
      </c>
      <c r="J4242" s="604">
        <v>1998</v>
      </c>
      <c r="K4242" s="604" t="s">
        <v>448</v>
      </c>
      <c r="L4242" s="604" t="s">
        <v>102</v>
      </c>
      <c r="M4242" s="604">
        <v>3</v>
      </c>
      <c r="N4242" s="604">
        <v>653</v>
      </c>
      <c r="O4242" s="604">
        <v>4.5999999999999996</v>
      </c>
      <c r="P4242" s="604" t="s">
        <v>436</v>
      </c>
      <c r="Q4242" s="499"/>
    </row>
    <row r="4243" spans="9:17">
      <c r="I4243" s="578" t="str">
        <f t="shared" si="212"/>
        <v>1998dhbSouthernPN</v>
      </c>
      <c r="J4243" s="604">
        <v>1998</v>
      </c>
      <c r="K4243" s="604" t="s">
        <v>448</v>
      </c>
      <c r="L4243" s="604" t="s">
        <v>103</v>
      </c>
      <c r="M4243" s="604">
        <v>10</v>
      </c>
      <c r="N4243" s="604">
        <v>3618</v>
      </c>
      <c r="O4243" s="604">
        <v>2.8</v>
      </c>
      <c r="P4243" s="604" t="s">
        <v>436</v>
      </c>
      <c r="Q4243" s="499"/>
    </row>
    <row r="4244" spans="9:17">
      <c r="I4244" s="578" t="str">
        <f t="shared" si="212"/>
        <v>1998dhbUnknownPN</v>
      </c>
      <c r="J4244" s="604">
        <v>1998</v>
      </c>
      <c r="K4244" s="604" t="s">
        <v>448</v>
      </c>
      <c r="L4244" s="604" t="s">
        <v>63</v>
      </c>
      <c r="M4244" s="604">
        <v>0</v>
      </c>
      <c r="N4244" s="604">
        <v>135</v>
      </c>
      <c r="O4244" s="604" t="s">
        <v>119</v>
      </c>
      <c r="P4244" s="604" t="s">
        <v>436</v>
      </c>
      <c r="Q4244" s="499"/>
    </row>
    <row r="4245" spans="9:17">
      <c r="I4245" s="578" t="str">
        <f t="shared" si="212"/>
        <v>1999dhbNorthlandPN</v>
      </c>
      <c r="J4245" s="604">
        <v>1999</v>
      </c>
      <c r="K4245" s="604" t="s">
        <v>448</v>
      </c>
      <c r="L4245" s="604" t="s">
        <v>85</v>
      </c>
      <c r="M4245" s="604">
        <v>12</v>
      </c>
      <c r="N4245" s="604">
        <v>2158</v>
      </c>
      <c r="O4245" s="604">
        <v>5.6</v>
      </c>
      <c r="P4245" s="604" t="s">
        <v>436</v>
      </c>
      <c r="Q4245" s="499"/>
    </row>
    <row r="4246" spans="9:17">
      <c r="I4246" s="578" t="str">
        <f t="shared" si="212"/>
        <v>1999dhbWaitemataPN</v>
      </c>
      <c r="J4246" s="604">
        <v>1999</v>
      </c>
      <c r="K4246" s="604" t="s">
        <v>448</v>
      </c>
      <c r="L4246" s="604" t="s">
        <v>86</v>
      </c>
      <c r="M4246" s="604">
        <v>8</v>
      </c>
      <c r="N4246" s="604">
        <v>6422</v>
      </c>
      <c r="O4246" s="604">
        <v>1.2</v>
      </c>
      <c r="P4246" s="604" t="s">
        <v>436</v>
      </c>
      <c r="Q4246" s="499"/>
    </row>
    <row r="4247" spans="9:17">
      <c r="I4247" s="578" t="str">
        <f t="shared" si="212"/>
        <v>1999dhbAucklandPN</v>
      </c>
      <c r="J4247" s="604">
        <v>1999</v>
      </c>
      <c r="K4247" s="604" t="s">
        <v>448</v>
      </c>
      <c r="L4247" s="604" t="s">
        <v>87</v>
      </c>
      <c r="M4247" s="604">
        <v>11</v>
      </c>
      <c r="N4247" s="604">
        <v>5896</v>
      </c>
      <c r="O4247" s="604">
        <v>1.9</v>
      </c>
      <c r="P4247" s="604" t="s">
        <v>436</v>
      </c>
      <c r="Q4247" s="499"/>
    </row>
    <row r="4248" spans="9:17">
      <c r="I4248" s="578" t="str">
        <f t="shared" si="212"/>
        <v>1999dhbCounties ManukauPN</v>
      </c>
      <c r="J4248" s="604">
        <v>1999</v>
      </c>
      <c r="K4248" s="604" t="s">
        <v>448</v>
      </c>
      <c r="L4248" s="604" t="s">
        <v>88</v>
      </c>
      <c r="M4248" s="604">
        <v>16</v>
      </c>
      <c r="N4248" s="604">
        <v>7217</v>
      </c>
      <c r="O4248" s="604">
        <v>2.2000000000000002</v>
      </c>
      <c r="P4248" s="604" t="s">
        <v>436</v>
      </c>
      <c r="Q4248" s="499"/>
    </row>
    <row r="4249" spans="9:17">
      <c r="I4249" s="578" t="str">
        <f t="shared" si="212"/>
        <v>1999dhbWaikatoPN</v>
      </c>
      <c r="J4249" s="604">
        <v>1999</v>
      </c>
      <c r="K4249" s="604" t="s">
        <v>448</v>
      </c>
      <c r="L4249" s="604" t="s">
        <v>89</v>
      </c>
      <c r="M4249" s="604">
        <v>22</v>
      </c>
      <c r="N4249" s="604">
        <v>5194</v>
      </c>
      <c r="O4249" s="604">
        <v>4.2</v>
      </c>
      <c r="P4249" s="604" t="s">
        <v>436</v>
      </c>
      <c r="Q4249" s="499"/>
    </row>
    <row r="4250" spans="9:17">
      <c r="I4250" s="578" t="str">
        <f t="shared" si="212"/>
        <v>1999dhbLakesPN</v>
      </c>
      <c r="J4250" s="604">
        <v>1999</v>
      </c>
      <c r="K4250" s="604" t="s">
        <v>448</v>
      </c>
      <c r="L4250" s="604" t="s">
        <v>90</v>
      </c>
      <c r="M4250" s="604">
        <v>6</v>
      </c>
      <c r="N4250" s="604">
        <v>1696</v>
      </c>
      <c r="O4250" s="604">
        <v>3.5</v>
      </c>
      <c r="P4250" s="604" t="s">
        <v>436</v>
      </c>
      <c r="Q4250" s="499"/>
    </row>
    <row r="4251" spans="9:17">
      <c r="I4251" s="578" t="str">
        <f t="shared" si="212"/>
        <v>1999dhbBay of PlentyPN</v>
      </c>
      <c r="J4251" s="604">
        <v>1999</v>
      </c>
      <c r="K4251" s="604" t="s">
        <v>448</v>
      </c>
      <c r="L4251" s="604" t="s">
        <v>91</v>
      </c>
      <c r="M4251" s="604">
        <v>10</v>
      </c>
      <c r="N4251" s="604">
        <v>2699</v>
      </c>
      <c r="O4251" s="604">
        <v>3.7</v>
      </c>
      <c r="P4251" s="604" t="s">
        <v>436</v>
      </c>
      <c r="Q4251" s="499"/>
    </row>
    <row r="4252" spans="9:17">
      <c r="I4252" s="578" t="str">
        <f t="shared" si="212"/>
        <v>1999dhbTairawhitiPN</v>
      </c>
      <c r="J4252" s="604">
        <v>1999</v>
      </c>
      <c r="K4252" s="604" t="s">
        <v>448</v>
      </c>
      <c r="L4252" s="604" t="s">
        <v>433</v>
      </c>
      <c r="M4252" s="604">
        <v>6</v>
      </c>
      <c r="N4252" s="604">
        <v>771</v>
      </c>
      <c r="O4252" s="604">
        <v>7.8</v>
      </c>
      <c r="P4252" s="604" t="s">
        <v>436</v>
      </c>
      <c r="Q4252" s="499"/>
    </row>
    <row r="4253" spans="9:17">
      <c r="I4253" s="578" t="str">
        <f t="shared" si="212"/>
        <v>1999dhbHawke's BayPN</v>
      </c>
      <c r="J4253" s="604">
        <v>1999</v>
      </c>
      <c r="K4253" s="604" t="s">
        <v>448</v>
      </c>
      <c r="L4253" s="604" t="s">
        <v>92</v>
      </c>
      <c r="M4253" s="604">
        <v>4</v>
      </c>
      <c r="N4253" s="604">
        <v>2164</v>
      </c>
      <c r="O4253" s="604">
        <v>1.8</v>
      </c>
      <c r="P4253" s="604" t="s">
        <v>436</v>
      </c>
      <c r="Q4253" s="499"/>
    </row>
    <row r="4254" spans="9:17">
      <c r="I4254" s="578" t="str">
        <f t="shared" si="212"/>
        <v>1999dhbTaranakiPN</v>
      </c>
      <c r="J4254" s="604">
        <v>1999</v>
      </c>
      <c r="K4254" s="604" t="s">
        <v>448</v>
      </c>
      <c r="L4254" s="604" t="s">
        <v>93</v>
      </c>
      <c r="M4254" s="604">
        <v>5</v>
      </c>
      <c r="N4254" s="604">
        <v>1497</v>
      </c>
      <c r="O4254" s="604">
        <v>3.3</v>
      </c>
      <c r="P4254" s="604" t="s">
        <v>436</v>
      </c>
      <c r="Q4254" s="499"/>
    </row>
    <row r="4255" spans="9:17">
      <c r="I4255" s="578" t="str">
        <f t="shared" si="212"/>
        <v>1999dhbMidCentralPN</v>
      </c>
      <c r="J4255" s="604">
        <v>1999</v>
      </c>
      <c r="K4255" s="604" t="s">
        <v>448</v>
      </c>
      <c r="L4255" s="604" t="s">
        <v>94</v>
      </c>
      <c r="M4255" s="604">
        <v>3</v>
      </c>
      <c r="N4255" s="604">
        <v>2191</v>
      </c>
      <c r="O4255" s="604">
        <v>1.4</v>
      </c>
      <c r="P4255" s="604" t="s">
        <v>436</v>
      </c>
      <c r="Q4255" s="499"/>
    </row>
    <row r="4256" spans="9:17">
      <c r="I4256" s="578" t="str">
        <f t="shared" si="212"/>
        <v>1999dhbWhanganuiPN</v>
      </c>
      <c r="J4256" s="604">
        <v>1999</v>
      </c>
      <c r="K4256" s="604" t="s">
        <v>448</v>
      </c>
      <c r="L4256" s="604" t="s">
        <v>95</v>
      </c>
      <c r="M4256" s="604">
        <v>0</v>
      </c>
      <c r="N4256" s="604">
        <v>959</v>
      </c>
      <c r="O4256" s="604">
        <v>0</v>
      </c>
      <c r="P4256" s="604" t="s">
        <v>436</v>
      </c>
      <c r="Q4256" s="499"/>
    </row>
    <row r="4257" spans="9:17">
      <c r="I4257" s="578" t="str">
        <f t="shared" si="212"/>
        <v>1999dhbCapital &amp; CoastPN</v>
      </c>
      <c r="J4257" s="604">
        <v>1999</v>
      </c>
      <c r="K4257" s="604" t="s">
        <v>448</v>
      </c>
      <c r="L4257" s="604" t="s">
        <v>96</v>
      </c>
      <c r="M4257" s="604">
        <v>13</v>
      </c>
      <c r="N4257" s="604">
        <v>3812</v>
      </c>
      <c r="O4257" s="604">
        <v>3.4</v>
      </c>
      <c r="P4257" s="604" t="s">
        <v>436</v>
      </c>
      <c r="Q4257" s="499"/>
    </row>
    <row r="4258" spans="9:17">
      <c r="I4258" s="578" t="str">
        <f t="shared" si="212"/>
        <v>1999dhbHutt ValleyPN</v>
      </c>
      <c r="J4258" s="604">
        <v>1999</v>
      </c>
      <c r="K4258" s="604" t="s">
        <v>448</v>
      </c>
      <c r="L4258" s="604" t="s">
        <v>97</v>
      </c>
      <c r="M4258" s="604">
        <v>12</v>
      </c>
      <c r="N4258" s="604">
        <v>2105</v>
      </c>
      <c r="O4258" s="604">
        <v>5.7</v>
      </c>
      <c r="P4258" s="604" t="s">
        <v>436</v>
      </c>
      <c r="Q4258" s="499"/>
    </row>
    <row r="4259" spans="9:17">
      <c r="I4259" s="578" t="str">
        <f t="shared" si="212"/>
        <v>1999dhbWairarapaPN</v>
      </c>
      <c r="J4259" s="604">
        <v>1999</v>
      </c>
      <c r="K4259" s="604" t="s">
        <v>448</v>
      </c>
      <c r="L4259" s="604" t="s">
        <v>98</v>
      </c>
      <c r="M4259" s="604">
        <v>1</v>
      </c>
      <c r="N4259" s="604">
        <v>553</v>
      </c>
      <c r="O4259" s="604">
        <v>1.8</v>
      </c>
      <c r="P4259" s="604" t="s">
        <v>436</v>
      </c>
      <c r="Q4259" s="499"/>
    </row>
    <row r="4260" spans="9:17">
      <c r="I4260" s="578" t="str">
        <f t="shared" si="212"/>
        <v>1999dhbNelson MarlboroughPN</v>
      </c>
      <c r="J4260" s="604">
        <v>1999</v>
      </c>
      <c r="K4260" s="604" t="s">
        <v>448</v>
      </c>
      <c r="L4260" s="604" t="s">
        <v>99</v>
      </c>
      <c r="M4260" s="604">
        <v>3</v>
      </c>
      <c r="N4260" s="604">
        <v>1494</v>
      </c>
      <c r="O4260" s="604">
        <v>2</v>
      </c>
      <c r="P4260" s="604" t="s">
        <v>436</v>
      </c>
      <c r="Q4260" s="499"/>
    </row>
    <row r="4261" spans="9:17">
      <c r="I4261" s="578" t="str">
        <f t="shared" si="212"/>
        <v>1999dhbWest CoastPN</v>
      </c>
      <c r="J4261" s="604">
        <v>1999</v>
      </c>
      <c r="K4261" s="604" t="s">
        <v>448</v>
      </c>
      <c r="L4261" s="604" t="s">
        <v>100</v>
      </c>
      <c r="M4261" s="604">
        <v>1</v>
      </c>
      <c r="N4261" s="604">
        <v>403</v>
      </c>
      <c r="O4261" s="604">
        <v>2.5</v>
      </c>
      <c r="P4261" s="604" t="s">
        <v>436</v>
      </c>
      <c r="Q4261" s="499"/>
    </row>
    <row r="4262" spans="9:17">
      <c r="I4262" s="578" t="str">
        <f t="shared" si="212"/>
        <v>1999dhbCanterburyPN</v>
      </c>
      <c r="J4262" s="604">
        <v>1999</v>
      </c>
      <c r="K4262" s="604" t="s">
        <v>448</v>
      </c>
      <c r="L4262" s="604" t="s">
        <v>101</v>
      </c>
      <c r="M4262" s="604">
        <v>14</v>
      </c>
      <c r="N4262" s="604">
        <v>5576</v>
      </c>
      <c r="O4262" s="604">
        <v>2.5</v>
      </c>
      <c r="P4262" s="604" t="s">
        <v>436</v>
      </c>
      <c r="Q4262" s="499"/>
    </row>
    <row r="4263" spans="9:17">
      <c r="I4263" s="578" t="str">
        <f t="shared" si="212"/>
        <v>1999dhbSouth CanterburyPN</v>
      </c>
      <c r="J4263" s="604">
        <v>1999</v>
      </c>
      <c r="K4263" s="604" t="s">
        <v>448</v>
      </c>
      <c r="L4263" s="604" t="s">
        <v>102</v>
      </c>
      <c r="M4263" s="604">
        <v>0</v>
      </c>
      <c r="N4263" s="604">
        <v>616</v>
      </c>
      <c r="O4263" s="604">
        <v>0</v>
      </c>
      <c r="P4263" s="604" t="s">
        <v>436</v>
      </c>
      <c r="Q4263" s="499"/>
    </row>
    <row r="4264" spans="9:17">
      <c r="I4264" s="578" t="str">
        <f t="shared" si="212"/>
        <v>1999dhbSouthernPN</v>
      </c>
      <c r="J4264" s="604">
        <v>1999</v>
      </c>
      <c r="K4264" s="604" t="s">
        <v>448</v>
      </c>
      <c r="L4264" s="604" t="s">
        <v>103</v>
      </c>
      <c r="M4264" s="604">
        <v>6</v>
      </c>
      <c r="N4264" s="604">
        <v>3419</v>
      </c>
      <c r="O4264" s="604">
        <v>1.8</v>
      </c>
      <c r="P4264" s="604" t="s">
        <v>436</v>
      </c>
      <c r="Q4264" s="499"/>
    </row>
    <row r="4265" spans="9:17">
      <c r="I4265" s="578" t="str">
        <f t="shared" si="212"/>
        <v>1999dhbUnknownPN</v>
      </c>
      <c r="J4265" s="604">
        <v>1999</v>
      </c>
      <c r="K4265" s="604" t="s">
        <v>448</v>
      </c>
      <c r="L4265" s="604" t="s">
        <v>63</v>
      </c>
      <c r="M4265" s="604">
        <v>0</v>
      </c>
      <c r="N4265" s="604">
        <v>579</v>
      </c>
      <c r="O4265" s="604" t="s">
        <v>119</v>
      </c>
      <c r="P4265" s="604" t="s">
        <v>436</v>
      </c>
      <c r="Q4265" s="499"/>
    </row>
    <row r="4266" spans="9:17">
      <c r="I4266" s="578" t="str">
        <f t="shared" si="212"/>
        <v>2000dhbNorthlandPN</v>
      </c>
      <c r="J4266" s="604">
        <v>2000</v>
      </c>
      <c r="K4266" s="604" t="s">
        <v>448</v>
      </c>
      <c r="L4266" s="604" t="s">
        <v>85</v>
      </c>
      <c r="M4266" s="604">
        <v>9</v>
      </c>
      <c r="N4266" s="604">
        <v>2122</v>
      </c>
      <c r="O4266" s="604">
        <v>4.2</v>
      </c>
      <c r="P4266" s="604" t="s">
        <v>436</v>
      </c>
      <c r="Q4266" s="499"/>
    </row>
    <row r="4267" spans="9:17">
      <c r="I4267" s="578" t="str">
        <f t="shared" si="212"/>
        <v>2000dhbWaitemataPN</v>
      </c>
      <c r="J4267" s="604">
        <v>2000</v>
      </c>
      <c r="K4267" s="604" t="s">
        <v>448</v>
      </c>
      <c r="L4267" s="604" t="s">
        <v>86</v>
      </c>
      <c r="M4267" s="604">
        <v>13</v>
      </c>
      <c r="N4267" s="604">
        <v>6562</v>
      </c>
      <c r="O4267" s="604">
        <v>2</v>
      </c>
      <c r="P4267" s="604" t="s">
        <v>436</v>
      </c>
      <c r="Q4267" s="499"/>
    </row>
    <row r="4268" spans="9:17">
      <c r="I4268" s="578" t="str">
        <f t="shared" si="212"/>
        <v>2000dhbAucklandPN</v>
      </c>
      <c r="J4268" s="604">
        <v>2000</v>
      </c>
      <c r="K4268" s="604" t="s">
        <v>448</v>
      </c>
      <c r="L4268" s="604" t="s">
        <v>87</v>
      </c>
      <c r="M4268" s="604">
        <v>10</v>
      </c>
      <c r="N4268" s="604">
        <v>6023</v>
      </c>
      <c r="O4268" s="604">
        <v>1.7</v>
      </c>
      <c r="P4268" s="604" t="s">
        <v>436</v>
      </c>
      <c r="Q4268" s="499"/>
    </row>
    <row r="4269" spans="9:17">
      <c r="I4269" s="578" t="str">
        <f t="shared" si="212"/>
        <v>2000dhbCounties ManukauPN</v>
      </c>
      <c r="J4269" s="604">
        <v>2000</v>
      </c>
      <c r="K4269" s="604" t="s">
        <v>448</v>
      </c>
      <c r="L4269" s="604" t="s">
        <v>88</v>
      </c>
      <c r="M4269" s="604">
        <v>26</v>
      </c>
      <c r="N4269" s="604">
        <v>7309</v>
      </c>
      <c r="O4269" s="604">
        <v>3.6</v>
      </c>
      <c r="P4269" s="604" t="s">
        <v>436</v>
      </c>
      <c r="Q4269" s="499"/>
    </row>
    <row r="4270" spans="9:17">
      <c r="I4270" s="578" t="str">
        <f t="shared" si="212"/>
        <v>2000dhbWaikatoPN</v>
      </c>
      <c r="J4270" s="604">
        <v>2000</v>
      </c>
      <c r="K4270" s="604" t="s">
        <v>448</v>
      </c>
      <c r="L4270" s="604" t="s">
        <v>89</v>
      </c>
      <c r="M4270" s="604">
        <v>9</v>
      </c>
      <c r="N4270" s="604">
        <v>4792</v>
      </c>
      <c r="O4270" s="604">
        <v>1.9</v>
      </c>
      <c r="P4270" s="604" t="s">
        <v>436</v>
      </c>
      <c r="Q4270" s="499"/>
    </row>
    <row r="4271" spans="9:17">
      <c r="I4271" s="578" t="str">
        <f t="shared" si="212"/>
        <v>2000dhbLakesPN</v>
      </c>
      <c r="J4271" s="604">
        <v>2000</v>
      </c>
      <c r="K4271" s="604" t="s">
        <v>448</v>
      </c>
      <c r="L4271" s="604" t="s">
        <v>90</v>
      </c>
      <c r="M4271" s="604">
        <v>7</v>
      </c>
      <c r="N4271" s="604">
        <v>1576</v>
      </c>
      <c r="O4271" s="604">
        <v>4.4000000000000004</v>
      </c>
      <c r="P4271" s="604" t="s">
        <v>436</v>
      </c>
      <c r="Q4271" s="499"/>
    </row>
    <row r="4272" spans="9:17">
      <c r="I4272" s="578" t="str">
        <f t="shared" si="212"/>
        <v>2000dhbBay of PlentyPN</v>
      </c>
      <c r="J4272" s="604">
        <v>2000</v>
      </c>
      <c r="K4272" s="604" t="s">
        <v>448</v>
      </c>
      <c r="L4272" s="604" t="s">
        <v>91</v>
      </c>
      <c r="M4272" s="604">
        <v>11</v>
      </c>
      <c r="N4272" s="604">
        <v>2628</v>
      </c>
      <c r="O4272" s="604">
        <v>4.2</v>
      </c>
      <c r="P4272" s="604" t="s">
        <v>436</v>
      </c>
      <c r="Q4272" s="499"/>
    </row>
    <row r="4273" spans="9:17">
      <c r="I4273" s="578" t="str">
        <f t="shared" si="212"/>
        <v>2000dhbTairawhitiPN</v>
      </c>
      <c r="J4273" s="604">
        <v>2000</v>
      </c>
      <c r="K4273" s="604" t="s">
        <v>448</v>
      </c>
      <c r="L4273" s="604" t="s">
        <v>433</v>
      </c>
      <c r="M4273" s="604">
        <v>3</v>
      </c>
      <c r="N4273" s="604">
        <v>773</v>
      </c>
      <c r="O4273" s="604">
        <v>3.9</v>
      </c>
      <c r="P4273" s="604" t="s">
        <v>436</v>
      </c>
      <c r="Q4273" s="499"/>
    </row>
    <row r="4274" spans="9:17">
      <c r="I4274" s="578" t="str">
        <f t="shared" si="212"/>
        <v>2000dhbHawke's BayPN</v>
      </c>
      <c r="J4274" s="604">
        <v>2000</v>
      </c>
      <c r="K4274" s="604" t="s">
        <v>448</v>
      </c>
      <c r="L4274" s="604" t="s">
        <v>92</v>
      </c>
      <c r="M4274" s="604">
        <v>7</v>
      </c>
      <c r="N4274" s="604">
        <v>2175</v>
      </c>
      <c r="O4274" s="604">
        <v>3.2</v>
      </c>
      <c r="P4274" s="604" t="s">
        <v>436</v>
      </c>
      <c r="Q4274" s="499"/>
    </row>
    <row r="4275" spans="9:17">
      <c r="I4275" s="578" t="str">
        <f t="shared" si="212"/>
        <v>2000dhbTaranakiPN</v>
      </c>
      <c r="J4275" s="604">
        <v>2000</v>
      </c>
      <c r="K4275" s="604" t="s">
        <v>448</v>
      </c>
      <c r="L4275" s="604" t="s">
        <v>93</v>
      </c>
      <c r="M4275" s="604">
        <v>1</v>
      </c>
      <c r="N4275" s="604">
        <v>1427</v>
      </c>
      <c r="O4275" s="604">
        <v>0.7</v>
      </c>
      <c r="P4275" s="604" t="s">
        <v>436</v>
      </c>
      <c r="Q4275" s="499"/>
    </row>
    <row r="4276" spans="9:17">
      <c r="I4276" s="578" t="str">
        <f t="shared" si="212"/>
        <v>2000dhbMidCentralPN</v>
      </c>
      <c r="J4276" s="604">
        <v>2000</v>
      </c>
      <c r="K4276" s="604" t="s">
        <v>448</v>
      </c>
      <c r="L4276" s="604" t="s">
        <v>94</v>
      </c>
      <c r="M4276" s="604">
        <v>5</v>
      </c>
      <c r="N4276" s="604">
        <v>2290</v>
      </c>
      <c r="O4276" s="604">
        <v>2.2000000000000002</v>
      </c>
      <c r="P4276" s="604" t="s">
        <v>436</v>
      </c>
      <c r="Q4276" s="499"/>
    </row>
    <row r="4277" spans="9:17">
      <c r="I4277" s="578" t="str">
        <f t="shared" si="212"/>
        <v>2000dhbWhanganuiPN</v>
      </c>
      <c r="J4277" s="604">
        <v>2000</v>
      </c>
      <c r="K4277" s="604" t="s">
        <v>448</v>
      </c>
      <c r="L4277" s="604" t="s">
        <v>95</v>
      </c>
      <c r="M4277" s="604">
        <v>5</v>
      </c>
      <c r="N4277" s="604">
        <v>993</v>
      </c>
      <c r="O4277" s="604">
        <v>5</v>
      </c>
      <c r="P4277" s="604" t="s">
        <v>436</v>
      </c>
      <c r="Q4277" s="499"/>
    </row>
    <row r="4278" spans="9:17">
      <c r="I4278" s="578" t="str">
        <f t="shared" si="212"/>
        <v>2000dhbCapital &amp; CoastPN</v>
      </c>
      <c r="J4278" s="604">
        <v>2000</v>
      </c>
      <c r="K4278" s="604" t="s">
        <v>448</v>
      </c>
      <c r="L4278" s="604" t="s">
        <v>96</v>
      </c>
      <c r="M4278" s="604">
        <v>6</v>
      </c>
      <c r="N4278" s="604">
        <v>3753</v>
      </c>
      <c r="O4278" s="604">
        <v>1.6</v>
      </c>
      <c r="P4278" s="604" t="s">
        <v>436</v>
      </c>
      <c r="Q4278" s="499"/>
    </row>
    <row r="4279" spans="9:17">
      <c r="I4279" s="578" t="str">
        <f t="shared" si="212"/>
        <v>2000dhbHutt ValleyPN</v>
      </c>
      <c r="J4279" s="604">
        <v>2000</v>
      </c>
      <c r="K4279" s="604" t="s">
        <v>448</v>
      </c>
      <c r="L4279" s="604" t="s">
        <v>97</v>
      </c>
      <c r="M4279" s="604">
        <v>6</v>
      </c>
      <c r="N4279" s="604">
        <v>2085</v>
      </c>
      <c r="O4279" s="604">
        <v>2.9</v>
      </c>
      <c r="P4279" s="604" t="s">
        <v>436</v>
      </c>
      <c r="Q4279" s="499"/>
    </row>
    <row r="4280" spans="9:17">
      <c r="I4280" s="578" t="str">
        <f t="shared" si="212"/>
        <v>2000dhbWairarapaPN</v>
      </c>
      <c r="J4280" s="604">
        <v>2000</v>
      </c>
      <c r="K4280" s="604" t="s">
        <v>448</v>
      </c>
      <c r="L4280" s="604" t="s">
        <v>98</v>
      </c>
      <c r="M4280" s="604">
        <v>1</v>
      </c>
      <c r="N4280" s="604">
        <v>496</v>
      </c>
      <c r="O4280" s="604">
        <v>2</v>
      </c>
      <c r="P4280" s="604" t="s">
        <v>436</v>
      </c>
      <c r="Q4280" s="499"/>
    </row>
    <row r="4281" spans="9:17">
      <c r="I4281" s="578" t="str">
        <f t="shared" si="212"/>
        <v>2000dhbNelson MarlboroughPN</v>
      </c>
      <c r="J4281" s="604">
        <v>2000</v>
      </c>
      <c r="K4281" s="604" t="s">
        <v>448</v>
      </c>
      <c r="L4281" s="604" t="s">
        <v>99</v>
      </c>
      <c r="M4281" s="604">
        <v>2</v>
      </c>
      <c r="N4281" s="604">
        <v>1544</v>
      </c>
      <c r="O4281" s="604">
        <v>1.3</v>
      </c>
      <c r="P4281" s="604" t="s">
        <v>436</v>
      </c>
      <c r="Q4281" s="499"/>
    </row>
    <row r="4282" spans="9:17">
      <c r="I4282" s="578" t="str">
        <f t="shared" si="212"/>
        <v>2000dhbWest CoastPN</v>
      </c>
      <c r="J4282" s="604">
        <v>2000</v>
      </c>
      <c r="K4282" s="604" t="s">
        <v>448</v>
      </c>
      <c r="L4282" s="604" t="s">
        <v>100</v>
      </c>
      <c r="M4282" s="604">
        <v>0</v>
      </c>
      <c r="N4282" s="604">
        <v>361</v>
      </c>
      <c r="O4282" s="604">
        <v>0</v>
      </c>
      <c r="P4282" s="604" t="s">
        <v>436</v>
      </c>
      <c r="Q4282" s="499"/>
    </row>
    <row r="4283" spans="9:17">
      <c r="I4283" s="578" t="str">
        <f t="shared" si="212"/>
        <v>2000dhbCanterburyPN</v>
      </c>
      <c r="J4283" s="604">
        <v>2000</v>
      </c>
      <c r="K4283" s="604" t="s">
        <v>448</v>
      </c>
      <c r="L4283" s="604" t="s">
        <v>101</v>
      </c>
      <c r="M4283" s="604">
        <v>12</v>
      </c>
      <c r="N4283" s="604">
        <v>5542</v>
      </c>
      <c r="O4283" s="604">
        <v>2.2000000000000002</v>
      </c>
      <c r="P4283" s="604" t="s">
        <v>436</v>
      </c>
      <c r="Q4283" s="499"/>
    </row>
    <row r="4284" spans="9:17">
      <c r="I4284" s="578" t="str">
        <f t="shared" si="212"/>
        <v>2000dhbSouth CanterburyPN</v>
      </c>
      <c r="J4284" s="604">
        <v>2000</v>
      </c>
      <c r="K4284" s="604" t="s">
        <v>448</v>
      </c>
      <c r="L4284" s="604" t="s">
        <v>102</v>
      </c>
      <c r="M4284" s="604">
        <v>1</v>
      </c>
      <c r="N4284" s="604">
        <v>625</v>
      </c>
      <c r="O4284" s="604">
        <v>1.6</v>
      </c>
      <c r="P4284" s="604" t="s">
        <v>436</v>
      </c>
      <c r="Q4284" s="499"/>
    </row>
    <row r="4285" spans="9:17">
      <c r="I4285" s="578" t="str">
        <f t="shared" si="212"/>
        <v>2000dhbSouthernPN</v>
      </c>
      <c r="J4285" s="604">
        <v>2000</v>
      </c>
      <c r="K4285" s="604" t="s">
        <v>448</v>
      </c>
      <c r="L4285" s="604" t="s">
        <v>103</v>
      </c>
      <c r="M4285" s="604">
        <v>8</v>
      </c>
      <c r="N4285" s="604">
        <v>3435</v>
      </c>
      <c r="O4285" s="604">
        <v>2.2999999999999998</v>
      </c>
      <c r="P4285" s="604" t="s">
        <v>436</v>
      </c>
      <c r="Q4285" s="499"/>
    </row>
    <row r="4286" spans="9:17">
      <c r="I4286" s="578" t="str">
        <f t="shared" si="212"/>
        <v>2000dhbUnknownPN</v>
      </c>
      <c r="J4286" s="604">
        <v>2000</v>
      </c>
      <c r="K4286" s="604" t="s">
        <v>448</v>
      </c>
      <c r="L4286" s="604" t="s">
        <v>63</v>
      </c>
      <c r="M4286" s="604">
        <v>1</v>
      </c>
      <c r="N4286" s="604">
        <v>483</v>
      </c>
      <c r="O4286" s="604" t="s">
        <v>119</v>
      </c>
      <c r="P4286" s="604" t="s">
        <v>436</v>
      </c>
      <c r="Q4286" s="499"/>
    </row>
    <row r="4287" spans="9:17">
      <c r="I4287" s="578" t="str">
        <f t="shared" si="212"/>
        <v>2001dhbNorthlandPN</v>
      </c>
      <c r="J4287" s="604">
        <v>2001</v>
      </c>
      <c r="K4287" s="604" t="s">
        <v>448</v>
      </c>
      <c r="L4287" s="604" t="s">
        <v>85</v>
      </c>
      <c r="M4287" s="604">
        <v>11</v>
      </c>
      <c r="N4287" s="604">
        <v>1994</v>
      </c>
      <c r="O4287" s="604">
        <v>5.5</v>
      </c>
      <c r="P4287" s="604" t="s">
        <v>436</v>
      </c>
      <c r="Q4287" s="499"/>
    </row>
    <row r="4288" spans="9:17">
      <c r="I4288" s="578" t="str">
        <f t="shared" si="212"/>
        <v>2001dhbWaitemataPN</v>
      </c>
      <c r="J4288" s="604">
        <v>2001</v>
      </c>
      <c r="K4288" s="604" t="s">
        <v>448</v>
      </c>
      <c r="L4288" s="604" t="s">
        <v>86</v>
      </c>
      <c r="M4288" s="604">
        <v>20</v>
      </c>
      <c r="N4288" s="604">
        <v>6440</v>
      </c>
      <c r="O4288" s="604">
        <v>3.1</v>
      </c>
      <c r="P4288" s="604" t="s">
        <v>436</v>
      </c>
      <c r="Q4288" s="499"/>
    </row>
    <row r="4289" spans="9:17">
      <c r="I4289" s="578" t="str">
        <f t="shared" si="212"/>
        <v>2001dhbAucklandPN</v>
      </c>
      <c r="J4289" s="604">
        <v>2001</v>
      </c>
      <c r="K4289" s="604" t="s">
        <v>448</v>
      </c>
      <c r="L4289" s="604" t="s">
        <v>87</v>
      </c>
      <c r="M4289" s="604">
        <v>14</v>
      </c>
      <c r="N4289" s="604">
        <v>5979</v>
      </c>
      <c r="O4289" s="604">
        <v>2.2999999999999998</v>
      </c>
      <c r="P4289" s="604" t="s">
        <v>436</v>
      </c>
      <c r="Q4289" s="499"/>
    </row>
    <row r="4290" spans="9:17">
      <c r="I4290" s="578" t="str">
        <f t="shared" si="212"/>
        <v>2001dhbCounties ManukauPN</v>
      </c>
      <c r="J4290" s="604">
        <v>2001</v>
      </c>
      <c r="K4290" s="604" t="s">
        <v>448</v>
      </c>
      <c r="L4290" s="604" t="s">
        <v>88</v>
      </c>
      <c r="M4290" s="604">
        <v>21</v>
      </c>
      <c r="N4290" s="604">
        <v>7216</v>
      </c>
      <c r="O4290" s="604">
        <v>2.9</v>
      </c>
      <c r="P4290" s="604" t="s">
        <v>436</v>
      </c>
      <c r="Q4290" s="499"/>
    </row>
    <row r="4291" spans="9:17">
      <c r="I4291" s="578" t="str">
        <f t="shared" si="212"/>
        <v>2001dhbWaikatoPN</v>
      </c>
      <c r="J4291" s="604">
        <v>2001</v>
      </c>
      <c r="K4291" s="604" t="s">
        <v>448</v>
      </c>
      <c r="L4291" s="604" t="s">
        <v>89</v>
      </c>
      <c r="M4291" s="604">
        <v>11</v>
      </c>
      <c r="N4291" s="604">
        <v>4897</v>
      </c>
      <c r="O4291" s="604">
        <v>2.2000000000000002</v>
      </c>
      <c r="P4291" s="604" t="s">
        <v>436</v>
      </c>
      <c r="Q4291" s="499"/>
    </row>
    <row r="4292" spans="9:17">
      <c r="I4292" s="578" t="str">
        <f t="shared" ref="I4292:I4355" si="213">J4292&amp;K4292&amp;L4292&amp;P4292</f>
        <v>2001dhbLakesPN</v>
      </c>
      <c r="J4292" s="604">
        <v>2001</v>
      </c>
      <c r="K4292" s="604" t="s">
        <v>448</v>
      </c>
      <c r="L4292" s="604" t="s">
        <v>90</v>
      </c>
      <c r="M4292" s="604">
        <v>10</v>
      </c>
      <c r="N4292" s="604">
        <v>1523</v>
      </c>
      <c r="O4292" s="604">
        <v>6.6</v>
      </c>
      <c r="P4292" s="604" t="s">
        <v>436</v>
      </c>
      <c r="Q4292" s="499"/>
    </row>
    <row r="4293" spans="9:17">
      <c r="I4293" s="578" t="str">
        <f t="shared" si="213"/>
        <v>2001dhbBay of PlentyPN</v>
      </c>
      <c r="J4293" s="604">
        <v>2001</v>
      </c>
      <c r="K4293" s="604" t="s">
        <v>448</v>
      </c>
      <c r="L4293" s="604" t="s">
        <v>91</v>
      </c>
      <c r="M4293" s="604">
        <v>7</v>
      </c>
      <c r="N4293" s="604">
        <v>2604</v>
      </c>
      <c r="O4293" s="604">
        <v>2.7</v>
      </c>
      <c r="P4293" s="604" t="s">
        <v>436</v>
      </c>
      <c r="Q4293" s="499"/>
    </row>
    <row r="4294" spans="9:17">
      <c r="I4294" s="578" t="str">
        <f t="shared" si="213"/>
        <v>2001dhbTairawhitiPN</v>
      </c>
      <c r="J4294" s="604">
        <v>2001</v>
      </c>
      <c r="K4294" s="604" t="s">
        <v>448</v>
      </c>
      <c r="L4294" s="604" t="s">
        <v>433</v>
      </c>
      <c r="M4294" s="604">
        <v>0</v>
      </c>
      <c r="N4294" s="604">
        <v>766</v>
      </c>
      <c r="O4294" s="604">
        <v>0</v>
      </c>
      <c r="P4294" s="604" t="s">
        <v>436</v>
      </c>
      <c r="Q4294" s="499"/>
    </row>
    <row r="4295" spans="9:17">
      <c r="I4295" s="578" t="str">
        <f t="shared" si="213"/>
        <v>2001dhbHawke's BayPN</v>
      </c>
      <c r="J4295" s="604">
        <v>2001</v>
      </c>
      <c r="K4295" s="604" t="s">
        <v>448</v>
      </c>
      <c r="L4295" s="604" t="s">
        <v>92</v>
      </c>
      <c r="M4295" s="604">
        <v>7</v>
      </c>
      <c r="N4295" s="604">
        <v>2141</v>
      </c>
      <c r="O4295" s="604">
        <v>3.3</v>
      </c>
      <c r="P4295" s="604" t="s">
        <v>436</v>
      </c>
      <c r="Q4295" s="499"/>
    </row>
    <row r="4296" spans="9:17">
      <c r="I4296" s="578" t="str">
        <f t="shared" si="213"/>
        <v>2001dhbTaranakiPN</v>
      </c>
      <c r="J4296" s="604">
        <v>2001</v>
      </c>
      <c r="K4296" s="604" t="s">
        <v>448</v>
      </c>
      <c r="L4296" s="604" t="s">
        <v>93</v>
      </c>
      <c r="M4296" s="604">
        <v>3</v>
      </c>
      <c r="N4296" s="604">
        <v>1368</v>
      </c>
      <c r="O4296" s="604">
        <v>2.2000000000000002</v>
      </c>
      <c r="P4296" s="604" t="s">
        <v>436</v>
      </c>
      <c r="Q4296" s="499"/>
    </row>
    <row r="4297" spans="9:17">
      <c r="I4297" s="578" t="str">
        <f t="shared" si="213"/>
        <v>2001dhbMidCentralPN</v>
      </c>
      <c r="J4297" s="604">
        <v>2001</v>
      </c>
      <c r="K4297" s="604" t="s">
        <v>448</v>
      </c>
      <c r="L4297" s="604" t="s">
        <v>94</v>
      </c>
      <c r="M4297" s="604">
        <v>5</v>
      </c>
      <c r="N4297" s="604">
        <v>2148</v>
      </c>
      <c r="O4297" s="604">
        <v>2.2999999999999998</v>
      </c>
      <c r="P4297" s="604" t="s">
        <v>436</v>
      </c>
      <c r="Q4297" s="499"/>
    </row>
    <row r="4298" spans="9:17">
      <c r="I4298" s="578" t="str">
        <f t="shared" si="213"/>
        <v>2001dhbWhanganuiPN</v>
      </c>
      <c r="J4298" s="604">
        <v>2001</v>
      </c>
      <c r="K4298" s="604" t="s">
        <v>448</v>
      </c>
      <c r="L4298" s="604" t="s">
        <v>95</v>
      </c>
      <c r="M4298" s="604">
        <v>5</v>
      </c>
      <c r="N4298" s="604">
        <v>904</v>
      </c>
      <c r="O4298" s="604">
        <v>5.5</v>
      </c>
      <c r="P4298" s="604" t="s">
        <v>436</v>
      </c>
      <c r="Q4298" s="499"/>
    </row>
    <row r="4299" spans="9:17">
      <c r="I4299" s="578" t="str">
        <f t="shared" si="213"/>
        <v>2001dhbCapital &amp; CoastPN</v>
      </c>
      <c r="J4299" s="604">
        <v>2001</v>
      </c>
      <c r="K4299" s="604" t="s">
        <v>448</v>
      </c>
      <c r="L4299" s="604" t="s">
        <v>96</v>
      </c>
      <c r="M4299" s="604">
        <v>3</v>
      </c>
      <c r="N4299" s="604">
        <v>3702</v>
      </c>
      <c r="O4299" s="604">
        <v>0.8</v>
      </c>
      <c r="P4299" s="604" t="s">
        <v>436</v>
      </c>
      <c r="Q4299" s="499"/>
    </row>
    <row r="4300" spans="9:17">
      <c r="I4300" s="578" t="str">
        <f t="shared" si="213"/>
        <v>2001dhbHutt ValleyPN</v>
      </c>
      <c r="J4300" s="604">
        <v>2001</v>
      </c>
      <c r="K4300" s="604" t="s">
        <v>448</v>
      </c>
      <c r="L4300" s="604" t="s">
        <v>97</v>
      </c>
      <c r="M4300" s="604">
        <v>5</v>
      </c>
      <c r="N4300" s="604">
        <v>2165</v>
      </c>
      <c r="O4300" s="604">
        <v>2.2999999999999998</v>
      </c>
      <c r="P4300" s="604" t="s">
        <v>436</v>
      </c>
      <c r="Q4300" s="499"/>
    </row>
    <row r="4301" spans="9:17">
      <c r="I4301" s="578" t="str">
        <f t="shared" si="213"/>
        <v>2001dhbWairarapaPN</v>
      </c>
      <c r="J4301" s="604">
        <v>2001</v>
      </c>
      <c r="K4301" s="604" t="s">
        <v>448</v>
      </c>
      <c r="L4301" s="604" t="s">
        <v>98</v>
      </c>
      <c r="M4301" s="604">
        <v>1</v>
      </c>
      <c r="N4301" s="604">
        <v>498</v>
      </c>
      <c r="O4301" s="604">
        <v>2</v>
      </c>
      <c r="P4301" s="604" t="s">
        <v>436</v>
      </c>
      <c r="Q4301" s="499"/>
    </row>
    <row r="4302" spans="9:17">
      <c r="I4302" s="578" t="str">
        <f t="shared" si="213"/>
        <v>2001dhbNelson MarlboroughPN</v>
      </c>
      <c r="J4302" s="604">
        <v>2001</v>
      </c>
      <c r="K4302" s="604" t="s">
        <v>448</v>
      </c>
      <c r="L4302" s="604" t="s">
        <v>99</v>
      </c>
      <c r="M4302" s="604">
        <v>1</v>
      </c>
      <c r="N4302" s="604">
        <v>1488</v>
      </c>
      <c r="O4302" s="604">
        <v>0.7</v>
      </c>
      <c r="P4302" s="604" t="s">
        <v>436</v>
      </c>
      <c r="Q4302" s="499"/>
    </row>
    <row r="4303" spans="9:17">
      <c r="I4303" s="578" t="str">
        <f t="shared" si="213"/>
        <v>2001dhbWest CoastPN</v>
      </c>
      <c r="J4303" s="604">
        <v>2001</v>
      </c>
      <c r="K4303" s="604" t="s">
        <v>448</v>
      </c>
      <c r="L4303" s="604" t="s">
        <v>100</v>
      </c>
      <c r="M4303" s="604">
        <v>0</v>
      </c>
      <c r="N4303" s="604">
        <v>396</v>
      </c>
      <c r="O4303" s="604">
        <v>0</v>
      </c>
      <c r="P4303" s="604" t="s">
        <v>436</v>
      </c>
      <c r="Q4303" s="499"/>
    </row>
    <row r="4304" spans="9:17">
      <c r="I4304" s="578" t="str">
        <f t="shared" si="213"/>
        <v>2001dhbCanterburyPN</v>
      </c>
      <c r="J4304" s="604">
        <v>2001</v>
      </c>
      <c r="K4304" s="604" t="s">
        <v>448</v>
      </c>
      <c r="L4304" s="604" t="s">
        <v>101</v>
      </c>
      <c r="M4304" s="604">
        <v>10</v>
      </c>
      <c r="N4304" s="604">
        <v>5651</v>
      </c>
      <c r="O4304" s="604">
        <v>1.8</v>
      </c>
      <c r="P4304" s="604" t="s">
        <v>436</v>
      </c>
      <c r="Q4304" s="499"/>
    </row>
    <row r="4305" spans="9:17">
      <c r="I4305" s="578" t="str">
        <f t="shared" si="213"/>
        <v>2001dhbSouth CanterburyPN</v>
      </c>
      <c r="J4305" s="604">
        <v>2001</v>
      </c>
      <c r="K4305" s="604" t="s">
        <v>448</v>
      </c>
      <c r="L4305" s="604" t="s">
        <v>102</v>
      </c>
      <c r="M4305" s="604">
        <v>2</v>
      </c>
      <c r="N4305" s="604">
        <v>591</v>
      </c>
      <c r="O4305" s="604">
        <v>3.4</v>
      </c>
      <c r="P4305" s="604" t="s">
        <v>436</v>
      </c>
      <c r="Q4305" s="499"/>
    </row>
    <row r="4306" spans="9:17">
      <c r="I4306" s="578" t="str">
        <f t="shared" si="213"/>
        <v>2001dhbSouthernPN</v>
      </c>
      <c r="J4306" s="604">
        <v>2001</v>
      </c>
      <c r="K4306" s="604" t="s">
        <v>448</v>
      </c>
      <c r="L4306" s="604" t="s">
        <v>103</v>
      </c>
      <c r="M4306" s="604">
        <v>7</v>
      </c>
      <c r="N4306" s="604">
        <v>3263</v>
      </c>
      <c r="O4306" s="604">
        <v>2.1</v>
      </c>
      <c r="P4306" s="604" t="s">
        <v>436</v>
      </c>
      <c r="Q4306" s="499"/>
    </row>
    <row r="4307" spans="9:17">
      <c r="I4307" s="578" t="str">
        <f t="shared" si="213"/>
        <v>2001dhbUnknownPN</v>
      </c>
      <c r="J4307" s="604">
        <v>2001</v>
      </c>
      <c r="K4307" s="604" t="s">
        <v>448</v>
      </c>
      <c r="L4307" s="604" t="s">
        <v>63</v>
      </c>
      <c r="M4307" s="604">
        <v>2</v>
      </c>
      <c r="N4307" s="604">
        <v>490</v>
      </c>
      <c r="O4307" s="604" t="s">
        <v>119</v>
      </c>
      <c r="P4307" s="604" t="s">
        <v>436</v>
      </c>
      <c r="Q4307" s="499"/>
    </row>
    <row r="4308" spans="9:17">
      <c r="I4308" s="578" t="str">
        <f t="shared" si="213"/>
        <v>2002dhbNorthlandPN</v>
      </c>
      <c r="J4308" s="604">
        <v>2002</v>
      </c>
      <c r="K4308" s="604" t="s">
        <v>448</v>
      </c>
      <c r="L4308" s="604" t="s">
        <v>85</v>
      </c>
      <c r="M4308" s="604">
        <v>4</v>
      </c>
      <c r="N4308" s="604">
        <v>1918</v>
      </c>
      <c r="O4308" s="604">
        <v>2.1</v>
      </c>
      <c r="P4308" s="604" t="s">
        <v>436</v>
      </c>
      <c r="Q4308" s="499"/>
    </row>
    <row r="4309" spans="9:17">
      <c r="I4309" s="578" t="str">
        <f t="shared" si="213"/>
        <v>2002dhbWaitemataPN</v>
      </c>
      <c r="J4309" s="604">
        <v>2002</v>
      </c>
      <c r="K4309" s="604" t="s">
        <v>448</v>
      </c>
      <c r="L4309" s="604" t="s">
        <v>86</v>
      </c>
      <c r="M4309" s="604">
        <v>12</v>
      </c>
      <c r="N4309" s="604">
        <v>6459</v>
      </c>
      <c r="O4309" s="604">
        <v>1.9</v>
      </c>
      <c r="P4309" s="604" t="s">
        <v>436</v>
      </c>
      <c r="Q4309" s="499"/>
    </row>
    <row r="4310" spans="9:17">
      <c r="I4310" s="578" t="str">
        <f t="shared" si="213"/>
        <v>2002dhbAucklandPN</v>
      </c>
      <c r="J4310" s="604">
        <v>2002</v>
      </c>
      <c r="K4310" s="604" t="s">
        <v>448</v>
      </c>
      <c r="L4310" s="604" t="s">
        <v>87</v>
      </c>
      <c r="M4310" s="604">
        <v>11</v>
      </c>
      <c r="N4310" s="604">
        <v>5903</v>
      </c>
      <c r="O4310" s="604">
        <v>1.9</v>
      </c>
      <c r="P4310" s="604" t="s">
        <v>436</v>
      </c>
      <c r="Q4310" s="499"/>
    </row>
    <row r="4311" spans="9:17">
      <c r="I4311" s="578" t="str">
        <f t="shared" si="213"/>
        <v>2002dhbCounties ManukauPN</v>
      </c>
      <c r="J4311" s="604">
        <v>2002</v>
      </c>
      <c r="K4311" s="604" t="s">
        <v>448</v>
      </c>
      <c r="L4311" s="604" t="s">
        <v>88</v>
      </c>
      <c r="M4311" s="604">
        <v>20</v>
      </c>
      <c r="N4311" s="604">
        <v>7203</v>
      </c>
      <c r="O4311" s="604">
        <v>2.8</v>
      </c>
      <c r="P4311" s="604" t="s">
        <v>436</v>
      </c>
      <c r="Q4311" s="499"/>
    </row>
    <row r="4312" spans="9:17">
      <c r="I4312" s="578" t="str">
        <f t="shared" si="213"/>
        <v>2002dhbWaikatoPN</v>
      </c>
      <c r="J4312" s="604">
        <v>2002</v>
      </c>
      <c r="K4312" s="604" t="s">
        <v>448</v>
      </c>
      <c r="L4312" s="604" t="s">
        <v>89</v>
      </c>
      <c r="M4312" s="604">
        <v>10</v>
      </c>
      <c r="N4312" s="604">
        <v>4608</v>
      </c>
      <c r="O4312" s="604">
        <v>2.2000000000000002</v>
      </c>
      <c r="P4312" s="604" t="s">
        <v>436</v>
      </c>
      <c r="Q4312" s="499"/>
    </row>
    <row r="4313" spans="9:17">
      <c r="I4313" s="578" t="str">
        <f t="shared" si="213"/>
        <v>2002dhbLakesPN</v>
      </c>
      <c r="J4313" s="604">
        <v>2002</v>
      </c>
      <c r="K4313" s="604" t="s">
        <v>448</v>
      </c>
      <c r="L4313" s="604" t="s">
        <v>90</v>
      </c>
      <c r="M4313" s="604">
        <v>1</v>
      </c>
      <c r="N4313" s="604">
        <v>1500</v>
      </c>
      <c r="O4313" s="604">
        <v>0.7</v>
      </c>
      <c r="P4313" s="604" t="s">
        <v>436</v>
      </c>
      <c r="Q4313" s="499"/>
    </row>
    <row r="4314" spans="9:17">
      <c r="I4314" s="578" t="str">
        <f t="shared" si="213"/>
        <v>2002dhbBay of PlentyPN</v>
      </c>
      <c r="J4314" s="604">
        <v>2002</v>
      </c>
      <c r="K4314" s="604" t="s">
        <v>448</v>
      </c>
      <c r="L4314" s="604" t="s">
        <v>91</v>
      </c>
      <c r="M4314" s="604">
        <v>6</v>
      </c>
      <c r="N4314" s="604">
        <v>2560</v>
      </c>
      <c r="O4314" s="604">
        <v>2.2999999999999998</v>
      </c>
      <c r="P4314" s="604" t="s">
        <v>436</v>
      </c>
      <c r="Q4314" s="499"/>
    </row>
    <row r="4315" spans="9:17">
      <c r="I4315" s="578" t="str">
        <f t="shared" si="213"/>
        <v>2002dhbTairawhitiPN</v>
      </c>
      <c r="J4315" s="604">
        <v>2002</v>
      </c>
      <c r="K4315" s="604" t="s">
        <v>448</v>
      </c>
      <c r="L4315" s="604" t="s">
        <v>433</v>
      </c>
      <c r="M4315" s="604">
        <v>2</v>
      </c>
      <c r="N4315" s="604">
        <v>759</v>
      </c>
      <c r="O4315" s="604">
        <v>2.6</v>
      </c>
      <c r="P4315" s="604" t="s">
        <v>436</v>
      </c>
      <c r="Q4315" s="499"/>
    </row>
    <row r="4316" spans="9:17">
      <c r="I4316" s="578" t="str">
        <f t="shared" si="213"/>
        <v>2002dhbHawke's BayPN</v>
      </c>
      <c r="J4316" s="604">
        <v>2002</v>
      </c>
      <c r="K4316" s="604" t="s">
        <v>448</v>
      </c>
      <c r="L4316" s="604" t="s">
        <v>92</v>
      </c>
      <c r="M4316" s="604">
        <v>6</v>
      </c>
      <c r="N4316" s="604">
        <v>2053</v>
      </c>
      <c r="O4316" s="604">
        <v>2.9</v>
      </c>
      <c r="P4316" s="604" t="s">
        <v>436</v>
      </c>
      <c r="Q4316" s="499"/>
    </row>
    <row r="4317" spans="9:17">
      <c r="I4317" s="578" t="str">
        <f t="shared" si="213"/>
        <v>2002dhbTaranakiPN</v>
      </c>
      <c r="J4317" s="604">
        <v>2002</v>
      </c>
      <c r="K4317" s="604" t="s">
        <v>448</v>
      </c>
      <c r="L4317" s="604" t="s">
        <v>93</v>
      </c>
      <c r="M4317" s="604">
        <v>6</v>
      </c>
      <c r="N4317" s="604">
        <v>1310</v>
      </c>
      <c r="O4317" s="604">
        <v>4.5999999999999996</v>
      </c>
      <c r="P4317" s="604" t="s">
        <v>436</v>
      </c>
      <c r="Q4317" s="499"/>
    </row>
    <row r="4318" spans="9:17">
      <c r="I4318" s="578" t="str">
        <f t="shared" si="213"/>
        <v>2002dhbMidCentralPN</v>
      </c>
      <c r="J4318" s="604">
        <v>2002</v>
      </c>
      <c r="K4318" s="604" t="s">
        <v>448</v>
      </c>
      <c r="L4318" s="604" t="s">
        <v>94</v>
      </c>
      <c r="M4318" s="604">
        <v>4</v>
      </c>
      <c r="N4318" s="604">
        <v>1974</v>
      </c>
      <c r="O4318" s="604">
        <v>2</v>
      </c>
      <c r="P4318" s="604" t="s">
        <v>436</v>
      </c>
      <c r="Q4318" s="499"/>
    </row>
    <row r="4319" spans="9:17">
      <c r="I4319" s="578" t="str">
        <f t="shared" si="213"/>
        <v>2002dhbWhanganuiPN</v>
      </c>
      <c r="J4319" s="604">
        <v>2002</v>
      </c>
      <c r="K4319" s="604" t="s">
        <v>448</v>
      </c>
      <c r="L4319" s="604" t="s">
        <v>95</v>
      </c>
      <c r="M4319" s="604">
        <v>3</v>
      </c>
      <c r="N4319" s="604">
        <v>861</v>
      </c>
      <c r="O4319" s="604">
        <v>3.5</v>
      </c>
      <c r="P4319" s="604" t="s">
        <v>436</v>
      </c>
      <c r="Q4319" s="499"/>
    </row>
    <row r="4320" spans="9:17">
      <c r="I4320" s="578" t="str">
        <f t="shared" si="213"/>
        <v>2002dhbCapital &amp; CoastPN</v>
      </c>
      <c r="J4320" s="604">
        <v>2002</v>
      </c>
      <c r="K4320" s="604" t="s">
        <v>448</v>
      </c>
      <c r="L4320" s="604" t="s">
        <v>96</v>
      </c>
      <c r="M4320" s="604">
        <v>7</v>
      </c>
      <c r="N4320" s="604">
        <v>3562</v>
      </c>
      <c r="O4320" s="604">
        <v>2</v>
      </c>
      <c r="P4320" s="604" t="s">
        <v>436</v>
      </c>
      <c r="Q4320" s="499"/>
    </row>
    <row r="4321" spans="9:17">
      <c r="I4321" s="578" t="str">
        <f t="shared" si="213"/>
        <v>2002dhbHutt ValleyPN</v>
      </c>
      <c r="J4321" s="604">
        <v>2002</v>
      </c>
      <c r="K4321" s="604" t="s">
        <v>448</v>
      </c>
      <c r="L4321" s="604" t="s">
        <v>97</v>
      </c>
      <c r="M4321" s="604">
        <v>6</v>
      </c>
      <c r="N4321" s="604">
        <v>1894</v>
      </c>
      <c r="O4321" s="604">
        <v>3.2</v>
      </c>
      <c r="P4321" s="604" t="s">
        <v>436</v>
      </c>
      <c r="Q4321" s="499"/>
    </row>
    <row r="4322" spans="9:17">
      <c r="I4322" s="578" t="str">
        <f t="shared" si="213"/>
        <v>2002dhbWairarapaPN</v>
      </c>
      <c r="J4322" s="604">
        <v>2002</v>
      </c>
      <c r="K4322" s="604" t="s">
        <v>448</v>
      </c>
      <c r="L4322" s="604" t="s">
        <v>98</v>
      </c>
      <c r="M4322" s="604">
        <v>1</v>
      </c>
      <c r="N4322" s="604">
        <v>462</v>
      </c>
      <c r="O4322" s="604">
        <v>2.2000000000000002</v>
      </c>
      <c r="P4322" s="604" t="s">
        <v>436</v>
      </c>
      <c r="Q4322" s="499"/>
    </row>
    <row r="4323" spans="9:17">
      <c r="I4323" s="578" t="str">
        <f t="shared" si="213"/>
        <v>2002dhbNelson MarlboroughPN</v>
      </c>
      <c r="J4323" s="604">
        <v>2002</v>
      </c>
      <c r="K4323" s="604" t="s">
        <v>448</v>
      </c>
      <c r="L4323" s="604" t="s">
        <v>99</v>
      </c>
      <c r="M4323" s="604">
        <v>1</v>
      </c>
      <c r="N4323" s="604">
        <v>1442</v>
      </c>
      <c r="O4323" s="604">
        <v>0.7</v>
      </c>
      <c r="P4323" s="604" t="s">
        <v>436</v>
      </c>
      <c r="Q4323" s="499"/>
    </row>
    <row r="4324" spans="9:17">
      <c r="I4324" s="578" t="str">
        <f t="shared" si="213"/>
        <v>2002dhbWest CoastPN</v>
      </c>
      <c r="J4324" s="604">
        <v>2002</v>
      </c>
      <c r="K4324" s="604" t="s">
        <v>448</v>
      </c>
      <c r="L4324" s="604" t="s">
        <v>100</v>
      </c>
      <c r="M4324" s="604">
        <v>2</v>
      </c>
      <c r="N4324" s="604">
        <v>330</v>
      </c>
      <c r="O4324" s="604">
        <v>6.1</v>
      </c>
      <c r="P4324" s="604" t="s">
        <v>436</v>
      </c>
      <c r="Q4324" s="499"/>
    </row>
    <row r="4325" spans="9:17">
      <c r="I4325" s="578" t="str">
        <f t="shared" si="213"/>
        <v>2002dhbCanterburyPN</v>
      </c>
      <c r="J4325" s="604">
        <v>2002</v>
      </c>
      <c r="K4325" s="604" t="s">
        <v>448</v>
      </c>
      <c r="L4325" s="604" t="s">
        <v>101</v>
      </c>
      <c r="M4325" s="604">
        <v>8</v>
      </c>
      <c r="N4325" s="604">
        <v>5342</v>
      </c>
      <c r="O4325" s="604">
        <v>1.5</v>
      </c>
      <c r="P4325" s="604" t="s">
        <v>436</v>
      </c>
      <c r="Q4325" s="499"/>
    </row>
    <row r="4326" spans="9:17">
      <c r="I4326" s="578" t="str">
        <f t="shared" si="213"/>
        <v>2002dhbSouth CanterburyPN</v>
      </c>
      <c r="J4326" s="604">
        <v>2002</v>
      </c>
      <c r="K4326" s="604" t="s">
        <v>448</v>
      </c>
      <c r="L4326" s="604" t="s">
        <v>102</v>
      </c>
      <c r="M4326" s="604">
        <v>0</v>
      </c>
      <c r="N4326" s="604">
        <v>547</v>
      </c>
      <c r="O4326" s="604">
        <v>0</v>
      </c>
      <c r="P4326" s="604" t="s">
        <v>436</v>
      </c>
      <c r="Q4326" s="499"/>
    </row>
    <row r="4327" spans="9:17">
      <c r="I4327" s="578" t="str">
        <f t="shared" si="213"/>
        <v>2002dhbSouthernPN</v>
      </c>
      <c r="J4327" s="604">
        <v>2002</v>
      </c>
      <c r="K4327" s="604" t="s">
        <v>448</v>
      </c>
      <c r="L4327" s="604" t="s">
        <v>103</v>
      </c>
      <c r="M4327" s="604">
        <v>4</v>
      </c>
      <c r="N4327" s="604">
        <v>3285</v>
      </c>
      <c r="O4327" s="604">
        <v>1.2</v>
      </c>
      <c r="P4327" s="604" t="s">
        <v>436</v>
      </c>
      <c r="Q4327" s="499"/>
    </row>
    <row r="4328" spans="9:17">
      <c r="I4328" s="578" t="str">
        <f t="shared" si="213"/>
        <v>2002dhbUnknownPN</v>
      </c>
      <c r="J4328" s="604">
        <v>2002</v>
      </c>
      <c r="K4328" s="604" t="s">
        <v>448</v>
      </c>
      <c r="L4328" s="604" t="s">
        <v>63</v>
      </c>
      <c r="M4328" s="604">
        <v>2</v>
      </c>
      <c r="N4328" s="604">
        <v>543</v>
      </c>
      <c r="O4328" s="604" t="s">
        <v>119</v>
      </c>
      <c r="P4328" s="604" t="s">
        <v>436</v>
      </c>
      <c r="Q4328" s="499"/>
    </row>
    <row r="4329" spans="9:17">
      <c r="I4329" s="578" t="str">
        <f t="shared" si="213"/>
        <v>2003dhbNorthlandPN</v>
      </c>
      <c r="J4329" s="604">
        <v>2003</v>
      </c>
      <c r="K4329" s="604" t="s">
        <v>448</v>
      </c>
      <c r="L4329" s="604" t="s">
        <v>85</v>
      </c>
      <c r="M4329" s="604">
        <v>7</v>
      </c>
      <c r="N4329" s="604">
        <v>2024</v>
      </c>
      <c r="O4329" s="604">
        <v>3.5</v>
      </c>
      <c r="P4329" s="604" t="s">
        <v>436</v>
      </c>
      <c r="Q4329" s="499"/>
    </row>
    <row r="4330" spans="9:17">
      <c r="I4330" s="578" t="str">
        <f t="shared" si="213"/>
        <v>2003dhbWaitemataPN</v>
      </c>
      <c r="J4330" s="604">
        <v>2003</v>
      </c>
      <c r="K4330" s="604" t="s">
        <v>448</v>
      </c>
      <c r="L4330" s="604" t="s">
        <v>86</v>
      </c>
      <c r="M4330" s="604">
        <v>14</v>
      </c>
      <c r="N4330" s="604">
        <v>6822</v>
      </c>
      <c r="O4330" s="604">
        <v>2.1</v>
      </c>
      <c r="P4330" s="604" t="s">
        <v>436</v>
      </c>
      <c r="Q4330" s="499"/>
    </row>
    <row r="4331" spans="9:17">
      <c r="I4331" s="578" t="str">
        <f t="shared" si="213"/>
        <v>2003dhbAucklandPN</v>
      </c>
      <c r="J4331" s="604">
        <v>2003</v>
      </c>
      <c r="K4331" s="604" t="s">
        <v>448</v>
      </c>
      <c r="L4331" s="604" t="s">
        <v>87</v>
      </c>
      <c r="M4331" s="604">
        <v>6</v>
      </c>
      <c r="N4331" s="604">
        <v>5975</v>
      </c>
      <c r="O4331" s="604">
        <v>1</v>
      </c>
      <c r="P4331" s="604" t="s">
        <v>436</v>
      </c>
      <c r="Q4331" s="499"/>
    </row>
    <row r="4332" spans="9:17">
      <c r="I4332" s="578" t="str">
        <f t="shared" si="213"/>
        <v>2003dhbCounties ManukauPN</v>
      </c>
      <c r="J4332" s="604">
        <v>2003</v>
      </c>
      <c r="K4332" s="604" t="s">
        <v>448</v>
      </c>
      <c r="L4332" s="604" t="s">
        <v>88</v>
      </c>
      <c r="M4332" s="604">
        <v>23</v>
      </c>
      <c r="N4332" s="604">
        <v>7547</v>
      </c>
      <c r="O4332" s="604">
        <v>3</v>
      </c>
      <c r="P4332" s="604" t="s">
        <v>436</v>
      </c>
      <c r="Q4332" s="499"/>
    </row>
    <row r="4333" spans="9:17">
      <c r="I4333" s="578" t="str">
        <f t="shared" si="213"/>
        <v>2003dhbWaikatoPN</v>
      </c>
      <c r="J4333" s="604">
        <v>2003</v>
      </c>
      <c r="K4333" s="604" t="s">
        <v>448</v>
      </c>
      <c r="L4333" s="604" t="s">
        <v>89</v>
      </c>
      <c r="M4333" s="604">
        <v>12</v>
      </c>
      <c r="N4333" s="604">
        <v>4800</v>
      </c>
      <c r="O4333" s="604">
        <v>2.5</v>
      </c>
      <c r="P4333" s="604" t="s">
        <v>436</v>
      </c>
      <c r="Q4333" s="499"/>
    </row>
    <row r="4334" spans="9:17">
      <c r="I4334" s="578" t="str">
        <f t="shared" si="213"/>
        <v>2003dhbLakesPN</v>
      </c>
      <c r="J4334" s="604">
        <v>2003</v>
      </c>
      <c r="K4334" s="604" t="s">
        <v>448</v>
      </c>
      <c r="L4334" s="604" t="s">
        <v>90</v>
      </c>
      <c r="M4334" s="604">
        <v>4</v>
      </c>
      <c r="N4334" s="604">
        <v>1553</v>
      </c>
      <c r="O4334" s="604">
        <v>2.6</v>
      </c>
      <c r="P4334" s="604" t="s">
        <v>436</v>
      </c>
      <c r="Q4334" s="499"/>
    </row>
    <row r="4335" spans="9:17">
      <c r="I4335" s="578" t="str">
        <f t="shared" si="213"/>
        <v>2003dhbBay of PlentyPN</v>
      </c>
      <c r="J4335" s="604">
        <v>2003</v>
      </c>
      <c r="K4335" s="604" t="s">
        <v>448</v>
      </c>
      <c r="L4335" s="604" t="s">
        <v>91</v>
      </c>
      <c r="M4335" s="604">
        <v>8</v>
      </c>
      <c r="N4335" s="604">
        <v>2602</v>
      </c>
      <c r="O4335" s="604">
        <v>3.1</v>
      </c>
      <c r="P4335" s="604" t="s">
        <v>436</v>
      </c>
      <c r="Q4335" s="499"/>
    </row>
    <row r="4336" spans="9:17">
      <c r="I4336" s="578" t="str">
        <f t="shared" si="213"/>
        <v>2003dhbTairawhitiPN</v>
      </c>
      <c r="J4336" s="604">
        <v>2003</v>
      </c>
      <c r="K4336" s="604" t="s">
        <v>448</v>
      </c>
      <c r="L4336" s="604" t="s">
        <v>433</v>
      </c>
      <c r="M4336" s="604">
        <v>3</v>
      </c>
      <c r="N4336" s="604">
        <v>703</v>
      </c>
      <c r="O4336" s="604">
        <v>4.3</v>
      </c>
      <c r="P4336" s="604" t="s">
        <v>436</v>
      </c>
      <c r="Q4336" s="499"/>
    </row>
    <row r="4337" spans="9:17">
      <c r="I4337" s="578" t="str">
        <f t="shared" si="213"/>
        <v>2003dhbHawke's BayPN</v>
      </c>
      <c r="J4337" s="604">
        <v>2003</v>
      </c>
      <c r="K4337" s="604" t="s">
        <v>448</v>
      </c>
      <c r="L4337" s="604" t="s">
        <v>92</v>
      </c>
      <c r="M4337" s="604">
        <v>1</v>
      </c>
      <c r="N4337" s="604">
        <v>2078</v>
      </c>
      <c r="O4337" s="604">
        <v>0.5</v>
      </c>
      <c r="P4337" s="604" t="s">
        <v>436</v>
      </c>
      <c r="Q4337" s="499"/>
    </row>
    <row r="4338" spans="9:17">
      <c r="I4338" s="578" t="str">
        <f t="shared" si="213"/>
        <v>2003dhbTaranakiPN</v>
      </c>
      <c r="J4338" s="604">
        <v>2003</v>
      </c>
      <c r="K4338" s="604" t="s">
        <v>448</v>
      </c>
      <c r="L4338" s="604" t="s">
        <v>93</v>
      </c>
      <c r="M4338" s="604">
        <v>9</v>
      </c>
      <c r="N4338" s="604">
        <v>1378</v>
      </c>
      <c r="O4338" s="604">
        <v>6.5</v>
      </c>
      <c r="P4338" s="604" t="s">
        <v>436</v>
      </c>
      <c r="Q4338" s="499"/>
    </row>
    <row r="4339" spans="9:17">
      <c r="I4339" s="578" t="str">
        <f t="shared" si="213"/>
        <v>2003dhbMidCentralPN</v>
      </c>
      <c r="J4339" s="604">
        <v>2003</v>
      </c>
      <c r="K4339" s="604" t="s">
        <v>448</v>
      </c>
      <c r="L4339" s="604" t="s">
        <v>94</v>
      </c>
      <c r="M4339" s="604">
        <v>4</v>
      </c>
      <c r="N4339" s="604">
        <v>2032</v>
      </c>
      <c r="O4339" s="604">
        <v>2</v>
      </c>
      <c r="P4339" s="604" t="s">
        <v>436</v>
      </c>
      <c r="Q4339" s="499"/>
    </row>
    <row r="4340" spans="9:17">
      <c r="I4340" s="578" t="str">
        <f t="shared" si="213"/>
        <v>2003dhbWhanganuiPN</v>
      </c>
      <c r="J4340" s="604">
        <v>2003</v>
      </c>
      <c r="K4340" s="604" t="s">
        <v>448</v>
      </c>
      <c r="L4340" s="604" t="s">
        <v>95</v>
      </c>
      <c r="M4340" s="604">
        <v>1</v>
      </c>
      <c r="N4340" s="604">
        <v>843</v>
      </c>
      <c r="O4340" s="604">
        <v>1.2</v>
      </c>
      <c r="P4340" s="604" t="s">
        <v>436</v>
      </c>
      <c r="Q4340" s="499"/>
    </row>
    <row r="4341" spans="9:17">
      <c r="I4341" s="578" t="str">
        <f t="shared" si="213"/>
        <v>2003dhbCapital &amp; CoastPN</v>
      </c>
      <c r="J4341" s="604">
        <v>2003</v>
      </c>
      <c r="K4341" s="604" t="s">
        <v>448</v>
      </c>
      <c r="L4341" s="604" t="s">
        <v>96</v>
      </c>
      <c r="M4341" s="604">
        <v>3</v>
      </c>
      <c r="N4341" s="604">
        <v>3805</v>
      </c>
      <c r="O4341" s="604">
        <v>0.8</v>
      </c>
      <c r="P4341" s="604" t="s">
        <v>436</v>
      </c>
      <c r="Q4341" s="499"/>
    </row>
    <row r="4342" spans="9:17">
      <c r="I4342" s="578" t="str">
        <f t="shared" si="213"/>
        <v>2003dhbHutt ValleyPN</v>
      </c>
      <c r="J4342" s="604">
        <v>2003</v>
      </c>
      <c r="K4342" s="604" t="s">
        <v>448</v>
      </c>
      <c r="L4342" s="604" t="s">
        <v>97</v>
      </c>
      <c r="M4342" s="604">
        <v>5</v>
      </c>
      <c r="N4342" s="604">
        <v>2052</v>
      </c>
      <c r="O4342" s="604">
        <v>2.4</v>
      </c>
      <c r="P4342" s="604" t="s">
        <v>436</v>
      </c>
      <c r="Q4342" s="499"/>
    </row>
    <row r="4343" spans="9:17">
      <c r="I4343" s="578" t="str">
        <f t="shared" si="213"/>
        <v>2003dhbWairarapaPN</v>
      </c>
      <c r="J4343" s="604">
        <v>2003</v>
      </c>
      <c r="K4343" s="604" t="s">
        <v>448</v>
      </c>
      <c r="L4343" s="604" t="s">
        <v>98</v>
      </c>
      <c r="M4343" s="604">
        <v>0</v>
      </c>
      <c r="N4343" s="604">
        <v>435</v>
      </c>
      <c r="O4343" s="604">
        <v>0</v>
      </c>
      <c r="P4343" s="604" t="s">
        <v>436</v>
      </c>
      <c r="Q4343" s="499"/>
    </row>
    <row r="4344" spans="9:17">
      <c r="I4344" s="578" t="str">
        <f t="shared" si="213"/>
        <v>2003dhbNelson MarlboroughPN</v>
      </c>
      <c r="J4344" s="604">
        <v>2003</v>
      </c>
      <c r="K4344" s="604" t="s">
        <v>448</v>
      </c>
      <c r="L4344" s="604" t="s">
        <v>99</v>
      </c>
      <c r="M4344" s="604">
        <v>3</v>
      </c>
      <c r="N4344" s="604">
        <v>1523</v>
      </c>
      <c r="O4344" s="604">
        <v>2</v>
      </c>
      <c r="P4344" s="604" t="s">
        <v>436</v>
      </c>
      <c r="Q4344" s="499"/>
    </row>
    <row r="4345" spans="9:17">
      <c r="I4345" s="578" t="str">
        <f t="shared" si="213"/>
        <v>2003dhbWest CoastPN</v>
      </c>
      <c r="J4345" s="604">
        <v>2003</v>
      </c>
      <c r="K4345" s="604" t="s">
        <v>448</v>
      </c>
      <c r="L4345" s="604" t="s">
        <v>100</v>
      </c>
      <c r="M4345" s="604">
        <v>0</v>
      </c>
      <c r="N4345" s="604">
        <v>334</v>
      </c>
      <c r="O4345" s="604">
        <v>0</v>
      </c>
      <c r="P4345" s="604" t="s">
        <v>436</v>
      </c>
      <c r="Q4345" s="499"/>
    </row>
    <row r="4346" spans="9:17">
      <c r="I4346" s="578" t="str">
        <f t="shared" si="213"/>
        <v>2003dhbCanterburyPN</v>
      </c>
      <c r="J4346" s="604">
        <v>2003</v>
      </c>
      <c r="K4346" s="604" t="s">
        <v>448</v>
      </c>
      <c r="L4346" s="604" t="s">
        <v>101</v>
      </c>
      <c r="M4346" s="604">
        <v>6</v>
      </c>
      <c r="N4346" s="604">
        <v>5665</v>
      </c>
      <c r="O4346" s="604">
        <v>1.1000000000000001</v>
      </c>
      <c r="P4346" s="604" t="s">
        <v>436</v>
      </c>
      <c r="Q4346" s="499"/>
    </row>
    <row r="4347" spans="9:17">
      <c r="I4347" s="578" t="str">
        <f t="shared" si="213"/>
        <v>2003dhbSouth CanterburyPN</v>
      </c>
      <c r="J4347" s="604">
        <v>2003</v>
      </c>
      <c r="K4347" s="604" t="s">
        <v>448</v>
      </c>
      <c r="L4347" s="604" t="s">
        <v>102</v>
      </c>
      <c r="M4347" s="604">
        <v>0</v>
      </c>
      <c r="N4347" s="604">
        <v>592</v>
      </c>
      <c r="O4347" s="604">
        <v>0</v>
      </c>
      <c r="P4347" s="604" t="s">
        <v>436</v>
      </c>
      <c r="Q4347" s="499"/>
    </row>
    <row r="4348" spans="9:17">
      <c r="I4348" s="578" t="str">
        <f t="shared" si="213"/>
        <v>2003dhbSouthernPN</v>
      </c>
      <c r="J4348" s="604">
        <v>2003</v>
      </c>
      <c r="K4348" s="604" t="s">
        <v>448</v>
      </c>
      <c r="L4348" s="604" t="s">
        <v>103</v>
      </c>
      <c r="M4348" s="604">
        <v>10</v>
      </c>
      <c r="N4348" s="604">
        <v>3290</v>
      </c>
      <c r="O4348" s="604">
        <v>3</v>
      </c>
      <c r="P4348" s="604" t="s">
        <v>436</v>
      </c>
      <c r="Q4348" s="499"/>
    </row>
    <row r="4349" spans="9:17">
      <c r="I4349" s="578" t="str">
        <f t="shared" si="213"/>
        <v>2003dhbUnknownPN</v>
      </c>
      <c r="J4349" s="604">
        <v>2003</v>
      </c>
      <c r="K4349" s="604" t="s">
        <v>448</v>
      </c>
      <c r="L4349" s="604" t="s">
        <v>63</v>
      </c>
      <c r="M4349" s="604">
        <v>1</v>
      </c>
      <c r="N4349" s="604">
        <v>523</v>
      </c>
      <c r="O4349" s="604" t="s">
        <v>119</v>
      </c>
      <c r="P4349" s="604" t="s">
        <v>436</v>
      </c>
      <c r="Q4349" s="499"/>
    </row>
    <row r="4350" spans="9:17">
      <c r="I4350" s="578" t="str">
        <f t="shared" si="213"/>
        <v>2004dhbNorthlandPN</v>
      </c>
      <c r="J4350" s="604">
        <v>2004</v>
      </c>
      <c r="K4350" s="604" t="s">
        <v>448</v>
      </c>
      <c r="L4350" s="604" t="s">
        <v>85</v>
      </c>
      <c r="M4350" s="604">
        <v>11</v>
      </c>
      <c r="N4350" s="604">
        <v>2087</v>
      </c>
      <c r="O4350" s="604">
        <v>5.3</v>
      </c>
      <c r="P4350" s="604" t="s">
        <v>436</v>
      </c>
      <c r="Q4350" s="499"/>
    </row>
    <row r="4351" spans="9:17">
      <c r="I4351" s="578" t="str">
        <f t="shared" si="213"/>
        <v>2004dhbWaitemataPN</v>
      </c>
      <c r="J4351" s="604">
        <v>2004</v>
      </c>
      <c r="K4351" s="604" t="s">
        <v>448</v>
      </c>
      <c r="L4351" s="604" t="s">
        <v>86</v>
      </c>
      <c r="M4351" s="604">
        <v>10</v>
      </c>
      <c r="N4351" s="604">
        <v>7137</v>
      </c>
      <c r="O4351" s="604">
        <v>1.4</v>
      </c>
      <c r="P4351" s="604" t="s">
        <v>436</v>
      </c>
      <c r="Q4351" s="499"/>
    </row>
    <row r="4352" spans="9:17">
      <c r="I4352" s="578" t="str">
        <f t="shared" si="213"/>
        <v>2004dhbAucklandPN</v>
      </c>
      <c r="J4352" s="604">
        <v>2004</v>
      </c>
      <c r="K4352" s="604" t="s">
        <v>448</v>
      </c>
      <c r="L4352" s="604" t="s">
        <v>87</v>
      </c>
      <c r="M4352" s="604">
        <v>15</v>
      </c>
      <c r="N4352" s="604">
        <v>6298</v>
      </c>
      <c r="O4352" s="604">
        <v>2.4</v>
      </c>
      <c r="P4352" s="604" t="s">
        <v>436</v>
      </c>
      <c r="Q4352" s="499"/>
    </row>
    <row r="4353" spans="9:17">
      <c r="I4353" s="578" t="str">
        <f t="shared" si="213"/>
        <v>2004dhbCounties ManukauPN</v>
      </c>
      <c r="J4353" s="604">
        <v>2004</v>
      </c>
      <c r="K4353" s="604" t="s">
        <v>448</v>
      </c>
      <c r="L4353" s="604" t="s">
        <v>88</v>
      </c>
      <c r="M4353" s="604">
        <v>31</v>
      </c>
      <c r="N4353" s="604">
        <v>7923</v>
      </c>
      <c r="O4353" s="604">
        <v>3.9</v>
      </c>
      <c r="P4353" s="604" t="s">
        <v>436</v>
      </c>
      <c r="Q4353" s="499"/>
    </row>
    <row r="4354" spans="9:17">
      <c r="I4354" s="578" t="str">
        <f t="shared" si="213"/>
        <v>2004dhbWaikatoPN</v>
      </c>
      <c r="J4354" s="604">
        <v>2004</v>
      </c>
      <c r="K4354" s="604" t="s">
        <v>448</v>
      </c>
      <c r="L4354" s="604" t="s">
        <v>89</v>
      </c>
      <c r="M4354" s="604">
        <v>10</v>
      </c>
      <c r="N4354" s="604">
        <v>4956</v>
      </c>
      <c r="O4354" s="604">
        <v>2</v>
      </c>
      <c r="P4354" s="604" t="s">
        <v>436</v>
      </c>
      <c r="Q4354" s="499"/>
    </row>
    <row r="4355" spans="9:17">
      <c r="I4355" s="578" t="str">
        <f t="shared" si="213"/>
        <v>2004dhbLakesPN</v>
      </c>
      <c r="J4355" s="604">
        <v>2004</v>
      </c>
      <c r="K4355" s="604" t="s">
        <v>448</v>
      </c>
      <c r="L4355" s="604" t="s">
        <v>90</v>
      </c>
      <c r="M4355" s="604">
        <v>2</v>
      </c>
      <c r="N4355" s="604">
        <v>1659</v>
      </c>
      <c r="O4355" s="604">
        <v>1.2</v>
      </c>
      <c r="P4355" s="604" t="s">
        <v>436</v>
      </c>
      <c r="Q4355" s="499"/>
    </row>
    <row r="4356" spans="9:17">
      <c r="I4356" s="578" t="str">
        <f t="shared" ref="I4356:I4419" si="214">J4356&amp;K4356&amp;L4356&amp;P4356</f>
        <v>2004dhbBay of PlentyPN</v>
      </c>
      <c r="J4356" s="604">
        <v>2004</v>
      </c>
      <c r="K4356" s="604" t="s">
        <v>448</v>
      </c>
      <c r="L4356" s="604" t="s">
        <v>91</v>
      </c>
      <c r="M4356" s="604">
        <v>9</v>
      </c>
      <c r="N4356" s="604">
        <v>2763</v>
      </c>
      <c r="O4356" s="604">
        <v>3.3</v>
      </c>
      <c r="P4356" s="604" t="s">
        <v>436</v>
      </c>
      <c r="Q4356" s="499"/>
    </row>
    <row r="4357" spans="9:17">
      <c r="I4357" s="578" t="str">
        <f t="shared" si="214"/>
        <v>2004dhbTairawhitiPN</v>
      </c>
      <c r="J4357" s="604">
        <v>2004</v>
      </c>
      <c r="K4357" s="604" t="s">
        <v>448</v>
      </c>
      <c r="L4357" s="604" t="s">
        <v>433</v>
      </c>
      <c r="M4357" s="604">
        <v>4</v>
      </c>
      <c r="N4357" s="604">
        <v>760</v>
      </c>
      <c r="O4357" s="604">
        <v>5.3</v>
      </c>
      <c r="P4357" s="604" t="s">
        <v>436</v>
      </c>
      <c r="Q4357" s="499"/>
    </row>
    <row r="4358" spans="9:17">
      <c r="I4358" s="578" t="str">
        <f t="shared" si="214"/>
        <v>2004dhbHawke's BayPN</v>
      </c>
      <c r="J4358" s="604">
        <v>2004</v>
      </c>
      <c r="K4358" s="604" t="s">
        <v>448</v>
      </c>
      <c r="L4358" s="604" t="s">
        <v>92</v>
      </c>
      <c r="M4358" s="604">
        <v>5</v>
      </c>
      <c r="N4358" s="604">
        <v>2188</v>
      </c>
      <c r="O4358" s="604">
        <v>2.2999999999999998</v>
      </c>
      <c r="P4358" s="604" t="s">
        <v>436</v>
      </c>
      <c r="Q4358" s="499"/>
    </row>
    <row r="4359" spans="9:17">
      <c r="I4359" s="578" t="str">
        <f t="shared" si="214"/>
        <v>2004dhbTaranakiPN</v>
      </c>
      <c r="J4359" s="604">
        <v>2004</v>
      </c>
      <c r="K4359" s="604" t="s">
        <v>448</v>
      </c>
      <c r="L4359" s="604" t="s">
        <v>93</v>
      </c>
      <c r="M4359" s="604">
        <v>4</v>
      </c>
      <c r="N4359" s="604">
        <v>1336</v>
      </c>
      <c r="O4359" s="604">
        <v>3</v>
      </c>
      <c r="P4359" s="604" t="s">
        <v>436</v>
      </c>
      <c r="Q4359" s="499"/>
    </row>
    <row r="4360" spans="9:17">
      <c r="I4360" s="578" t="str">
        <f t="shared" si="214"/>
        <v>2004dhbMidCentralPN</v>
      </c>
      <c r="J4360" s="604">
        <v>2004</v>
      </c>
      <c r="K4360" s="604" t="s">
        <v>448</v>
      </c>
      <c r="L4360" s="604" t="s">
        <v>94</v>
      </c>
      <c r="M4360" s="604">
        <v>7</v>
      </c>
      <c r="N4360" s="604">
        <v>2079</v>
      </c>
      <c r="O4360" s="604">
        <v>3.4</v>
      </c>
      <c r="P4360" s="604" t="s">
        <v>436</v>
      </c>
      <c r="Q4360" s="499"/>
    </row>
    <row r="4361" spans="9:17">
      <c r="I4361" s="578" t="str">
        <f t="shared" si="214"/>
        <v>2004dhbWhanganuiPN</v>
      </c>
      <c r="J4361" s="604">
        <v>2004</v>
      </c>
      <c r="K4361" s="604" t="s">
        <v>448</v>
      </c>
      <c r="L4361" s="604" t="s">
        <v>95</v>
      </c>
      <c r="M4361" s="604">
        <v>3</v>
      </c>
      <c r="N4361" s="604">
        <v>815</v>
      </c>
      <c r="O4361" s="604">
        <v>3.7</v>
      </c>
      <c r="P4361" s="604" t="s">
        <v>436</v>
      </c>
      <c r="Q4361" s="499"/>
    </row>
    <row r="4362" spans="9:17">
      <c r="I4362" s="578" t="str">
        <f t="shared" si="214"/>
        <v>2004dhbCapital &amp; CoastPN</v>
      </c>
      <c r="J4362" s="604">
        <v>2004</v>
      </c>
      <c r="K4362" s="604" t="s">
        <v>448</v>
      </c>
      <c r="L4362" s="604" t="s">
        <v>96</v>
      </c>
      <c r="M4362" s="604">
        <v>8</v>
      </c>
      <c r="N4362" s="604">
        <v>3693</v>
      </c>
      <c r="O4362" s="604">
        <v>2.2000000000000002</v>
      </c>
      <c r="P4362" s="604" t="s">
        <v>436</v>
      </c>
      <c r="Q4362" s="499"/>
    </row>
    <row r="4363" spans="9:17">
      <c r="I4363" s="578" t="str">
        <f t="shared" si="214"/>
        <v>2004dhbHutt ValleyPN</v>
      </c>
      <c r="J4363" s="604">
        <v>2004</v>
      </c>
      <c r="K4363" s="604" t="s">
        <v>448</v>
      </c>
      <c r="L4363" s="604" t="s">
        <v>97</v>
      </c>
      <c r="M4363" s="604">
        <v>6</v>
      </c>
      <c r="N4363" s="604">
        <v>2031</v>
      </c>
      <c r="O4363" s="604">
        <v>3</v>
      </c>
      <c r="P4363" s="604" t="s">
        <v>436</v>
      </c>
      <c r="Q4363" s="499"/>
    </row>
    <row r="4364" spans="9:17">
      <c r="I4364" s="578" t="str">
        <f t="shared" si="214"/>
        <v>2004dhbWairarapaPN</v>
      </c>
      <c r="J4364" s="604">
        <v>2004</v>
      </c>
      <c r="K4364" s="604" t="s">
        <v>448</v>
      </c>
      <c r="L4364" s="604" t="s">
        <v>98</v>
      </c>
      <c r="M4364" s="604">
        <v>1</v>
      </c>
      <c r="N4364" s="604">
        <v>522</v>
      </c>
      <c r="O4364" s="604">
        <v>1.9</v>
      </c>
      <c r="P4364" s="604" t="s">
        <v>436</v>
      </c>
      <c r="Q4364" s="499"/>
    </row>
    <row r="4365" spans="9:17">
      <c r="I4365" s="578" t="str">
        <f t="shared" si="214"/>
        <v>2004dhbNelson MarlboroughPN</v>
      </c>
      <c r="J4365" s="604">
        <v>2004</v>
      </c>
      <c r="K4365" s="604" t="s">
        <v>448</v>
      </c>
      <c r="L4365" s="604" t="s">
        <v>99</v>
      </c>
      <c r="M4365" s="604">
        <v>1</v>
      </c>
      <c r="N4365" s="604">
        <v>1623</v>
      </c>
      <c r="O4365" s="604">
        <v>0.6</v>
      </c>
      <c r="P4365" s="604" t="s">
        <v>436</v>
      </c>
      <c r="Q4365" s="499"/>
    </row>
    <row r="4366" spans="9:17">
      <c r="I4366" s="578" t="str">
        <f t="shared" si="214"/>
        <v>2004dhbWest CoastPN</v>
      </c>
      <c r="J4366" s="604">
        <v>2004</v>
      </c>
      <c r="K4366" s="604" t="s">
        <v>448</v>
      </c>
      <c r="L4366" s="604" t="s">
        <v>100</v>
      </c>
      <c r="M4366" s="604">
        <v>1</v>
      </c>
      <c r="N4366" s="604">
        <v>399</v>
      </c>
      <c r="O4366" s="604">
        <v>2.5</v>
      </c>
      <c r="P4366" s="604" t="s">
        <v>436</v>
      </c>
      <c r="Q4366" s="499"/>
    </row>
    <row r="4367" spans="9:17">
      <c r="I4367" s="578" t="str">
        <f t="shared" si="214"/>
        <v>2004dhbCanterburyPN</v>
      </c>
      <c r="J4367" s="604">
        <v>2004</v>
      </c>
      <c r="K4367" s="604" t="s">
        <v>448</v>
      </c>
      <c r="L4367" s="604" t="s">
        <v>101</v>
      </c>
      <c r="M4367" s="604">
        <v>7</v>
      </c>
      <c r="N4367" s="604">
        <v>6071</v>
      </c>
      <c r="O4367" s="604">
        <v>1.2</v>
      </c>
      <c r="P4367" s="604" t="s">
        <v>436</v>
      </c>
      <c r="Q4367" s="499"/>
    </row>
    <row r="4368" spans="9:17">
      <c r="I4368" s="578" t="str">
        <f t="shared" si="214"/>
        <v>2004dhbSouth CanterburyPN</v>
      </c>
      <c r="J4368" s="604">
        <v>2004</v>
      </c>
      <c r="K4368" s="604" t="s">
        <v>448</v>
      </c>
      <c r="L4368" s="604" t="s">
        <v>102</v>
      </c>
      <c r="M4368" s="604">
        <v>3</v>
      </c>
      <c r="N4368" s="604">
        <v>569</v>
      </c>
      <c r="O4368" s="604">
        <v>5.3</v>
      </c>
      <c r="P4368" s="604" t="s">
        <v>436</v>
      </c>
      <c r="Q4368" s="499"/>
    </row>
    <row r="4369" spans="9:17">
      <c r="I4369" s="578" t="str">
        <f t="shared" si="214"/>
        <v>2004dhbSouthernPN</v>
      </c>
      <c r="J4369" s="604">
        <v>2004</v>
      </c>
      <c r="K4369" s="604" t="s">
        <v>448</v>
      </c>
      <c r="L4369" s="604" t="s">
        <v>103</v>
      </c>
      <c r="M4369" s="604">
        <v>9</v>
      </c>
      <c r="N4369" s="604">
        <v>3458</v>
      </c>
      <c r="O4369" s="604">
        <v>2.6</v>
      </c>
      <c r="P4369" s="604" t="s">
        <v>436</v>
      </c>
      <c r="Q4369" s="499"/>
    </row>
    <row r="4370" spans="9:17">
      <c r="I4370" s="578" t="str">
        <f t="shared" si="214"/>
        <v>2004dhbUnknownPN</v>
      </c>
      <c r="J4370" s="604">
        <v>2004</v>
      </c>
      <c r="K4370" s="604" t="s">
        <v>448</v>
      </c>
      <c r="L4370" s="604" t="s">
        <v>63</v>
      </c>
      <c r="M4370" s="604">
        <v>2</v>
      </c>
      <c r="N4370" s="604">
        <v>356</v>
      </c>
      <c r="O4370" s="604" t="s">
        <v>119</v>
      </c>
      <c r="P4370" s="604" t="s">
        <v>436</v>
      </c>
      <c r="Q4370" s="499"/>
    </row>
    <row r="4371" spans="9:17">
      <c r="I4371" s="578" t="str">
        <f t="shared" si="214"/>
        <v>2005dhbNorthlandPN</v>
      </c>
      <c r="J4371" s="604">
        <v>2005</v>
      </c>
      <c r="K4371" s="604" t="s">
        <v>448</v>
      </c>
      <c r="L4371" s="604" t="s">
        <v>85</v>
      </c>
      <c r="M4371" s="604">
        <v>6</v>
      </c>
      <c r="N4371" s="604">
        <v>2137</v>
      </c>
      <c r="O4371" s="604">
        <v>2.8</v>
      </c>
      <c r="P4371" s="604" t="s">
        <v>436</v>
      </c>
      <c r="Q4371" s="499"/>
    </row>
    <row r="4372" spans="9:17">
      <c r="I4372" s="578" t="str">
        <f t="shared" si="214"/>
        <v>2005dhbWaitemataPN</v>
      </c>
      <c r="J4372" s="604">
        <v>2005</v>
      </c>
      <c r="K4372" s="604" t="s">
        <v>448</v>
      </c>
      <c r="L4372" s="604" t="s">
        <v>86</v>
      </c>
      <c r="M4372" s="604">
        <v>15</v>
      </c>
      <c r="N4372" s="604">
        <v>6944</v>
      </c>
      <c r="O4372" s="604">
        <v>2.2000000000000002</v>
      </c>
      <c r="P4372" s="604" t="s">
        <v>436</v>
      </c>
      <c r="Q4372" s="499"/>
    </row>
    <row r="4373" spans="9:17">
      <c r="I4373" s="578" t="str">
        <f t="shared" si="214"/>
        <v>2005dhbAucklandPN</v>
      </c>
      <c r="J4373" s="604">
        <v>2005</v>
      </c>
      <c r="K4373" s="604" t="s">
        <v>448</v>
      </c>
      <c r="L4373" s="604" t="s">
        <v>87</v>
      </c>
      <c r="M4373" s="604">
        <v>10</v>
      </c>
      <c r="N4373" s="604">
        <v>6247</v>
      </c>
      <c r="O4373" s="604">
        <v>1.6</v>
      </c>
      <c r="P4373" s="604" t="s">
        <v>436</v>
      </c>
      <c r="Q4373" s="499"/>
    </row>
    <row r="4374" spans="9:17">
      <c r="I4374" s="578" t="str">
        <f t="shared" si="214"/>
        <v>2005dhbCounties ManukauPN</v>
      </c>
      <c r="J4374" s="604">
        <v>2005</v>
      </c>
      <c r="K4374" s="604" t="s">
        <v>448</v>
      </c>
      <c r="L4374" s="604" t="s">
        <v>88</v>
      </c>
      <c r="M4374" s="604">
        <v>24</v>
      </c>
      <c r="N4374" s="604">
        <v>8070</v>
      </c>
      <c r="O4374" s="604">
        <v>3</v>
      </c>
      <c r="P4374" s="604" t="s">
        <v>436</v>
      </c>
      <c r="Q4374" s="499"/>
    </row>
    <row r="4375" spans="9:17">
      <c r="I4375" s="578" t="str">
        <f t="shared" si="214"/>
        <v>2005dhbWaikatoPN</v>
      </c>
      <c r="J4375" s="604">
        <v>2005</v>
      </c>
      <c r="K4375" s="604" t="s">
        <v>448</v>
      </c>
      <c r="L4375" s="604" t="s">
        <v>89</v>
      </c>
      <c r="M4375" s="604">
        <v>8</v>
      </c>
      <c r="N4375" s="604">
        <v>5110</v>
      </c>
      <c r="O4375" s="604">
        <v>1.6</v>
      </c>
      <c r="P4375" s="604" t="s">
        <v>436</v>
      </c>
      <c r="Q4375" s="499"/>
    </row>
    <row r="4376" spans="9:17">
      <c r="I4376" s="578" t="str">
        <f t="shared" si="214"/>
        <v>2005dhbLakesPN</v>
      </c>
      <c r="J4376" s="604">
        <v>2005</v>
      </c>
      <c r="K4376" s="604" t="s">
        <v>448</v>
      </c>
      <c r="L4376" s="604" t="s">
        <v>90</v>
      </c>
      <c r="M4376" s="604">
        <v>1</v>
      </c>
      <c r="N4376" s="604">
        <v>1577</v>
      </c>
      <c r="O4376" s="604">
        <v>0.6</v>
      </c>
      <c r="P4376" s="604" t="s">
        <v>436</v>
      </c>
      <c r="Q4376" s="499"/>
    </row>
    <row r="4377" spans="9:17">
      <c r="I4377" s="578" t="str">
        <f t="shared" si="214"/>
        <v>2005dhbBay of PlentyPN</v>
      </c>
      <c r="J4377" s="604">
        <v>2005</v>
      </c>
      <c r="K4377" s="604" t="s">
        <v>448</v>
      </c>
      <c r="L4377" s="604" t="s">
        <v>91</v>
      </c>
      <c r="M4377" s="604">
        <v>3</v>
      </c>
      <c r="N4377" s="604">
        <v>2794</v>
      </c>
      <c r="O4377" s="604">
        <v>1.1000000000000001</v>
      </c>
      <c r="P4377" s="604" t="s">
        <v>436</v>
      </c>
      <c r="Q4377" s="499"/>
    </row>
    <row r="4378" spans="9:17">
      <c r="I4378" s="578" t="str">
        <f t="shared" si="214"/>
        <v>2005dhbTairawhitiPN</v>
      </c>
      <c r="J4378" s="604">
        <v>2005</v>
      </c>
      <c r="K4378" s="604" t="s">
        <v>448</v>
      </c>
      <c r="L4378" s="604" t="s">
        <v>433</v>
      </c>
      <c r="M4378" s="604">
        <v>4</v>
      </c>
      <c r="N4378" s="604">
        <v>800</v>
      </c>
      <c r="O4378" s="604">
        <v>5</v>
      </c>
      <c r="P4378" s="604" t="s">
        <v>436</v>
      </c>
      <c r="Q4378" s="499"/>
    </row>
    <row r="4379" spans="9:17">
      <c r="I4379" s="578" t="str">
        <f t="shared" si="214"/>
        <v>2005dhbHawke's BayPN</v>
      </c>
      <c r="J4379" s="604">
        <v>2005</v>
      </c>
      <c r="K4379" s="604" t="s">
        <v>448</v>
      </c>
      <c r="L4379" s="604" t="s">
        <v>92</v>
      </c>
      <c r="M4379" s="604">
        <v>3</v>
      </c>
      <c r="N4379" s="604">
        <v>2159</v>
      </c>
      <c r="O4379" s="604">
        <v>1.4</v>
      </c>
      <c r="P4379" s="604" t="s">
        <v>436</v>
      </c>
      <c r="Q4379" s="499"/>
    </row>
    <row r="4380" spans="9:17">
      <c r="I4380" s="578" t="str">
        <f t="shared" si="214"/>
        <v>2005dhbTaranakiPN</v>
      </c>
      <c r="J4380" s="604">
        <v>2005</v>
      </c>
      <c r="K4380" s="604" t="s">
        <v>448</v>
      </c>
      <c r="L4380" s="604" t="s">
        <v>93</v>
      </c>
      <c r="M4380" s="604">
        <v>3</v>
      </c>
      <c r="N4380" s="604">
        <v>1438</v>
      </c>
      <c r="O4380" s="604">
        <v>2.1</v>
      </c>
      <c r="P4380" s="604" t="s">
        <v>436</v>
      </c>
      <c r="Q4380" s="499"/>
    </row>
    <row r="4381" spans="9:17">
      <c r="I4381" s="578" t="str">
        <f t="shared" si="214"/>
        <v>2005dhbMidCentralPN</v>
      </c>
      <c r="J4381" s="604">
        <v>2005</v>
      </c>
      <c r="K4381" s="604" t="s">
        <v>448</v>
      </c>
      <c r="L4381" s="604" t="s">
        <v>94</v>
      </c>
      <c r="M4381" s="604">
        <v>6</v>
      </c>
      <c r="N4381" s="604">
        <v>2255</v>
      </c>
      <c r="O4381" s="604">
        <v>2.7</v>
      </c>
      <c r="P4381" s="604" t="s">
        <v>436</v>
      </c>
      <c r="Q4381" s="499"/>
    </row>
    <row r="4382" spans="9:17">
      <c r="I4382" s="578" t="str">
        <f t="shared" si="214"/>
        <v>2005dhbWhanganuiPN</v>
      </c>
      <c r="J4382" s="604">
        <v>2005</v>
      </c>
      <c r="K4382" s="604" t="s">
        <v>448</v>
      </c>
      <c r="L4382" s="604" t="s">
        <v>95</v>
      </c>
      <c r="M4382" s="604">
        <v>2</v>
      </c>
      <c r="N4382" s="604">
        <v>823</v>
      </c>
      <c r="O4382" s="604">
        <v>2.4</v>
      </c>
      <c r="P4382" s="604" t="s">
        <v>436</v>
      </c>
      <c r="Q4382" s="499"/>
    </row>
    <row r="4383" spans="9:17">
      <c r="I4383" s="578" t="str">
        <f t="shared" si="214"/>
        <v>2005dhbCapital &amp; CoastPN</v>
      </c>
      <c r="J4383" s="604">
        <v>2005</v>
      </c>
      <c r="K4383" s="604" t="s">
        <v>448</v>
      </c>
      <c r="L4383" s="604" t="s">
        <v>96</v>
      </c>
      <c r="M4383" s="604">
        <v>4</v>
      </c>
      <c r="N4383" s="604">
        <v>3729</v>
      </c>
      <c r="O4383" s="604">
        <v>1.1000000000000001</v>
      </c>
      <c r="P4383" s="604" t="s">
        <v>436</v>
      </c>
      <c r="Q4383" s="499"/>
    </row>
    <row r="4384" spans="9:17">
      <c r="I4384" s="578" t="str">
        <f t="shared" si="214"/>
        <v>2005dhbHutt ValleyPN</v>
      </c>
      <c r="J4384" s="604">
        <v>2005</v>
      </c>
      <c r="K4384" s="604" t="s">
        <v>448</v>
      </c>
      <c r="L4384" s="604" t="s">
        <v>97</v>
      </c>
      <c r="M4384" s="604">
        <v>1</v>
      </c>
      <c r="N4384" s="604">
        <v>2011</v>
      </c>
      <c r="O4384" s="604">
        <v>0.5</v>
      </c>
      <c r="P4384" s="604" t="s">
        <v>436</v>
      </c>
      <c r="Q4384" s="499"/>
    </row>
    <row r="4385" spans="9:17">
      <c r="I4385" s="578" t="str">
        <f t="shared" si="214"/>
        <v>2005dhbWairarapaPN</v>
      </c>
      <c r="J4385" s="604">
        <v>2005</v>
      </c>
      <c r="K4385" s="604" t="s">
        <v>448</v>
      </c>
      <c r="L4385" s="604" t="s">
        <v>98</v>
      </c>
      <c r="M4385" s="604">
        <v>1</v>
      </c>
      <c r="N4385" s="604">
        <v>475</v>
      </c>
      <c r="O4385" s="604">
        <v>2.1</v>
      </c>
      <c r="P4385" s="604" t="s">
        <v>436</v>
      </c>
      <c r="Q4385" s="499"/>
    </row>
    <row r="4386" spans="9:17">
      <c r="I4386" s="578" t="str">
        <f t="shared" si="214"/>
        <v>2005dhbNelson MarlboroughPN</v>
      </c>
      <c r="J4386" s="604">
        <v>2005</v>
      </c>
      <c r="K4386" s="604" t="s">
        <v>448</v>
      </c>
      <c r="L4386" s="604" t="s">
        <v>99</v>
      </c>
      <c r="M4386" s="604">
        <v>0</v>
      </c>
      <c r="N4386" s="604">
        <v>1514</v>
      </c>
      <c r="O4386" s="604">
        <v>0</v>
      </c>
      <c r="P4386" s="604" t="s">
        <v>436</v>
      </c>
      <c r="Q4386" s="499"/>
    </row>
    <row r="4387" spans="9:17">
      <c r="I4387" s="578" t="str">
        <f t="shared" si="214"/>
        <v>2005dhbWest CoastPN</v>
      </c>
      <c r="J4387" s="604">
        <v>2005</v>
      </c>
      <c r="K4387" s="604" t="s">
        <v>448</v>
      </c>
      <c r="L4387" s="604" t="s">
        <v>100</v>
      </c>
      <c r="M4387" s="604">
        <v>0</v>
      </c>
      <c r="N4387" s="604">
        <v>341</v>
      </c>
      <c r="O4387" s="604">
        <v>0</v>
      </c>
      <c r="P4387" s="604" t="s">
        <v>436</v>
      </c>
      <c r="Q4387" s="499"/>
    </row>
    <row r="4388" spans="9:17">
      <c r="I4388" s="578" t="str">
        <f t="shared" si="214"/>
        <v>2005dhbCanterburyPN</v>
      </c>
      <c r="J4388" s="604">
        <v>2005</v>
      </c>
      <c r="K4388" s="604" t="s">
        <v>448</v>
      </c>
      <c r="L4388" s="604" t="s">
        <v>101</v>
      </c>
      <c r="M4388" s="604">
        <v>9</v>
      </c>
      <c r="N4388" s="604">
        <v>6048</v>
      </c>
      <c r="O4388" s="604">
        <v>1.5</v>
      </c>
      <c r="P4388" s="604" t="s">
        <v>436</v>
      </c>
      <c r="Q4388" s="499"/>
    </row>
    <row r="4389" spans="9:17">
      <c r="I4389" s="578" t="str">
        <f t="shared" si="214"/>
        <v>2005dhbSouth CanterburyPN</v>
      </c>
      <c r="J4389" s="604">
        <v>2005</v>
      </c>
      <c r="K4389" s="604" t="s">
        <v>448</v>
      </c>
      <c r="L4389" s="604" t="s">
        <v>102</v>
      </c>
      <c r="M4389" s="604">
        <v>1</v>
      </c>
      <c r="N4389" s="604">
        <v>589</v>
      </c>
      <c r="O4389" s="604">
        <v>1.7</v>
      </c>
      <c r="P4389" s="604" t="s">
        <v>436</v>
      </c>
      <c r="Q4389" s="499"/>
    </row>
    <row r="4390" spans="9:17">
      <c r="I4390" s="578" t="str">
        <f t="shared" si="214"/>
        <v>2005dhbSouthernPN</v>
      </c>
      <c r="J4390" s="604">
        <v>2005</v>
      </c>
      <c r="K4390" s="604" t="s">
        <v>448</v>
      </c>
      <c r="L4390" s="604" t="s">
        <v>103</v>
      </c>
      <c r="M4390" s="604">
        <v>9</v>
      </c>
      <c r="N4390" s="604">
        <v>3419</v>
      </c>
      <c r="O4390" s="604">
        <v>2.6</v>
      </c>
      <c r="P4390" s="604" t="s">
        <v>436</v>
      </c>
      <c r="Q4390" s="499"/>
    </row>
    <row r="4391" spans="9:17">
      <c r="I4391" s="578" t="str">
        <f t="shared" si="214"/>
        <v>2005dhbUnknownPN</v>
      </c>
      <c r="J4391" s="604">
        <v>2005</v>
      </c>
      <c r="K4391" s="604" t="s">
        <v>448</v>
      </c>
      <c r="L4391" s="604" t="s">
        <v>63</v>
      </c>
      <c r="M4391" s="604">
        <v>1</v>
      </c>
      <c r="N4391" s="604">
        <v>247</v>
      </c>
      <c r="O4391" s="604" t="s">
        <v>119</v>
      </c>
      <c r="P4391" s="604" t="s">
        <v>436</v>
      </c>
      <c r="Q4391" s="499"/>
    </row>
    <row r="4392" spans="9:17">
      <c r="I4392" s="578" t="str">
        <f t="shared" si="214"/>
        <v>2006dhbNorthlandPN</v>
      </c>
      <c r="J4392" s="604">
        <v>2006</v>
      </c>
      <c r="K4392" s="604" t="s">
        <v>448</v>
      </c>
      <c r="L4392" s="604" t="s">
        <v>85</v>
      </c>
      <c r="M4392" s="604">
        <v>6</v>
      </c>
      <c r="N4392" s="604">
        <v>2299</v>
      </c>
      <c r="O4392" s="604">
        <v>2.6</v>
      </c>
      <c r="P4392" s="604" t="s">
        <v>436</v>
      </c>
      <c r="Q4392" s="499"/>
    </row>
    <row r="4393" spans="9:17">
      <c r="I4393" s="578" t="str">
        <f t="shared" si="214"/>
        <v>2006dhbWaitemataPN</v>
      </c>
      <c r="J4393" s="604">
        <v>2006</v>
      </c>
      <c r="K4393" s="604" t="s">
        <v>448</v>
      </c>
      <c r="L4393" s="604" t="s">
        <v>86</v>
      </c>
      <c r="M4393" s="604">
        <v>10</v>
      </c>
      <c r="N4393" s="604">
        <v>7318</v>
      </c>
      <c r="O4393" s="604">
        <v>1.4</v>
      </c>
      <c r="P4393" s="604" t="s">
        <v>436</v>
      </c>
      <c r="Q4393" s="499"/>
    </row>
    <row r="4394" spans="9:17">
      <c r="I4394" s="578" t="str">
        <f t="shared" si="214"/>
        <v>2006dhbAucklandPN</v>
      </c>
      <c r="J4394" s="604">
        <v>2006</v>
      </c>
      <c r="K4394" s="604" t="s">
        <v>448</v>
      </c>
      <c r="L4394" s="604" t="s">
        <v>87</v>
      </c>
      <c r="M4394" s="604">
        <v>8</v>
      </c>
      <c r="N4394" s="604">
        <v>6285</v>
      </c>
      <c r="O4394" s="604">
        <v>1.3</v>
      </c>
      <c r="P4394" s="604" t="s">
        <v>436</v>
      </c>
      <c r="Q4394" s="499"/>
    </row>
    <row r="4395" spans="9:17">
      <c r="I4395" s="578" t="str">
        <f t="shared" si="214"/>
        <v>2006dhbCounties ManukauPN</v>
      </c>
      <c r="J4395" s="604">
        <v>2006</v>
      </c>
      <c r="K4395" s="604" t="s">
        <v>448</v>
      </c>
      <c r="L4395" s="604" t="s">
        <v>88</v>
      </c>
      <c r="M4395" s="604">
        <v>36</v>
      </c>
      <c r="N4395" s="604">
        <v>8267</v>
      </c>
      <c r="O4395" s="604">
        <v>4.4000000000000004</v>
      </c>
      <c r="P4395" s="604" t="s">
        <v>436</v>
      </c>
      <c r="Q4395" s="499"/>
    </row>
    <row r="4396" spans="9:17">
      <c r="I4396" s="578" t="str">
        <f t="shared" si="214"/>
        <v>2006dhbWaikatoPN</v>
      </c>
      <c r="J4396" s="604">
        <v>2006</v>
      </c>
      <c r="K4396" s="604" t="s">
        <v>448</v>
      </c>
      <c r="L4396" s="604" t="s">
        <v>89</v>
      </c>
      <c r="M4396" s="604">
        <v>18</v>
      </c>
      <c r="N4396" s="604">
        <v>5058</v>
      </c>
      <c r="O4396" s="604">
        <v>3.6</v>
      </c>
      <c r="P4396" s="604" t="s">
        <v>436</v>
      </c>
      <c r="Q4396" s="499"/>
    </row>
    <row r="4397" spans="9:17">
      <c r="I4397" s="578" t="str">
        <f t="shared" si="214"/>
        <v>2006dhbLakesPN</v>
      </c>
      <c r="J4397" s="604">
        <v>2006</v>
      </c>
      <c r="K4397" s="604" t="s">
        <v>448</v>
      </c>
      <c r="L4397" s="604" t="s">
        <v>90</v>
      </c>
      <c r="M4397" s="604">
        <v>2</v>
      </c>
      <c r="N4397" s="604">
        <v>1632</v>
      </c>
      <c r="O4397" s="604">
        <v>1.2</v>
      </c>
      <c r="P4397" s="604" t="s">
        <v>436</v>
      </c>
      <c r="Q4397" s="499"/>
    </row>
    <row r="4398" spans="9:17">
      <c r="I4398" s="578" t="str">
        <f t="shared" si="214"/>
        <v>2006dhbBay of PlentyPN</v>
      </c>
      <c r="J4398" s="604">
        <v>2006</v>
      </c>
      <c r="K4398" s="604" t="s">
        <v>448</v>
      </c>
      <c r="L4398" s="604" t="s">
        <v>91</v>
      </c>
      <c r="M4398" s="604">
        <v>4</v>
      </c>
      <c r="N4398" s="604">
        <v>2824</v>
      </c>
      <c r="O4398" s="604">
        <v>1.4</v>
      </c>
      <c r="P4398" s="604" t="s">
        <v>436</v>
      </c>
      <c r="Q4398" s="499"/>
    </row>
    <row r="4399" spans="9:17">
      <c r="I4399" s="578" t="str">
        <f t="shared" si="214"/>
        <v>2006dhbTairawhitiPN</v>
      </c>
      <c r="J4399" s="604">
        <v>2006</v>
      </c>
      <c r="K4399" s="604" t="s">
        <v>448</v>
      </c>
      <c r="L4399" s="604" t="s">
        <v>433</v>
      </c>
      <c r="M4399" s="604">
        <v>2</v>
      </c>
      <c r="N4399" s="604">
        <v>747</v>
      </c>
      <c r="O4399" s="604">
        <v>2.7</v>
      </c>
      <c r="P4399" s="604" t="s">
        <v>436</v>
      </c>
      <c r="Q4399" s="499"/>
    </row>
    <row r="4400" spans="9:17">
      <c r="I4400" s="578" t="str">
        <f t="shared" si="214"/>
        <v>2006dhbHawke's BayPN</v>
      </c>
      <c r="J4400" s="604">
        <v>2006</v>
      </c>
      <c r="K4400" s="604" t="s">
        <v>448</v>
      </c>
      <c r="L4400" s="604" t="s">
        <v>92</v>
      </c>
      <c r="M4400" s="604">
        <v>7</v>
      </c>
      <c r="N4400" s="604">
        <v>2212</v>
      </c>
      <c r="O4400" s="604">
        <v>3.2</v>
      </c>
      <c r="P4400" s="604" t="s">
        <v>436</v>
      </c>
      <c r="Q4400" s="499"/>
    </row>
    <row r="4401" spans="9:17">
      <c r="I4401" s="578" t="str">
        <f t="shared" si="214"/>
        <v>2006dhbTaranakiPN</v>
      </c>
      <c r="J4401" s="604">
        <v>2006</v>
      </c>
      <c r="K4401" s="604" t="s">
        <v>448</v>
      </c>
      <c r="L4401" s="604" t="s">
        <v>93</v>
      </c>
      <c r="M4401" s="604">
        <v>2</v>
      </c>
      <c r="N4401" s="604">
        <v>1479</v>
      </c>
      <c r="O4401" s="604">
        <v>1.4</v>
      </c>
      <c r="P4401" s="604" t="s">
        <v>436</v>
      </c>
      <c r="Q4401" s="499"/>
    </row>
    <row r="4402" spans="9:17">
      <c r="I4402" s="578" t="str">
        <f t="shared" si="214"/>
        <v>2006dhbMidCentralPN</v>
      </c>
      <c r="J4402" s="604">
        <v>2006</v>
      </c>
      <c r="K4402" s="604" t="s">
        <v>448</v>
      </c>
      <c r="L4402" s="604" t="s">
        <v>94</v>
      </c>
      <c r="M4402" s="604">
        <v>8</v>
      </c>
      <c r="N4402" s="604">
        <v>2270</v>
      </c>
      <c r="O4402" s="604">
        <v>3.5</v>
      </c>
      <c r="P4402" s="604" t="s">
        <v>436</v>
      </c>
      <c r="Q4402" s="499"/>
    </row>
    <row r="4403" spans="9:17">
      <c r="I4403" s="578" t="str">
        <f t="shared" si="214"/>
        <v>2006dhbWhanganuiPN</v>
      </c>
      <c r="J4403" s="604">
        <v>2006</v>
      </c>
      <c r="K4403" s="604" t="s">
        <v>448</v>
      </c>
      <c r="L4403" s="604" t="s">
        <v>95</v>
      </c>
      <c r="M4403" s="604">
        <v>1</v>
      </c>
      <c r="N4403" s="604">
        <v>895</v>
      </c>
      <c r="O4403" s="604">
        <v>1.1000000000000001</v>
      </c>
      <c r="P4403" s="604" t="s">
        <v>436</v>
      </c>
      <c r="Q4403" s="499"/>
    </row>
    <row r="4404" spans="9:17">
      <c r="I4404" s="578" t="str">
        <f t="shared" si="214"/>
        <v>2006dhbCapital &amp; CoastPN</v>
      </c>
      <c r="J4404" s="604">
        <v>2006</v>
      </c>
      <c r="K4404" s="604" t="s">
        <v>448</v>
      </c>
      <c r="L4404" s="604" t="s">
        <v>96</v>
      </c>
      <c r="M4404" s="604">
        <v>11</v>
      </c>
      <c r="N4404" s="604">
        <v>3894</v>
      </c>
      <c r="O4404" s="604">
        <v>2.8</v>
      </c>
      <c r="P4404" s="604" t="s">
        <v>436</v>
      </c>
      <c r="Q4404" s="499"/>
    </row>
    <row r="4405" spans="9:17">
      <c r="I4405" s="578" t="str">
        <f t="shared" si="214"/>
        <v>2006dhbHutt ValleyPN</v>
      </c>
      <c r="J4405" s="604">
        <v>2006</v>
      </c>
      <c r="K4405" s="604" t="s">
        <v>448</v>
      </c>
      <c r="L4405" s="604" t="s">
        <v>97</v>
      </c>
      <c r="M4405" s="604">
        <v>8</v>
      </c>
      <c r="N4405" s="604">
        <v>1999</v>
      </c>
      <c r="O4405" s="604">
        <v>4</v>
      </c>
      <c r="P4405" s="604" t="s">
        <v>436</v>
      </c>
      <c r="Q4405" s="499"/>
    </row>
    <row r="4406" spans="9:17">
      <c r="I4406" s="578" t="str">
        <f t="shared" si="214"/>
        <v>2006dhbWairarapaPN</v>
      </c>
      <c r="J4406" s="604">
        <v>2006</v>
      </c>
      <c r="K4406" s="604" t="s">
        <v>448</v>
      </c>
      <c r="L4406" s="604" t="s">
        <v>98</v>
      </c>
      <c r="M4406" s="604">
        <v>2</v>
      </c>
      <c r="N4406" s="604">
        <v>523</v>
      </c>
      <c r="O4406" s="604">
        <v>3.8</v>
      </c>
      <c r="P4406" s="604" t="s">
        <v>436</v>
      </c>
      <c r="Q4406" s="499"/>
    </row>
    <row r="4407" spans="9:17">
      <c r="I4407" s="578" t="str">
        <f t="shared" si="214"/>
        <v>2006dhbNelson MarlboroughPN</v>
      </c>
      <c r="J4407" s="604">
        <v>2006</v>
      </c>
      <c r="K4407" s="604" t="s">
        <v>448</v>
      </c>
      <c r="L4407" s="604" t="s">
        <v>99</v>
      </c>
      <c r="M4407" s="604">
        <v>2</v>
      </c>
      <c r="N4407" s="604">
        <v>1569</v>
      </c>
      <c r="O4407" s="604">
        <v>1.3</v>
      </c>
      <c r="P4407" s="604" t="s">
        <v>436</v>
      </c>
      <c r="Q4407" s="499"/>
    </row>
    <row r="4408" spans="9:17">
      <c r="I4408" s="578" t="str">
        <f t="shared" si="214"/>
        <v>2006dhbWest CoastPN</v>
      </c>
      <c r="J4408" s="604">
        <v>2006</v>
      </c>
      <c r="K4408" s="604" t="s">
        <v>448</v>
      </c>
      <c r="L4408" s="604" t="s">
        <v>100</v>
      </c>
      <c r="M4408" s="604">
        <v>0</v>
      </c>
      <c r="N4408" s="604">
        <v>398</v>
      </c>
      <c r="O4408" s="604">
        <v>0</v>
      </c>
      <c r="P4408" s="604" t="s">
        <v>436</v>
      </c>
      <c r="Q4408" s="499"/>
    </row>
    <row r="4409" spans="9:17">
      <c r="I4409" s="578" t="str">
        <f t="shared" si="214"/>
        <v>2006dhbCanterburyPN</v>
      </c>
      <c r="J4409" s="604">
        <v>2006</v>
      </c>
      <c r="K4409" s="604" t="s">
        <v>448</v>
      </c>
      <c r="L4409" s="604" t="s">
        <v>101</v>
      </c>
      <c r="M4409" s="604">
        <v>11</v>
      </c>
      <c r="N4409" s="604">
        <v>6204</v>
      </c>
      <c r="O4409" s="604">
        <v>1.8</v>
      </c>
      <c r="P4409" s="604" t="s">
        <v>436</v>
      </c>
      <c r="Q4409" s="499"/>
    </row>
    <row r="4410" spans="9:17">
      <c r="I4410" s="578" t="str">
        <f t="shared" si="214"/>
        <v>2006dhbSouth CanterburyPN</v>
      </c>
      <c r="J4410" s="604">
        <v>2006</v>
      </c>
      <c r="K4410" s="604" t="s">
        <v>448</v>
      </c>
      <c r="L4410" s="604" t="s">
        <v>102</v>
      </c>
      <c r="M4410" s="604">
        <v>0</v>
      </c>
      <c r="N4410" s="604">
        <v>606</v>
      </c>
      <c r="O4410" s="604">
        <v>0</v>
      </c>
      <c r="P4410" s="604" t="s">
        <v>436</v>
      </c>
      <c r="Q4410" s="499"/>
    </row>
    <row r="4411" spans="9:17">
      <c r="I4411" s="578" t="str">
        <f t="shared" si="214"/>
        <v>2006dhbSouthernPN</v>
      </c>
      <c r="J4411" s="604">
        <v>2006</v>
      </c>
      <c r="K4411" s="604" t="s">
        <v>448</v>
      </c>
      <c r="L4411" s="604" t="s">
        <v>103</v>
      </c>
      <c r="M4411" s="604">
        <v>4</v>
      </c>
      <c r="N4411" s="604">
        <v>3441</v>
      </c>
      <c r="O4411" s="604">
        <v>1.2</v>
      </c>
      <c r="P4411" s="604" t="s">
        <v>436</v>
      </c>
      <c r="Q4411" s="499"/>
    </row>
    <row r="4412" spans="9:17">
      <c r="I4412" s="578" t="str">
        <f t="shared" si="214"/>
        <v>2006dhbUnknownPN</v>
      </c>
      <c r="J4412" s="604">
        <v>2006</v>
      </c>
      <c r="K4412" s="604" t="s">
        <v>448</v>
      </c>
      <c r="L4412" s="604" t="s">
        <v>63</v>
      </c>
      <c r="M4412" s="604">
        <v>1</v>
      </c>
      <c r="N4412" s="604">
        <v>354</v>
      </c>
      <c r="O4412" s="604" t="s">
        <v>119</v>
      </c>
      <c r="P4412" s="604" t="s">
        <v>436</v>
      </c>
      <c r="Q4412" s="499"/>
    </row>
    <row r="4413" spans="9:17">
      <c r="I4413" s="578" t="str">
        <f t="shared" si="214"/>
        <v>2007dhbNorthlandPN</v>
      </c>
      <c r="J4413" s="604">
        <v>2007</v>
      </c>
      <c r="K4413" s="604" t="s">
        <v>448</v>
      </c>
      <c r="L4413" s="604" t="s">
        <v>85</v>
      </c>
      <c r="M4413" s="604">
        <v>4</v>
      </c>
      <c r="N4413" s="604">
        <v>2372</v>
      </c>
      <c r="O4413" s="604">
        <v>1.7</v>
      </c>
      <c r="P4413" s="604" t="s">
        <v>436</v>
      </c>
      <c r="Q4413" s="499"/>
    </row>
    <row r="4414" spans="9:17">
      <c r="I4414" s="578" t="str">
        <f t="shared" si="214"/>
        <v>2007dhbWaitemataPN</v>
      </c>
      <c r="J4414" s="604">
        <v>2007</v>
      </c>
      <c r="K4414" s="604" t="s">
        <v>448</v>
      </c>
      <c r="L4414" s="604" t="s">
        <v>86</v>
      </c>
      <c r="M4414" s="604">
        <v>10</v>
      </c>
      <c r="N4414" s="604">
        <v>7829</v>
      </c>
      <c r="O4414" s="604">
        <v>1.3</v>
      </c>
      <c r="P4414" s="604" t="s">
        <v>436</v>
      </c>
      <c r="Q4414" s="499"/>
    </row>
    <row r="4415" spans="9:17">
      <c r="I4415" s="578" t="str">
        <f t="shared" si="214"/>
        <v>2007dhbAucklandPN</v>
      </c>
      <c r="J4415" s="604">
        <v>2007</v>
      </c>
      <c r="K4415" s="604" t="s">
        <v>448</v>
      </c>
      <c r="L4415" s="604" t="s">
        <v>87</v>
      </c>
      <c r="M4415" s="604">
        <v>12</v>
      </c>
      <c r="N4415" s="604">
        <v>6738</v>
      </c>
      <c r="O4415" s="604">
        <v>1.8</v>
      </c>
      <c r="P4415" s="604" t="s">
        <v>436</v>
      </c>
      <c r="Q4415" s="499"/>
    </row>
    <row r="4416" spans="9:17">
      <c r="I4416" s="578" t="str">
        <f t="shared" si="214"/>
        <v>2007dhbCounties ManukauPN</v>
      </c>
      <c r="J4416" s="604">
        <v>2007</v>
      </c>
      <c r="K4416" s="604" t="s">
        <v>448</v>
      </c>
      <c r="L4416" s="604" t="s">
        <v>88</v>
      </c>
      <c r="M4416" s="604">
        <v>27</v>
      </c>
      <c r="N4416" s="604">
        <v>8998</v>
      </c>
      <c r="O4416" s="604">
        <v>3</v>
      </c>
      <c r="P4416" s="604" t="s">
        <v>436</v>
      </c>
      <c r="Q4416" s="499"/>
    </row>
    <row r="4417" spans="9:17">
      <c r="I4417" s="578" t="str">
        <f t="shared" si="214"/>
        <v>2007dhbWaikatoPN</v>
      </c>
      <c r="J4417" s="604">
        <v>2007</v>
      </c>
      <c r="K4417" s="604" t="s">
        <v>448</v>
      </c>
      <c r="L4417" s="604" t="s">
        <v>89</v>
      </c>
      <c r="M4417" s="604">
        <v>16</v>
      </c>
      <c r="N4417" s="604">
        <v>5630</v>
      </c>
      <c r="O4417" s="604">
        <v>2.8</v>
      </c>
      <c r="P4417" s="604" t="s">
        <v>436</v>
      </c>
      <c r="Q4417" s="499"/>
    </row>
    <row r="4418" spans="9:17">
      <c r="I4418" s="578" t="str">
        <f t="shared" si="214"/>
        <v>2007dhbLakesPN</v>
      </c>
      <c r="J4418" s="604">
        <v>2007</v>
      </c>
      <c r="K4418" s="604" t="s">
        <v>448</v>
      </c>
      <c r="L4418" s="604" t="s">
        <v>90</v>
      </c>
      <c r="M4418" s="604">
        <v>13</v>
      </c>
      <c r="N4418" s="604">
        <v>1692</v>
      </c>
      <c r="O4418" s="604">
        <v>7.7</v>
      </c>
      <c r="P4418" s="604" t="s">
        <v>436</v>
      </c>
      <c r="Q4418" s="499"/>
    </row>
    <row r="4419" spans="9:17">
      <c r="I4419" s="578" t="str">
        <f t="shared" si="214"/>
        <v>2007dhbBay of PlentyPN</v>
      </c>
      <c r="J4419" s="604">
        <v>2007</v>
      </c>
      <c r="K4419" s="604" t="s">
        <v>448</v>
      </c>
      <c r="L4419" s="604" t="s">
        <v>91</v>
      </c>
      <c r="M4419" s="604">
        <v>10</v>
      </c>
      <c r="N4419" s="604">
        <v>3050</v>
      </c>
      <c r="O4419" s="604">
        <v>3.3</v>
      </c>
      <c r="P4419" s="604" t="s">
        <v>436</v>
      </c>
      <c r="Q4419" s="499"/>
    </row>
    <row r="4420" spans="9:17">
      <c r="I4420" s="578" t="str">
        <f t="shared" ref="I4420:I4483" si="215">J4420&amp;K4420&amp;L4420&amp;P4420</f>
        <v>2007dhbTairawhitiPN</v>
      </c>
      <c r="J4420" s="604">
        <v>2007</v>
      </c>
      <c r="K4420" s="604" t="s">
        <v>448</v>
      </c>
      <c r="L4420" s="604" t="s">
        <v>433</v>
      </c>
      <c r="M4420" s="604">
        <v>1</v>
      </c>
      <c r="N4420" s="604">
        <v>836</v>
      </c>
      <c r="O4420" s="604">
        <v>1.2</v>
      </c>
      <c r="P4420" s="604" t="s">
        <v>436</v>
      </c>
      <c r="Q4420" s="499"/>
    </row>
    <row r="4421" spans="9:17">
      <c r="I4421" s="578" t="str">
        <f t="shared" si="215"/>
        <v>2007dhbHawke's BayPN</v>
      </c>
      <c r="J4421" s="604">
        <v>2007</v>
      </c>
      <c r="K4421" s="604" t="s">
        <v>448</v>
      </c>
      <c r="L4421" s="604" t="s">
        <v>92</v>
      </c>
      <c r="M4421" s="604">
        <v>4</v>
      </c>
      <c r="N4421" s="604">
        <v>2379</v>
      </c>
      <c r="O4421" s="604">
        <v>1.7</v>
      </c>
      <c r="P4421" s="604" t="s">
        <v>436</v>
      </c>
      <c r="Q4421" s="499"/>
    </row>
    <row r="4422" spans="9:17">
      <c r="I4422" s="578" t="str">
        <f t="shared" si="215"/>
        <v>2007dhbTaranakiPN</v>
      </c>
      <c r="J4422" s="604">
        <v>2007</v>
      </c>
      <c r="K4422" s="604" t="s">
        <v>448</v>
      </c>
      <c r="L4422" s="604" t="s">
        <v>93</v>
      </c>
      <c r="M4422" s="604">
        <v>4</v>
      </c>
      <c r="N4422" s="604">
        <v>1626</v>
      </c>
      <c r="O4422" s="604">
        <v>2.5</v>
      </c>
      <c r="P4422" s="604" t="s">
        <v>436</v>
      </c>
      <c r="Q4422" s="499"/>
    </row>
    <row r="4423" spans="9:17">
      <c r="I4423" s="578" t="str">
        <f t="shared" si="215"/>
        <v>2007dhbMidCentralPN</v>
      </c>
      <c r="J4423" s="604">
        <v>2007</v>
      </c>
      <c r="K4423" s="604" t="s">
        <v>448</v>
      </c>
      <c r="L4423" s="604" t="s">
        <v>94</v>
      </c>
      <c r="M4423" s="604">
        <v>4</v>
      </c>
      <c r="N4423" s="604">
        <v>2350</v>
      </c>
      <c r="O4423" s="604">
        <v>1.7</v>
      </c>
      <c r="P4423" s="604" t="s">
        <v>436</v>
      </c>
      <c r="Q4423" s="499"/>
    </row>
    <row r="4424" spans="9:17">
      <c r="I4424" s="578" t="str">
        <f t="shared" si="215"/>
        <v>2007dhbWhanganuiPN</v>
      </c>
      <c r="J4424" s="604">
        <v>2007</v>
      </c>
      <c r="K4424" s="604" t="s">
        <v>448</v>
      </c>
      <c r="L4424" s="604" t="s">
        <v>95</v>
      </c>
      <c r="M4424" s="604">
        <v>4</v>
      </c>
      <c r="N4424" s="604">
        <v>905</v>
      </c>
      <c r="O4424" s="604">
        <v>4.4000000000000004</v>
      </c>
      <c r="P4424" s="604" t="s">
        <v>436</v>
      </c>
      <c r="Q4424" s="499"/>
    </row>
    <row r="4425" spans="9:17">
      <c r="I4425" s="578" t="str">
        <f t="shared" si="215"/>
        <v>2007dhbCapital &amp; CoastPN</v>
      </c>
      <c r="J4425" s="604">
        <v>2007</v>
      </c>
      <c r="K4425" s="604" t="s">
        <v>448</v>
      </c>
      <c r="L4425" s="604" t="s">
        <v>96</v>
      </c>
      <c r="M4425" s="604">
        <v>9</v>
      </c>
      <c r="N4425" s="604">
        <v>4056</v>
      </c>
      <c r="O4425" s="604">
        <v>2.2000000000000002</v>
      </c>
      <c r="P4425" s="604" t="s">
        <v>436</v>
      </c>
      <c r="Q4425" s="499"/>
    </row>
    <row r="4426" spans="9:17">
      <c r="I4426" s="578" t="str">
        <f t="shared" si="215"/>
        <v>2007dhbHutt ValleyPN</v>
      </c>
      <c r="J4426" s="604">
        <v>2007</v>
      </c>
      <c r="K4426" s="604" t="s">
        <v>448</v>
      </c>
      <c r="L4426" s="604" t="s">
        <v>97</v>
      </c>
      <c r="M4426" s="604">
        <v>7</v>
      </c>
      <c r="N4426" s="604">
        <v>2264</v>
      </c>
      <c r="O4426" s="604">
        <v>3.1</v>
      </c>
      <c r="P4426" s="604" t="s">
        <v>436</v>
      </c>
      <c r="Q4426" s="499"/>
    </row>
    <row r="4427" spans="9:17">
      <c r="I4427" s="578" t="str">
        <f t="shared" si="215"/>
        <v>2007dhbWairarapaPN</v>
      </c>
      <c r="J4427" s="604">
        <v>2007</v>
      </c>
      <c r="K4427" s="604" t="s">
        <v>448</v>
      </c>
      <c r="L4427" s="604" t="s">
        <v>98</v>
      </c>
      <c r="M4427" s="604">
        <v>2</v>
      </c>
      <c r="N4427" s="604">
        <v>539</v>
      </c>
      <c r="O4427" s="604">
        <v>3.7</v>
      </c>
      <c r="P4427" s="604" t="s">
        <v>436</v>
      </c>
      <c r="Q4427" s="499"/>
    </row>
    <row r="4428" spans="9:17">
      <c r="I4428" s="578" t="str">
        <f t="shared" si="215"/>
        <v>2007dhbNelson MarlboroughPN</v>
      </c>
      <c r="J4428" s="604">
        <v>2007</v>
      </c>
      <c r="K4428" s="604" t="s">
        <v>448</v>
      </c>
      <c r="L4428" s="604" t="s">
        <v>99</v>
      </c>
      <c r="M4428" s="604">
        <v>2</v>
      </c>
      <c r="N4428" s="604">
        <v>1718</v>
      </c>
      <c r="O4428" s="604">
        <v>1.2</v>
      </c>
      <c r="P4428" s="604" t="s">
        <v>436</v>
      </c>
      <c r="Q4428" s="499"/>
    </row>
    <row r="4429" spans="9:17">
      <c r="I4429" s="578" t="str">
        <f t="shared" si="215"/>
        <v>2007dhbWest CoastPN</v>
      </c>
      <c r="J4429" s="604">
        <v>2007</v>
      </c>
      <c r="K4429" s="604" t="s">
        <v>448</v>
      </c>
      <c r="L4429" s="604" t="s">
        <v>100</v>
      </c>
      <c r="M4429" s="604">
        <v>0</v>
      </c>
      <c r="N4429" s="604">
        <v>408</v>
      </c>
      <c r="O4429" s="604">
        <v>0</v>
      </c>
      <c r="P4429" s="604" t="s">
        <v>436</v>
      </c>
      <c r="Q4429" s="499"/>
    </row>
    <row r="4430" spans="9:17">
      <c r="I4430" s="578" t="str">
        <f t="shared" si="215"/>
        <v>2007dhbCanterburyPN</v>
      </c>
      <c r="J4430" s="604">
        <v>2007</v>
      </c>
      <c r="K4430" s="604" t="s">
        <v>448</v>
      </c>
      <c r="L4430" s="604" t="s">
        <v>101</v>
      </c>
      <c r="M4430" s="604">
        <v>10</v>
      </c>
      <c r="N4430" s="604">
        <v>6908</v>
      </c>
      <c r="O4430" s="604">
        <v>1.4</v>
      </c>
      <c r="P4430" s="604" t="s">
        <v>436</v>
      </c>
      <c r="Q4430" s="499"/>
    </row>
    <row r="4431" spans="9:17">
      <c r="I4431" s="578" t="str">
        <f t="shared" si="215"/>
        <v>2007dhbSouth CanterburyPN</v>
      </c>
      <c r="J4431" s="604">
        <v>2007</v>
      </c>
      <c r="K4431" s="604" t="s">
        <v>448</v>
      </c>
      <c r="L4431" s="604" t="s">
        <v>102</v>
      </c>
      <c r="M4431" s="604">
        <v>1</v>
      </c>
      <c r="N4431" s="604">
        <v>675</v>
      </c>
      <c r="O4431" s="604">
        <v>1.5</v>
      </c>
      <c r="P4431" s="604" t="s">
        <v>436</v>
      </c>
      <c r="Q4431" s="499"/>
    </row>
    <row r="4432" spans="9:17">
      <c r="I4432" s="578" t="str">
        <f t="shared" si="215"/>
        <v>2007dhbSouthernPN</v>
      </c>
      <c r="J4432" s="604">
        <v>2007</v>
      </c>
      <c r="K4432" s="604" t="s">
        <v>448</v>
      </c>
      <c r="L4432" s="604" t="s">
        <v>103</v>
      </c>
      <c r="M4432" s="604">
        <v>5</v>
      </c>
      <c r="N4432" s="604">
        <v>3742</v>
      </c>
      <c r="O4432" s="604">
        <v>1.3</v>
      </c>
      <c r="P4432" s="604" t="s">
        <v>436</v>
      </c>
      <c r="Q4432" s="499"/>
    </row>
    <row r="4433" spans="9:17">
      <c r="I4433" s="578" t="str">
        <f t="shared" si="215"/>
        <v>2007dhbUnknownPN</v>
      </c>
      <c r="J4433" s="604">
        <v>2007</v>
      </c>
      <c r="K4433" s="604" t="s">
        <v>448</v>
      </c>
      <c r="L4433" s="604" t="s">
        <v>63</v>
      </c>
      <c r="M4433" s="604">
        <v>1</v>
      </c>
      <c r="N4433" s="604">
        <v>406</v>
      </c>
      <c r="O4433" s="604" t="s">
        <v>119</v>
      </c>
      <c r="P4433" s="604" t="s">
        <v>436</v>
      </c>
      <c r="Q4433" s="499"/>
    </row>
    <row r="4434" spans="9:17">
      <c r="I4434" s="578" t="str">
        <f t="shared" si="215"/>
        <v>2008dhbNorthlandPN</v>
      </c>
      <c r="J4434" s="604">
        <v>2008</v>
      </c>
      <c r="K4434" s="604" t="s">
        <v>448</v>
      </c>
      <c r="L4434" s="604" t="s">
        <v>85</v>
      </c>
      <c r="M4434" s="604">
        <v>6</v>
      </c>
      <c r="N4434" s="604">
        <v>2368</v>
      </c>
      <c r="O4434" s="604">
        <v>2.5</v>
      </c>
      <c r="P4434" s="604" t="s">
        <v>436</v>
      </c>
      <c r="Q4434" s="499"/>
    </row>
    <row r="4435" spans="9:17">
      <c r="I4435" s="578" t="str">
        <f t="shared" si="215"/>
        <v>2008dhbWaitemataPN</v>
      </c>
      <c r="J4435" s="604">
        <v>2008</v>
      </c>
      <c r="K4435" s="604" t="s">
        <v>448</v>
      </c>
      <c r="L4435" s="604" t="s">
        <v>86</v>
      </c>
      <c r="M4435" s="604">
        <v>14</v>
      </c>
      <c r="N4435" s="604">
        <v>7944</v>
      </c>
      <c r="O4435" s="604">
        <v>1.8</v>
      </c>
      <c r="P4435" s="604" t="s">
        <v>436</v>
      </c>
      <c r="Q4435" s="499"/>
    </row>
    <row r="4436" spans="9:17">
      <c r="I4436" s="578" t="str">
        <f t="shared" si="215"/>
        <v>2008dhbAucklandPN</v>
      </c>
      <c r="J4436" s="604">
        <v>2008</v>
      </c>
      <c r="K4436" s="604" t="s">
        <v>448</v>
      </c>
      <c r="L4436" s="604" t="s">
        <v>87</v>
      </c>
      <c r="M4436" s="604">
        <v>17</v>
      </c>
      <c r="N4436" s="604">
        <v>6588</v>
      </c>
      <c r="O4436" s="604">
        <v>2.6</v>
      </c>
      <c r="P4436" s="604" t="s">
        <v>436</v>
      </c>
      <c r="Q4436" s="499"/>
    </row>
    <row r="4437" spans="9:17">
      <c r="I4437" s="578" t="str">
        <f t="shared" si="215"/>
        <v>2008dhbCounties ManukauPN</v>
      </c>
      <c r="J4437" s="604">
        <v>2008</v>
      </c>
      <c r="K4437" s="604" t="s">
        <v>448</v>
      </c>
      <c r="L4437" s="604" t="s">
        <v>88</v>
      </c>
      <c r="M4437" s="604">
        <v>18</v>
      </c>
      <c r="N4437" s="604">
        <v>9052</v>
      </c>
      <c r="O4437" s="604">
        <v>2</v>
      </c>
      <c r="P4437" s="604" t="s">
        <v>436</v>
      </c>
      <c r="Q4437" s="499"/>
    </row>
    <row r="4438" spans="9:17">
      <c r="I4438" s="578" t="str">
        <f t="shared" si="215"/>
        <v>2008dhbWaikatoPN</v>
      </c>
      <c r="J4438" s="604">
        <v>2008</v>
      </c>
      <c r="K4438" s="604" t="s">
        <v>448</v>
      </c>
      <c r="L4438" s="604" t="s">
        <v>89</v>
      </c>
      <c r="M4438" s="604">
        <v>13</v>
      </c>
      <c r="N4438" s="604">
        <v>5843</v>
      </c>
      <c r="O4438" s="604">
        <v>2.2000000000000002</v>
      </c>
      <c r="P4438" s="604" t="s">
        <v>436</v>
      </c>
      <c r="Q4438" s="499"/>
    </row>
    <row r="4439" spans="9:17">
      <c r="I4439" s="578" t="str">
        <f t="shared" si="215"/>
        <v>2008dhbLakesPN</v>
      </c>
      <c r="J4439" s="604">
        <v>2008</v>
      </c>
      <c r="K4439" s="604" t="s">
        <v>448</v>
      </c>
      <c r="L4439" s="604" t="s">
        <v>90</v>
      </c>
      <c r="M4439" s="604">
        <v>5</v>
      </c>
      <c r="N4439" s="604">
        <v>1726</v>
      </c>
      <c r="O4439" s="604">
        <v>2.9</v>
      </c>
      <c r="P4439" s="604" t="s">
        <v>436</v>
      </c>
      <c r="Q4439" s="499"/>
    </row>
    <row r="4440" spans="9:17">
      <c r="I4440" s="578" t="str">
        <f t="shared" si="215"/>
        <v>2008dhbBay of PlentyPN</v>
      </c>
      <c r="J4440" s="604">
        <v>2008</v>
      </c>
      <c r="K4440" s="604" t="s">
        <v>448</v>
      </c>
      <c r="L4440" s="604" t="s">
        <v>91</v>
      </c>
      <c r="M4440" s="604">
        <v>6</v>
      </c>
      <c r="N4440" s="604">
        <v>3047</v>
      </c>
      <c r="O4440" s="604">
        <v>2</v>
      </c>
      <c r="P4440" s="604" t="s">
        <v>436</v>
      </c>
      <c r="Q4440" s="499"/>
    </row>
    <row r="4441" spans="9:17">
      <c r="I4441" s="578" t="str">
        <f t="shared" si="215"/>
        <v>2008dhbTairawhitiPN</v>
      </c>
      <c r="J4441" s="604">
        <v>2008</v>
      </c>
      <c r="K4441" s="604" t="s">
        <v>448</v>
      </c>
      <c r="L4441" s="604" t="s">
        <v>433</v>
      </c>
      <c r="M4441" s="604">
        <v>1</v>
      </c>
      <c r="N4441" s="604">
        <v>862</v>
      </c>
      <c r="O4441" s="604">
        <v>1.2</v>
      </c>
      <c r="P4441" s="604" t="s">
        <v>436</v>
      </c>
      <c r="Q4441" s="499"/>
    </row>
    <row r="4442" spans="9:17">
      <c r="I4442" s="578" t="str">
        <f t="shared" si="215"/>
        <v>2008dhbHawke's BayPN</v>
      </c>
      <c r="J4442" s="604">
        <v>2008</v>
      </c>
      <c r="K4442" s="604" t="s">
        <v>448</v>
      </c>
      <c r="L4442" s="604" t="s">
        <v>92</v>
      </c>
      <c r="M4442" s="604">
        <v>9</v>
      </c>
      <c r="N4442" s="604">
        <v>2404</v>
      </c>
      <c r="O4442" s="604">
        <v>3.7</v>
      </c>
      <c r="P4442" s="604" t="s">
        <v>436</v>
      </c>
      <c r="Q4442" s="499"/>
    </row>
    <row r="4443" spans="9:17">
      <c r="I4443" s="578" t="str">
        <f t="shared" si="215"/>
        <v>2008dhbTaranakiPN</v>
      </c>
      <c r="J4443" s="604">
        <v>2008</v>
      </c>
      <c r="K4443" s="604" t="s">
        <v>448</v>
      </c>
      <c r="L4443" s="604" t="s">
        <v>93</v>
      </c>
      <c r="M4443" s="604">
        <v>5</v>
      </c>
      <c r="N4443" s="604">
        <v>1623</v>
      </c>
      <c r="O4443" s="604">
        <v>3.1</v>
      </c>
      <c r="P4443" s="604" t="s">
        <v>436</v>
      </c>
      <c r="Q4443" s="499"/>
    </row>
    <row r="4444" spans="9:17">
      <c r="I4444" s="578" t="str">
        <f t="shared" si="215"/>
        <v>2008dhbMidCentralPN</v>
      </c>
      <c r="J4444" s="604">
        <v>2008</v>
      </c>
      <c r="K4444" s="604" t="s">
        <v>448</v>
      </c>
      <c r="L4444" s="604" t="s">
        <v>94</v>
      </c>
      <c r="M4444" s="604">
        <v>5</v>
      </c>
      <c r="N4444" s="604">
        <v>2458</v>
      </c>
      <c r="O4444" s="604">
        <v>2</v>
      </c>
      <c r="P4444" s="604" t="s">
        <v>436</v>
      </c>
      <c r="Q4444" s="499"/>
    </row>
    <row r="4445" spans="9:17">
      <c r="I4445" s="578" t="str">
        <f t="shared" si="215"/>
        <v>2008dhbWhanganuiPN</v>
      </c>
      <c r="J4445" s="604">
        <v>2008</v>
      </c>
      <c r="K4445" s="604" t="s">
        <v>448</v>
      </c>
      <c r="L4445" s="604" t="s">
        <v>95</v>
      </c>
      <c r="M4445" s="604">
        <v>4</v>
      </c>
      <c r="N4445" s="604">
        <v>950</v>
      </c>
      <c r="O4445" s="604">
        <v>4.2</v>
      </c>
      <c r="P4445" s="604" t="s">
        <v>436</v>
      </c>
      <c r="Q4445" s="499"/>
    </row>
    <row r="4446" spans="9:17">
      <c r="I4446" s="578" t="str">
        <f t="shared" si="215"/>
        <v>2008dhbCapital &amp; CoastPN</v>
      </c>
      <c r="J4446" s="604">
        <v>2008</v>
      </c>
      <c r="K4446" s="604" t="s">
        <v>448</v>
      </c>
      <c r="L4446" s="604" t="s">
        <v>96</v>
      </c>
      <c r="M4446" s="604">
        <v>7</v>
      </c>
      <c r="N4446" s="604">
        <v>4133</v>
      </c>
      <c r="O4446" s="604">
        <v>1.7</v>
      </c>
      <c r="P4446" s="604" t="s">
        <v>436</v>
      </c>
      <c r="Q4446" s="499"/>
    </row>
    <row r="4447" spans="9:17">
      <c r="I4447" s="578" t="str">
        <f t="shared" si="215"/>
        <v>2008dhbHutt ValleyPN</v>
      </c>
      <c r="J4447" s="604">
        <v>2008</v>
      </c>
      <c r="K4447" s="604" t="s">
        <v>448</v>
      </c>
      <c r="L4447" s="604" t="s">
        <v>97</v>
      </c>
      <c r="M4447" s="604">
        <v>7</v>
      </c>
      <c r="N4447" s="604">
        <v>2249</v>
      </c>
      <c r="O4447" s="604">
        <v>3.1</v>
      </c>
      <c r="P4447" s="604" t="s">
        <v>436</v>
      </c>
      <c r="Q4447" s="499"/>
    </row>
    <row r="4448" spans="9:17">
      <c r="I4448" s="578" t="str">
        <f t="shared" si="215"/>
        <v>2008dhbWairarapaPN</v>
      </c>
      <c r="J4448" s="604">
        <v>2008</v>
      </c>
      <c r="K4448" s="604" t="s">
        <v>448</v>
      </c>
      <c r="L4448" s="604" t="s">
        <v>98</v>
      </c>
      <c r="M4448" s="604">
        <v>1</v>
      </c>
      <c r="N4448" s="604">
        <v>530</v>
      </c>
      <c r="O4448" s="604">
        <v>1.9</v>
      </c>
      <c r="P4448" s="604" t="s">
        <v>436</v>
      </c>
      <c r="Q4448" s="499"/>
    </row>
    <row r="4449" spans="9:17">
      <c r="I4449" s="578" t="str">
        <f t="shared" si="215"/>
        <v>2008dhbNelson MarlboroughPN</v>
      </c>
      <c r="J4449" s="604">
        <v>2008</v>
      </c>
      <c r="K4449" s="604" t="s">
        <v>448</v>
      </c>
      <c r="L4449" s="604" t="s">
        <v>99</v>
      </c>
      <c r="M4449" s="604">
        <v>0</v>
      </c>
      <c r="N4449" s="604">
        <v>1756</v>
      </c>
      <c r="O4449" s="604">
        <v>0</v>
      </c>
      <c r="P4449" s="604" t="s">
        <v>436</v>
      </c>
      <c r="Q4449" s="499"/>
    </row>
    <row r="4450" spans="9:17">
      <c r="I4450" s="578" t="str">
        <f t="shared" si="215"/>
        <v>2008dhbWest CoastPN</v>
      </c>
      <c r="J4450" s="604">
        <v>2008</v>
      </c>
      <c r="K4450" s="604" t="s">
        <v>448</v>
      </c>
      <c r="L4450" s="604" t="s">
        <v>100</v>
      </c>
      <c r="M4450" s="604">
        <v>0</v>
      </c>
      <c r="N4450" s="604">
        <v>452</v>
      </c>
      <c r="O4450" s="604">
        <v>0</v>
      </c>
      <c r="P4450" s="604" t="s">
        <v>436</v>
      </c>
      <c r="Q4450" s="499"/>
    </row>
    <row r="4451" spans="9:17">
      <c r="I4451" s="578" t="str">
        <f t="shared" si="215"/>
        <v>2008dhbCanterburyPN</v>
      </c>
      <c r="J4451" s="604">
        <v>2008</v>
      </c>
      <c r="K4451" s="604" t="s">
        <v>448</v>
      </c>
      <c r="L4451" s="604" t="s">
        <v>101</v>
      </c>
      <c r="M4451" s="604">
        <v>7</v>
      </c>
      <c r="N4451" s="604">
        <v>6665</v>
      </c>
      <c r="O4451" s="604">
        <v>1.1000000000000001</v>
      </c>
      <c r="P4451" s="604" t="s">
        <v>436</v>
      </c>
      <c r="Q4451" s="499"/>
    </row>
    <row r="4452" spans="9:17">
      <c r="I4452" s="578" t="str">
        <f t="shared" si="215"/>
        <v>2008dhbSouth CanterburyPN</v>
      </c>
      <c r="J4452" s="604">
        <v>2008</v>
      </c>
      <c r="K4452" s="604" t="s">
        <v>448</v>
      </c>
      <c r="L4452" s="604" t="s">
        <v>102</v>
      </c>
      <c r="M4452" s="604">
        <v>0</v>
      </c>
      <c r="N4452" s="604">
        <v>643</v>
      </c>
      <c r="O4452" s="604">
        <v>0</v>
      </c>
      <c r="P4452" s="604" t="s">
        <v>436</v>
      </c>
      <c r="Q4452" s="499"/>
    </row>
    <row r="4453" spans="9:17">
      <c r="I4453" s="578" t="str">
        <f t="shared" si="215"/>
        <v>2008dhbSouthernPN</v>
      </c>
      <c r="J4453" s="604">
        <v>2008</v>
      </c>
      <c r="K4453" s="604" t="s">
        <v>448</v>
      </c>
      <c r="L4453" s="604" t="s">
        <v>103</v>
      </c>
      <c r="M4453" s="604">
        <v>9</v>
      </c>
      <c r="N4453" s="604">
        <v>3746</v>
      </c>
      <c r="O4453" s="604">
        <v>2.4</v>
      </c>
      <c r="P4453" s="604" t="s">
        <v>436</v>
      </c>
      <c r="Q4453" s="499"/>
    </row>
    <row r="4454" spans="9:17">
      <c r="I4454" s="578" t="str">
        <f t="shared" si="215"/>
        <v>2008dhbUnknownPN</v>
      </c>
      <c r="J4454" s="604">
        <v>2008</v>
      </c>
      <c r="K4454" s="604" t="s">
        <v>448</v>
      </c>
      <c r="L4454" s="604" t="s">
        <v>63</v>
      </c>
      <c r="M4454" s="604">
        <v>2</v>
      </c>
      <c r="N4454" s="604">
        <v>294</v>
      </c>
      <c r="O4454" s="604" t="s">
        <v>119</v>
      </c>
      <c r="P4454" s="604" t="s">
        <v>436</v>
      </c>
      <c r="Q4454" s="499"/>
    </row>
    <row r="4455" spans="9:17">
      <c r="I4455" s="578" t="str">
        <f t="shared" si="215"/>
        <v>2009dhbNorthlandPN</v>
      </c>
      <c r="J4455" s="604">
        <v>2009</v>
      </c>
      <c r="K4455" s="604" t="s">
        <v>448</v>
      </c>
      <c r="L4455" s="604" t="s">
        <v>85</v>
      </c>
      <c r="M4455" s="604">
        <v>8</v>
      </c>
      <c r="N4455" s="604">
        <v>2233</v>
      </c>
      <c r="O4455" s="604">
        <v>3.6</v>
      </c>
      <c r="P4455" s="604" t="s">
        <v>436</v>
      </c>
      <c r="Q4455" s="499"/>
    </row>
    <row r="4456" spans="9:17">
      <c r="I4456" s="578" t="str">
        <f t="shared" si="215"/>
        <v>2009dhbWaitemataPN</v>
      </c>
      <c r="J4456" s="604">
        <v>2009</v>
      </c>
      <c r="K4456" s="604" t="s">
        <v>448</v>
      </c>
      <c r="L4456" s="604" t="s">
        <v>86</v>
      </c>
      <c r="M4456" s="604">
        <v>5</v>
      </c>
      <c r="N4456" s="604">
        <v>7691</v>
      </c>
      <c r="O4456" s="604">
        <v>0.7</v>
      </c>
      <c r="P4456" s="604" t="s">
        <v>436</v>
      </c>
      <c r="Q4456" s="499"/>
    </row>
    <row r="4457" spans="9:17">
      <c r="I4457" s="578" t="str">
        <f t="shared" si="215"/>
        <v>2009dhbAucklandPN</v>
      </c>
      <c r="J4457" s="604">
        <v>2009</v>
      </c>
      <c r="K4457" s="604" t="s">
        <v>448</v>
      </c>
      <c r="L4457" s="604" t="s">
        <v>87</v>
      </c>
      <c r="M4457" s="604">
        <v>10</v>
      </c>
      <c r="N4457" s="604">
        <v>6732</v>
      </c>
      <c r="O4457" s="604">
        <v>1.5</v>
      </c>
      <c r="P4457" s="604" t="s">
        <v>436</v>
      </c>
      <c r="Q4457" s="499"/>
    </row>
    <row r="4458" spans="9:17">
      <c r="I4458" s="578" t="str">
        <f t="shared" si="215"/>
        <v>2009dhbCounties ManukauPN</v>
      </c>
      <c r="J4458" s="604">
        <v>2009</v>
      </c>
      <c r="K4458" s="604" t="s">
        <v>448</v>
      </c>
      <c r="L4458" s="604" t="s">
        <v>88</v>
      </c>
      <c r="M4458" s="604">
        <v>30</v>
      </c>
      <c r="N4458" s="604">
        <v>8600</v>
      </c>
      <c r="O4458" s="604">
        <v>3.5</v>
      </c>
      <c r="P4458" s="604" t="s">
        <v>436</v>
      </c>
      <c r="Q4458" s="499"/>
    </row>
    <row r="4459" spans="9:17">
      <c r="I4459" s="578" t="str">
        <f t="shared" si="215"/>
        <v>2009dhbWaikatoPN</v>
      </c>
      <c r="J4459" s="604">
        <v>2009</v>
      </c>
      <c r="K4459" s="604" t="s">
        <v>448</v>
      </c>
      <c r="L4459" s="604" t="s">
        <v>89</v>
      </c>
      <c r="M4459" s="604">
        <v>17</v>
      </c>
      <c r="N4459" s="604">
        <v>5548</v>
      </c>
      <c r="O4459" s="604">
        <v>3.1</v>
      </c>
      <c r="P4459" s="604" t="s">
        <v>436</v>
      </c>
      <c r="Q4459" s="499"/>
    </row>
    <row r="4460" spans="9:17">
      <c r="I4460" s="578" t="str">
        <f t="shared" si="215"/>
        <v>2009dhbLakesPN</v>
      </c>
      <c r="J4460" s="604">
        <v>2009</v>
      </c>
      <c r="K4460" s="604" t="s">
        <v>448</v>
      </c>
      <c r="L4460" s="604" t="s">
        <v>90</v>
      </c>
      <c r="M4460" s="604">
        <v>3</v>
      </c>
      <c r="N4460" s="604">
        <v>1685</v>
      </c>
      <c r="O4460" s="604">
        <v>1.8</v>
      </c>
      <c r="P4460" s="604" t="s">
        <v>436</v>
      </c>
      <c r="Q4460" s="499"/>
    </row>
    <row r="4461" spans="9:17">
      <c r="I4461" s="578" t="str">
        <f t="shared" si="215"/>
        <v>2009dhbBay of PlentyPN</v>
      </c>
      <c r="J4461" s="604">
        <v>2009</v>
      </c>
      <c r="K4461" s="604" t="s">
        <v>448</v>
      </c>
      <c r="L4461" s="604" t="s">
        <v>91</v>
      </c>
      <c r="M4461" s="604">
        <v>5</v>
      </c>
      <c r="N4461" s="604">
        <v>2900</v>
      </c>
      <c r="O4461" s="604">
        <v>1.7</v>
      </c>
      <c r="P4461" s="604" t="s">
        <v>436</v>
      </c>
      <c r="Q4461" s="499"/>
    </row>
    <row r="4462" spans="9:17">
      <c r="I4462" s="578" t="str">
        <f t="shared" si="215"/>
        <v>2009dhbTairawhitiPN</v>
      </c>
      <c r="J4462" s="604">
        <v>2009</v>
      </c>
      <c r="K4462" s="604" t="s">
        <v>448</v>
      </c>
      <c r="L4462" s="604" t="s">
        <v>433</v>
      </c>
      <c r="M4462" s="604">
        <v>1</v>
      </c>
      <c r="N4462" s="604">
        <v>746</v>
      </c>
      <c r="O4462" s="604">
        <v>1.3</v>
      </c>
      <c r="P4462" s="604" t="s">
        <v>436</v>
      </c>
      <c r="Q4462" s="499"/>
    </row>
    <row r="4463" spans="9:17">
      <c r="I4463" s="578" t="str">
        <f t="shared" si="215"/>
        <v>2009dhbHawke's BayPN</v>
      </c>
      <c r="J4463" s="604">
        <v>2009</v>
      </c>
      <c r="K4463" s="604" t="s">
        <v>448</v>
      </c>
      <c r="L4463" s="604" t="s">
        <v>92</v>
      </c>
      <c r="M4463" s="604">
        <v>3</v>
      </c>
      <c r="N4463" s="604">
        <v>2395</v>
      </c>
      <c r="O4463" s="604">
        <v>1.3</v>
      </c>
      <c r="P4463" s="604" t="s">
        <v>436</v>
      </c>
      <c r="Q4463" s="499"/>
    </row>
    <row r="4464" spans="9:17">
      <c r="I4464" s="578" t="str">
        <f t="shared" si="215"/>
        <v>2009dhbTaranakiPN</v>
      </c>
      <c r="J4464" s="604">
        <v>2009</v>
      </c>
      <c r="K4464" s="604" t="s">
        <v>448</v>
      </c>
      <c r="L4464" s="604" t="s">
        <v>93</v>
      </c>
      <c r="M4464" s="604">
        <v>7</v>
      </c>
      <c r="N4464" s="604">
        <v>1601</v>
      </c>
      <c r="O4464" s="604">
        <v>4.4000000000000004</v>
      </c>
      <c r="P4464" s="604" t="s">
        <v>436</v>
      </c>
      <c r="Q4464" s="499"/>
    </row>
    <row r="4465" spans="9:17">
      <c r="I4465" s="578" t="str">
        <f t="shared" si="215"/>
        <v>2009dhbMidCentralPN</v>
      </c>
      <c r="J4465" s="604">
        <v>2009</v>
      </c>
      <c r="K4465" s="604" t="s">
        <v>448</v>
      </c>
      <c r="L4465" s="604" t="s">
        <v>94</v>
      </c>
      <c r="M4465" s="604">
        <v>3</v>
      </c>
      <c r="N4465" s="604">
        <v>2204</v>
      </c>
      <c r="O4465" s="604">
        <v>1.4</v>
      </c>
      <c r="P4465" s="604" t="s">
        <v>436</v>
      </c>
      <c r="Q4465" s="499"/>
    </row>
    <row r="4466" spans="9:17">
      <c r="I4466" s="578" t="str">
        <f t="shared" si="215"/>
        <v>2009dhbWhanganuiPN</v>
      </c>
      <c r="J4466" s="604">
        <v>2009</v>
      </c>
      <c r="K4466" s="604" t="s">
        <v>448</v>
      </c>
      <c r="L4466" s="604" t="s">
        <v>95</v>
      </c>
      <c r="M4466" s="604">
        <v>3</v>
      </c>
      <c r="N4466" s="604">
        <v>927</v>
      </c>
      <c r="O4466" s="604">
        <v>3.2</v>
      </c>
      <c r="P4466" s="604" t="s">
        <v>436</v>
      </c>
      <c r="Q4466" s="499"/>
    </row>
    <row r="4467" spans="9:17">
      <c r="I4467" s="578" t="str">
        <f t="shared" si="215"/>
        <v>2009dhbCapital &amp; CoastPN</v>
      </c>
      <c r="J4467" s="604">
        <v>2009</v>
      </c>
      <c r="K4467" s="604" t="s">
        <v>448</v>
      </c>
      <c r="L4467" s="604" t="s">
        <v>96</v>
      </c>
      <c r="M4467" s="604">
        <v>8</v>
      </c>
      <c r="N4467" s="604">
        <v>3983</v>
      </c>
      <c r="O4467" s="604">
        <v>2</v>
      </c>
      <c r="P4467" s="604" t="s">
        <v>436</v>
      </c>
      <c r="Q4467" s="499"/>
    </row>
    <row r="4468" spans="9:17">
      <c r="I4468" s="578" t="str">
        <f t="shared" si="215"/>
        <v>2009dhbHutt ValleyPN</v>
      </c>
      <c r="J4468" s="604">
        <v>2009</v>
      </c>
      <c r="K4468" s="604" t="s">
        <v>448</v>
      </c>
      <c r="L4468" s="604" t="s">
        <v>97</v>
      </c>
      <c r="M4468" s="604">
        <v>11</v>
      </c>
      <c r="N4468" s="604">
        <v>2201</v>
      </c>
      <c r="O4468" s="604">
        <v>5</v>
      </c>
      <c r="P4468" s="604" t="s">
        <v>436</v>
      </c>
      <c r="Q4468" s="499"/>
    </row>
    <row r="4469" spans="9:17">
      <c r="I4469" s="578" t="str">
        <f t="shared" si="215"/>
        <v>2009dhbWairarapaPN</v>
      </c>
      <c r="J4469" s="604">
        <v>2009</v>
      </c>
      <c r="K4469" s="604" t="s">
        <v>448</v>
      </c>
      <c r="L4469" s="604" t="s">
        <v>98</v>
      </c>
      <c r="M4469" s="604">
        <v>2</v>
      </c>
      <c r="N4469" s="604">
        <v>555</v>
      </c>
      <c r="O4469" s="604">
        <v>3.6</v>
      </c>
      <c r="P4469" s="604" t="s">
        <v>436</v>
      </c>
      <c r="Q4469" s="499"/>
    </row>
    <row r="4470" spans="9:17">
      <c r="I4470" s="578" t="str">
        <f t="shared" si="215"/>
        <v>2009dhbNelson MarlboroughPN</v>
      </c>
      <c r="J4470" s="604">
        <v>2009</v>
      </c>
      <c r="K4470" s="604" t="s">
        <v>448</v>
      </c>
      <c r="L4470" s="604" t="s">
        <v>99</v>
      </c>
      <c r="M4470" s="604">
        <v>1</v>
      </c>
      <c r="N4470" s="604">
        <v>1660</v>
      </c>
      <c r="O4470" s="604">
        <v>0.6</v>
      </c>
      <c r="P4470" s="604" t="s">
        <v>436</v>
      </c>
      <c r="Q4470" s="499"/>
    </row>
    <row r="4471" spans="9:17">
      <c r="I4471" s="578" t="str">
        <f t="shared" si="215"/>
        <v>2009dhbWest CoastPN</v>
      </c>
      <c r="J4471" s="604">
        <v>2009</v>
      </c>
      <c r="K4471" s="604" t="s">
        <v>448</v>
      </c>
      <c r="L4471" s="604" t="s">
        <v>100</v>
      </c>
      <c r="M4471" s="604">
        <v>0</v>
      </c>
      <c r="N4471" s="604">
        <v>432</v>
      </c>
      <c r="O4471" s="604">
        <v>0</v>
      </c>
      <c r="P4471" s="604" t="s">
        <v>436</v>
      </c>
      <c r="Q4471" s="499"/>
    </row>
    <row r="4472" spans="9:17">
      <c r="I4472" s="578" t="str">
        <f t="shared" si="215"/>
        <v>2009dhbCanterburyPN</v>
      </c>
      <c r="J4472" s="604">
        <v>2009</v>
      </c>
      <c r="K4472" s="604" t="s">
        <v>448</v>
      </c>
      <c r="L4472" s="604" t="s">
        <v>101</v>
      </c>
      <c r="M4472" s="604">
        <v>10</v>
      </c>
      <c r="N4472" s="604">
        <v>6533</v>
      </c>
      <c r="O4472" s="604">
        <v>1.5</v>
      </c>
      <c r="P4472" s="604" t="s">
        <v>436</v>
      </c>
      <c r="Q4472" s="499"/>
    </row>
    <row r="4473" spans="9:17">
      <c r="I4473" s="578" t="str">
        <f t="shared" si="215"/>
        <v>2009dhbSouth CanterburyPN</v>
      </c>
      <c r="J4473" s="604">
        <v>2009</v>
      </c>
      <c r="K4473" s="604" t="s">
        <v>448</v>
      </c>
      <c r="L4473" s="604" t="s">
        <v>102</v>
      </c>
      <c r="M4473" s="604">
        <v>3</v>
      </c>
      <c r="N4473" s="604">
        <v>654</v>
      </c>
      <c r="O4473" s="604">
        <v>4.5999999999999996</v>
      </c>
      <c r="P4473" s="604" t="s">
        <v>436</v>
      </c>
      <c r="Q4473" s="499"/>
    </row>
    <row r="4474" spans="9:17">
      <c r="I4474" s="578" t="str">
        <f t="shared" si="215"/>
        <v>2009dhbSouthernPN</v>
      </c>
      <c r="J4474" s="604">
        <v>2009</v>
      </c>
      <c r="K4474" s="604" t="s">
        <v>448</v>
      </c>
      <c r="L4474" s="604" t="s">
        <v>103</v>
      </c>
      <c r="M4474" s="604">
        <v>3</v>
      </c>
      <c r="N4474" s="604">
        <v>3733</v>
      </c>
      <c r="O4474" s="604">
        <v>0.8</v>
      </c>
      <c r="P4474" s="604" t="s">
        <v>436</v>
      </c>
      <c r="Q4474" s="499"/>
    </row>
    <row r="4475" spans="9:17">
      <c r="I4475" s="578" t="str">
        <f t="shared" si="215"/>
        <v>2009dhbUnknownPN</v>
      </c>
      <c r="J4475" s="604">
        <v>2009</v>
      </c>
      <c r="K4475" s="604" t="s">
        <v>448</v>
      </c>
      <c r="L4475" s="604" t="s">
        <v>63</v>
      </c>
      <c r="M4475" s="604">
        <v>2</v>
      </c>
      <c r="N4475" s="604">
        <v>272</v>
      </c>
      <c r="O4475" s="604" t="s">
        <v>119</v>
      </c>
      <c r="P4475" s="604" t="s">
        <v>436</v>
      </c>
      <c r="Q4475" s="499"/>
    </row>
    <row r="4476" spans="9:17">
      <c r="I4476" s="578" t="str">
        <f t="shared" si="215"/>
        <v>2010dhbNorthlandPN</v>
      </c>
      <c r="J4476" s="604">
        <v>2010</v>
      </c>
      <c r="K4476" s="604" t="s">
        <v>448</v>
      </c>
      <c r="L4476" s="604" t="s">
        <v>85</v>
      </c>
      <c r="M4476" s="604">
        <v>11</v>
      </c>
      <c r="N4476" s="604">
        <v>2456</v>
      </c>
      <c r="O4476" s="604">
        <v>4.5</v>
      </c>
      <c r="P4476" s="604" t="s">
        <v>436</v>
      </c>
      <c r="Q4476" s="499"/>
    </row>
    <row r="4477" spans="9:17">
      <c r="I4477" s="578" t="str">
        <f t="shared" si="215"/>
        <v>2010dhbWaitemataPN</v>
      </c>
      <c r="J4477" s="604">
        <v>2010</v>
      </c>
      <c r="K4477" s="604" t="s">
        <v>448</v>
      </c>
      <c r="L4477" s="604" t="s">
        <v>86</v>
      </c>
      <c r="M4477" s="604">
        <v>16</v>
      </c>
      <c r="N4477" s="604">
        <v>8106</v>
      </c>
      <c r="O4477" s="604">
        <v>2</v>
      </c>
      <c r="P4477" s="604" t="s">
        <v>436</v>
      </c>
      <c r="Q4477" s="499"/>
    </row>
    <row r="4478" spans="9:17">
      <c r="I4478" s="578" t="str">
        <f t="shared" si="215"/>
        <v>2010dhbAucklandPN</v>
      </c>
      <c r="J4478" s="604">
        <v>2010</v>
      </c>
      <c r="K4478" s="604" t="s">
        <v>448</v>
      </c>
      <c r="L4478" s="604" t="s">
        <v>87</v>
      </c>
      <c r="M4478" s="604">
        <v>8</v>
      </c>
      <c r="N4478" s="604">
        <v>6700</v>
      </c>
      <c r="O4478" s="604">
        <v>1.2</v>
      </c>
      <c r="P4478" s="604" t="s">
        <v>436</v>
      </c>
      <c r="Q4478" s="499"/>
    </row>
    <row r="4479" spans="9:17">
      <c r="I4479" s="578" t="str">
        <f t="shared" si="215"/>
        <v>2010dhbCounties ManukauPN</v>
      </c>
      <c r="J4479" s="604">
        <v>2010</v>
      </c>
      <c r="K4479" s="604" t="s">
        <v>448</v>
      </c>
      <c r="L4479" s="604" t="s">
        <v>88</v>
      </c>
      <c r="M4479" s="604">
        <v>19</v>
      </c>
      <c r="N4479" s="604">
        <v>8851</v>
      </c>
      <c r="O4479" s="604">
        <v>2.1</v>
      </c>
      <c r="P4479" s="604" t="s">
        <v>436</v>
      </c>
      <c r="Q4479" s="499"/>
    </row>
    <row r="4480" spans="9:17">
      <c r="I4480" s="578" t="str">
        <f t="shared" si="215"/>
        <v>2010dhbWaikatoPN</v>
      </c>
      <c r="J4480" s="604">
        <v>2010</v>
      </c>
      <c r="K4480" s="604" t="s">
        <v>448</v>
      </c>
      <c r="L4480" s="604" t="s">
        <v>89</v>
      </c>
      <c r="M4480" s="604">
        <v>10</v>
      </c>
      <c r="N4480" s="604">
        <v>5697</v>
      </c>
      <c r="O4480" s="604">
        <v>1.8</v>
      </c>
      <c r="P4480" s="604" t="s">
        <v>436</v>
      </c>
      <c r="Q4480" s="499"/>
    </row>
    <row r="4481" spans="9:17">
      <c r="I4481" s="578" t="str">
        <f t="shared" si="215"/>
        <v>2010dhbLakesPN</v>
      </c>
      <c r="J4481" s="604">
        <v>2010</v>
      </c>
      <c r="K4481" s="604" t="s">
        <v>448</v>
      </c>
      <c r="L4481" s="604" t="s">
        <v>90</v>
      </c>
      <c r="M4481" s="604">
        <v>6</v>
      </c>
      <c r="N4481" s="604">
        <v>1624</v>
      </c>
      <c r="O4481" s="604">
        <v>3.7</v>
      </c>
      <c r="P4481" s="604" t="s">
        <v>436</v>
      </c>
      <c r="Q4481" s="499"/>
    </row>
    <row r="4482" spans="9:17">
      <c r="I4482" s="578" t="str">
        <f t="shared" si="215"/>
        <v>2010dhbBay of PlentyPN</v>
      </c>
      <c r="J4482" s="604">
        <v>2010</v>
      </c>
      <c r="K4482" s="604" t="s">
        <v>448</v>
      </c>
      <c r="L4482" s="604" t="s">
        <v>91</v>
      </c>
      <c r="M4482" s="604">
        <v>10</v>
      </c>
      <c r="N4482" s="604">
        <v>2988</v>
      </c>
      <c r="O4482" s="604">
        <v>3.3</v>
      </c>
      <c r="P4482" s="604" t="s">
        <v>436</v>
      </c>
      <c r="Q4482" s="499"/>
    </row>
    <row r="4483" spans="9:17">
      <c r="I4483" s="578" t="str">
        <f t="shared" si="215"/>
        <v>2010dhbTairawhitiPN</v>
      </c>
      <c r="J4483" s="604">
        <v>2010</v>
      </c>
      <c r="K4483" s="604" t="s">
        <v>448</v>
      </c>
      <c r="L4483" s="604" t="s">
        <v>433</v>
      </c>
      <c r="M4483" s="604">
        <v>0</v>
      </c>
      <c r="N4483" s="604">
        <v>805</v>
      </c>
      <c r="O4483" s="604">
        <v>0</v>
      </c>
      <c r="P4483" s="604" t="s">
        <v>436</v>
      </c>
      <c r="Q4483" s="499"/>
    </row>
    <row r="4484" spans="9:17">
      <c r="I4484" s="578" t="str">
        <f t="shared" ref="I4484:I4547" si="216">J4484&amp;K4484&amp;L4484&amp;P4484</f>
        <v>2010dhbHawke's BayPN</v>
      </c>
      <c r="J4484" s="604">
        <v>2010</v>
      </c>
      <c r="K4484" s="604" t="s">
        <v>448</v>
      </c>
      <c r="L4484" s="604" t="s">
        <v>92</v>
      </c>
      <c r="M4484" s="604">
        <v>9</v>
      </c>
      <c r="N4484" s="604">
        <v>2331</v>
      </c>
      <c r="O4484" s="604">
        <v>3.9</v>
      </c>
      <c r="P4484" s="604" t="s">
        <v>436</v>
      </c>
      <c r="Q4484" s="499"/>
    </row>
    <row r="4485" spans="9:17">
      <c r="I4485" s="578" t="str">
        <f t="shared" si="216"/>
        <v>2010dhbTaranakiPN</v>
      </c>
      <c r="J4485" s="604">
        <v>2010</v>
      </c>
      <c r="K4485" s="604" t="s">
        <v>448</v>
      </c>
      <c r="L4485" s="604" t="s">
        <v>93</v>
      </c>
      <c r="M4485" s="604">
        <v>0</v>
      </c>
      <c r="N4485" s="604">
        <v>1607</v>
      </c>
      <c r="O4485" s="604">
        <v>0</v>
      </c>
      <c r="P4485" s="604" t="s">
        <v>436</v>
      </c>
      <c r="Q4485" s="499"/>
    </row>
    <row r="4486" spans="9:17">
      <c r="I4486" s="578" t="str">
        <f t="shared" si="216"/>
        <v>2010dhbMidCentralPN</v>
      </c>
      <c r="J4486" s="604">
        <v>2010</v>
      </c>
      <c r="K4486" s="604" t="s">
        <v>448</v>
      </c>
      <c r="L4486" s="604" t="s">
        <v>94</v>
      </c>
      <c r="M4486" s="604">
        <v>4</v>
      </c>
      <c r="N4486" s="604">
        <v>2373</v>
      </c>
      <c r="O4486" s="604">
        <v>1.7</v>
      </c>
      <c r="P4486" s="604" t="s">
        <v>436</v>
      </c>
      <c r="Q4486" s="499"/>
    </row>
    <row r="4487" spans="9:17">
      <c r="I4487" s="578" t="str">
        <f t="shared" si="216"/>
        <v>2010dhbWhanganuiPN</v>
      </c>
      <c r="J4487" s="604">
        <v>2010</v>
      </c>
      <c r="K4487" s="604" t="s">
        <v>448</v>
      </c>
      <c r="L4487" s="604" t="s">
        <v>95</v>
      </c>
      <c r="M4487" s="604">
        <v>3</v>
      </c>
      <c r="N4487" s="604">
        <v>912</v>
      </c>
      <c r="O4487" s="604">
        <v>3.3</v>
      </c>
      <c r="P4487" s="604" t="s">
        <v>436</v>
      </c>
      <c r="Q4487" s="499"/>
    </row>
    <row r="4488" spans="9:17">
      <c r="I4488" s="578" t="str">
        <f t="shared" si="216"/>
        <v>2010dhbCapital &amp; CoastPN</v>
      </c>
      <c r="J4488" s="604">
        <v>2010</v>
      </c>
      <c r="K4488" s="604" t="s">
        <v>448</v>
      </c>
      <c r="L4488" s="604" t="s">
        <v>96</v>
      </c>
      <c r="M4488" s="604">
        <v>4</v>
      </c>
      <c r="N4488" s="604">
        <v>3998</v>
      </c>
      <c r="O4488" s="604">
        <v>1</v>
      </c>
      <c r="P4488" s="604" t="s">
        <v>436</v>
      </c>
      <c r="Q4488" s="499"/>
    </row>
    <row r="4489" spans="9:17">
      <c r="I4489" s="578" t="str">
        <f t="shared" si="216"/>
        <v>2010dhbHutt ValleyPN</v>
      </c>
      <c r="J4489" s="604">
        <v>2010</v>
      </c>
      <c r="K4489" s="604" t="s">
        <v>448</v>
      </c>
      <c r="L4489" s="604" t="s">
        <v>97</v>
      </c>
      <c r="M4489" s="604">
        <v>6</v>
      </c>
      <c r="N4489" s="604">
        <v>2151</v>
      </c>
      <c r="O4489" s="604">
        <v>2.8</v>
      </c>
      <c r="P4489" s="604" t="s">
        <v>436</v>
      </c>
      <c r="Q4489" s="499"/>
    </row>
    <row r="4490" spans="9:17">
      <c r="I4490" s="578" t="str">
        <f t="shared" si="216"/>
        <v>2010dhbWairarapaPN</v>
      </c>
      <c r="J4490" s="604">
        <v>2010</v>
      </c>
      <c r="K4490" s="604" t="s">
        <v>448</v>
      </c>
      <c r="L4490" s="604" t="s">
        <v>98</v>
      </c>
      <c r="M4490" s="604">
        <v>1</v>
      </c>
      <c r="N4490" s="604">
        <v>549</v>
      </c>
      <c r="O4490" s="604">
        <v>1.8</v>
      </c>
      <c r="P4490" s="604" t="s">
        <v>436</v>
      </c>
      <c r="Q4490" s="499"/>
    </row>
    <row r="4491" spans="9:17">
      <c r="I4491" s="578" t="str">
        <f t="shared" si="216"/>
        <v>2010dhbNelson MarlboroughPN</v>
      </c>
      <c r="J4491" s="604">
        <v>2010</v>
      </c>
      <c r="K4491" s="604" t="s">
        <v>448</v>
      </c>
      <c r="L4491" s="604" t="s">
        <v>99</v>
      </c>
      <c r="M4491" s="604">
        <v>0</v>
      </c>
      <c r="N4491" s="604">
        <v>1725</v>
      </c>
      <c r="O4491" s="604">
        <v>0</v>
      </c>
      <c r="P4491" s="604" t="s">
        <v>436</v>
      </c>
      <c r="Q4491" s="499"/>
    </row>
    <row r="4492" spans="9:17">
      <c r="I4492" s="578" t="str">
        <f t="shared" si="216"/>
        <v>2010dhbWest CoastPN</v>
      </c>
      <c r="J4492" s="604">
        <v>2010</v>
      </c>
      <c r="K4492" s="604" t="s">
        <v>448</v>
      </c>
      <c r="L4492" s="604" t="s">
        <v>100</v>
      </c>
      <c r="M4492" s="604">
        <v>0</v>
      </c>
      <c r="N4492" s="604">
        <v>432</v>
      </c>
      <c r="O4492" s="604">
        <v>0</v>
      </c>
      <c r="P4492" s="604" t="s">
        <v>436</v>
      </c>
      <c r="Q4492" s="499"/>
    </row>
    <row r="4493" spans="9:17">
      <c r="I4493" s="578" t="str">
        <f t="shared" si="216"/>
        <v>2010dhbCanterburyPN</v>
      </c>
      <c r="J4493" s="604">
        <v>2010</v>
      </c>
      <c r="K4493" s="604" t="s">
        <v>448</v>
      </c>
      <c r="L4493" s="604" t="s">
        <v>101</v>
      </c>
      <c r="M4493" s="604">
        <v>10</v>
      </c>
      <c r="N4493" s="604">
        <v>6688</v>
      </c>
      <c r="O4493" s="604">
        <v>1.5</v>
      </c>
      <c r="P4493" s="604" t="s">
        <v>436</v>
      </c>
      <c r="Q4493" s="499"/>
    </row>
    <row r="4494" spans="9:17">
      <c r="I4494" s="578" t="str">
        <f t="shared" si="216"/>
        <v>2010dhbSouth CanterburyPN</v>
      </c>
      <c r="J4494" s="604">
        <v>2010</v>
      </c>
      <c r="K4494" s="604" t="s">
        <v>448</v>
      </c>
      <c r="L4494" s="604" t="s">
        <v>102</v>
      </c>
      <c r="M4494" s="604">
        <v>1</v>
      </c>
      <c r="N4494" s="604">
        <v>627</v>
      </c>
      <c r="O4494" s="604">
        <v>1.6</v>
      </c>
      <c r="P4494" s="604" t="s">
        <v>436</v>
      </c>
      <c r="Q4494" s="499"/>
    </row>
    <row r="4495" spans="9:17">
      <c r="I4495" s="578" t="str">
        <f t="shared" si="216"/>
        <v>2010dhbSouthernPN</v>
      </c>
      <c r="J4495" s="604">
        <v>2010</v>
      </c>
      <c r="K4495" s="604" t="s">
        <v>448</v>
      </c>
      <c r="L4495" s="604" t="s">
        <v>103</v>
      </c>
      <c r="M4495" s="604">
        <v>7</v>
      </c>
      <c r="N4495" s="604">
        <v>3772</v>
      </c>
      <c r="O4495" s="604">
        <v>1.9</v>
      </c>
      <c r="P4495" s="604" t="s">
        <v>436</v>
      </c>
      <c r="Q4495" s="499"/>
    </row>
    <row r="4496" spans="9:17">
      <c r="I4496" s="578" t="str">
        <f t="shared" si="216"/>
        <v>2010dhbUnknownPN</v>
      </c>
      <c r="J4496" s="604">
        <v>2010</v>
      </c>
      <c r="K4496" s="604" t="s">
        <v>448</v>
      </c>
      <c r="L4496" s="604" t="s">
        <v>63</v>
      </c>
      <c r="M4496" s="604">
        <v>2</v>
      </c>
      <c r="N4496" s="604">
        <v>307</v>
      </c>
      <c r="O4496" s="604" t="s">
        <v>119</v>
      </c>
      <c r="P4496" s="604" t="s">
        <v>436</v>
      </c>
      <c r="Q4496" s="499"/>
    </row>
    <row r="4497" spans="9:17">
      <c r="I4497" s="578" t="str">
        <f t="shared" si="216"/>
        <v>2011dhbNorthlandPN</v>
      </c>
      <c r="J4497" s="604">
        <v>2011</v>
      </c>
      <c r="K4497" s="604" t="s">
        <v>448</v>
      </c>
      <c r="L4497" s="604" t="s">
        <v>85</v>
      </c>
      <c r="M4497" s="604">
        <v>4</v>
      </c>
      <c r="N4497" s="604">
        <v>2261</v>
      </c>
      <c r="O4497" s="604">
        <v>1.8</v>
      </c>
      <c r="P4497" s="604" t="s">
        <v>436</v>
      </c>
      <c r="Q4497" s="499"/>
    </row>
    <row r="4498" spans="9:17">
      <c r="I4498" s="578" t="str">
        <f t="shared" si="216"/>
        <v>2011dhbWaitemataPN</v>
      </c>
      <c r="J4498" s="604">
        <v>2011</v>
      </c>
      <c r="K4498" s="604" t="s">
        <v>448</v>
      </c>
      <c r="L4498" s="604" t="s">
        <v>86</v>
      </c>
      <c r="M4498" s="604">
        <v>7</v>
      </c>
      <c r="N4498" s="604">
        <v>7880</v>
      </c>
      <c r="O4498" s="604">
        <v>0.9</v>
      </c>
      <c r="P4498" s="604" t="s">
        <v>436</v>
      </c>
      <c r="Q4498" s="499"/>
    </row>
    <row r="4499" spans="9:17">
      <c r="I4499" s="578" t="str">
        <f t="shared" si="216"/>
        <v>2011dhbAucklandPN</v>
      </c>
      <c r="J4499" s="604">
        <v>2011</v>
      </c>
      <c r="K4499" s="604" t="s">
        <v>448</v>
      </c>
      <c r="L4499" s="604" t="s">
        <v>87</v>
      </c>
      <c r="M4499" s="604">
        <v>8</v>
      </c>
      <c r="N4499" s="604">
        <v>6524</v>
      </c>
      <c r="O4499" s="604">
        <v>1.2</v>
      </c>
      <c r="P4499" s="604" t="s">
        <v>436</v>
      </c>
      <c r="Q4499" s="499"/>
    </row>
    <row r="4500" spans="9:17">
      <c r="I4500" s="578" t="str">
        <f t="shared" si="216"/>
        <v>2011dhbCounties ManukauPN</v>
      </c>
      <c r="J4500" s="604">
        <v>2011</v>
      </c>
      <c r="K4500" s="604" t="s">
        <v>448</v>
      </c>
      <c r="L4500" s="604" t="s">
        <v>88</v>
      </c>
      <c r="M4500" s="604">
        <v>28</v>
      </c>
      <c r="N4500" s="604">
        <v>8608</v>
      </c>
      <c r="O4500" s="604">
        <v>3.3</v>
      </c>
      <c r="P4500" s="604" t="s">
        <v>436</v>
      </c>
      <c r="Q4500" s="499"/>
    </row>
    <row r="4501" spans="9:17">
      <c r="I4501" s="578" t="str">
        <f t="shared" si="216"/>
        <v>2011dhbWaikatoPN</v>
      </c>
      <c r="J4501" s="604">
        <v>2011</v>
      </c>
      <c r="K4501" s="604" t="s">
        <v>448</v>
      </c>
      <c r="L4501" s="604" t="s">
        <v>89</v>
      </c>
      <c r="M4501" s="604">
        <v>18</v>
      </c>
      <c r="N4501" s="604">
        <v>5401</v>
      </c>
      <c r="O4501" s="604">
        <v>3.3</v>
      </c>
      <c r="P4501" s="604" t="s">
        <v>436</v>
      </c>
      <c r="Q4501" s="499"/>
    </row>
    <row r="4502" spans="9:17">
      <c r="I4502" s="578" t="str">
        <f t="shared" si="216"/>
        <v>2011dhbLakesPN</v>
      </c>
      <c r="J4502" s="604">
        <v>2011</v>
      </c>
      <c r="K4502" s="604" t="s">
        <v>448</v>
      </c>
      <c r="L4502" s="604" t="s">
        <v>90</v>
      </c>
      <c r="M4502" s="604">
        <v>6</v>
      </c>
      <c r="N4502" s="604">
        <v>1552</v>
      </c>
      <c r="O4502" s="604">
        <v>3.9</v>
      </c>
      <c r="P4502" s="604" t="s">
        <v>436</v>
      </c>
      <c r="Q4502" s="499"/>
    </row>
    <row r="4503" spans="9:17">
      <c r="I4503" s="578" t="str">
        <f t="shared" si="216"/>
        <v>2011dhbBay of PlentyPN</v>
      </c>
      <c r="J4503" s="604">
        <v>2011</v>
      </c>
      <c r="K4503" s="604" t="s">
        <v>448</v>
      </c>
      <c r="L4503" s="604" t="s">
        <v>91</v>
      </c>
      <c r="M4503" s="604">
        <v>8</v>
      </c>
      <c r="N4503" s="604">
        <v>2975</v>
      </c>
      <c r="O4503" s="604">
        <v>2.7</v>
      </c>
      <c r="P4503" s="604" t="s">
        <v>436</v>
      </c>
      <c r="Q4503" s="499"/>
    </row>
    <row r="4504" spans="9:17">
      <c r="I4504" s="578" t="str">
        <f t="shared" si="216"/>
        <v>2011dhbTairawhitiPN</v>
      </c>
      <c r="J4504" s="604">
        <v>2011</v>
      </c>
      <c r="K4504" s="604" t="s">
        <v>448</v>
      </c>
      <c r="L4504" s="604" t="s">
        <v>433</v>
      </c>
      <c r="M4504" s="604">
        <v>4</v>
      </c>
      <c r="N4504" s="604">
        <v>756</v>
      </c>
      <c r="O4504" s="604">
        <v>5.3</v>
      </c>
      <c r="P4504" s="604" t="s">
        <v>436</v>
      </c>
      <c r="Q4504" s="499"/>
    </row>
    <row r="4505" spans="9:17">
      <c r="I4505" s="578" t="str">
        <f t="shared" si="216"/>
        <v>2011dhbHawke's BayPN</v>
      </c>
      <c r="J4505" s="604">
        <v>2011</v>
      </c>
      <c r="K4505" s="604" t="s">
        <v>448</v>
      </c>
      <c r="L4505" s="604" t="s">
        <v>92</v>
      </c>
      <c r="M4505" s="604">
        <v>9</v>
      </c>
      <c r="N4505" s="604">
        <v>2250</v>
      </c>
      <c r="O4505" s="604">
        <v>4</v>
      </c>
      <c r="P4505" s="604" t="s">
        <v>436</v>
      </c>
      <c r="Q4505" s="499"/>
    </row>
    <row r="4506" spans="9:17">
      <c r="I4506" s="578" t="str">
        <f t="shared" si="216"/>
        <v>2011dhbTaranakiPN</v>
      </c>
      <c r="J4506" s="604">
        <v>2011</v>
      </c>
      <c r="K4506" s="604" t="s">
        <v>448</v>
      </c>
      <c r="L4506" s="604" t="s">
        <v>93</v>
      </c>
      <c r="M4506" s="604">
        <v>3</v>
      </c>
      <c r="N4506" s="604">
        <v>1567</v>
      </c>
      <c r="O4506" s="604">
        <v>1.9</v>
      </c>
      <c r="P4506" s="604" t="s">
        <v>436</v>
      </c>
      <c r="Q4506" s="499"/>
    </row>
    <row r="4507" spans="9:17">
      <c r="I4507" s="578" t="str">
        <f t="shared" si="216"/>
        <v>2011dhbMidCentralPN</v>
      </c>
      <c r="J4507" s="604">
        <v>2011</v>
      </c>
      <c r="K4507" s="604" t="s">
        <v>448</v>
      </c>
      <c r="L4507" s="604" t="s">
        <v>94</v>
      </c>
      <c r="M4507" s="604">
        <v>4</v>
      </c>
      <c r="N4507" s="604">
        <v>2364</v>
      </c>
      <c r="O4507" s="604">
        <v>1.7</v>
      </c>
      <c r="P4507" s="604" t="s">
        <v>436</v>
      </c>
      <c r="Q4507" s="499"/>
    </row>
    <row r="4508" spans="9:17">
      <c r="I4508" s="578" t="str">
        <f t="shared" si="216"/>
        <v>2011dhbWhanganuiPN</v>
      </c>
      <c r="J4508" s="604">
        <v>2011</v>
      </c>
      <c r="K4508" s="604" t="s">
        <v>448</v>
      </c>
      <c r="L4508" s="604" t="s">
        <v>95</v>
      </c>
      <c r="M4508" s="604">
        <v>2</v>
      </c>
      <c r="N4508" s="604">
        <v>827</v>
      </c>
      <c r="O4508" s="604">
        <v>2.4</v>
      </c>
      <c r="P4508" s="604" t="s">
        <v>436</v>
      </c>
      <c r="Q4508" s="499"/>
    </row>
    <row r="4509" spans="9:17">
      <c r="I4509" s="578" t="str">
        <f t="shared" si="216"/>
        <v>2011dhbCapital &amp; CoastPN</v>
      </c>
      <c r="J4509" s="604">
        <v>2011</v>
      </c>
      <c r="K4509" s="604" t="s">
        <v>448</v>
      </c>
      <c r="L4509" s="604" t="s">
        <v>96</v>
      </c>
      <c r="M4509" s="604">
        <v>3</v>
      </c>
      <c r="N4509" s="604">
        <v>3882</v>
      </c>
      <c r="O4509" s="604">
        <v>0.8</v>
      </c>
      <c r="P4509" s="604" t="s">
        <v>436</v>
      </c>
      <c r="Q4509" s="499"/>
    </row>
    <row r="4510" spans="9:17">
      <c r="I4510" s="578" t="str">
        <f t="shared" si="216"/>
        <v>2011dhbHutt ValleyPN</v>
      </c>
      <c r="J4510" s="604">
        <v>2011</v>
      </c>
      <c r="K4510" s="604" t="s">
        <v>448</v>
      </c>
      <c r="L4510" s="604" t="s">
        <v>97</v>
      </c>
      <c r="M4510" s="604">
        <v>1</v>
      </c>
      <c r="N4510" s="604">
        <v>2052</v>
      </c>
      <c r="O4510" s="604">
        <v>0.5</v>
      </c>
      <c r="P4510" s="604" t="s">
        <v>436</v>
      </c>
      <c r="Q4510" s="499"/>
    </row>
    <row r="4511" spans="9:17">
      <c r="I4511" s="578" t="str">
        <f t="shared" si="216"/>
        <v>2011dhbWairarapaPN</v>
      </c>
      <c r="J4511" s="604">
        <v>2011</v>
      </c>
      <c r="K4511" s="604" t="s">
        <v>448</v>
      </c>
      <c r="L4511" s="604" t="s">
        <v>98</v>
      </c>
      <c r="M4511" s="604">
        <v>0</v>
      </c>
      <c r="N4511" s="604">
        <v>534</v>
      </c>
      <c r="O4511" s="604">
        <v>0</v>
      </c>
      <c r="P4511" s="604" t="s">
        <v>436</v>
      </c>
      <c r="Q4511" s="499"/>
    </row>
    <row r="4512" spans="9:17">
      <c r="I4512" s="578" t="str">
        <f t="shared" si="216"/>
        <v>2011dhbNelson MarlboroughPN</v>
      </c>
      <c r="J4512" s="604">
        <v>2011</v>
      </c>
      <c r="K4512" s="604" t="s">
        <v>448</v>
      </c>
      <c r="L4512" s="604" t="s">
        <v>99</v>
      </c>
      <c r="M4512" s="604">
        <v>4</v>
      </c>
      <c r="N4512" s="604">
        <v>1647</v>
      </c>
      <c r="O4512" s="604">
        <v>2.4</v>
      </c>
      <c r="P4512" s="604" t="s">
        <v>436</v>
      </c>
      <c r="Q4512" s="499"/>
    </row>
    <row r="4513" spans="9:17">
      <c r="I4513" s="578" t="str">
        <f t="shared" si="216"/>
        <v>2011dhbWest CoastPN</v>
      </c>
      <c r="J4513" s="604">
        <v>2011</v>
      </c>
      <c r="K4513" s="604" t="s">
        <v>448</v>
      </c>
      <c r="L4513" s="604" t="s">
        <v>100</v>
      </c>
      <c r="M4513" s="604">
        <v>0</v>
      </c>
      <c r="N4513" s="604">
        <v>435</v>
      </c>
      <c r="O4513" s="604">
        <v>0</v>
      </c>
      <c r="P4513" s="604" t="s">
        <v>436</v>
      </c>
      <c r="Q4513" s="499"/>
    </row>
    <row r="4514" spans="9:17">
      <c r="I4514" s="578" t="str">
        <f t="shared" si="216"/>
        <v>2011dhbCanterburyPN</v>
      </c>
      <c r="J4514" s="604">
        <v>2011</v>
      </c>
      <c r="K4514" s="604" t="s">
        <v>448</v>
      </c>
      <c r="L4514" s="604" t="s">
        <v>101</v>
      </c>
      <c r="M4514" s="604">
        <v>10</v>
      </c>
      <c r="N4514" s="604">
        <v>6121</v>
      </c>
      <c r="O4514" s="604">
        <v>1.6</v>
      </c>
      <c r="P4514" s="604" t="s">
        <v>436</v>
      </c>
      <c r="Q4514" s="499"/>
    </row>
    <row r="4515" spans="9:17">
      <c r="I4515" s="578" t="str">
        <f t="shared" si="216"/>
        <v>2011dhbSouth CanterburyPN</v>
      </c>
      <c r="J4515" s="604">
        <v>2011</v>
      </c>
      <c r="K4515" s="604" t="s">
        <v>448</v>
      </c>
      <c r="L4515" s="604" t="s">
        <v>102</v>
      </c>
      <c r="M4515" s="604">
        <v>0</v>
      </c>
      <c r="N4515" s="604">
        <v>586</v>
      </c>
      <c r="O4515" s="604">
        <v>0</v>
      </c>
      <c r="P4515" s="604" t="s">
        <v>436</v>
      </c>
      <c r="Q4515" s="499"/>
    </row>
    <row r="4516" spans="9:17">
      <c r="I4516" s="578" t="str">
        <f t="shared" si="216"/>
        <v>2011dhbSouthernPN</v>
      </c>
      <c r="J4516" s="604">
        <v>2011</v>
      </c>
      <c r="K4516" s="604" t="s">
        <v>448</v>
      </c>
      <c r="L4516" s="604" t="s">
        <v>103</v>
      </c>
      <c r="M4516" s="604">
        <v>6</v>
      </c>
      <c r="N4516" s="604">
        <v>3710</v>
      </c>
      <c r="O4516" s="604">
        <v>1.6</v>
      </c>
      <c r="P4516" s="604" t="s">
        <v>436</v>
      </c>
      <c r="Q4516" s="499"/>
    </row>
    <row r="4517" spans="9:17">
      <c r="I4517" s="578" t="str">
        <f t="shared" si="216"/>
        <v>2011dhbUnknownPN</v>
      </c>
      <c r="J4517" s="604">
        <v>2011</v>
      </c>
      <c r="K4517" s="604" t="s">
        <v>448</v>
      </c>
      <c r="L4517" s="604" t="s">
        <v>63</v>
      </c>
      <c r="M4517" s="604">
        <v>0</v>
      </c>
      <c r="N4517" s="604">
        <v>242</v>
      </c>
      <c r="O4517" s="604" t="s">
        <v>119</v>
      </c>
      <c r="P4517" s="604" t="s">
        <v>436</v>
      </c>
      <c r="Q4517" s="499"/>
    </row>
    <row r="4518" spans="9:17">
      <c r="I4518" s="578" t="str">
        <f t="shared" si="216"/>
        <v>2012dhbNorthlandPN</v>
      </c>
      <c r="J4518" s="604">
        <v>2012</v>
      </c>
      <c r="K4518" s="604" t="s">
        <v>448</v>
      </c>
      <c r="L4518" s="604" t="s">
        <v>85</v>
      </c>
      <c r="M4518" s="604">
        <v>8</v>
      </c>
      <c r="N4518" s="604">
        <v>2387</v>
      </c>
      <c r="O4518" s="604">
        <v>3.4</v>
      </c>
      <c r="P4518" s="604" t="s">
        <v>436</v>
      </c>
      <c r="Q4518" s="499"/>
    </row>
    <row r="4519" spans="9:17">
      <c r="I4519" s="578" t="str">
        <f t="shared" si="216"/>
        <v>2012dhbWaitemataPN</v>
      </c>
      <c r="J4519" s="604">
        <v>2012</v>
      </c>
      <c r="K4519" s="604" t="s">
        <v>448</v>
      </c>
      <c r="L4519" s="604" t="s">
        <v>86</v>
      </c>
      <c r="M4519" s="604">
        <v>2</v>
      </c>
      <c r="N4519" s="604">
        <v>7953</v>
      </c>
      <c r="O4519" s="604">
        <v>0.3</v>
      </c>
      <c r="P4519" s="604" t="s">
        <v>436</v>
      </c>
      <c r="Q4519" s="499"/>
    </row>
    <row r="4520" spans="9:17">
      <c r="I4520" s="578" t="str">
        <f t="shared" si="216"/>
        <v>2012dhbAucklandPN</v>
      </c>
      <c r="J4520" s="604">
        <v>2012</v>
      </c>
      <c r="K4520" s="604" t="s">
        <v>448</v>
      </c>
      <c r="L4520" s="604" t="s">
        <v>87</v>
      </c>
      <c r="M4520" s="604">
        <v>11</v>
      </c>
      <c r="N4520" s="604">
        <v>6556</v>
      </c>
      <c r="O4520" s="604">
        <v>1.7</v>
      </c>
      <c r="P4520" s="604" t="s">
        <v>436</v>
      </c>
      <c r="Q4520" s="499"/>
    </row>
    <row r="4521" spans="9:17">
      <c r="I4521" s="578" t="str">
        <f t="shared" si="216"/>
        <v>2012dhbCounties ManukauPN</v>
      </c>
      <c r="J4521" s="604">
        <v>2012</v>
      </c>
      <c r="K4521" s="604" t="s">
        <v>448</v>
      </c>
      <c r="L4521" s="604" t="s">
        <v>88</v>
      </c>
      <c r="M4521" s="604">
        <v>17</v>
      </c>
      <c r="N4521" s="604">
        <v>8748</v>
      </c>
      <c r="O4521" s="604">
        <v>1.9</v>
      </c>
      <c r="P4521" s="604" t="s">
        <v>436</v>
      </c>
      <c r="Q4521" s="499"/>
    </row>
    <row r="4522" spans="9:17">
      <c r="I4522" s="578" t="str">
        <f t="shared" si="216"/>
        <v>2012dhbWaikatoPN</v>
      </c>
      <c r="J4522" s="604">
        <v>2012</v>
      </c>
      <c r="K4522" s="604" t="s">
        <v>448</v>
      </c>
      <c r="L4522" s="604" t="s">
        <v>89</v>
      </c>
      <c r="M4522" s="604">
        <v>14</v>
      </c>
      <c r="N4522" s="604">
        <v>5485</v>
      </c>
      <c r="O4522" s="604">
        <v>2.6</v>
      </c>
      <c r="P4522" s="604" t="s">
        <v>436</v>
      </c>
      <c r="Q4522" s="499"/>
    </row>
    <row r="4523" spans="9:17">
      <c r="I4523" s="578" t="str">
        <f t="shared" si="216"/>
        <v>2012dhbLakesPN</v>
      </c>
      <c r="J4523" s="604">
        <v>2012</v>
      </c>
      <c r="K4523" s="604" t="s">
        <v>448</v>
      </c>
      <c r="L4523" s="604" t="s">
        <v>90</v>
      </c>
      <c r="M4523" s="604">
        <v>3</v>
      </c>
      <c r="N4523" s="604">
        <v>1517</v>
      </c>
      <c r="O4523" s="604">
        <v>2</v>
      </c>
      <c r="P4523" s="604" t="s">
        <v>436</v>
      </c>
      <c r="Q4523" s="499"/>
    </row>
    <row r="4524" spans="9:17">
      <c r="I4524" s="578" t="str">
        <f t="shared" si="216"/>
        <v>2012dhbBay of PlentyPN</v>
      </c>
      <c r="J4524" s="604">
        <v>2012</v>
      </c>
      <c r="K4524" s="604" t="s">
        <v>448</v>
      </c>
      <c r="L4524" s="604" t="s">
        <v>91</v>
      </c>
      <c r="M4524" s="604">
        <v>2</v>
      </c>
      <c r="N4524" s="604">
        <v>2978</v>
      </c>
      <c r="O4524" s="604">
        <v>0.7</v>
      </c>
      <c r="P4524" s="604" t="s">
        <v>436</v>
      </c>
      <c r="Q4524" s="499"/>
    </row>
    <row r="4525" spans="9:17">
      <c r="I4525" s="578" t="str">
        <f t="shared" si="216"/>
        <v>2012dhbTairawhitiPN</v>
      </c>
      <c r="J4525" s="604">
        <v>2012</v>
      </c>
      <c r="K4525" s="604" t="s">
        <v>448</v>
      </c>
      <c r="L4525" s="604" t="s">
        <v>433</v>
      </c>
      <c r="M4525" s="604">
        <v>1</v>
      </c>
      <c r="N4525" s="604">
        <v>721</v>
      </c>
      <c r="O4525" s="604">
        <v>1.4</v>
      </c>
      <c r="P4525" s="604" t="s">
        <v>436</v>
      </c>
      <c r="Q4525" s="499"/>
    </row>
    <row r="4526" spans="9:17">
      <c r="I4526" s="578" t="str">
        <f t="shared" si="216"/>
        <v>2012dhbHawke's BayPN</v>
      </c>
      <c r="J4526" s="604">
        <v>2012</v>
      </c>
      <c r="K4526" s="604" t="s">
        <v>448</v>
      </c>
      <c r="L4526" s="604" t="s">
        <v>92</v>
      </c>
      <c r="M4526" s="604">
        <v>3</v>
      </c>
      <c r="N4526" s="604">
        <v>2284</v>
      </c>
      <c r="O4526" s="604">
        <v>1.3</v>
      </c>
      <c r="P4526" s="604" t="s">
        <v>436</v>
      </c>
      <c r="Q4526" s="499"/>
    </row>
    <row r="4527" spans="9:17">
      <c r="I4527" s="578" t="str">
        <f t="shared" si="216"/>
        <v>2012dhbTaranakiPN</v>
      </c>
      <c r="J4527" s="604">
        <v>2012</v>
      </c>
      <c r="K4527" s="604" t="s">
        <v>448</v>
      </c>
      <c r="L4527" s="604" t="s">
        <v>93</v>
      </c>
      <c r="M4527" s="604">
        <v>3</v>
      </c>
      <c r="N4527" s="604">
        <v>1553</v>
      </c>
      <c r="O4527" s="604">
        <v>1.9</v>
      </c>
      <c r="P4527" s="604" t="s">
        <v>436</v>
      </c>
      <c r="Q4527" s="499"/>
    </row>
    <row r="4528" spans="9:17">
      <c r="I4528" s="578" t="str">
        <f t="shared" si="216"/>
        <v>2012dhbMidCentralPN</v>
      </c>
      <c r="J4528" s="604">
        <v>2012</v>
      </c>
      <c r="K4528" s="604" t="s">
        <v>448</v>
      </c>
      <c r="L4528" s="604" t="s">
        <v>94</v>
      </c>
      <c r="M4528" s="604">
        <v>2</v>
      </c>
      <c r="N4528" s="604">
        <v>2182</v>
      </c>
      <c r="O4528" s="604">
        <v>0.9</v>
      </c>
      <c r="P4528" s="604" t="s">
        <v>436</v>
      </c>
      <c r="Q4528" s="499"/>
    </row>
    <row r="4529" spans="9:17">
      <c r="I4529" s="578" t="str">
        <f t="shared" si="216"/>
        <v>2012dhbWhanganuiPN</v>
      </c>
      <c r="J4529" s="604">
        <v>2012</v>
      </c>
      <c r="K4529" s="604" t="s">
        <v>448</v>
      </c>
      <c r="L4529" s="604" t="s">
        <v>95</v>
      </c>
      <c r="M4529" s="604">
        <v>6</v>
      </c>
      <c r="N4529" s="604">
        <v>845</v>
      </c>
      <c r="O4529" s="604">
        <v>7.1</v>
      </c>
      <c r="P4529" s="604" t="s">
        <v>436</v>
      </c>
      <c r="Q4529" s="499"/>
    </row>
    <row r="4530" spans="9:17">
      <c r="I4530" s="578" t="str">
        <f t="shared" si="216"/>
        <v>2012dhbCapital &amp; CoastPN</v>
      </c>
      <c r="J4530" s="604">
        <v>2012</v>
      </c>
      <c r="K4530" s="604" t="s">
        <v>448</v>
      </c>
      <c r="L4530" s="604" t="s">
        <v>96</v>
      </c>
      <c r="M4530" s="604">
        <v>8</v>
      </c>
      <c r="N4530" s="604">
        <v>3833</v>
      </c>
      <c r="O4530" s="604">
        <v>2.1</v>
      </c>
      <c r="P4530" s="604" t="s">
        <v>436</v>
      </c>
      <c r="Q4530" s="499"/>
    </row>
    <row r="4531" spans="9:17">
      <c r="I4531" s="578" t="str">
        <f t="shared" si="216"/>
        <v>2012dhbHutt ValleyPN</v>
      </c>
      <c r="J4531" s="604">
        <v>2012</v>
      </c>
      <c r="K4531" s="604" t="s">
        <v>448</v>
      </c>
      <c r="L4531" s="604" t="s">
        <v>97</v>
      </c>
      <c r="M4531" s="604">
        <v>3</v>
      </c>
      <c r="N4531" s="604">
        <v>2041</v>
      </c>
      <c r="O4531" s="604">
        <v>1.5</v>
      </c>
      <c r="P4531" s="604" t="s">
        <v>436</v>
      </c>
      <c r="Q4531" s="499"/>
    </row>
    <row r="4532" spans="9:17">
      <c r="I4532" s="578" t="str">
        <f t="shared" si="216"/>
        <v>2012dhbWairarapaPN</v>
      </c>
      <c r="J4532" s="604">
        <v>2012</v>
      </c>
      <c r="K4532" s="604" t="s">
        <v>448</v>
      </c>
      <c r="L4532" s="604" t="s">
        <v>98</v>
      </c>
      <c r="M4532" s="604">
        <v>0</v>
      </c>
      <c r="N4532" s="604">
        <v>513</v>
      </c>
      <c r="O4532" s="604">
        <v>0</v>
      </c>
      <c r="P4532" s="604" t="s">
        <v>436</v>
      </c>
      <c r="Q4532" s="499"/>
    </row>
    <row r="4533" spans="9:17">
      <c r="I4533" s="578" t="str">
        <f t="shared" si="216"/>
        <v>2012dhbNelson MarlboroughPN</v>
      </c>
      <c r="J4533" s="604">
        <v>2012</v>
      </c>
      <c r="K4533" s="604" t="s">
        <v>448</v>
      </c>
      <c r="L4533" s="604" t="s">
        <v>99</v>
      </c>
      <c r="M4533" s="604">
        <v>1</v>
      </c>
      <c r="N4533" s="604">
        <v>1541</v>
      </c>
      <c r="O4533" s="604">
        <v>0.6</v>
      </c>
      <c r="P4533" s="604" t="s">
        <v>436</v>
      </c>
      <c r="Q4533" s="499"/>
    </row>
    <row r="4534" spans="9:17">
      <c r="I4534" s="578" t="str">
        <f t="shared" si="216"/>
        <v>2012dhbWest CoastPN</v>
      </c>
      <c r="J4534" s="604">
        <v>2012</v>
      </c>
      <c r="K4534" s="604" t="s">
        <v>448</v>
      </c>
      <c r="L4534" s="604" t="s">
        <v>100</v>
      </c>
      <c r="M4534" s="604">
        <v>0</v>
      </c>
      <c r="N4534" s="604">
        <v>419</v>
      </c>
      <c r="O4534" s="604">
        <v>0</v>
      </c>
      <c r="P4534" s="604" t="s">
        <v>436</v>
      </c>
      <c r="Q4534" s="499"/>
    </row>
    <row r="4535" spans="9:17">
      <c r="I4535" s="578" t="str">
        <f t="shared" si="216"/>
        <v>2012dhbCanterburyPN</v>
      </c>
      <c r="J4535" s="604">
        <v>2012</v>
      </c>
      <c r="K4535" s="604" t="s">
        <v>448</v>
      </c>
      <c r="L4535" s="604" t="s">
        <v>101</v>
      </c>
      <c r="M4535" s="604">
        <v>9</v>
      </c>
      <c r="N4535" s="604">
        <v>6041</v>
      </c>
      <c r="O4535" s="604">
        <v>1.5</v>
      </c>
      <c r="P4535" s="604" t="s">
        <v>436</v>
      </c>
      <c r="Q4535" s="499"/>
    </row>
    <row r="4536" spans="9:17">
      <c r="I4536" s="578" t="str">
        <f t="shared" si="216"/>
        <v>2012dhbSouth CanterburyPN</v>
      </c>
      <c r="J4536" s="604">
        <v>2012</v>
      </c>
      <c r="K4536" s="604" t="s">
        <v>448</v>
      </c>
      <c r="L4536" s="604" t="s">
        <v>102</v>
      </c>
      <c r="M4536" s="604">
        <v>0</v>
      </c>
      <c r="N4536" s="604">
        <v>626</v>
      </c>
      <c r="O4536" s="604">
        <v>0</v>
      </c>
      <c r="P4536" s="604" t="s">
        <v>436</v>
      </c>
      <c r="Q4536" s="499"/>
    </row>
    <row r="4537" spans="9:17">
      <c r="I4537" s="578" t="str">
        <f t="shared" si="216"/>
        <v>2012dhbSouthernPN</v>
      </c>
      <c r="J4537" s="604">
        <v>2012</v>
      </c>
      <c r="K4537" s="604" t="s">
        <v>448</v>
      </c>
      <c r="L4537" s="604" t="s">
        <v>103</v>
      </c>
      <c r="M4537" s="604">
        <v>6</v>
      </c>
      <c r="N4537" s="604">
        <v>3620</v>
      </c>
      <c r="O4537" s="604">
        <v>1.7</v>
      </c>
      <c r="P4537" s="604" t="s">
        <v>436</v>
      </c>
      <c r="Q4537" s="499"/>
    </row>
    <row r="4538" spans="9:17">
      <c r="I4538" s="578" t="str">
        <f t="shared" si="216"/>
        <v>2012dhbUnknownPN</v>
      </c>
      <c r="J4538" s="604">
        <v>2012</v>
      </c>
      <c r="K4538" s="604" t="s">
        <v>448</v>
      </c>
      <c r="L4538" s="604" t="s">
        <v>63</v>
      </c>
      <c r="M4538" s="604">
        <v>1</v>
      </c>
      <c r="N4538" s="604">
        <v>192</v>
      </c>
      <c r="O4538" s="604" t="s">
        <v>119</v>
      </c>
      <c r="P4538" s="604" t="s">
        <v>436</v>
      </c>
      <c r="Q4538" s="499"/>
    </row>
    <row r="4539" spans="9:17">
      <c r="I4539" s="578" t="str">
        <f t="shared" si="216"/>
        <v>2013dhbNorthlandPN</v>
      </c>
      <c r="J4539" s="604">
        <v>2013</v>
      </c>
      <c r="K4539" s="604" t="s">
        <v>448</v>
      </c>
      <c r="L4539" s="604" t="s">
        <v>85</v>
      </c>
      <c r="M4539" s="604">
        <v>3</v>
      </c>
      <c r="N4539" s="604">
        <v>2196</v>
      </c>
      <c r="O4539" s="604">
        <v>1.4</v>
      </c>
      <c r="P4539" s="604" t="s">
        <v>436</v>
      </c>
      <c r="Q4539" s="499"/>
    </row>
    <row r="4540" spans="9:17">
      <c r="I4540" s="578" t="str">
        <f t="shared" si="216"/>
        <v>2013dhbWaitemataPN</v>
      </c>
      <c r="J4540" s="604">
        <v>2013</v>
      </c>
      <c r="K4540" s="604" t="s">
        <v>448</v>
      </c>
      <c r="L4540" s="604" t="s">
        <v>86</v>
      </c>
      <c r="M4540" s="604">
        <v>4</v>
      </c>
      <c r="N4540" s="604">
        <v>7678</v>
      </c>
      <c r="O4540" s="604">
        <v>0.5</v>
      </c>
      <c r="P4540" s="604" t="s">
        <v>436</v>
      </c>
      <c r="Q4540" s="499"/>
    </row>
    <row r="4541" spans="9:17">
      <c r="I4541" s="578" t="str">
        <f t="shared" si="216"/>
        <v>2013dhbAucklandPN</v>
      </c>
      <c r="J4541" s="604">
        <v>2013</v>
      </c>
      <c r="K4541" s="604" t="s">
        <v>448</v>
      </c>
      <c r="L4541" s="604" t="s">
        <v>87</v>
      </c>
      <c r="M4541" s="604">
        <v>7</v>
      </c>
      <c r="N4541" s="604">
        <v>6215</v>
      </c>
      <c r="O4541" s="604">
        <v>1.1000000000000001</v>
      </c>
      <c r="P4541" s="604" t="s">
        <v>436</v>
      </c>
      <c r="Q4541" s="499"/>
    </row>
    <row r="4542" spans="9:17">
      <c r="I4542" s="578" t="str">
        <f t="shared" si="216"/>
        <v>2013dhbCounties ManukauPN</v>
      </c>
      <c r="J4542" s="604">
        <v>2013</v>
      </c>
      <c r="K4542" s="604" t="s">
        <v>448</v>
      </c>
      <c r="L4542" s="604" t="s">
        <v>88</v>
      </c>
      <c r="M4542" s="604">
        <v>22</v>
      </c>
      <c r="N4542" s="604">
        <v>8350</v>
      </c>
      <c r="O4542" s="604">
        <v>2.6</v>
      </c>
      <c r="P4542" s="604" t="s">
        <v>436</v>
      </c>
      <c r="Q4542" s="499"/>
    </row>
    <row r="4543" spans="9:17">
      <c r="I4543" s="578" t="str">
        <f t="shared" si="216"/>
        <v>2013dhbWaikatoPN</v>
      </c>
      <c r="J4543" s="604">
        <v>2013</v>
      </c>
      <c r="K4543" s="604" t="s">
        <v>448</v>
      </c>
      <c r="L4543" s="604" t="s">
        <v>89</v>
      </c>
      <c r="M4543" s="604">
        <v>8</v>
      </c>
      <c r="N4543" s="604">
        <v>5287</v>
      </c>
      <c r="O4543" s="604">
        <v>1.5</v>
      </c>
      <c r="P4543" s="604" t="s">
        <v>436</v>
      </c>
      <c r="Q4543" s="499"/>
    </row>
    <row r="4544" spans="9:17">
      <c r="I4544" s="578" t="str">
        <f t="shared" si="216"/>
        <v>2013dhbLakesPN</v>
      </c>
      <c r="J4544" s="604">
        <v>2013</v>
      </c>
      <c r="K4544" s="604" t="s">
        <v>448</v>
      </c>
      <c r="L4544" s="604" t="s">
        <v>90</v>
      </c>
      <c r="M4544" s="604">
        <v>1</v>
      </c>
      <c r="N4544" s="604">
        <v>1480</v>
      </c>
      <c r="O4544" s="604">
        <v>0.7</v>
      </c>
      <c r="P4544" s="604" t="s">
        <v>436</v>
      </c>
      <c r="Q4544" s="499"/>
    </row>
    <row r="4545" spans="9:17">
      <c r="I4545" s="578" t="str">
        <f t="shared" si="216"/>
        <v>2013dhbBay of PlentyPN</v>
      </c>
      <c r="J4545" s="604">
        <v>2013</v>
      </c>
      <c r="K4545" s="604" t="s">
        <v>448</v>
      </c>
      <c r="L4545" s="604" t="s">
        <v>91</v>
      </c>
      <c r="M4545" s="604">
        <v>5</v>
      </c>
      <c r="N4545" s="604">
        <v>2806</v>
      </c>
      <c r="O4545" s="604">
        <v>1.8</v>
      </c>
      <c r="P4545" s="604" t="s">
        <v>436</v>
      </c>
      <c r="Q4545" s="499"/>
    </row>
    <row r="4546" spans="9:17">
      <c r="I4546" s="578" t="str">
        <f t="shared" si="216"/>
        <v>2013dhbTairawhitiPN</v>
      </c>
      <c r="J4546" s="604">
        <v>2013</v>
      </c>
      <c r="K4546" s="604" t="s">
        <v>448</v>
      </c>
      <c r="L4546" s="604" t="s">
        <v>433</v>
      </c>
      <c r="M4546" s="604">
        <v>1</v>
      </c>
      <c r="N4546" s="604">
        <v>714</v>
      </c>
      <c r="O4546" s="604">
        <v>1.4</v>
      </c>
      <c r="P4546" s="604" t="s">
        <v>436</v>
      </c>
      <c r="Q4546" s="499"/>
    </row>
    <row r="4547" spans="9:17">
      <c r="I4547" s="578" t="str">
        <f t="shared" si="216"/>
        <v>2013dhbHawke's BayPN</v>
      </c>
      <c r="J4547" s="604">
        <v>2013</v>
      </c>
      <c r="K4547" s="604" t="s">
        <v>448</v>
      </c>
      <c r="L4547" s="604" t="s">
        <v>92</v>
      </c>
      <c r="M4547" s="604">
        <v>4</v>
      </c>
      <c r="N4547" s="604">
        <v>2207</v>
      </c>
      <c r="O4547" s="604">
        <v>1.8</v>
      </c>
      <c r="P4547" s="604" t="s">
        <v>436</v>
      </c>
      <c r="Q4547" s="499"/>
    </row>
    <row r="4548" spans="9:17">
      <c r="I4548" s="578" t="str">
        <f t="shared" ref="I4548:I4611" si="217">J4548&amp;K4548&amp;L4548&amp;P4548</f>
        <v>2013dhbTaranakiPN</v>
      </c>
      <c r="J4548" s="604">
        <v>2013</v>
      </c>
      <c r="K4548" s="604" t="s">
        <v>448</v>
      </c>
      <c r="L4548" s="604" t="s">
        <v>93</v>
      </c>
      <c r="M4548" s="604">
        <v>3</v>
      </c>
      <c r="N4548" s="604">
        <v>1522</v>
      </c>
      <c r="O4548" s="604">
        <v>2</v>
      </c>
      <c r="P4548" s="604" t="s">
        <v>436</v>
      </c>
      <c r="Q4548" s="499"/>
    </row>
    <row r="4549" spans="9:17">
      <c r="I4549" s="578" t="str">
        <f t="shared" si="217"/>
        <v>2013dhbMidCentralPN</v>
      </c>
      <c r="J4549" s="604">
        <v>2013</v>
      </c>
      <c r="K4549" s="604" t="s">
        <v>448</v>
      </c>
      <c r="L4549" s="604" t="s">
        <v>94</v>
      </c>
      <c r="M4549" s="604">
        <v>1</v>
      </c>
      <c r="N4549" s="604">
        <v>2145</v>
      </c>
      <c r="O4549" s="604">
        <v>0.5</v>
      </c>
      <c r="P4549" s="604" t="s">
        <v>436</v>
      </c>
      <c r="Q4549" s="499"/>
    </row>
    <row r="4550" spans="9:17">
      <c r="I4550" s="578" t="str">
        <f t="shared" si="217"/>
        <v>2013dhbWhanganuiPN</v>
      </c>
      <c r="J4550" s="604">
        <v>2013</v>
      </c>
      <c r="K4550" s="604" t="s">
        <v>448</v>
      </c>
      <c r="L4550" s="604" t="s">
        <v>95</v>
      </c>
      <c r="M4550" s="604">
        <v>2</v>
      </c>
      <c r="N4550" s="604">
        <v>867</v>
      </c>
      <c r="O4550" s="604">
        <v>2.2999999999999998</v>
      </c>
      <c r="P4550" s="604" t="s">
        <v>436</v>
      </c>
      <c r="Q4550" s="499"/>
    </row>
    <row r="4551" spans="9:17">
      <c r="I4551" s="578" t="str">
        <f t="shared" si="217"/>
        <v>2013dhbCapital &amp; CoastPN</v>
      </c>
      <c r="J4551" s="604">
        <v>2013</v>
      </c>
      <c r="K4551" s="604" t="s">
        <v>448</v>
      </c>
      <c r="L4551" s="604" t="s">
        <v>96</v>
      </c>
      <c r="M4551" s="604">
        <v>7</v>
      </c>
      <c r="N4551" s="604">
        <v>3638</v>
      </c>
      <c r="O4551" s="604">
        <v>1.9</v>
      </c>
      <c r="P4551" s="604" t="s">
        <v>436</v>
      </c>
      <c r="Q4551" s="499"/>
    </row>
    <row r="4552" spans="9:17">
      <c r="I4552" s="578" t="str">
        <f t="shared" si="217"/>
        <v>2013dhbHutt ValleyPN</v>
      </c>
      <c r="J4552" s="604">
        <v>2013</v>
      </c>
      <c r="K4552" s="604" t="s">
        <v>448</v>
      </c>
      <c r="L4552" s="604" t="s">
        <v>97</v>
      </c>
      <c r="M4552" s="604">
        <v>8</v>
      </c>
      <c r="N4552" s="604">
        <v>1903</v>
      </c>
      <c r="O4552" s="604">
        <v>4.2</v>
      </c>
      <c r="P4552" s="604" t="s">
        <v>436</v>
      </c>
      <c r="Q4552" s="499"/>
    </row>
    <row r="4553" spans="9:17">
      <c r="I4553" s="578" t="str">
        <f t="shared" si="217"/>
        <v>2013dhbWairarapaPN</v>
      </c>
      <c r="J4553" s="604">
        <v>2013</v>
      </c>
      <c r="K4553" s="604" t="s">
        <v>448</v>
      </c>
      <c r="L4553" s="604" t="s">
        <v>98</v>
      </c>
      <c r="M4553" s="604">
        <v>1</v>
      </c>
      <c r="N4553" s="604">
        <v>497</v>
      </c>
      <c r="O4553" s="604">
        <v>2</v>
      </c>
      <c r="P4553" s="604" t="s">
        <v>436</v>
      </c>
      <c r="Q4553" s="499"/>
    </row>
    <row r="4554" spans="9:17">
      <c r="I4554" s="578" t="str">
        <f t="shared" si="217"/>
        <v>2013dhbNelson MarlboroughPN</v>
      </c>
      <c r="J4554" s="604">
        <v>2013</v>
      </c>
      <c r="K4554" s="604" t="s">
        <v>448</v>
      </c>
      <c r="L4554" s="604" t="s">
        <v>99</v>
      </c>
      <c r="M4554" s="604">
        <v>3</v>
      </c>
      <c r="N4554" s="604">
        <v>1556</v>
      </c>
      <c r="O4554" s="604">
        <v>1.9</v>
      </c>
      <c r="P4554" s="604" t="s">
        <v>436</v>
      </c>
      <c r="Q4554" s="499"/>
    </row>
    <row r="4555" spans="9:17">
      <c r="I4555" s="578" t="str">
        <f t="shared" si="217"/>
        <v>2013dhbWest CoastPN</v>
      </c>
      <c r="J4555" s="604">
        <v>2013</v>
      </c>
      <c r="K4555" s="604" t="s">
        <v>448</v>
      </c>
      <c r="L4555" s="604" t="s">
        <v>100</v>
      </c>
      <c r="M4555" s="604">
        <v>0</v>
      </c>
      <c r="N4555" s="604">
        <v>392</v>
      </c>
      <c r="O4555" s="604">
        <v>0</v>
      </c>
      <c r="P4555" s="604" t="s">
        <v>436</v>
      </c>
      <c r="Q4555" s="499"/>
    </row>
    <row r="4556" spans="9:17">
      <c r="I4556" s="578" t="str">
        <f t="shared" si="217"/>
        <v>2013dhbCanterburyPN</v>
      </c>
      <c r="J4556" s="604">
        <v>2013</v>
      </c>
      <c r="K4556" s="604" t="s">
        <v>448</v>
      </c>
      <c r="L4556" s="604" t="s">
        <v>101</v>
      </c>
      <c r="M4556" s="604">
        <v>11</v>
      </c>
      <c r="N4556" s="604">
        <v>5945</v>
      </c>
      <c r="O4556" s="604">
        <v>1.9</v>
      </c>
      <c r="P4556" s="604" t="s">
        <v>436</v>
      </c>
      <c r="Q4556" s="499"/>
    </row>
    <row r="4557" spans="9:17">
      <c r="I4557" s="578" t="str">
        <f t="shared" si="217"/>
        <v>2013dhbSouth CanterburyPN</v>
      </c>
      <c r="J4557" s="604">
        <v>2013</v>
      </c>
      <c r="K4557" s="604" t="s">
        <v>448</v>
      </c>
      <c r="L4557" s="604" t="s">
        <v>102</v>
      </c>
      <c r="M4557" s="604">
        <v>2</v>
      </c>
      <c r="N4557" s="604">
        <v>629</v>
      </c>
      <c r="O4557" s="604">
        <v>3.2</v>
      </c>
      <c r="P4557" s="604" t="s">
        <v>436</v>
      </c>
      <c r="Q4557" s="499"/>
    </row>
    <row r="4558" spans="9:17">
      <c r="I4558" s="578" t="str">
        <f t="shared" si="217"/>
        <v>2013dhbSouthernPN</v>
      </c>
      <c r="J4558" s="604">
        <v>2013</v>
      </c>
      <c r="K4558" s="604" t="s">
        <v>448</v>
      </c>
      <c r="L4558" s="604" t="s">
        <v>103</v>
      </c>
      <c r="M4558" s="604">
        <v>5</v>
      </c>
      <c r="N4558" s="604">
        <v>3478</v>
      </c>
      <c r="O4558" s="604">
        <v>1.4</v>
      </c>
      <c r="P4558" s="604" t="s">
        <v>436</v>
      </c>
      <c r="Q4558" s="499"/>
    </row>
    <row r="4559" spans="9:17">
      <c r="I4559" s="578" t="str">
        <f t="shared" si="217"/>
        <v>2013dhbUnknownPN</v>
      </c>
      <c r="J4559" s="604">
        <v>2013</v>
      </c>
      <c r="K4559" s="604" t="s">
        <v>448</v>
      </c>
      <c r="L4559" s="604" t="s">
        <v>63</v>
      </c>
      <c r="M4559" s="604">
        <v>0</v>
      </c>
      <c r="N4559" s="604">
        <v>196</v>
      </c>
      <c r="O4559" s="604" t="s">
        <v>119</v>
      </c>
      <c r="P4559" s="604" t="s">
        <v>436</v>
      </c>
      <c r="Q4559" s="499"/>
    </row>
    <row r="4560" spans="9:17">
      <c r="I4560" s="578" t="str">
        <f t="shared" si="217"/>
        <v>2014dhbNorthlandPN</v>
      </c>
      <c r="J4560" s="604">
        <v>2014</v>
      </c>
      <c r="K4560" s="604" t="s">
        <v>448</v>
      </c>
      <c r="L4560" s="604" t="s">
        <v>85</v>
      </c>
      <c r="M4560" s="604">
        <v>7</v>
      </c>
      <c r="N4560" s="604">
        <v>2127</v>
      </c>
      <c r="O4560" s="604">
        <v>3.3</v>
      </c>
      <c r="P4560" s="604" t="s">
        <v>436</v>
      </c>
      <c r="Q4560" s="499"/>
    </row>
    <row r="4561" spans="9:17">
      <c r="I4561" s="578" t="str">
        <f t="shared" si="217"/>
        <v>2014dhbWaitemataPN</v>
      </c>
      <c r="J4561" s="604">
        <v>2014</v>
      </c>
      <c r="K4561" s="604" t="s">
        <v>448</v>
      </c>
      <c r="L4561" s="604" t="s">
        <v>86</v>
      </c>
      <c r="M4561" s="604">
        <v>5</v>
      </c>
      <c r="N4561" s="604">
        <v>7737</v>
      </c>
      <c r="O4561" s="604">
        <v>0.6</v>
      </c>
      <c r="P4561" s="604" t="s">
        <v>436</v>
      </c>
      <c r="Q4561" s="499"/>
    </row>
    <row r="4562" spans="9:17">
      <c r="I4562" s="578" t="str">
        <f t="shared" si="217"/>
        <v>2014dhbAucklandPN</v>
      </c>
      <c r="J4562" s="604">
        <v>2014</v>
      </c>
      <c r="K4562" s="604" t="s">
        <v>448</v>
      </c>
      <c r="L4562" s="604" t="s">
        <v>87</v>
      </c>
      <c r="M4562" s="604">
        <v>4</v>
      </c>
      <c r="N4562" s="604">
        <v>6074</v>
      </c>
      <c r="O4562" s="604">
        <v>0.7</v>
      </c>
      <c r="P4562" s="604" t="s">
        <v>436</v>
      </c>
      <c r="Q4562" s="499"/>
    </row>
    <row r="4563" spans="9:17">
      <c r="I4563" s="578" t="str">
        <f t="shared" si="217"/>
        <v>2014dhbCounties ManukauPN</v>
      </c>
      <c r="J4563" s="604">
        <v>2014</v>
      </c>
      <c r="K4563" s="604" t="s">
        <v>448</v>
      </c>
      <c r="L4563" s="604" t="s">
        <v>88</v>
      </c>
      <c r="M4563" s="604">
        <v>18</v>
      </c>
      <c r="N4563" s="604">
        <v>8072</v>
      </c>
      <c r="O4563" s="604">
        <v>2.2000000000000002</v>
      </c>
      <c r="P4563" s="604" t="s">
        <v>436</v>
      </c>
      <c r="Q4563" s="499"/>
    </row>
    <row r="4564" spans="9:17">
      <c r="I4564" s="578" t="str">
        <f t="shared" si="217"/>
        <v>2014dhbWaikatoPN</v>
      </c>
      <c r="J4564" s="604">
        <v>2014</v>
      </c>
      <c r="K4564" s="604" t="s">
        <v>448</v>
      </c>
      <c r="L4564" s="604" t="s">
        <v>89</v>
      </c>
      <c r="M4564" s="604">
        <v>17</v>
      </c>
      <c r="N4564" s="604">
        <v>5235</v>
      </c>
      <c r="O4564" s="604">
        <v>3.2</v>
      </c>
      <c r="P4564" s="604" t="s">
        <v>436</v>
      </c>
      <c r="Q4564" s="499"/>
    </row>
    <row r="4565" spans="9:17">
      <c r="I4565" s="578" t="str">
        <f t="shared" si="217"/>
        <v>2014dhbLakesPN</v>
      </c>
      <c r="J4565" s="604">
        <v>2014</v>
      </c>
      <c r="K4565" s="604" t="s">
        <v>448</v>
      </c>
      <c r="L4565" s="604" t="s">
        <v>90</v>
      </c>
      <c r="M4565" s="604">
        <v>2</v>
      </c>
      <c r="N4565" s="604">
        <v>1364</v>
      </c>
      <c r="O4565" s="604">
        <v>1.5</v>
      </c>
      <c r="P4565" s="604" t="s">
        <v>436</v>
      </c>
      <c r="Q4565" s="499"/>
    </row>
    <row r="4566" spans="9:17">
      <c r="I4566" s="578" t="str">
        <f t="shared" si="217"/>
        <v>2014dhbBay of PlentyPN</v>
      </c>
      <c r="J4566" s="604">
        <v>2014</v>
      </c>
      <c r="K4566" s="604" t="s">
        <v>448</v>
      </c>
      <c r="L4566" s="604" t="s">
        <v>91</v>
      </c>
      <c r="M4566" s="604">
        <v>6</v>
      </c>
      <c r="N4566" s="604">
        <v>2688</v>
      </c>
      <c r="O4566" s="604">
        <v>2.2000000000000002</v>
      </c>
      <c r="P4566" s="604" t="s">
        <v>436</v>
      </c>
      <c r="Q4566" s="499"/>
    </row>
    <row r="4567" spans="9:17">
      <c r="I4567" s="578" t="str">
        <f t="shared" si="217"/>
        <v>2014dhbTairawhitiPN</v>
      </c>
      <c r="J4567" s="604">
        <v>2014</v>
      </c>
      <c r="K4567" s="604" t="s">
        <v>448</v>
      </c>
      <c r="L4567" s="604" t="s">
        <v>433</v>
      </c>
      <c r="M4567" s="604">
        <v>5</v>
      </c>
      <c r="N4567" s="604">
        <v>673</v>
      </c>
      <c r="O4567" s="604">
        <v>7.4</v>
      </c>
      <c r="P4567" s="604" t="s">
        <v>436</v>
      </c>
      <c r="Q4567" s="499"/>
    </row>
    <row r="4568" spans="9:17">
      <c r="I4568" s="578" t="str">
        <f t="shared" si="217"/>
        <v>2014dhbHawke's BayPN</v>
      </c>
      <c r="J4568" s="604">
        <v>2014</v>
      </c>
      <c r="K4568" s="604" t="s">
        <v>448</v>
      </c>
      <c r="L4568" s="604" t="s">
        <v>92</v>
      </c>
      <c r="M4568" s="604">
        <v>4</v>
      </c>
      <c r="N4568" s="604">
        <v>2094</v>
      </c>
      <c r="O4568" s="604">
        <v>1.9</v>
      </c>
      <c r="P4568" s="604" t="s">
        <v>436</v>
      </c>
      <c r="Q4568" s="499"/>
    </row>
    <row r="4569" spans="9:17">
      <c r="I4569" s="578" t="str">
        <f t="shared" si="217"/>
        <v>2014dhbTaranakiPN</v>
      </c>
      <c r="J4569" s="604">
        <v>2014</v>
      </c>
      <c r="K4569" s="604" t="s">
        <v>448</v>
      </c>
      <c r="L4569" s="604" t="s">
        <v>93</v>
      </c>
      <c r="M4569" s="604">
        <v>2</v>
      </c>
      <c r="N4569" s="604">
        <v>1534</v>
      </c>
      <c r="O4569" s="604">
        <v>1.3</v>
      </c>
      <c r="P4569" s="604" t="s">
        <v>436</v>
      </c>
      <c r="Q4569" s="499"/>
    </row>
    <row r="4570" spans="9:17">
      <c r="I4570" s="578" t="str">
        <f t="shared" si="217"/>
        <v>2014dhbMidCentralPN</v>
      </c>
      <c r="J4570" s="604">
        <v>2014</v>
      </c>
      <c r="K4570" s="604" t="s">
        <v>448</v>
      </c>
      <c r="L4570" s="604" t="s">
        <v>94</v>
      </c>
      <c r="M4570" s="604">
        <v>1</v>
      </c>
      <c r="N4570" s="604">
        <v>2093</v>
      </c>
      <c r="O4570" s="604">
        <v>0.5</v>
      </c>
      <c r="P4570" s="604" t="s">
        <v>436</v>
      </c>
      <c r="Q4570" s="499"/>
    </row>
    <row r="4571" spans="9:17">
      <c r="I4571" s="578" t="str">
        <f t="shared" si="217"/>
        <v>2014dhbWhanganuiPN</v>
      </c>
      <c r="J4571" s="604">
        <v>2014</v>
      </c>
      <c r="K4571" s="604" t="s">
        <v>448</v>
      </c>
      <c r="L4571" s="604" t="s">
        <v>95</v>
      </c>
      <c r="M4571" s="604">
        <v>1</v>
      </c>
      <c r="N4571" s="604">
        <v>800</v>
      </c>
      <c r="O4571" s="604">
        <v>1.2</v>
      </c>
      <c r="P4571" s="604" t="s">
        <v>436</v>
      </c>
      <c r="Q4571" s="499"/>
    </row>
    <row r="4572" spans="9:17">
      <c r="I4572" s="578" t="str">
        <f t="shared" si="217"/>
        <v>2014dhbCapital &amp; CoastPN</v>
      </c>
      <c r="J4572" s="604">
        <v>2014</v>
      </c>
      <c r="K4572" s="604" t="s">
        <v>448</v>
      </c>
      <c r="L4572" s="604" t="s">
        <v>96</v>
      </c>
      <c r="M4572" s="604">
        <v>2</v>
      </c>
      <c r="N4572" s="604">
        <v>3559</v>
      </c>
      <c r="O4572" s="604">
        <v>0.6</v>
      </c>
      <c r="P4572" s="604" t="s">
        <v>436</v>
      </c>
      <c r="Q4572" s="499"/>
    </row>
    <row r="4573" spans="9:17">
      <c r="I4573" s="578" t="str">
        <f t="shared" si="217"/>
        <v>2014dhbHutt ValleyPN</v>
      </c>
      <c r="J4573" s="604">
        <v>2014</v>
      </c>
      <c r="K4573" s="604" t="s">
        <v>448</v>
      </c>
      <c r="L4573" s="604" t="s">
        <v>97</v>
      </c>
      <c r="M4573" s="604">
        <v>2</v>
      </c>
      <c r="N4573" s="604">
        <v>1814</v>
      </c>
      <c r="O4573" s="604">
        <v>1.1000000000000001</v>
      </c>
      <c r="P4573" s="604" t="s">
        <v>436</v>
      </c>
      <c r="Q4573" s="499"/>
    </row>
    <row r="4574" spans="9:17">
      <c r="I4574" s="578" t="str">
        <f t="shared" si="217"/>
        <v>2014dhbWairarapaPN</v>
      </c>
      <c r="J4574" s="604">
        <v>2014</v>
      </c>
      <c r="K4574" s="604" t="s">
        <v>448</v>
      </c>
      <c r="L4574" s="604" t="s">
        <v>98</v>
      </c>
      <c r="M4574" s="604">
        <v>0</v>
      </c>
      <c r="N4574" s="604">
        <v>493</v>
      </c>
      <c r="O4574" s="604">
        <v>0</v>
      </c>
      <c r="P4574" s="604" t="s">
        <v>436</v>
      </c>
      <c r="Q4574" s="499"/>
    </row>
    <row r="4575" spans="9:17">
      <c r="I4575" s="578" t="str">
        <f t="shared" si="217"/>
        <v>2014dhbNelson MarlboroughPN</v>
      </c>
      <c r="J4575" s="604">
        <v>2014</v>
      </c>
      <c r="K4575" s="604" t="s">
        <v>448</v>
      </c>
      <c r="L4575" s="604" t="s">
        <v>99</v>
      </c>
      <c r="M4575" s="604">
        <v>2</v>
      </c>
      <c r="N4575" s="604">
        <v>1449</v>
      </c>
      <c r="O4575" s="604">
        <v>1.4</v>
      </c>
      <c r="P4575" s="604" t="s">
        <v>436</v>
      </c>
      <c r="Q4575" s="499"/>
    </row>
    <row r="4576" spans="9:17">
      <c r="I4576" s="578" t="str">
        <f t="shared" si="217"/>
        <v>2014dhbWest CoastPN</v>
      </c>
      <c r="J4576" s="604">
        <v>2014</v>
      </c>
      <c r="K4576" s="604" t="s">
        <v>448</v>
      </c>
      <c r="L4576" s="604" t="s">
        <v>100</v>
      </c>
      <c r="M4576" s="604">
        <v>1</v>
      </c>
      <c r="N4576" s="604">
        <v>381</v>
      </c>
      <c r="O4576" s="604">
        <v>2.6</v>
      </c>
      <c r="P4576" s="604" t="s">
        <v>436</v>
      </c>
      <c r="Q4576" s="499"/>
    </row>
    <row r="4577" spans="9:17">
      <c r="I4577" s="578" t="str">
        <f t="shared" si="217"/>
        <v>2014dhbCanterburyPN</v>
      </c>
      <c r="J4577" s="604">
        <v>2014</v>
      </c>
      <c r="K4577" s="604" t="s">
        <v>448</v>
      </c>
      <c r="L4577" s="604" t="s">
        <v>101</v>
      </c>
      <c r="M4577" s="604">
        <v>9</v>
      </c>
      <c r="N4577" s="604">
        <v>5993</v>
      </c>
      <c r="O4577" s="604">
        <v>1.5</v>
      </c>
      <c r="P4577" s="604" t="s">
        <v>436</v>
      </c>
      <c r="Q4577" s="499"/>
    </row>
    <row r="4578" spans="9:17">
      <c r="I4578" s="578" t="str">
        <f t="shared" si="217"/>
        <v>2014dhbSouth CanterburyPN</v>
      </c>
      <c r="J4578" s="604">
        <v>2014</v>
      </c>
      <c r="K4578" s="604" t="s">
        <v>448</v>
      </c>
      <c r="L4578" s="604" t="s">
        <v>102</v>
      </c>
      <c r="M4578" s="604">
        <v>1</v>
      </c>
      <c r="N4578" s="604">
        <v>624</v>
      </c>
      <c r="O4578" s="604">
        <v>1.6</v>
      </c>
      <c r="P4578" s="604" t="s">
        <v>436</v>
      </c>
      <c r="Q4578" s="499"/>
    </row>
    <row r="4579" spans="9:17">
      <c r="I4579" s="578" t="str">
        <f t="shared" si="217"/>
        <v>2014dhbSouthernPN</v>
      </c>
      <c r="J4579" s="604">
        <v>2014</v>
      </c>
      <c r="K4579" s="604" t="s">
        <v>448</v>
      </c>
      <c r="L4579" s="604" t="s">
        <v>103</v>
      </c>
      <c r="M4579" s="604">
        <v>3</v>
      </c>
      <c r="N4579" s="604">
        <v>3269</v>
      </c>
      <c r="O4579" s="604">
        <v>0.9</v>
      </c>
      <c r="P4579" s="604" t="s">
        <v>436</v>
      </c>
      <c r="Q4579" s="499"/>
    </row>
    <row r="4580" spans="9:17">
      <c r="I4580" s="578" t="str">
        <f t="shared" si="217"/>
        <v>2014dhbUnknownPN</v>
      </c>
      <c r="J4580" s="604">
        <v>2014</v>
      </c>
      <c r="K4580" s="604" t="s">
        <v>448</v>
      </c>
      <c r="L4580" s="604" t="s">
        <v>63</v>
      </c>
      <c r="M4580" s="604">
        <v>1</v>
      </c>
      <c r="N4580" s="604">
        <v>212</v>
      </c>
      <c r="O4580" s="604" t="s">
        <v>119</v>
      </c>
      <c r="P4580" s="604" t="s">
        <v>436</v>
      </c>
      <c r="Q4580" s="499"/>
    </row>
    <row r="4581" spans="9:17">
      <c r="I4581" s="578" t="str">
        <f t="shared" si="217"/>
        <v>2015dhbNorthlandPN</v>
      </c>
      <c r="J4581" s="604">
        <v>2015</v>
      </c>
      <c r="K4581" s="604" t="s">
        <v>448</v>
      </c>
      <c r="L4581" s="604" t="s">
        <v>85</v>
      </c>
      <c r="M4581" s="604">
        <v>3</v>
      </c>
      <c r="N4581" s="604">
        <v>2287</v>
      </c>
      <c r="O4581" s="604">
        <v>1.3</v>
      </c>
      <c r="P4581" s="604" t="s">
        <v>436</v>
      </c>
      <c r="Q4581" s="499"/>
    </row>
    <row r="4582" spans="9:17">
      <c r="I4582" s="578" t="str">
        <f t="shared" si="217"/>
        <v>2015dhbWaitemataPN</v>
      </c>
      <c r="J4582" s="604">
        <v>2015</v>
      </c>
      <c r="K4582" s="604" t="s">
        <v>448</v>
      </c>
      <c r="L4582" s="604" t="s">
        <v>86</v>
      </c>
      <c r="M4582" s="604">
        <v>8</v>
      </c>
      <c r="N4582" s="604">
        <v>8092</v>
      </c>
      <c r="O4582" s="604">
        <v>1</v>
      </c>
      <c r="P4582" s="604" t="s">
        <v>436</v>
      </c>
      <c r="Q4582" s="499"/>
    </row>
    <row r="4583" spans="9:17">
      <c r="I4583" s="578" t="str">
        <f t="shared" si="217"/>
        <v>2015dhbAucklandPN</v>
      </c>
      <c r="J4583" s="604">
        <v>2015</v>
      </c>
      <c r="K4583" s="604" t="s">
        <v>448</v>
      </c>
      <c r="L4583" s="604" t="s">
        <v>87</v>
      </c>
      <c r="M4583" s="604">
        <v>7</v>
      </c>
      <c r="N4583" s="604">
        <v>6264</v>
      </c>
      <c r="O4583" s="604">
        <v>1.1000000000000001</v>
      </c>
      <c r="P4583" s="604" t="s">
        <v>436</v>
      </c>
      <c r="Q4583" s="499"/>
    </row>
    <row r="4584" spans="9:17">
      <c r="I4584" s="578" t="str">
        <f t="shared" si="217"/>
        <v>2015dhbCounties ManukauPN</v>
      </c>
      <c r="J4584" s="604">
        <v>2015</v>
      </c>
      <c r="K4584" s="604" t="s">
        <v>448</v>
      </c>
      <c r="L4584" s="604" t="s">
        <v>88</v>
      </c>
      <c r="M4584" s="604">
        <v>16</v>
      </c>
      <c r="N4584" s="604">
        <v>8562</v>
      </c>
      <c r="O4584" s="604">
        <v>1.9</v>
      </c>
      <c r="P4584" s="604" t="s">
        <v>436</v>
      </c>
      <c r="Q4584" s="499"/>
    </row>
    <row r="4585" spans="9:17">
      <c r="I4585" s="578" t="str">
        <f t="shared" si="217"/>
        <v>2015dhbWaikatoPN</v>
      </c>
      <c r="J4585" s="604">
        <v>2015</v>
      </c>
      <c r="K4585" s="604" t="s">
        <v>448</v>
      </c>
      <c r="L4585" s="604" t="s">
        <v>89</v>
      </c>
      <c r="M4585" s="604">
        <v>17</v>
      </c>
      <c r="N4585" s="604">
        <v>5690</v>
      </c>
      <c r="O4585" s="604">
        <v>3</v>
      </c>
      <c r="P4585" s="604" t="s">
        <v>436</v>
      </c>
      <c r="Q4585" s="499"/>
    </row>
    <row r="4586" spans="9:17">
      <c r="I4586" s="578" t="str">
        <f t="shared" si="217"/>
        <v>2015dhbLakesPN</v>
      </c>
      <c r="J4586" s="604">
        <v>2015</v>
      </c>
      <c r="K4586" s="604" t="s">
        <v>448</v>
      </c>
      <c r="L4586" s="604" t="s">
        <v>90</v>
      </c>
      <c r="M4586" s="604">
        <v>3</v>
      </c>
      <c r="N4586" s="604">
        <v>1591</v>
      </c>
      <c r="O4586" s="604">
        <v>1.9</v>
      </c>
      <c r="P4586" s="604" t="s">
        <v>436</v>
      </c>
      <c r="Q4586" s="499"/>
    </row>
    <row r="4587" spans="9:17">
      <c r="I4587" s="578" t="str">
        <f t="shared" si="217"/>
        <v>2015dhbBay of PlentyPN</v>
      </c>
      <c r="J4587" s="604">
        <v>2015</v>
      </c>
      <c r="K4587" s="604" t="s">
        <v>448</v>
      </c>
      <c r="L4587" s="604" t="s">
        <v>91</v>
      </c>
      <c r="M4587" s="604">
        <v>5</v>
      </c>
      <c r="N4587" s="604">
        <v>2946</v>
      </c>
      <c r="O4587" s="604">
        <v>1.7</v>
      </c>
      <c r="P4587" s="604" t="s">
        <v>436</v>
      </c>
      <c r="Q4587" s="499"/>
    </row>
    <row r="4588" spans="9:17">
      <c r="I4588" s="578" t="str">
        <f t="shared" si="217"/>
        <v>2015dhbTairawhitiPN</v>
      </c>
      <c r="J4588" s="604">
        <v>2015</v>
      </c>
      <c r="K4588" s="604" t="s">
        <v>448</v>
      </c>
      <c r="L4588" s="604" t="s">
        <v>433</v>
      </c>
      <c r="M4588" s="604">
        <v>0</v>
      </c>
      <c r="N4588" s="604">
        <v>739</v>
      </c>
      <c r="O4588" s="604">
        <v>0</v>
      </c>
      <c r="P4588" s="604" t="s">
        <v>436</v>
      </c>
      <c r="Q4588" s="499"/>
    </row>
    <row r="4589" spans="9:17">
      <c r="I4589" s="578" t="str">
        <f t="shared" si="217"/>
        <v>2015dhbHawke's BayPN</v>
      </c>
      <c r="J4589" s="604">
        <v>2015</v>
      </c>
      <c r="K4589" s="604" t="s">
        <v>448</v>
      </c>
      <c r="L4589" s="604" t="s">
        <v>92</v>
      </c>
      <c r="M4589" s="604">
        <v>2</v>
      </c>
      <c r="N4589" s="604">
        <v>2208</v>
      </c>
      <c r="O4589" s="604">
        <v>0.9</v>
      </c>
      <c r="P4589" s="604" t="s">
        <v>436</v>
      </c>
      <c r="Q4589" s="499"/>
    </row>
    <row r="4590" spans="9:17">
      <c r="I4590" s="578" t="str">
        <f t="shared" si="217"/>
        <v>2015dhbTaranakiPN</v>
      </c>
      <c r="J4590" s="604">
        <v>2015</v>
      </c>
      <c r="K4590" s="604" t="s">
        <v>448</v>
      </c>
      <c r="L4590" s="604" t="s">
        <v>93</v>
      </c>
      <c r="M4590" s="604">
        <v>1</v>
      </c>
      <c r="N4590" s="604">
        <v>1638</v>
      </c>
      <c r="O4590" s="604">
        <v>0.6</v>
      </c>
      <c r="P4590" s="604" t="s">
        <v>436</v>
      </c>
      <c r="Q4590" s="499"/>
    </row>
    <row r="4591" spans="9:17">
      <c r="I4591" s="578" t="str">
        <f t="shared" si="217"/>
        <v>2015dhbMidCentralPN</v>
      </c>
      <c r="J4591" s="604">
        <v>2015</v>
      </c>
      <c r="K4591" s="604" t="s">
        <v>448</v>
      </c>
      <c r="L4591" s="604" t="s">
        <v>94</v>
      </c>
      <c r="M4591" s="604">
        <v>3</v>
      </c>
      <c r="N4591" s="604">
        <v>2217</v>
      </c>
      <c r="O4591" s="604">
        <v>1.4</v>
      </c>
      <c r="P4591" s="604" t="s">
        <v>436</v>
      </c>
      <c r="Q4591" s="499"/>
    </row>
    <row r="4592" spans="9:17">
      <c r="I4592" s="578" t="str">
        <f t="shared" si="217"/>
        <v>2015dhbWhanganuiPN</v>
      </c>
      <c r="J4592" s="604">
        <v>2015</v>
      </c>
      <c r="K4592" s="604" t="s">
        <v>448</v>
      </c>
      <c r="L4592" s="604" t="s">
        <v>95</v>
      </c>
      <c r="M4592" s="604">
        <v>2</v>
      </c>
      <c r="N4592" s="604">
        <v>874</v>
      </c>
      <c r="O4592" s="604">
        <v>2.2999999999999998</v>
      </c>
      <c r="P4592" s="604" t="s">
        <v>436</v>
      </c>
      <c r="Q4592" s="499"/>
    </row>
    <row r="4593" spans="9:17">
      <c r="I4593" s="578" t="str">
        <f t="shared" si="217"/>
        <v>2015dhbCapital &amp; CoastPN</v>
      </c>
      <c r="J4593" s="604">
        <v>2015</v>
      </c>
      <c r="K4593" s="604" t="s">
        <v>448</v>
      </c>
      <c r="L4593" s="604" t="s">
        <v>96</v>
      </c>
      <c r="M4593" s="604">
        <v>6</v>
      </c>
      <c r="N4593" s="604">
        <v>3615</v>
      </c>
      <c r="O4593" s="604">
        <v>1.7</v>
      </c>
      <c r="P4593" s="604" t="s">
        <v>436</v>
      </c>
      <c r="Q4593" s="499"/>
    </row>
    <row r="4594" spans="9:17">
      <c r="I4594" s="578" t="str">
        <f t="shared" si="217"/>
        <v>2015dhbHutt ValleyPN</v>
      </c>
      <c r="J4594" s="604">
        <v>2015</v>
      </c>
      <c r="K4594" s="604" t="s">
        <v>448</v>
      </c>
      <c r="L4594" s="604" t="s">
        <v>97</v>
      </c>
      <c r="M4594" s="604">
        <v>3</v>
      </c>
      <c r="N4594" s="604">
        <v>2091</v>
      </c>
      <c r="O4594" s="604">
        <v>1.4</v>
      </c>
      <c r="P4594" s="604" t="s">
        <v>436</v>
      </c>
      <c r="Q4594" s="499"/>
    </row>
    <row r="4595" spans="9:17">
      <c r="I4595" s="578" t="str">
        <f t="shared" si="217"/>
        <v>2015dhbWairarapaPN</v>
      </c>
      <c r="J4595" s="604">
        <v>2015</v>
      </c>
      <c r="K4595" s="604" t="s">
        <v>448</v>
      </c>
      <c r="L4595" s="604" t="s">
        <v>98</v>
      </c>
      <c r="M4595" s="604">
        <v>0</v>
      </c>
      <c r="N4595" s="604">
        <v>494</v>
      </c>
      <c r="O4595" s="604">
        <v>0</v>
      </c>
      <c r="P4595" s="604" t="s">
        <v>436</v>
      </c>
      <c r="Q4595" s="499"/>
    </row>
    <row r="4596" spans="9:17">
      <c r="I4596" s="578" t="str">
        <f t="shared" si="217"/>
        <v>2015dhbNelson MarlboroughPN</v>
      </c>
      <c r="J4596" s="604">
        <v>2015</v>
      </c>
      <c r="K4596" s="604" t="s">
        <v>448</v>
      </c>
      <c r="L4596" s="604" t="s">
        <v>99</v>
      </c>
      <c r="M4596" s="604">
        <v>0</v>
      </c>
      <c r="N4596" s="604">
        <v>1489</v>
      </c>
      <c r="O4596" s="604">
        <v>0</v>
      </c>
      <c r="P4596" s="604" t="s">
        <v>436</v>
      </c>
      <c r="Q4596" s="499"/>
    </row>
    <row r="4597" spans="9:17">
      <c r="I4597" s="578" t="str">
        <f t="shared" si="217"/>
        <v>2015dhbWest CoastPN</v>
      </c>
      <c r="J4597" s="604">
        <v>2015</v>
      </c>
      <c r="K4597" s="604" t="s">
        <v>448</v>
      </c>
      <c r="L4597" s="604" t="s">
        <v>100</v>
      </c>
      <c r="M4597" s="604">
        <v>0</v>
      </c>
      <c r="N4597" s="604">
        <v>389</v>
      </c>
      <c r="O4597" s="604">
        <v>0</v>
      </c>
      <c r="P4597" s="604" t="s">
        <v>436</v>
      </c>
      <c r="Q4597" s="499"/>
    </row>
    <row r="4598" spans="9:17">
      <c r="I4598" s="578" t="str">
        <f t="shared" si="217"/>
        <v>2015dhbCanterburyPN</v>
      </c>
      <c r="J4598" s="604">
        <v>2015</v>
      </c>
      <c r="K4598" s="604" t="s">
        <v>448</v>
      </c>
      <c r="L4598" s="604" t="s">
        <v>101</v>
      </c>
      <c r="M4598" s="604">
        <v>6</v>
      </c>
      <c r="N4598" s="604">
        <v>6439</v>
      </c>
      <c r="O4598" s="604">
        <v>0.9</v>
      </c>
      <c r="P4598" s="604" t="s">
        <v>436</v>
      </c>
      <c r="Q4598" s="499"/>
    </row>
    <row r="4599" spans="9:17">
      <c r="I4599" s="578" t="str">
        <f t="shared" si="217"/>
        <v>2015dhbSouth CanterburyPN</v>
      </c>
      <c r="J4599" s="604">
        <v>2015</v>
      </c>
      <c r="K4599" s="604" t="s">
        <v>448</v>
      </c>
      <c r="L4599" s="604" t="s">
        <v>102</v>
      </c>
      <c r="M4599" s="604">
        <v>0</v>
      </c>
      <c r="N4599" s="604">
        <v>682</v>
      </c>
      <c r="O4599" s="604">
        <v>0</v>
      </c>
      <c r="P4599" s="604" t="s">
        <v>436</v>
      </c>
      <c r="Q4599" s="499"/>
    </row>
    <row r="4600" spans="9:17">
      <c r="I4600" s="578" t="str">
        <f t="shared" si="217"/>
        <v>2015dhbSouthernPN</v>
      </c>
      <c r="J4600" s="604">
        <v>2015</v>
      </c>
      <c r="K4600" s="604" t="s">
        <v>448</v>
      </c>
      <c r="L4600" s="604" t="s">
        <v>103</v>
      </c>
      <c r="M4600" s="604">
        <v>9</v>
      </c>
      <c r="N4600" s="604">
        <v>3646</v>
      </c>
      <c r="O4600" s="604">
        <v>2.5</v>
      </c>
      <c r="P4600" s="604" t="s">
        <v>436</v>
      </c>
      <c r="Q4600" s="499"/>
    </row>
    <row r="4601" spans="9:17">
      <c r="I4601" s="578" t="str">
        <f t="shared" si="217"/>
        <v>2015dhbUnknownPN</v>
      </c>
      <c r="J4601" s="604">
        <v>2015</v>
      </c>
      <c r="K4601" s="604" t="s">
        <v>448</v>
      </c>
      <c r="L4601" s="604" t="s">
        <v>63</v>
      </c>
      <c r="M4601" s="604">
        <v>0</v>
      </c>
      <c r="N4601" s="604">
        <v>169</v>
      </c>
      <c r="O4601" s="604" t="s">
        <v>119</v>
      </c>
      <c r="P4601" s="604" t="s">
        <v>436</v>
      </c>
      <c r="Q4601" s="499"/>
    </row>
    <row r="4602" spans="9:17">
      <c r="I4602" s="578" t="str">
        <f t="shared" si="217"/>
        <v>2016dhbNorthlandPN</v>
      </c>
      <c r="J4602" s="604">
        <v>2016</v>
      </c>
      <c r="K4602" s="604" t="s">
        <v>448</v>
      </c>
      <c r="L4602" s="604" t="s">
        <v>85</v>
      </c>
      <c r="M4602" s="604">
        <v>4</v>
      </c>
      <c r="N4602" s="604">
        <v>2320</v>
      </c>
      <c r="O4602" s="604">
        <v>1.7</v>
      </c>
      <c r="P4602" s="604" t="s">
        <v>436</v>
      </c>
      <c r="Q4602" s="499"/>
    </row>
    <row r="4603" spans="9:17">
      <c r="I4603" s="578" t="str">
        <f t="shared" si="217"/>
        <v>2016dhbWaitemataPN</v>
      </c>
      <c r="J4603" s="604">
        <v>2016</v>
      </c>
      <c r="K4603" s="604" t="s">
        <v>448</v>
      </c>
      <c r="L4603" s="604" t="s">
        <v>86</v>
      </c>
      <c r="M4603" s="604">
        <v>3</v>
      </c>
      <c r="N4603" s="604">
        <v>8051</v>
      </c>
      <c r="O4603" s="604">
        <v>0.4</v>
      </c>
      <c r="P4603" s="604" t="s">
        <v>436</v>
      </c>
      <c r="Q4603" s="499"/>
    </row>
    <row r="4604" spans="9:17">
      <c r="I4604" s="578" t="str">
        <f t="shared" si="217"/>
        <v>2016dhbAucklandPN</v>
      </c>
      <c r="J4604" s="604">
        <v>2016</v>
      </c>
      <c r="K4604" s="604" t="s">
        <v>448</v>
      </c>
      <c r="L4604" s="604" t="s">
        <v>87</v>
      </c>
      <c r="M4604" s="604">
        <v>4</v>
      </c>
      <c r="N4604" s="604">
        <v>5905</v>
      </c>
      <c r="O4604" s="604">
        <v>0.7</v>
      </c>
      <c r="P4604" s="604" t="s">
        <v>436</v>
      </c>
      <c r="Q4604" s="499"/>
    </row>
    <row r="4605" spans="9:17">
      <c r="I4605" s="578" t="str">
        <f t="shared" si="217"/>
        <v>2016dhbCounties ManukauPN</v>
      </c>
      <c r="J4605" s="604">
        <v>2016</v>
      </c>
      <c r="K4605" s="604" t="s">
        <v>448</v>
      </c>
      <c r="L4605" s="604" t="s">
        <v>88</v>
      </c>
      <c r="M4605" s="604">
        <v>16</v>
      </c>
      <c r="N4605" s="604">
        <v>8375</v>
      </c>
      <c r="O4605" s="604">
        <v>1.9</v>
      </c>
      <c r="P4605" s="604" t="s">
        <v>436</v>
      </c>
      <c r="Q4605" s="499"/>
    </row>
    <row r="4606" spans="9:17">
      <c r="I4606" s="578" t="str">
        <f t="shared" si="217"/>
        <v>2016dhbWaikatoPN</v>
      </c>
      <c r="J4606" s="604">
        <v>2016</v>
      </c>
      <c r="K4606" s="604" t="s">
        <v>448</v>
      </c>
      <c r="L4606" s="604" t="s">
        <v>89</v>
      </c>
      <c r="M4606" s="604">
        <v>12</v>
      </c>
      <c r="N4606" s="604">
        <v>5507</v>
      </c>
      <c r="O4606" s="604">
        <v>2.2000000000000002</v>
      </c>
      <c r="P4606" s="604" t="s">
        <v>436</v>
      </c>
      <c r="Q4606" s="499"/>
    </row>
    <row r="4607" spans="9:17">
      <c r="I4607" s="578" t="str">
        <f t="shared" si="217"/>
        <v>2016dhbLakesPN</v>
      </c>
      <c r="J4607" s="604">
        <v>2016</v>
      </c>
      <c r="K4607" s="604" t="s">
        <v>448</v>
      </c>
      <c r="L4607" s="604" t="s">
        <v>90</v>
      </c>
      <c r="M4607" s="604">
        <v>0</v>
      </c>
      <c r="N4607" s="604">
        <v>1569</v>
      </c>
      <c r="O4607" s="604">
        <v>0</v>
      </c>
      <c r="P4607" s="604" t="s">
        <v>436</v>
      </c>
      <c r="Q4607" s="499"/>
    </row>
    <row r="4608" spans="9:17">
      <c r="I4608" s="578" t="str">
        <f t="shared" si="217"/>
        <v>2016dhbBay of PlentyPN</v>
      </c>
      <c r="J4608" s="604">
        <v>2016</v>
      </c>
      <c r="K4608" s="604" t="s">
        <v>448</v>
      </c>
      <c r="L4608" s="604" t="s">
        <v>91</v>
      </c>
      <c r="M4608" s="604">
        <v>5</v>
      </c>
      <c r="N4608" s="604">
        <v>2940</v>
      </c>
      <c r="O4608" s="604">
        <v>1.7</v>
      </c>
      <c r="P4608" s="604" t="s">
        <v>436</v>
      </c>
      <c r="Q4608" s="499"/>
    </row>
    <row r="4609" spans="9:17">
      <c r="I4609" s="578" t="str">
        <f t="shared" si="217"/>
        <v>2016dhbTairawhitiPN</v>
      </c>
      <c r="J4609" s="604">
        <v>2016</v>
      </c>
      <c r="K4609" s="604" t="s">
        <v>448</v>
      </c>
      <c r="L4609" s="604" t="s">
        <v>433</v>
      </c>
      <c r="M4609" s="604">
        <v>3</v>
      </c>
      <c r="N4609" s="604">
        <v>769</v>
      </c>
      <c r="O4609" s="604">
        <v>3.9</v>
      </c>
      <c r="P4609" s="604" t="s">
        <v>436</v>
      </c>
      <c r="Q4609" s="499"/>
    </row>
    <row r="4610" spans="9:17">
      <c r="I4610" s="578" t="str">
        <f t="shared" si="217"/>
        <v>2016dhbHawke's BayPN</v>
      </c>
      <c r="J4610" s="604">
        <v>2016</v>
      </c>
      <c r="K4610" s="604" t="s">
        <v>448</v>
      </c>
      <c r="L4610" s="604" t="s">
        <v>92</v>
      </c>
      <c r="M4610" s="604">
        <v>4</v>
      </c>
      <c r="N4610" s="604">
        <v>2098</v>
      </c>
      <c r="O4610" s="604">
        <v>1.9</v>
      </c>
      <c r="P4610" s="604" t="s">
        <v>436</v>
      </c>
      <c r="Q4610" s="499"/>
    </row>
    <row r="4611" spans="9:17">
      <c r="I4611" s="578" t="str">
        <f t="shared" si="217"/>
        <v>2016dhbTaranakiPN</v>
      </c>
      <c r="J4611" s="604">
        <v>2016</v>
      </c>
      <c r="K4611" s="604" t="s">
        <v>448</v>
      </c>
      <c r="L4611" s="604" t="s">
        <v>93</v>
      </c>
      <c r="M4611" s="604">
        <v>4</v>
      </c>
      <c r="N4611" s="604">
        <v>1491</v>
      </c>
      <c r="O4611" s="604">
        <v>2.7</v>
      </c>
      <c r="P4611" s="604" t="s">
        <v>436</v>
      </c>
      <c r="Q4611" s="499"/>
    </row>
    <row r="4612" spans="9:17">
      <c r="I4612" s="578" t="str">
        <f t="shared" ref="I4612:I4675" si="218">J4612&amp;K4612&amp;L4612&amp;P4612</f>
        <v>2016dhbMidCentralPN</v>
      </c>
      <c r="J4612" s="604">
        <v>2016</v>
      </c>
      <c r="K4612" s="604" t="s">
        <v>448</v>
      </c>
      <c r="L4612" s="604" t="s">
        <v>94</v>
      </c>
      <c r="M4612" s="604">
        <v>3</v>
      </c>
      <c r="N4612" s="604">
        <v>2106</v>
      </c>
      <c r="O4612" s="604">
        <v>1.4</v>
      </c>
      <c r="P4612" s="604" t="s">
        <v>436</v>
      </c>
      <c r="Q4612" s="499"/>
    </row>
    <row r="4613" spans="9:17">
      <c r="I4613" s="578" t="str">
        <f t="shared" si="218"/>
        <v>2016dhbWhanganuiPN</v>
      </c>
      <c r="J4613" s="604">
        <v>2016</v>
      </c>
      <c r="K4613" s="604" t="s">
        <v>448</v>
      </c>
      <c r="L4613" s="604" t="s">
        <v>95</v>
      </c>
      <c r="M4613" s="604">
        <v>3</v>
      </c>
      <c r="N4613" s="604">
        <v>843</v>
      </c>
      <c r="O4613" s="604">
        <v>3.6</v>
      </c>
      <c r="P4613" s="604" t="s">
        <v>436</v>
      </c>
      <c r="Q4613" s="499"/>
    </row>
    <row r="4614" spans="9:17">
      <c r="I4614" s="578" t="str">
        <f t="shared" si="218"/>
        <v>2016dhbCapital &amp; CoastPN</v>
      </c>
      <c r="J4614" s="604">
        <v>2016</v>
      </c>
      <c r="K4614" s="604" t="s">
        <v>448</v>
      </c>
      <c r="L4614" s="604" t="s">
        <v>96</v>
      </c>
      <c r="M4614" s="604">
        <v>4</v>
      </c>
      <c r="N4614" s="604">
        <v>3527</v>
      </c>
      <c r="O4614" s="604">
        <v>1.1000000000000001</v>
      </c>
      <c r="P4614" s="604" t="s">
        <v>436</v>
      </c>
      <c r="Q4614" s="499"/>
    </row>
    <row r="4615" spans="9:17">
      <c r="I4615" s="578" t="str">
        <f t="shared" si="218"/>
        <v>2016dhbHutt ValleyPN</v>
      </c>
      <c r="J4615" s="604">
        <v>2016</v>
      </c>
      <c r="K4615" s="604" t="s">
        <v>448</v>
      </c>
      <c r="L4615" s="604" t="s">
        <v>97</v>
      </c>
      <c r="M4615" s="604">
        <v>1</v>
      </c>
      <c r="N4615" s="604">
        <v>2004</v>
      </c>
      <c r="O4615" s="604">
        <v>0.5</v>
      </c>
      <c r="P4615" s="604" t="s">
        <v>436</v>
      </c>
      <c r="Q4615" s="499"/>
    </row>
    <row r="4616" spans="9:17">
      <c r="I4616" s="578" t="str">
        <f t="shared" si="218"/>
        <v>2016dhbWairarapaPN</v>
      </c>
      <c r="J4616" s="604">
        <v>2016</v>
      </c>
      <c r="K4616" s="604" t="s">
        <v>448</v>
      </c>
      <c r="L4616" s="604" t="s">
        <v>98</v>
      </c>
      <c r="M4616" s="604">
        <v>0</v>
      </c>
      <c r="N4616" s="604">
        <v>481</v>
      </c>
      <c r="O4616" s="604">
        <v>0</v>
      </c>
      <c r="P4616" s="604" t="s">
        <v>436</v>
      </c>
      <c r="Q4616" s="499"/>
    </row>
    <row r="4617" spans="9:17">
      <c r="I4617" s="578" t="str">
        <f t="shared" si="218"/>
        <v>2016dhbNelson MarlboroughPN</v>
      </c>
      <c r="J4617" s="604">
        <v>2016</v>
      </c>
      <c r="K4617" s="604" t="s">
        <v>448</v>
      </c>
      <c r="L4617" s="604" t="s">
        <v>99</v>
      </c>
      <c r="M4617" s="604">
        <v>2</v>
      </c>
      <c r="N4617" s="604">
        <v>1539</v>
      </c>
      <c r="O4617" s="604">
        <v>1.3</v>
      </c>
      <c r="P4617" s="604" t="s">
        <v>436</v>
      </c>
      <c r="Q4617" s="499"/>
    </row>
    <row r="4618" spans="9:17">
      <c r="I4618" s="578" t="str">
        <f t="shared" si="218"/>
        <v>2016dhbWest CoastPN</v>
      </c>
      <c r="J4618" s="604">
        <v>2016</v>
      </c>
      <c r="K4618" s="604" t="s">
        <v>448</v>
      </c>
      <c r="L4618" s="604" t="s">
        <v>100</v>
      </c>
      <c r="M4618" s="604">
        <v>0</v>
      </c>
      <c r="N4618" s="604">
        <v>327</v>
      </c>
      <c r="O4618" s="604">
        <v>0</v>
      </c>
      <c r="P4618" s="604" t="s">
        <v>436</v>
      </c>
      <c r="Q4618" s="499"/>
    </row>
    <row r="4619" spans="9:17">
      <c r="I4619" s="578" t="str">
        <f t="shared" si="218"/>
        <v>2016dhbCanterburyPN</v>
      </c>
      <c r="J4619" s="604">
        <v>2016</v>
      </c>
      <c r="K4619" s="604" t="s">
        <v>448</v>
      </c>
      <c r="L4619" s="604" t="s">
        <v>101</v>
      </c>
      <c r="M4619" s="604">
        <v>8</v>
      </c>
      <c r="N4619" s="604">
        <v>6399</v>
      </c>
      <c r="O4619" s="604">
        <v>1.3</v>
      </c>
      <c r="P4619" s="604" t="s">
        <v>436</v>
      </c>
      <c r="Q4619" s="499"/>
    </row>
    <row r="4620" spans="9:17">
      <c r="I4620" s="578" t="str">
        <f t="shared" si="218"/>
        <v>2016dhbSouth CanterburyPN</v>
      </c>
      <c r="J4620" s="604">
        <v>2016</v>
      </c>
      <c r="K4620" s="604" t="s">
        <v>448</v>
      </c>
      <c r="L4620" s="604" t="s">
        <v>102</v>
      </c>
      <c r="M4620" s="604">
        <v>0</v>
      </c>
      <c r="N4620" s="604">
        <v>641</v>
      </c>
      <c r="O4620" s="604">
        <v>0</v>
      </c>
      <c r="P4620" s="604" t="s">
        <v>436</v>
      </c>
      <c r="Q4620" s="499"/>
    </row>
    <row r="4621" spans="9:17">
      <c r="I4621" s="578" t="str">
        <f t="shared" si="218"/>
        <v>2016dhbSouthernPN</v>
      </c>
      <c r="J4621" s="604">
        <v>2016</v>
      </c>
      <c r="K4621" s="604" t="s">
        <v>448</v>
      </c>
      <c r="L4621" s="604" t="s">
        <v>103</v>
      </c>
      <c r="M4621" s="604">
        <v>3</v>
      </c>
      <c r="N4621" s="604">
        <v>3414</v>
      </c>
      <c r="O4621" s="604">
        <v>0.9</v>
      </c>
      <c r="P4621" s="604" t="s">
        <v>436</v>
      </c>
      <c r="Q4621" s="499"/>
    </row>
    <row r="4622" spans="9:17">
      <c r="I4622" s="578" t="str">
        <f t="shared" si="218"/>
        <v>2016dhbUnknownPN</v>
      </c>
      <c r="J4622" s="604">
        <v>2016</v>
      </c>
      <c r="K4622" s="604" t="s">
        <v>448</v>
      </c>
      <c r="L4622" s="604" t="s">
        <v>63</v>
      </c>
      <c r="M4622" s="604">
        <v>1</v>
      </c>
      <c r="N4622" s="604">
        <v>130</v>
      </c>
      <c r="O4622" s="604" t="s">
        <v>119</v>
      </c>
      <c r="P4622" s="604" t="s">
        <v>436</v>
      </c>
      <c r="Q4622" s="499"/>
    </row>
    <row r="4623" spans="9:17">
      <c r="I4623" s="578" t="str">
        <f t="shared" si="218"/>
        <v>1996OverallTotalInfant</v>
      </c>
      <c r="J4623" s="604">
        <v>1996</v>
      </c>
      <c r="K4623" s="604" t="s">
        <v>104</v>
      </c>
      <c r="L4623" s="604" t="s">
        <v>44</v>
      </c>
      <c r="M4623" s="604">
        <v>417</v>
      </c>
      <c r="N4623" s="604">
        <v>57434</v>
      </c>
      <c r="O4623" s="604">
        <v>7.3</v>
      </c>
      <c r="P4623" s="604" t="s">
        <v>48</v>
      </c>
      <c r="Q4623" s="499"/>
    </row>
    <row r="4624" spans="9:17">
      <c r="I4624" s="578" t="str">
        <f t="shared" si="218"/>
        <v>1997OverallTotalInfant</v>
      </c>
      <c r="J4624" s="604">
        <v>1997</v>
      </c>
      <c r="K4624" s="604" t="s">
        <v>104</v>
      </c>
      <c r="L4624" s="604" t="s">
        <v>44</v>
      </c>
      <c r="M4624" s="604">
        <v>391</v>
      </c>
      <c r="N4624" s="604">
        <v>57734</v>
      </c>
      <c r="O4624" s="604">
        <v>6.8</v>
      </c>
      <c r="P4624" s="604" t="s">
        <v>48</v>
      </c>
      <c r="Q4624" s="499"/>
    </row>
    <row r="4625" spans="9:17">
      <c r="I4625" s="578" t="str">
        <f t="shared" si="218"/>
        <v>1998OverallTotalInfant</v>
      </c>
      <c r="J4625" s="604">
        <v>1998</v>
      </c>
      <c r="K4625" s="604" t="s">
        <v>104</v>
      </c>
      <c r="L4625" s="604" t="s">
        <v>44</v>
      </c>
      <c r="M4625" s="604">
        <v>308</v>
      </c>
      <c r="N4625" s="604">
        <v>57734</v>
      </c>
      <c r="O4625" s="604">
        <v>5.3</v>
      </c>
      <c r="P4625" s="604" t="s">
        <v>48</v>
      </c>
      <c r="Q4625" s="499"/>
    </row>
    <row r="4626" spans="9:17">
      <c r="I4626" s="578" t="str">
        <f t="shared" si="218"/>
        <v>1999OverallTotalInfant</v>
      </c>
      <c r="J4626" s="604">
        <v>1999</v>
      </c>
      <c r="K4626" s="604" t="s">
        <v>104</v>
      </c>
      <c r="L4626" s="604" t="s">
        <v>44</v>
      </c>
      <c r="M4626" s="604">
        <v>335</v>
      </c>
      <c r="N4626" s="604">
        <v>57421</v>
      </c>
      <c r="O4626" s="604">
        <v>5.8</v>
      </c>
      <c r="P4626" s="604" t="s">
        <v>48</v>
      </c>
      <c r="Q4626" s="499"/>
    </row>
    <row r="4627" spans="9:17">
      <c r="I4627" s="578" t="str">
        <f t="shared" si="218"/>
        <v>2000OverallTotalInfant</v>
      </c>
      <c r="J4627" s="604">
        <v>2000</v>
      </c>
      <c r="K4627" s="604" t="s">
        <v>104</v>
      </c>
      <c r="L4627" s="604" t="s">
        <v>44</v>
      </c>
      <c r="M4627" s="604">
        <v>359</v>
      </c>
      <c r="N4627" s="604">
        <v>56994</v>
      </c>
      <c r="O4627" s="604">
        <v>6.3</v>
      </c>
      <c r="P4627" s="604" t="s">
        <v>48</v>
      </c>
      <c r="Q4627" s="499"/>
    </row>
    <row r="4628" spans="9:17">
      <c r="I4628" s="578" t="str">
        <f t="shared" si="218"/>
        <v>2001OverallTotalInfant</v>
      </c>
      <c r="J4628" s="604">
        <v>2001</v>
      </c>
      <c r="K4628" s="604" t="s">
        <v>104</v>
      </c>
      <c r="L4628" s="604" t="s">
        <v>44</v>
      </c>
      <c r="M4628" s="604">
        <v>315</v>
      </c>
      <c r="N4628" s="604">
        <v>56224</v>
      </c>
      <c r="O4628" s="604">
        <v>5.6</v>
      </c>
      <c r="P4628" s="604" t="s">
        <v>48</v>
      </c>
      <c r="Q4628" s="499"/>
    </row>
    <row r="4629" spans="9:17">
      <c r="I4629" s="578" t="str">
        <f t="shared" si="218"/>
        <v>2002OverallTotalInfant</v>
      </c>
      <c r="J4629" s="604">
        <v>2002</v>
      </c>
      <c r="K4629" s="604" t="s">
        <v>104</v>
      </c>
      <c r="L4629" s="604" t="s">
        <v>44</v>
      </c>
      <c r="M4629" s="604">
        <v>337</v>
      </c>
      <c r="N4629" s="604">
        <v>54515</v>
      </c>
      <c r="O4629" s="604">
        <v>6.2</v>
      </c>
      <c r="P4629" s="604" t="s">
        <v>48</v>
      </c>
      <c r="Q4629" s="499"/>
    </row>
    <row r="4630" spans="9:17">
      <c r="I4630" s="578" t="str">
        <f t="shared" si="218"/>
        <v>2003OverallTotalInfant</v>
      </c>
      <c r="J4630" s="604">
        <v>2003</v>
      </c>
      <c r="K4630" s="604" t="s">
        <v>104</v>
      </c>
      <c r="L4630" s="604" t="s">
        <v>44</v>
      </c>
      <c r="M4630" s="604">
        <v>304</v>
      </c>
      <c r="N4630" s="604">
        <v>56576</v>
      </c>
      <c r="O4630" s="604">
        <v>5.4</v>
      </c>
      <c r="P4630" s="604" t="s">
        <v>48</v>
      </c>
      <c r="Q4630" s="499"/>
    </row>
    <row r="4631" spans="9:17">
      <c r="I4631" s="578" t="str">
        <f t="shared" si="218"/>
        <v>2004OverallTotalInfant</v>
      </c>
      <c r="J4631" s="604">
        <v>2004</v>
      </c>
      <c r="K4631" s="604" t="s">
        <v>104</v>
      </c>
      <c r="L4631" s="604" t="s">
        <v>44</v>
      </c>
      <c r="M4631" s="604">
        <v>346</v>
      </c>
      <c r="N4631" s="604">
        <v>58723</v>
      </c>
      <c r="O4631" s="604">
        <v>5.9</v>
      </c>
      <c r="P4631" s="604" t="s">
        <v>48</v>
      </c>
      <c r="Q4631" s="499"/>
    </row>
    <row r="4632" spans="9:17">
      <c r="I4632" s="578" t="str">
        <f t="shared" si="218"/>
        <v>2005OverallTotalInfant</v>
      </c>
      <c r="J4632" s="604">
        <v>2005</v>
      </c>
      <c r="K4632" s="604" t="s">
        <v>104</v>
      </c>
      <c r="L4632" s="604" t="s">
        <v>44</v>
      </c>
      <c r="M4632" s="604">
        <v>294</v>
      </c>
      <c r="N4632" s="604">
        <v>58727</v>
      </c>
      <c r="O4632" s="604">
        <v>5</v>
      </c>
      <c r="P4632" s="604" t="s">
        <v>48</v>
      </c>
      <c r="Q4632" s="499"/>
    </row>
    <row r="4633" spans="9:17">
      <c r="I4633" s="578" t="str">
        <f t="shared" si="218"/>
        <v>2006OverallTotalInfant</v>
      </c>
      <c r="J4633" s="604">
        <v>2006</v>
      </c>
      <c r="K4633" s="604" t="s">
        <v>104</v>
      </c>
      <c r="L4633" s="604" t="s">
        <v>44</v>
      </c>
      <c r="M4633" s="604">
        <v>308</v>
      </c>
      <c r="N4633" s="604">
        <v>60274</v>
      </c>
      <c r="O4633" s="604">
        <v>5.0999999999999996</v>
      </c>
      <c r="P4633" s="604" t="s">
        <v>48</v>
      </c>
      <c r="Q4633" s="499"/>
    </row>
    <row r="4634" spans="9:17">
      <c r="I4634" s="578" t="str">
        <f t="shared" si="218"/>
        <v>2007OverallTotalInfant</v>
      </c>
      <c r="J4634" s="604">
        <v>2007</v>
      </c>
      <c r="K4634" s="604" t="s">
        <v>104</v>
      </c>
      <c r="L4634" s="604" t="s">
        <v>44</v>
      </c>
      <c r="M4634" s="604">
        <v>312</v>
      </c>
      <c r="N4634" s="604">
        <v>65121</v>
      </c>
      <c r="O4634" s="604">
        <v>4.8</v>
      </c>
      <c r="P4634" s="604" t="s">
        <v>48</v>
      </c>
      <c r="Q4634" s="499"/>
    </row>
    <row r="4635" spans="9:17">
      <c r="I4635" s="578" t="str">
        <f t="shared" si="218"/>
        <v>2008OverallTotalInfant</v>
      </c>
      <c r="J4635" s="604">
        <v>2008</v>
      </c>
      <c r="K4635" s="604" t="s">
        <v>104</v>
      </c>
      <c r="L4635" s="604" t="s">
        <v>44</v>
      </c>
      <c r="M4635" s="604">
        <v>323</v>
      </c>
      <c r="N4635" s="604">
        <v>65333</v>
      </c>
      <c r="O4635" s="604">
        <v>4.9000000000000004</v>
      </c>
      <c r="P4635" s="604" t="s">
        <v>48</v>
      </c>
      <c r="Q4635" s="499"/>
    </row>
    <row r="4636" spans="9:17">
      <c r="I4636" s="578" t="str">
        <f t="shared" si="218"/>
        <v>2009OverallTotalInfant</v>
      </c>
      <c r="J4636" s="604">
        <v>2009</v>
      </c>
      <c r="K4636" s="604" t="s">
        <v>104</v>
      </c>
      <c r="L4636" s="604" t="s">
        <v>44</v>
      </c>
      <c r="M4636" s="604">
        <v>332</v>
      </c>
      <c r="N4636" s="604">
        <v>63285</v>
      </c>
      <c r="O4636" s="604">
        <v>5.2</v>
      </c>
      <c r="P4636" s="604" t="s">
        <v>48</v>
      </c>
      <c r="Q4636" s="499"/>
    </row>
    <row r="4637" spans="9:17">
      <c r="I4637" s="578" t="str">
        <f t="shared" si="218"/>
        <v>2010OverallTotalInfant</v>
      </c>
      <c r="J4637" s="604">
        <v>2010</v>
      </c>
      <c r="K4637" s="604" t="s">
        <v>104</v>
      </c>
      <c r="L4637" s="604" t="s">
        <v>44</v>
      </c>
      <c r="M4637" s="604">
        <v>361</v>
      </c>
      <c r="N4637" s="604">
        <v>64699</v>
      </c>
      <c r="O4637" s="604">
        <v>5.6</v>
      </c>
      <c r="P4637" s="604" t="s">
        <v>48</v>
      </c>
      <c r="Q4637" s="499"/>
    </row>
    <row r="4638" spans="9:17">
      <c r="I4638" s="578" t="str">
        <f t="shared" si="218"/>
        <v>2011OverallTotalInfant</v>
      </c>
      <c r="J4638" s="604">
        <v>2011</v>
      </c>
      <c r="K4638" s="604" t="s">
        <v>104</v>
      </c>
      <c r="L4638" s="604" t="s">
        <v>44</v>
      </c>
      <c r="M4638" s="604">
        <v>322</v>
      </c>
      <c r="N4638" s="604">
        <v>62174</v>
      </c>
      <c r="O4638" s="604">
        <v>5.2</v>
      </c>
      <c r="P4638" s="604" t="s">
        <v>48</v>
      </c>
      <c r="Q4638" s="499"/>
    </row>
    <row r="4639" spans="9:17">
      <c r="I4639" s="578" t="str">
        <f t="shared" si="218"/>
        <v>2012OverallTotalInfant</v>
      </c>
      <c r="J4639" s="604">
        <v>2012</v>
      </c>
      <c r="K4639" s="604" t="s">
        <v>104</v>
      </c>
      <c r="L4639" s="604" t="s">
        <v>44</v>
      </c>
      <c r="M4639" s="604">
        <v>294</v>
      </c>
      <c r="N4639" s="604">
        <v>62035</v>
      </c>
      <c r="O4639" s="604">
        <v>4.7</v>
      </c>
      <c r="P4639" s="604" t="s">
        <v>48</v>
      </c>
      <c r="Q4639" s="499"/>
    </row>
    <row r="4640" spans="9:17">
      <c r="I4640" s="578" t="str">
        <f t="shared" si="218"/>
        <v>2013OverallTotalInfant</v>
      </c>
      <c r="J4640" s="604">
        <v>2013</v>
      </c>
      <c r="K4640" s="604" t="s">
        <v>104</v>
      </c>
      <c r="L4640" s="604" t="s">
        <v>44</v>
      </c>
      <c r="M4640" s="604">
        <v>296</v>
      </c>
      <c r="N4640" s="604">
        <v>59701</v>
      </c>
      <c r="O4640" s="604">
        <v>5</v>
      </c>
      <c r="P4640" s="604" t="s">
        <v>48</v>
      </c>
      <c r="Q4640" s="499"/>
    </row>
    <row r="4641" spans="9:17">
      <c r="I4641" s="578" t="str">
        <f t="shared" si="218"/>
        <v>2014OverallTotalInfant</v>
      </c>
      <c r="J4641" s="604">
        <v>2014</v>
      </c>
      <c r="K4641" s="604" t="s">
        <v>104</v>
      </c>
      <c r="L4641" s="604" t="s">
        <v>44</v>
      </c>
      <c r="M4641" s="604">
        <v>333</v>
      </c>
      <c r="N4641" s="604">
        <v>58285</v>
      </c>
      <c r="O4641" s="604">
        <v>5.7</v>
      </c>
      <c r="P4641" s="604" t="s">
        <v>48</v>
      </c>
      <c r="Q4641" s="499"/>
    </row>
    <row r="4642" spans="9:17">
      <c r="I4642" s="578" t="str">
        <f t="shared" si="218"/>
        <v>2015OverallTotalInfant</v>
      </c>
      <c r="J4642" s="604">
        <v>2015</v>
      </c>
      <c r="K4642" s="604" t="s">
        <v>104</v>
      </c>
      <c r="L4642" s="604" t="s">
        <v>44</v>
      </c>
      <c r="M4642" s="604">
        <v>266</v>
      </c>
      <c r="N4642" s="604">
        <v>62122</v>
      </c>
      <c r="O4642" s="604">
        <v>4.3</v>
      </c>
      <c r="P4642" s="604" t="s">
        <v>48</v>
      </c>
      <c r="Q4642" s="499"/>
    </row>
    <row r="4643" spans="9:17">
      <c r="I4643" s="578" t="str">
        <f t="shared" si="218"/>
        <v>2016OverallTotalInfant</v>
      </c>
      <c r="J4643" s="604">
        <v>2016</v>
      </c>
      <c r="K4643" s="604" t="s">
        <v>104</v>
      </c>
      <c r="L4643" s="604" t="s">
        <v>44</v>
      </c>
      <c r="M4643" s="604">
        <v>241</v>
      </c>
      <c r="N4643" s="604">
        <v>60436</v>
      </c>
      <c r="O4643" s="604">
        <v>4</v>
      </c>
      <c r="P4643" s="604" t="s">
        <v>48</v>
      </c>
      <c r="Q4643" s="499"/>
    </row>
    <row r="4644" spans="9:17">
      <c r="I4644" s="578" t="str">
        <f t="shared" si="218"/>
        <v>1996age&lt;20Infant</v>
      </c>
      <c r="J4644" s="604">
        <v>1996</v>
      </c>
      <c r="K4644" s="604" t="s">
        <v>453</v>
      </c>
      <c r="L4644" s="604" t="s">
        <v>339</v>
      </c>
      <c r="M4644" s="604">
        <v>48</v>
      </c>
      <c r="N4644" s="604">
        <v>4412</v>
      </c>
      <c r="O4644" s="604">
        <v>10.9</v>
      </c>
      <c r="P4644" s="604" t="s">
        <v>48</v>
      </c>
      <c r="Q4644" s="499"/>
    </row>
    <row r="4645" spans="9:17">
      <c r="I4645" s="578" t="str">
        <f t="shared" si="218"/>
        <v>1996age20-24Infant</v>
      </c>
      <c r="J4645" s="604">
        <v>1996</v>
      </c>
      <c r="K4645" s="604" t="s">
        <v>453</v>
      </c>
      <c r="L4645" s="604" t="s">
        <v>130</v>
      </c>
      <c r="M4645" s="604">
        <v>117</v>
      </c>
      <c r="N4645" s="604">
        <v>11417</v>
      </c>
      <c r="O4645" s="604">
        <v>10.199999999999999</v>
      </c>
      <c r="P4645" s="604" t="s">
        <v>48</v>
      </c>
      <c r="Q4645" s="499"/>
    </row>
    <row r="4646" spans="9:17">
      <c r="I4646" s="578" t="str">
        <f t="shared" si="218"/>
        <v>1996age25-29Infant</v>
      </c>
      <c r="J4646" s="604">
        <v>1996</v>
      </c>
      <c r="K4646" s="604" t="s">
        <v>453</v>
      </c>
      <c r="L4646" s="604" t="s">
        <v>131</v>
      </c>
      <c r="M4646" s="604">
        <v>109</v>
      </c>
      <c r="N4646" s="604">
        <v>17456</v>
      </c>
      <c r="O4646" s="604">
        <v>6.2</v>
      </c>
      <c r="P4646" s="604" t="s">
        <v>48</v>
      </c>
      <c r="Q4646" s="499"/>
    </row>
    <row r="4647" spans="9:17">
      <c r="I4647" s="578" t="str">
        <f t="shared" si="218"/>
        <v>1996age30-34Infant</v>
      </c>
      <c r="J4647" s="604">
        <v>1996</v>
      </c>
      <c r="K4647" s="604" t="s">
        <v>453</v>
      </c>
      <c r="L4647" s="604" t="s">
        <v>132</v>
      </c>
      <c r="M4647" s="604">
        <v>85</v>
      </c>
      <c r="N4647" s="604">
        <v>16299</v>
      </c>
      <c r="O4647" s="604">
        <v>5.2</v>
      </c>
      <c r="P4647" s="604" t="s">
        <v>48</v>
      </c>
      <c r="Q4647" s="499"/>
    </row>
    <row r="4648" spans="9:17">
      <c r="I4648" s="578" t="str">
        <f t="shared" si="218"/>
        <v>1996age35-39Infant</v>
      </c>
      <c r="J4648" s="604">
        <v>1996</v>
      </c>
      <c r="K4648" s="604" t="s">
        <v>453</v>
      </c>
      <c r="L4648" s="604" t="s">
        <v>133</v>
      </c>
      <c r="M4648" s="604">
        <v>42</v>
      </c>
      <c r="N4648" s="604">
        <v>6726</v>
      </c>
      <c r="O4648" s="604">
        <v>6.2</v>
      </c>
      <c r="P4648" s="604" t="s">
        <v>48</v>
      </c>
      <c r="Q4648" s="499"/>
    </row>
    <row r="4649" spans="9:17">
      <c r="I4649" s="578" t="str">
        <f t="shared" si="218"/>
        <v>1996age40+Infant</v>
      </c>
      <c r="J4649" s="604">
        <v>1996</v>
      </c>
      <c r="K4649" s="604" t="s">
        <v>453</v>
      </c>
      <c r="L4649" s="604" t="s">
        <v>134</v>
      </c>
      <c r="M4649" s="604">
        <v>13</v>
      </c>
      <c r="N4649" s="604">
        <v>1124</v>
      </c>
      <c r="O4649" s="604">
        <v>11.6</v>
      </c>
      <c r="P4649" s="604" t="s">
        <v>48</v>
      </c>
      <c r="Q4649" s="499"/>
    </row>
    <row r="4650" spans="9:17">
      <c r="I4650" s="578" t="str">
        <f t="shared" si="218"/>
        <v>1996ageUnknownInfant</v>
      </c>
      <c r="J4650" s="604">
        <v>1996</v>
      </c>
      <c r="K4650" s="604" t="s">
        <v>453</v>
      </c>
      <c r="L4650" s="604" t="s">
        <v>63</v>
      </c>
      <c r="M4650" s="604">
        <v>3</v>
      </c>
      <c r="N4650" s="604">
        <v>0</v>
      </c>
      <c r="O4650" s="604" t="s">
        <v>119</v>
      </c>
      <c r="P4650" s="604" t="s">
        <v>48</v>
      </c>
      <c r="Q4650" s="499"/>
    </row>
    <row r="4651" spans="9:17">
      <c r="I4651" s="578" t="str">
        <f t="shared" si="218"/>
        <v>1997age&lt;20Infant</v>
      </c>
      <c r="J4651" s="604">
        <v>1997</v>
      </c>
      <c r="K4651" s="604" t="s">
        <v>453</v>
      </c>
      <c r="L4651" s="604" t="s">
        <v>339</v>
      </c>
      <c r="M4651" s="604">
        <v>47</v>
      </c>
      <c r="N4651" s="604">
        <v>4403</v>
      </c>
      <c r="O4651" s="604">
        <v>10.7</v>
      </c>
      <c r="P4651" s="604" t="s">
        <v>48</v>
      </c>
      <c r="Q4651" s="499"/>
    </row>
    <row r="4652" spans="9:17">
      <c r="I4652" s="578" t="str">
        <f t="shared" si="218"/>
        <v>1997age20-24Infant</v>
      </c>
      <c r="J4652" s="604">
        <v>1997</v>
      </c>
      <c r="K4652" s="604" t="s">
        <v>453</v>
      </c>
      <c r="L4652" s="604" t="s">
        <v>130</v>
      </c>
      <c r="M4652" s="604">
        <v>99</v>
      </c>
      <c r="N4652" s="604">
        <v>10833</v>
      </c>
      <c r="O4652" s="604">
        <v>9.1</v>
      </c>
      <c r="P4652" s="604" t="s">
        <v>48</v>
      </c>
      <c r="Q4652" s="499"/>
    </row>
    <row r="4653" spans="9:17">
      <c r="I4653" s="578" t="str">
        <f t="shared" si="218"/>
        <v>1997age25-29Infant</v>
      </c>
      <c r="J4653" s="604">
        <v>1997</v>
      </c>
      <c r="K4653" s="604" t="s">
        <v>453</v>
      </c>
      <c r="L4653" s="604" t="s">
        <v>131</v>
      </c>
      <c r="M4653" s="604">
        <v>107</v>
      </c>
      <c r="N4653" s="604">
        <v>17156</v>
      </c>
      <c r="O4653" s="604">
        <v>6.2</v>
      </c>
      <c r="P4653" s="604" t="s">
        <v>48</v>
      </c>
      <c r="Q4653" s="499"/>
    </row>
    <row r="4654" spans="9:17">
      <c r="I4654" s="578" t="str">
        <f t="shared" si="218"/>
        <v>1997age30-34Infant</v>
      </c>
      <c r="J4654" s="604">
        <v>1997</v>
      </c>
      <c r="K4654" s="604" t="s">
        <v>453</v>
      </c>
      <c r="L4654" s="604" t="s">
        <v>132</v>
      </c>
      <c r="M4654" s="604">
        <v>84</v>
      </c>
      <c r="N4654" s="604">
        <v>16688</v>
      </c>
      <c r="O4654" s="604">
        <v>5</v>
      </c>
      <c r="P4654" s="604" t="s">
        <v>48</v>
      </c>
      <c r="Q4654" s="499"/>
    </row>
    <row r="4655" spans="9:17">
      <c r="I4655" s="578" t="str">
        <f t="shared" si="218"/>
        <v>1997age35-39Infant</v>
      </c>
      <c r="J4655" s="604">
        <v>1997</v>
      </c>
      <c r="K4655" s="604" t="s">
        <v>453</v>
      </c>
      <c r="L4655" s="604" t="s">
        <v>133</v>
      </c>
      <c r="M4655" s="604">
        <v>40</v>
      </c>
      <c r="N4655" s="604">
        <v>7397</v>
      </c>
      <c r="O4655" s="604">
        <v>5.4</v>
      </c>
      <c r="P4655" s="604" t="s">
        <v>48</v>
      </c>
      <c r="Q4655" s="499"/>
    </row>
    <row r="4656" spans="9:17">
      <c r="I4656" s="578" t="str">
        <f t="shared" si="218"/>
        <v>1997age40+Infant</v>
      </c>
      <c r="J4656" s="604">
        <v>1997</v>
      </c>
      <c r="K4656" s="604" t="s">
        <v>453</v>
      </c>
      <c r="L4656" s="604" t="s">
        <v>134</v>
      </c>
      <c r="M4656" s="604">
        <v>8</v>
      </c>
      <c r="N4656" s="604">
        <v>1257</v>
      </c>
      <c r="O4656" s="604">
        <v>6.4</v>
      </c>
      <c r="P4656" s="604" t="s">
        <v>48</v>
      </c>
      <c r="Q4656" s="499"/>
    </row>
    <row r="4657" spans="9:17">
      <c r="I4657" s="578" t="str">
        <f t="shared" si="218"/>
        <v>1997ageUnknownInfant</v>
      </c>
      <c r="J4657" s="604">
        <v>1997</v>
      </c>
      <c r="K4657" s="604" t="s">
        <v>453</v>
      </c>
      <c r="L4657" s="604" t="s">
        <v>63</v>
      </c>
      <c r="M4657" s="604">
        <v>6</v>
      </c>
      <c r="N4657" s="604">
        <v>0</v>
      </c>
      <c r="O4657" s="604" t="s">
        <v>119</v>
      </c>
      <c r="P4657" s="604" t="s">
        <v>48</v>
      </c>
      <c r="Q4657" s="499"/>
    </row>
    <row r="4658" spans="9:17">
      <c r="I4658" s="578" t="str">
        <f t="shared" si="218"/>
        <v>1998age&lt;20Infant</v>
      </c>
      <c r="J4658" s="604">
        <v>1998</v>
      </c>
      <c r="K4658" s="604" t="s">
        <v>453</v>
      </c>
      <c r="L4658" s="604" t="s">
        <v>339</v>
      </c>
      <c r="M4658" s="604">
        <v>34</v>
      </c>
      <c r="N4658" s="604">
        <v>4403</v>
      </c>
      <c r="O4658" s="604">
        <v>7.7</v>
      </c>
      <c r="P4658" s="604" t="s">
        <v>48</v>
      </c>
      <c r="Q4658" s="499"/>
    </row>
    <row r="4659" spans="9:17">
      <c r="I4659" s="578" t="str">
        <f t="shared" si="218"/>
        <v>1998age20-24Infant</v>
      </c>
      <c r="J4659" s="604">
        <v>1998</v>
      </c>
      <c r="K4659" s="604" t="s">
        <v>453</v>
      </c>
      <c r="L4659" s="604" t="s">
        <v>130</v>
      </c>
      <c r="M4659" s="604">
        <v>82</v>
      </c>
      <c r="N4659" s="604">
        <v>10833</v>
      </c>
      <c r="O4659" s="604">
        <v>7.6</v>
      </c>
      <c r="P4659" s="604" t="s">
        <v>48</v>
      </c>
      <c r="Q4659" s="499"/>
    </row>
    <row r="4660" spans="9:17">
      <c r="I4660" s="578" t="str">
        <f t="shared" si="218"/>
        <v>1998age25-29Infant</v>
      </c>
      <c r="J4660" s="604">
        <v>1998</v>
      </c>
      <c r="K4660" s="604" t="s">
        <v>453</v>
      </c>
      <c r="L4660" s="604" t="s">
        <v>131</v>
      </c>
      <c r="M4660" s="604">
        <v>70</v>
      </c>
      <c r="N4660" s="604">
        <v>17156</v>
      </c>
      <c r="O4660" s="604">
        <v>4.0999999999999996</v>
      </c>
      <c r="P4660" s="604" t="s">
        <v>48</v>
      </c>
      <c r="Q4660" s="499"/>
    </row>
    <row r="4661" spans="9:17">
      <c r="I4661" s="578" t="str">
        <f t="shared" si="218"/>
        <v>1998age30-34Infant</v>
      </c>
      <c r="J4661" s="604">
        <v>1998</v>
      </c>
      <c r="K4661" s="604" t="s">
        <v>453</v>
      </c>
      <c r="L4661" s="604" t="s">
        <v>132</v>
      </c>
      <c r="M4661" s="604">
        <v>70</v>
      </c>
      <c r="N4661" s="604">
        <v>16688</v>
      </c>
      <c r="O4661" s="604">
        <v>4.2</v>
      </c>
      <c r="P4661" s="604" t="s">
        <v>48</v>
      </c>
      <c r="Q4661" s="499"/>
    </row>
    <row r="4662" spans="9:17">
      <c r="I4662" s="578" t="str">
        <f t="shared" si="218"/>
        <v>1998age35-39Infant</v>
      </c>
      <c r="J4662" s="604">
        <v>1998</v>
      </c>
      <c r="K4662" s="604" t="s">
        <v>453</v>
      </c>
      <c r="L4662" s="604" t="s">
        <v>133</v>
      </c>
      <c r="M4662" s="604">
        <v>40</v>
      </c>
      <c r="N4662" s="604">
        <v>7397</v>
      </c>
      <c r="O4662" s="604">
        <v>5.4</v>
      </c>
      <c r="P4662" s="604" t="s">
        <v>48</v>
      </c>
      <c r="Q4662" s="499"/>
    </row>
    <row r="4663" spans="9:17">
      <c r="I4663" s="578" t="str">
        <f t="shared" si="218"/>
        <v>1998age40+Infant</v>
      </c>
      <c r="J4663" s="604">
        <v>1998</v>
      </c>
      <c r="K4663" s="604" t="s">
        <v>453</v>
      </c>
      <c r="L4663" s="604" t="s">
        <v>134</v>
      </c>
      <c r="M4663" s="604">
        <v>8</v>
      </c>
      <c r="N4663" s="604">
        <v>1257</v>
      </c>
      <c r="O4663" s="604">
        <v>6.4</v>
      </c>
      <c r="P4663" s="604" t="s">
        <v>48</v>
      </c>
      <c r="Q4663" s="499"/>
    </row>
    <row r="4664" spans="9:17">
      <c r="I4664" s="578" t="str">
        <f t="shared" si="218"/>
        <v>1998ageUnknownInfant</v>
      </c>
      <c r="J4664" s="604">
        <v>1998</v>
      </c>
      <c r="K4664" s="604" t="s">
        <v>453</v>
      </c>
      <c r="L4664" s="604" t="s">
        <v>63</v>
      </c>
      <c r="M4664" s="604">
        <v>4</v>
      </c>
      <c r="N4664" s="604">
        <v>0</v>
      </c>
      <c r="O4664" s="604" t="s">
        <v>119</v>
      </c>
      <c r="P4664" s="604" t="s">
        <v>48</v>
      </c>
      <c r="Q4664" s="499"/>
    </row>
    <row r="4665" spans="9:17">
      <c r="I4665" s="578" t="str">
        <f t="shared" si="218"/>
        <v>1999age&lt;20Infant</v>
      </c>
      <c r="J4665" s="604">
        <v>1999</v>
      </c>
      <c r="K4665" s="604" t="s">
        <v>453</v>
      </c>
      <c r="L4665" s="604" t="s">
        <v>339</v>
      </c>
      <c r="M4665" s="604">
        <v>45</v>
      </c>
      <c r="N4665" s="604">
        <v>3889</v>
      </c>
      <c r="O4665" s="604">
        <v>11.6</v>
      </c>
      <c r="P4665" s="604" t="s">
        <v>48</v>
      </c>
      <c r="Q4665" s="499"/>
    </row>
    <row r="4666" spans="9:17">
      <c r="I4666" s="578" t="str">
        <f t="shared" si="218"/>
        <v>1999age20-24Infant</v>
      </c>
      <c r="J4666" s="604">
        <v>1999</v>
      </c>
      <c r="K4666" s="604" t="s">
        <v>453</v>
      </c>
      <c r="L4666" s="604" t="s">
        <v>130</v>
      </c>
      <c r="M4666" s="604">
        <v>83</v>
      </c>
      <c r="N4666" s="604">
        <v>10070</v>
      </c>
      <c r="O4666" s="604">
        <v>8.1999999999999993</v>
      </c>
      <c r="P4666" s="604" t="s">
        <v>48</v>
      </c>
      <c r="Q4666" s="499"/>
    </row>
    <row r="4667" spans="9:17">
      <c r="I4667" s="578" t="str">
        <f t="shared" si="218"/>
        <v>1999age25-29Infant</v>
      </c>
      <c r="J4667" s="604">
        <v>1999</v>
      </c>
      <c r="K4667" s="604" t="s">
        <v>453</v>
      </c>
      <c r="L4667" s="604" t="s">
        <v>131</v>
      </c>
      <c r="M4667" s="604">
        <v>88</v>
      </c>
      <c r="N4667" s="604">
        <v>16548</v>
      </c>
      <c r="O4667" s="604">
        <v>5.3</v>
      </c>
      <c r="P4667" s="604" t="s">
        <v>48</v>
      </c>
      <c r="Q4667" s="499"/>
    </row>
    <row r="4668" spans="9:17">
      <c r="I4668" s="578" t="str">
        <f t="shared" si="218"/>
        <v>1999age30-34Infant</v>
      </c>
      <c r="J4668" s="604">
        <v>1999</v>
      </c>
      <c r="K4668" s="604" t="s">
        <v>453</v>
      </c>
      <c r="L4668" s="604" t="s">
        <v>132</v>
      </c>
      <c r="M4668" s="604">
        <v>73</v>
      </c>
      <c r="N4668" s="604">
        <v>17187</v>
      </c>
      <c r="O4668" s="604">
        <v>4.2</v>
      </c>
      <c r="P4668" s="604" t="s">
        <v>48</v>
      </c>
      <c r="Q4668" s="499"/>
    </row>
    <row r="4669" spans="9:17">
      <c r="I4669" s="578" t="str">
        <f t="shared" si="218"/>
        <v>1999age35-39Infant</v>
      </c>
      <c r="J4669" s="604">
        <v>1999</v>
      </c>
      <c r="K4669" s="604" t="s">
        <v>453</v>
      </c>
      <c r="L4669" s="604" t="s">
        <v>133</v>
      </c>
      <c r="M4669" s="604">
        <v>35</v>
      </c>
      <c r="N4669" s="604">
        <v>8266</v>
      </c>
      <c r="O4669" s="604">
        <v>4.2</v>
      </c>
      <c r="P4669" s="604" t="s">
        <v>48</v>
      </c>
      <c r="Q4669" s="499"/>
    </row>
    <row r="4670" spans="9:17">
      <c r="I4670" s="578" t="str">
        <f t="shared" si="218"/>
        <v>1999age40+Infant</v>
      </c>
      <c r="J4670" s="604">
        <v>1999</v>
      </c>
      <c r="K4670" s="604" t="s">
        <v>453</v>
      </c>
      <c r="L4670" s="604" t="s">
        <v>134</v>
      </c>
      <c r="M4670" s="604">
        <v>8</v>
      </c>
      <c r="N4670" s="604">
        <v>1458</v>
      </c>
      <c r="O4670" s="604">
        <v>5.5</v>
      </c>
      <c r="P4670" s="604" t="s">
        <v>48</v>
      </c>
      <c r="Q4670" s="499"/>
    </row>
    <row r="4671" spans="9:17">
      <c r="I4671" s="578" t="str">
        <f t="shared" si="218"/>
        <v>1999ageUnknownInfant</v>
      </c>
      <c r="J4671" s="604">
        <v>1999</v>
      </c>
      <c r="K4671" s="604" t="s">
        <v>453</v>
      </c>
      <c r="L4671" s="604" t="s">
        <v>63</v>
      </c>
      <c r="M4671" s="604">
        <v>3</v>
      </c>
      <c r="N4671" s="604">
        <v>3</v>
      </c>
      <c r="O4671" s="604" t="s">
        <v>119</v>
      </c>
      <c r="P4671" s="604" t="s">
        <v>48</v>
      </c>
      <c r="Q4671" s="499"/>
    </row>
    <row r="4672" spans="9:17">
      <c r="I4672" s="578" t="str">
        <f t="shared" si="218"/>
        <v>2000age&lt;20Infant</v>
      </c>
      <c r="J4672" s="604">
        <v>2000</v>
      </c>
      <c r="K4672" s="604" t="s">
        <v>453</v>
      </c>
      <c r="L4672" s="604" t="s">
        <v>339</v>
      </c>
      <c r="M4672" s="604">
        <v>41</v>
      </c>
      <c r="N4672" s="604">
        <v>3823</v>
      </c>
      <c r="O4672" s="604">
        <v>10.7</v>
      </c>
      <c r="P4672" s="604" t="s">
        <v>48</v>
      </c>
      <c r="Q4672" s="499"/>
    </row>
    <row r="4673" spans="9:17">
      <c r="I4673" s="578" t="str">
        <f t="shared" si="218"/>
        <v>2000age20-24Infant</v>
      </c>
      <c r="J4673" s="604">
        <v>2000</v>
      </c>
      <c r="K4673" s="604" t="s">
        <v>453</v>
      </c>
      <c r="L4673" s="604" t="s">
        <v>130</v>
      </c>
      <c r="M4673" s="604">
        <v>88</v>
      </c>
      <c r="N4673" s="604">
        <v>9937</v>
      </c>
      <c r="O4673" s="604">
        <v>8.9</v>
      </c>
      <c r="P4673" s="604" t="s">
        <v>48</v>
      </c>
      <c r="Q4673" s="499"/>
    </row>
    <row r="4674" spans="9:17">
      <c r="I4674" s="578" t="str">
        <f t="shared" si="218"/>
        <v>2000age25-29Infant</v>
      </c>
      <c r="J4674" s="604">
        <v>2000</v>
      </c>
      <c r="K4674" s="604" t="s">
        <v>453</v>
      </c>
      <c r="L4674" s="604" t="s">
        <v>131</v>
      </c>
      <c r="M4674" s="604">
        <v>76</v>
      </c>
      <c r="N4674" s="604">
        <v>15892</v>
      </c>
      <c r="O4674" s="604">
        <v>4.8</v>
      </c>
      <c r="P4674" s="604" t="s">
        <v>48</v>
      </c>
      <c r="Q4674" s="499"/>
    </row>
    <row r="4675" spans="9:17">
      <c r="I4675" s="578" t="str">
        <f t="shared" si="218"/>
        <v>2000age30-34Infant</v>
      </c>
      <c r="J4675" s="604">
        <v>2000</v>
      </c>
      <c r="K4675" s="604" t="s">
        <v>453</v>
      </c>
      <c r="L4675" s="604" t="s">
        <v>132</v>
      </c>
      <c r="M4675" s="604">
        <v>97</v>
      </c>
      <c r="N4675" s="604">
        <v>17282</v>
      </c>
      <c r="O4675" s="604">
        <v>5.6</v>
      </c>
      <c r="P4675" s="604" t="s">
        <v>48</v>
      </c>
      <c r="Q4675" s="499"/>
    </row>
    <row r="4676" spans="9:17">
      <c r="I4676" s="578" t="str">
        <f t="shared" ref="I4676:I4739" si="219">J4676&amp;K4676&amp;L4676&amp;P4676</f>
        <v>2000age35-39Infant</v>
      </c>
      <c r="J4676" s="604">
        <v>2000</v>
      </c>
      <c r="K4676" s="604" t="s">
        <v>453</v>
      </c>
      <c r="L4676" s="604" t="s">
        <v>133</v>
      </c>
      <c r="M4676" s="604">
        <v>46</v>
      </c>
      <c r="N4676" s="604">
        <v>8493</v>
      </c>
      <c r="O4676" s="604">
        <v>5.4</v>
      </c>
      <c r="P4676" s="604" t="s">
        <v>48</v>
      </c>
      <c r="Q4676" s="499"/>
    </row>
    <row r="4677" spans="9:17">
      <c r="I4677" s="578" t="str">
        <f t="shared" si="219"/>
        <v>2000age40+Infant</v>
      </c>
      <c r="J4677" s="604">
        <v>2000</v>
      </c>
      <c r="K4677" s="604" t="s">
        <v>453</v>
      </c>
      <c r="L4677" s="604" t="s">
        <v>134</v>
      </c>
      <c r="M4677" s="604">
        <v>6</v>
      </c>
      <c r="N4677" s="604">
        <v>1567</v>
      </c>
      <c r="O4677" s="604">
        <v>3.8</v>
      </c>
      <c r="P4677" s="604" t="s">
        <v>48</v>
      </c>
      <c r="Q4677" s="499"/>
    </row>
    <row r="4678" spans="9:17">
      <c r="I4678" s="578" t="str">
        <f t="shared" si="219"/>
        <v>2000ageUnknownInfant</v>
      </c>
      <c r="J4678" s="604">
        <v>2000</v>
      </c>
      <c r="K4678" s="604" t="s">
        <v>453</v>
      </c>
      <c r="L4678" s="604" t="s">
        <v>63</v>
      </c>
      <c r="M4678" s="604">
        <v>5</v>
      </c>
      <c r="N4678" s="604">
        <v>0</v>
      </c>
      <c r="O4678" s="604" t="s">
        <v>119</v>
      </c>
      <c r="P4678" s="604" t="s">
        <v>48</v>
      </c>
      <c r="Q4678" s="499"/>
    </row>
    <row r="4679" spans="9:17">
      <c r="I4679" s="578" t="str">
        <f t="shared" si="219"/>
        <v>2001age&lt;20Infant</v>
      </c>
      <c r="J4679" s="604">
        <v>2001</v>
      </c>
      <c r="K4679" s="604" t="s">
        <v>453</v>
      </c>
      <c r="L4679" s="604" t="s">
        <v>339</v>
      </c>
      <c r="M4679" s="604">
        <v>48</v>
      </c>
      <c r="N4679" s="604">
        <v>3783</v>
      </c>
      <c r="O4679" s="604">
        <v>12.7</v>
      </c>
      <c r="P4679" s="604" t="s">
        <v>48</v>
      </c>
      <c r="Q4679" s="499"/>
    </row>
    <row r="4680" spans="9:17">
      <c r="I4680" s="578" t="str">
        <f t="shared" si="219"/>
        <v>2001age20-24Infant</v>
      </c>
      <c r="J4680" s="604">
        <v>2001</v>
      </c>
      <c r="K4680" s="604" t="s">
        <v>453</v>
      </c>
      <c r="L4680" s="604" t="s">
        <v>130</v>
      </c>
      <c r="M4680" s="604">
        <v>69</v>
      </c>
      <c r="N4680" s="604">
        <v>9825</v>
      </c>
      <c r="O4680" s="604">
        <v>7</v>
      </c>
      <c r="P4680" s="604" t="s">
        <v>48</v>
      </c>
      <c r="Q4680" s="499"/>
    </row>
    <row r="4681" spans="9:17">
      <c r="I4681" s="578" t="str">
        <f t="shared" si="219"/>
        <v>2001age25-29Infant</v>
      </c>
      <c r="J4681" s="604">
        <v>2001</v>
      </c>
      <c r="K4681" s="604" t="s">
        <v>453</v>
      </c>
      <c r="L4681" s="604" t="s">
        <v>131</v>
      </c>
      <c r="M4681" s="604">
        <v>71</v>
      </c>
      <c r="N4681" s="604">
        <v>15208</v>
      </c>
      <c r="O4681" s="604">
        <v>4.7</v>
      </c>
      <c r="P4681" s="604" t="s">
        <v>48</v>
      </c>
      <c r="Q4681" s="499"/>
    </row>
    <row r="4682" spans="9:17">
      <c r="I4682" s="578" t="str">
        <f t="shared" si="219"/>
        <v>2001age30-34Infant</v>
      </c>
      <c r="J4682" s="604">
        <v>2001</v>
      </c>
      <c r="K4682" s="604" t="s">
        <v>453</v>
      </c>
      <c r="L4682" s="604" t="s">
        <v>132</v>
      </c>
      <c r="M4682" s="604">
        <v>89</v>
      </c>
      <c r="N4682" s="604">
        <v>17158</v>
      </c>
      <c r="O4682" s="604">
        <v>5.2</v>
      </c>
      <c r="P4682" s="604" t="s">
        <v>48</v>
      </c>
      <c r="Q4682" s="499"/>
    </row>
    <row r="4683" spans="9:17">
      <c r="I4683" s="578" t="str">
        <f t="shared" si="219"/>
        <v>2001age35-39Infant</v>
      </c>
      <c r="J4683" s="604">
        <v>2001</v>
      </c>
      <c r="K4683" s="604" t="s">
        <v>453</v>
      </c>
      <c r="L4683" s="604" t="s">
        <v>133</v>
      </c>
      <c r="M4683" s="604">
        <v>26</v>
      </c>
      <c r="N4683" s="604">
        <v>8586</v>
      </c>
      <c r="O4683" s="604">
        <v>3</v>
      </c>
      <c r="P4683" s="604" t="s">
        <v>48</v>
      </c>
      <c r="Q4683" s="499"/>
    </row>
    <row r="4684" spans="9:17">
      <c r="I4684" s="578" t="str">
        <f t="shared" si="219"/>
        <v>2001age40+Infant</v>
      </c>
      <c r="J4684" s="604">
        <v>2001</v>
      </c>
      <c r="K4684" s="604" t="s">
        <v>453</v>
      </c>
      <c r="L4684" s="604" t="s">
        <v>134</v>
      </c>
      <c r="M4684" s="604">
        <v>11</v>
      </c>
      <c r="N4684" s="604">
        <v>1664</v>
      </c>
      <c r="O4684" s="604">
        <v>6.6</v>
      </c>
      <c r="P4684" s="604" t="s">
        <v>48</v>
      </c>
      <c r="Q4684" s="499"/>
    </row>
    <row r="4685" spans="9:17">
      <c r="I4685" s="578" t="str">
        <f t="shared" si="219"/>
        <v>2001ageUnknownInfant</v>
      </c>
      <c r="J4685" s="604">
        <v>2001</v>
      </c>
      <c r="K4685" s="604" t="s">
        <v>453</v>
      </c>
      <c r="L4685" s="604" t="s">
        <v>63</v>
      </c>
      <c r="M4685" s="604">
        <v>1</v>
      </c>
      <c r="N4685" s="604">
        <v>0</v>
      </c>
      <c r="O4685" s="604" t="s">
        <v>119</v>
      </c>
      <c r="P4685" s="604" t="s">
        <v>48</v>
      </c>
      <c r="Q4685" s="499"/>
    </row>
    <row r="4686" spans="9:17">
      <c r="I4686" s="578" t="str">
        <f t="shared" si="219"/>
        <v>2002age&lt;20Infant</v>
      </c>
      <c r="J4686" s="604">
        <v>2002</v>
      </c>
      <c r="K4686" s="604" t="s">
        <v>453</v>
      </c>
      <c r="L4686" s="604" t="s">
        <v>339</v>
      </c>
      <c r="M4686" s="604">
        <v>38</v>
      </c>
      <c r="N4686" s="604">
        <v>3637</v>
      </c>
      <c r="O4686" s="604">
        <v>10.4</v>
      </c>
      <c r="P4686" s="604" t="s">
        <v>48</v>
      </c>
      <c r="Q4686" s="499"/>
    </row>
    <row r="4687" spans="9:17">
      <c r="I4687" s="578" t="str">
        <f t="shared" si="219"/>
        <v>2002age20-24Infant</v>
      </c>
      <c r="J4687" s="604">
        <v>2002</v>
      </c>
      <c r="K4687" s="604" t="s">
        <v>453</v>
      </c>
      <c r="L4687" s="604" t="s">
        <v>130</v>
      </c>
      <c r="M4687" s="604">
        <v>78</v>
      </c>
      <c r="N4687" s="604">
        <v>9337</v>
      </c>
      <c r="O4687" s="604">
        <v>8.4</v>
      </c>
      <c r="P4687" s="604" t="s">
        <v>48</v>
      </c>
      <c r="Q4687" s="499"/>
    </row>
    <row r="4688" spans="9:17">
      <c r="I4688" s="578" t="str">
        <f t="shared" si="219"/>
        <v>2002age25-29Infant</v>
      </c>
      <c r="J4688" s="604">
        <v>2002</v>
      </c>
      <c r="K4688" s="604" t="s">
        <v>453</v>
      </c>
      <c r="L4688" s="604" t="s">
        <v>131</v>
      </c>
      <c r="M4688" s="604">
        <v>69</v>
      </c>
      <c r="N4688" s="604">
        <v>13906</v>
      </c>
      <c r="O4688" s="604">
        <v>5</v>
      </c>
      <c r="P4688" s="604" t="s">
        <v>48</v>
      </c>
      <c r="Q4688" s="499"/>
    </row>
    <row r="4689" spans="9:17">
      <c r="I4689" s="578" t="str">
        <f t="shared" si="219"/>
        <v>2002age30-34Infant</v>
      </c>
      <c r="J4689" s="604">
        <v>2002</v>
      </c>
      <c r="K4689" s="604" t="s">
        <v>453</v>
      </c>
      <c r="L4689" s="604" t="s">
        <v>132</v>
      </c>
      <c r="M4689" s="604">
        <v>80</v>
      </c>
      <c r="N4689" s="604">
        <v>17067</v>
      </c>
      <c r="O4689" s="604">
        <v>4.7</v>
      </c>
      <c r="P4689" s="604" t="s">
        <v>48</v>
      </c>
      <c r="Q4689" s="499"/>
    </row>
    <row r="4690" spans="9:17">
      <c r="I4690" s="578" t="str">
        <f t="shared" si="219"/>
        <v>2002age35-39Infant</v>
      </c>
      <c r="J4690" s="604">
        <v>2002</v>
      </c>
      <c r="K4690" s="604" t="s">
        <v>453</v>
      </c>
      <c r="L4690" s="604" t="s">
        <v>133</v>
      </c>
      <c r="M4690" s="604">
        <v>58</v>
      </c>
      <c r="N4690" s="604">
        <v>8738</v>
      </c>
      <c r="O4690" s="604">
        <v>6.6</v>
      </c>
      <c r="P4690" s="604" t="s">
        <v>48</v>
      </c>
      <c r="Q4690" s="499"/>
    </row>
    <row r="4691" spans="9:17">
      <c r="I4691" s="578" t="str">
        <f t="shared" si="219"/>
        <v>2002age40+Infant</v>
      </c>
      <c r="J4691" s="604">
        <v>2002</v>
      </c>
      <c r="K4691" s="604" t="s">
        <v>453</v>
      </c>
      <c r="L4691" s="604" t="s">
        <v>134</v>
      </c>
      <c r="M4691" s="604">
        <v>12</v>
      </c>
      <c r="N4691" s="604">
        <v>1830</v>
      </c>
      <c r="O4691" s="604">
        <v>6.6</v>
      </c>
      <c r="P4691" s="604" t="s">
        <v>48</v>
      </c>
      <c r="Q4691" s="499"/>
    </row>
    <row r="4692" spans="9:17">
      <c r="I4692" s="578" t="str">
        <f t="shared" si="219"/>
        <v>2002ageUnknownInfant</v>
      </c>
      <c r="J4692" s="604">
        <v>2002</v>
      </c>
      <c r="K4692" s="604" t="s">
        <v>453</v>
      </c>
      <c r="L4692" s="604" t="s">
        <v>63</v>
      </c>
      <c r="M4692" s="604">
        <v>2</v>
      </c>
      <c r="N4692" s="604">
        <v>0</v>
      </c>
      <c r="O4692" s="604" t="s">
        <v>119</v>
      </c>
      <c r="P4692" s="604" t="s">
        <v>48</v>
      </c>
      <c r="Q4692" s="499"/>
    </row>
    <row r="4693" spans="9:17">
      <c r="I4693" s="578" t="str">
        <f t="shared" si="219"/>
        <v>2003age&lt;20Infant</v>
      </c>
      <c r="J4693" s="604">
        <v>2003</v>
      </c>
      <c r="K4693" s="604" t="s">
        <v>453</v>
      </c>
      <c r="L4693" s="604" t="s">
        <v>339</v>
      </c>
      <c r="M4693" s="604">
        <v>29</v>
      </c>
      <c r="N4693" s="604">
        <v>3795</v>
      </c>
      <c r="O4693" s="604">
        <v>7.6</v>
      </c>
      <c r="P4693" s="604" t="s">
        <v>48</v>
      </c>
      <c r="Q4693" s="499"/>
    </row>
    <row r="4694" spans="9:17">
      <c r="I4694" s="578" t="str">
        <f t="shared" si="219"/>
        <v>2003age20-24Infant</v>
      </c>
      <c r="J4694" s="604">
        <v>2003</v>
      </c>
      <c r="K4694" s="604" t="s">
        <v>453</v>
      </c>
      <c r="L4694" s="604" t="s">
        <v>130</v>
      </c>
      <c r="M4694" s="604">
        <v>79</v>
      </c>
      <c r="N4694" s="604">
        <v>9548</v>
      </c>
      <c r="O4694" s="604">
        <v>8.3000000000000007</v>
      </c>
      <c r="P4694" s="604" t="s">
        <v>48</v>
      </c>
      <c r="Q4694" s="499"/>
    </row>
    <row r="4695" spans="9:17">
      <c r="I4695" s="578" t="str">
        <f t="shared" si="219"/>
        <v>2003age25-29Infant</v>
      </c>
      <c r="J4695" s="604">
        <v>2003</v>
      </c>
      <c r="K4695" s="604" t="s">
        <v>453</v>
      </c>
      <c r="L4695" s="604" t="s">
        <v>131</v>
      </c>
      <c r="M4695" s="604">
        <v>73</v>
      </c>
      <c r="N4695" s="604">
        <v>14104</v>
      </c>
      <c r="O4695" s="604">
        <v>5.2</v>
      </c>
      <c r="P4695" s="604" t="s">
        <v>48</v>
      </c>
      <c r="Q4695" s="499"/>
    </row>
    <row r="4696" spans="9:17">
      <c r="I4696" s="578" t="str">
        <f t="shared" si="219"/>
        <v>2003age30-34Infant</v>
      </c>
      <c r="J4696" s="604">
        <v>2003</v>
      </c>
      <c r="K4696" s="604" t="s">
        <v>453</v>
      </c>
      <c r="L4696" s="604" t="s">
        <v>132</v>
      </c>
      <c r="M4696" s="604">
        <v>63</v>
      </c>
      <c r="N4696" s="604">
        <v>17664</v>
      </c>
      <c r="O4696" s="604">
        <v>3.6</v>
      </c>
      <c r="P4696" s="604" t="s">
        <v>48</v>
      </c>
      <c r="Q4696" s="499"/>
    </row>
    <row r="4697" spans="9:17">
      <c r="I4697" s="578" t="str">
        <f t="shared" si="219"/>
        <v>2003age35-39Infant</v>
      </c>
      <c r="J4697" s="604">
        <v>2003</v>
      </c>
      <c r="K4697" s="604" t="s">
        <v>453</v>
      </c>
      <c r="L4697" s="604" t="s">
        <v>133</v>
      </c>
      <c r="M4697" s="604">
        <v>44</v>
      </c>
      <c r="N4697" s="604">
        <v>9384</v>
      </c>
      <c r="O4697" s="604">
        <v>4.7</v>
      </c>
      <c r="P4697" s="604" t="s">
        <v>48</v>
      </c>
      <c r="Q4697" s="499"/>
    </row>
    <row r="4698" spans="9:17">
      <c r="I4698" s="578" t="str">
        <f t="shared" si="219"/>
        <v>2003age40+Infant</v>
      </c>
      <c r="J4698" s="604">
        <v>2003</v>
      </c>
      <c r="K4698" s="604" t="s">
        <v>453</v>
      </c>
      <c r="L4698" s="604" t="s">
        <v>134</v>
      </c>
      <c r="M4698" s="604">
        <v>13</v>
      </c>
      <c r="N4698" s="604">
        <v>2081</v>
      </c>
      <c r="O4698" s="604">
        <v>6.2</v>
      </c>
      <c r="P4698" s="604" t="s">
        <v>48</v>
      </c>
      <c r="Q4698" s="499"/>
    </row>
    <row r="4699" spans="9:17">
      <c r="I4699" s="578" t="str">
        <f t="shared" si="219"/>
        <v>2003ageUnknownInfant</v>
      </c>
      <c r="J4699" s="604">
        <v>2003</v>
      </c>
      <c r="K4699" s="604" t="s">
        <v>453</v>
      </c>
      <c r="L4699" s="604" t="s">
        <v>63</v>
      </c>
      <c r="M4699" s="604">
        <v>3</v>
      </c>
      <c r="N4699" s="604">
        <v>0</v>
      </c>
      <c r="O4699" s="604" t="s">
        <v>119</v>
      </c>
      <c r="P4699" s="604" t="s">
        <v>48</v>
      </c>
      <c r="Q4699" s="499"/>
    </row>
    <row r="4700" spans="9:17">
      <c r="I4700" s="578" t="str">
        <f t="shared" si="219"/>
        <v>2004age&lt;20Infant</v>
      </c>
      <c r="J4700" s="604">
        <v>2004</v>
      </c>
      <c r="K4700" s="604" t="s">
        <v>453</v>
      </c>
      <c r="L4700" s="604" t="s">
        <v>339</v>
      </c>
      <c r="M4700" s="604">
        <v>43</v>
      </c>
      <c r="N4700" s="604">
        <v>4095</v>
      </c>
      <c r="O4700" s="604">
        <v>10.5</v>
      </c>
      <c r="P4700" s="604" t="s">
        <v>48</v>
      </c>
      <c r="Q4700" s="499"/>
    </row>
    <row r="4701" spans="9:17">
      <c r="I4701" s="578" t="str">
        <f t="shared" si="219"/>
        <v>2004age20-24Infant</v>
      </c>
      <c r="J4701" s="604">
        <v>2004</v>
      </c>
      <c r="K4701" s="604" t="s">
        <v>453</v>
      </c>
      <c r="L4701" s="604" t="s">
        <v>130</v>
      </c>
      <c r="M4701" s="604">
        <v>72</v>
      </c>
      <c r="N4701" s="604">
        <v>10153</v>
      </c>
      <c r="O4701" s="604">
        <v>7.1</v>
      </c>
      <c r="P4701" s="604" t="s">
        <v>48</v>
      </c>
      <c r="Q4701" s="499"/>
    </row>
    <row r="4702" spans="9:17">
      <c r="I4702" s="578" t="str">
        <f t="shared" si="219"/>
        <v>2004age25-29Infant</v>
      </c>
      <c r="J4702" s="604">
        <v>2004</v>
      </c>
      <c r="K4702" s="604" t="s">
        <v>453</v>
      </c>
      <c r="L4702" s="604" t="s">
        <v>131</v>
      </c>
      <c r="M4702" s="604">
        <v>78</v>
      </c>
      <c r="N4702" s="604">
        <v>14254</v>
      </c>
      <c r="O4702" s="604">
        <v>5.5</v>
      </c>
      <c r="P4702" s="604" t="s">
        <v>48</v>
      </c>
      <c r="Q4702" s="499"/>
    </row>
    <row r="4703" spans="9:17">
      <c r="I4703" s="578" t="str">
        <f t="shared" si="219"/>
        <v>2004age30-34Infant</v>
      </c>
      <c r="J4703" s="604">
        <v>2004</v>
      </c>
      <c r="K4703" s="604" t="s">
        <v>453</v>
      </c>
      <c r="L4703" s="604" t="s">
        <v>132</v>
      </c>
      <c r="M4703" s="604">
        <v>95</v>
      </c>
      <c r="N4703" s="604">
        <v>18417</v>
      </c>
      <c r="O4703" s="604">
        <v>5.2</v>
      </c>
      <c r="P4703" s="604" t="s">
        <v>48</v>
      </c>
      <c r="Q4703" s="499"/>
    </row>
    <row r="4704" spans="9:17">
      <c r="I4704" s="578" t="str">
        <f t="shared" si="219"/>
        <v>2004age35-39Infant</v>
      </c>
      <c r="J4704" s="604">
        <v>2004</v>
      </c>
      <c r="K4704" s="604" t="s">
        <v>453</v>
      </c>
      <c r="L4704" s="604" t="s">
        <v>133</v>
      </c>
      <c r="M4704" s="604">
        <v>40</v>
      </c>
      <c r="N4704" s="604">
        <v>9675</v>
      </c>
      <c r="O4704" s="604">
        <v>4.0999999999999996</v>
      </c>
      <c r="P4704" s="604" t="s">
        <v>48</v>
      </c>
      <c r="Q4704" s="499"/>
    </row>
    <row r="4705" spans="9:17">
      <c r="I4705" s="578" t="str">
        <f t="shared" si="219"/>
        <v>2004age40+Infant</v>
      </c>
      <c r="J4705" s="604">
        <v>2004</v>
      </c>
      <c r="K4705" s="604" t="s">
        <v>453</v>
      </c>
      <c r="L4705" s="604" t="s">
        <v>134</v>
      </c>
      <c r="M4705" s="604">
        <v>10</v>
      </c>
      <c r="N4705" s="604">
        <v>2129</v>
      </c>
      <c r="O4705" s="604">
        <v>4.7</v>
      </c>
      <c r="P4705" s="604" t="s">
        <v>48</v>
      </c>
      <c r="Q4705" s="499"/>
    </row>
    <row r="4706" spans="9:17">
      <c r="I4706" s="578" t="str">
        <f t="shared" si="219"/>
        <v>2004ageUnknownInfant</v>
      </c>
      <c r="J4706" s="604">
        <v>2004</v>
      </c>
      <c r="K4706" s="604" t="s">
        <v>453</v>
      </c>
      <c r="L4706" s="604" t="s">
        <v>63</v>
      </c>
      <c r="M4706" s="604">
        <v>8</v>
      </c>
      <c r="N4706" s="604">
        <v>0</v>
      </c>
      <c r="O4706" s="604" t="s">
        <v>119</v>
      </c>
      <c r="P4706" s="604" t="s">
        <v>48</v>
      </c>
      <c r="Q4706" s="499"/>
    </row>
    <row r="4707" spans="9:17">
      <c r="I4707" s="578" t="str">
        <f t="shared" si="219"/>
        <v>2005age&lt;20Infant</v>
      </c>
      <c r="J4707" s="604">
        <v>2005</v>
      </c>
      <c r="K4707" s="604" t="s">
        <v>453</v>
      </c>
      <c r="L4707" s="604" t="s">
        <v>339</v>
      </c>
      <c r="M4707" s="604">
        <v>45</v>
      </c>
      <c r="N4707" s="604">
        <v>4245</v>
      </c>
      <c r="O4707" s="604">
        <v>10.6</v>
      </c>
      <c r="P4707" s="604" t="s">
        <v>48</v>
      </c>
      <c r="Q4707" s="499"/>
    </row>
    <row r="4708" spans="9:17">
      <c r="I4708" s="578" t="str">
        <f t="shared" si="219"/>
        <v>2005age20-24Infant</v>
      </c>
      <c r="J4708" s="604">
        <v>2005</v>
      </c>
      <c r="K4708" s="604" t="s">
        <v>453</v>
      </c>
      <c r="L4708" s="604" t="s">
        <v>130</v>
      </c>
      <c r="M4708" s="604">
        <v>60</v>
      </c>
      <c r="N4708" s="604">
        <v>10022</v>
      </c>
      <c r="O4708" s="604">
        <v>6</v>
      </c>
      <c r="P4708" s="604" t="s">
        <v>48</v>
      </c>
      <c r="Q4708" s="499"/>
    </row>
    <row r="4709" spans="9:17">
      <c r="I4709" s="578" t="str">
        <f t="shared" si="219"/>
        <v>2005age25-29Infant</v>
      </c>
      <c r="J4709" s="604">
        <v>2005</v>
      </c>
      <c r="K4709" s="604" t="s">
        <v>453</v>
      </c>
      <c r="L4709" s="604" t="s">
        <v>131</v>
      </c>
      <c r="M4709" s="604">
        <v>62</v>
      </c>
      <c r="N4709" s="604">
        <v>14057</v>
      </c>
      <c r="O4709" s="604">
        <v>4.4000000000000004</v>
      </c>
      <c r="P4709" s="604" t="s">
        <v>48</v>
      </c>
      <c r="Q4709" s="499"/>
    </row>
    <row r="4710" spans="9:17">
      <c r="I4710" s="578" t="str">
        <f t="shared" si="219"/>
        <v>2005age30-34Infant</v>
      </c>
      <c r="J4710" s="604">
        <v>2005</v>
      </c>
      <c r="K4710" s="604" t="s">
        <v>453</v>
      </c>
      <c r="L4710" s="604" t="s">
        <v>132</v>
      </c>
      <c r="M4710" s="604">
        <v>72</v>
      </c>
      <c r="N4710" s="604">
        <v>18155</v>
      </c>
      <c r="O4710" s="604">
        <v>4</v>
      </c>
      <c r="P4710" s="604" t="s">
        <v>48</v>
      </c>
      <c r="Q4710" s="499"/>
    </row>
    <row r="4711" spans="9:17">
      <c r="I4711" s="578" t="str">
        <f t="shared" si="219"/>
        <v>2005age35-39Infant</v>
      </c>
      <c r="J4711" s="604">
        <v>2005</v>
      </c>
      <c r="K4711" s="604" t="s">
        <v>453</v>
      </c>
      <c r="L4711" s="604" t="s">
        <v>133</v>
      </c>
      <c r="M4711" s="604">
        <v>35</v>
      </c>
      <c r="N4711" s="604">
        <v>10120</v>
      </c>
      <c r="O4711" s="604">
        <v>3.5</v>
      </c>
      <c r="P4711" s="604" t="s">
        <v>48</v>
      </c>
      <c r="Q4711" s="499"/>
    </row>
    <row r="4712" spans="9:17">
      <c r="I4712" s="578" t="str">
        <f t="shared" si="219"/>
        <v>2005age40+Infant</v>
      </c>
      <c r="J4712" s="604">
        <v>2005</v>
      </c>
      <c r="K4712" s="604" t="s">
        <v>453</v>
      </c>
      <c r="L4712" s="604" t="s">
        <v>134</v>
      </c>
      <c r="M4712" s="604">
        <v>18</v>
      </c>
      <c r="N4712" s="604">
        <v>2128</v>
      </c>
      <c r="O4712" s="604">
        <v>8.5</v>
      </c>
      <c r="P4712" s="604" t="s">
        <v>48</v>
      </c>
      <c r="Q4712" s="499"/>
    </row>
    <row r="4713" spans="9:17">
      <c r="I4713" s="578" t="str">
        <f t="shared" si="219"/>
        <v>2005ageUnknownInfant</v>
      </c>
      <c r="J4713" s="604">
        <v>2005</v>
      </c>
      <c r="K4713" s="604" t="s">
        <v>453</v>
      </c>
      <c r="L4713" s="604" t="s">
        <v>63</v>
      </c>
      <c r="M4713" s="604">
        <v>2</v>
      </c>
      <c r="N4713" s="604">
        <v>0</v>
      </c>
      <c r="O4713" s="604" t="s">
        <v>119</v>
      </c>
      <c r="P4713" s="604" t="s">
        <v>48</v>
      </c>
      <c r="Q4713" s="499"/>
    </row>
    <row r="4714" spans="9:17">
      <c r="I4714" s="578" t="str">
        <f t="shared" si="219"/>
        <v>2006age&lt;20Infant</v>
      </c>
      <c r="J4714" s="604">
        <v>2006</v>
      </c>
      <c r="K4714" s="604" t="s">
        <v>453</v>
      </c>
      <c r="L4714" s="604" t="s">
        <v>339</v>
      </c>
      <c r="M4714" s="604">
        <v>44</v>
      </c>
      <c r="N4714" s="604">
        <v>4455</v>
      </c>
      <c r="O4714" s="604">
        <v>9.9</v>
      </c>
      <c r="P4714" s="604" t="s">
        <v>48</v>
      </c>
      <c r="Q4714" s="499"/>
    </row>
    <row r="4715" spans="9:17">
      <c r="I4715" s="578" t="str">
        <f t="shared" si="219"/>
        <v>2006age20-24Infant</v>
      </c>
      <c r="J4715" s="604">
        <v>2006</v>
      </c>
      <c r="K4715" s="604" t="s">
        <v>453</v>
      </c>
      <c r="L4715" s="604" t="s">
        <v>130</v>
      </c>
      <c r="M4715" s="604">
        <v>68</v>
      </c>
      <c r="N4715" s="604">
        <v>10647</v>
      </c>
      <c r="O4715" s="604">
        <v>6.4</v>
      </c>
      <c r="P4715" s="604" t="s">
        <v>48</v>
      </c>
      <c r="Q4715" s="499"/>
    </row>
    <row r="4716" spans="9:17">
      <c r="I4716" s="578" t="str">
        <f t="shared" si="219"/>
        <v>2006age25-29Infant</v>
      </c>
      <c r="J4716" s="604">
        <v>2006</v>
      </c>
      <c r="K4716" s="604" t="s">
        <v>453</v>
      </c>
      <c r="L4716" s="604" t="s">
        <v>131</v>
      </c>
      <c r="M4716" s="604">
        <v>85</v>
      </c>
      <c r="N4716" s="604">
        <v>14386</v>
      </c>
      <c r="O4716" s="604">
        <v>5.9</v>
      </c>
      <c r="P4716" s="604" t="s">
        <v>48</v>
      </c>
      <c r="Q4716" s="499"/>
    </row>
    <row r="4717" spans="9:17">
      <c r="I4717" s="578" t="str">
        <f t="shared" si="219"/>
        <v>2006age30-34Infant</v>
      </c>
      <c r="J4717" s="604">
        <v>2006</v>
      </c>
      <c r="K4717" s="604" t="s">
        <v>453</v>
      </c>
      <c r="L4717" s="604" t="s">
        <v>132</v>
      </c>
      <c r="M4717" s="604">
        <v>61</v>
      </c>
      <c r="N4717" s="604">
        <v>18090</v>
      </c>
      <c r="O4717" s="604">
        <v>3.4</v>
      </c>
      <c r="P4717" s="604" t="s">
        <v>48</v>
      </c>
      <c r="Q4717" s="499"/>
    </row>
    <row r="4718" spans="9:17">
      <c r="I4718" s="578" t="str">
        <f t="shared" si="219"/>
        <v>2006age35-39Infant</v>
      </c>
      <c r="J4718" s="604">
        <v>2006</v>
      </c>
      <c r="K4718" s="604" t="s">
        <v>453</v>
      </c>
      <c r="L4718" s="604" t="s">
        <v>133</v>
      </c>
      <c r="M4718" s="604">
        <v>34</v>
      </c>
      <c r="N4718" s="604">
        <v>10499</v>
      </c>
      <c r="O4718" s="604">
        <v>3.2</v>
      </c>
      <c r="P4718" s="604" t="s">
        <v>48</v>
      </c>
      <c r="Q4718" s="499"/>
    </row>
    <row r="4719" spans="9:17">
      <c r="I4719" s="578" t="str">
        <f t="shared" si="219"/>
        <v>2006age40+Infant</v>
      </c>
      <c r="J4719" s="604">
        <v>2006</v>
      </c>
      <c r="K4719" s="604" t="s">
        <v>453</v>
      </c>
      <c r="L4719" s="604" t="s">
        <v>134</v>
      </c>
      <c r="M4719" s="604">
        <v>13</v>
      </c>
      <c r="N4719" s="604">
        <v>2197</v>
      </c>
      <c r="O4719" s="604">
        <v>5.9</v>
      </c>
      <c r="P4719" s="604" t="s">
        <v>48</v>
      </c>
      <c r="Q4719" s="499"/>
    </row>
    <row r="4720" spans="9:17">
      <c r="I4720" s="578" t="str">
        <f t="shared" si="219"/>
        <v>2006ageUnknownInfant</v>
      </c>
      <c r="J4720" s="604">
        <v>2006</v>
      </c>
      <c r="K4720" s="604" t="s">
        <v>453</v>
      </c>
      <c r="L4720" s="604" t="s">
        <v>63</v>
      </c>
      <c r="M4720" s="604">
        <v>3</v>
      </c>
      <c r="N4720" s="604">
        <v>0</v>
      </c>
      <c r="O4720" s="604" t="s">
        <v>119</v>
      </c>
      <c r="P4720" s="604" t="s">
        <v>48</v>
      </c>
      <c r="Q4720" s="499"/>
    </row>
    <row r="4721" spans="9:17">
      <c r="I4721" s="578" t="str">
        <f t="shared" si="219"/>
        <v>2007age&lt;20Infant</v>
      </c>
      <c r="J4721" s="604">
        <v>2007</v>
      </c>
      <c r="K4721" s="604" t="s">
        <v>453</v>
      </c>
      <c r="L4721" s="604" t="s">
        <v>339</v>
      </c>
      <c r="M4721" s="604">
        <v>40</v>
      </c>
      <c r="N4721" s="604">
        <v>5051</v>
      </c>
      <c r="O4721" s="604">
        <v>7.9</v>
      </c>
      <c r="P4721" s="604" t="s">
        <v>48</v>
      </c>
      <c r="Q4721" s="499"/>
    </row>
    <row r="4722" spans="9:17">
      <c r="I4722" s="578" t="str">
        <f t="shared" si="219"/>
        <v>2007age20-24Infant</v>
      </c>
      <c r="J4722" s="604">
        <v>2007</v>
      </c>
      <c r="K4722" s="604" t="s">
        <v>453</v>
      </c>
      <c r="L4722" s="604" t="s">
        <v>130</v>
      </c>
      <c r="M4722" s="604">
        <v>74</v>
      </c>
      <c r="N4722" s="604">
        <v>11423</v>
      </c>
      <c r="O4722" s="604">
        <v>6.5</v>
      </c>
      <c r="P4722" s="604" t="s">
        <v>48</v>
      </c>
      <c r="Q4722" s="499"/>
    </row>
    <row r="4723" spans="9:17">
      <c r="I4723" s="578" t="str">
        <f t="shared" si="219"/>
        <v>2007age25-29Infant</v>
      </c>
      <c r="J4723" s="604">
        <v>2007</v>
      </c>
      <c r="K4723" s="604" t="s">
        <v>453</v>
      </c>
      <c r="L4723" s="604" t="s">
        <v>131</v>
      </c>
      <c r="M4723" s="604">
        <v>75</v>
      </c>
      <c r="N4723" s="604">
        <v>15815</v>
      </c>
      <c r="O4723" s="604">
        <v>4.7</v>
      </c>
      <c r="P4723" s="604" t="s">
        <v>48</v>
      </c>
      <c r="Q4723" s="499"/>
    </row>
    <row r="4724" spans="9:17">
      <c r="I4724" s="578" t="str">
        <f t="shared" si="219"/>
        <v>2007age30-34Infant</v>
      </c>
      <c r="J4724" s="604">
        <v>2007</v>
      </c>
      <c r="K4724" s="604" t="s">
        <v>453</v>
      </c>
      <c r="L4724" s="604" t="s">
        <v>132</v>
      </c>
      <c r="M4724" s="604">
        <v>63</v>
      </c>
      <c r="N4724" s="604">
        <v>18716</v>
      </c>
      <c r="O4724" s="604">
        <v>3.4</v>
      </c>
      <c r="P4724" s="604" t="s">
        <v>48</v>
      </c>
      <c r="Q4724" s="499"/>
    </row>
    <row r="4725" spans="9:17">
      <c r="I4725" s="578" t="str">
        <f t="shared" si="219"/>
        <v>2007age35-39Infant</v>
      </c>
      <c r="J4725" s="604">
        <v>2007</v>
      </c>
      <c r="K4725" s="604" t="s">
        <v>453</v>
      </c>
      <c r="L4725" s="604" t="s">
        <v>133</v>
      </c>
      <c r="M4725" s="604">
        <v>42</v>
      </c>
      <c r="N4725" s="604">
        <v>11704</v>
      </c>
      <c r="O4725" s="604">
        <v>3.6</v>
      </c>
      <c r="P4725" s="604" t="s">
        <v>48</v>
      </c>
      <c r="Q4725" s="499"/>
    </row>
    <row r="4726" spans="9:17">
      <c r="I4726" s="578" t="str">
        <f t="shared" si="219"/>
        <v>2007age40+Infant</v>
      </c>
      <c r="J4726" s="604">
        <v>2007</v>
      </c>
      <c r="K4726" s="604" t="s">
        <v>453</v>
      </c>
      <c r="L4726" s="604" t="s">
        <v>134</v>
      </c>
      <c r="M4726" s="604">
        <v>13</v>
      </c>
      <c r="N4726" s="604">
        <v>2412</v>
      </c>
      <c r="O4726" s="604">
        <v>5.4</v>
      </c>
      <c r="P4726" s="604" t="s">
        <v>48</v>
      </c>
      <c r="Q4726" s="499"/>
    </row>
    <row r="4727" spans="9:17">
      <c r="I4727" s="578" t="str">
        <f t="shared" si="219"/>
        <v>2007ageUnknownInfant</v>
      </c>
      <c r="J4727" s="604">
        <v>2007</v>
      </c>
      <c r="K4727" s="604" t="s">
        <v>453</v>
      </c>
      <c r="L4727" s="604" t="s">
        <v>63</v>
      </c>
      <c r="M4727" s="604">
        <v>5</v>
      </c>
      <c r="N4727" s="604">
        <v>0</v>
      </c>
      <c r="O4727" s="604" t="s">
        <v>119</v>
      </c>
      <c r="P4727" s="604" t="s">
        <v>48</v>
      </c>
      <c r="Q4727" s="499"/>
    </row>
    <row r="4728" spans="9:17">
      <c r="I4728" s="578" t="str">
        <f t="shared" si="219"/>
        <v>2008age&lt;20Infant</v>
      </c>
      <c r="J4728" s="604">
        <v>2008</v>
      </c>
      <c r="K4728" s="604" t="s">
        <v>453</v>
      </c>
      <c r="L4728" s="604" t="s">
        <v>339</v>
      </c>
      <c r="M4728" s="604">
        <v>51</v>
      </c>
      <c r="N4728" s="604">
        <v>5310</v>
      </c>
      <c r="O4728" s="604">
        <v>9.6</v>
      </c>
      <c r="P4728" s="604" t="s">
        <v>48</v>
      </c>
      <c r="Q4728" s="499"/>
    </row>
    <row r="4729" spans="9:17">
      <c r="I4729" s="578" t="str">
        <f t="shared" si="219"/>
        <v>2008age20-24Infant</v>
      </c>
      <c r="J4729" s="604">
        <v>2008</v>
      </c>
      <c r="K4729" s="604" t="s">
        <v>453</v>
      </c>
      <c r="L4729" s="604" t="s">
        <v>130</v>
      </c>
      <c r="M4729" s="604">
        <v>71</v>
      </c>
      <c r="N4729" s="604">
        <v>11795</v>
      </c>
      <c r="O4729" s="604">
        <v>6</v>
      </c>
      <c r="P4729" s="604" t="s">
        <v>48</v>
      </c>
      <c r="Q4729" s="499"/>
    </row>
    <row r="4730" spans="9:17">
      <c r="I4730" s="578" t="str">
        <f t="shared" si="219"/>
        <v>2008age25-29Infant</v>
      </c>
      <c r="J4730" s="604">
        <v>2008</v>
      </c>
      <c r="K4730" s="604" t="s">
        <v>453</v>
      </c>
      <c r="L4730" s="604" t="s">
        <v>131</v>
      </c>
      <c r="M4730" s="604">
        <v>71</v>
      </c>
      <c r="N4730" s="604">
        <v>15901</v>
      </c>
      <c r="O4730" s="604">
        <v>4.5</v>
      </c>
      <c r="P4730" s="604" t="s">
        <v>48</v>
      </c>
      <c r="Q4730" s="499"/>
    </row>
    <row r="4731" spans="9:17">
      <c r="I4731" s="578" t="str">
        <f t="shared" si="219"/>
        <v>2008age30-34Infant</v>
      </c>
      <c r="J4731" s="604">
        <v>2008</v>
      </c>
      <c r="K4731" s="604" t="s">
        <v>453</v>
      </c>
      <c r="L4731" s="604" t="s">
        <v>132</v>
      </c>
      <c r="M4731" s="604">
        <v>70</v>
      </c>
      <c r="N4731" s="604">
        <v>18009</v>
      </c>
      <c r="O4731" s="604">
        <v>3.9</v>
      </c>
      <c r="P4731" s="604" t="s">
        <v>48</v>
      </c>
      <c r="Q4731" s="499"/>
    </row>
    <row r="4732" spans="9:17">
      <c r="I4732" s="578" t="str">
        <f t="shared" si="219"/>
        <v>2008age35-39Infant</v>
      </c>
      <c r="J4732" s="604">
        <v>2008</v>
      </c>
      <c r="K4732" s="604" t="s">
        <v>453</v>
      </c>
      <c r="L4732" s="604" t="s">
        <v>133</v>
      </c>
      <c r="M4732" s="604">
        <v>42</v>
      </c>
      <c r="N4732" s="604">
        <v>11900</v>
      </c>
      <c r="O4732" s="604">
        <v>3.5</v>
      </c>
      <c r="P4732" s="604" t="s">
        <v>48</v>
      </c>
      <c r="Q4732" s="499"/>
    </row>
    <row r="4733" spans="9:17">
      <c r="I4733" s="578" t="str">
        <f t="shared" si="219"/>
        <v>2008age40+Infant</v>
      </c>
      <c r="J4733" s="604">
        <v>2008</v>
      </c>
      <c r="K4733" s="604" t="s">
        <v>453</v>
      </c>
      <c r="L4733" s="604" t="s">
        <v>134</v>
      </c>
      <c r="M4733" s="604">
        <v>10</v>
      </c>
      <c r="N4733" s="604">
        <v>2418</v>
      </c>
      <c r="O4733" s="604">
        <v>4.0999999999999996</v>
      </c>
      <c r="P4733" s="604" t="s">
        <v>48</v>
      </c>
      <c r="Q4733" s="499"/>
    </row>
    <row r="4734" spans="9:17">
      <c r="I4734" s="578" t="str">
        <f t="shared" si="219"/>
        <v>2008ageUnknownInfant</v>
      </c>
      <c r="J4734" s="604">
        <v>2008</v>
      </c>
      <c r="K4734" s="604" t="s">
        <v>453</v>
      </c>
      <c r="L4734" s="604" t="s">
        <v>63</v>
      </c>
      <c r="M4734" s="604">
        <v>8</v>
      </c>
      <c r="N4734" s="604">
        <v>0</v>
      </c>
      <c r="O4734" s="604" t="s">
        <v>119</v>
      </c>
      <c r="P4734" s="604" t="s">
        <v>48</v>
      </c>
      <c r="Q4734" s="499"/>
    </row>
    <row r="4735" spans="9:17">
      <c r="I4735" s="578" t="str">
        <f t="shared" si="219"/>
        <v>2009age&lt;20Infant</v>
      </c>
      <c r="J4735" s="604">
        <v>2009</v>
      </c>
      <c r="K4735" s="604" t="s">
        <v>453</v>
      </c>
      <c r="L4735" s="604" t="s">
        <v>339</v>
      </c>
      <c r="M4735" s="604">
        <v>53</v>
      </c>
      <c r="N4735" s="604">
        <v>4735</v>
      </c>
      <c r="O4735" s="604">
        <v>11.2</v>
      </c>
      <c r="P4735" s="604" t="s">
        <v>48</v>
      </c>
      <c r="Q4735" s="499"/>
    </row>
    <row r="4736" spans="9:17">
      <c r="I4736" s="578" t="str">
        <f t="shared" si="219"/>
        <v>2009age20-24Infant</v>
      </c>
      <c r="J4736" s="604">
        <v>2009</v>
      </c>
      <c r="K4736" s="604" t="s">
        <v>453</v>
      </c>
      <c r="L4736" s="604" t="s">
        <v>130</v>
      </c>
      <c r="M4736" s="604">
        <v>101</v>
      </c>
      <c r="N4736" s="604">
        <v>11699</v>
      </c>
      <c r="O4736" s="604">
        <v>8.6</v>
      </c>
      <c r="P4736" s="604" t="s">
        <v>48</v>
      </c>
      <c r="Q4736" s="499"/>
    </row>
    <row r="4737" spans="9:17">
      <c r="I4737" s="578" t="str">
        <f t="shared" si="219"/>
        <v>2009age25-29Infant</v>
      </c>
      <c r="J4737" s="604">
        <v>2009</v>
      </c>
      <c r="K4737" s="604" t="s">
        <v>453</v>
      </c>
      <c r="L4737" s="604" t="s">
        <v>131</v>
      </c>
      <c r="M4737" s="604">
        <v>63</v>
      </c>
      <c r="N4737" s="604">
        <v>15518</v>
      </c>
      <c r="O4737" s="604">
        <v>4.0999999999999996</v>
      </c>
      <c r="P4737" s="604" t="s">
        <v>48</v>
      </c>
      <c r="Q4737" s="499"/>
    </row>
    <row r="4738" spans="9:17">
      <c r="I4738" s="578" t="str">
        <f t="shared" si="219"/>
        <v>2009age30-34Infant</v>
      </c>
      <c r="J4738" s="604">
        <v>2009</v>
      </c>
      <c r="K4738" s="604" t="s">
        <v>453</v>
      </c>
      <c r="L4738" s="604" t="s">
        <v>132</v>
      </c>
      <c r="M4738" s="604">
        <v>61</v>
      </c>
      <c r="N4738" s="604">
        <v>17463</v>
      </c>
      <c r="O4738" s="604">
        <v>3.5</v>
      </c>
      <c r="P4738" s="604" t="s">
        <v>48</v>
      </c>
      <c r="Q4738" s="499"/>
    </row>
    <row r="4739" spans="9:17">
      <c r="I4739" s="578" t="str">
        <f t="shared" si="219"/>
        <v>2009age35-39Infant</v>
      </c>
      <c r="J4739" s="604">
        <v>2009</v>
      </c>
      <c r="K4739" s="604" t="s">
        <v>453</v>
      </c>
      <c r="L4739" s="604" t="s">
        <v>133</v>
      </c>
      <c r="M4739" s="604">
        <v>39</v>
      </c>
      <c r="N4739" s="604">
        <v>11391</v>
      </c>
      <c r="O4739" s="604">
        <v>3.4</v>
      </c>
      <c r="P4739" s="604" t="s">
        <v>48</v>
      </c>
      <c r="Q4739" s="499"/>
    </row>
    <row r="4740" spans="9:17">
      <c r="I4740" s="578" t="str">
        <f t="shared" ref="I4740:I4803" si="220">J4740&amp;K4740&amp;L4740&amp;P4740</f>
        <v>2009age40+Infant</v>
      </c>
      <c r="J4740" s="604">
        <v>2009</v>
      </c>
      <c r="K4740" s="604" t="s">
        <v>453</v>
      </c>
      <c r="L4740" s="604" t="s">
        <v>134</v>
      </c>
      <c r="M4740" s="604">
        <v>10</v>
      </c>
      <c r="N4740" s="604">
        <v>2479</v>
      </c>
      <c r="O4740" s="604">
        <v>4</v>
      </c>
      <c r="P4740" s="604" t="s">
        <v>48</v>
      </c>
      <c r="Q4740" s="499"/>
    </row>
    <row r="4741" spans="9:17">
      <c r="I4741" s="578" t="str">
        <f t="shared" si="220"/>
        <v>2009ageUnknownInfant</v>
      </c>
      <c r="J4741" s="604">
        <v>2009</v>
      </c>
      <c r="K4741" s="604" t="s">
        <v>453</v>
      </c>
      <c r="L4741" s="604" t="s">
        <v>63</v>
      </c>
      <c r="M4741" s="604">
        <v>5</v>
      </c>
      <c r="N4741" s="604">
        <v>0</v>
      </c>
      <c r="O4741" s="604" t="s">
        <v>119</v>
      </c>
      <c r="P4741" s="604" t="s">
        <v>48</v>
      </c>
      <c r="Q4741" s="499"/>
    </row>
    <row r="4742" spans="9:17">
      <c r="I4742" s="578" t="str">
        <f t="shared" si="220"/>
        <v>2010age&lt;20Infant</v>
      </c>
      <c r="J4742" s="604">
        <v>2010</v>
      </c>
      <c r="K4742" s="604" t="s">
        <v>453</v>
      </c>
      <c r="L4742" s="604" t="s">
        <v>339</v>
      </c>
      <c r="M4742" s="604">
        <v>47</v>
      </c>
      <c r="N4742" s="604">
        <v>4600</v>
      </c>
      <c r="O4742" s="604">
        <v>10.199999999999999</v>
      </c>
      <c r="P4742" s="604" t="s">
        <v>48</v>
      </c>
      <c r="Q4742" s="499"/>
    </row>
    <row r="4743" spans="9:17">
      <c r="I4743" s="578" t="str">
        <f t="shared" si="220"/>
        <v>2010age20-24Infant</v>
      </c>
      <c r="J4743" s="604">
        <v>2010</v>
      </c>
      <c r="K4743" s="604" t="s">
        <v>453</v>
      </c>
      <c r="L4743" s="604" t="s">
        <v>130</v>
      </c>
      <c r="M4743" s="604">
        <v>86</v>
      </c>
      <c r="N4743" s="604">
        <v>12034</v>
      </c>
      <c r="O4743" s="604">
        <v>7.1</v>
      </c>
      <c r="P4743" s="604" t="s">
        <v>48</v>
      </c>
      <c r="Q4743" s="499"/>
    </row>
    <row r="4744" spans="9:17">
      <c r="I4744" s="578" t="str">
        <f t="shared" si="220"/>
        <v>2010age25-29Infant</v>
      </c>
      <c r="J4744" s="604">
        <v>2010</v>
      </c>
      <c r="K4744" s="604" t="s">
        <v>453</v>
      </c>
      <c r="L4744" s="604" t="s">
        <v>131</v>
      </c>
      <c r="M4744" s="604">
        <v>79</v>
      </c>
      <c r="N4744" s="604">
        <v>16132</v>
      </c>
      <c r="O4744" s="604">
        <v>4.9000000000000004</v>
      </c>
      <c r="P4744" s="604" t="s">
        <v>48</v>
      </c>
      <c r="Q4744" s="499"/>
    </row>
    <row r="4745" spans="9:17">
      <c r="I4745" s="578" t="str">
        <f t="shared" si="220"/>
        <v>2010age30-34Infant</v>
      </c>
      <c r="J4745" s="604">
        <v>2010</v>
      </c>
      <c r="K4745" s="604" t="s">
        <v>453</v>
      </c>
      <c r="L4745" s="604" t="s">
        <v>132</v>
      </c>
      <c r="M4745" s="604">
        <v>59</v>
      </c>
      <c r="N4745" s="604">
        <v>17871</v>
      </c>
      <c r="O4745" s="604">
        <v>3.3</v>
      </c>
      <c r="P4745" s="604" t="s">
        <v>48</v>
      </c>
      <c r="Q4745" s="499"/>
    </row>
    <row r="4746" spans="9:17">
      <c r="I4746" s="578" t="str">
        <f t="shared" si="220"/>
        <v>2010age35-39Infant</v>
      </c>
      <c r="J4746" s="604">
        <v>2010</v>
      </c>
      <c r="K4746" s="604" t="s">
        <v>453</v>
      </c>
      <c r="L4746" s="604" t="s">
        <v>133</v>
      </c>
      <c r="M4746" s="604">
        <v>65</v>
      </c>
      <c r="N4746" s="604">
        <v>11413</v>
      </c>
      <c r="O4746" s="604">
        <v>5.7</v>
      </c>
      <c r="P4746" s="604" t="s">
        <v>48</v>
      </c>
      <c r="Q4746" s="499"/>
    </row>
    <row r="4747" spans="9:17">
      <c r="I4747" s="578" t="str">
        <f t="shared" si="220"/>
        <v>2010age40+Infant</v>
      </c>
      <c r="J4747" s="604">
        <v>2010</v>
      </c>
      <c r="K4747" s="604" t="s">
        <v>453</v>
      </c>
      <c r="L4747" s="604" t="s">
        <v>134</v>
      </c>
      <c r="M4747" s="604">
        <v>17</v>
      </c>
      <c r="N4747" s="604">
        <v>2649</v>
      </c>
      <c r="O4747" s="604">
        <v>6.4</v>
      </c>
      <c r="P4747" s="604" t="s">
        <v>48</v>
      </c>
      <c r="Q4747" s="499"/>
    </row>
    <row r="4748" spans="9:17">
      <c r="I4748" s="578" t="str">
        <f t="shared" si="220"/>
        <v>2010ageUnknownInfant</v>
      </c>
      <c r="J4748" s="604">
        <v>2010</v>
      </c>
      <c r="K4748" s="604" t="s">
        <v>453</v>
      </c>
      <c r="L4748" s="604" t="s">
        <v>63</v>
      </c>
      <c r="M4748" s="604">
        <v>8</v>
      </c>
      <c r="N4748" s="604">
        <v>0</v>
      </c>
      <c r="O4748" s="604" t="s">
        <v>119</v>
      </c>
      <c r="P4748" s="604" t="s">
        <v>48</v>
      </c>
      <c r="Q4748" s="499"/>
    </row>
    <row r="4749" spans="9:17">
      <c r="I4749" s="578" t="str">
        <f t="shared" si="220"/>
        <v>2011age&lt;20Infant</v>
      </c>
      <c r="J4749" s="604">
        <v>2011</v>
      </c>
      <c r="K4749" s="604" t="s">
        <v>453</v>
      </c>
      <c r="L4749" s="604" t="s">
        <v>339</v>
      </c>
      <c r="M4749" s="604">
        <v>42</v>
      </c>
      <c r="N4749" s="604">
        <v>4065</v>
      </c>
      <c r="O4749" s="604">
        <v>10.3</v>
      </c>
      <c r="P4749" s="604" t="s">
        <v>48</v>
      </c>
      <c r="Q4749" s="499"/>
    </row>
    <row r="4750" spans="9:17">
      <c r="I4750" s="578" t="str">
        <f t="shared" si="220"/>
        <v>2011age20-24Infant</v>
      </c>
      <c r="J4750" s="604">
        <v>2011</v>
      </c>
      <c r="K4750" s="604" t="s">
        <v>453</v>
      </c>
      <c r="L4750" s="604" t="s">
        <v>130</v>
      </c>
      <c r="M4750" s="604">
        <v>81</v>
      </c>
      <c r="N4750" s="604">
        <v>11604</v>
      </c>
      <c r="O4750" s="604">
        <v>7</v>
      </c>
      <c r="P4750" s="604" t="s">
        <v>48</v>
      </c>
      <c r="Q4750" s="499"/>
    </row>
    <row r="4751" spans="9:17">
      <c r="I4751" s="578" t="str">
        <f t="shared" si="220"/>
        <v>2011age25-29Infant</v>
      </c>
      <c r="J4751" s="604">
        <v>2011</v>
      </c>
      <c r="K4751" s="604" t="s">
        <v>453</v>
      </c>
      <c r="L4751" s="604" t="s">
        <v>131</v>
      </c>
      <c r="M4751" s="604">
        <v>69</v>
      </c>
      <c r="N4751" s="604">
        <v>15636</v>
      </c>
      <c r="O4751" s="604">
        <v>4.4000000000000004</v>
      </c>
      <c r="P4751" s="604" t="s">
        <v>48</v>
      </c>
      <c r="Q4751" s="499"/>
    </row>
    <row r="4752" spans="9:17">
      <c r="I4752" s="578" t="str">
        <f t="shared" si="220"/>
        <v>2011age30-34Infant</v>
      </c>
      <c r="J4752" s="604">
        <v>2011</v>
      </c>
      <c r="K4752" s="604" t="s">
        <v>453</v>
      </c>
      <c r="L4752" s="604" t="s">
        <v>132</v>
      </c>
      <c r="M4752" s="604">
        <v>70</v>
      </c>
      <c r="N4752" s="604">
        <v>17359</v>
      </c>
      <c r="O4752" s="604">
        <v>4</v>
      </c>
      <c r="P4752" s="604" t="s">
        <v>48</v>
      </c>
      <c r="Q4752" s="499"/>
    </row>
    <row r="4753" spans="9:17">
      <c r="I4753" s="578" t="str">
        <f t="shared" si="220"/>
        <v>2011age35-39Infant</v>
      </c>
      <c r="J4753" s="604">
        <v>2011</v>
      </c>
      <c r="K4753" s="604" t="s">
        <v>453</v>
      </c>
      <c r="L4753" s="604" t="s">
        <v>133</v>
      </c>
      <c r="M4753" s="604">
        <v>43</v>
      </c>
      <c r="N4753" s="604">
        <v>10940</v>
      </c>
      <c r="O4753" s="604">
        <v>3.9</v>
      </c>
      <c r="P4753" s="604" t="s">
        <v>48</v>
      </c>
      <c r="Q4753" s="499"/>
    </row>
    <row r="4754" spans="9:17">
      <c r="I4754" s="578" t="str">
        <f t="shared" si="220"/>
        <v>2011age40+Infant</v>
      </c>
      <c r="J4754" s="604">
        <v>2011</v>
      </c>
      <c r="K4754" s="604" t="s">
        <v>453</v>
      </c>
      <c r="L4754" s="604" t="s">
        <v>134</v>
      </c>
      <c r="M4754" s="604">
        <v>11</v>
      </c>
      <c r="N4754" s="604">
        <v>2570</v>
      </c>
      <c r="O4754" s="604">
        <v>4.3</v>
      </c>
      <c r="P4754" s="604" t="s">
        <v>48</v>
      </c>
      <c r="Q4754" s="499"/>
    </row>
    <row r="4755" spans="9:17">
      <c r="I4755" s="578" t="str">
        <f t="shared" si="220"/>
        <v>2011ageUnknownInfant</v>
      </c>
      <c r="J4755" s="604">
        <v>2011</v>
      </c>
      <c r="K4755" s="604" t="s">
        <v>453</v>
      </c>
      <c r="L4755" s="604" t="s">
        <v>63</v>
      </c>
      <c r="M4755" s="604">
        <v>6</v>
      </c>
      <c r="N4755" s="604">
        <v>0</v>
      </c>
      <c r="O4755" s="604" t="s">
        <v>119</v>
      </c>
      <c r="P4755" s="604" t="s">
        <v>48</v>
      </c>
      <c r="Q4755" s="499"/>
    </row>
    <row r="4756" spans="9:17">
      <c r="I4756" s="578" t="str">
        <f t="shared" si="220"/>
        <v>2012age&lt;20Infant</v>
      </c>
      <c r="J4756" s="604">
        <v>2012</v>
      </c>
      <c r="K4756" s="604" t="s">
        <v>453</v>
      </c>
      <c r="L4756" s="604" t="s">
        <v>339</v>
      </c>
      <c r="M4756" s="604">
        <v>33</v>
      </c>
      <c r="N4756" s="604">
        <v>3881</v>
      </c>
      <c r="O4756" s="604">
        <v>8.5</v>
      </c>
      <c r="P4756" s="604" t="s">
        <v>48</v>
      </c>
      <c r="Q4756" s="499"/>
    </row>
    <row r="4757" spans="9:17">
      <c r="I4757" s="578" t="str">
        <f t="shared" si="220"/>
        <v>2012age20-24Infant</v>
      </c>
      <c r="J4757" s="604">
        <v>2012</v>
      </c>
      <c r="K4757" s="604" t="s">
        <v>453</v>
      </c>
      <c r="L4757" s="604" t="s">
        <v>130</v>
      </c>
      <c r="M4757" s="604">
        <v>73</v>
      </c>
      <c r="N4757" s="604">
        <v>11530</v>
      </c>
      <c r="O4757" s="604">
        <v>6.3</v>
      </c>
      <c r="P4757" s="604" t="s">
        <v>48</v>
      </c>
      <c r="Q4757" s="499"/>
    </row>
    <row r="4758" spans="9:17">
      <c r="I4758" s="578" t="str">
        <f t="shared" si="220"/>
        <v>2012age25-29Infant</v>
      </c>
      <c r="J4758" s="604">
        <v>2012</v>
      </c>
      <c r="K4758" s="604" t="s">
        <v>453</v>
      </c>
      <c r="L4758" s="604" t="s">
        <v>131</v>
      </c>
      <c r="M4758" s="604">
        <v>68</v>
      </c>
      <c r="N4758" s="604">
        <v>15863</v>
      </c>
      <c r="O4758" s="604">
        <v>4.3</v>
      </c>
      <c r="P4758" s="604" t="s">
        <v>48</v>
      </c>
      <c r="Q4758" s="499"/>
    </row>
    <row r="4759" spans="9:17">
      <c r="I4759" s="578" t="str">
        <f t="shared" si="220"/>
        <v>2012age30-34Infant</v>
      </c>
      <c r="J4759" s="604">
        <v>2012</v>
      </c>
      <c r="K4759" s="604" t="s">
        <v>453</v>
      </c>
      <c r="L4759" s="604" t="s">
        <v>132</v>
      </c>
      <c r="M4759" s="604">
        <v>53</v>
      </c>
      <c r="N4759" s="604">
        <v>17635</v>
      </c>
      <c r="O4759" s="604">
        <v>3</v>
      </c>
      <c r="P4759" s="604" t="s">
        <v>48</v>
      </c>
      <c r="Q4759" s="499"/>
    </row>
    <row r="4760" spans="9:17">
      <c r="I4760" s="578" t="str">
        <f t="shared" si="220"/>
        <v>2012age35-39Infant</v>
      </c>
      <c r="J4760" s="604">
        <v>2012</v>
      </c>
      <c r="K4760" s="604" t="s">
        <v>453</v>
      </c>
      <c r="L4760" s="604" t="s">
        <v>133</v>
      </c>
      <c r="M4760" s="604">
        <v>49</v>
      </c>
      <c r="N4760" s="604">
        <v>10460</v>
      </c>
      <c r="O4760" s="604">
        <v>4.7</v>
      </c>
      <c r="P4760" s="604" t="s">
        <v>48</v>
      </c>
      <c r="Q4760" s="499"/>
    </row>
    <row r="4761" spans="9:17">
      <c r="I4761" s="578" t="str">
        <f t="shared" si="220"/>
        <v>2012age40+Infant</v>
      </c>
      <c r="J4761" s="604">
        <v>2012</v>
      </c>
      <c r="K4761" s="604" t="s">
        <v>453</v>
      </c>
      <c r="L4761" s="604" t="s">
        <v>134</v>
      </c>
      <c r="M4761" s="604">
        <v>15</v>
      </c>
      <c r="N4761" s="604">
        <v>2666</v>
      </c>
      <c r="O4761" s="604">
        <v>5.6</v>
      </c>
      <c r="P4761" s="604" t="s">
        <v>48</v>
      </c>
      <c r="Q4761" s="499"/>
    </row>
    <row r="4762" spans="9:17">
      <c r="I4762" s="578" t="str">
        <f t="shared" si="220"/>
        <v>2012ageUnknownInfant</v>
      </c>
      <c r="J4762" s="604">
        <v>2012</v>
      </c>
      <c r="K4762" s="604" t="s">
        <v>453</v>
      </c>
      <c r="L4762" s="604" t="s">
        <v>63</v>
      </c>
      <c r="M4762" s="604">
        <v>3</v>
      </c>
      <c r="N4762" s="604">
        <v>0</v>
      </c>
      <c r="O4762" s="604" t="s">
        <v>119</v>
      </c>
      <c r="P4762" s="604" t="s">
        <v>48</v>
      </c>
      <c r="Q4762" s="499"/>
    </row>
    <row r="4763" spans="9:17">
      <c r="I4763" s="578" t="str">
        <f t="shared" si="220"/>
        <v>2013age&lt;20Infant</v>
      </c>
      <c r="J4763" s="604">
        <v>2013</v>
      </c>
      <c r="K4763" s="604" t="s">
        <v>453</v>
      </c>
      <c r="L4763" s="604" t="s">
        <v>339</v>
      </c>
      <c r="M4763" s="604">
        <v>38</v>
      </c>
      <c r="N4763" s="604">
        <v>3409</v>
      </c>
      <c r="O4763" s="604">
        <v>11.1</v>
      </c>
      <c r="P4763" s="604" t="s">
        <v>48</v>
      </c>
      <c r="Q4763" s="499"/>
    </row>
    <row r="4764" spans="9:17">
      <c r="I4764" s="578" t="str">
        <f t="shared" si="220"/>
        <v>2013age20-24Infant</v>
      </c>
      <c r="J4764" s="604">
        <v>2013</v>
      </c>
      <c r="K4764" s="604" t="s">
        <v>453</v>
      </c>
      <c r="L4764" s="604" t="s">
        <v>130</v>
      </c>
      <c r="M4764" s="604">
        <v>74</v>
      </c>
      <c r="N4764" s="604">
        <v>10983</v>
      </c>
      <c r="O4764" s="604">
        <v>6.7</v>
      </c>
      <c r="P4764" s="604" t="s">
        <v>48</v>
      </c>
      <c r="Q4764" s="499"/>
    </row>
    <row r="4765" spans="9:17">
      <c r="I4765" s="578" t="str">
        <f t="shared" si="220"/>
        <v>2013age25-29Infant</v>
      </c>
      <c r="J4765" s="604">
        <v>2013</v>
      </c>
      <c r="K4765" s="604" t="s">
        <v>453</v>
      </c>
      <c r="L4765" s="604" t="s">
        <v>131</v>
      </c>
      <c r="M4765" s="604">
        <v>67</v>
      </c>
      <c r="N4765" s="604">
        <v>15486</v>
      </c>
      <c r="O4765" s="604">
        <v>4.3</v>
      </c>
      <c r="P4765" s="604" t="s">
        <v>48</v>
      </c>
      <c r="Q4765" s="499"/>
    </row>
    <row r="4766" spans="9:17">
      <c r="I4766" s="578" t="str">
        <f t="shared" si="220"/>
        <v>2013age30-34Infant</v>
      </c>
      <c r="J4766" s="604">
        <v>2013</v>
      </c>
      <c r="K4766" s="604" t="s">
        <v>453</v>
      </c>
      <c r="L4766" s="604" t="s">
        <v>132</v>
      </c>
      <c r="M4766" s="604">
        <v>54</v>
      </c>
      <c r="N4766" s="604">
        <v>16970</v>
      </c>
      <c r="O4766" s="604">
        <v>3.2</v>
      </c>
      <c r="P4766" s="604" t="s">
        <v>48</v>
      </c>
      <c r="Q4766" s="499"/>
    </row>
    <row r="4767" spans="9:17">
      <c r="I4767" s="578" t="str">
        <f t="shared" si="220"/>
        <v>2013age35-39Infant</v>
      </c>
      <c r="J4767" s="604">
        <v>2013</v>
      </c>
      <c r="K4767" s="604" t="s">
        <v>453</v>
      </c>
      <c r="L4767" s="604" t="s">
        <v>133</v>
      </c>
      <c r="M4767" s="604">
        <v>40</v>
      </c>
      <c r="N4767" s="604">
        <v>10235</v>
      </c>
      <c r="O4767" s="604">
        <v>3.9</v>
      </c>
      <c r="P4767" s="604" t="s">
        <v>48</v>
      </c>
      <c r="Q4767" s="499"/>
    </row>
    <row r="4768" spans="9:17">
      <c r="I4768" s="578" t="str">
        <f t="shared" si="220"/>
        <v>2013age40+Infant</v>
      </c>
      <c r="J4768" s="604">
        <v>2013</v>
      </c>
      <c r="K4768" s="604" t="s">
        <v>453</v>
      </c>
      <c r="L4768" s="604" t="s">
        <v>134</v>
      </c>
      <c r="M4768" s="604">
        <v>21</v>
      </c>
      <c r="N4768" s="604">
        <v>2618</v>
      </c>
      <c r="O4768" s="604">
        <v>8</v>
      </c>
      <c r="P4768" s="604" t="s">
        <v>48</v>
      </c>
      <c r="Q4768" s="499"/>
    </row>
    <row r="4769" spans="9:17">
      <c r="I4769" s="578" t="str">
        <f t="shared" si="220"/>
        <v>2013ageUnknownInfant</v>
      </c>
      <c r="J4769" s="604">
        <v>2013</v>
      </c>
      <c r="K4769" s="604" t="s">
        <v>453</v>
      </c>
      <c r="L4769" s="604" t="s">
        <v>63</v>
      </c>
      <c r="M4769" s="604">
        <v>2</v>
      </c>
      <c r="N4769" s="604">
        <v>0</v>
      </c>
      <c r="O4769" s="604" t="s">
        <v>119</v>
      </c>
      <c r="P4769" s="604" t="s">
        <v>48</v>
      </c>
      <c r="Q4769" s="499"/>
    </row>
    <row r="4770" spans="9:17">
      <c r="I4770" s="578" t="str">
        <f t="shared" si="220"/>
        <v>2014age&lt;20Infant</v>
      </c>
      <c r="J4770" s="604">
        <v>2014</v>
      </c>
      <c r="K4770" s="604" t="s">
        <v>453</v>
      </c>
      <c r="L4770" s="604" t="s">
        <v>339</v>
      </c>
      <c r="M4770" s="604">
        <v>37</v>
      </c>
      <c r="N4770" s="604">
        <v>3017</v>
      </c>
      <c r="O4770" s="604">
        <v>12.3</v>
      </c>
      <c r="P4770" s="604" t="s">
        <v>48</v>
      </c>
      <c r="Q4770" s="499"/>
    </row>
    <row r="4771" spans="9:17">
      <c r="I4771" s="578" t="str">
        <f t="shared" si="220"/>
        <v>2014age20-24Infant</v>
      </c>
      <c r="J4771" s="604">
        <v>2014</v>
      </c>
      <c r="K4771" s="604" t="s">
        <v>453</v>
      </c>
      <c r="L4771" s="604" t="s">
        <v>130</v>
      </c>
      <c r="M4771" s="604">
        <v>75</v>
      </c>
      <c r="N4771" s="604">
        <v>10235</v>
      </c>
      <c r="O4771" s="604">
        <v>7.3</v>
      </c>
      <c r="P4771" s="604" t="s">
        <v>48</v>
      </c>
      <c r="Q4771" s="499"/>
    </row>
    <row r="4772" spans="9:17">
      <c r="I4772" s="578" t="str">
        <f t="shared" si="220"/>
        <v>2014age25-29Infant</v>
      </c>
      <c r="J4772" s="604">
        <v>2014</v>
      </c>
      <c r="K4772" s="604" t="s">
        <v>453</v>
      </c>
      <c r="L4772" s="604" t="s">
        <v>131</v>
      </c>
      <c r="M4772" s="604">
        <v>81</v>
      </c>
      <c r="N4772" s="604">
        <v>15519</v>
      </c>
      <c r="O4772" s="604">
        <v>5.2</v>
      </c>
      <c r="P4772" s="604" t="s">
        <v>48</v>
      </c>
      <c r="Q4772" s="499"/>
    </row>
    <row r="4773" spans="9:17">
      <c r="I4773" s="578" t="str">
        <f t="shared" si="220"/>
        <v>2014age30-34Infant</v>
      </c>
      <c r="J4773" s="604">
        <v>2014</v>
      </c>
      <c r="K4773" s="604" t="s">
        <v>453</v>
      </c>
      <c r="L4773" s="604" t="s">
        <v>132</v>
      </c>
      <c r="M4773" s="604">
        <v>78</v>
      </c>
      <c r="N4773" s="604">
        <v>17375</v>
      </c>
      <c r="O4773" s="604">
        <v>4.5</v>
      </c>
      <c r="P4773" s="604" t="s">
        <v>48</v>
      </c>
      <c r="Q4773" s="499"/>
    </row>
    <row r="4774" spans="9:17">
      <c r="I4774" s="578" t="str">
        <f t="shared" si="220"/>
        <v>2014age35-39Infant</v>
      </c>
      <c r="J4774" s="604">
        <v>2014</v>
      </c>
      <c r="K4774" s="604" t="s">
        <v>453</v>
      </c>
      <c r="L4774" s="604" t="s">
        <v>133</v>
      </c>
      <c r="M4774" s="604">
        <v>43</v>
      </c>
      <c r="N4774" s="604">
        <v>9639</v>
      </c>
      <c r="O4774" s="604">
        <v>4.5</v>
      </c>
      <c r="P4774" s="604" t="s">
        <v>48</v>
      </c>
      <c r="Q4774" s="499"/>
    </row>
    <row r="4775" spans="9:17">
      <c r="I4775" s="578" t="str">
        <f t="shared" si="220"/>
        <v>2014age40+Infant</v>
      </c>
      <c r="J4775" s="604">
        <v>2014</v>
      </c>
      <c r="K4775" s="604" t="s">
        <v>453</v>
      </c>
      <c r="L4775" s="604" t="s">
        <v>134</v>
      </c>
      <c r="M4775" s="604">
        <v>12</v>
      </c>
      <c r="N4775" s="604">
        <v>2500</v>
      </c>
      <c r="O4775" s="604">
        <v>4.8</v>
      </c>
      <c r="P4775" s="604" t="s">
        <v>48</v>
      </c>
      <c r="Q4775" s="499"/>
    </row>
    <row r="4776" spans="9:17">
      <c r="I4776" s="578" t="str">
        <f t="shared" si="220"/>
        <v>2014ageUnknownInfant</v>
      </c>
      <c r="J4776" s="604">
        <v>2014</v>
      </c>
      <c r="K4776" s="604" t="s">
        <v>453</v>
      </c>
      <c r="L4776" s="604" t="s">
        <v>63</v>
      </c>
      <c r="M4776" s="604">
        <v>7</v>
      </c>
      <c r="N4776" s="604">
        <v>0</v>
      </c>
      <c r="O4776" s="604" t="s">
        <v>119</v>
      </c>
      <c r="P4776" s="604" t="s">
        <v>48</v>
      </c>
      <c r="Q4776" s="499"/>
    </row>
    <row r="4777" spans="9:17">
      <c r="I4777" s="578" t="str">
        <f t="shared" si="220"/>
        <v>2015age&lt;20Infant</v>
      </c>
      <c r="J4777" s="604">
        <v>2015</v>
      </c>
      <c r="K4777" s="604" t="s">
        <v>453</v>
      </c>
      <c r="L4777" s="604" t="s">
        <v>339</v>
      </c>
      <c r="M4777" s="604">
        <v>24</v>
      </c>
      <c r="N4777" s="604">
        <v>2977</v>
      </c>
      <c r="O4777" s="604">
        <v>8.1</v>
      </c>
      <c r="P4777" s="604" t="s">
        <v>48</v>
      </c>
      <c r="Q4777" s="499"/>
    </row>
    <row r="4778" spans="9:17">
      <c r="I4778" s="578" t="str">
        <f t="shared" si="220"/>
        <v>2015age20-24Infant</v>
      </c>
      <c r="J4778" s="604">
        <v>2015</v>
      </c>
      <c r="K4778" s="604" t="s">
        <v>453</v>
      </c>
      <c r="L4778" s="604" t="s">
        <v>130</v>
      </c>
      <c r="M4778" s="604">
        <v>48</v>
      </c>
      <c r="N4778" s="604">
        <v>10795</v>
      </c>
      <c r="O4778" s="604">
        <v>4.4000000000000004</v>
      </c>
      <c r="P4778" s="604" t="s">
        <v>48</v>
      </c>
      <c r="Q4778" s="499"/>
    </row>
    <row r="4779" spans="9:17">
      <c r="I4779" s="578" t="str">
        <f t="shared" si="220"/>
        <v>2015age25-29Infant</v>
      </c>
      <c r="J4779" s="604">
        <v>2015</v>
      </c>
      <c r="K4779" s="604" t="s">
        <v>453</v>
      </c>
      <c r="L4779" s="604" t="s">
        <v>131</v>
      </c>
      <c r="M4779" s="604">
        <v>63</v>
      </c>
      <c r="N4779" s="604">
        <v>16661</v>
      </c>
      <c r="O4779" s="604">
        <v>3.8</v>
      </c>
      <c r="P4779" s="604" t="s">
        <v>48</v>
      </c>
      <c r="Q4779" s="499"/>
    </row>
    <row r="4780" spans="9:17">
      <c r="I4780" s="578" t="str">
        <f t="shared" si="220"/>
        <v>2015age30-34Infant</v>
      </c>
      <c r="J4780" s="604">
        <v>2015</v>
      </c>
      <c r="K4780" s="604" t="s">
        <v>453</v>
      </c>
      <c r="L4780" s="604" t="s">
        <v>132</v>
      </c>
      <c r="M4780" s="604">
        <v>74</v>
      </c>
      <c r="N4780" s="604">
        <v>18793</v>
      </c>
      <c r="O4780" s="604">
        <v>3.9</v>
      </c>
      <c r="P4780" s="604" t="s">
        <v>48</v>
      </c>
      <c r="Q4780" s="499"/>
    </row>
    <row r="4781" spans="9:17">
      <c r="I4781" s="578" t="str">
        <f t="shared" si="220"/>
        <v>2015age35-39Infant</v>
      </c>
      <c r="J4781" s="604">
        <v>2015</v>
      </c>
      <c r="K4781" s="604" t="s">
        <v>453</v>
      </c>
      <c r="L4781" s="604" t="s">
        <v>133</v>
      </c>
      <c r="M4781" s="604">
        <v>42</v>
      </c>
      <c r="N4781" s="604">
        <v>10321</v>
      </c>
      <c r="O4781" s="604">
        <v>4.0999999999999996</v>
      </c>
      <c r="P4781" s="604" t="s">
        <v>48</v>
      </c>
      <c r="Q4781" s="499"/>
    </row>
    <row r="4782" spans="9:17">
      <c r="I4782" s="578" t="str">
        <f t="shared" si="220"/>
        <v>2015age40+Infant</v>
      </c>
      <c r="J4782" s="604">
        <v>2015</v>
      </c>
      <c r="K4782" s="604" t="s">
        <v>453</v>
      </c>
      <c r="L4782" s="604" t="s">
        <v>134</v>
      </c>
      <c r="M4782" s="604">
        <v>10</v>
      </c>
      <c r="N4782" s="604">
        <v>2575</v>
      </c>
      <c r="O4782" s="604">
        <v>3.9</v>
      </c>
      <c r="P4782" s="604" t="s">
        <v>48</v>
      </c>
      <c r="Q4782" s="499"/>
    </row>
    <row r="4783" spans="9:17">
      <c r="I4783" s="578" t="str">
        <f t="shared" si="220"/>
        <v>2015ageUnknownInfant</v>
      </c>
      <c r="J4783" s="604">
        <v>2015</v>
      </c>
      <c r="K4783" s="604" t="s">
        <v>453</v>
      </c>
      <c r="L4783" s="604" t="s">
        <v>63</v>
      </c>
      <c r="M4783" s="604">
        <v>5</v>
      </c>
      <c r="N4783" s="604">
        <v>0</v>
      </c>
      <c r="O4783" s="604" t="s">
        <v>119</v>
      </c>
      <c r="P4783" s="604" t="s">
        <v>48</v>
      </c>
      <c r="Q4783" s="499"/>
    </row>
    <row r="4784" spans="9:17">
      <c r="I4784" s="578" t="str">
        <f t="shared" si="220"/>
        <v>2016age&lt;20Infant</v>
      </c>
      <c r="J4784" s="604">
        <v>2016</v>
      </c>
      <c r="K4784" s="604" t="s">
        <v>453</v>
      </c>
      <c r="L4784" s="604" t="s">
        <v>339</v>
      </c>
      <c r="M4784" s="604">
        <v>27</v>
      </c>
      <c r="N4784" s="604">
        <v>2559</v>
      </c>
      <c r="O4784" s="604">
        <v>10.6</v>
      </c>
      <c r="P4784" s="604" t="s">
        <v>48</v>
      </c>
      <c r="Q4784" s="499"/>
    </row>
    <row r="4785" spans="9:17">
      <c r="I4785" s="578" t="str">
        <f t="shared" si="220"/>
        <v>2016age20-24Infant</v>
      </c>
      <c r="J4785" s="604">
        <v>2016</v>
      </c>
      <c r="K4785" s="604" t="s">
        <v>453</v>
      </c>
      <c r="L4785" s="604" t="s">
        <v>130</v>
      </c>
      <c r="M4785" s="604">
        <v>61</v>
      </c>
      <c r="N4785" s="604">
        <v>9934</v>
      </c>
      <c r="O4785" s="604">
        <v>6.1</v>
      </c>
      <c r="P4785" s="604" t="s">
        <v>48</v>
      </c>
      <c r="Q4785" s="499"/>
    </row>
    <row r="4786" spans="9:17">
      <c r="I4786" s="578" t="str">
        <f t="shared" si="220"/>
        <v>2016age25-29Infant</v>
      </c>
      <c r="J4786" s="604">
        <v>2016</v>
      </c>
      <c r="K4786" s="604" t="s">
        <v>453</v>
      </c>
      <c r="L4786" s="604" t="s">
        <v>131</v>
      </c>
      <c r="M4786" s="604">
        <v>52</v>
      </c>
      <c r="N4786" s="604">
        <v>16664</v>
      </c>
      <c r="O4786" s="604">
        <v>3.1</v>
      </c>
      <c r="P4786" s="604" t="s">
        <v>48</v>
      </c>
      <c r="Q4786" s="499"/>
    </row>
    <row r="4787" spans="9:17">
      <c r="I4787" s="578" t="str">
        <f t="shared" si="220"/>
        <v>2016age30-34Infant</v>
      </c>
      <c r="J4787" s="604">
        <v>2016</v>
      </c>
      <c r="K4787" s="604" t="s">
        <v>453</v>
      </c>
      <c r="L4787" s="604" t="s">
        <v>132</v>
      </c>
      <c r="M4787" s="604">
        <v>59</v>
      </c>
      <c r="N4787" s="604">
        <v>18720</v>
      </c>
      <c r="O4787" s="604">
        <v>3.2</v>
      </c>
      <c r="P4787" s="604" t="s">
        <v>48</v>
      </c>
      <c r="Q4787" s="499"/>
    </row>
    <row r="4788" spans="9:17">
      <c r="I4788" s="578" t="str">
        <f t="shared" si="220"/>
        <v>2016age35-39Infant</v>
      </c>
      <c r="J4788" s="604">
        <v>2016</v>
      </c>
      <c r="K4788" s="604" t="s">
        <v>453</v>
      </c>
      <c r="L4788" s="604" t="s">
        <v>133</v>
      </c>
      <c r="M4788" s="604">
        <v>26</v>
      </c>
      <c r="N4788" s="604">
        <v>10105</v>
      </c>
      <c r="O4788" s="604">
        <v>2.6</v>
      </c>
      <c r="P4788" s="604" t="s">
        <v>48</v>
      </c>
      <c r="Q4788" s="499"/>
    </row>
    <row r="4789" spans="9:17">
      <c r="I4789" s="578" t="str">
        <f t="shared" si="220"/>
        <v>2016age40+Infant</v>
      </c>
      <c r="J4789" s="604">
        <v>2016</v>
      </c>
      <c r="K4789" s="604" t="s">
        <v>453</v>
      </c>
      <c r="L4789" s="604" t="s">
        <v>134</v>
      </c>
      <c r="M4789" s="604">
        <v>15</v>
      </c>
      <c r="N4789" s="604">
        <v>2454</v>
      </c>
      <c r="O4789" s="604">
        <v>6.1</v>
      </c>
      <c r="P4789" s="604" t="s">
        <v>48</v>
      </c>
      <c r="Q4789" s="499"/>
    </row>
    <row r="4790" spans="9:17">
      <c r="I4790" s="578" t="str">
        <f t="shared" si="220"/>
        <v>2016ageUnknownInfant</v>
      </c>
      <c r="J4790" s="604">
        <v>2016</v>
      </c>
      <c r="K4790" s="604" t="s">
        <v>453</v>
      </c>
      <c r="L4790" s="604" t="s">
        <v>63</v>
      </c>
      <c r="M4790" s="604">
        <v>1</v>
      </c>
      <c r="N4790" s="604">
        <v>0</v>
      </c>
      <c r="O4790" s="604" t="s">
        <v>119</v>
      </c>
      <c r="P4790" s="604" t="s">
        <v>48</v>
      </c>
      <c r="Q4790" s="499"/>
    </row>
    <row r="4791" spans="9:17">
      <c r="I4791" s="578" t="str">
        <f t="shared" si="220"/>
        <v>1996sexMaleInfant</v>
      </c>
      <c r="J4791" s="604">
        <v>1996</v>
      </c>
      <c r="K4791" s="604" t="s">
        <v>451</v>
      </c>
      <c r="L4791" s="604" t="s">
        <v>70</v>
      </c>
      <c r="M4791" s="604">
        <v>229</v>
      </c>
      <c r="N4791" s="604">
        <v>29549</v>
      </c>
      <c r="O4791" s="604">
        <v>7.7</v>
      </c>
      <c r="P4791" s="604" t="s">
        <v>48</v>
      </c>
      <c r="Q4791" s="499"/>
    </row>
    <row r="4792" spans="9:17">
      <c r="I4792" s="578" t="str">
        <f t="shared" si="220"/>
        <v>1996sexFemaleInfant</v>
      </c>
      <c r="J4792" s="604">
        <v>1996</v>
      </c>
      <c r="K4792" s="604" t="s">
        <v>451</v>
      </c>
      <c r="L4792" s="604" t="s">
        <v>71</v>
      </c>
      <c r="M4792" s="604">
        <v>188</v>
      </c>
      <c r="N4792" s="604">
        <v>27885</v>
      </c>
      <c r="O4792" s="604">
        <v>6.7</v>
      </c>
      <c r="P4792" s="604" t="s">
        <v>48</v>
      </c>
      <c r="Q4792" s="499"/>
    </row>
    <row r="4793" spans="9:17">
      <c r="I4793" s="578" t="str">
        <f t="shared" si="220"/>
        <v>1996sexInd/UnkInfant</v>
      </c>
      <c r="J4793" s="604">
        <v>1996</v>
      </c>
      <c r="K4793" s="604" t="s">
        <v>451</v>
      </c>
      <c r="L4793" s="604" t="s">
        <v>458</v>
      </c>
      <c r="M4793" s="604">
        <v>0</v>
      </c>
      <c r="N4793" s="604">
        <v>0</v>
      </c>
      <c r="O4793" s="604" t="s">
        <v>119</v>
      </c>
      <c r="P4793" s="604" t="s">
        <v>48</v>
      </c>
      <c r="Q4793" s="499"/>
    </row>
    <row r="4794" spans="9:17">
      <c r="I4794" s="578" t="str">
        <f t="shared" si="220"/>
        <v>1997sexMaleInfant</v>
      </c>
      <c r="J4794" s="604">
        <v>1997</v>
      </c>
      <c r="K4794" s="604" t="s">
        <v>451</v>
      </c>
      <c r="L4794" s="604" t="s">
        <v>70</v>
      </c>
      <c r="M4794" s="604">
        <v>218</v>
      </c>
      <c r="N4794" s="604">
        <v>29493</v>
      </c>
      <c r="O4794" s="604">
        <v>7.4</v>
      </c>
      <c r="P4794" s="604" t="s">
        <v>48</v>
      </c>
      <c r="Q4794" s="499"/>
    </row>
    <row r="4795" spans="9:17">
      <c r="I4795" s="578" t="str">
        <f t="shared" si="220"/>
        <v>1997sexFemaleInfant</v>
      </c>
      <c r="J4795" s="604">
        <v>1997</v>
      </c>
      <c r="K4795" s="604" t="s">
        <v>451</v>
      </c>
      <c r="L4795" s="604" t="s">
        <v>71</v>
      </c>
      <c r="M4795" s="604">
        <v>173</v>
      </c>
      <c r="N4795" s="604">
        <v>28241</v>
      </c>
      <c r="O4795" s="604">
        <v>6.1</v>
      </c>
      <c r="P4795" s="604" t="s">
        <v>48</v>
      </c>
      <c r="Q4795" s="499"/>
    </row>
    <row r="4796" spans="9:17">
      <c r="I4796" s="578" t="str">
        <f t="shared" si="220"/>
        <v>1997sexInd/UnkInfant</v>
      </c>
      <c r="J4796" s="604">
        <v>1997</v>
      </c>
      <c r="K4796" s="604" t="s">
        <v>451</v>
      </c>
      <c r="L4796" s="604" t="s">
        <v>458</v>
      </c>
      <c r="M4796" s="604">
        <v>0</v>
      </c>
      <c r="N4796" s="604">
        <v>0</v>
      </c>
      <c r="O4796" s="604" t="s">
        <v>119</v>
      </c>
      <c r="P4796" s="604" t="s">
        <v>48</v>
      </c>
      <c r="Q4796" s="499"/>
    </row>
    <row r="4797" spans="9:17">
      <c r="I4797" s="578" t="str">
        <f t="shared" si="220"/>
        <v>1998sexMaleInfant</v>
      </c>
      <c r="J4797" s="604">
        <v>1998</v>
      </c>
      <c r="K4797" s="604" t="s">
        <v>451</v>
      </c>
      <c r="L4797" s="604" t="s">
        <v>70</v>
      </c>
      <c r="M4797" s="604">
        <v>190</v>
      </c>
      <c r="N4797" s="604">
        <v>29493</v>
      </c>
      <c r="O4797" s="604">
        <v>6.4</v>
      </c>
      <c r="P4797" s="604" t="s">
        <v>48</v>
      </c>
      <c r="Q4797" s="499"/>
    </row>
    <row r="4798" spans="9:17">
      <c r="I4798" s="578" t="str">
        <f t="shared" si="220"/>
        <v>1998sexFemaleInfant</v>
      </c>
      <c r="J4798" s="604">
        <v>1998</v>
      </c>
      <c r="K4798" s="604" t="s">
        <v>451</v>
      </c>
      <c r="L4798" s="604" t="s">
        <v>71</v>
      </c>
      <c r="M4798" s="604">
        <v>118</v>
      </c>
      <c r="N4798" s="604">
        <v>28241</v>
      </c>
      <c r="O4798" s="604">
        <v>4.2</v>
      </c>
      <c r="P4798" s="604" t="s">
        <v>48</v>
      </c>
      <c r="Q4798" s="499"/>
    </row>
    <row r="4799" spans="9:17">
      <c r="I4799" s="578" t="str">
        <f t="shared" si="220"/>
        <v>1998sexInd/UnkInfant</v>
      </c>
      <c r="J4799" s="604">
        <v>1998</v>
      </c>
      <c r="K4799" s="604" t="s">
        <v>451</v>
      </c>
      <c r="L4799" s="604" t="s">
        <v>458</v>
      </c>
      <c r="M4799" s="604">
        <v>0</v>
      </c>
      <c r="N4799" s="604">
        <v>0</v>
      </c>
      <c r="O4799" s="604" t="s">
        <v>119</v>
      </c>
      <c r="P4799" s="604" t="s">
        <v>48</v>
      </c>
      <c r="Q4799" s="499"/>
    </row>
    <row r="4800" spans="9:17">
      <c r="I4800" s="578" t="str">
        <f t="shared" si="220"/>
        <v>1999sexMaleInfant</v>
      </c>
      <c r="J4800" s="604">
        <v>1999</v>
      </c>
      <c r="K4800" s="604" t="s">
        <v>451</v>
      </c>
      <c r="L4800" s="604" t="s">
        <v>70</v>
      </c>
      <c r="M4800" s="604">
        <v>196</v>
      </c>
      <c r="N4800" s="604">
        <v>29372</v>
      </c>
      <c r="O4800" s="604">
        <v>6.7</v>
      </c>
      <c r="P4800" s="604" t="s">
        <v>48</v>
      </c>
      <c r="Q4800" s="499"/>
    </row>
    <row r="4801" spans="9:17">
      <c r="I4801" s="578" t="str">
        <f t="shared" si="220"/>
        <v>1999sexFemaleInfant</v>
      </c>
      <c r="J4801" s="604">
        <v>1999</v>
      </c>
      <c r="K4801" s="604" t="s">
        <v>451</v>
      </c>
      <c r="L4801" s="604" t="s">
        <v>71</v>
      </c>
      <c r="M4801" s="604">
        <v>139</v>
      </c>
      <c r="N4801" s="604">
        <v>28049</v>
      </c>
      <c r="O4801" s="604">
        <v>5</v>
      </c>
      <c r="P4801" s="604" t="s">
        <v>48</v>
      </c>
      <c r="Q4801" s="499"/>
    </row>
    <row r="4802" spans="9:17">
      <c r="I4802" s="578" t="str">
        <f t="shared" si="220"/>
        <v>1999sexInd/UnkInfant</v>
      </c>
      <c r="J4802" s="604">
        <v>1999</v>
      </c>
      <c r="K4802" s="604" t="s">
        <v>451</v>
      </c>
      <c r="L4802" s="604" t="s">
        <v>458</v>
      </c>
      <c r="M4802" s="604">
        <v>0</v>
      </c>
      <c r="N4802" s="604">
        <v>0</v>
      </c>
      <c r="O4802" s="604" t="s">
        <v>119</v>
      </c>
      <c r="P4802" s="604" t="s">
        <v>48</v>
      </c>
      <c r="Q4802" s="499"/>
    </row>
    <row r="4803" spans="9:17">
      <c r="I4803" s="578" t="str">
        <f t="shared" si="220"/>
        <v>2000sexMaleInfant</v>
      </c>
      <c r="J4803" s="604">
        <v>2000</v>
      </c>
      <c r="K4803" s="604" t="s">
        <v>451</v>
      </c>
      <c r="L4803" s="604" t="s">
        <v>70</v>
      </c>
      <c r="M4803" s="604">
        <v>203</v>
      </c>
      <c r="N4803" s="604">
        <v>29351</v>
      </c>
      <c r="O4803" s="604">
        <v>6.9</v>
      </c>
      <c r="P4803" s="604" t="s">
        <v>48</v>
      </c>
      <c r="Q4803" s="499"/>
    </row>
    <row r="4804" spans="9:17">
      <c r="I4804" s="578" t="str">
        <f t="shared" ref="I4804:I4867" si="221">J4804&amp;K4804&amp;L4804&amp;P4804</f>
        <v>2000sexFemaleInfant</v>
      </c>
      <c r="J4804" s="604">
        <v>2000</v>
      </c>
      <c r="K4804" s="604" t="s">
        <v>451</v>
      </c>
      <c r="L4804" s="604" t="s">
        <v>71</v>
      </c>
      <c r="M4804" s="604">
        <v>156</v>
      </c>
      <c r="N4804" s="604">
        <v>27643</v>
      </c>
      <c r="O4804" s="604">
        <v>5.6</v>
      </c>
      <c r="P4804" s="604" t="s">
        <v>48</v>
      </c>
      <c r="Q4804" s="499"/>
    </row>
    <row r="4805" spans="9:17">
      <c r="I4805" s="578" t="str">
        <f t="shared" si="221"/>
        <v>2000sexInd/UnkInfant</v>
      </c>
      <c r="J4805" s="604">
        <v>2000</v>
      </c>
      <c r="K4805" s="604" t="s">
        <v>451</v>
      </c>
      <c r="L4805" s="604" t="s">
        <v>458</v>
      </c>
      <c r="M4805" s="604">
        <v>0</v>
      </c>
      <c r="N4805" s="604">
        <v>0</v>
      </c>
      <c r="O4805" s="604" t="s">
        <v>119</v>
      </c>
      <c r="P4805" s="604" t="s">
        <v>48</v>
      </c>
      <c r="Q4805" s="499"/>
    </row>
    <row r="4806" spans="9:17">
      <c r="I4806" s="578" t="str">
        <f t="shared" si="221"/>
        <v>2001sexMaleInfant</v>
      </c>
      <c r="J4806" s="604">
        <v>2001</v>
      </c>
      <c r="K4806" s="604" t="s">
        <v>451</v>
      </c>
      <c r="L4806" s="604" t="s">
        <v>70</v>
      </c>
      <c r="M4806" s="604">
        <v>185</v>
      </c>
      <c r="N4806" s="604">
        <v>28575</v>
      </c>
      <c r="O4806" s="604">
        <v>6.5</v>
      </c>
      <c r="P4806" s="604" t="s">
        <v>48</v>
      </c>
      <c r="Q4806" s="499"/>
    </row>
    <row r="4807" spans="9:17">
      <c r="I4807" s="578" t="str">
        <f t="shared" si="221"/>
        <v>2001sexFemaleInfant</v>
      </c>
      <c r="J4807" s="604">
        <v>2001</v>
      </c>
      <c r="K4807" s="604" t="s">
        <v>451</v>
      </c>
      <c r="L4807" s="604" t="s">
        <v>71</v>
      </c>
      <c r="M4807" s="604">
        <v>130</v>
      </c>
      <c r="N4807" s="604">
        <v>27649</v>
      </c>
      <c r="O4807" s="604">
        <v>4.7</v>
      </c>
      <c r="P4807" s="604" t="s">
        <v>48</v>
      </c>
      <c r="Q4807" s="499"/>
    </row>
    <row r="4808" spans="9:17">
      <c r="I4808" s="578" t="str">
        <f t="shared" si="221"/>
        <v>2001sexInd/UnkInfant</v>
      </c>
      <c r="J4808" s="604">
        <v>2001</v>
      </c>
      <c r="K4808" s="604" t="s">
        <v>451</v>
      </c>
      <c r="L4808" s="604" t="s">
        <v>458</v>
      </c>
      <c r="M4808" s="604">
        <v>0</v>
      </c>
      <c r="N4808" s="604">
        <v>0</v>
      </c>
      <c r="O4808" s="604" t="s">
        <v>119</v>
      </c>
      <c r="P4808" s="604" t="s">
        <v>48</v>
      </c>
      <c r="Q4808" s="499"/>
    </row>
    <row r="4809" spans="9:17">
      <c r="I4809" s="578" t="str">
        <f t="shared" si="221"/>
        <v>2002sexMaleInfant</v>
      </c>
      <c r="J4809" s="604">
        <v>2002</v>
      </c>
      <c r="K4809" s="604" t="s">
        <v>451</v>
      </c>
      <c r="L4809" s="604" t="s">
        <v>70</v>
      </c>
      <c r="M4809" s="604">
        <v>180</v>
      </c>
      <c r="N4809" s="604">
        <v>27822</v>
      </c>
      <c r="O4809" s="604">
        <v>6.5</v>
      </c>
      <c r="P4809" s="604" t="s">
        <v>48</v>
      </c>
      <c r="Q4809" s="499"/>
    </row>
    <row r="4810" spans="9:17">
      <c r="I4810" s="578" t="str">
        <f t="shared" si="221"/>
        <v>2002sexFemaleInfant</v>
      </c>
      <c r="J4810" s="604">
        <v>2002</v>
      </c>
      <c r="K4810" s="604" t="s">
        <v>451</v>
      </c>
      <c r="L4810" s="604" t="s">
        <v>71</v>
      </c>
      <c r="M4810" s="604">
        <v>157</v>
      </c>
      <c r="N4810" s="604">
        <v>26693</v>
      </c>
      <c r="O4810" s="604">
        <v>5.9</v>
      </c>
      <c r="P4810" s="604" t="s">
        <v>48</v>
      </c>
      <c r="Q4810" s="499"/>
    </row>
    <row r="4811" spans="9:17">
      <c r="I4811" s="578" t="str">
        <f t="shared" si="221"/>
        <v>2002sexInd/UnkInfant</v>
      </c>
      <c r="J4811" s="604">
        <v>2002</v>
      </c>
      <c r="K4811" s="604" t="s">
        <v>451</v>
      </c>
      <c r="L4811" s="604" t="s">
        <v>458</v>
      </c>
      <c r="M4811" s="604">
        <v>0</v>
      </c>
      <c r="N4811" s="604">
        <v>0</v>
      </c>
      <c r="O4811" s="604" t="s">
        <v>119</v>
      </c>
      <c r="P4811" s="604" t="s">
        <v>48</v>
      </c>
      <c r="Q4811" s="499"/>
    </row>
    <row r="4812" spans="9:17">
      <c r="I4812" s="578" t="str">
        <f t="shared" si="221"/>
        <v>2003sexMaleInfant</v>
      </c>
      <c r="J4812" s="604">
        <v>2003</v>
      </c>
      <c r="K4812" s="604" t="s">
        <v>451</v>
      </c>
      <c r="L4812" s="604" t="s">
        <v>70</v>
      </c>
      <c r="M4812" s="604">
        <v>177</v>
      </c>
      <c r="N4812" s="604">
        <v>29050</v>
      </c>
      <c r="O4812" s="604">
        <v>6.1</v>
      </c>
      <c r="P4812" s="604" t="s">
        <v>48</v>
      </c>
      <c r="Q4812" s="499"/>
    </row>
    <row r="4813" spans="9:17">
      <c r="I4813" s="578" t="str">
        <f t="shared" si="221"/>
        <v>2003sexFemaleInfant</v>
      </c>
      <c r="J4813" s="604">
        <v>2003</v>
      </c>
      <c r="K4813" s="604" t="s">
        <v>451</v>
      </c>
      <c r="L4813" s="604" t="s">
        <v>71</v>
      </c>
      <c r="M4813" s="604">
        <v>127</v>
      </c>
      <c r="N4813" s="604">
        <v>27526</v>
      </c>
      <c r="O4813" s="604">
        <v>4.5999999999999996</v>
      </c>
      <c r="P4813" s="604" t="s">
        <v>48</v>
      </c>
      <c r="Q4813" s="499"/>
    </row>
    <row r="4814" spans="9:17">
      <c r="I4814" s="578" t="str">
        <f t="shared" si="221"/>
        <v>2003sexInd/UnkInfant</v>
      </c>
      <c r="J4814" s="604">
        <v>2003</v>
      </c>
      <c r="K4814" s="604" t="s">
        <v>451</v>
      </c>
      <c r="L4814" s="604" t="s">
        <v>458</v>
      </c>
      <c r="M4814" s="604">
        <v>0</v>
      </c>
      <c r="N4814" s="604">
        <v>0</v>
      </c>
      <c r="O4814" s="604" t="s">
        <v>119</v>
      </c>
      <c r="P4814" s="604" t="s">
        <v>48</v>
      </c>
      <c r="Q4814" s="499"/>
    </row>
    <row r="4815" spans="9:17">
      <c r="I4815" s="578" t="str">
        <f t="shared" si="221"/>
        <v>2004sexMaleInfant</v>
      </c>
      <c r="J4815" s="604">
        <v>2004</v>
      </c>
      <c r="K4815" s="604" t="s">
        <v>451</v>
      </c>
      <c r="L4815" s="604" t="s">
        <v>70</v>
      </c>
      <c r="M4815" s="604">
        <v>182</v>
      </c>
      <c r="N4815" s="604">
        <v>30091</v>
      </c>
      <c r="O4815" s="604">
        <v>6</v>
      </c>
      <c r="P4815" s="604" t="s">
        <v>48</v>
      </c>
      <c r="Q4815" s="499"/>
    </row>
    <row r="4816" spans="9:17">
      <c r="I4816" s="578" t="str">
        <f t="shared" si="221"/>
        <v>2004sexFemaleInfant</v>
      </c>
      <c r="J4816" s="604">
        <v>2004</v>
      </c>
      <c r="K4816" s="604" t="s">
        <v>451</v>
      </c>
      <c r="L4816" s="604" t="s">
        <v>71</v>
      </c>
      <c r="M4816" s="604">
        <v>164</v>
      </c>
      <c r="N4816" s="604">
        <v>28632</v>
      </c>
      <c r="O4816" s="604">
        <v>5.7</v>
      </c>
      <c r="P4816" s="604" t="s">
        <v>48</v>
      </c>
      <c r="Q4816" s="499"/>
    </row>
    <row r="4817" spans="9:17">
      <c r="I4817" s="578" t="str">
        <f t="shared" si="221"/>
        <v>2004sexInd/UnkInfant</v>
      </c>
      <c r="J4817" s="604">
        <v>2004</v>
      </c>
      <c r="K4817" s="604" t="s">
        <v>451</v>
      </c>
      <c r="L4817" s="604" t="s">
        <v>458</v>
      </c>
      <c r="M4817" s="604">
        <v>0</v>
      </c>
      <c r="N4817" s="604">
        <v>0</v>
      </c>
      <c r="O4817" s="604" t="s">
        <v>119</v>
      </c>
      <c r="P4817" s="604" t="s">
        <v>48</v>
      </c>
      <c r="Q4817" s="499"/>
    </row>
    <row r="4818" spans="9:17">
      <c r="I4818" s="578" t="str">
        <f t="shared" si="221"/>
        <v>2005sexMaleInfant</v>
      </c>
      <c r="J4818" s="604">
        <v>2005</v>
      </c>
      <c r="K4818" s="604" t="s">
        <v>451</v>
      </c>
      <c r="L4818" s="604" t="s">
        <v>70</v>
      </c>
      <c r="M4818" s="604">
        <v>174</v>
      </c>
      <c r="N4818" s="604">
        <v>30067</v>
      </c>
      <c r="O4818" s="604">
        <v>5.8</v>
      </c>
      <c r="P4818" s="604" t="s">
        <v>48</v>
      </c>
      <c r="Q4818" s="499"/>
    </row>
    <row r="4819" spans="9:17">
      <c r="I4819" s="578" t="str">
        <f t="shared" si="221"/>
        <v>2005sexFemaleInfant</v>
      </c>
      <c r="J4819" s="604">
        <v>2005</v>
      </c>
      <c r="K4819" s="604" t="s">
        <v>451</v>
      </c>
      <c r="L4819" s="604" t="s">
        <v>71</v>
      </c>
      <c r="M4819" s="604">
        <v>120</v>
      </c>
      <c r="N4819" s="604">
        <v>28660</v>
      </c>
      <c r="O4819" s="604">
        <v>4.2</v>
      </c>
      <c r="P4819" s="604" t="s">
        <v>48</v>
      </c>
      <c r="Q4819" s="499"/>
    </row>
    <row r="4820" spans="9:17">
      <c r="I4820" s="578" t="str">
        <f t="shared" si="221"/>
        <v>2005sexInd/UnkInfant</v>
      </c>
      <c r="J4820" s="604">
        <v>2005</v>
      </c>
      <c r="K4820" s="604" t="s">
        <v>451</v>
      </c>
      <c r="L4820" s="604" t="s">
        <v>458</v>
      </c>
      <c r="M4820" s="604">
        <v>0</v>
      </c>
      <c r="N4820" s="604">
        <v>0</v>
      </c>
      <c r="O4820" s="604" t="s">
        <v>119</v>
      </c>
      <c r="P4820" s="604" t="s">
        <v>48</v>
      </c>
      <c r="Q4820" s="499"/>
    </row>
    <row r="4821" spans="9:17">
      <c r="I4821" s="578" t="str">
        <f t="shared" si="221"/>
        <v>2006sexMaleInfant</v>
      </c>
      <c r="J4821" s="604">
        <v>2006</v>
      </c>
      <c r="K4821" s="604" t="s">
        <v>451</v>
      </c>
      <c r="L4821" s="604" t="s">
        <v>70</v>
      </c>
      <c r="M4821" s="604">
        <v>175</v>
      </c>
      <c r="N4821" s="604">
        <v>30808</v>
      </c>
      <c r="O4821" s="604">
        <v>5.7</v>
      </c>
      <c r="P4821" s="604" t="s">
        <v>48</v>
      </c>
      <c r="Q4821" s="499"/>
    </row>
    <row r="4822" spans="9:17">
      <c r="I4822" s="578" t="str">
        <f t="shared" si="221"/>
        <v>2006sexFemaleInfant</v>
      </c>
      <c r="J4822" s="604">
        <v>2006</v>
      </c>
      <c r="K4822" s="604" t="s">
        <v>451</v>
      </c>
      <c r="L4822" s="604" t="s">
        <v>71</v>
      </c>
      <c r="M4822" s="604">
        <v>133</v>
      </c>
      <c r="N4822" s="604">
        <v>29466</v>
      </c>
      <c r="O4822" s="604">
        <v>4.5</v>
      </c>
      <c r="P4822" s="604" t="s">
        <v>48</v>
      </c>
      <c r="Q4822" s="499"/>
    </row>
    <row r="4823" spans="9:17">
      <c r="I4823" s="578" t="str">
        <f t="shared" si="221"/>
        <v>2006sexInd/UnkInfant</v>
      </c>
      <c r="J4823" s="604">
        <v>2006</v>
      </c>
      <c r="K4823" s="604" t="s">
        <v>451</v>
      </c>
      <c r="L4823" s="604" t="s">
        <v>458</v>
      </c>
      <c r="M4823" s="604">
        <v>0</v>
      </c>
      <c r="N4823" s="604">
        <v>0</v>
      </c>
      <c r="O4823" s="604" t="s">
        <v>119</v>
      </c>
      <c r="P4823" s="604" t="s">
        <v>48</v>
      </c>
      <c r="Q4823" s="499"/>
    </row>
    <row r="4824" spans="9:17">
      <c r="I4824" s="578" t="str">
        <f t="shared" si="221"/>
        <v>2007sexMaleInfant</v>
      </c>
      <c r="J4824" s="604">
        <v>2007</v>
      </c>
      <c r="K4824" s="604" t="s">
        <v>451</v>
      </c>
      <c r="L4824" s="604" t="s">
        <v>70</v>
      </c>
      <c r="M4824" s="604">
        <v>174</v>
      </c>
      <c r="N4824" s="604">
        <v>33569</v>
      </c>
      <c r="O4824" s="604">
        <v>5.2</v>
      </c>
      <c r="P4824" s="604" t="s">
        <v>48</v>
      </c>
      <c r="Q4824" s="499"/>
    </row>
    <row r="4825" spans="9:17">
      <c r="I4825" s="578" t="str">
        <f t="shared" si="221"/>
        <v>2007sexFemaleInfant</v>
      </c>
      <c r="J4825" s="604">
        <v>2007</v>
      </c>
      <c r="K4825" s="604" t="s">
        <v>451</v>
      </c>
      <c r="L4825" s="604" t="s">
        <v>71</v>
      </c>
      <c r="M4825" s="604">
        <v>138</v>
      </c>
      <c r="N4825" s="604">
        <v>31552</v>
      </c>
      <c r="O4825" s="604">
        <v>4.4000000000000004</v>
      </c>
      <c r="P4825" s="604" t="s">
        <v>48</v>
      </c>
      <c r="Q4825" s="499"/>
    </row>
    <row r="4826" spans="9:17">
      <c r="I4826" s="578" t="str">
        <f t="shared" si="221"/>
        <v>2007sexInd/UnkInfant</v>
      </c>
      <c r="J4826" s="604">
        <v>2007</v>
      </c>
      <c r="K4826" s="604" t="s">
        <v>451</v>
      </c>
      <c r="L4826" s="604" t="s">
        <v>458</v>
      </c>
      <c r="M4826" s="604">
        <v>0</v>
      </c>
      <c r="N4826" s="604">
        <v>0</v>
      </c>
      <c r="O4826" s="604" t="s">
        <v>119</v>
      </c>
      <c r="P4826" s="604" t="s">
        <v>48</v>
      </c>
      <c r="Q4826" s="499"/>
    </row>
    <row r="4827" spans="9:17">
      <c r="I4827" s="578" t="str">
        <f t="shared" si="221"/>
        <v>2008sexMaleInfant</v>
      </c>
      <c r="J4827" s="604">
        <v>2008</v>
      </c>
      <c r="K4827" s="604" t="s">
        <v>451</v>
      </c>
      <c r="L4827" s="604" t="s">
        <v>70</v>
      </c>
      <c r="M4827" s="604">
        <v>195</v>
      </c>
      <c r="N4827" s="604">
        <v>33622</v>
      </c>
      <c r="O4827" s="604">
        <v>5.8</v>
      </c>
      <c r="P4827" s="604" t="s">
        <v>48</v>
      </c>
      <c r="Q4827" s="499"/>
    </row>
    <row r="4828" spans="9:17">
      <c r="I4828" s="578" t="str">
        <f t="shared" si="221"/>
        <v>2008sexFemaleInfant</v>
      </c>
      <c r="J4828" s="604">
        <v>2008</v>
      </c>
      <c r="K4828" s="604" t="s">
        <v>451</v>
      </c>
      <c r="L4828" s="604" t="s">
        <v>71</v>
      </c>
      <c r="M4828" s="604">
        <v>128</v>
      </c>
      <c r="N4828" s="604">
        <v>31711</v>
      </c>
      <c r="O4828" s="604">
        <v>4</v>
      </c>
      <c r="P4828" s="604" t="s">
        <v>48</v>
      </c>
      <c r="Q4828" s="499"/>
    </row>
    <row r="4829" spans="9:17">
      <c r="I4829" s="578" t="str">
        <f t="shared" si="221"/>
        <v>2008sexInd/UnkInfant</v>
      </c>
      <c r="J4829" s="604">
        <v>2008</v>
      </c>
      <c r="K4829" s="604" t="s">
        <v>451</v>
      </c>
      <c r="L4829" s="604" t="s">
        <v>458</v>
      </c>
      <c r="M4829" s="604">
        <v>0</v>
      </c>
      <c r="N4829" s="604">
        <v>0</v>
      </c>
      <c r="O4829" s="604" t="s">
        <v>119</v>
      </c>
      <c r="P4829" s="604" t="s">
        <v>48</v>
      </c>
      <c r="Q4829" s="499"/>
    </row>
    <row r="4830" spans="9:17">
      <c r="I4830" s="578" t="str">
        <f t="shared" si="221"/>
        <v>2009sexMaleInfant</v>
      </c>
      <c r="J4830" s="604">
        <v>2009</v>
      </c>
      <c r="K4830" s="604" t="s">
        <v>451</v>
      </c>
      <c r="L4830" s="604" t="s">
        <v>70</v>
      </c>
      <c r="M4830" s="604">
        <v>182</v>
      </c>
      <c r="N4830" s="604">
        <v>32482</v>
      </c>
      <c r="O4830" s="604">
        <v>5.6</v>
      </c>
      <c r="P4830" s="604" t="s">
        <v>48</v>
      </c>
      <c r="Q4830" s="499"/>
    </row>
    <row r="4831" spans="9:17">
      <c r="I4831" s="578" t="str">
        <f t="shared" si="221"/>
        <v>2009sexFemaleInfant</v>
      </c>
      <c r="J4831" s="604">
        <v>2009</v>
      </c>
      <c r="K4831" s="604" t="s">
        <v>451</v>
      </c>
      <c r="L4831" s="604" t="s">
        <v>71</v>
      </c>
      <c r="M4831" s="604">
        <v>150</v>
      </c>
      <c r="N4831" s="604">
        <v>30803</v>
      </c>
      <c r="O4831" s="604">
        <v>4.9000000000000004</v>
      </c>
      <c r="P4831" s="604" t="s">
        <v>48</v>
      </c>
      <c r="Q4831" s="499"/>
    </row>
    <row r="4832" spans="9:17">
      <c r="I4832" s="578" t="str">
        <f t="shared" si="221"/>
        <v>2009sexInd/UnkInfant</v>
      </c>
      <c r="J4832" s="604">
        <v>2009</v>
      </c>
      <c r="K4832" s="604" t="s">
        <v>451</v>
      </c>
      <c r="L4832" s="604" t="s">
        <v>458</v>
      </c>
      <c r="M4832" s="604">
        <v>0</v>
      </c>
      <c r="N4832" s="604">
        <v>0</v>
      </c>
      <c r="O4832" s="604" t="s">
        <v>119</v>
      </c>
      <c r="P4832" s="604" t="s">
        <v>48</v>
      </c>
      <c r="Q4832" s="499"/>
    </row>
    <row r="4833" spans="9:17">
      <c r="I4833" s="578" t="str">
        <f t="shared" si="221"/>
        <v>2010sexMaleInfant</v>
      </c>
      <c r="J4833" s="604">
        <v>2010</v>
      </c>
      <c r="K4833" s="604" t="s">
        <v>451</v>
      </c>
      <c r="L4833" s="604" t="s">
        <v>70</v>
      </c>
      <c r="M4833" s="604">
        <v>209</v>
      </c>
      <c r="N4833" s="604">
        <v>33319</v>
      </c>
      <c r="O4833" s="604">
        <v>6.3</v>
      </c>
      <c r="P4833" s="604" t="s">
        <v>48</v>
      </c>
      <c r="Q4833" s="499"/>
    </row>
    <row r="4834" spans="9:17">
      <c r="I4834" s="578" t="str">
        <f t="shared" si="221"/>
        <v>2010sexFemaleInfant</v>
      </c>
      <c r="J4834" s="604">
        <v>2010</v>
      </c>
      <c r="K4834" s="604" t="s">
        <v>451</v>
      </c>
      <c r="L4834" s="604" t="s">
        <v>71</v>
      </c>
      <c r="M4834" s="604">
        <v>152</v>
      </c>
      <c r="N4834" s="604">
        <v>31380</v>
      </c>
      <c r="O4834" s="604">
        <v>4.8</v>
      </c>
      <c r="P4834" s="604" t="s">
        <v>48</v>
      </c>
      <c r="Q4834" s="499"/>
    </row>
    <row r="4835" spans="9:17">
      <c r="I4835" s="578" t="str">
        <f t="shared" si="221"/>
        <v>2010sexInd/UnkInfant</v>
      </c>
      <c r="J4835" s="604">
        <v>2010</v>
      </c>
      <c r="K4835" s="604" t="s">
        <v>451</v>
      </c>
      <c r="L4835" s="604" t="s">
        <v>458</v>
      </c>
      <c r="M4835" s="604">
        <v>0</v>
      </c>
      <c r="N4835" s="604">
        <v>0</v>
      </c>
      <c r="O4835" s="604" t="s">
        <v>119</v>
      </c>
      <c r="P4835" s="604" t="s">
        <v>48</v>
      </c>
      <c r="Q4835" s="499"/>
    </row>
    <row r="4836" spans="9:17">
      <c r="I4836" s="578" t="str">
        <f t="shared" si="221"/>
        <v>2011sexMaleInfant</v>
      </c>
      <c r="J4836" s="604">
        <v>2011</v>
      </c>
      <c r="K4836" s="604" t="s">
        <v>451</v>
      </c>
      <c r="L4836" s="604" t="s">
        <v>70</v>
      </c>
      <c r="M4836" s="604">
        <v>180</v>
      </c>
      <c r="N4836" s="604">
        <v>31894</v>
      </c>
      <c r="O4836" s="604">
        <v>5.6</v>
      </c>
      <c r="P4836" s="604" t="s">
        <v>48</v>
      </c>
      <c r="Q4836" s="499"/>
    </row>
    <row r="4837" spans="9:17">
      <c r="I4837" s="578" t="str">
        <f t="shared" si="221"/>
        <v>2011sexFemaleInfant</v>
      </c>
      <c r="J4837" s="604">
        <v>2011</v>
      </c>
      <c r="K4837" s="604" t="s">
        <v>451</v>
      </c>
      <c r="L4837" s="604" t="s">
        <v>71</v>
      </c>
      <c r="M4837" s="604">
        <v>142</v>
      </c>
      <c r="N4837" s="604">
        <v>30280</v>
      </c>
      <c r="O4837" s="604">
        <v>4.7</v>
      </c>
      <c r="P4837" s="604" t="s">
        <v>48</v>
      </c>
      <c r="Q4837" s="499"/>
    </row>
    <row r="4838" spans="9:17">
      <c r="I4838" s="578" t="str">
        <f t="shared" si="221"/>
        <v>2011sexInd/UnkInfant</v>
      </c>
      <c r="J4838" s="604">
        <v>2011</v>
      </c>
      <c r="K4838" s="604" t="s">
        <v>451</v>
      </c>
      <c r="L4838" s="604" t="s">
        <v>458</v>
      </c>
      <c r="M4838" s="604">
        <v>0</v>
      </c>
      <c r="N4838" s="604">
        <v>0</v>
      </c>
      <c r="O4838" s="604" t="s">
        <v>119</v>
      </c>
      <c r="P4838" s="604" t="s">
        <v>48</v>
      </c>
      <c r="Q4838" s="499"/>
    </row>
    <row r="4839" spans="9:17">
      <c r="I4839" s="578" t="str">
        <f t="shared" si="221"/>
        <v>2012sexMaleInfant</v>
      </c>
      <c r="J4839" s="604">
        <v>2012</v>
      </c>
      <c r="K4839" s="604" t="s">
        <v>451</v>
      </c>
      <c r="L4839" s="604" t="s">
        <v>70</v>
      </c>
      <c r="M4839" s="604">
        <v>164</v>
      </c>
      <c r="N4839" s="604">
        <v>31698</v>
      </c>
      <c r="O4839" s="604">
        <v>5.2</v>
      </c>
      <c r="P4839" s="604" t="s">
        <v>48</v>
      </c>
      <c r="Q4839" s="499"/>
    </row>
    <row r="4840" spans="9:17">
      <c r="I4840" s="578" t="str">
        <f t="shared" si="221"/>
        <v>2012sexFemaleInfant</v>
      </c>
      <c r="J4840" s="604">
        <v>2012</v>
      </c>
      <c r="K4840" s="604" t="s">
        <v>451</v>
      </c>
      <c r="L4840" s="604" t="s">
        <v>71</v>
      </c>
      <c r="M4840" s="604">
        <v>130</v>
      </c>
      <c r="N4840" s="604">
        <v>30337</v>
      </c>
      <c r="O4840" s="604">
        <v>4.3</v>
      </c>
      <c r="P4840" s="604" t="s">
        <v>48</v>
      </c>
      <c r="Q4840" s="499"/>
    </row>
    <row r="4841" spans="9:17">
      <c r="I4841" s="578" t="str">
        <f t="shared" si="221"/>
        <v>2012sexInd/UnkInfant</v>
      </c>
      <c r="J4841" s="604">
        <v>2012</v>
      </c>
      <c r="K4841" s="604" t="s">
        <v>451</v>
      </c>
      <c r="L4841" s="604" t="s">
        <v>458</v>
      </c>
      <c r="M4841" s="604">
        <v>0</v>
      </c>
      <c r="N4841" s="604">
        <v>0</v>
      </c>
      <c r="O4841" s="604" t="s">
        <v>119</v>
      </c>
      <c r="P4841" s="604" t="s">
        <v>48</v>
      </c>
      <c r="Q4841" s="499"/>
    </row>
    <row r="4842" spans="9:17">
      <c r="I4842" s="578" t="str">
        <f t="shared" si="221"/>
        <v>2013sexMaleInfant</v>
      </c>
      <c r="J4842" s="604">
        <v>2013</v>
      </c>
      <c r="K4842" s="604" t="s">
        <v>451</v>
      </c>
      <c r="L4842" s="604" t="s">
        <v>70</v>
      </c>
      <c r="M4842" s="604">
        <v>173</v>
      </c>
      <c r="N4842" s="604">
        <v>30626</v>
      </c>
      <c r="O4842" s="604">
        <v>5.6</v>
      </c>
      <c r="P4842" s="604" t="s">
        <v>48</v>
      </c>
      <c r="Q4842" s="499"/>
    </row>
    <row r="4843" spans="9:17">
      <c r="I4843" s="578" t="str">
        <f t="shared" si="221"/>
        <v>2013sexFemaleInfant</v>
      </c>
      <c r="J4843" s="604">
        <v>2013</v>
      </c>
      <c r="K4843" s="604" t="s">
        <v>451</v>
      </c>
      <c r="L4843" s="604" t="s">
        <v>71</v>
      </c>
      <c r="M4843" s="604">
        <v>123</v>
      </c>
      <c r="N4843" s="604">
        <v>29075</v>
      </c>
      <c r="O4843" s="604">
        <v>4.2</v>
      </c>
      <c r="P4843" s="604" t="s">
        <v>48</v>
      </c>
      <c r="Q4843" s="499"/>
    </row>
    <row r="4844" spans="9:17">
      <c r="I4844" s="578" t="str">
        <f t="shared" si="221"/>
        <v>2013sexInd/UnkInfant</v>
      </c>
      <c r="J4844" s="604">
        <v>2013</v>
      </c>
      <c r="K4844" s="604" t="s">
        <v>451</v>
      </c>
      <c r="L4844" s="604" t="s">
        <v>458</v>
      </c>
      <c r="M4844" s="604">
        <v>0</v>
      </c>
      <c r="N4844" s="604">
        <v>0</v>
      </c>
      <c r="O4844" s="604" t="s">
        <v>119</v>
      </c>
      <c r="P4844" s="604" t="s">
        <v>48</v>
      </c>
      <c r="Q4844" s="499"/>
    </row>
    <row r="4845" spans="9:17">
      <c r="I4845" s="578" t="str">
        <f t="shared" si="221"/>
        <v>2014sexMaleInfant</v>
      </c>
      <c r="J4845" s="604">
        <v>2014</v>
      </c>
      <c r="K4845" s="604" t="s">
        <v>451</v>
      </c>
      <c r="L4845" s="604" t="s">
        <v>70</v>
      </c>
      <c r="M4845" s="604">
        <v>182</v>
      </c>
      <c r="N4845" s="604">
        <v>30135</v>
      </c>
      <c r="O4845" s="604">
        <v>6</v>
      </c>
      <c r="P4845" s="604" t="s">
        <v>48</v>
      </c>
      <c r="Q4845" s="499"/>
    </row>
    <row r="4846" spans="9:17">
      <c r="I4846" s="578" t="str">
        <f t="shared" si="221"/>
        <v>2014sexFemaleInfant</v>
      </c>
      <c r="J4846" s="604">
        <v>2014</v>
      </c>
      <c r="K4846" s="604" t="s">
        <v>451</v>
      </c>
      <c r="L4846" s="604" t="s">
        <v>71</v>
      </c>
      <c r="M4846" s="604">
        <v>151</v>
      </c>
      <c r="N4846" s="604">
        <v>28150</v>
      </c>
      <c r="O4846" s="604">
        <v>5.4</v>
      </c>
      <c r="P4846" s="604" t="s">
        <v>48</v>
      </c>
      <c r="Q4846" s="499"/>
    </row>
    <row r="4847" spans="9:17">
      <c r="I4847" s="578" t="str">
        <f t="shared" si="221"/>
        <v>2014sexInd/UnkInfant</v>
      </c>
      <c r="J4847" s="604">
        <v>2014</v>
      </c>
      <c r="K4847" s="604" t="s">
        <v>451</v>
      </c>
      <c r="L4847" s="604" t="s">
        <v>458</v>
      </c>
      <c r="M4847" s="604">
        <v>0</v>
      </c>
      <c r="N4847" s="604">
        <v>0</v>
      </c>
      <c r="O4847" s="604" t="s">
        <v>119</v>
      </c>
      <c r="P4847" s="604" t="s">
        <v>48</v>
      </c>
      <c r="Q4847" s="499"/>
    </row>
    <row r="4848" spans="9:17">
      <c r="I4848" s="578" t="str">
        <f t="shared" si="221"/>
        <v>2015sexMaleInfant</v>
      </c>
      <c r="J4848" s="604">
        <v>2015</v>
      </c>
      <c r="K4848" s="604" t="s">
        <v>451</v>
      </c>
      <c r="L4848" s="604" t="s">
        <v>70</v>
      </c>
      <c r="M4848" s="604">
        <v>142</v>
      </c>
      <c r="N4848" s="604">
        <v>31923</v>
      </c>
      <c r="O4848" s="604">
        <v>4.4000000000000004</v>
      </c>
      <c r="P4848" s="604" t="s">
        <v>48</v>
      </c>
      <c r="Q4848" s="499"/>
    </row>
    <row r="4849" spans="9:17">
      <c r="I4849" s="578" t="str">
        <f t="shared" si="221"/>
        <v>2015sexFemaleInfant</v>
      </c>
      <c r="J4849" s="604">
        <v>2015</v>
      </c>
      <c r="K4849" s="604" t="s">
        <v>451</v>
      </c>
      <c r="L4849" s="604" t="s">
        <v>71</v>
      </c>
      <c r="M4849" s="604">
        <v>124</v>
      </c>
      <c r="N4849" s="604">
        <v>30199</v>
      </c>
      <c r="O4849" s="604">
        <v>4.0999999999999996</v>
      </c>
      <c r="P4849" s="604" t="s">
        <v>48</v>
      </c>
      <c r="Q4849" s="499"/>
    </row>
    <row r="4850" spans="9:17">
      <c r="I4850" s="578" t="str">
        <f t="shared" si="221"/>
        <v>2015sexInd/UnkInfant</v>
      </c>
      <c r="J4850" s="604">
        <v>2015</v>
      </c>
      <c r="K4850" s="604" t="s">
        <v>451</v>
      </c>
      <c r="L4850" s="604" t="s">
        <v>458</v>
      </c>
      <c r="M4850" s="604">
        <v>0</v>
      </c>
      <c r="N4850" s="604">
        <v>0</v>
      </c>
      <c r="O4850" s="604" t="s">
        <v>119</v>
      </c>
      <c r="P4850" s="604" t="s">
        <v>48</v>
      </c>
      <c r="Q4850" s="499"/>
    </row>
    <row r="4851" spans="9:17">
      <c r="I4851" s="578" t="str">
        <f t="shared" si="221"/>
        <v>2016sexMaleInfant</v>
      </c>
      <c r="J4851" s="604">
        <v>2016</v>
      </c>
      <c r="K4851" s="604" t="s">
        <v>451</v>
      </c>
      <c r="L4851" s="604" t="s">
        <v>70</v>
      </c>
      <c r="M4851" s="604">
        <v>127</v>
      </c>
      <c r="N4851" s="604">
        <v>31009</v>
      </c>
      <c r="O4851" s="604">
        <v>4.0999999999999996</v>
      </c>
      <c r="P4851" s="604" t="s">
        <v>48</v>
      </c>
      <c r="Q4851" s="499"/>
    </row>
    <row r="4852" spans="9:17">
      <c r="I4852" s="578" t="str">
        <f t="shared" si="221"/>
        <v>2016sexFemaleInfant</v>
      </c>
      <c r="J4852" s="604">
        <v>2016</v>
      </c>
      <c r="K4852" s="604" t="s">
        <v>451</v>
      </c>
      <c r="L4852" s="604" t="s">
        <v>71</v>
      </c>
      <c r="M4852" s="604">
        <v>114</v>
      </c>
      <c r="N4852" s="604">
        <v>29427</v>
      </c>
      <c r="O4852" s="604">
        <v>3.9</v>
      </c>
      <c r="P4852" s="604" t="s">
        <v>48</v>
      </c>
      <c r="Q4852" s="499"/>
    </row>
    <row r="4853" spans="9:17">
      <c r="I4853" s="578" t="str">
        <f t="shared" si="221"/>
        <v>2016sexInd/UnkInfant</v>
      </c>
      <c r="J4853" s="604">
        <v>2016</v>
      </c>
      <c r="K4853" s="604" t="s">
        <v>451</v>
      </c>
      <c r="L4853" s="604" t="s">
        <v>458</v>
      </c>
      <c r="M4853" s="604">
        <v>0</v>
      </c>
      <c r="N4853" s="604">
        <v>0</v>
      </c>
      <c r="O4853" s="604" t="s">
        <v>119</v>
      </c>
      <c r="P4853" s="604" t="s">
        <v>48</v>
      </c>
      <c r="Q4853" s="499"/>
    </row>
    <row r="4854" spans="9:17">
      <c r="I4854" s="578" t="str">
        <f t="shared" si="221"/>
        <v>1996ethMaoriInfant</v>
      </c>
      <c r="J4854" s="604">
        <v>1996</v>
      </c>
      <c r="K4854" s="604" t="s">
        <v>449</v>
      </c>
      <c r="L4854" s="604" t="s">
        <v>129</v>
      </c>
      <c r="M4854" s="604">
        <v>184</v>
      </c>
      <c r="N4854" s="604">
        <v>16011</v>
      </c>
      <c r="O4854" s="604">
        <v>11.5</v>
      </c>
      <c r="P4854" s="604" t="s">
        <v>48</v>
      </c>
      <c r="Q4854" s="499"/>
    </row>
    <row r="4855" spans="9:17">
      <c r="I4855" s="578" t="str">
        <f t="shared" si="221"/>
        <v>1996ethPacific peoplesInfant</v>
      </c>
      <c r="J4855" s="604">
        <v>1996</v>
      </c>
      <c r="K4855" s="604" t="s">
        <v>449</v>
      </c>
      <c r="L4855" s="604" t="s">
        <v>320</v>
      </c>
      <c r="M4855" s="604">
        <v>41</v>
      </c>
      <c r="N4855" s="604">
        <v>5726</v>
      </c>
      <c r="O4855" s="604">
        <v>7.2</v>
      </c>
      <c r="P4855" s="604" t="s">
        <v>48</v>
      </c>
      <c r="Q4855" s="499"/>
    </row>
    <row r="4856" spans="9:17">
      <c r="I4856" s="578" t="str">
        <f t="shared" si="221"/>
        <v>1996ethAsianInfant</v>
      </c>
      <c r="J4856" s="604">
        <v>1996</v>
      </c>
      <c r="K4856" s="604" t="s">
        <v>449</v>
      </c>
      <c r="L4856" s="604" t="s">
        <v>355</v>
      </c>
      <c r="M4856" s="604">
        <v>15</v>
      </c>
      <c r="N4856" s="604">
        <v>3394</v>
      </c>
      <c r="O4856" s="604">
        <v>4.4000000000000004</v>
      </c>
      <c r="P4856" s="604" t="s">
        <v>48</v>
      </c>
      <c r="Q4856" s="499"/>
    </row>
    <row r="4857" spans="9:17">
      <c r="I4857" s="578" t="str">
        <f t="shared" si="221"/>
        <v>1996ethEuropean or OtherInfant</v>
      </c>
      <c r="J4857" s="604">
        <v>1996</v>
      </c>
      <c r="K4857" s="604" t="s">
        <v>449</v>
      </c>
      <c r="L4857" s="604" t="s">
        <v>356</v>
      </c>
      <c r="M4857" s="604">
        <v>177</v>
      </c>
      <c r="N4857" s="604">
        <v>32303</v>
      </c>
      <c r="O4857" s="604">
        <v>5.5</v>
      </c>
      <c r="P4857" s="604" t="s">
        <v>48</v>
      </c>
      <c r="Q4857" s="499"/>
    </row>
    <row r="4858" spans="9:17">
      <c r="I4858" s="578" t="str">
        <f t="shared" si="221"/>
        <v>1997ethMaoriInfant</v>
      </c>
      <c r="J4858" s="604">
        <v>1997</v>
      </c>
      <c r="K4858" s="604" t="s">
        <v>449</v>
      </c>
      <c r="L4858" s="604" t="s">
        <v>129</v>
      </c>
      <c r="M4858" s="604">
        <v>175</v>
      </c>
      <c r="N4858" s="604">
        <v>16309</v>
      </c>
      <c r="O4858" s="604">
        <v>10.7</v>
      </c>
      <c r="P4858" s="604" t="s">
        <v>48</v>
      </c>
      <c r="Q4858" s="499"/>
    </row>
    <row r="4859" spans="9:17">
      <c r="I4859" s="578" t="str">
        <f t="shared" si="221"/>
        <v>1997ethPacific peoplesInfant</v>
      </c>
      <c r="J4859" s="604">
        <v>1997</v>
      </c>
      <c r="K4859" s="604" t="s">
        <v>449</v>
      </c>
      <c r="L4859" s="604" t="s">
        <v>320</v>
      </c>
      <c r="M4859" s="604">
        <v>50</v>
      </c>
      <c r="N4859" s="604">
        <v>5696</v>
      </c>
      <c r="O4859" s="604">
        <v>8.8000000000000007</v>
      </c>
      <c r="P4859" s="604" t="s">
        <v>48</v>
      </c>
      <c r="Q4859" s="499"/>
    </row>
    <row r="4860" spans="9:17">
      <c r="I4860" s="578" t="str">
        <f t="shared" si="221"/>
        <v>1997ethAsianInfant</v>
      </c>
      <c r="J4860" s="604">
        <v>1997</v>
      </c>
      <c r="K4860" s="604" t="s">
        <v>449</v>
      </c>
      <c r="L4860" s="604" t="s">
        <v>355</v>
      </c>
      <c r="M4860" s="604">
        <v>15</v>
      </c>
      <c r="N4860" s="604">
        <v>3802</v>
      </c>
      <c r="O4860" s="604">
        <v>3.9</v>
      </c>
      <c r="P4860" s="604" t="s">
        <v>48</v>
      </c>
      <c r="Q4860" s="499"/>
    </row>
    <row r="4861" spans="9:17">
      <c r="I4861" s="578" t="str">
        <f t="shared" si="221"/>
        <v>1997ethEuropean or OtherInfant</v>
      </c>
      <c r="J4861" s="604">
        <v>1997</v>
      </c>
      <c r="K4861" s="604" t="s">
        <v>449</v>
      </c>
      <c r="L4861" s="604" t="s">
        <v>356</v>
      </c>
      <c r="M4861" s="604">
        <v>151</v>
      </c>
      <c r="N4861" s="604">
        <v>31927</v>
      </c>
      <c r="O4861" s="604">
        <v>4.7</v>
      </c>
      <c r="P4861" s="604" t="s">
        <v>48</v>
      </c>
      <c r="Q4861" s="499"/>
    </row>
    <row r="4862" spans="9:17">
      <c r="I4862" s="578" t="str">
        <f t="shared" si="221"/>
        <v>1998ethMaoriInfant</v>
      </c>
      <c r="J4862" s="604">
        <v>1998</v>
      </c>
      <c r="K4862" s="604" t="s">
        <v>449</v>
      </c>
      <c r="L4862" s="604" t="s">
        <v>129</v>
      </c>
      <c r="M4862" s="604">
        <v>118</v>
      </c>
      <c r="N4862" s="604">
        <v>16309</v>
      </c>
      <c r="O4862" s="604">
        <v>7.2</v>
      </c>
      <c r="P4862" s="604" t="s">
        <v>48</v>
      </c>
      <c r="Q4862" s="499"/>
    </row>
    <row r="4863" spans="9:17">
      <c r="I4863" s="578" t="str">
        <f t="shared" si="221"/>
        <v>1998ethPacific peoplesInfant</v>
      </c>
      <c r="J4863" s="604">
        <v>1998</v>
      </c>
      <c r="K4863" s="604" t="s">
        <v>449</v>
      </c>
      <c r="L4863" s="604" t="s">
        <v>320</v>
      </c>
      <c r="M4863" s="604">
        <v>43</v>
      </c>
      <c r="N4863" s="604">
        <v>5696</v>
      </c>
      <c r="O4863" s="604">
        <v>7.5</v>
      </c>
      <c r="P4863" s="604" t="s">
        <v>48</v>
      </c>
      <c r="Q4863" s="499"/>
    </row>
    <row r="4864" spans="9:17">
      <c r="I4864" s="578" t="str">
        <f t="shared" si="221"/>
        <v>1998ethAsianInfant</v>
      </c>
      <c r="J4864" s="604">
        <v>1998</v>
      </c>
      <c r="K4864" s="604" t="s">
        <v>449</v>
      </c>
      <c r="L4864" s="604" t="s">
        <v>355</v>
      </c>
      <c r="M4864" s="604">
        <v>11</v>
      </c>
      <c r="N4864" s="604">
        <v>3802</v>
      </c>
      <c r="O4864" s="604">
        <v>2.9</v>
      </c>
      <c r="P4864" s="604" t="s">
        <v>48</v>
      </c>
      <c r="Q4864" s="499"/>
    </row>
    <row r="4865" spans="9:17">
      <c r="I4865" s="578" t="str">
        <f t="shared" si="221"/>
        <v>1998ethEuropean or OtherInfant</v>
      </c>
      <c r="J4865" s="604">
        <v>1998</v>
      </c>
      <c r="K4865" s="604" t="s">
        <v>449</v>
      </c>
      <c r="L4865" s="604" t="s">
        <v>356</v>
      </c>
      <c r="M4865" s="604">
        <v>136</v>
      </c>
      <c r="N4865" s="604">
        <v>31927</v>
      </c>
      <c r="O4865" s="604">
        <v>4.3</v>
      </c>
      <c r="P4865" s="604" t="s">
        <v>48</v>
      </c>
      <c r="Q4865" s="499"/>
    </row>
    <row r="4866" spans="9:17">
      <c r="I4866" s="578" t="str">
        <f t="shared" si="221"/>
        <v>1999ethMaoriInfant</v>
      </c>
      <c r="J4866" s="604">
        <v>1999</v>
      </c>
      <c r="K4866" s="604" t="s">
        <v>449</v>
      </c>
      <c r="L4866" s="604" t="s">
        <v>129</v>
      </c>
      <c r="M4866" s="604">
        <v>140</v>
      </c>
      <c r="N4866" s="604">
        <v>16027</v>
      </c>
      <c r="O4866" s="604">
        <v>8.6999999999999993</v>
      </c>
      <c r="P4866" s="604" t="s">
        <v>48</v>
      </c>
      <c r="Q4866" s="499"/>
    </row>
    <row r="4867" spans="9:17">
      <c r="I4867" s="578" t="str">
        <f t="shared" si="221"/>
        <v>1999ethPacific peoplesInfant</v>
      </c>
      <c r="J4867" s="604">
        <v>1999</v>
      </c>
      <c r="K4867" s="604" t="s">
        <v>449</v>
      </c>
      <c r="L4867" s="604" t="s">
        <v>320</v>
      </c>
      <c r="M4867" s="604">
        <v>40</v>
      </c>
      <c r="N4867" s="604">
        <v>6223</v>
      </c>
      <c r="O4867" s="604">
        <v>6.4</v>
      </c>
      <c r="P4867" s="604" t="s">
        <v>48</v>
      </c>
      <c r="Q4867" s="499"/>
    </row>
    <row r="4868" spans="9:17">
      <c r="I4868" s="578" t="str">
        <f t="shared" ref="I4868:I4931" si="222">J4868&amp;K4868&amp;L4868&amp;P4868</f>
        <v>1999ethAsianInfant</v>
      </c>
      <c r="J4868" s="604">
        <v>1999</v>
      </c>
      <c r="K4868" s="604" t="s">
        <v>449</v>
      </c>
      <c r="L4868" s="604" t="s">
        <v>355</v>
      </c>
      <c r="M4868" s="604">
        <v>15</v>
      </c>
      <c r="N4868" s="604">
        <v>3980</v>
      </c>
      <c r="O4868" s="604">
        <v>3.8</v>
      </c>
      <c r="P4868" s="604" t="s">
        <v>48</v>
      </c>
      <c r="Q4868" s="499"/>
    </row>
    <row r="4869" spans="9:17">
      <c r="I4869" s="578" t="str">
        <f t="shared" si="222"/>
        <v>1999ethEuropean or OtherInfant</v>
      </c>
      <c r="J4869" s="604">
        <v>1999</v>
      </c>
      <c r="K4869" s="604" t="s">
        <v>449</v>
      </c>
      <c r="L4869" s="604" t="s">
        <v>356</v>
      </c>
      <c r="M4869" s="604">
        <v>140</v>
      </c>
      <c r="N4869" s="604">
        <v>31191</v>
      </c>
      <c r="O4869" s="604">
        <v>4.5</v>
      </c>
      <c r="P4869" s="604" t="s">
        <v>48</v>
      </c>
      <c r="Q4869" s="499"/>
    </row>
    <row r="4870" spans="9:17">
      <c r="I4870" s="578" t="str">
        <f t="shared" si="222"/>
        <v>2000ethMaoriInfant</v>
      </c>
      <c r="J4870" s="604">
        <v>2000</v>
      </c>
      <c r="K4870" s="604" t="s">
        <v>449</v>
      </c>
      <c r="L4870" s="604" t="s">
        <v>129</v>
      </c>
      <c r="M4870" s="604">
        <v>135</v>
      </c>
      <c r="N4870" s="604">
        <v>15867</v>
      </c>
      <c r="O4870" s="604">
        <v>8.5</v>
      </c>
      <c r="P4870" s="604" t="s">
        <v>48</v>
      </c>
      <c r="Q4870" s="499"/>
    </row>
    <row r="4871" spans="9:17">
      <c r="I4871" s="578" t="str">
        <f t="shared" si="222"/>
        <v>2000ethPacific peoplesInfant</v>
      </c>
      <c r="J4871" s="604">
        <v>2000</v>
      </c>
      <c r="K4871" s="604" t="s">
        <v>449</v>
      </c>
      <c r="L4871" s="604" t="s">
        <v>320</v>
      </c>
      <c r="M4871" s="604">
        <v>63</v>
      </c>
      <c r="N4871" s="604">
        <v>6149</v>
      </c>
      <c r="O4871" s="604">
        <v>10.199999999999999</v>
      </c>
      <c r="P4871" s="604" t="s">
        <v>48</v>
      </c>
      <c r="Q4871" s="499"/>
    </row>
    <row r="4872" spans="9:17">
      <c r="I4872" s="578" t="str">
        <f t="shared" si="222"/>
        <v>2000ethAsianInfant</v>
      </c>
      <c r="J4872" s="604">
        <v>2000</v>
      </c>
      <c r="K4872" s="604" t="s">
        <v>449</v>
      </c>
      <c r="L4872" s="604" t="s">
        <v>355</v>
      </c>
      <c r="M4872" s="604">
        <v>11</v>
      </c>
      <c r="N4872" s="604">
        <v>4222</v>
      </c>
      <c r="O4872" s="604">
        <v>2.6</v>
      </c>
      <c r="P4872" s="604" t="s">
        <v>48</v>
      </c>
      <c r="Q4872" s="499"/>
    </row>
    <row r="4873" spans="9:17">
      <c r="I4873" s="578" t="str">
        <f t="shared" si="222"/>
        <v>2000ethEuropean or OtherInfant</v>
      </c>
      <c r="J4873" s="604">
        <v>2000</v>
      </c>
      <c r="K4873" s="604" t="s">
        <v>449</v>
      </c>
      <c r="L4873" s="604" t="s">
        <v>356</v>
      </c>
      <c r="M4873" s="604">
        <v>150</v>
      </c>
      <c r="N4873" s="604">
        <v>30756</v>
      </c>
      <c r="O4873" s="604">
        <v>4.9000000000000004</v>
      </c>
      <c r="P4873" s="604" t="s">
        <v>48</v>
      </c>
      <c r="Q4873" s="499"/>
    </row>
    <row r="4874" spans="9:17">
      <c r="I4874" s="578" t="str">
        <f t="shared" si="222"/>
        <v>2001ethMaoriInfant</v>
      </c>
      <c r="J4874" s="604">
        <v>2001</v>
      </c>
      <c r="K4874" s="604" t="s">
        <v>449</v>
      </c>
      <c r="L4874" s="604" t="s">
        <v>129</v>
      </c>
      <c r="M4874" s="604">
        <v>136</v>
      </c>
      <c r="N4874" s="604">
        <v>15869</v>
      </c>
      <c r="O4874" s="604">
        <v>8.6</v>
      </c>
      <c r="P4874" s="604" t="s">
        <v>48</v>
      </c>
      <c r="Q4874" s="499"/>
    </row>
    <row r="4875" spans="9:17">
      <c r="I4875" s="578" t="str">
        <f t="shared" si="222"/>
        <v>2001ethPacific peoplesInfant</v>
      </c>
      <c r="J4875" s="604">
        <v>2001</v>
      </c>
      <c r="K4875" s="604" t="s">
        <v>449</v>
      </c>
      <c r="L4875" s="604" t="s">
        <v>320</v>
      </c>
      <c r="M4875" s="604">
        <v>41</v>
      </c>
      <c r="N4875" s="604">
        <v>6140</v>
      </c>
      <c r="O4875" s="604">
        <v>6.7</v>
      </c>
      <c r="P4875" s="604" t="s">
        <v>48</v>
      </c>
      <c r="Q4875" s="499"/>
    </row>
    <row r="4876" spans="9:17">
      <c r="I4876" s="578" t="str">
        <f t="shared" si="222"/>
        <v>2001ethAsianInfant</v>
      </c>
      <c r="J4876" s="604">
        <v>2001</v>
      </c>
      <c r="K4876" s="604" t="s">
        <v>449</v>
      </c>
      <c r="L4876" s="604" t="s">
        <v>355</v>
      </c>
      <c r="M4876" s="604">
        <v>15</v>
      </c>
      <c r="N4876" s="604">
        <v>4041</v>
      </c>
      <c r="O4876" s="604">
        <v>3.7</v>
      </c>
      <c r="P4876" s="604" t="s">
        <v>48</v>
      </c>
      <c r="Q4876" s="499"/>
    </row>
    <row r="4877" spans="9:17">
      <c r="I4877" s="578" t="str">
        <f t="shared" si="222"/>
        <v>2001ethEuropean or OtherInfant</v>
      </c>
      <c r="J4877" s="604">
        <v>2001</v>
      </c>
      <c r="K4877" s="604" t="s">
        <v>449</v>
      </c>
      <c r="L4877" s="604" t="s">
        <v>356</v>
      </c>
      <c r="M4877" s="604">
        <v>123</v>
      </c>
      <c r="N4877" s="604">
        <v>30174</v>
      </c>
      <c r="O4877" s="604">
        <v>4.0999999999999996</v>
      </c>
      <c r="P4877" s="604" t="s">
        <v>48</v>
      </c>
      <c r="Q4877" s="499"/>
    </row>
    <row r="4878" spans="9:17">
      <c r="I4878" s="578" t="str">
        <f t="shared" si="222"/>
        <v>2002ethMaoriInfant</v>
      </c>
      <c r="J4878" s="604">
        <v>2002</v>
      </c>
      <c r="K4878" s="604" t="s">
        <v>449</v>
      </c>
      <c r="L4878" s="604" t="s">
        <v>129</v>
      </c>
      <c r="M4878" s="604">
        <v>132</v>
      </c>
      <c r="N4878" s="604">
        <v>14905</v>
      </c>
      <c r="O4878" s="604">
        <v>8.9</v>
      </c>
      <c r="P4878" s="604" t="s">
        <v>48</v>
      </c>
      <c r="Q4878" s="499"/>
    </row>
    <row r="4879" spans="9:17">
      <c r="I4879" s="578" t="str">
        <f t="shared" si="222"/>
        <v>2002ethPacific peoplesInfant</v>
      </c>
      <c r="J4879" s="604">
        <v>2002</v>
      </c>
      <c r="K4879" s="604" t="s">
        <v>449</v>
      </c>
      <c r="L4879" s="604" t="s">
        <v>320</v>
      </c>
      <c r="M4879" s="604">
        <v>46</v>
      </c>
      <c r="N4879" s="604">
        <v>5977</v>
      </c>
      <c r="O4879" s="604">
        <v>7.7</v>
      </c>
      <c r="P4879" s="604" t="s">
        <v>48</v>
      </c>
      <c r="Q4879" s="499"/>
    </row>
    <row r="4880" spans="9:17">
      <c r="I4880" s="578" t="str">
        <f t="shared" si="222"/>
        <v>2002ethAsianInfant</v>
      </c>
      <c r="J4880" s="604">
        <v>2002</v>
      </c>
      <c r="K4880" s="604" t="s">
        <v>449</v>
      </c>
      <c r="L4880" s="604" t="s">
        <v>355</v>
      </c>
      <c r="M4880" s="604">
        <v>16</v>
      </c>
      <c r="N4880" s="604">
        <v>4599</v>
      </c>
      <c r="O4880" s="604">
        <v>3.5</v>
      </c>
      <c r="P4880" s="604" t="s">
        <v>48</v>
      </c>
      <c r="Q4880" s="499"/>
    </row>
    <row r="4881" spans="9:17">
      <c r="I4881" s="578" t="str">
        <f t="shared" si="222"/>
        <v>2002ethEuropean or OtherInfant</v>
      </c>
      <c r="J4881" s="604">
        <v>2002</v>
      </c>
      <c r="K4881" s="604" t="s">
        <v>449</v>
      </c>
      <c r="L4881" s="604" t="s">
        <v>356</v>
      </c>
      <c r="M4881" s="604">
        <v>143</v>
      </c>
      <c r="N4881" s="604">
        <v>29034</v>
      </c>
      <c r="O4881" s="604">
        <v>4.9000000000000004</v>
      </c>
      <c r="P4881" s="604" t="s">
        <v>48</v>
      </c>
      <c r="Q4881" s="499"/>
    </row>
    <row r="4882" spans="9:17">
      <c r="I4882" s="578" t="str">
        <f t="shared" si="222"/>
        <v>2003ethMaoriInfant</v>
      </c>
      <c r="J4882" s="604">
        <v>2003</v>
      </c>
      <c r="K4882" s="604" t="s">
        <v>449</v>
      </c>
      <c r="L4882" s="604" t="s">
        <v>129</v>
      </c>
      <c r="M4882" s="604">
        <v>118</v>
      </c>
      <c r="N4882" s="604">
        <v>15682</v>
      </c>
      <c r="O4882" s="604">
        <v>7.5</v>
      </c>
      <c r="P4882" s="604" t="s">
        <v>48</v>
      </c>
      <c r="Q4882" s="499"/>
    </row>
    <row r="4883" spans="9:17">
      <c r="I4883" s="578" t="str">
        <f t="shared" si="222"/>
        <v>2003ethPacific peoplesInfant</v>
      </c>
      <c r="J4883" s="604">
        <v>2003</v>
      </c>
      <c r="K4883" s="604" t="s">
        <v>449</v>
      </c>
      <c r="L4883" s="604" t="s">
        <v>320</v>
      </c>
      <c r="M4883" s="604">
        <v>41</v>
      </c>
      <c r="N4883" s="604">
        <v>6146</v>
      </c>
      <c r="O4883" s="604">
        <v>6.7</v>
      </c>
      <c r="P4883" s="604" t="s">
        <v>48</v>
      </c>
      <c r="Q4883" s="499"/>
    </row>
    <row r="4884" spans="9:17">
      <c r="I4884" s="578" t="str">
        <f t="shared" si="222"/>
        <v>2003ethAsianInfant</v>
      </c>
      <c r="J4884" s="604">
        <v>2003</v>
      </c>
      <c r="K4884" s="604" t="s">
        <v>449</v>
      </c>
      <c r="L4884" s="604" t="s">
        <v>355</v>
      </c>
      <c r="M4884" s="604">
        <v>23</v>
      </c>
      <c r="N4884" s="604">
        <v>5223</v>
      </c>
      <c r="O4884" s="604">
        <v>4.4000000000000004</v>
      </c>
      <c r="P4884" s="604" t="s">
        <v>48</v>
      </c>
      <c r="Q4884" s="499"/>
    </row>
    <row r="4885" spans="9:17">
      <c r="I4885" s="578" t="str">
        <f t="shared" si="222"/>
        <v>2003ethEuropean or OtherInfant</v>
      </c>
      <c r="J4885" s="604">
        <v>2003</v>
      </c>
      <c r="K4885" s="604" t="s">
        <v>449</v>
      </c>
      <c r="L4885" s="604" t="s">
        <v>356</v>
      </c>
      <c r="M4885" s="604">
        <v>122</v>
      </c>
      <c r="N4885" s="604">
        <v>29525</v>
      </c>
      <c r="O4885" s="604">
        <v>4.0999999999999996</v>
      </c>
      <c r="P4885" s="604" t="s">
        <v>48</v>
      </c>
      <c r="Q4885" s="499"/>
    </row>
    <row r="4886" spans="9:17">
      <c r="I4886" s="578" t="str">
        <f t="shared" si="222"/>
        <v>2004ethMaoriInfant</v>
      </c>
      <c r="J4886" s="604">
        <v>2004</v>
      </c>
      <c r="K4886" s="604" t="s">
        <v>449</v>
      </c>
      <c r="L4886" s="604" t="s">
        <v>129</v>
      </c>
      <c r="M4886" s="604">
        <v>123</v>
      </c>
      <c r="N4886" s="604">
        <v>16520</v>
      </c>
      <c r="O4886" s="604">
        <v>7.4</v>
      </c>
      <c r="P4886" s="604" t="s">
        <v>48</v>
      </c>
      <c r="Q4886" s="499"/>
    </row>
    <row r="4887" spans="9:17">
      <c r="I4887" s="578" t="str">
        <f t="shared" si="222"/>
        <v>2004ethPacific peoplesInfant</v>
      </c>
      <c r="J4887" s="604">
        <v>2004</v>
      </c>
      <c r="K4887" s="604" t="s">
        <v>449</v>
      </c>
      <c r="L4887" s="604" t="s">
        <v>320</v>
      </c>
      <c r="M4887" s="604">
        <v>55</v>
      </c>
      <c r="N4887" s="604">
        <v>6345</v>
      </c>
      <c r="O4887" s="604">
        <v>8.6999999999999993</v>
      </c>
      <c r="P4887" s="604" t="s">
        <v>48</v>
      </c>
      <c r="Q4887" s="499"/>
    </row>
    <row r="4888" spans="9:17">
      <c r="I4888" s="578" t="str">
        <f t="shared" si="222"/>
        <v>2004ethAsianInfant</v>
      </c>
      <c r="J4888" s="604">
        <v>2004</v>
      </c>
      <c r="K4888" s="604" t="s">
        <v>449</v>
      </c>
      <c r="L4888" s="604" t="s">
        <v>355</v>
      </c>
      <c r="M4888" s="604">
        <v>26</v>
      </c>
      <c r="N4888" s="604">
        <v>5647</v>
      </c>
      <c r="O4888" s="604">
        <v>4.5999999999999996</v>
      </c>
      <c r="P4888" s="604" t="s">
        <v>48</v>
      </c>
      <c r="Q4888" s="499"/>
    </row>
    <row r="4889" spans="9:17">
      <c r="I4889" s="578" t="str">
        <f t="shared" si="222"/>
        <v>2004ethEuropean or OtherInfant</v>
      </c>
      <c r="J4889" s="604">
        <v>2004</v>
      </c>
      <c r="K4889" s="604" t="s">
        <v>449</v>
      </c>
      <c r="L4889" s="604" t="s">
        <v>356</v>
      </c>
      <c r="M4889" s="604">
        <v>142</v>
      </c>
      <c r="N4889" s="604">
        <v>30211</v>
      </c>
      <c r="O4889" s="604">
        <v>4.7</v>
      </c>
      <c r="P4889" s="604" t="s">
        <v>48</v>
      </c>
      <c r="Q4889" s="499"/>
    </row>
    <row r="4890" spans="9:17">
      <c r="I4890" s="578" t="str">
        <f t="shared" si="222"/>
        <v>2005ethMaoriInfant</v>
      </c>
      <c r="J4890" s="604">
        <v>2005</v>
      </c>
      <c r="K4890" s="604" t="s">
        <v>449</v>
      </c>
      <c r="L4890" s="604" t="s">
        <v>129</v>
      </c>
      <c r="M4890" s="604">
        <v>114</v>
      </c>
      <c r="N4890" s="604">
        <v>17004</v>
      </c>
      <c r="O4890" s="604">
        <v>6.7</v>
      </c>
      <c r="P4890" s="604" t="s">
        <v>48</v>
      </c>
      <c r="Q4890" s="499"/>
    </row>
    <row r="4891" spans="9:17">
      <c r="I4891" s="578" t="str">
        <f t="shared" si="222"/>
        <v>2005ethPacific peoplesInfant</v>
      </c>
      <c r="J4891" s="604">
        <v>2005</v>
      </c>
      <c r="K4891" s="604" t="s">
        <v>449</v>
      </c>
      <c r="L4891" s="604" t="s">
        <v>320</v>
      </c>
      <c r="M4891" s="604">
        <v>43</v>
      </c>
      <c r="N4891" s="604">
        <v>6238</v>
      </c>
      <c r="O4891" s="604">
        <v>6.9</v>
      </c>
      <c r="P4891" s="604" t="s">
        <v>48</v>
      </c>
      <c r="Q4891" s="499"/>
    </row>
    <row r="4892" spans="9:17">
      <c r="I4892" s="578" t="str">
        <f t="shared" si="222"/>
        <v>2005ethAsianInfant</v>
      </c>
      <c r="J4892" s="604">
        <v>2005</v>
      </c>
      <c r="K4892" s="604" t="s">
        <v>449</v>
      </c>
      <c r="L4892" s="604" t="s">
        <v>355</v>
      </c>
      <c r="M4892" s="604">
        <v>20</v>
      </c>
      <c r="N4892" s="604">
        <v>5495</v>
      </c>
      <c r="O4892" s="604">
        <v>3.6</v>
      </c>
      <c r="P4892" s="604" t="s">
        <v>48</v>
      </c>
      <c r="Q4892" s="499"/>
    </row>
    <row r="4893" spans="9:17">
      <c r="I4893" s="578" t="str">
        <f t="shared" si="222"/>
        <v>2005ethEuropean or OtherInfant</v>
      </c>
      <c r="J4893" s="604">
        <v>2005</v>
      </c>
      <c r="K4893" s="604" t="s">
        <v>449</v>
      </c>
      <c r="L4893" s="604" t="s">
        <v>356</v>
      </c>
      <c r="M4893" s="604">
        <v>117</v>
      </c>
      <c r="N4893" s="604">
        <v>29990</v>
      </c>
      <c r="O4893" s="604">
        <v>3.9</v>
      </c>
      <c r="P4893" s="604" t="s">
        <v>48</v>
      </c>
      <c r="Q4893" s="499"/>
    </row>
    <row r="4894" spans="9:17">
      <c r="I4894" s="578" t="str">
        <f t="shared" si="222"/>
        <v>2006ethMaoriInfant</v>
      </c>
      <c r="J4894" s="604">
        <v>2006</v>
      </c>
      <c r="K4894" s="604" t="s">
        <v>449</v>
      </c>
      <c r="L4894" s="604" t="s">
        <v>129</v>
      </c>
      <c r="M4894" s="604">
        <v>130</v>
      </c>
      <c r="N4894" s="604">
        <v>17935</v>
      </c>
      <c r="O4894" s="604">
        <v>7.2</v>
      </c>
      <c r="P4894" s="604" t="s">
        <v>48</v>
      </c>
      <c r="Q4894" s="499"/>
    </row>
    <row r="4895" spans="9:17">
      <c r="I4895" s="578" t="str">
        <f t="shared" si="222"/>
        <v>2006ethPacific peoplesInfant</v>
      </c>
      <c r="J4895" s="604">
        <v>2006</v>
      </c>
      <c r="K4895" s="604" t="s">
        <v>449</v>
      </c>
      <c r="L4895" s="604" t="s">
        <v>320</v>
      </c>
      <c r="M4895" s="604">
        <v>41</v>
      </c>
      <c r="N4895" s="604">
        <v>6408</v>
      </c>
      <c r="O4895" s="604">
        <v>6.4</v>
      </c>
      <c r="P4895" s="604" t="s">
        <v>48</v>
      </c>
      <c r="Q4895" s="499"/>
    </row>
    <row r="4896" spans="9:17">
      <c r="I4896" s="578" t="str">
        <f t="shared" si="222"/>
        <v>2006ethAsianInfant</v>
      </c>
      <c r="J4896" s="604">
        <v>2006</v>
      </c>
      <c r="K4896" s="604" t="s">
        <v>449</v>
      </c>
      <c r="L4896" s="604" t="s">
        <v>355</v>
      </c>
      <c r="M4896" s="604">
        <v>21</v>
      </c>
      <c r="N4896" s="604">
        <v>5389</v>
      </c>
      <c r="O4896" s="604">
        <v>3.9</v>
      </c>
      <c r="P4896" s="604" t="s">
        <v>48</v>
      </c>
      <c r="Q4896" s="499"/>
    </row>
    <row r="4897" spans="9:17">
      <c r="I4897" s="578" t="str">
        <f t="shared" si="222"/>
        <v>2006ethEuropean or OtherInfant</v>
      </c>
      <c r="J4897" s="604">
        <v>2006</v>
      </c>
      <c r="K4897" s="604" t="s">
        <v>449</v>
      </c>
      <c r="L4897" s="604" t="s">
        <v>356</v>
      </c>
      <c r="M4897" s="604">
        <v>116</v>
      </c>
      <c r="N4897" s="604">
        <v>30542</v>
      </c>
      <c r="O4897" s="604">
        <v>3.8</v>
      </c>
      <c r="P4897" s="604" t="s">
        <v>48</v>
      </c>
      <c r="Q4897" s="499"/>
    </row>
    <row r="4898" spans="9:17">
      <c r="I4898" s="578" t="str">
        <f t="shared" si="222"/>
        <v>2007ethMaoriInfant</v>
      </c>
      <c r="J4898" s="604">
        <v>2007</v>
      </c>
      <c r="K4898" s="604" t="s">
        <v>449</v>
      </c>
      <c r="L4898" s="604" t="s">
        <v>129</v>
      </c>
      <c r="M4898" s="604">
        <v>126</v>
      </c>
      <c r="N4898" s="604">
        <v>19338</v>
      </c>
      <c r="O4898" s="604">
        <v>6.5</v>
      </c>
      <c r="P4898" s="604" t="s">
        <v>48</v>
      </c>
      <c r="Q4898" s="499"/>
    </row>
    <row r="4899" spans="9:17">
      <c r="I4899" s="578" t="str">
        <f t="shared" si="222"/>
        <v>2007ethPacific peoplesInfant</v>
      </c>
      <c r="J4899" s="604">
        <v>2007</v>
      </c>
      <c r="K4899" s="604" t="s">
        <v>449</v>
      </c>
      <c r="L4899" s="604" t="s">
        <v>320</v>
      </c>
      <c r="M4899" s="604">
        <v>45</v>
      </c>
      <c r="N4899" s="604">
        <v>7005</v>
      </c>
      <c r="O4899" s="604">
        <v>6.4</v>
      </c>
      <c r="P4899" s="604" t="s">
        <v>48</v>
      </c>
      <c r="Q4899" s="499"/>
    </row>
    <row r="4900" spans="9:17">
      <c r="I4900" s="578" t="str">
        <f t="shared" si="222"/>
        <v>2007ethAsianInfant</v>
      </c>
      <c r="J4900" s="604">
        <v>2007</v>
      </c>
      <c r="K4900" s="604" t="s">
        <v>449</v>
      </c>
      <c r="L4900" s="604" t="s">
        <v>355</v>
      </c>
      <c r="M4900" s="604">
        <v>12</v>
      </c>
      <c r="N4900" s="604">
        <v>6386</v>
      </c>
      <c r="O4900" s="604">
        <v>1.9</v>
      </c>
      <c r="P4900" s="604" t="s">
        <v>48</v>
      </c>
      <c r="Q4900" s="499"/>
    </row>
    <row r="4901" spans="9:17">
      <c r="I4901" s="578" t="str">
        <f t="shared" si="222"/>
        <v>2007ethEuropean or OtherInfant</v>
      </c>
      <c r="J4901" s="604">
        <v>2007</v>
      </c>
      <c r="K4901" s="604" t="s">
        <v>449</v>
      </c>
      <c r="L4901" s="604" t="s">
        <v>356</v>
      </c>
      <c r="M4901" s="604">
        <v>129</v>
      </c>
      <c r="N4901" s="604">
        <v>32392</v>
      </c>
      <c r="O4901" s="604">
        <v>4</v>
      </c>
      <c r="P4901" s="604" t="s">
        <v>48</v>
      </c>
      <c r="Q4901" s="499"/>
    </row>
    <row r="4902" spans="9:17">
      <c r="I4902" s="578" t="str">
        <f t="shared" si="222"/>
        <v>2008ethMaoriInfant</v>
      </c>
      <c r="J4902" s="604">
        <v>2008</v>
      </c>
      <c r="K4902" s="604" t="s">
        <v>449</v>
      </c>
      <c r="L4902" s="604" t="s">
        <v>129</v>
      </c>
      <c r="M4902" s="604">
        <v>134</v>
      </c>
      <c r="N4902" s="604">
        <v>19452</v>
      </c>
      <c r="O4902" s="604">
        <v>6.9</v>
      </c>
      <c r="P4902" s="604" t="s">
        <v>48</v>
      </c>
      <c r="Q4902" s="499"/>
    </row>
    <row r="4903" spans="9:17">
      <c r="I4903" s="578" t="str">
        <f t="shared" si="222"/>
        <v>2008ethPacific peoplesInfant</v>
      </c>
      <c r="J4903" s="604">
        <v>2008</v>
      </c>
      <c r="K4903" s="604" t="s">
        <v>449</v>
      </c>
      <c r="L4903" s="604" t="s">
        <v>320</v>
      </c>
      <c r="M4903" s="604">
        <v>43</v>
      </c>
      <c r="N4903" s="604">
        <v>7221</v>
      </c>
      <c r="O4903" s="604">
        <v>6</v>
      </c>
      <c r="P4903" s="604" t="s">
        <v>48</v>
      </c>
      <c r="Q4903" s="499"/>
    </row>
    <row r="4904" spans="9:17">
      <c r="I4904" s="578" t="str">
        <f t="shared" si="222"/>
        <v>2008ethAsianInfant</v>
      </c>
      <c r="J4904" s="604">
        <v>2008</v>
      </c>
      <c r="K4904" s="604" t="s">
        <v>449</v>
      </c>
      <c r="L4904" s="604" t="s">
        <v>355</v>
      </c>
      <c r="M4904" s="604">
        <v>18</v>
      </c>
      <c r="N4904" s="604">
        <v>6557</v>
      </c>
      <c r="O4904" s="604">
        <v>2.7</v>
      </c>
      <c r="P4904" s="604" t="s">
        <v>48</v>
      </c>
      <c r="Q4904" s="499"/>
    </row>
    <row r="4905" spans="9:17">
      <c r="I4905" s="578" t="str">
        <f t="shared" si="222"/>
        <v>2008ethEuropean or OtherInfant</v>
      </c>
      <c r="J4905" s="604">
        <v>2008</v>
      </c>
      <c r="K4905" s="604" t="s">
        <v>449</v>
      </c>
      <c r="L4905" s="604" t="s">
        <v>356</v>
      </c>
      <c r="M4905" s="604">
        <v>128</v>
      </c>
      <c r="N4905" s="604">
        <v>32103</v>
      </c>
      <c r="O4905" s="604">
        <v>4</v>
      </c>
      <c r="P4905" s="604" t="s">
        <v>48</v>
      </c>
      <c r="Q4905" s="499"/>
    </row>
    <row r="4906" spans="9:17">
      <c r="I4906" s="578" t="str">
        <f t="shared" si="222"/>
        <v>2009ethMaoriInfant</v>
      </c>
      <c r="J4906" s="604">
        <v>2009</v>
      </c>
      <c r="K4906" s="604" t="s">
        <v>449</v>
      </c>
      <c r="L4906" s="604" t="s">
        <v>129</v>
      </c>
      <c r="M4906" s="604">
        <v>137</v>
      </c>
      <c r="N4906" s="604">
        <v>18470</v>
      </c>
      <c r="O4906" s="604">
        <v>7.4</v>
      </c>
      <c r="P4906" s="604" t="s">
        <v>48</v>
      </c>
      <c r="Q4906" s="499"/>
    </row>
    <row r="4907" spans="9:17">
      <c r="I4907" s="578" t="str">
        <f t="shared" si="222"/>
        <v>2009ethPacific peoplesInfant</v>
      </c>
      <c r="J4907" s="604">
        <v>2009</v>
      </c>
      <c r="K4907" s="604" t="s">
        <v>449</v>
      </c>
      <c r="L4907" s="604" t="s">
        <v>320</v>
      </c>
      <c r="M4907" s="604">
        <v>43</v>
      </c>
      <c r="N4907" s="604">
        <v>7124</v>
      </c>
      <c r="O4907" s="604">
        <v>6</v>
      </c>
      <c r="P4907" s="604" t="s">
        <v>48</v>
      </c>
      <c r="Q4907" s="499"/>
    </row>
    <row r="4908" spans="9:17">
      <c r="I4908" s="578" t="str">
        <f t="shared" si="222"/>
        <v>2009ethAsianInfant</v>
      </c>
      <c r="J4908" s="604">
        <v>2009</v>
      </c>
      <c r="K4908" s="604" t="s">
        <v>449</v>
      </c>
      <c r="L4908" s="604" t="s">
        <v>355</v>
      </c>
      <c r="M4908" s="604">
        <v>23</v>
      </c>
      <c r="N4908" s="604">
        <v>6763</v>
      </c>
      <c r="O4908" s="604">
        <v>3.4</v>
      </c>
      <c r="P4908" s="604" t="s">
        <v>48</v>
      </c>
      <c r="Q4908" s="499"/>
    </row>
    <row r="4909" spans="9:17">
      <c r="I4909" s="578" t="str">
        <f t="shared" si="222"/>
        <v>2009ethEuropean or OtherInfant</v>
      </c>
      <c r="J4909" s="604">
        <v>2009</v>
      </c>
      <c r="K4909" s="604" t="s">
        <v>449</v>
      </c>
      <c r="L4909" s="604" t="s">
        <v>356</v>
      </c>
      <c r="M4909" s="604">
        <v>129</v>
      </c>
      <c r="N4909" s="604">
        <v>30928</v>
      </c>
      <c r="O4909" s="604">
        <v>4.2</v>
      </c>
      <c r="P4909" s="604" t="s">
        <v>48</v>
      </c>
      <c r="Q4909" s="499"/>
    </row>
    <row r="4910" spans="9:17">
      <c r="I4910" s="578" t="str">
        <f t="shared" si="222"/>
        <v>2010ethMaoriInfant</v>
      </c>
      <c r="J4910" s="604">
        <v>2010</v>
      </c>
      <c r="K4910" s="604" t="s">
        <v>449</v>
      </c>
      <c r="L4910" s="604" t="s">
        <v>129</v>
      </c>
      <c r="M4910" s="604">
        <v>132</v>
      </c>
      <c r="N4910" s="604">
        <v>18893</v>
      </c>
      <c r="O4910" s="604">
        <v>7</v>
      </c>
      <c r="P4910" s="604" t="s">
        <v>48</v>
      </c>
      <c r="Q4910" s="499"/>
    </row>
    <row r="4911" spans="9:17">
      <c r="I4911" s="578" t="str">
        <f t="shared" si="222"/>
        <v>2010ethPacific peoplesInfant</v>
      </c>
      <c r="J4911" s="604">
        <v>2010</v>
      </c>
      <c r="K4911" s="604" t="s">
        <v>449</v>
      </c>
      <c r="L4911" s="604" t="s">
        <v>320</v>
      </c>
      <c r="M4911" s="604">
        <v>60</v>
      </c>
      <c r="N4911" s="604">
        <v>7261</v>
      </c>
      <c r="O4911" s="604">
        <v>8.3000000000000007</v>
      </c>
      <c r="P4911" s="604" t="s">
        <v>48</v>
      </c>
      <c r="Q4911" s="499"/>
    </row>
    <row r="4912" spans="9:17">
      <c r="I4912" s="578" t="str">
        <f t="shared" si="222"/>
        <v>2010ethAsianInfant</v>
      </c>
      <c r="J4912" s="604">
        <v>2010</v>
      </c>
      <c r="K4912" s="604" t="s">
        <v>449</v>
      </c>
      <c r="L4912" s="604" t="s">
        <v>355</v>
      </c>
      <c r="M4912" s="604">
        <v>23</v>
      </c>
      <c r="N4912" s="604">
        <v>7451</v>
      </c>
      <c r="O4912" s="604">
        <v>3.1</v>
      </c>
      <c r="P4912" s="604" t="s">
        <v>48</v>
      </c>
      <c r="Q4912" s="499"/>
    </row>
    <row r="4913" spans="9:17">
      <c r="I4913" s="578" t="str">
        <f t="shared" si="222"/>
        <v>2010ethEuropean or OtherInfant</v>
      </c>
      <c r="J4913" s="604">
        <v>2010</v>
      </c>
      <c r="K4913" s="604" t="s">
        <v>449</v>
      </c>
      <c r="L4913" s="604" t="s">
        <v>356</v>
      </c>
      <c r="M4913" s="604">
        <v>146</v>
      </c>
      <c r="N4913" s="604">
        <v>31094</v>
      </c>
      <c r="O4913" s="604">
        <v>4.7</v>
      </c>
      <c r="P4913" s="604" t="s">
        <v>48</v>
      </c>
      <c r="Q4913" s="499"/>
    </row>
    <row r="4914" spans="9:17">
      <c r="I4914" s="578" t="str">
        <f t="shared" si="222"/>
        <v>2011ethMaoriInfant</v>
      </c>
      <c r="J4914" s="604">
        <v>2011</v>
      </c>
      <c r="K4914" s="604" t="s">
        <v>449</v>
      </c>
      <c r="L4914" s="604" t="s">
        <v>129</v>
      </c>
      <c r="M4914" s="604">
        <v>139</v>
      </c>
      <c r="N4914" s="604">
        <v>18034</v>
      </c>
      <c r="O4914" s="604">
        <v>7.7</v>
      </c>
      <c r="P4914" s="604" t="s">
        <v>48</v>
      </c>
      <c r="Q4914" s="499"/>
    </row>
    <row r="4915" spans="9:17">
      <c r="I4915" s="578" t="str">
        <f t="shared" si="222"/>
        <v>2011ethPacific peoplesInfant</v>
      </c>
      <c r="J4915" s="604">
        <v>2011</v>
      </c>
      <c r="K4915" s="604" t="s">
        <v>449</v>
      </c>
      <c r="L4915" s="604" t="s">
        <v>320</v>
      </c>
      <c r="M4915" s="604">
        <v>46</v>
      </c>
      <c r="N4915" s="604">
        <v>7141</v>
      </c>
      <c r="O4915" s="604">
        <v>6.4</v>
      </c>
      <c r="P4915" s="604" t="s">
        <v>48</v>
      </c>
      <c r="Q4915" s="499"/>
    </row>
    <row r="4916" spans="9:17">
      <c r="I4916" s="578" t="str">
        <f t="shared" si="222"/>
        <v>2011ethAsianInfant</v>
      </c>
      <c r="J4916" s="604">
        <v>2011</v>
      </c>
      <c r="K4916" s="604" t="s">
        <v>449</v>
      </c>
      <c r="L4916" s="604" t="s">
        <v>355</v>
      </c>
      <c r="M4916" s="604">
        <v>23</v>
      </c>
      <c r="N4916" s="604">
        <v>7517</v>
      </c>
      <c r="O4916" s="604">
        <v>3.1</v>
      </c>
      <c r="P4916" s="604" t="s">
        <v>48</v>
      </c>
      <c r="Q4916" s="499"/>
    </row>
    <row r="4917" spans="9:17">
      <c r="I4917" s="578" t="str">
        <f t="shared" si="222"/>
        <v>2011ethEuropean or OtherInfant</v>
      </c>
      <c r="J4917" s="604">
        <v>2011</v>
      </c>
      <c r="K4917" s="604" t="s">
        <v>449</v>
      </c>
      <c r="L4917" s="604" t="s">
        <v>356</v>
      </c>
      <c r="M4917" s="604">
        <v>114</v>
      </c>
      <c r="N4917" s="604">
        <v>29482</v>
      </c>
      <c r="O4917" s="604">
        <v>3.9</v>
      </c>
      <c r="P4917" s="604" t="s">
        <v>48</v>
      </c>
      <c r="Q4917" s="499"/>
    </row>
    <row r="4918" spans="9:17">
      <c r="I4918" s="578" t="str">
        <f t="shared" si="222"/>
        <v>2012ethMaoriInfant</v>
      </c>
      <c r="J4918" s="604">
        <v>2012</v>
      </c>
      <c r="K4918" s="604" t="s">
        <v>449</v>
      </c>
      <c r="L4918" s="604" t="s">
        <v>129</v>
      </c>
      <c r="M4918" s="604">
        <v>103</v>
      </c>
      <c r="N4918" s="604">
        <v>17948</v>
      </c>
      <c r="O4918" s="604">
        <v>5.7</v>
      </c>
      <c r="P4918" s="604" t="s">
        <v>48</v>
      </c>
      <c r="Q4918" s="499"/>
    </row>
    <row r="4919" spans="9:17">
      <c r="I4919" s="578" t="str">
        <f t="shared" si="222"/>
        <v>2012ethPacific peoplesInfant</v>
      </c>
      <c r="J4919" s="604">
        <v>2012</v>
      </c>
      <c r="K4919" s="604" t="s">
        <v>449</v>
      </c>
      <c r="L4919" s="604" t="s">
        <v>320</v>
      </c>
      <c r="M4919" s="604">
        <v>48</v>
      </c>
      <c r="N4919" s="604">
        <v>6955</v>
      </c>
      <c r="O4919" s="604">
        <v>6.9</v>
      </c>
      <c r="P4919" s="604" t="s">
        <v>48</v>
      </c>
      <c r="Q4919" s="499"/>
    </row>
    <row r="4920" spans="9:17">
      <c r="I4920" s="578" t="str">
        <f t="shared" si="222"/>
        <v>2012ethAsianInfant</v>
      </c>
      <c r="J4920" s="604">
        <v>2012</v>
      </c>
      <c r="K4920" s="604" t="s">
        <v>449</v>
      </c>
      <c r="L4920" s="604" t="s">
        <v>355</v>
      </c>
      <c r="M4920" s="604">
        <v>25</v>
      </c>
      <c r="N4920" s="604">
        <v>8613</v>
      </c>
      <c r="O4920" s="604">
        <v>2.9</v>
      </c>
      <c r="P4920" s="604" t="s">
        <v>48</v>
      </c>
      <c r="Q4920" s="499"/>
    </row>
    <row r="4921" spans="9:17">
      <c r="I4921" s="578" t="str">
        <f t="shared" si="222"/>
        <v>2012ethEuropean or OtherInfant</v>
      </c>
      <c r="J4921" s="604">
        <v>2012</v>
      </c>
      <c r="K4921" s="604" t="s">
        <v>449</v>
      </c>
      <c r="L4921" s="604" t="s">
        <v>356</v>
      </c>
      <c r="M4921" s="604">
        <v>118</v>
      </c>
      <c r="N4921" s="604">
        <v>28519</v>
      </c>
      <c r="O4921" s="604">
        <v>4.0999999999999996</v>
      </c>
      <c r="P4921" s="604" t="s">
        <v>48</v>
      </c>
      <c r="Q4921" s="499"/>
    </row>
    <row r="4922" spans="9:17">
      <c r="I4922" s="578" t="str">
        <f t="shared" si="222"/>
        <v>2013ethMaoriInfant</v>
      </c>
      <c r="J4922" s="604">
        <v>2013</v>
      </c>
      <c r="K4922" s="604" t="s">
        <v>449</v>
      </c>
      <c r="L4922" s="604" t="s">
        <v>129</v>
      </c>
      <c r="M4922" s="604">
        <v>91</v>
      </c>
      <c r="N4922" s="604">
        <v>17149</v>
      </c>
      <c r="O4922" s="604">
        <v>5.3</v>
      </c>
      <c r="P4922" s="604" t="s">
        <v>48</v>
      </c>
      <c r="Q4922" s="499"/>
    </row>
    <row r="4923" spans="9:17">
      <c r="I4923" s="578" t="str">
        <f t="shared" si="222"/>
        <v>2013ethPacific peoplesInfant</v>
      </c>
      <c r="J4923" s="604">
        <v>2013</v>
      </c>
      <c r="K4923" s="604" t="s">
        <v>449</v>
      </c>
      <c r="L4923" s="604" t="s">
        <v>320</v>
      </c>
      <c r="M4923" s="604">
        <v>49</v>
      </c>
      <c r="N4923" s="604">
        <v>6438</v>
      </c>
      <c r="O4923" s="604">
        <v>7.6</v>
      </c>
      <c r="P4923" s="604" t="s">
        <v>48</v>
      </c>
      <c r="Q4923" s="499"/>
    </row>
    <row r="4924" spans="9:17">
      <c r="I4924" s="578" t="str">
        <f t="shared" si="222"/>
        <v>2013ethAsianInfant</v>
      </c>
      <c r="J4924" s="604">
        <v>2013</v>
      </c>
      <c r="K4924" s="604" t="s">
        <v>449</v>
      </c>
      <c r="L4924" s="604" t="s">
        <v>355</v>
      </c>
      <c r="M4924" s="604">
        <v>36</v>
      </c>
      <c r="N4924" s="604">
        <v>8707</v>
      </c>
      <c r="O4924" s="604">
        <v>4.0999999999999996</v>
      </c>
      <c r="P4924" s="604" t="s">
        <v>48</v>
      </c>
      <c r="Q4924" s="499"/>
    </row>
    <row r="4925" spans="9:17">
      <c r="I4925" s="578" t="str">
        <f t="shared" si="222"/>
        <v>2013ethEuropean or OtherInfant</v>
      </c>
      <c r="J4925" s="604">
        <v>2013</v>
      </c>
      <c r="K4925" s="604" t="s">
        <v>449</v>
      </c>
      <c r="L4925" s="604" t="s">
        <v>356</v>
      </c>
      <c r="M4925" s="604">
        <v>120</v>
      </c>
      <c r="N4925" s="604">
        <v>27407</v>
      </c>
      <c r="O4925" s="604">
        <v>4.4000000000000004</v>
      </c>
      <c r="P4925" s="604" t="s">
        <v>48</v>
      </c>
      <c r="Q4925" s="499"/>
    </row>
    <row r="4926" spans="9:17">
      <c r="I4926" s="578" t="str">
        <f t="shared" si="222"/>
        <v>2014ethMaoriInfant</v>
      </c>
      <c r="J4926" s="604">
        <v>2014</v>
      </c>
      <c r="K4926" s="604" t="s">
        <v>449</v>
      </c>
      <c r="L4926" s="604" t="s">
        <v>129</v>
      </c>
      <c r="M4926" s="604">
        <v>118</v>
      </c>
      <c r="N4926" s="604">
        <v>16479</v>
      </c>
      <c r="O4926" s="604">
        <v>7.2</v>
      </c>
      <c r="P4926" s="604" t="s">
        <v>48</v>
      </c>
      <c r="Q4926" s="499"/>
    </row>
    <row r="4927" spans="9:17">
      <c r="I4927" s="578" t="str">
        <f t="shared" si="222"/>
        <v>2014ethPacific peoplesInfant</v>
      </c>
      <c r="J4927" s="604">
        <v>2014</v>
      </c>
      <c r="K4927" s="604" t="s">
        <v>449</v>
      </c>
      <c r="L4927" s="604" t="s">
        <v>320</v>
      </c>
      <c r="M4927" s="604">
        <v>44</v>
      </c>
      <c r="N4927" s="604">
        <v>6196</v>
      </c>
      <c r="O4927" s="604">
        <v>7.1</v>
      </c>
      <c r="P4927" s="604" t="s">
        <v>48</v>
      </c>
      <c r="Q4927" s="499"/>
    </row>
    <row r="4928" spans="9:17">
      <c r="I4928" s="578" t="str">
        <f t="shared" si="222"/>
        <v>2014ethAsianInfant</v>
      </c>
      <c r="J4928" s="604">
        <v>2014</v>
      </c>
      <c r="K4928" s="604" t="s">
        <v>449</v>
      </c>
      <c r="L4928" s="604" t="s">
        <v>355</v>
      </c>
      <c r="M4928" s="604">
        <v>48</v>
      </c>
      <c r="N4928" s="604">
        <v>9320</v>
      </c>
      <c r="O4928" s="604">
        <v>5.2</v>
      </c>
      <c r="P4928" s="604" t="s">
        <v>48</v>
      </c>
      <c r="Q4928" s="499"/>
    </row>
    <row r="4929" spans="9:17">
      <c r="I4929" s="578" t="str">
        <f t="shared" si="222"/>
        <v>2014ethEuropean or OtherInfant</v>
      </c>
      <c r="J4929" s="604">
        <v>2014</v>
      </c>
      <c r="K4929" s="604" t="s">
        <v>449</v>
      </c>
      <c r="L4929" s="604" t="s">
        <v>356</v>
      </c>
      <c r="M4929" s="604">
        <v>123</v>
      </c>
      <c r="N4929" s="604">
        <v>26290</v>
      </c>
      <c r="O4929" s="604">
        <v>4.7</v>
      </c>
      <c r="P4929" s="604" t="s">
        <v>48</v>
      </c>
      <c r="Q4929" s="499"/>
    </row>
    <row r="4930" spans="9:17">
      <c r="I4930" s="578" t="str">
        <f t="shared" si="222"/>
        <v>2015ethMaoriInfant</v>
      </c>
      <c r="J4930" s="604">
        <v>2015</v>
      </c>
      <c r="K4930" s="604" t="s">
        <v>449</v>
      </c>
      <c r="L4930" s="604" t="s">
        <v>129</v>
      </c>
      <c r="M4930" s="604">
        <v>87</v>
      </c>
      <c r="N4930" s="604">
        <v>17781</v>
      </c>
      <c r="O4930" s="604">
        <v>4.9000000000000004</v>
      </c>
      <c r="P4930" s="604" t="s">
        <v>48</v>
      </c>
      <c r="Q4930" s="499"/>
    </row>
    <row r="4931" spans="9:17">
      <c r="I4931" s="578" t="str">
        <f t="shared" si="222"/>
        <v>2015ethPacific peoplesInfant</v>
      </c>
      <c r="J4931" s="604">
        <v>2015</v>
      </c>
      <c r="K4931" s="604" t="s">
        <v>449</v>
      </c>
      <c r="L4931" s="604" t="s">
        <v>320</v>
      </c>
      <c r="M4931" s="604">
        <v>45</v>
      </c>
      <c r="N4931" s="604">
        <v>6377</v>
      </c>
      <c r="O4931" s="604">
        <v>7.1</v>
      </c>
      <c r="P4931" s="604" t="s">
        <v>48</v>
      </c>
      <c r="Q4931" s="499"/>
    </row>
    <row r="4932" spans="9:17">
      <c r="I4932" s="578" t="str">
        <f t="shared" ref="I4932:I4995" si="223">J4932&amp;K4932&amp;L4932&amp;P4932</f>
        <v>2015ethAsianInfant</v>
      </c>
      <c r="J4932" s="604">
        <v>2015</v>
      </c>
      <c r="K4932" s="604" t="s">
        <v>449</v>
      </c>
      <c r="L4932" s="604" t="s">
        <v>355</v>
      </c>
      <c r="M4932" s="604">
        <v>44</v>
      </c>
      <c r="N4932" s="604">
        <v>10189</v>
      </c>
      <c r="O4932" s="604">
        <v>4.3</v>
      </c>
      <c r="P4932" s="604" t="s">
        <v>48</v>
      </c>
      <c r="Q4932" s="499"/>
    </row>
    <row r="4933" spans="9:17">
      <c r="I4933" s="578" t="str">
        <f t="shared" si="223"/>
        <v>2015ethEuropean or OtherInfant</v>
      </c>
      <c r="J4933" s="604">
        <v>2015</v>
      </c>
      <c r="K4933" s="604" t="s">
        <v>449</v>
      </c>
      <c r="L4933" s="604" t="s">
        <v>356</v>
      </c>
      <c r="M4933" s="604">
        <v>90</v>
      </c>
      <c r="N4933" s="604">
        <v>27775</v>
      </c>
      <c r="O4933" s="604">
        <v>3.2</v>
      </c>
      <c r="P4933" s="604" t="s">
        <v>48</v>
      </c>
      <c r="Q4933" s="499"/>
    </row>
    <row r="4934" spans="9:17">
      <c r="I4934" s="578" t="str">
        <f t="shared" si="223"/>
        <v>2016ethMaoriInfant</v>
      </c>
      <c r="J4934" s="604">
        <v>2016</v>
      </c>
      <c r="K4934" s="604" t="s">
        <v>449</v>
      </c>
      <c r="L4934" s="604" t="s">
        <v>129</v>
      </c>
      <c r="M4934" s="604">
        <v>103</v>
      </c>
      <c r="N4934" s="604">
        <v>17329</v>
      </c>
      <c r="O4934" s="604">
        <v>5.9</v>
      </c>
      <c r="P4934" s="604" t="s">
        <v>48</v>
      </c>
      <c r="Q4934" s="499"/>
    </row>
    <row r="4935" spans="9:17">
      <c r="I4935" s="578" t="str">
        <f t="shared" si="223"/>
        <v>2016ethPacific peoplesInfant</v>
      </c>
      <c r="J4935" s="604">
        <v>2016</v>
      </c>
      <c r="K4935" s="604" t="s">
        <v>449</v>
      </c>
      <c r="L4935" s="604" t="s">
        <v>320</v>
      </c>
      <c r="M4935" s="604">
        <v>37</v>
      </c>
      <c r="N4935" s="604">
        <v>5976</v>
      </c>
      <c r="O4935" s="604">
        <v>6.2</v>
      </c>
      <c r="P4935" s="604" t="s">
        <v>48</v>
      </c>
      <c r="Q4935" s="499"/>
    </row>
    <row r="4936" spans="9:17">
      <c r="I4936" s="578" t="str">
        <f t="shared" si="223"/>
        <v>2016ethAsianInfant</v>
      </c>
      <c r="J4936" s="604">
        <v>2016</v>
      </c>
      <c r="K4936" s="604" t="s">
        <v>449</v>
      </c>
      <c r="L4936" s="604" t="s">
        <v>355</v>
      </c>
      <c r="M4936" s="604">
        <v>27</v>
      </c>
      <c r="N4936" s="604">
        <v>10902</v>
      </c>
      <c r="O4936" s="604">
        <v>2.5</v>
      </c>
      <c r="P4936" s="604" t="s">
        <v>48</v>
      </c>
      <c r="Q4936" s="499"/>
    </row>
    <row r="4937" spans="9:17">
      <c r="I4937" s="578" t="str">
        <f t="shared" si="223"/>
        <v>2016ethEuropean or OtherInfant</v>
      </c>
      <c r="J4937" s="604">
        <v>2016</v>
      </c>
      <c r="K4937" s="604" t="s">
        <v>449</v>
      </c>
      <c r="L4937" s="604" t="s">
        <v>356</v>
      </c>
      <c r="M4937" s="604">
        <v>74</v>
      </c>
      <c r="N4937" s="604">
        <v>26229</v>
      </c>
      <c r="O4937" s="604">
        <v>2.8</v>
      </c>
      <c r="P4937" s="604" t="s">
        <v>48</v>
      </c>
      <c r="Q4937" s="499"/>
    </row>
    <row r="4938" spans="9:17">
      <c r="I4938" s="578" t="str">
        <f t="shared" si="223"/>
        <v>1996depQuin 1Infant</v>
      </c>
      <c r="J4938" s="604">
        <v>1996</v>
      </c>
      <c r="K4938" s="604" t="s">
        <v>454</v>
      </c>
      <c r="L4938" s="604" t="s">
        <v>421</v>
      </c>
      <c r="M4938" s="604">
        <v>28</v>
      </c>
      <c r="N4938" s="604">
        <v>6224</v>
      </c>
      <c r="O4938" s="604">
        <v>4.5</v>
      </c>
      <c r="P4938" s="604" t="s">
        <v>48</v>
      </c>
      <c r="Q4938" s="499"/>
    </row>
    <row r="4939" spans="9:17">
      <c r="I4939" s="578" t="str">
        <f t="shared" si="223"/>
        <v>1996depQuin 2Infant</v>
      </c>
      <c r="J4939" s="604">
        <v>1996</v>
      </c>
      <c r="K4939" s="604" t="s">
        <v>454</v>
      </c>
      <c r="L4939" s="604" t="s">
        <v>422</v>
      </c>
      <c r="M4939" s="604">
        <v>53</v>
      </c>
      <c r="N4939" s="604">
        <v>7213</v>
      </c>
      <c r="O4939" s="604">
        <v>7.3</v>
      </c>
      <c r="P4939" s="604" t="s">
        <v>48</v>
      </c>
      <c r="Q4939" s="499"/>
    </row>
    <row r="4940" spans="9:17">
      <c r="I4940" s="578" t="str">
        <f t="shared" si="223"/>
        <v>1996depQuin 3Infant</v>
      </c>
      <c r="J4940" s="604">
        <v>1996</v>
      </c>
      <c r="K4940" s="604" t="s">
        <v>454</v>
      </c>
      <c r="L4940" s="604" t="s">
        <v>423</v>
      </c>
      <c r="M4940" s="604">
        <v>50</v>
      </c>
      <c r="N4940" s="604">
        <v>9023</v>
      </c>
      <c r="O4940" s="604">
        <v>5.5</v>
      </c>
      <c r="P4940" s="604" t="s">
        <v>48</v>
      </c>
      <c r="Q4940" s="499"/>
    </row>
    <row r="4941" spans="9:17">
      <c r="I4941" s="578" t="str">
        <f t="shared" si="223"/>
        <v>1996depQuin 4Infant</v>
      </c>
      <c r="J4941" s="604">
        <v>1996</v>
      </c>
      <c r="K4941" s="604" t="s">
        <v>454</v>
      </c>
      <c r="L4941" s="604" t="s">
        <v>424</v>
      </c>
      <c r="M4941" s="604">
        <v>91</v>
      </c>
      <c r="N4941" s="604">
        <v>11553</v>
      </c>
      <c r="O4941" s="604">
        <v>7.9</v>
      </c>
      <c r="P4941" s="604" t="s">
        <v>48</v>
      </c>
      <c r="Q4941" s="499"/>
    </row>
    <row r="4942" spans="9:17">
      <c r="I4942" s="578" t="str">
        <f t="shared" si="223"/>
        <v>1996depQuin 5Infant</v>
      </c>
      <c r="J4942" s="604">
        <v>1996</v>
      </c>
      <c r="K4942" s="604" t="s">
        <v>454</v>
      </c>
      <c r="L4942" s="604" t="s">
        <v>425</v>
      </c>
      <c r="M4942" s="604">
        <v>152</v>
      </c>
      <c r="N4942" s="604">
        <v>15161</v>
      </c>
      <c r="O4942" s="604">
        <v>10</v>
      </c>
      <c r="P4942" s="604" t="s">
        <v>48</v>
      </c>
      <c r="Q4942" s="499"/>
    </row>
    <row r="4943" spans="9:17">
      <c r="I4943" s="578" t="str">
        <f t="shared" si="223"/>
        <v>1996depQuin 9Infant</v>
      </c>
      <c r="J4943" s="604">
        <v>1996</v>
      </c>
      <c r="K4943" s="604" t="s">
        <v>454</v>
      </c>
      <c r="L4943" s="604" t="s">
        <v>426</v>
      </c>
      <c r="M4943" s="604">
        <v>43</v>
      </c>
      <c r="N4943" s="604">
        <v>8260</v>
      </c>
      <c r="O4943" s="604" t="s">
        <v>119</v>
      </c>
      <c r="P4943" s="604" t="s">
        <v>48</v>
      </c>
    </row>
    <row r="4944" spans="9:17">
      <c r="I4944" s="578" t="str">
        <f t="shared" si="223"/>
        <v>1997depQuin 1Infant</v>
      </c>
      <c r="J4944" s="604">
        <v>1997</v>
      </c>
      <c r="K4944" s="604" t="s">
        <v>454</v>
      </c>
      <c r="L4944" s="604" t="s">
        <v>421</v>
      </c>
      <c r="M4944" s="604">
        <v>29</v>
      </c>
      <c r="N4944" s="604">
        <v>6314</v>
      </c>
      <c r="O4944" s="604">
        <v>4.5999999999999996</v>
      </c>
      <c r="P4944" s="604" t="s">
        <v>48</v>
      </c>
    </row>
    <row r="4945" spans="9:16">
      <c r="I4945" s="578" t="str">
        <f t="shared" si="223"/>
        <v>1997depQuin 2Infant</v>
      </c>
      <c r="J4945" s="604">
        <v>1997</v>
      </c>
      <c r="K4945" s="604" t="s">
        <v>454</v>
      </c>
      <c r="L4945" s="604" t="s">
        <v>422</v>
      </c>
      <c r="M4945" s="604">
        <v>30</v>
      </c>
      <c r="N4945" s="604">
        <v>7191</v>
      </c>
      <c r="O4945" s="604">
        <v>4.2</v>
      </c>
      <c r="P4945" s="604" t="s">
        <v>48</v>
      </c>
    </row>
    <row r="4946" spans="9:16">
      <c r="I4946" s="578" t="str">
        <f t="shared" si="223"/>
        <v>1997depQuin 3Infant</v>
      </c>
      <c r="J4946" s="604">
        <v>1997</v>
      </c>
      <c r="K4946" s="604" t="s">
        <v>454</v>
      </c>
      <c r="L4946" s="604" t="s">
        <v>423</v>
      </c>
      <c r="M4946" s="604">
        <v>49</v>
      </c>
      <c r="N4946" s="604">
        <v>9059</v>
      </c>
      <c r="O4946" s="604">
        <v>5.4</v>
      </c>
      <c r="P4946" s="604" t="s">
        <v>48</v>
      </c>
    </row>
    <row r="4947" spans="9:16">
      <c r="I4947" s="578" t="str">
        <f t="shared" si="223"/>
        <v>1997depQuin 4Infant</v>
      </c>
      <c r="J4947" s="604">
        <v>1997</v>
      </c>
      <c r="K4947" s="604" t="s">
        <v>454</v>
      </c>
      <c r="L4947" s="604" t="s">
        <v>424</v>
      </c>
      <c r="M4947" s="604">
        <v>92</v>
      </c>
      <c r="N4947" s="604">
        <v>11648</v>
      </c>
      <c r="O4947" s="604">
        <v>7.9</v>
      </c>
      <c r="P4947" s="604" t="s">
        <v>48</v>
      </c>
    </row>
    <row r="4948" spans="9:16">
      <c r="I4948" s="578" t="str">
        <f t="shared" si="223"/>
        <v>1997depQuin 5Infant</v>
      </c>
      <c r="J4948" s="604">
        <v>1997</v>
      </c>
      <c r="K4948" s="604" t="s">
        <v>454</v>
      </c>
      <c r="L4948" s="604" t="s">
        <v>425</v>
      </c>
      <c r="M4948" s="604">
        <v>129</v>
      </c>
      <c r="N4948" s="604">
        <v>15072</v>
      </c>
      <c r="O4948" s="604">
        <v>8.6</v>
      </c>
      <c r="P4948" s="604" t="s">
        <v>48</v>
      </c>
    </row>
    <row r="4949" spans="9:16">
      <c r="I4949" s="578" t="str">
        <f t="shared" si="223"/>
        <v>1997depQuin 9Infant</v>
      </c>
      <c r="J4949" s="604">
        <v>1997</v>
      </c>
      <c r="K4949" s="604" t="s">
        <v>454</v>
      </c>
      <c r="L4949" s="604" t="s">
        <v>426</v>
      </c>
      <c r="M4949" s="604">
        <v>62</v>
      </c>
      <c r="N4949" s="604">
        <v>8450</v>
      </c>
      <c r="O4949" s="604" t="s">
        <v>119</v>
      </c>
      <c r="P4949" s="604" t="s">
        <v>48</v>
      </c>
    </row>
    <row r="4950" spans="9:16">
      <c r="I4950" s="578" t="str">
        <f t="shared" si="223"/>
        <v>1998depQuin 1Infant</v>
      </c>
      <c r="J4950" s="604">
        <v>1998</v>
      </c>
      <c r="K4950" s="604" t="s">
        <v>454</v>
      </c>
      <c r="L4950" s="604" t="s">
        <v>421</v>
      </c>
      <c r="M4950" s="604">
        <v>18</v>
      </c>
      <c r="N4950" s="604">
        <v>6314</v>
      </c>
      <c r="O4950" s="604">
        <v>2.9</v>
      </c>
      <c r="P4950" s="604" t="s">
        <v>48</v>
      </c>
    </row>
    <row r="4951" spans="9:16">
      <c r="I4951" s="578" t="str">
        <f t="shared" si="223"/>
        <v>1998depQuin 2Infant</v>
      </c>
      <c r="J4951" s="604">
        <v>1998</v>
      </c>
      <c r="K4951" s="604" t="s">
        <v>454</v>
      </c>
      <c r="L4951" s="604" t="s">
        <v>422</v>
      </c>
      <c r="M4951" s="604">
        <v>36</v>
      </c>
      <c r="N4951" s="604">
        <v>7191</v>
      </c>
      <c r="O4951" s="604">
        <v>5</v>
      </c>
      <c r="P4951" s="604" t="s">
        <v>48</v>
      </c>
    </row>
    <row r="4952" spans="9:16">
      <c r="I4952" s="578" t="str">
        <f t="shared" si="223"/>
        <v>1998depQuin 3Infant</v>
      </c>
      <c r="J4952" s="604">
        <v>1998</v>
      </c>
      <c r="K4952" s="604" t="s">
        <v>454</v>
      </c>
      <c r="L4952" s="604" t="s">
        <v>423</v>
      </c>
      <c r="M4952" s="604">
        <v>50</v>
      </c>
      <c r="N4952" s="604">
        <v>9059</v>
      </c>
      <c r="O4952" s="604">
        <v>5.5</v>
      </c>
      <c r="P4952" s="604" t="s">
        <v>48</v>
      </c>
    </row>
    <row r="4953" spans="9:16">
      <c r="I4953" s="578" t="str">
        <f t="shared" si="223"/>
        <v>1998depQuin 4Infant</v>
      </c>
      <c r="J4953" s="604">
        <v>1998</v>
      </c>
      <c r="K4953" s="604" t="s">
        <v>454</v>
      </c>
      <c r="L4953" s="604" t="s">
        <v>424</v>
      </c>
      <c r="M4953" s="604">
        <v>69</v>
      </c>
      <c r="N4953" s="604">
        <v>11648</v>
      </c>
      <c r="O4953" s="604">
        <v>5.9</v>
      </c>
      <c r="P4953" s="604" t="s">
        <v>48</v>
      </c>
    </row>
    <row r="4954" spans="9:16">
      <c r="I4954" s="578" t="str">
        <f t="shared" si="223"/>
        <v>1998depQuin 5Infant</v>
      </c>
      <c r="J4954" s="604">
        <v>1998</v>
      </c>
      <c r="K4954" s="604" t="s">
        <v>454</v>
      </c>
      <c r="L4954" s="604" t="s">
        <v>425</v>
      </c>
      <c r="M4954" s="604">
        <v>109</v>
      </c>
      <c r="N4954" s="604">
        <v>15072</v>
      </c>
      <c r="O4954" s="604">
        <v>7.2</v>
      </c>
      <c r="P4954" s="604" t="s">
        <v>48</v>
      </c>
    </row>
    <row r="4955" spans="9:16">
      <c r="I4955" s="578" t="str">
        <f t="shared" si="223"/>
        <v>1998depQuin 9Infant</v>
      </c>
      <c r="J4955" s="604">
        <v>1998</v>
      </c>
      <c r="K4955" s="604" t="s">
        <v>454</v>
      </c>
      <c r="L4955" s="604" t="s">
        <v>426</v>
      </c>
      <c r="M4955" s="604">
        <v>26</v>
      </c>
      <c r="N4955" s="604">
        <v>8450</v>
      </c>
      <c r="O4955" s="604" t="s">
        <v>119</v>
      </c>
      <c r="P4955" s="604" t="s">
        <v>48</v>
      </c>
    </row>
    <row r="4956" spans="9:16">
      <c r="I4956" s="578" t="str">
        <f t="shared" si="223"/>
        <v>1999depQuin 1Infant</v>
      </c>
      <c r="J4956" s="604">
        <v>1999</v>
      </c>
      <c r="K4956" s="604" t="s">
        <v>454</v>
      </c>
      <c r="L4956" s="604" t="s">
        <v>421</v>
      </c>
      <c r="M4956" s="604">
        <v>26</v>
      </c>
      <c r="N4956" s="604">
        <v>7250</v>
      </c>
      <c r="O4956" s="604">
        <v>3.6</v>
      </c>
      <c r="P4956" s="604" t="s">
        <v>48</v>
      </c>
    </row>
    <row r="4957" spans="9:16">
      <c r="I4957" s="578" t="str">
        <f t="shared" si="223"/>
        <v>1999depQuin 2Infant</v>
      </c>
      <c r="J4957" s="604">
        <v>1999</v>
      </c>
      <c r="K4957" s="604" t="s">
        <v>454</v>
      </c>
      <c r="L4957" s="604" t="s">
        <v>422</v>
      </c>
      <c r="M4957" s="604">
        <v>41</v>
      </c>
      <c r="N4957" s="604">
        <v>8066</v>
      </c>
      <c r="O4957" s="604">
        <v>5.0999999999999996</v>
      </c>
      <c r="P4957" s="604" t="s">
        <v>48</v>
      </c>
    </row>
    <row r="4958" spans="9:16">
      <c r="I4958" s="578" t="str">
        <f t="shared" si="223"/>
        <v>1999depQuin 3Infant</v>
      </c>
      <c r="J4958" s="604">
        <v>1999</v>
      </c>
      <c r="K4958" s="604" t="s">
        <v>454</v>
      </c>
      <c r="L4958" s="604" t="s">
        <v>423</v>
      </c>
      <c r="M4958" s="604">
        <v>39</v>
      </c>
      <c r="N4958" s="604">
        <v>9708</v>
      </c>
      <c r="O4958" s="604">
        <v>4</v>
      </c>
      <c r="P4958" s="604" t="s">
        <v>48</v>
      </c>
    </row>
    <row r="4959" spans="9:16">
      <c r="I4959" s="578" t="str">
        <f t="shared" si="223"/>
        <v>1999depQuin 4Infant</v>
      </c>
      <c r="J4959" s="604">
        <v>1999</v>
      </c>
      <c r="K4959" s="604" t="s">
        <v>454</v>
      </c>
      <c r="L4959" s="604" t="s">
        <v>424</v>
      </c>
      <c r="M4959" s="604">
        <v>81</v>
      </c>
      <c r="N4959" s="604">
        <v>12198</v>
      </c>
      <c r="O4959" s="604">
        <v>6.6</v>
      </c>
      <c r="P4959" s="604" t="s">
        <v>48</v>
      </c>
    </row>
    <row r="4960" spans="9:16">
      <c r="I4960" s="578" t="str">
        <f t="shared" si="223"/>
        <v>1999depQuin 5Infant</v>
      </c>
      <c r="J4960" s="604">
        <v>1999</v>
      </c>
      <c r="K4960" s="604" t="s">
        <v>454</v>
      </c>
      <c r="L4960" s="604" t="s">
        <v>425</v>
      </c>
      <c r="M4960" s="604">
        <v>123</v>
      </c>
      <c r="N4960" s="604">
        <v>14745</v>
      </c>
      <c r="O4960" s="604">
        <v>8.3000000000000007</v>
      </c>
      <c r="P4960" s="604" t="s">
        <v>48</v>
      </c>
    </row>
    <row r="4961" spans="9:16">
      <c r="I4961" s="578" t="str">
        <f t="shared" si="223"/>
        <v>1999depQuin 9Infant</v>
      </c>
      <c r="J4961" s="604">
        <v>1999</v>
      </c>
      <c r="K4961" s="604" t="s">
        <v>454</v>
      </c>
      <c r="L4961" s="604" t="s">
        <v>426</v>
      </c>
      <c r="M4961" s="604">
        <v>25</v>
      </c>
      <c r="N4961" s="604">
        <v>5454</v>
      </c>
      <c r="O4961" s="604" t="s">
        <v>119</v>
      </c>
      <c r="P4961" s="604" t="s">
        <v>48</v>
      </c>
    </row>
    <row r="4962" spans="9:16">
      <c r="I4962" s="578" t="str">
        <f t="shared" si="223"/>
        <v>2000depQuin 1Infant</v>
      </c>
      <c r="J4962" s="604">
        <v>2000</v>
      </c>
      <c r="K4962" s="604" t="s">
        <v>454</v>
      </c>
      <c r="L4962" s="604" t="s">
        <v>421</v>
      </c>
      <c r="M4962" s="604">
        <v>25</v>
      </c>
      <c r="N4962" s="604">
        <v>7052</v>
      </c>
      <c r="O4962" s="604">
        <v>3.5</v>
      </c>
      <c r="P4962" s="604" t="s">
        <v>48</v>
      </c>
    </row>
    <row r="4963" spans="9:16">
      <c r="I4963" s="578" t="str">
        <f t="shared" si="223"/>
        <v>2000depQuin 2Infant</v>
      </c>
      <c r="J4963" s="604">
        <v>2000</v>
      </c>
      <c r="K4963" s="604" t="s">
        <v>454</v>
      </c>
      <c r="L4963" s="604" t="s">
        <v>422</v>
      </c>
      <c r="M4963" s="604">
        <v>43</v>
      </c>
      <c r="N4963" s="604">
        <v>8032</v>
      </c>
      <c r="O4963" s="604">
        <v>5.4</v>
      </c>
      <c r="P4963" s="604" t="s">
        <v>48</v>
      </c>
    </row>
    <row r="4964" spans="9:16">
      <c r="I4964" s="578" t="str">
        <f t="shared" si="223"/>
        <v>2000depQuin 3Infant</v>
      </c>
      <c r="J4964" s="604">
        <v>2000</v>
      </c>
      <c r="K4964" s="604" t="s">
        <v>454</v>
      </c>
      <c r="L4964" s="604" t="s">
        <v>423</v>
      </c>
      <c r="M4964" s="604">
        <v>51</v>
      </c>
      <c r="N4964" s="604">
        <v>9828</v>
      </c>
      <c r="O4964" s="604">
        <v>5.2</v>
      </c>
      <c r="P4964" s="604" t="s">
        <v>48</v>
      </c>
    </row>
    <row r="4965" spans="9:16">
      <c r="I4965" s="578" t="str">
        <f t="shared" si="223"/>
        <v>2000depQuin 4Infant</v>
      </c>
      <c r="J4965" s="604">
        <v>2000</v>
      </c>
      <c r="K4965" s="604" t="s">
        <v>454</v>
      </c>
      <c r="L4965" s="604" t="s">
        <v>424</v>
      </c>
      <c r="M4965" s="604">
        <v>76</v>
      </c>
      <c r="N4965" s="604">
        <v>12434</v>
      </c>
      <c r="O4965" s="604">
        <v>6.1</v>
      </c>
      <c r="P4965" s="604" t="s">
        <v>48</v>
      </c>
    </row>
    <row r="4966" spans="9:16">
      <c r="I4966" s="578" t="str">
        <f t="shared" si="223"/>
        <v>2000depQuin 5Infant</v>
      </c>
      <c r="J4966" s="604">
        <v>2000</v>
      </c>
      <c r="K4966" s="604" t="s">
        <v>454</v>
      </c>
      <c r="L4966" s="604" t="s">
        <v>425</v>
      </c>
      <c r="M4966" s="604">
        <v>126</v>
      </c>
      <c r="N4966" s="604">
        <v>14106</v>
      </c>
      <c r="O4966" s="604">
        <v>8.9</v>
      </c>
      <c r="P4966" s="604" t="s">
        <v>48</v>
      </c>
    </row>
    <row r="4967" spans="9:16">
      <c r="I4967" s="578" t="str">
        <f t="shared" si="223"/>
        <v>2000depQuin 9Infant</v>
      </c>
      <c r="J4967" s="604">
        <v>2000</v>
      </c>
      <c r="K4967" s="604" t="s">
        <v>454</v>
      </c>
      <c r="L4967" s="604" t="s">
        <v>426</v>
      </c>
      <c r="M4967" s="604">
        <v>38</v>
      </c>
      <c r="N4967" s="604">
        <v>5542</v>
      </c>
      <c r="O4967" s="604" t="s">
        <v>119</v>
      </c>
      <c r="P4967" s="604" t="s">
        <v>48</v>
      </c>
    </row>
    <row r="4968" spans="9:16">
      <c r="I4968" s="578" t="str">
        <f t="shared" si="223"/>
        <v>2001depQuin 1Infant</v>
      </c>
      <c r="J4968" s="604">
        <v>2001</v>
      </c>
      <c r="K4968" s="604" t="s">
        <v>454</v>
      </c>
      <c r="L4968" s="604" t="s">
        <v>421</v>
      </c>
      <c r="M4968" s="604">
        <v>23</v>
      </c>
      <c r="N4968" s="604">
        <v>7106</v>
      </c>
      <c r="O4968" s="604">
        <v>3.2</v>
      </c>
      <c r="P4968" s="604" t="s">
        <v>48</v>
      </c>
    </row>
    <row r="4969" spans="9:16">
      <c r="I4969" s="578" t="str">
        <f t="shared" si="223"/>
        <v>2001depQuin 2Infant</v>
      </c>
      <c r="J4969" s="604">
        <v>2001</v>
      </c>
      <c r="K4969" s="604" t="s">
        <v>454</v>
      </c>
      <c r="L4969" s="604" t="s">
        <v>422</v>
      </c>
      <c r="M4969" s="604">
        <v>26</v>
      </c>
      <c r="N4969" s="604">
        <v>8027</v>
      </c>
      <c r="O4969" s="604">
        <v>3.2</v>
      </c>
      <c r="P4969" s="604" t="s">
        <v>48</v>
      </c>
    </row>
    <row r="4970" spans="9:16">
      <c r="I4970" s="578" t="str">
        <f t="shared" si="223"/>
        <v>2001depQuin 3Infant</v>
      </c>
      <c r="J4970" s="604">
        <v>2001</v>
      </c>
      <c r="K4970" s="604" t="s">
        <v>454</v>
      </c>
      <c r="L4970" s="604" t="s">
        <v>423</v>
      </c>
      <c r="M4970" s="604">
        <v>43</v>
      </c>
      <c r="N4970" s="604">
        <v>9618</v>
      </c>
      <c r="O4970" s="604">
        <v>4.5</v>
      </c>
      <c r="P4970" s="604" t="s">
        <v>48</v>
      </c>
    </row>
    <row r="4971" spans="9:16">
      <c r="I4971" s="578" t="str">
        <f t="shared" si="223"/>
        <v>2001depQuin 4Infant</v>
      </c>
      <c r="J4971" s="604">
        <v>2001</v>
      </c>
      <c r="K4971" s="604" t="s">
        <v>454</v>
      </c>
      <c r="L4971" s="604" t="s">
        <v>424</v>
      </c>
      <c r="M4971" s="604">
        <v>69</v>
      </c>
      <c r="N4971" s="604">
        <v>11942</v>
      </c>
      <c r="O4971" s="604">
        <v>5.8</v>
      </c>
      <c r="P4971" s="604" t="s">
        <v>48</v>
      </c>
    </row>
    <row r="4972" spans="9:16">
      <c r="I4972" s="578" t="str">
        <f t="shared" si="223"/>
        <v>2001depQuin 5Infant</v>
      </c>
      <c r="J4972" s="604">
        <v>2001</v>
      </c>
      <c r="K4972" s="604" t="s">
        <v>454</v>
      </c>
      <c r="L4972" s="604" t="s">
        <v>425</v>
      </c>
      <c r="M4972" s="604">
        <v>123</v>
      </c>
      <c r="N4972" s="604">
        <v>13913</v>
      </c>
      <c r="O4972" s="604">
        <v>8.8000000000000007</v>
      </c>
      <c r="P4972" s="604" t="s">
        <v>48</v>
      </c>
    </row>
    <row r="4973" spans="9:16">
      <c r="I4973" s="578" t="str">
        <f t="shared" si="223"/>
        <v>2001depQuin 9Infant</v>
      </c>
      <c r="J4973" s="604">
        <v>2001</v>
      </c>
      <c r="K4973" s="604" t="s">
        <v>454</v>
      </c>
      <c r="L4973" s="604" t="s">
        <v>426</v>
      </c>
      <c r="M4973" s="604">
        <v>31</v>
      </c>
      <c r="N4973" s="604">
        <v>5618</v>
      </c>
      <c r="O4973" s="604" t="s">
        <v>119</v>
      </c>
      <c r="P4973" s="604" t="s">
        <v>48</v>
      </c>
    </row>
    <row r="4974" spans="9:16">
      <c r="I4974" s="578" t="str">
        <f t="shared" si="223"/>
        <v>2002depQuin 1Infant</v>
      </c>
      <c r="J4974" s="604">
        <v>2002</v>
      </c>
      <c r="K4974" s="604" t="s">
        <v>454</v>
      </c>
      <c r="L4974" s="604" t="s">
        <v>421</v>
      </c>
      <c r="M4974" s="604">
        <v>28</v>
      </c>
      <c r="N4974" s="604">
        <v>7804</v>
      </c>
      <c r="O4974" s="604">
        <v>3.6</v>
      </c>
      <c r="P4974" s="604" t="s">
        <v>48</v>
      </c>
    </row>
    <row r="4975" spans="9:16">
      <c r="I4975" s="578" t="str">
        <f t="shared" si="223"/>
        <v>2002depQuin 2Infant</v>
      </c>
      <c r="J4975" s="604">
        <v>2002</v>
      </c>
      <c r="K4975" s="604" t="s">
        <v>454</v>
      </c>
      <c r="L4975" s="604" t="s">
        <v>422</v>
      </c>
      <c r="M4975" s="604">
        <v>49</v>
      </c>
      <c r="N4975" s="604">
        <v>8158</v>
      </c>
      <c r="O4975" s="604">
        <v>6</v>
      </c>
      <c r="P4975" s="604" t="s">
        <v>48</v>
      </c>
    </row>
    <row r="4976" spans="9:16">
      <c r="I4976" s="578" t="str">
        <f t="shared" si="223"/>
        <v>2002depQuin 3Infant</v>
      </c>
      <c r="J4976" s="604">
        <v>2002</v>
      </c>
      <c r="K4976" s="604" t="s">
        <v>454</v>
      </c>
      <c r="L4976" s="604" t="s">
        <v>423</v>
      </c>
      <c r="M4976" s="604">
        <v>50</v>
      </c>
      <c r="N4976" s="604">
        <v>9762</v>
      </c>
      <c r="O4976" s="604">
        <v>5.0999999999999996</v>
      </c>
      <c r="P4976" s="604" t="s">
        <v>48</v>
      </c>
    </row>
    <row r="4977" spans="9:16">
      <c r="I4977" s="578" t="str">
        <f t="shared" si="223"/>
        <v>2002depQuin 4Infant</v>
      </c>
      <c r="J4977" s="604">
        <v>2002</v>
      </c>
      <c r="K4977" s="604" t="s">
        <v>454</v>
      </c>
      <c r="L4977" s="604" t="s">
        <v>424</v>
      </c>
      <c r="M4977" s="604">
        <v>59</v>
      </c>
      <c r="N4977" s="604">
        <v>11700</v>
      </c>
      <c r="O4977" s="604">
        <v>5</v>
      </c>
      <c r="P4977" s="604" t="s">
        <v>48</v>
      </c>
    </row>
    <row r="4978" spans="9:16">
      <c r="I4978" s="578" t="str">
        <f t="shared" si="223"/>
        <v>2002depQuin 5Infant</v>
      </c>
      <c r="J4978" s="604">
        <v>2002</v>
      </c>
      <c r="K4978" s="604" t="s">
        <v>454</v>
      </c>
      <c r="L4978" s="604" t="s">
        <v>425</v>
      </c>
      <c r="M4978" s="604">
        <v>120</v>
      </c>
      <c r="N4978" s="604">
        <v>13542</v>
      </c>
      <c r="O4978" s="604">
        <v>8.9</v>
      </c>
      <c r="P4978" s="604" t="s">
        <v>48</v>
      </c>
    </row>
    <row r="4979" spans="9:16">
      <c r="I4979" s="578" t="str">
        <f t="shared" si="223"/>
        <v>2002depQuin 9Infant</v>
      </c>
      <c r="J4979" s="604">
        <v>2002</v>
      </c>
      <c r="K4979" s="604" t="s">
        <v>454</v>
      </c>
      <c r="L4979" s="604" t="s">
        <v>426</v>
      </c>
      <c r="M4979" s="604">
        <v>31</v>
      </c>
      <c r="N4979" s="604">
        <v>3549</v>
      </c>
      <c r="O4979" s="604" t="s">
        <v>119</v>
      </c>
      <c r="P4979" s="604" t="s">
        <v>48</v>
      </c>
    </row>
    <row r="4980" spans="9:16">
      <c r="I4980" s="578" t="str">
        <f t="shared" si="223"/>
        <v>2003depQuin 1Infant</v>
      </c>
      <c r="J4980" s="604">
        <v>2003</v>
      </c>
      <c r="K4980" s="604" t="s">
        <v>454</v>
      </c>
      <c r="L4980" s="604" t="s">
        <v>421</v>
      </c>
      <c r="M4980" s="604">
        <v>24</v>
      </c>
      <c r="N4980" s="604">
        <v>7940</v>
      </c>
      <c r="O4980" s="604">
        <v>3</v>
      </c>
      <c r="P4980" s="604" t="s">
        <v>48</v>
      </c>
    </row>
    <row r="4981" spans="9:16">
      <c r="I4981" s="578" t="str">
        <f t="shared" si="223"/>
        <v>2003depQuin 2Infant</v>
      </c>
      <c r="J4981" s="604">
        <v>2003</v>
      </c>
      <c r="K4981" s="604" t="s">
        <v>454</v>
      </c>
      <c r="L4981" s="604" t="s">
        <v>422</v>
      </c>
      <c r="M4981" s="604">
        <v>32</v>
      </c>
      <c r="N4981" s="604">
        <v>8596</v>
      </c>
      <c r="O4981" s="604">
        <v>3.7</v>
      </c>
      <c r="P4981" s="604" t="s">
        <v>48</v>
      </c>
    </row>
    <row r="4982" spans="9:16">
      <c r="I4982" s="578" t="str">
        <f t="shared" si="223"/>
        <v>2003depQuin 3Infant</v>
      </c>
      <c r="J4982" s="604">
        <v>2003</v>
      </c>
      <c r="K4982" s="604" t="s">
        <v>454</v>
      </c>
      <c r="L4982" s="604" t="s">
        <v>423</v>
      </c>
      <c r="M4982" s="604">
        <v>53</v>
      </c>
      <c r="N4982" s="604">
        <v>10109</v>
      </c>
      <c r="O4982" s="604">
        <v>5.2</v>
      </c>
      <c r="P4982" s="604" t="s">
        <v>48</v>
      </c>
    </row>
    <row r="4983" spans="9:16">
      <c r="I4983" s="578" t="str">
        <f t="shared" si="223"/>
        <v>2003depQuin 4Infant</v>
      </c>
      <c r="J4983" s="604">
        <v>2003</v>
      </c>
      <c r="K4983" s="604" t="s">
        <v>454</v>
      </c>
      <c r="L4983" s="604" t="s">
        <v>424</v>
      </c>
      <c r="M4983" s="604">
        <v>71</v>
      </c>
      <c r="N4983" s="604">
        <v>12037</v>
      </c>
      <c r="O4983" s="604">
        <v>5.9</v>
      </c>
      <c r="P4983" s="604" t="s">
        <v>48</v>
      </c>
    </row>
    <row r="4984" spans="9:16">
      <c r="I4984" s="578" t="str">
        <f t="shared" si="223"/>
        <v>2003depQuin 5Infant</v>
      </c>
      <c r="J4984" s="604">
        <v>2003</v>
      </c>
      <c r="K4984" s="604" t="s">
        <v>454</v>
      </c>
      <c r="L4984" s="604" t="s">
        <v>425</v>
      </c>
      <c r="M4984" s="604">
        <v>101</v>
      </c>
      <c r="N4984" s="604">
        <v>14244</v>
      </c>
      <c r="O4984" s="604">
        <v>7.1</v>
      </c>
      <c r="P4984" s="604" t="s">
        <v>48</v>
      </c>
    </row>
    <row r="4985" spans="9:16">
      <c r="I4985" s="578" t="str">
        <f t="shared" si="223"/>
        <v>2003depQuin 9Infant</v>
      </c>
      <c r="J4985" s="604">
        <v>2003</v>
      </c>
      <c r="K4985" s="604" t="s">
        <v>454</v>
      </c>
      <c r="L4985" s="604" t="s">
        <v>426</v>
      </c>
      <c r="M4985" s="604">
        <v>23</v>
      </c>
      <c r="N4985" s="604">
        <v>3650</v>
      </c>
      <c r="O4985" s="604" t="s">
        <v>119</v>
      </c>
      <c r="P4985" s="604" t="s">
        <v>48</v>
      </c>
    </row>
    <row r="4986" spans="9:16">
      <c r="I4986" s="578" t="str">
        <f t="shared" si="223"/>
        <v>2004depQuin 1Infant</v>
      </c>
      <c r="J4986" s="604">
        <v>2004</v>
      </c>
      <c r="K4986" s="604" t="s">
        <v>454</v>
      </c>
      <c r="L4986" s="604" t="s">
        <v>421</v>
      </c>
      <c r="M4986" s="604">
        <v>32</v>
      </c>
      <c r="N4986" s="604">
        <v>8248</v>
      </c>
      <c r="O4986" s="604">
        <v>3.9</v>
      </c>
      <c r="P4986" s="604" t="s">
        <v>48</v>
      </c>
    </row>
    <row r="4987" spans="9:16">
      <c r="I4987" s="578" t="str">
        <f t="shared" si="223"/>
        <v>2004depQuin 2Infant</v>
      </c>
      <c r="J4987" s="604">
        <v>2004</v>
      </c>
      <c r="K4987" s="604" t="s">
        <v>454</v>
      </c>
      <c r="L4987" s="604" t="s">
        <v>422</v>
      </c>
      <c r="M4987" s="604">
        <v>44</v>
      </c>
      <c r="N4987" s="604">
        <v>8758</v>
      </c>
      <c r="O4987" s="604">
        <v>5</v>
      </c>
      <c r="P4987" s="604" t="s">
        <v>48</v>
      </c>
    </row>
    <row r="4988" spans="9:16">
      <c r="I4988" s="578" t="str">
        <f t="shared" si="223"/>
        <v>2004depQuin 3Infant</v>
      </c>
      <c r="J4988" s="604">
        <v>2004</v>
      </c>
      <c r="K4988" s="604" t="s">
        <v>454</v>
      </c>
      <c r="L4988" s="604" t="s">
        <v>423</v>
      </c>
      <c r="M4988" s="604">
        <v>46</v>
      </c>
      <c r="N4988" s="604">
        <v>10519</v>
      </c>
      <c r="O4988" s="604">
        <v>4.4000000000000004</v>
      </c>
      <c r="P4988" s="604" t="s">
        <v>48</v>
      </c>
    </row>
    <row r="4989" spans="9:16">
      <c r="I4989" s="578" t="str">
        <f t="shared" si="223"/>
        <v>2004depQuin 4Infant</v>
      </c>
      <c r="J4989" s="604">
        <v>2004</v>
      </c>
      <c r="K4989" s="604" t="s">
        <v>454</v>
      </c>
      <c r="L4989" s="604" t="s">
        <v>424</v>
      </c>
      <c r="M4989" s="604">
        <v>72</v>
      </c>
      <c r="N4989" s="604">
        <v>12617</v>
      </c>
      <c r="O4989" s="604">
        <v>5.7</v>
      </c>
      <c r="P4989" s="604" t="s">
        <v>48</v>
      </c>
    </row>
    <row r="4990" spans="9:16">
      <c r="I4990" s="578" t="str">
        <f t="shared" si="223"/>
        <v>2004depQuin 5Infant</v>
      </c>
      <c r="J4990" s="604">
        <v>2004</v>
      </c>
      <c r="K4990" s="604" t="s">
        <v>454</v>
      </c>
      <c r="L4990" s="604" t="s">
        <v>425</v>
      </c>
      <c r="M4990" s="604">
        <v>131</v>
      </c>
      <c r="N4990" s="604">
        <v>14784</v>
      </c>
      <c r="O4990" s="604">
        <v>8.9</v>
      </c>
      <c r="P4990" s="604" t="s">
        <v>48</v>
      </c>
    </row>
    <row r="4991" spans="9:16">
      <c r="I4991" s="578" t="str">
        <f t="shared" si="223"/>
        <v>2004depQuin 9Infant</v>
      </c>
      <c r="J4991" s="604">
        <v>2004</v>
      </c>
      <c r="K4991" s="604" t="s">
        <v>454</v>
      </c>
      <c r="L4991" s="604" t="s">
        <v>426</v>
      </c>
      <c r="M4991" s="604">
        <v>21</v>
      </c>
      <c r="N4991" s="604">
        <v>3797</v>
      </c>
      <c r="O4991" s="604" t="s">
        <v>119</v>
      </c>
      <c r="P4991" s="604" t="s">
        <v>48</v>
      </c>
    </row>
    <row r="4992" spans="9:16">
      <c r="I4992" s="578" t="str">
        <f t="shared" si="223"/>
        <v>2005depQuin 1Infant</v>
      </c>
      <c r="J4992" s="604">
        <v>2005</v>
      </c>
      <c r="K4992" s="604" t="s">
        <v>454</v>
      </c>
      <c r="L4992" s="604" t="s">
        <v>421</v>
      </c>
      <c r="M4992" s="604">
        <v>26</v>
      </c>
      <c r="N4992" s="604">
        <v>8469</v>
      </c>
      <c r="O4992" s="604">
        <v>3.1</v>
      </c>
      <c r="P4992" s="604" t="s">
        <v>48</v>
      </c>
    </row>
    <row r="4993" spans="9:16">
      <c r="I4993" s="578" t="str">
        <f t="shared" si="223"/>
        <v>2005depQuin 2Infant</v>
      </c>
      <c r="J4993" s="604">
        <v>2005</v>
      </c>
      <c r="K4993" s="604" t="s">
        <v>454</v>
      </c>
      <c r="L4993" s="604" t="s">
        <v>422</v>
      </c>
      <c r="M4993" s="604">
        <v>36</v>
      </c>
      <c r="N4993" s="604">
        <v>8862</v>
      </c>
      <c r="O4993" s="604">
        <v>4.0999999999999996</v>
      </c>
      <c r="P4993" s="604" t="s">
        <v>48</v>
      </c>
    </row>
    <row r="4994" spans="9:16">
      <c r="I4994" s="578" t="str">
        <f t="shared" si="223"/>
        <v>2005depQuin 3Infant</v>
      </c>
      <c r="J4994" s="604">
        <v>2005</v>
      </c>
      <c r="K4994" s="604" t="s">
        <v>454</v>
      </c>
      <c r="L4994" s="604" t="s">
        <v>423</v>
      </c>
      <c r="M4994" s="604">
        <v>37</v>
      </c>
      <c r="N4994" s="604">
        <v>10417</v>
      </c>
      <c r="O4994" s="604">
        <v>3.6</v>
      </c>
      <c r="P4994" s="604" t="s">
        <v>48</v>
      </c>
    </row>
    <row r="4995" spans="9:16">
      <c r="I4995" s="578" t="str">
        <f t="shared" si="223"/>
        <v>2005depQuin 4Infant</v>
      </c>
      <c r="J4995" s="604">
        <v>2005</v>
      </c>
      <c r="K4995" s="604" t="s">
        <v>454</v>
      </c>
      <c r="L4995" s="604" t="s">
        <v>424</v>
      </c>
      <c r="M4995" s="604">
        <v>64</v>
      </c>
      <c r="N4995" s="604">
        <v>12478</v>
      </c>
      <c r="O4995" s="604">
        <v>5.0999999999999996</v>
      </c>
      <c r="P4995" s="604" t="s">
        <v>48</v>
      </c>
    </row>
    <row r="4996" spans="9:16">
      <c r="I4996" s="578" t="str">
        <f t="shared" ref="I4996:I5059" si="224">J4996&amp;K4996&amp;L4996&amp;P4996</f>
        <v>2005depQuin 5Infant</v>
      </c>
      <c r="J4996" s="604">
        <v>2005</v>
      </c>
      <c r="K4996" s="604" t="s">
        <v>454</v>
      </c>
      <c r="L4996" s="604" t="s">
        <v>425</v>
      </c>
      <c r="M4996" s="604">
        <v>117</v>
      </c>
      <c r="N4996" s="604">
        <v>14813</v>
      </c>
      <c r="O4996" s="604">
        <v>7.9</v>
      </c>
      <c r="P4996" s="604" t="s">
        <v>48</v>
      </c>
    </row>
    <row r="4997" spans="9:16">
      <c r="I4997" s="578" t="str">
        <f t="shared" si="224"/>
        <v>2005depQuin 9Infant</v>
      </c>
      <c r="J4997" s="604">
        <v>2005</v>
      </c>
      <c r="K4997" s="604" t="s">
        <v>454</v>
      </c>
      <c r="L4997" s="604" t="s">
        <v>426</v>
      </c>
      <c r="M4997" s="604">
        <v>14</v>
      </c>
      <c r="N4997" s="604">
        <v>3688</v>
      </c>
      <c r="O4997" s="604" t="s">
        <v>119</v>
      </c>
      <c r="P4997" s="604" t="s">
        <v>48</v>
      </c>
    </row>
    <row r="4998" spans="9:16">
      <c r="I4998" s="578" t="str">
        <f t="shared" si="224"/>
        <v>2006depQuin 1Infant</v>
      </c>
      <c r="J4998" s="604">
        <v>2006</v>
      </c>
      <c r="K4998" s="604" t="s">
        <v>454</v>
      </c>
      <c r="L4998" s="604" t="s">
        <v>421</v>
      </c>
      <c r="M4998" s="604">
        <v>26</v>
      </c>
      <c r="N4998" s="604">
        <v>8545</v>
      </c>
      <c r="O4998" s="604">
        <v>3</v>
      </c>
      <c r="P4998" s="604" t="s">
        <v>48</v>
      </c>
    </row>
    <row r="4999" spans="9:16">
      <c r="I4999" s="578" t="str">
        <f t="shared" si="224"/>
        <v>2006depQuin 2Infant</v>
      </c>
      <c r="J4999" s="604">
        <v>2006</v>
      </c>
      <c r="K4999" s="604" t="s">
        <v>454</v>
      </c>
      <c r="L4999" s="604" t="s">
        <v>422</v>
      </c>
      <c r="M4999" s="604">
        <v>31</v>
      </c>
      <c r="N4999" s="604">
        <v>8970</v>
      </c>
      <c r="O4999" s="604">
        <v>3.5</v>
      </c>
      <c r="P4999" s="604" t="s">
        <v>48</v>
      </c>
    </row>
    <row r="5000" spans="9:16">
      <c r="I5000" s="578" t="str">
        <f t="shared" si="224"/>
        <v>2006depQuin 3Infant</v>
      </c>
      <c r="J5000" s="604">
        <v>2006</v>
      </c>
      <c r="K5000" s="604" t="s">
        <v>454</v>
      </c>
      <c r="L5000" s="604" t="s">
        <v>423</v>
      </c>
      <c r="M5000" s="604">
        <v>45</v>
      </c>
      <c r="N5000" s="604">
        <v>10890</v>
      </c>
      <c r="O5000" s="604">
        <v>4.0999999999999996</v>
      </c>
      <c r="P5000" s="604" t="s">
        <v>48</v>
      </c>
    </row>
    <row r="5001" spans="9:16">
      <c r="I5001" s="578" t="str">
        <f t="shared" si="224"/>
        <v>2006depQuin 4Infant</v>
      </c>
      <c r="J5001" s="604">
        <v>2006</v>
      </c>
      <c r="K5001" s="604" t="s">
        <v>454</v>
      </c>
      <c r="L5001" s="604" t="s">
        <v>424</v>
      </c>
      <c r="M5001" s="604">
        <v>58</v>
      </c>
      <c r="N5001" s="604">
        <v>12831</v>
      </c>
      <c r="O5001" s="604">
        <v>4.5</v>
      </c>
      <c r="P5001" s="604" t="s">
        <v>48</v>
      </c>
    </row>
    <row r="5002" spans="9:16">
      <c r="I5002" s="578" t="str">
        <f t="shared" si="224"/>
        <v>2006depQuin 5Infant</v>
      </c>
      <c r="J5002" s="604">
        <v>2006</v>
      </c>
      <c r="K5002" s="604" t="s">
        <v>454</v>
      </c>
      <c r="L5002" s="604" t="s">
        <v>425</v>
      </c>
      <c r="M5002" s="604">
        <v>127</v>
      </c>
      <c r="N5002" s="604">
        <v>15033</v>
      </c>
      <c r="O5002" s="604">
        <v>8.4</v>
      </c>
      <c r="P5002" s="604" t="s">
        <v>48</v>
      </c>
    </row>
    <row r="5003" spans="9:16">
      <c r="I5003" s="578" t="str">
        <f t="shared" si="224"/>
        <v>2006depQuin 9Infant</v>
      </c>
      <c r="J5003" s="604">
        <v>2006</v>
      </c>
      <c r="K5003" s="604" t="s">
        <v>454</v>
      </c>
      <c r="L5003" s="604" t="s">
        <v>426</v>
      </c>
      <c r="M5003" s="604">
        <v>21</v>
      </c>
      <c r="N5003" s="604">
        <v>4005</v>
      </c>
      <c r="O5003" s="604" t="s">
        <v>119</v>
      </c>
      <c r="P5003" s="604" t="s">
        <v>48</v>
      </c>
    </row>
    <row r="5004" spans="9:16">
      <c r="I5004" s="578" t="str">
        <f t="shared" si="224"/>
        <v>2007depQuin 1Infant</v>
      </c>
      <c r="J5004" s="604">
        <v>2007</v>
      </c>
      <c r="K5004" s="604" t="s">
        <v>454</v>
      </c>
      <c r="L5004" s="604" t="s">
        <v>421</v>
      </c>
      <c r="M5004" s="604">
        <v>19</v>
      </c>
      <c r="N5004" s="604">
        <v>9191</v>
      </c>
      <c r="O5004" s="604">
        <v>2.1</v>
      </c>
      <c r="P5004" s="604" t="s">
        <v>48</v>
      </c>
    </row>
    <row r="5005" spans="9:16">
      <c r="I5005" s="578" t="str">
        <f t="shared" si="224"/>
        <v>2007depQuin 2Infant</v>
      </c>
      <c r="J5005" s="604">
        <v>2007</v>
      </c>
      <c r="K5005" s="604" t="s">
        <v>454</v>
      </c>
      <c r="L5005" s="604" t="s">
        <v>422</v>
      </c>
      <c r="M5005" s="604">
        <v>42</v>
      </c>
      <c r="N5005" s="604">
        <v>9712</v>
      </c>
      <c r="O5005" s="604">
        <v>4.3</v>
      </c>
      <c r="P5005" s="604" t="s">
        <v>48</v>
      </c>
    </row>
    <row r="5006" spans="9:16">
      <c r="I5006" s="578" t="str">
        <f t="shared" si="224"/>
        <v>2007depQuin 3Infant</v>
      </c>
      <c r="J5006" s="604">
        <v>2007</v>
      </c>
      <c r="K5006" s="604" t="s">
        <v>454</v>
      </c>
      <c r="L5006" s="604" t="s">
        <v>423</v>
      </c>
      <c r="M5006" s="604">
        <v>48</v>
      </c>
      <c r="N5006" s="604">
        <v>11599</v>
      </c>
      <c r="O5006" s="604">
        <v>4.0999999999999996</v>
      </c>
      <c r="P5006" s="604" t="s">
        <v>48</v>
      </c>
    </row>
    <row r="5007" spans="9:16">
      <c r="I5007" s="578" t="str">
        <f t="shared" si="224"/>
        <v>2007depQuin 4Infant</v>
      </c>
      <c r="J5007" s="604">
        <v>2007</v>
      </c>
      <c r="K5007" s="604" t="s">
        <v>454</v>
      </c>
      <c r="L5007" s="604" t="s">
        <v>424</v>
      </c>
      <c r="M5007" s="604">
        <v>67</v>
      </c>
      <c r="N5007" s="604">
        <v>14079</v>
      </c>
      <c r="O5007" s="604">
        <v>4.8</v>
      </c>
      <c r="P5007" s="604" t="s">
        <v>48</v>
      </c>
    </row>
    <row r="5008" spans="9:16">
      <c r="I5008" s="578" t="str">
        <f t="shared" si="224"/>
        <v>2007depQuin 5Infant</v>
      </c>
      <c r="J5008" s="604">
        <v>2007</v>
      </c>
      <c r="K5008" s="604" t="s">
        <v>454</v>
      </c>
      <c r="L5008" s="604" t="s">
        <v>425</v>
      </c>
      <c r="M5008" s="604">
        <v>121</v>
      </c>
      <c r="N5008" s="604">
        <v>16131</v>
      </c>
      <c r="O5008" s="604">
        <v>7.5</v>
      </c>
      <c r="P5008" s="604" t="s">
        <v>48</v>
      </c>
    </row>
    <row r="5009" spans="9:16">
      <c r="I5009" s="578" t="str">
        <f t="shared" si="224"/>
        <v>2007depQuin 9Infant</v>
      </c>
      <c r="J5009" s="604">
        <v>2007</v>
      </c>
      <c r="K5009" s="604" t="s">
        <v>454</v>
      </c>
      <c r="L5009" s="604" t="s">
        <v>426</v>
      </c>
      <c r="M5009" s="604">
        <v>15</v>
      </c>
      <c r="N5009" s="604">
        <v>4409</v>
      </c>
      <c r="O5009" s="604" t="s">
        <v>119</v>
      </c>
      <c r="P5009" s="604" t="s">
        <v>48</v>
      </c>
    </row>
    <row r="5010" spans="9:16">
      <c r="I5010" s="578" t="str">
        <f t="shared" si="224"/>
        <v>2008depQuin 1Infant</v>
      </c>
      <c r="J5010" s="604">
        <v>2008</v>
      </c>
      <c r="K5010" s="604" t="s">
        <v>454</v>
      </c>
      <c r="L5010" s="604" t="s">
        <v>421</v>
      </c>
      <c r="M5010" s="604">
        <v>28</v>
      </c>
      <c r="N5010" s="604">
        <v>9619</v>
      </c>
      <c r="O5010" s="604">
        <v>2.9</v>
      </c>
      <c r="P5010" s="604" t="s">
        <v>48</v>
      </c>
    </row>
    <row r="5011" spans="9:16">
      <c r="I5011" s="578" t="str">
        <f t="shared" si="224"/>
        <v>2008depQuin 2Infant</v>
      </c>
      <c r="J5011" s="604">
        <v>2008</v>
      </c>
      <c r="K5011" s="604" t="s">
        <v>454</v>
      </c>
      <c r="L5011" s="604" t="s">
        <v>422</v>
      </c>
      <c r="M5011" s="604">
        <v>32</v>
      </c>
      <c r="N5011" s="604">
        <v>10484</v>
      </c>
      <c r="O5011" s="604">
        <v>3.1</v>
      </c>
      <c r="P5011" s="604" t="s">
        <v>48</v>
      </c>
    </row>
    <row r="5012" spans="9:16">
      <c r="I5012" s="578" t="str">
        <f t="shared" si="224"/>
        <v>2008depQuin 3Infant</v>
      </c>
      <c r="J5012" s="604">
        <v>2008</v>
      </c>
      <c r="K5012" s="604" t="s">
        <v>454</v>
      </c>
      <c r="L5012" s="604" t="s">
        <v>423</v>
      </c>
      <c r="M5012" s="604">
        <v>49</v>
      </c>
      <c r="N5012" s="604">
        <v>12163</v>
      </c>
      <c r="O5012" s="604">
        <v>4</v>
      </c>
      <c r="P5012" s="604" t="s">
        <v>48</v>
      </c>
    </row>
    <row r="5013" spans="9:16">
      <c r="I5013" s="578" t="str">
        <f t="shared" si="224"/>
        <v>2008depQuin 4Infant</v>
      </c>
      <c r="J5013" s="604">
        <v>2008</v>
      </c>
      <c r="K5013" s="604" t="s">
        <v>454</v>
      </c>
      <c r="L5013" s="604" t="s">
        <v>424</v>
      </c>
      <c r="M5013" s="604">
        <v>71</v>
      </c>
      <c r="N5013" s="604">
        <v>14806</v>
      </c>
      <c r="O5013" s="604">
        <v>4.8</v>
      </c>
      <c r="P5013" s="604" t="s">
        <v>48</v>
      </c>
    </row>
    <row r="5014" spans="9:16">
      <c r="I5014" s="578" t="str">
        <f t="shared" si="224"/>
        <v>2008depQuin 5Infant</v>
      </c>
      <c r="J5014" s="604">
        <v>2008</v>
      </c>
      <c r="K5014" s="604" t="s">
        <v>454</v>
      </c>
      <c r="L5014" s="604" t="s">
        <v>425</v>
      </c>
      <c r="M5014" s="604">
        <v>116</v>
      </c>
      <c r="N5014" s="604">
        <v>17965</v>
      </c>
      <c r="O5014" s="604">
        <v>6.5</v>
      </c>
      <c r="P5014" s="604" t="s">
        <v>48</v>
      </c>
    </row>
    <row r="5015" spans="9:16">
      <c r="I5015" s="578" t="str">
        <f t="shared" si="224"/>
        <v>2008depQuin 9Infant</v>
      </c>
      <c r="J5015" s="604">
        <v>2008</v>
      </c>
      <c r="K5015" s="604" t="s">
        <v>454</v>
      </c>
      <c r="L5015" s="604" t="s">
        <v>426</v>
      </c>
      <c r="M5015" s="604">
        <v>27</v>
      </c>
      <c r="N5015" s="604">
        <v>296</v>
      </c>
      <c r="O5015" s="604" t="s">
        <v>119</v>
      </c>
      <c r="P5015" s="604" t="s">
        <v>48</v>
      </c>
    </row>
    <row r="5016" spans="9:16">
      <c r="I5016" s="578" t="str">
        <f t="shared" si="224"/>
        <v>2009depQuin 1Infant</v>
      </c>
      <c r="J5016" s="604">
        <v>2009</v>
      </c>
      <c r="K5016" s="604" t="s">
        <v>454</v>
      </c>
      <c r="L5016" s="604" t="s">
        <v>421</v>
      </c>
      <c r="M5016" s="604">
        <v>31</v>
      </c>
      <c r="N5016" s="604">
        <v>9377</v>
      </c>
      <c r="O5016" s="604">
        <v>3.3</v>
      </c>
      <c r="P5016" s="604" t="s">
        <v>48</v>
      </c>
    </row>
    <row r="5017" spans="9:16">
      <c r="I5017" s="578" t="str">
        <f t="shared" si="224"/>
        <v>2009depQuin 2Infant</v>
      </c>
      <c r="J5017" s="604">
        <v>2009</v>
      </c>
      <c r="K5017" s="604" t="s">
        <v>454</v>
      </c>
      <c r="L5017" s="604" t="s">
        <v>422</v>
      </c>
      <c r="M5017" s="604">
        <v>33</v>
      </c>
      <c r="N5017" s="604">
        <v>10051</v>
      </c>
      <c r="O5017" s="604">
        <v>3.3</v>
      </c>
      <c r="P5017" s="604" t="s">
        <v>48</v>
      </c>
    </row>
    <row r="5018" spans="9:16">
      <c r="I5018" s="578" t="str">
        <f t="shared" si="224"/>
        <v>2009depQuin 3Infant</v>
      </c>
      <c r="J5018" s="604">
        <v>2009</v>
      </c>
      <c r="K5018" s="604" t="s">
        <v>454</v>
      </c>
      <c r="L5018" s="604" t="s">
        <v>423</v>
      </c>
      <c r="M5018" s="604">
        <v>45</v>
      </c>
      <c r="N5018" s="604">
        <v>11836</v>
      </c>
      <c r="O5018" s="604">
        <v>3.8</v>
      </c>
      <c r="P5018" s="604" t="s">
        <v>48</v>
      </c>
    </row>
    <row r="5019" spans="9:16">
      <c r="I5019" s="578" t="str">
        <f t="shared" si="224"/>
        <v>2009depQuin 4Infant</v>
      </c>
      <c r="J5019" s="604">
        <v>2009</v>
      </c>
      <c r="K5019" s="604" t="s">
        <v>454</v>
      </c>
      <c r="L5019" s="604" t="s">
        <v>424</v>
      </c>
      <c r="M5019" s="604">
        <v>69</v>
      </c>
      <c r="N5019" s="604">
        <v>14590</v>
      </c>
      <c r="O5019" s="604">
        <v>4.7</v>
      </c>
      <c r="P5019" s="604" t="s">
        <v>48</v>
      </c>
    </row>
    <row r="5020" spans="9:16">
      <c r="I5020" s="578" t="str">
        <f t="shared" si="224"/>
        <v>2009depQuin 5Infant</v>
      </c>
      <c r="J5020" s="604">
        <v>2009</v>
      </c>
      <c r="K5020" s="604" t="s">
        <v>454</v>
      </c>
      <c r="L5020" s="604" t="s">
        <v>425</v>
      </c>
      <c r="M5020" s="604">
        <v>149</v>
      </c>
      <c r="N5020" s="604">
        <v>17157</v>
      </c>
      <c r="O5020" s="604">
        <v>8.6999999999999993</v>
      </c>
      <c r="P5020" s="604" t="s">
        <v>48</v>
      </c>
    </row>
    <row r="5021" spans="9:16">
      <c r="I5021" s="578" t="str">
        <f t="shared" si="224"/>
        <v>2009depQuin 9Infant</v>
      </c>
      <c r="J5021" s="604">
        <v>2009</v>
      </c>
      <c r="K5021" s="604" t="s">
        <v>454</v>
      </c>
      <c r="L5021" s="604" t="s">
        <v>426</v>
      </c>
      <c r="M5021" s="604">
        <v>5</v>
      </c>
      <c r="N5021" s="604">
        <v>274</v>
      </c>
      <c r="O5021" s="604" t="s">
        <v>119</v>
      </c>
      <c r="P5021" s="604" t="s">
        <v>48</v>
      </c>
    </row>
    <row r="5022" spans="9:16">
      <c r="I5022" s="578" t="str">
        <f t="shared" si="224"/>
        <v>2010depQuin 1Infant</v>
      </c>
      <c r="J5022" s="604">
        <v>2010</v>
      </c>
      <c r="K5022" s="604" t="s">
        <v>454</v>
      </c>
      <c r="L5022" s="604" t="s">
        <v>421</v>
      </c>
      <c r="M5022" s="604">
        <v>30</v>
      </c>
      <c r="N5022" s="604">
        <v>8682</v>
      </c>
      <c r="O5022" s="604">
        <v>3.5</v>
      </c>
      <c r="P5022" s="604" t="s">
        <v>48</v>
      </c>
    </row>
    <row r="5023" spans="9:16">
      <c r="I5023" s="578" t="str">
        <f t="shared" si="224"/>
        <v>2010depQuin 2Infant</v>
      </c>
      <c r="J5023" s="604">
        <v>2010</v>
      </c>
      <c r="K5023" s="604" t="s">
        <v>454</v>
      </c>
      <c r="L5023" s="604" t="s">
        <v>422</v>
      </c>
      <c r="M5023" s="604">
        <v>35</v>
      </c>
      <c r="N5023" s="604">
        <v>9539</v>
      </c>
      <c r="O5023" s="604">
        <v>3.7</v>
      </c>
      <c r="P5023" s="604" t="s">
        <v>48</v>
      </c>
    </row>
    <row r="5024" spans="9:16">
      <c r="I5024" s="578" t="str">
        <f t="shared" si="224"/>
        <v>2010depQuin 3Infant</v>
      </c>
      <c r="J5024" s="604">
        <v>2010</v>
      </c>
      <c r="K5024" s="604" t="s">
        <v>454</v>
      </c>
      <c r="L5024" s="604" t="s">
        <v>423</v>
      </c>
      <c r="M5024" s="604">
        <v>56</v>
      </c>
      <c r="N5024" s="604">
        <v>11388</v>
      </c>
      <c r="O5024" s="604">
        <v>4.9000000000000004</v>
      </c>
      <c r="P5024" s="604" t="s">
        <v>48</v>
      </c>
    </row>
    <row r="5025" spans="9:16">
      <c r="I5025" s="578" t="str">
        <f t="shared" si="224"/>
        <v>2010depQuin 4Infant</v>
      </c>
      <c r="J5025" s="604">
        <v>2010</v>
      </c>
      <c r="K5025" s="604" t="s">
        <v>454</v>
      </c>
      <c r="L5025" s="604" t="s">
        <v>424</v>
      </c>
      <c r="M5025" s="604">
        <v>74</v>
      </c>
      <c r="N5025" s="604">
        <v>13795</v>
      </c>
      <c r="O5025" s="604">
        <v>5.4</v>
      </c>
      <c r="P5025" s="604" t="s">
        <v>48</v>
      </c>
    </row>
    <row r="5026" spans="9:16">
      <c r="I5026" s="578" t="str">
        <f t="shared" si="224"/>
        <v>2010depQuin 5Infant</v>
      </c>
      <c r="J5026" s="604">
        <v>2010</v>
      </c>
      <c r="K5026" s="604" t="s">
        <v>454</v>
      </c>
      <c r="L5026" s="604" t="s">
        <v>425</v>
      </c>
      <c r="M5026" s="604">
        <v>153</v>
      </c>
      <c r="N5026" s="604">
        <v>18469</v>
      </c>
      <c r="O5026" s="604">
        <v>8.3000000000000007</v>
      </c>
      <c r="P5026" s="604" t="s">
        <v>48</v>
      </c>
    </row>
    <row r="5027" spans="9:16">
      <c r="I5027" s="578" t="str">
        <f t="shared" si="224"/>
        <v>2010depQuin 9Infant</v>
      </c>
      <c r="J5027" s="604">
        <v>2010</v>
      </c>
      <c r="K5027" s="604" t="s">
        <v>454</v>
      </c>
      <c r="L5027" s="604" t="s">
        <v>426</v>
      </c>
      <c r="M5027" s="604">
        <v>13</v>
      </c>
      <c r="N5027" s="604">
        <v>2826</v>
      </c>
      <c r="O5027" s="604" t="s">
        <v>119</v>
      </c>
      <c r="P5027" s="604" t="s">
        <v>48</v>
      </c>
    </row>
    <row r="5028" spans="9:16">
      <c r="I5028" s="578" t="str">
        <f t="shared" si="224"/>
        <v>2011depQuin 1Infant</v>
      </c>
      <c r="J5028" s="604">
        <v>2011</v>
      </c>
      <c r="K5028" s="604" t="s">
        <v>454</v>
      </c>
      <c r="L5028" s="604" t="s">
        <v>421</v>
      </c>
      <c r="M5028" s="604">
        <v>14</v>
      </c>
      <c r="N5028" s="604">
        <v>8387</v>
      </c>
      <c r="O5028" s="604">
        <v>1.7</v>
      </c>
      <c r="P5028" s="604" t="s">
        <v>48</v>
      </c>
    </row>
    <row r="5029" spans="9:16">
      <c r="I5029" s="578" t="str">
        <f t="shared" si="224"/>
        <v>2011depQuin 2Infant</v>
      </c>
      <c r="J5029" s="604">
        <v>2011</v>
      </c>
      <c r="K5029" s="604" t="s">
        <v>454</v>
      </c>
      <c r="L5029" s="604" t="s">
        <v>422</v>
      </c>
      <c r="M5029" s="604">
        <v>34</v>
      </c>
      <c r="N5029" s="604">
        <v>9337</v>
      </c>
      <c r="O5029" s="604">
        <v>3.6</v>
      </c>
      <c r="P5029" s="604" t="s">
        <v>48</v>
      </c>
    </row>
    <row r="5030" spans="9:16">
      <c r="I5030" s="578" t="str">
        <f t="shared" si="224"/>
        <v>2011depQuin 3Infant</v>
      </c>
      <c r="J5030" s="604">
        <v>2011</v>
      </c>
      <c r="K5030" s="604" t="s">
        <v>454</v>
      </c>
      <c r="L5030" s="604" t="s">
        <v>423</v>
      </c>
      <c r="M5030" s="604">
        <v>48</v>
      </c>
      <c r="N5030" s="604">
        <v>10802</v>
      </c>
      <c r="O5030" s="604">
        <v>4.4000000000000004</v>
      </c>
      <c r="P5030" s="604" t="s">
        <v>48</v>
      </c>
    </row>
    <row r="5031" spans="9:16">
      <c r="I5031" s="578" t="str">
        <f t="shared" si="224"/>
        <v>2011depQuin 4Infant</v>
      </c>
      <c r="J5031" s="604">
        <v>2011</v>
      </c>
      <c r="K5031" s="604" t="s">
        <v>454</v>
      </c>
      <c r="L5031" s="604" t="s">
        <v>424</v>
      </c>
      <c r="M5031" s="604">
        <v>66</v>
      </c>
      <c r="N5031" s="604">
        <v>13277</v>
      </c>
      <c r="O5031" s="604">
        <v>5</v>
      </c>
      <c r="P5031" s="604" t="s">
        <v>48</v>
      </c>
    </row>
    <row r="5032" spans="9:16">
      <c r="I5032" s="578" t="str">
        <f t="shared" si="224"/>
        <v>2011depQuin 5Infant</v>
      </c>
      <c r="J5032" s="604">
        <v>2011</v>
      </c>
      <c r="K5032" s="604" t="s">
        <v>454</v>
      </c>
      <c r="L5032" s="604" t="s">
        <v>425</v>
      </c>
      <c r="M5032" s="604">
        <v>152</v>
      </c>
      <c r="N5032" s="604">
        <v>17705</v>
      </c>
      <c r="O5032" s="604">
        <v>8.6</v>
      </c>
      <c r="P5032" s="604" t="s">
        <v>48</v>
      </c>
    </row>
    <row r="5033" spans="9:16">
      <c r="I5033" s="578" t="str">
        <f t="shared" si="224"/>
        <v>2011depQuin 9Infant</v>
      </c>
      <c r="J5033" s="604">
        <v>2011</v>
      </c>
      <c r="K5033" s="604" t="s">
        <v>454</v>
      </c>
      <c r="L5033" s="604" t="s">
        <v>426</v>
      </c>
      <c r="M5033" s="604">
        <v>8</v>
      </c>
      <c r="N5033" s="604">
        <v>2666</v>
      </c>
      <c r="O5033" s="604" t="s">
        <v>119</v>
      </c>
      <c r="P5033" s="604" t="s">
        <v>48</v>
      </c>
    </row>
    <row r="5034" spans="9:16">
      <c r="I5034" s="578" t="str">
        <f t="shared" si="224"/>
        <v>2012depQuin 1Infant</v>
      </c>
      <c r="J5034" s="604">
        <v>2012</v>
      </c>
      <c r="K5034" s="604" t="s">
        <v>454</v>
      </c>
      <c r="L5034" s="604" t="s">
        <v>421</v>
      </c>
      <c r="M5034" s="604">
        <v>26</v>
      </c>
      <c r="N5034" s="604">
        <v>8301</v>
      </c>
      <c r="O5034" s="604">
        <v>3.1</v>
      </c>
      <c r="P5034" s="604" t="s">
        <v>48</v>
      </c>
    </row>
    <row r="5035" spans="9:16">
      <c r="I5035" s="578" t="str">
        <f t="shared" si="224"/>
        <v>2012depQuin 2Infant</v>
      </c>
      <c r="J5035" s="604">
        <v>2012</v>
      </c>
      <c r="K5035" s="604" t="s">
        <v>454</v>
      </c>
      <c r="L5035" s="604" t="s">
        <v>422</v>
      </c>
      <c r="M5035" s="604">
        <v>28</v>
      </c>
      <c r="N5035" s="604">
        <v>9356</v>
      </c>
      <c r="O5035" s="604">
        <v>3</v>
      </c>
      <c r="P5035" s="604" t="s">
        <v>48</v>
      </c>
    </row>
    <row r="5036" spans="9:16">
      <c r="I5036" s="578" t="str">
        <f t="shared" si="224"/>
        <v>2012depQuin 3Infant</v>
      </c>
      <c r="J5036" s="604">
        <v>2012</v>
      </c>
      <c r="K5036" s="604" t="s">
        <v>454</v>
      </c>
      <c r="L5036" s="604" t="s">
        <v>423</v>
      </c>
      <c r="M5036" s="604">
        <v>39</v>
      </c>
      <c r="N5036" s="604">
        <v>10749</v>
      </c>
      <c r="O5036" s="604">
        <v>3.6</v>
      </c>
      <c r="P5036" s="604" t="s">
        <v>48</v>
      </c>
    </row>
    <row r="5037" spans="9:16">
      <c r="I5037" s="578" t="str">
        <f t="shared" si="224"/>
        <v>2012depQuin 4Infant</v>
      </c>
      <c r="J5037" s="604">
        <v>2012</v>
      </c>
      <c r="K5037" s="604" t="s">
        <v>454</v>
      </c>
      <c r="L5037" s="604" t="s">
        <v>424</v>
      </c>
      <c r="M5037" s="604">
        <v>60</v>
      </c>
      <c r="N5037" s="604">
        <v>13313</v>
      </c>
      <c r="O5037" s="604">
        <v>4.5</v>
      </c>
      <c r="P5037" s="604" t="s">
        <v>48</v>
      </c>
    </row>
    <row r="5038" spans="9:16">
      <c r="I5038" s="578" t="str">
        <f t="shared" si="224"/>
        <v>2012depQuin 5Infant</v>
      </c>
      <c r="J5038" s="604">
        <v>2012</v>
      </c>
      <c r="K5038" s="604" t="s">
        <v>454</v>
      </c>
      <c r="L5038" s="604" t="s">
        <v>425</v>
      </c>
      <c r="M5038" s="604">
        <v>136</v>
      </c>
      <c r="N5038" s="604">
        <v>17671</v>
      </c>
      <c r="O5038" s="604">
        <v>7.7</v>
      </c>
      <c r="P5038" s="604" t="s">
        <v>48</v>
      </c>
    </row>
    <row r="5039" spans="9:16">
      <c r="I5039" s="578" t="str">
        <f t="shared" si="224"/>
        <v>2012depQuin 9Infant</v>
      </c>
      <c r="J5039" s="604">
        <v>2012</v>
      </c>
      <c r="K5039" s="604" t="s">
        <v>454</v>
      </c>
      <c r="L5039" s="604" t="s">
        <v>426</v>
      </c>
      <c r="M5039" s="604">
        <v>5</v>
      </c>
      <c r="N5039" s="604">
        <v>2645</v>
      </c>
      <c r="O5039" s="604" t="s">
        <v>119</v>
      </c>
      <c r="P5039" s="604" t="s">
        <v>48</v>
      </c>
    </row>
    <row r="5040" spans="9:16">
      <c r="I5040" s="578" t="str">
        <f t="shared" si="224"/>
        <v>2013depQuin 1Infant</v>
      </c>
      <c r="J5040" s="604">
        <v>2013</v>
      </c>
      <c r="K5040" s="604" t="s">
        <v>454</v>
      </c>
      <c r="L5040" s="604" t="s">
        <v>421</v>
      </c>
      <c r="M5040" s="604">
        <v>23</v>
      </c>
      <c r="N5040" s="604">
        <v>8187</v>
      </c>
      <c r="O5040" s="604">
        <v>2.8</v>
      </c>
      <c r="P5040" s="604" t="s">
        <v>48</v>
      </c>
    </row>
    <row r="5041" spans="9:16">
      <c r="I5041" s="578" t="str">
        <f t="shared" si="224"/>
        <v>2013depQuin 2Infant</v>
      </c>
      <c r="J5041" s="604">
        <v>2013</v>
      </c>
      <c r="K5041" s="604" t="s">
        <v>454</v>
      </c>
      <c r="L5041" s="604" t="s">
        <v>422</v>
      </c>
      <c r="M5041" s="604">
        <v>35</v>
      </c>
      <c r="N5041" s="604">
        <v>9257</v>
      </c>
      <c r="O5041" s="604">
        <v>3.8</v>
      </c>
      <c r="P5041" s="604" t="s">
        <v>48</v>
      </c>
    </row>
    <row r="5042" spans="9:16">
      <c r="I5042" s="578" t="str">
        <f t="shared" si="224"/>
        <v>2013depQuin 3Infant</v>
      </c>
      <c r="J5042" s="604">
        <v>2013</v>
      </c>
      <c r="K5042" s="604" t="s">
        <v>454</v>
      </c>
      <c r="L5042" s="604" t="s">
        <v>423</v>
      </c>
      <c r="M5042" s="604">
        <v>53</v>
      </c>
      <c r="N5042" s="604">
        <v>10314</v>
      </c>
      <c r="O5042" s="604">
        <v>5.0999999999999996</v>
      </c>
      <c r="P5042" s="604" t="s">
        <v>48</v>
      </c>
    </row>
    <row r="5043" spans="9:16">
      <c r="I5043" s="578" t="str">
        <f t="shared" si="224"/>
        <v>2013depQuin 4Infant</v>
      </c>
      <c r="J5043" s="604">
        <v>2013</v>
      </c>
      <c r="K5043" s="604" t="s">
        <v>454</v>
      </c>
      <c r="L5043" s="604" t="s">
        <v>424</v>
      </c>
      <c r="M5043" s="604">
        <v>58</v>
      </c>
      <c r="N5043" s="604">
        <v>12838</v>
      </c>
      <c r="O5043" s="604">
        <v>4.5</v>
      </c>
      <c r="P5043" s="604" t="s">
        <v>48</v>
      </c>
    </row>
    <row r="5044" spans="9:16">
      <c r="I5044" s="578" t="str">
        <f t="shared" si="224"/>
        <v>2013depQuin 5Infant</v>
      </c>
      <c r="J5044" s="604">
        <v>2013</v>
      </c>
      <c r="K5044" s="604" t="s">
        <v>454</v>
      </c>
      <c r="L5044" s="604" t="s">
        <v>425</v>
      </c>
      <c r="M5044" s="604">
        <v>121</v>
      </c>
      <c r="N5044" s="604">
        <v>16525</v>
      </c>
      <c r="O5044" s="604">
        <v>7.3</v>
      </c>
      <c r="P5044" s="604" t="s">
        <v>48</v>
      </c>
    </row>
    <row r="5045" spans="9:16">
      <c r="I5045" s="578" t="str">
        <f t="shared" si="224"/>
        <v>2013depQuin 9Infant</v>
      </c>
      <c r="J5045" s="604">
        <v>2013</v>
      </c>
      <c r="K5045" s="604" t="s">
        <v>454</v>
      </c>
      <c r="L5045" s="604" t="s">
        <v>426</v>
      </c>
      <c r="M5045" s="604">
        <v>6</v>
      </c>
      <c r="N5045" s="604">
        <v>2580</v>
      </c>
      <c r="O5045" s="604" t="s">
        <v>119</v>
      </c>
      <c r="P5045" s="604" t="s">
        <v>48</v>
      </c>
    </row>
    <row r="5046" spans="9:16">
      <c r="I5046" s="578" t="str">
        <f t="shared" si="224"/>
        <v>2014depQuin 1Infant</v>
      </c>
      <c r="J5046" s="604">
        <v>2014</v>
      </c>
      <c r="K5046" s="604" t="s">
        <v>454</v>
      </c>
      <c r="L5046" s="604" t="s">
        <v>421</v>
      </c>
      <c r="M5046" s="604">
        <v>29</v>
      </c>
      <c r="N5046" s="604">
        <v>8221</v>
      </c>
      <c r="O5046" s="604">
        <v>3.5</v>
      </c>
      <c r="P5046" s="604" t="s">
        <v>48</v>
      </c>
    </row>
    <row r="5047" spans="9:16">
      <c r="I5047" s="578" t="str">
        <f t="shared" si="224"/>
        <v>2014depQuin 2Infant</v>
      </c>
      <c r="J5047" s="604">
        <v>2014</v>
      </c>
      <c r="K5047" s="604" t="s">
        <v>454</v>
      </c>
      <c r="L5047" s="604" t="s">
        <v>422</v>
      </c>
      <c r="M5047" s="604">
        <v>25</v>
      </c>
      <c r="N5047" s="604">
        <v>8889</v>
      </c>
      <c r="O5047" s="604">
        <v>2.8</v>
      </c>
      <c r="P5047" s="604" t="s">
        <v>48</v>
      </c>
    </row>
    <row r="5048" spans="9:16">
      <c r="I5048" s="578" t="str">
        <f t="shared" si="224"/>
        <v>2014depQuin 3Infant</v>
      </c>
      <c r="J5048" s="604">
        <v>2014</v>
      </c>
      <c r="K5048" s="604" t="s">
        <v>454</v>
      </c>
      <c r="L5048" s="604" t="s">
        <v>423</v>
      </c>
      <c r="M5048" s="604">
        <v>51</v>
      </c>
      <c r="N5048" s="604">
        <v>10045</v>
      </c>
      <c r="O5048" s="604">
        <v>5.0999999999999996</v>
      </c>
      <c r="P5048" s="604" t="s">
        <v>48</v>
      </c>
    </row>
    <row r="5049" spans="9:16">
      <c r="I5049" s="578" t="str">
        <f t="shared" si="224"/>
        <v>2014depQuin 4Infant</v>
      </c>
      <c r="J5049" s="604">
        <v>2014</v>
      </c>
      <c r="K5049" s="604" t="s">
        <v>454</v>
      </c>
      <c r="L5049" s="604" t="s">
        <v>424</v>
      </c>
      <c r="M5049" s="604">
        <v>61</v>
      </c>
      <c r="N5049" s="604">
        <v>12442</v>
      </c>
      <c r="O5049" s="604">
        <v>4.9000000000000004</v>
      </c>
      <c r="P5049" s="604" t="s">
        <v>48</v>
      </c>
    </row>
    <row r="5050" spans="9:16">
      <c r="I5050" s="578" t="str">
        <f t="shared" si="224"/>
        <v>2014depQuin 5Infant</v>
      </c>
      <c r="J5050" s="604">
        <v>2014</v>
      </c>
      <c r="K5050" s="604" t="s">
        <v>454</v>
      </c>
      <c r="L5050" s="604" t="s">
        <v>425</v>
      </c>
      <c r="M5050" s="604">
        <v>153</v>
      </c>
      <c r="N5050" s="604">
        <v>16100</v>
      </c>
      <c r="O5050" s="604">
        <v>9.5</v>
      </c>
      <c r="P5050" s="604" t="s">
        <v>48</v>
      </c>
    </row>
    <row r="5051" spans="9:16">
      <c r="I5051" s="578" t="str">
        <f t="shared" si="224"/>
        <v>2014depQuin 9Infant</v>
      </c>
      <c r="J5051" s="604">
        <v>2014</v>
      </c>
      <c r="K5051" s="604" t="s">
        <v>454</v>
      </c>
      <c r="L5051" s="604" t="s">
        <v>426</v>
      </c>
      <c r="M5051" s="604">
        <v>14</v>
      </c>
      <c r="N5051" s="604">
        <v>2588</v>
      </c>
      <c r="O5051" s="604" t="s">
        <v>119</v>
      </c>
      <c r="P5051" s="604" t="s">
        <v>48</v>
      </c>
    </row>
    <row r="5052" spans="9:16">
      <c r="I5052" s="578" t="str">
        <f t="shared" si="224"/>
        <v>2015depQuin 1Infant</v>
      </c>
      <c r="J5052" s="604">
        <v>2015</v>
      </c>
      <c r="K5052" s="604" t="s">
        <v>454</v>
      </c>
      <c r="L5052" s="604" t="s">
        <v>421</v>
      </c>
      <c r="M5052" s="604">
        <v>28</v>
      </c>
      <c r="N5052" s="604">
        <v>9428</v>
      </c>
      <c r="O5052" s="604">
        <v>3</v>
      </c>
      <c r="P5052" s="604" t="s">
        <v>48</v>
      </c>
    </row>
    <row r="5053" spans="9:16">
      <c r="I5053" s="578" t="str">
        <f t="shared" si="224"/>
        <v>2015depQuin 2Infant</v>
      </c>
      <c r="J5053" s="604">
        <v>2015</v>
      </c>
      <c r="K5053" s="604" t="s">
        <v>454</v>
      </c>
      <c r="L5053" s="604" t="s">
        <v>422</v>
      </c>
      <c r="M5053" s="604">
        <v>30</v>
      </c>
      <c r="N5053" s="604">
        <v>10259</v>
      </c>
      <c r="O5053" s="604">
        <v>2.9</v>
      </c>
      <c r="P5053" s="604" t="s">
        <v>48</v>
      </c>
    </row>
    <row r="5054" spans="9:16">
      <c r="I5054" s="578" t="str">
        <f t="shared" si="224"/>
        <v>2015depQuin 3Infant</v>
      </c>
      <c r="J5054" s="604">
        <v>2015</v>
      </c>
      <c r="K5054" s="604" t="s">
        <v>454</v>
      </c>
      <c r="L5054" s="604" t="s">
        <v>423</v>
      </c>
      <c r="M5054" s="604">
        <v>43</v>
      </c>
      <c r="N5054" s="604">
        <v>11196</v>
      </c>
      <c r="O5054" s="604">
        <v>3.8</v>
      </c>
      <c r="P5054" s="604" t="s">
        <v>48</v>
      </c>
    </row>
    <row r="5055" spans="9:16">
      <c r="I5055" s="578" t="str">
        <f t="shared" si="224"/>
        <v>2015depQuin 4Infant</v>
      </c>
      <c r="J5055" s="604">
        <v>2015</v>
      </c>
      <c r="K5055" s="604" t="s">
        <v>454</v>
      </c>
      <c r="L5055" s="604" t="s">
        <v>424</v>
      </c>
      <c r="M5055" s="604">
        <v>57</v>
      </c>
      <c r="N5055" s="604">
        <v>13614</v>
      </c>
      <c r="O5055" s="604">
        <v>4.2</v>
      </c>
      <c r="P5055" s="604" t="s">
        <v>48</v>
      </c>
    </row>
    <row r="5056" spans="9:16">
      <c r="I5056" s="578" t="str">
        <f t="shared" si="224"/>
        <v>2015depQuin 5Infant</v>
      </c>
      <c r="J5056" s="604">
        <v>2015</v>
      </c>
      <c r="K5056" s="604" t="s">
        <v>454</v>
      </c>
      <c r="L5056" s="604" t="s">
        <v>425</v>
      </c>
      <c r="M5056" s="604">
        <v>101</v>
      </c>
      <c r="N5056" s="604">
        <v>17454</v>
      </c>
      <c r="O5056" s="604">
        <v>5.8</v>
      </c>
      <c r="P5056" s="604" t="s">
        <v>48</v>
      </c>
    </row>
    <row r="5057" spans="9:16">
      <c r="I5057" s="578" t="str">
        <f t="shared" si="224"/>
        <v>2015depQuin 9Infant</v>
      </c>
      <c r="J5057" s="604">
        <v>2015</v>
      </c>
      <c r="K5057" s="604" t="s">
        <v>454</v>
      </c>
      <c r="L5057" s="604" t="s">
        <v>426</v>
      </c>
      <c r="M5057" s="604">
        <v>7</v>
      </c>
      <c r="N5057" s="604">
        <v>171</v>
      </c>
      <c r="O5057" s="604" t="s">
        <v>119</v>
      </c>
      <c r="P5057" s="604" t="s">
        <v>48</v>
      </c>
    </row>
    <row r="5058" spans="9:16">
      <c r="I5058" s="578" t="str">
        <f t="shared" si="224"/>
        <v>2016depQuin 1Infant</v>
      </c>
      <c r="J5058" s="604">
        <v>2016</v>
      </c>
      <c r="K5058" s="604" t="s">
        <v>454</v>
      </c>
      <c r="L5058" s="604" t="s">
        <v>421</v>
      </c>
      <c r="M5058" s="604">
        <v>24</v>
      </c>
      <c r="N5058" s="604">
        <v>9194</v>
      </c>
      <c r="O5058" s="604">
        <v>2.6</v>
      </c>
      <c r="P5058" s="604" t="s">
        <v>48</v>
      </c>
    </row>
    <row r="5059" spans="9:16">
      <c r="I5059" s="578" t="str">
        <f t="shared" si="224"/>
        <v>2016depQuin 2Infant</v>
      </c>
      <c r="J5059" s="604">
        <v>2016</v>
      </c>
      <c r="K5059" s="604" t="s">
        <v>454</v>
      </c>
      <c r="L5059" s="604" t="s">
        <v>422</v>
      </c>
      <c r="M5059" s="604">
        <v>24</v>
      </c>
      <c r="N5059" s="604">
        <v>10123</v>
      </c>
      <c r="O5059" s="604">
        <v>2.4</v>
      </c>
      <c r="P5059" s="604" t="s">
        <v>48</v>
      </c>
    </row>
    <row r="5060" spans="9:16">
      <c r="I5060" s="578" t="str">
        <f t="shared" ref="I5060:I5123" si="225">J5060&amp;K5060&amp;L5060&amp;P5060</f>
        <v>2016depQuin 3Infant</v>
      </c>
      <c r="J5060" s="604">
        <v>2016</v>
      </c>
      <c r="K5060" s="604" t="s">
        <v>454</v>
      </c>
      <c r="L5060" s="604" t="s">
        <v>423</v>
      </c>
      <c r="M5060" s="604">
        <v>32</v>
      </c>
      <c r="N5060" s="604">
        <v>10971</v>
      </c>
      <c r="O5060" s="604">
        <v>2.9</v>
      </c>
      <c r="P5060" s="604" t="s">
        <v>48</v>
      </c>
    </row>
    <row r="5061" spans="9:16">
      <c r="I5061" s="578" t="str">
        <f t="shared" si="225"/>
        <v>2016depQuin 4Infant</v>
      </c>
      <c r="J5061" s="604">
        <v>2016</v>
      </c>
      <c r="K5061" s="604" t="s">
        <v>454</v>
      </c>
      <c r="L5061" s="604" t="s">
        <v>424</v>
      </c>
      <c r="M5061" s="604">
        <v>52</v>
      </c>
      <c r="N5061" s="604">
        <v>13131</v>
      </c>
      <c r="O5061" s="604">
        <v>4</v>
      </c>
      <c r="P5061" s="604" t="s">
        <v>48</v>
      </c>
    </row>
    <row r="5062" spans="9:16">
      <c r="I5062" s="578" t="str">
        <f t="shared" si="225"/>
        <v>2016depQuin 5Infant</v>
      </c>
      <c r="J5062" s="604">
        <v>2016</v>
      </c>
      <c r="K5062" s="604" t="s">
        <v>454</v>
      </c>
      <c r="L5062" s="604" t="s">
        <v>425</v>
      </c>
      <c r="M5062" s="604">
        <v>107</v>
      </c>
      <c r="N5062" s="604">
        <v>16886</v>
      </c>
      <c r="O5062" s="604">
        <v>6.3</v>
      </c>
      <c r="P5062" s="604" t="s">
        <v>48</v>
      </c>
    </row>
    <row r="5063" spans="9:16">
      <c r="I5063" s="578" t="str">
        <f t="shared" si="225"/>
        <v>2016depQuin 9Infant</v>
      </c>
      <c r="J5063" s="604">
        <v>2016</v>
      </c>
      <c r="K5063" s="604" t="s">
        <v>454</v>
      </c>
      <c r="L5063" s="604" t="s">
        <v>426</v>
      </c>
      <c r="M5063" s="604">
        <v>2</v>
      </c>
      <c r="N5063" s="604">
        <v>131</v>
      </c>
      <c r="O5063" s="604" t="s">
        <v>119</v>
      </c>
      <c r="P5063" s="604" t="s">
        <v>48</v>
      </c>
    </row>
    <row r="5064" spans="9:16">
      <c r="I5064" s="578" t="str">
        <f t="shared" si="225"/>
        <v>1996bwt&lt;500Infant</v>
      </c>
      <c r="J5064" s="604">
        <v>1996</v>
      </c>
      <c r="K5064" s="604" t="s">
        <v>447</v>
      </c>
      <c r="L5064" s="604" t="s">
        <v>427</v>
      </c>
      <c r="M5064" s="604">
        <v>43</v>
      </c>
      <c r="N5064" s="604">
        <v>44</v>
      </c>
      <c r="O5064" s="604">
        <v>977.3</v>
      </c>
      <c r="P5064" s="604" t="s">
        <v>48</v>
      </c>
    </row>
    <row r="5065" spans="9:16">
      <c r="I5065" s="578" t="str">
        <f t="shared" si="225"/>
        <v>1996bwt500-999Infant</v>
      </c>
      <c r="J5065" s="604">
        <v>1996</v>
      </c>
      <c r="K5065" s="604" t="s">
        <v>447</v>
      </c>
      <c r="L5065" s="604" t="s">
        <v>428</v>
      </c>
      <c r="M5065" s="604">
        <v>73</v>
      </c>
      <c r="N5065" s="604">
        <v>207</v>
      </c>
      <c r="O5065" s="604">
        <v>352.7</v>
      </c>
      <c r="P5065" s="604" t="s">
        <v>48</v>
      </c>
    </row>
    <row r="5066" spans="9:16">
      <c r="I5066" s="578" t="str">
        <f t="shared" si="225"/>
        <v>1996bwt1000-1499Infant</v>
      </c>
      <c r="J5066" s="604">
        <v>1996</v>
      </c>
      <c r="K5066" s="604" t="s">
        <v>447</v>
      </c>
      <c r="L5066" s="604" t="s">
        <v>429</v>
      </c>
      <c r="M5066" s="604">
        <v>21</v>
      </c>
      <c r="N5066" s="604">
        <v>366</v>
      </c>
      <c r="O5066" s="604">
        <v>57.4</v>
      </c>
      <c r="P5066" s="604" t="s">
        <v>48</v>
      </c>
    </row>
    <row r="5067" spans="9:16">
      <c r="I5067" s="578" t="str">
        <f t="shared" si="225"/>
        <v>1996bwt1500-2499Infant</v>
      </c>
      <c r="J5067" s="604">
        <v>1996</v>
      </c>
      <c r="K5067" s="604" t="s">
        <v>447</v>
      </c>
      <c r="L5067" s="604" t="s">
        <v>430</v>
      </c>
      <c r="M5067" s="604">
        <v>71</v>
      </c>
      <c r="N5067" s="604">
        <v>2976</v>
      </c>
      <c r="O5067" s="604">
        <v>23.9</v>
      </c>
      <c r="P5067" s="604" t="s">
        <v>48</v>
      </c>
    </row>
    <row r="5068" spans="9:16">
      <c r="I5068" s="578" t="str">
        <f t="shared" si="225"/>
        <v>1996bwt2500-4499Infant</v>
      </c>
      <c r="J5068" s="604">
        <v>1996</v>
      </c>
      <c r="K5068" s="604" t="s">
        <v>447</v>
      </c>
      <c r="L5068" s="604" t="s">
        <v>431</v>
      </c>
      <c r="M5068" s="604">
        <v>190</v>
      </c>
      <c r="N5068" s="604">
        <v>52386</v>
      </c>
      <c r="O5068" s="604">
        <v>3.6</v>
      </c>
      <c r="P5068" s="604" t="s">
        <v>48</v>
      </c>
    </row>
    <row r="5069" spans="9:16">
      <c r="I5069" s="578" t="str">
        <f t="shared" si="225"/>
        <v>1996bwt4500+Infant</v>
      </c>
      <c r="J5069" s="604">
        <v>1996</v>
      </c>
      <c r="K5069" s="604" t="s">
        <v>447</v>
      </c>
      <c r="L5069" s="604" t="s">
        <v>432</v>
      </c>
      <c r="M5069" s="604">
        <v>2</v>
      </c>
      <c r="N5069" s="604">
        <v>1339</v>
      </c>
      <c r="O5069" s="604">
        <v>1.5</v>
      </c>
      <c r="P5069" s="604" t="s">
        <v>48</v>
      </c>
    </row>
    <row r="5070" spans="9:16">
      <c r="I5070" s="578" t="str">
        <f t="shared" si="225"/>
        <v>1996bwtUnknownInfant</v>
      </c>
      <c r="J5070" s="604">
        <v>1996</v>
      </c>
      <c r="K5070" s="604" t="s">
        <v>447</v>
      </c>
      <c r="L5070" s="604" t="s">
        <v>63</v>
      </c>
      <c r="M5070" s="604">
        <v>17</v>
      </c>
      <c r="N5070" s="604">
        <v>116</v>
      </c>
      <c r="O5070" s="604" t="s">
        <v>119</v>
      </c>
      <c r="P5070" s="604" t="s">
        <v>48</v>
      </c>
    </row>
    <row r="5071" spans="9:16">
      <c r="I5071" s="578" t="str">
        <f t="shared" si="225"/>
        <v>1997bwt&lt;500Infant</v>
      </c>
      <c r="J5071" s="604">
        <v>1997</v>
      </c>
      <c r="K5071" s="604" t="s">
        <v>447</v>
      </c>
      <c r="L5071" s="604" t="s">
        <v>427</v>
      </c>
      <c r="M5071" s="604">
        <v>39</v>
      </c>
      <c r="N5071" s="604">
        <v>33</v>
      </c>
      <c r="O5071" s="604" t="s">
        <v>119</v>
      </c>
      <c r="P5071" s="604" t="s">
        <v>48</v>
      </c>
    </row>
    <row r="5072" spans="9:16">
      <c r="I5072" s="578" t="str">
        <f t="shared" si="225"/>
        <v>1997bwt500-999Infant</v>
      </c>
      <c r="J5072" s="604">
        <v>1997</v>
      </c>
      <c r="K5072" s="604" t="s">
        <v>447</v>
      </c>
      <c r="L5072" s="604" t="s">
        <v>428</v>
      </c>
      <c r="M5072" s="604">
        <v>62</v>
      </c>
      <c r="N5072" s="604">
        <v>231</v>
      </c>
      <c r="O5072" s="604">
        <v>268.39999999999998</v>
      </c>
      <c r="P5072" s="604" t="s">
        <v>48</v>
      </c>
    </row>
    <row r="5073" spans="9:16">
      <c r="I5073" s="578" t="str">
        <f t="shared" si="225"/>
        <v>1997bwt1000-1499Infant</v>
      </c>
      <c r="J5073" s="604">
        <v>1997</v>
      </c>
      <c r="K5073" s="604" t="s">
        <v>447</v>
      </c>
      <c r="L5073" s="604" t="s">
        <v>429</v>
      </c>
      <c r="M5073" s="604">
        <v>29</v>
      </c>
      <c r="N5073" s="604">
        <v>353</v>
      </c>
      <c r="O5073" s="604">
        <v>82.2</v>
      </c>
      <c r="P5073" s="604" t="s">
        <v>48</v>
      </c>
    </row>
    <row r="5074" spans="9:16">
      <c r="I5074" s="578" t="str">
        <f t="shared" si="225"/>
        <v>1997bwt1500-2499Infant</v>
      </c>
      <c r="J5074" s="604">
        <v>1997</v>
      </c>
      <c r="K5074" s="604" t="s">
        <v>447</v>
      </c>
      <c r="L5074" s="604" t="s">
        <v>430</v>
      </c>
      <c r="M5074" s="604">
        <v>53</v>
      </c>
      <c r="N5074" s="604">
        <v>2980</v>
      </c>
      <c r="O5074" s="604">
        <v>17.8</v>
      </c>
      <c r="P5074" s="604" t="s">
        <v>48</v>
      </c>
    </row>
    <row r="5075" spans="9:16">
      <c r="I5075" s="578" t="str">
        <f t="shared" si="225"/>
        <v>1997bwt2500-4499Infant</v>
      </c>
      <c r="J5075" s="604">
        <v>1997</v>
      </c>
      <c r="K5075" s="604" t="s">
        <v>447</v>
      </c>
      <c r="L5075" s="604" t="s">
        <v>431</v>
      </c>
      <c r="M5075" s="604">
        <v>181</v>
      </c>
      <c r="N5075" s="604">
        <v>52712</v>
      </c>
      <c r="O5075" s="604">
        <v>3.4</v>
      </c>
      <c r="P5075" s="604" t="s">
        <v>48</v>
      </c>
    </row>
    <row r="5076" spans="9:16">
      <c r="I5076" s="578" t="str">
        <f t="shared" si="225"/>
        <v>1997bwt4500+Infant</v>
      </c>
      <c r="J5076" s="604">
        <v>1997</v>
      </c>
      <c r="K5076" s="604" t="s">
        <v>447</v>
      </c>
      <c r="L5076" s="604" t="s">
        <v>432</v>
      </c>
      <c r="M5076" s="604">
        <v>2</v>
      </c>
      <c r="N5076" s="604">
        <v>1351</v>
      </c>
      <c r="O5076" s="604">
        <v>1.5</v>
      </c>
      <c r="P5076" s="604" t="s">
        <v>48</v>
      </c>
    </row>
    <row r="5077" spans="9:16">
      <c r="I5077" s="578" t="str">
        <f t="shared" si="225"/>
        <v>1997bwtUnknownInfant</v>
      </c>
      <c r="J5077" s="604">
        <v>1997</v>
      </c>
      <c r="K5077" s="604" t="s">
        <v>447</v>
      </c>
      <c r="L5077" s="604" t="s">
        <v>63</v>
      </c>
      <c r="M5077" s="604">
        <v>25</v>
      </c>
      <c r="N5077" s="604">
        <v>74</v>
      </c>
      <c r="O5077" s="604" t="s">
        <v>119</v>
      </c>
      <c r="P5077" s="604" t="s">
        <v>48</v>
      </c>
    </row>
    <row r="5078" spans="9:16">
      <c r="I5078" s="578" t="str">
        <f t="shared" si="225"/>
        <v>1998bwt&lt;500Infant</v>
      </c>
      <c r="J5078" s="604">
        <v>1998</v>
      </c>
      <c r="K5078" s="604" t="s">
        <v>447</v>
      </c>
      <c r="L5078" s="604" t="s">
        <v>427</v>
      </c>
      <c r="M5078" s="604">
        <v>28</v>
      </c>
      <c r="N5078" s="604">
        <v>33</v>
      </c>
      <c r="O5078" s="604">
        <v>848.5</v>
      </c>
      <c r="P5078" s="604" t="s">
        <v>48</v>
      </c>
    </row>
    <row r="5079" spans="9:16">
      <c r="I5079" s="578" t="str">
        <f t="shared" si="225"/>
        <v>1998bwt500-999Infant</v>
      </c>
      <c r="J5079" s="604">
        <v>1998</v>
      </c>
      <c r="K5079" s="604" t="s">
        <v>447</v>
      </c>
      <c r="L5079" s="604" t="s">
        <v>428</v>
      </c>
      <c r="M5079" s="604">
        <v>59</v>
      </c>
      <c r="N5079" s="604">
        <v>231</v>
      </c>
      <c r="O5079" s="604">
        <v>255.4</v>
      </c>
      <c r="P5079" s="604" t="s">
        <v>48</v>
      </c>
    </row>
    <row r="5080" spans="9:16">
      <c r="I5080" s="578" t="str">
        <f t="shared" si="225"/>
        <v>1998bwt1000-1499Infant</v>
      </c>
      <c r="J5080" s="604">
        <v>1998</v>
      </c>
      <c r="K5080" s="604" t="s">
        <v>447</v>
      </c>
      <c r="L5080" s="604" t="s">
        <v>429</v>
      </c>
      <c r="M5080" s="604">
        <v>13</v>
      </c>
      <c r="N5080" s="604">
        <v>353</v>
      </c>
      <c r="O5080" s="604">
        <v>36.799999999999997</v>
      </c>
      <c r="P5080" s="604" t="s">
        <v>48</v>
      </c>
    </row>
    <row r="5081" spans="9:16">
      <c r="I5081" s="578" t="str">
        <f t="shared" si="225"/>
        <v>1998bwt1500-2499Infant</v>
      </c>
      <c r="J5081" s="604">
        <v>1998</v>
      </c>
      <c r="K5081" s="604" t="s">
        <v>447</v>
      </c>
      <c r="L5081" s="604" t="s">
        <v>430</v>
      </c>
      <c r="M5081" s="604">
        <v>44</v>
      </c>
      <c r="N5081" s="604">
        <v>2980</v>
      </c>
      <c r="O5081" s="604">
        <v>14.8</v>
      </c>
      <c r="P5081" s="604" t="s">
        <v>48</v>
      </c>
    </row>
    <row r="5082" spans="9:16">
      <c r="I5082" s="578" t="str">
        <f t="shared" si="225"/>
        <v>1998bwt2500-4499Infant</v>
      </c>
      <c r="J5082" s="604">
        <v>1998</v>
      </c>
      <c r="K5082" s="604" t="s">
        <v>447</v>
      </c>
      <c r="L5082" s="604" t="s">
        <v>431</v>
      </c>
      <c r="M5082" s="604">
        <v>161</v>
      </c>
      <c r="N5082" s="604">
        <v>52712</v>
      </c>
      <c r="O5082" s="604">
        <v>3.1</v>
      </c>
      <c r="P5082" s="604" t="s">
        <v>48</v>
      </c>
    </row>
    <row r="5083" spans="9:16">
      <c r="I5083" s="578" t="str">
        <f t="shared" si="225"/>
        <v>1998bwt4500+Infant</v>
      </c>
      <c r="J5083" s="604">
        <v>1998</v>
      </c>
      <c r="K5083" s="604" t="s">
        <v>447</v>
      </c>
      <c r="L5083" s="604" t="s">
        <v>432</v>
      </c>
      <c r="M5083" s="604">
        <v>1</v>
      </c>
      <c r="N5083" s="604">
        <v>1351</v>
      </c>
      <c r="O5083" s="604">
        <v>0.7</v>
      </c>
      <c r="P5083" s="604" t="s">
        <v>48</v>
      </c>
    </row>
    <row r="5084" spans="9:16">
      <c r="I5084" s="578" t="str">
        <f t="shared" si="225"/>
        <v>1998bwtUnknownInfant</v>
      </c>
      <c r="J5084" s="604">
        <v>1998</v>
      </c>
      <c r="K5084" s="604" t="s">
        <v>447</v>
      </c>
      <c r="L5084" s="604" t="s">
        <v>63</v>
      </c>
      <c r="M5084" s="604">
        <v>2</v>
      </c>
      <c r="N5084" s="604">
        <v>74</v>
      </c>
      <c r="O5084" s="604" t="s">
        <v>119</v>
      </c>
      <c r="P5084" s="604" t="s">
        <v>48</v>
      </c>
    </row>
    <row r="5085" spans="9:16">
      <c r="I5085" s="578" t="str">
        <f t="shared" si="225"/>
        <v>1999bwt&lt;500Infant</v>
      </c>
      <c r="J5085" s="604">
        <v>1999</v>
      </c>
      <c r="K5085" s="604" t="s">
        <v>447</v>
      </c>
      <c r="L5085" s="604" t="s">
        <v>427</v>
      </c>
      <c r="M5085" s="604">
        <v>41</v>
      </c>
      <c r="N5085" s="604">
        <v>45</v>
      </c>
      <c r="O5085" s="604">
        <v>911.1</v>
      </c>
      <c r="P5085" s="604" t="s">
        <v>48</v>
      </c>
    </row>
    <row r="5086" spans="9:16">
      <c r="I5086" s="578" t="str">
        <f t="shared" si="225"/>
        <v>1999bwt500-999Infant</v>
      </c>
      <c r="J5086" s="604">
        <v>1999</v>
      </c>
      <c r="K5086" s="604" t="s">
        <v>447</v>
      </c>
      <c r="L5086" s="604" t="s">
        <v>428</v>
      </c>
      <c r="M5086" s="604">
        <v>66</v>
      </c>
      <c r="N5086" s="604">
        <v>231</v>
      </c>
      <c r="O5086" s="604">
        <v>285.7</v>
      </c>
      <c r="P5086" s="604" t="s">
        <v>48</v>
      </c>
    </row>
    <row r="5087" spans="9:16">
      <c r="I5087" s="578" t="str">
        <f t="shared" si="225"/>
        <v>1999bwt1000-1499Infant</v>
      </c>
      <c r="J5087" s="604">
        <v>1999</v>
      </c>
      <c r="K5087" s="604" t="s">
        <v>447</v>
      </c>
      <c r="L5087" s="604" t="s">
        <v>429</v>
      </c>
      <c r="M5087" s="604">
        <v>20</v>
      </c>
      <c r="N5087" s="604">
        <v>355</v>
      </c>
      <c r="O5087" s="604">
        <v>56.3</v>
      </c>
      <c r="P5087" s="604" t="s">
        <v>48</v>
      </c>
    </row>
    <row r="5088" spans="9:16">
      <c r="I5088" s="578" t="str">
        <f t="shared" si="225"/>
        <v>1999bwt1500-2499Infant</v>
      </c>
      <c r="J5088" s="604">
        <v>1999</v>
      </c>
      <c r="K5088" s="604" t="s">
        <v>447</v>
      </c>
      <c r="L5088" s="604" t="s">
        <v>430</v>
      </c>
      <c r="M5088" s="604">
        <v>38</v>
      </c>
      <c r="N5088" s="604">
        <v>3005</v>
      </c>
      <c r="O5088" s="604">
        <v>12.6</v>
      </c>
      <c r="P5088" s="604" t="s">
        <v>48</v>
      </c>
    </row>
    <row r="5089" spans="9:16">
      <c r="I5089" s="578" t="str">
        <f t="shared" si="225"/>
        <v>1999bwt2500-4499Infant</v>
      </c>
      <c r="J5089" s="604">
        <v>1999</v>
      </c>
      <c r="K5089" s="604" t="s">
        <v>447</v>
      </c>
      <c r="L5089" s="604" t="s">
        <v>431</v>
      </c>
      <c r="M5089" s="604">
        <v>161</v>
      </c>
      <c r="N5089" s="604">
        <v>52234</v>
      </c>
      <c r="O5089" s="604">
        <v>3.1</v>
      </c>
      <c r="P5089" s="604" t="s">
        <v>48</v>
      </c>
    </row>
    <row r="5090" spans="9:16">
      <c r="I5090" s="578" t="str">
        <f t="shared" si="225"/>
        <v>1999bwt4500+Infant</v>
      </c>
      <c r="J5090" s="604">
        <v>1999</v>
      </c>
      <c r="K5090" s="604" t="s">
        <v>447</v>
      </c>
      <c r="L5090" s="604" t="s">
        <v>432</v>
      </c>
      <c r="M5090" s="604">
        <v>6</v>
      </c>
      <c r="N5090" s="604">
        <v>1505</v>
      </c>
      <c r="O5090" s="604">
        <v>4</v>
      </c>
      <c r="P5090" s="604" t="s">
        <v>48</v>
      </c>
    </row>
    <row r="5091" spans="9:16">
      <c r="I5091" s="578" t="str">
        <f t="shared" si="225"/>
        <v>1999bwtUnknownInfant</v>
      </c>
      <c r="J5091" s="604">
        <v>1999</v>
      </c>
      <c r="K5091" s="604" t="s">
        <v>447</v>
      </c>
      <c r="L5091" s="604" t="s">
        <v>63</v>
      </c>
      <c r="M5091" s="604">
        <v>3</v>
      </c>
      <c r="N5091" s="604">
        <v>46</v>
      </c>
      <c r="O5091" s="604" t="s">
        <v>119</v>
      </c>
      <c r="P5091" s="604" t="s">
        <v>48</v>
      </c>
    </row>
    <row r="5092" spans="9:16">
      <c r="I5092" s="578" t="str">
        <f t="shared" si="225"/>
        <v>2000bwt&lt;500Infant</v>
      </c>
      <c r="J5092" s="604">
        <v>2000</v>
      </c>
      <c r="K5092" s="604" t="s">
        <v>447</v>
      </c>
      <c r="L5092" s="604" t="s">
        <v>427</v>
      </c>
      <c r="M5092" s="604">
        <v>55</v>
      </c>
      <c r="N5092" s="604">
        <v>65</v>
      </c>
      <c r="O5092" s="604">
        <v>846.2</v>
      </c>
      <c r="P5092" s="604" t="s">
        <v>48</v>
      </c>
    </row>
    <row r="5093" spans="9:16">
      <c r="I5093" s="578" t="str">
        <f t="shared" si="225"/>
        <v>2000bwt500-999Infant</v>
      </c>
      <c r="J5093" s="604">
        <v>2000</v>
      </c>
      <c r="K5093" s="604" t="s">
        <v>447</v>
      </c>
      <c r="L5093" s="604" t="s">
        <v>428</v>
      </c>
      <c r="M5093" s="604">
        <v>65</v>
      </c>
      <c r="N5093" s="604">
        <v>235</v>
      </c>
      <c r="O5093" s="604">
        <v>276.60000000000002</v>
      </c>
      <c r="P5093" s="604" t="s">
        <v>48</v>
      </c>
    </row>
    <row r="5094" spans="9:16">
      <c r="I5094" s="578" t="str">
        <f t="shared" si="225"/>
        <v>2000bwt1000-1499Infant</v>
      </c>
      <c r="J5094" s="604">
        <v>2000</v>
      </c>
      <c r="K5094" s="604" t="s">
        <v>447</v>
      </c>
      <c r="L5094" s="604" t="s">
        <v>429</v>
      </c>
      <c r="M5094" s="604">
        <v>19</v>
      </c>
      <c r="N5094" s="604">
        <v>365</v>
      </c>
      <c r="O5094" s="604">
        <v>52.1</v>
      </c>
      <c r="P5094" s="604" t="s">
        <v>48</v>
      </c>
    </row>
    <row r="5095" spans="9:16">
      <c r="I5095" s="578" t="str">
        <f t="shared" si="225"/>
        <v>2000bwt1500-2499Infant</v>
      </c>
      <c r="J5095" s="604">
        <v>2000</v>
      </c>
      <c r="K5095" s="604" t="s">
        <v>447</v>
      </c>
      <c r="L5095" s="604" t="s">
        <v>430</v>
      </c>
      <c r="M5095" s="604">
        <v>47</v>
      </c>
      <c r="N5095" s="604">
        <v>2949</v>
      </c>
      <c r="O5095" s="604">
        <v>15.9</v>
      </c>
      <c r="P5095" s="604" t="s">
        <v>48</v>
      </c>
    </row>
    <row r="5096" spans="9:16">
      <c r="I5096" s="578" t="str">
        <f t="shared" si="225"/>
        <v>2000bwt2500-4499Infant</v>
      </c>
      <c r="J5096" s="604">
        <v>2000</v>
      </c>
      <c r="K5096" s="604" t="s">
        <v>447</v>
      </c>
      <c r="L5096" s="604" t="s">
        <v>431</v>
      </c>
      <c r="M5096" s="604">
        <v>160</v>
      </c>
      <c r="N5096" s="604">
        <v>51817</v>
      </c>
      <c r="O5096" s="604">
        <v>3.1</v>
      </c>
      <c r="P5096" s="604" t="s">
        <v>48</v>
      </c>
    </row>
    <row r="5097" spans="9:16">
      <c r="I5097" s="578" t="str">
        <f t="shared" si="225"/>
        <v>2000bwt4500+Infant</v>
      </c>
      <c r="J5097" s="604">
        <v>2000</v>
      </c>
      <c r="K5097" s="604" t="s">
        <v>447</v>
      </c>
      <c r="L5097" s="604" t="s">
        <v>432</v>
      </c>
      <c r="M5097" s="604">
        <v>4</v>
      </c>
      <c r="N5097" s="604">
        <v>1521</v>
      </c>
      <c r="O5097" s="604">
        <v>2.6</v>
      </c>
      <c r="P5097" s="604" t="s">
        <v>48</v>
      </c>
    </row>
    <row r="5098" spans="9:16">
      <c r="I5098" s="578" t="str">
        <f t="shared" si="225"/>
        <v>2000bwtUnknownInfant</v>
      </c>
      <c r="J5098" s="604">
        <v>2000</v>
      </c>
      <c r="K5098" s="604" t="s">
        <v>447</v>
      </c>
      <c r="L5098" s="604" t="s">
        <v>63</v>
      </c>
      <c r="M5098" s="604">
        <v>9</v>
      </c>
      <c r="N5098" s="604">
        <v>42</v>
      </c>
      <c r="O5098" s="604" t="s">
        <v>119</v>
      </c>
      <c r="P5098" s="604" t="s">
        <v>48</v>
      </c>
    </row>
    <row r="5099" spans="9:16">
      <c r="I5099" s="578" t="str">
        <f t="shared" si="225"/>
        <v>2001bwt&lt;500Infant</v>
      </c>
      <c r="J5099" s="604">
        <v>2001</v>
      </c>
      <c r="K5099" s="604" t="s">
        <v>447</v>
      </c>
      <c r="L5099" s="604" t="s">
        <v>427</v>
      </c>
      <c r="M5099" s="604">
        <v>38</v>
      </c>
      <c r="N5099" s="604">
        <v>46</v>
      </c>
      <c r="O5099" s="604">
        <v>826.1</v>
      </c>
      <c r="P5099" s="604" t="s">
        <v>48</v>
      </c>
    </row>
    <row r="5100" spans="9:16">
      <c r="I5100" s="578" t="str">
        <f t="shared" si="225"/>
        <v>2001bwt500-999Infant</v>
      </c>
      <c r="J5100" s="604">
        <v>2001</v>
      </c>
      <c r="K5100" s="604" t="s">
        <v>447</v>
      </c>
      <c r="L5100" s="604" t="s">
        <v>428</v>
      </c>
      <c r="M5100" s="604">
        <v>71</v>
      </c>
      <c r="N5100" s="604">
        <v>221</v>
      </c>
      <c r="O5100" s="604">
        <v>321.3</v>
      </c>
      <c r="P5100" s="604" t="s">
        <v>48</v>
      </c>
    </row>
    <row r="5101" spans="9:16">
      <c r="I5101" s="578" t="str">
        <f t="shared" si="225"/>
        <v>2001bwt1000-1499Infant</v>
      </c>
      <c r="J5101" s="604">
        <v>2001</v>
      </c>
      <c r="K5101" s="604" t="s">
        <v>447</v>
      </c>
      <c r="L5101" s="604" t="s">
        <v>429</v>
      </c>
      <c r="M5101" s="604">
        <v>15</v>
      </c>
      <c r="N5101" s="604">
        <v>387</v>
      </c>
      <c r="O5101" s="604">
        <v>38.799999999999997</v>
      </c>
      <c r="P5101" s="604" t="s">
        <v>48</v>
      </c>
    </row>
    <row r="5102" spans="9:16">
      <c r="I5102" s="578" t="str">
        <f t="shared" si="225"/>
        <v>2001bwt1500-2499Infant</v>
      </c>
      <c r="J5102" s="604">
        <v>2001</v>
      </c>
      <c r="K5102" s="604" t="s">
        <v>447</v>
      </c>
      <c r="L5102" s="604" t="s">
        <v>430</v>
      </c>
      <c r="M5102" s="604">
        <v>52</v>
      </c>
      <c r="N5102" s="604">
        <v>2989</v>
      </c>
      <c r="O5102" s="604">
        <v>17.399999999999999</v>
      </c>
      <c r="P5102" s="604" t="s">
        <v>48</v>
      </c>
    </row>
    <row r="5103" spans="9:16">
      <c r="I5103" s="578" t="str">
        <f t="shared" si="225"/>
        <v>2001bwt2500-4499Infant</v>
      </c>
      <c r="J5103" s="604">
        <v>2001</v>
      </c>
      <c r="K5103" s="604" t="s">
        <v>447</v>
      </c>
      <c r="L5103" s="604" t="s">
        <v>431</v>
      </c>
      <c r="M5103" s="604">
        <v>136</v>
      </c>
      <c r="N5103" s="604">
        <v>51068</v>
      </c>
      <c r="O5103" s="604">
        <v>2.7</v>
      </c>
      <c r="P5103" s="604" t="s">
        <v>48</v>
      </c>
    </row>
    <row r="5104" spans="9:16">
      <c r="I5104" s="578" t="str">
        <f t="shared" si="225"/>
        <v>2001bwt4500+Infant</v>
      </c>
      <c r="J5104" s="604">
        <v>2001</v>
      </c>
      <c r="K5104" s="604" t="s">
        <v>447</v>
      </c>
      <c r="L5104" s="604" t="s">
        <v>432</v>
      </c>
      <c r="M5104" s="604">
        <v>0</v>
      </c>
      <c r="N5104" s="604">
        <v>1410</v>
      </c>
      <c r="O5104" s="604">
        <v>0</v>
      </c>
      <c r="P5104" s="604" t="s">
        <v>48</v>
      </c>
    </row>
    <row r="5105" spans="9:16">
      <c r="I5105" s="578" t="str">
        <f t="shared" si="225"/>
        <v>2001bwtUnknownInfant</v>
      </c>
      <c r="J5105" s="604">
        <v>2001</v>
      </c>
      <c r="K5105" s="604" t="s">
        <v>447</v>
      </c>
      <c r="L5105" s="604" t="s">
        <v>63</v>
      </c>
      <c r="M5105" s="604">
        <v>3</v>
      </c>
      <c r="N5105" s="604">
        <v>103</v>
      </c>
      <c r="O5105" s="604" t="s">
        <v>119</v>
      </c>
      <c r="P5105" s="604" t="s">
        <v>48</v>
      </c>
    </row>
    <row r="5106" spans="9:16">
      <c r="I5106" s="578" t="str">
        <f t="shared" si="225"/>
        <v>2002bwt&lt;500Infant</v>
      </c>
      <c r="J5106" s="604">
        <v>2002</v>
      </c>
      <c r="K5106" s="604" t="s">
        <v>447</v>
      </c>
      <c r="L5106" s="604" t="s">
        <v>427</v>
      </c>
      <c r="M5106" s="604">
        <v>57</v>
      </c>
      <c r="N5106" s="604">
        <v>67</v>
      </c>
      <c r="O5106" s="604">
        <v>850.7</v>
      </c>
      <c r="P5106" s="604" t="s">
        <v>48</v>
      </c>
    </row>
    <row r="5107" spans="9:16">
      <c r="I5107" s="578" t="str">
        <f t="shared" si="225"/>
        <v>2002bwt500-999Infant</v>
      </c>
      <c r="J5107" s="604">
        <v>2002</v>
      </c>
      <c r="K5107" s="604" t="s">
        <v>447</v>
      </c>
      <c r="L5107" s="604" t="s">
        <v>428</v>
      </c>
      <c r="M5107" s="604">
        <v>86</v>
      </c>
      <c r="N5107" s="604">
        <v>271</v>
      </c>
      <c r="O5107" s="604">
        <v>317.3</v>
      </c>
      <c r="P5107" s="604" t="s">
        <v>48</v>
      </c>
    </row>
    <row r="5108" spans="9:16">
      <c r="I5108" s="578" t="str">
        <f t="shared" si="225"/>
        <v>2002bwt1000-1499Infant</v>
      </c>
      <c r="J5108" s="604">
        <v>2002</v>
      </c>
      <c r="K5108" s="604" t="s">
        <v>447</v>
      </c>
      <c r="L5108" s="604" t="s">
        <v>429</v>
      </c>
      <c r="M5108" s="604">
        <v>23</v>
      </c>
      <c r="N5108" s="604">
        <v>357</v>
      </c>
      <c r="O5108" s="604">
        <v>64.400000000000006</v>
      </c>
      <c r="P5108" s="604" t="s">
        <v>48</v>
      </c>
    </row>
    <row r="5109" spans="9:16">
      <c r="I5109" s="578" t="str">
        <f t="shared" si="225"/>
        <v>2002bwt1500-2499Infant</v>
      </c>
      <c r="J5109" s="604">
        <v>2002</v>
      </c>
      <c r="K5109" s="604" t="s">
        <v>447</v>
      </c>
      <c r="L5109" s="604" t="s">
        <v>430</v>
      </c>
      <c r="M5109" s="604">
        <v>36</v>
      </c>
      <c r="N5109" s="604">
        <v>2842</v>
      </c>
      <c r="O5109" s="604">
        <v>12.7</v>
      </c>
      <c r="P5109" s="604" t="s">
        <v>48</v>
      </c>
    </row>
    <row r="5110" spans="9:16">
      <c r="I5110" s="578" t="str">
        <f t="shared" si="225"/>
        <v>2002bwt2500-4499Infant</v>
      </c>
      <c r="J5110" s="604">
        <v>2002</v>
      </c>
      <c r="K5110" s="604" t="s">
        <v>447</v>
      </c>
      <c r="L5110" s="604" t="s">
        <v>431</v>
      </c>
      <c r="M5110" s="604">
        <v>117</v>
      </c>
      <c r="N5110" s="604">
        <v>49477</v>
      </c>
      <c r="O5110" s="604">
        <v>2.4</v>
      </c>
      <c r="P5110" s="604" t="s">
        <v>48</v>
      </c>
    </row>
    <row r="5111" spans="9:16">
      <c r="I5111" s="578" t="str">
        <f t="shared" si="225"/>
        <v>2002bwt4500+Infant</v>
      </c>
      <c r="J5111" s="604">
        <v>2002</v>
      </c>
      <c r="K5111" s="604" t="s">
        <v>447</v>
      </c>
      <c r="L5111" s="604" t="s">
        <v>432</v>
      </c>
      <c r="M5111" s="604">
        <v>3</v>
      </c>
      <c r="N5111" s="604">
        <v>1360</v>
      </c>
      <c r="O5111" s="604">
        <v>2.2000000000000002</v>
      </c>
      <c r="P5111" s="604" t="s">
        <v>48</v>
      </c>
    </row>
    <row r="5112" spans="9:16">
      <c r="I5112" s="578" t="str">
        <f t="shared" si="225"/>
        <v>2002bwtUnknownInfant</v>
      </c>
      <c r="J5112" s="604">
        <v>2002</v>
      </c>
      <c r="K5112" s="604" t="s">
        <v>447</v>
      </c>
      <c r="L5112" s="604" t="s">
        <v>63</v>
      </c>
      <c r="M5112" s="604">
        <v>15</v>
      </c>
      <c r="N5112" s="604">
        <v>141</v>
      </c>
      <c r="O5112" s="604" t="s">
        <v>119</v>
      </c>
      <c r="P5112" s="604" t="s">
        <v>48</v>
      </c>
    </row>
    <row r="5113" spans="9:16">
      <c r="I5113" s="578" t="str">
        <f t="shared" si="225"/>
        <v>2003bwt&lt;500Infant</v>
      </c>
      <c r="J5113" s="604">
        <v>2003</v>
      </c>
      <c r="K5113" s="604" t="s">
        <v>447</v>
      </c>
      <c r="L5113" s="604" t="s">
        <v>427</v>
      </c>
      <c r="M5113" s="604">
        <v>37</v>
      </c>
      <c r="N5113" s="604">
        <v>48</v>
      </c>
      <c r="O5113" s="604">
        <v>770.8</v>
      </c>
      <c r="P5113" s="604" t="s">
        <v>48</v>
      </c>
    </row>
    <row r="5114" spans="9:16">
      <c r="I5114" s="578" t="str">
        <f t="shared" si="225"/>
        <v>2003bwt500-999Infant</v>
      </c>
      <c r="J5114" s="604">
        <v>2003</v>
      </c>
      <c r="K5114" s="604" t="s">
        <v>447</v>
      </c>
      <c r="L5114" s="604" t="s">
        <v>428</v>
      </c>
      <c r="M5114" s="604">
        <v>63</v>
      </c>
      <c r="N5114" s="604">
        <v>237</v>
      </c>
      <c r="O5114" s="604">
        <v>265.8</v>
      </c>
      <c r="P5114" s="604" t="s">
        <v>48</v>
      </c>
    </row>
    <row r="5115" spans="9:16">
      <c r="I5115" s="578" t="str">
        <f t="shared" si="225"/>
        <v>2003bwt1000-1499Infant</v>
      </c>
      <c r="J5115" s="604">
        <v>2003</v>
      </c>
      <c r="K5115" s="604" t="s">
        <v>447</v>
      </c>
      <c r="L5115" s="604" t="s">
        <v>429</v>
      </c>
      <c r="M5115" s="604">
        <v>18</v>
      </c>
      <c r="N5115" s="604">
        <v>380</v>
      </c>
      <c r="O5115" s="604">
        <v>47.4</v>
      </c>
      <c r="P5115" s="604" t="s">
        <v>48</v>
      </c>
    </row>
    <row r="5116" spans="9:16">
      <c r="I5116" s="578" t="str">
        <f t="shared" si="225"/>
        <v>2003bwt1500-2499Infant</v>
      </c>
      <c r="J5116" s="604">
        <v>2003</v>
      </c>
      <c r="K5116" s="604" t="s">
        <v>447</v>
      </c>
      <c r="L5116" s="604" t="s">
        <v>430</v>
      </c>
      <c r="M5116" s="604">
        <v>43</v>
      </c>
      <c r="N5116" s="604">
        <v>2777</v>
      </c>
      <c r="O5116" s="604">
        <v>15.5</v>
      </c>
      <c r="P5116" s="604" t="s">
        <v>48</v>
      </c>
    </row>
    <row r="5117" spans="9:16">
      <c r="I5117" s="578" t="str">
        <f t="shared" si="225"/>
        <v>2003bwt2500-4499Infant</v>
      </c>
      <c r="J5117" s="604">
        <v>2003</v>
      </c>
      <c r="K5117" s="604" t="s">
        <v>447</v>
      </c>
      <c r="L5117" s="604" t="s">
        <v>431</v>
      </c>
      <c r="M5117" s="604">
        <v>129</v>
      </c>
      <c r="N5117" s="604">
        <v>51534</v>
      </c>
      <c r="O5117" s="604">
        <v>2.5</v>
      </c>
      <c r="P5117" s="604" t="s">
        <v>48</v>
      </c>
    </row>
    <row r="5118" spans="9:16">
      <c r="I5118" s="578" t="str">
        <f t="shared" si="225"/>
        <v>2003bwt4500+Infant</v>
      </c>
      <c r="J5118" s="604">
        <v>2003</v>
      </c>
      <c r="K5118" s="604" t="s">
        <v>447</v>
      </c>
      <c r="L5118" s="604" t="s">
        <v>432</v>
      </c>
      <c r="M5118" s="604">
        <v>4</v>
      </c>
      <c r="N5118" s="604">
        <v>1557</v>
      </c>
      <c r="O5118" s="604">
        <v>2.6</v>
      </c>
      <c r="P5118" s="604" t="s">
        <v>48</v>
      </c>
    </row>
    <row r="5119" spans="9:16">
      <c r="I5119" s="578" t="str">
        <f t="shared" si="225"/>
        <v>2003bwtUnknownInfant</v>
      </c>
      <c r="J5119" s="604">
        <v>2003</v>
      </c>
      <c r="K5119" s="604" t="s">
        <v>447</v>
      </c>
      <c r="L5119" s="604" t="s">
        <v>63</v>
      </c>
      <c r="M5119" s="604">
        <v>10</v>
      </c>
      <c r="N5119" s="604">
        <v>43</v>
      </c>
      <c r="O5119" s="604" t="s">
        <v>119</v>
      </c>
      <c r="P5119" s="604" t="s">
        <v>48</v>
      </c>
    </row>
    <row r="5120" spans="9:16">
      <c r="I5120" s="578" t="str">
        <f t="shared" si="225"/>
        <v>2004bwt&lt;500Infant</v>
      </c>
      <c r="J5120" s="604">
        <v>2004</v>
      </c>
      <c r="K5120" s="604" t="s">
        <v>447</v>
      </c>
      <c r="L5120" s="604" t="s">
        <v>427</v>
      </c>
      <c r="M5120" s="604">
        <v>48</v>
      </c>
      <c r="N5120" s="604">
        <v>60</v>
      </c>
      <c r="O5120" s="604">
        <v>800</v>
      </c>
      <c r="P5120" s="604" t="s">
        <v>48</v>
      </c>
    </row>
    <row r="5121" spans="9:16">
      <c r="I5121" s="578" t="str">
        <f t="shared" si="225"/>
        <v>2004bwt500-999Infant</v>
      </c>
      <c r="J5121" s="604">
        <v>2004</v>
      </c>
      <c r="K5121" s="604" t="s">
        <v>447</v>
      </c>
      <c r="L5121" s="604" t="s">
        <v>428</v>
      </c>
      <c r="M5121" s="604">
        <v>69</v>
      </c>
      <c r="N5121" s="604">
        <v>218</v>
      </c>
      <c r="O5121" s="604">
        <v>316.5</v>
      </c>
      <c r="P5121" s="604" t="s">
        <v>48</v>
      </c>
    </row>
    <row r="5122" spans="9:16">
      <c r="I5122" s="578" t="str">
        <f t="shared" si="225"/>
        <v>2004bwt1000-1499Infant</v>
      </c>
      <c r="J5122" s="604">
        <v>2004</v>
      </c>
      <c r="K5122" s="604" t="s">
        <v>447</v>
      </c>
      <c r="L5122" s="604" t="s">
        <v>429</v>
      </c>
      <c r="M5122" s="604">
        <v>20</v>
      </c>
      <c r="N5122" s="604">
        <v>360</v>
      </c>
      <c r="O5122" s="604">
        <v>55.6</v>
      </c>
      <c r="P5122" s="604" t="s">
        <v>48</v>
      </c>
    </row>
    <row r="5123" spans="9:16">
      <c r="I5123" s="578" t="str">
        <f t="shared" si="225"/>
        <v>2004bwt1500-2499Infant</v>
      </c>
      <c r="J5123" s="604">
        <v>2004</v>
      </c>
      <c r="K5123" s="604" t="s">
        <v>447</v>
      </c>
      <c r="L5123" s="604" t="s">
        <v>430</v>
      </c>
      <c r="M5123" s="604">
        <v>44</v>
      </c>
      <c r="N5123" s="604">
        <v>2964</v>
      </c>
      <c r="O5123" s="604">
        <v>14.8</v>
      </c>
      <c r="P5123" s="604" t="s">
        <v>48</v>
      </c>
    </row>
    <row r="5124" spans="9:16">
      <c r="I5124" s="578" t="str">
        <f t="shared" ref="I5124:I5187" si="226">J5124&amp;K5124&amp;L5124&amp;P5124</f>
        <v>2004bwt2500-4499Infant</v>
      </c>
      <c r="J5124" s="604">
        <v>2004</v>
      </c>
      <c r="K5124" s="604" t="s">
        <v>447</v>
      </c>
      <c r="L5124" s="604" t="s">
        <v>431</v>
      </c>
      <c r="M5124" s="604">
        <v>151</v>
      </c>
      <c r="N5124" s="604">
        <v>53449</v>
      </c>
      <c r="O5124" s="604">
        <v>2.8</v>
      </c>
      <c r="P5124" s="604" t="s">
        <v>48</v>
      </c>
    </row>
    <row r="5125" spans="9:16">
      <c r="I5125" s="578" t="str">
        <f t="shared" si="226"/>
        <v>2004bwt4500+Infant</v>
      </c>
      <c r="J5125" s="604">
        <v>2004</v>
      </c>
      <c r="K5125" s="604" t="s">
        <v>447</v>
      </c>
      <c r="L5125" s="604" t="s">
        <v>432</v>
      </c>
      <c r="M5125" s="604">
        <v>1</v>
      </c>
      <c r="N5125" s="604">
        <v>1613</v>
      </c>
      <c r="O5125" s="604">
        <v>0.6</v>
      </c>
      <c r="P5125" s="604" t="s">
        <v>48</v>
      </c>
    </row>
    <row r="5126" spans="9:16">
      <c r="I5126" s="578" t="str">
        <f t="shared" si="226"/>
        <v>2004bwtUnknownInfant</v>
      </c>
      <c r="J5126" s="604">
        <v>2004</v>
      </c>
      <c r="K5126" s="604" t="s">
        <v>447</v>
      </c>
      <c r="L5126" s="604" t="s">
        <v>63</v>
      </c>
      <c r="M5126" s="604">
        <v>13</v>
      </c>
      <c r="N5126" s="604">
        <v>59</v>
      </c>
      <c r="O5126" s="604" t="s">
        <v>119</v>
      </c>
      <c r="P5126" s="604" t="s">
        <v>48</v>
      </c>
    </row>
    <row r="5127" spans="9:16">
      <c r="I5127" s="578" t="str">
        <f t="shared" si="226"/>
        <v>2005bwt&lt;500Infant</v>
      </c>
      <c r="J5127" s="604">
        <v>2005</v>
      </c>
      <c r="K5127" s="604" t="s">
        <v>447</v>
      </c>
      <c r="L5127" s="604" t="s">
        <v>427</v>
      </c>
      <c r="M5127" s="604">
        <v>32</v>
      </c>
      <c r="N5127" s="604">
        <v>46</v>
      </c>
      <c r="O5127" s="604">
        <v>695.7</v>
      </c>
      <c r="P5127" s="604" t="s">
        <v>48</v>
      </c>
    </row>
    <row r="5128" spans="9:16">
      <c r="I5128" s="578" t="str">
        <f t="shared" si="226"/>
        <v>2005bwt500-999Infant</v>
      </c>
      <c r="J5128" s="604">
        <v>2005</v>
      </c>
      <c r="K5128" s="604" t="s">
        <v>447</v>
      </c>
      <c r="L5128" s="604" t="s">
        <v>428</v>
      </c>
      <c r="M5128" s="604">
        <v>67</v>
      </c>
      <c r="N5128" s="604">
        <v>232</v>
      </c>
      <c r="O5128" s="604">
        <v>288.8</v>
      </c>
      <c r="P5128" s="604" t="s">
        <v>48</v>
      </c>
    </row>
    <row r="5129" spans="9:16">
      <c r="I5129" s="578" t="str">
        <f t="shared" si="226"/>
        <v>2005bwt1000-1499Infant</v>
      </c>
      <c r="J5129" s="604">
        <v>2005</v>
      </c>
      <c r="K5129" s="604" t="s">
        <v>447</v>
      </c>
      <c r="L5129" s="604" t="s">
        <v>429</v>
      </c>
      <c r="M5129" s="604">
        <v>15</v>
      </c>
      <c r="N5129" s="604">
        <v>361</v>
      </c>
      <c r="O5129" s="604">
        <v>41.6</v>
      </c>
      <c r="P5129" s="604" t="s">
        <v>48</v>
      </c>
    </row>
    <row r="5130" spans="9:16">
      <c r="I5130" s="578" t="str">
        <f t="shared" si="226"/>
        <v>2005bwt1500-2499Infant</v>
      </c>
      <c r="J5130" s="604">
        <v>2005</v>
      </c>
      <c r="K5130" s="604" t="s">
        <v>447</v>
      </c>
      <c r="L5130" s="604" t="s">
        <v>430</v>
      </c>
      <c r="M5130" s="604">
        <v>50</v>
      </c>
      <c r="N5130" s="604">
        <v>2861</v>
      </c>
      <c r="O5130" s="604">
        <v>17.5</v>
      </c>
      <c r="P5130" s="604" t="s">
        <v>48</v>
      </c>
    </row>
    <row r="5131" spans="9:16">
      <c r="I5131" s="578" t="str">
        <f t="shared" si="226"/>
        <v>2005bwt2500-4499Infant</v>
      </c>
      <c r="J5131" s="604">
        <v>2005</v>
      </c>
      <c r="K5131" s="604" t="s">
        <v>447</v>
      </c>
      <c r="L5131" s="604" t="s">
        <v>431</v>
      </c>
      <c r="M5131" s="604">
        <v>122</v>
      </c>
      <c r="N5131" s="604">
        <v>53572</v>
      </c>
      <c r="O5131" s="604">
        <v>2.2999999999999998</v>
      </c>
      <c r="P5131" s="604" t="s">
        <v>48</v>
      </c>
    </row>
    <row r="5132" spans="9:16">
      <c r="I5132" s="578" t="str">
        <f t="shared" si="226"/>
        <v>2005bwt4500+Infant</v>
      </c>
      <c r="J5132" s="604">
        <v>2005</v>
      </c>
      <c r="K5132" s="604" t="s">
        <v>447</v>
      </c>
      <c r="L5132" s="604" t="s">
        <v>432</v>
      </c>
      <c r="M5132" s="604">
        <v>2</v>
      </c>
      <c r="N5132" s="604">
        <v>1607</v>
      </c>
      <c r="O5132" s="604">
        <v>1.2</v>
      </c>
      <c r="P5132" s="604" t="s">
        <v>48</v>
      </c>
    </row>
    <row r="5133" spans="9:16">
      <c r="I5133" s="578" t="str">
        <f t="shared" si="226"/>
        <v>2005bwtUnknownInfant</v>
      </c>
      <c r="J5133" s="604">
        <v>2005</v>
      </c>
      <c r="K5133" s="604" t="s">
        <v>447</v>
      </c>
      <c r="L5133" s="604" t="s">
        <v>63</v>
      </c>
      <c r="M5133" s="604">
        <v>6</v>
      </c>
      <c r="N5133" s="604">
        <v>48</v>
      </c>
      <c r="O5133" s="604" t="s">
        <v>119</v>
      </c>
      <c r="P5133" s="604" t="s">
        <v>48</v>
      </c>
    </row>
    <row r="5134" spans="9:16">
      <c r="I5134" s="578" t="str">
        <f t="shared" si="226"/>
        <v>2006bwt&lt;500Infant</v>
      </c>
      <c r="J5134" s="604">
        <v>2006</v>
      </c>
      <c r="K5134" s="604" t="s">
        <v>447</v>
      </c>
      <c r="L5134" s="604" t="s">
        <v>427</v>
      </c>
      <c r="M5134" s="604">
        <v>39</v>
      </c>
      <c r="N5134" s="604">
        <v>52</v>
      </c>
      <c r="O5134" s="604">
        <v>750</v>
      </c>
      <c r="P5134" s="604" t="s">
        <v>48</v>
      </c>
    </row>
    <row r="5135" spans="9:16">
      <c r="I5135" s="578" t="str">
        <f t="shared" si="226"/>
        <v>2006bwt500-999Infant</v>
      </c>
      <c r="J5135" s="604">
        <v>2006</v>
      </c>
      <c r="K5135" s="604" t="s">
        <v>447</v>
      </c>
      <c r="L5135" s="604" t="s">
        <v>428</v>
      </c>
      <c r="M5135" s="604">
        <v>49</v>
      </c>
      <c r="N5135" s="604">
        <v>194</v>
      </c>
      <c r="O5135" s="604">
        <v>252.6</v>
      </c>
      <c r="P5135" s="604" t="s">
        <v>48</v>
      </c>
    </row>
    <row r="5136" spans="9:16">
      <c r="I5136" s="578" t="str">
        <f t="shared" si="226"/>
        <v>2006bwt1000-1499Infant</v>
      </c>
      <c r="J5136" s="604">
        <v>2006</v>
      </c>
      <c r="K5136" s="604" t="s">
        <v>447</v>
      </c>
      <c r="L5136" s="604" t="s">
        <v>429</v>
      </c>
      <c r="M5136" s="604">
        <v>26</v>
      </c>
      <c r="N5136" s="604">
        <v>388</v>
      </c>
      <c r="O5136" s="604">
        <v>67</v>
      </c>
      <c r="P5136" s="604" t="s">
        <v>48</v>
      </c>
    </row>
    <row r="5137" spans="9:16">
      <c r="I5137" s="578" t="str">
        <f t="shared" si="226"/>
        <v>2006bwt1500-2499Infant</v>
      </c>
      <c r="J5137" s="604">
        <v>2006</v>
      </c>
      <c r="K5137" s="604" t="s">
        <v>447</v>
      </c>
      <c r="L5137" s="604" t="s">
        <v>430</v>
      </c>
      <c r="M5137" s="604">
        <v>36</v>
      </c>
      <c r="N5137" s="604">
        <v>2871</v>
      </c>
      <c r="O5137" s="604">
        <v>12.5</v>
      </c>
      <c r="P5137" s="604" t="s">
        <v>48</v>
      </c>
    </row>
    <row r="5138" spans="9:16">
      <c r="I5138" s="578" t="str">
        <f t="shared" si="226"/>
        <v>2006bwt2500-4499Infant</v>
      </c>
      <c r="J5138" s="604">
        <v>2006</v>
      </c>
      <c r="K5138" s="604" t="s">
        <v>447</v>
      </c>
      <c r="L5138" s="604" t="s">
        <v>431</v>
      </c>
      <c r="M5138" s="604">
        <v>143</v>
      </c>
      <c r="N5138" s="604">
        <v>55053</v>
      </c>
      <c r="O5138" s="604">
        <v>2.6</v>
      </c>
      <c r="P5138" s="604" t="s">
        <v>48</v>
      </c>
    </row>
    <row r="5139" spans="9:16">
      <c r="I5139" s="578" t="str">
        <f t="shared" si="226"/>
        <v>2006bwt4500+Infant</v>
      </c>
      <c r="J5139" s="604">
        <v>2006</v>
      </c>
      <c r="K5139" s="604" t="s">
        <v>447</v>
      </c>
      <c r="L5139" s="604" t="s">
        <v>432</v>
      </c>
      <c r="M5139" s="604">
        <v>2</v>
      </c>
      <c r="N5139" s="604">
        <v>1645</v>
      </c>
      <c r="O5139" s="604">
        <v>1.2</v>
      </c>
      <c r="P5139" s="604" t="s">
        <v>48</v>
      </c>
    </row>
    <row r="5140" spans="9:16">
      <c r="I5140" s="578" t="str">
        <f t="shared" si="226"/>
        <v>2006bwtUnknownInfant</v>
      </c>
      <c r="J5140" s="604">
        <v>2006</v>
      </c>
      <c r="K5140" s="604" t="s">
        <v>447</v>
      </c>
      <c r="L5140" s="604" t="s">
        <v>63</v>
      </c>
      <c r="M5140" s="604">
        <v>13</v>
      </c>
      <c r="N5140" s="604">
        <v>71</v>
      </c>
      <c r="O5140" s="604" t="s">
        <v>119</v>
      </c>
      <c r="P5140" s="604" t="s">
        <v>48</v>
      </c>
    </row>
    <row r="5141" spans="9:16">
      <c r="I5141" s="578" t="str">
        <f t="shared" si="226"/>
        <v>2007bwt&lt;500Infant</v>
      </c>
      <c r="J5141" s="604">
        <v>2007</v>
      </c>
      <c r="K5141" s="604" t="s">
        <v>447</v>
      </c>
      <c r="L5141" s="604" t="s">
        <v>427</v>
      </c>
      <c r="M5141" s="604">
        <v>34</v>
      </c>
      <c r="N5141" s="604">
        <v>49</v>
      </c>
      <c r="O5141" s="604">
        <v>693.9</v>
      </c>
      <c r="P5141" s="604" t="s">
        <v>48</v>
      </c>
    </row>
    <row r="5142" spans="9:16">
      <c r="I5142" s="578" t="str">
        <f t="shared" si="226"/>
        <v>2007bwt500-999Infant</v>
      </c>
      <c r="J5142" s="604">
        <v>2007</v>
      </c>
      <c r="K5142" s="604" t="s">
        <v>447</v>
      </c>
      <c r="L5142" s="604" t="s">
        <v>428</v>
      </c>
      <c r="M5142" s="604">
        <v>61</v>
      </c>
      <c r="N5142" s="604">
        <v>239</v>
      </c>
      <c r="O5142" s="604">
        <v>255.2</v>
      </c>
      <c r="P5142" s="604" t="s">
        <v>48</v>
      </c>
    </row>
    <row r="5143" spans="9:16">
      <c r="I5143" s="578" t="str">
        <f t="shared" si="226"/>
        <v>2007bwt1000-1499Infant</v>
      </c>
      <c r="J5143" s="604">
        <v>2007</v>
      </c>
      <c r="K5143" s="604" t="s">
        <v>447</v>
      </c>
      <c r="L5143" s="604" t="s">
        <v>429</v>
      </c>
      <c r="M5143" s="604">
        <v>15</v>
      </c>
      <c r="N5143" s="604">
        <v>396</v>
      </c>
      <c r="O5143" s="604">
        <v>37.9</v>
      </c>
      <c r="P5143" s="604" t="s">
        <v>48</v>
      </c>
    </row>
    <row r="5144" spans="9:16">
      <c r="I5144" s="578" t="str">
        <f t="shared" si="226"/>
        <v>2007bwt1500-2499Infant</v>
      </c>
      <c r="J5144" s="604">
        <v>2007</v>
      </c>
      <c r="K5144" s="604" t="s">
        <v>447</v>
      </c>
      <c r="L5144" s="604" t="s">
        <v>430</v>
      </c>
      <c r="M5144" s="604">
        <v>39</v>
      </c>
      <c r="N5144" s="604">
        <v>3138</v>
      </c>
      <c r="O5144" s="604">
        <v>12.4</v>
      </c>
      <c r="P5144" s="604" t="s">
        <v>48</v>
      </c>
    </row>
    <row r="5145" spans="9:16">
      <c r="I5145" s="578" t="str">
        <f t="shared" si="226"/>
        <v>2007bwt2500-4499Infant</v>
      </c>
      <c r="J5145" s="604">
        <v>2007</v>
      </c>
      <c r="K5145" s="604" t="s">
        <v>447</v>
      </c>
      <c r="L5145" s="604" t="s">
        <v>431</v>
      </c>
      <c r="M5145" s="604">
        <v>149</v>
      </c>
      <c r="N5145" s="604">
        <v>59406</v>
      </c>
      <c r="O5145" s="604">
        <v>2.5</v>
      </c>
      <c r="P5145" s="604" t="s">
        <v>48</v>
      </c>
    </row>
    <row r="5146" spans="9:16">
      <c r="I5146" s="578" t="str">
        <f t="shared" si="226"/>
        <v>2007bwt4500+Infant</v>
      </c>
      <c r="J5146" s="604">
        <v>2007</v>
      </c>
      <c r="K5146" s="604" t="s">
        <v>447</v>
      </c>
      <c r="L5146" s="604" t="s">
        <v>432</v>
      </c>
      <c r="M5146" s="604">
        <v>3</v>
      </c>
      <c r="N5146" s="604">
        <v>1833</v>
      </c>
      <c r="O5146" s="604">
        <v>1.6</v>
      </c>
      <c r="P5146" s="604" t="s">
        <v>48</v>
      </c>
    </row>
    <row r="5147" spans="9:16">
      <c r="I5147" s="578" t="str">
        <f t="shared" si="226"/>
        <v>2007bwtUnknownInfant</v>
      </c>
      <c r="J5147" s="604">
        <v>2007</v>
      </c>
      <c r="K5147" s="604" t="s">
        <v>447</v>
      </c>
      <c r="L5147" s="604" t="s">
        <v>63</v>
      </c>
      <c r="M5147" s="604">
        <v>11</v>
      </c>
      <c r="N5147" s="604">
        <v>60</v>
      </c>
      <c r="O5147" s="604" t="s">
        <v>119</v>
      </c>
      <c r="P5147" s="604" t="s">
        <v>48</v>
      </c>
    </row>
    <row r="5148" spans="9:16">
      <c r="I5148" s="578" t="str">
        <f t="shared" si="226"/>
        <v>2008bwt&lt;500Infant</v>
      </c>
      <c r="J5148" s="604">
        <v>2008</v>
      </c>
      <c r="K5148" s="604" t="s">
        <v>447</v>
      </c>
      <c r="L5148" s="604" t="s">
        <v>427</v>
      </c>
      <c r="M5148" s="604">
        <v>38</v>
      </c>
      <c r="N5148" s="604">
        <v>65</v>
      </c>
      <c r="O5148" s="604">
        <v>584.6</v>
      </c>
      <c r="P5148" s="604" t="s">
        <v>48</v>
      </c>
    </row>
    <row r="5149" spans="9:16">
      <c r="I5149" s="578" t="str">
        <f t="shared" si="226"/>
        <v>2008bwt500-999Infant</v>
      </c>
      <c r="J5149" s="604">
        <v>2008</v>
      </c>
      <c r="K5149" s="604" t="s">
        <v>447</v>
      </c>
      <c r="L5149" s="604" t="s">
        <v>428</v>
      </c>
      <c r="M5149" s="604">
        <v>67</v>
      </c>
      <c r="N5149" s="604">
        <v>208</v>
      </c>
      <c r="O5149" s="604">
        <v>322.10000000000002</v>
      </c>
      <c r="P5149" s="604" t="s">
        <v>48</v>
      </c>
    </row>
    <row r="5150" spans="9:16">
      <c r="I5150" s="578" t="str">
        <f t="shared" si="226"/>
        <v>2008bwt1000-1499Infant</v>
      </c>
      <c r="J5150" s="604">
        <v>2008</v>
      </c>
      <c r="K5150" s="604" t="s">
        <v>447</v>
      </c>
      <c r="L5150" s="604" t="s">
        <v>429</v>
      </c>
      <c r="M5150" s="604">
        <v>25</v>
      </c>
      <c r="N5150" s="604">
        <v>390</v>
      </c>
      <c r="O5150" s="604">
        <v>64.099999999999994</v>
      </c>
      <c r="P5150" s="604" t="s">
        <v>48</v>
      </c>
    </row>
    <row r="5151" spans="9:16">
      <c r="I5151" s="578" t="str">
        <f t="shared" si="226"/>
        <v>2008bwt1500-2499Infant</v>
      </c>
      <c r="J5151" s="604">
        <v>2008</v>
      </c>
      <c r="K5151" s="604" t="s">
        <v>447</v>
      </c>
      <c r="L5151" s="604" t="s">
        <v>430</v>
      </c>
      <c r="M5151" s="604">
        <v>41</v>
      </c>
      <c r="N5151" s="604">
        <v>3187</v>
      </c>
      <c r="O5151" s="604">
        <v>12.9</v>
      </c>
      <c r="P5151" s="604" t="s">
        <v>48</v>
      </c>
    </row>
    <row r="5152" spans="9:16">
      <c r="I5152" s="578" t="str">
        <f t="shared" si="226"/>
        <v>2008bwt2500-4499Infant</v>
      </c>
      <c r="J5152" s="604">
        <v>2008</v>
      </c>
      <c r="K5152" s="604" t="s">
        <v>447</v>
      </c>
      <c r="L5152" s="604" t="s">
        <v>431</v>
      </c>
      <c r="M5152" s="604">
        <v>128</v>
      </c>
      <c r="N5152" s="604">
        <v>59536</v>
      </c>
      <c r="O5152" s="604">
        <v>2.1</v>
      </c>
      <c r="P5152" s="604" t="s">
        <v>48</v>
      </c>
    </row>
    <row r="5153" spans="9:16">
      <c r="I5153" s="578" t="str">
        <f t="shared" si="226"/>
        <v>2008bwt4500+Infant</v>
      </c>
      <c r="J5153" s="604">
        <v>2008</v>
      </c>
      <c r="K5153" s="604" t="s">
        <v>447</v>
      </c>
      <c r="L5153" s="604" t="s">
        <v>432</v>
      </c>
      <c r="M5153" s="604">
        <v>5</v>
      </c>
      <c r="N5153" s="604">
        <v>1862</v>
      </c>
      <c r="O5153" s="604">
        <v>2.7</v>
      </c>
      <c r="P5153" s="604" t="s">
        <v>48</v>
      </c>
    </row>
    <row r="5154" spans="9:16">
      <c r="I5154" s="578" t="str">
        <f t="shared" si="226"/>
        <v>2008bwtUnknownInfant</v>
      </c>
      <c r="J5154" s="604">
        <v>2008</v>
      </c>
      <c r="K5154" s="604" t="s">
        <v>447</v>
      </c>
      <c r="L5154" s="604" t="s">
        <v>63</v>
      </c>
      <c r="M5154" s="604">
        <v>19</v>
      </c>
      <c r="N5154" s="604">
        <v>85</v>
      </c>
      <c r="O5154" s="604" t="s">
        <v>119</v>
      </c>
      <c r="P5154" s="604" t="s">
        <v>48</v>
      </c>
    </row>
    <row r="5155" spans="9:16">
      <c r="I5155" s="578" t="str">
        <f t="shared" si="226"/>
        <v>2009bwt&lt;500Infant</v>
      </c>
      <c r="J5155" s="604">
        <v>2009</v>
      </c>
      <c r="K5155" s="604" t="s">
        <v>447</v>
      </c>
      <c r="L5155" s="604" t="s">
        <v>427</v>
      </c>
      <c r="M5155" s="604">
        <v>45</v>
      </c>
      <c r="N5155" s="604">
        <v>60</v>
      </c>
      <c r="O5155" s="604">
        <v>750</v>
      </c>
      <c r="P5155" s="604" t="s">
        <v>48</v>
      </c>
    </row>
    <row r="5156" spans="9:16">
      <c r="I5156" s="578" t="str">
        <f t="shared" si="226"/>
        <v>2009bwt500-999Infant</v>
      </c>
      <c r="J5156" s="604">
        <v>2009</v>
      </c>
      <c r="K5156" s="604" t="s">
        <v>447</v>
      </c>
      <c r="L5156" s="604" t="s">
        <v>428</v>
      </c>
      <c r="M5156" s="604">
        <v>76</v>
      </c>
      <c r="N5156" s="604">
        <v>233</v>
      </c>
      <c r="O5156" s="604">
        <v>326.2</v>
      </c>
      <c r="P5156" s="604" t="s">
        <v>48</v>
      </c>
    </row>
    <row r="5157" spans="9:16">
      <c r="I5157" s="578" t="str">
        <f t="shared" si="226"/>
        <v>2009bwt1000-1499Infant</v>
      </c>
      <c r="J5157" s="604">
        <v>2009</v>
      </c>
      <c r="K5157" s="604" t="s">
        <v>447</v>
      </c>
      <c r="L5157" s="604" t="s">
        <v>429</v>
      </c>
      <c r="M5157" s="604">
        <v>17</v>
      </c>
      <c r="N5157" s="604">
        <v>379</v>
      </c>
      <c r="O5157" s="604">
        <v>44.9</v>
      </c>
      <c r="P5157" s="604" t="s">
        <v>48</v>
      </c>
    </row>
    <row r="5158" spans="9:16">
      <c r="I5158" s="578" t="str">
        <f t="shared" si="226"/>
        <v>2009bwt1500-2499Infant</v>
      </c>
      <c r="J5158" s="604">
        <v>2009</v>
      </c>
      <c r="K5158" s="604" t="s">
        <v>447</v>
      </c>
      <c r="L5158" s="604" t="s">
        <v>430</v>
      </c>
      <c r="M5158" s="604">
        <v>44</v>
      </c>
      <c r="N5158" s="604">
        <v>3050</v>
      </c>
      <c r="O5158" s="604">
        <v>14.4</v>
      </c>
      <c r="P5158" s="604" t="s">
        <v>48</v>
      </c>
    </row>
    <row r="5159" spans="9:16">
      <c r="I5159" s="578" t="str">
        <f t="shared" si="226"/>
        <v>2009bwt2500-4499Infant</v>
      </c>
      <c r="J5159" s="604">
        <v>2009</v>
      </c>
      <c r="K5159" s="604" t="s">
        <v>447</v>
      </c>
      <c r="L5159" s="604" t="s">
        <v>431</v>
      </c>
      <c r="M5159" s="604">
        <v>133</v>
      </c>
      <c r="N5159" s="604">
        <v>57781</v>
      </c>
      <c r="O5159" s="604">
        <v>2.2999999999999998</v>
      </c>
      <c r="P5159" s="604" t="s">
        <v>48</v>
      </c>
    </row>
    <row r="5160" spans="9:16">
      <c r="I5160" s="578" t="str">
        <f t="shared" si="226"/>
        <v>2009bwt4500+Infant</v>
      </c>
      <c r="J5160" s="604">
        <v>2009</v>
      </c>
      <c r="K5160" s="604" t="s">
        <v>447</v>
      </c>
      <c r="L5160" s="604" t="s">
        <v>432</v>
      </c>
      <c r="M5160" s="604">
        <v>3</v>
      </c>
      <c r="N5160" s="604">
        <v>1693</v>
      </c>
      <c r="O5160" s="604">
        <v>1.8</v>
      </c>
      <c r="P5160" s="604" t="s">
        <v>48</v>
      </c>
    </row>
    <row r="5161" spans="9:16">
      <c r="I5161" s="578" t="str">
        <f t="shared" si="226"/>
        <v>2009bwtUnknownInfant</v>
      </c>
      <c r="J5161" s="604">
        <v>2009</v>
      </c>
      <c r="K5161" s="604" t="s">
        <v>447</v>
      </c>
      <c r="L5161" s="604" t="s">
        <v>63</v>
      </c>
      <c r="M5161" s="604">
        <v>14</v>
      </c>
      <c r="N5161" s="604">
        <v>89</v>
      </c>
      <c r="O5161" s="604" t="s">
        <v>119</v>
      </c>
      <c r="P5161" s="604" t="s">
        <v>48</v>
      </c>
    </row>
    <row r="5162" spans="9:16">
      <c r="I5162" s="578" t="str">
        <f t="shared" si="226"/>
        <v>2010bwt&lt;500Infant</v>
      </c>
      <c r="J5162" s="604">
        <v>2010</v>
      </c>
      <c r="K5162" s="604" t="s">
        <v>447</v>
      </c>
      <c r="L5162" s="604" t="s">
        <v>427</v>
      </c>
      <c r="M5162" s="604">
        <v>60</v>
      </c>
      <c r="N5162" s="604">
        <v>69</v>
      </c>
      <c r="O5162" s="604">
        <v>869.6</v>
      </c>
      <c r="P5162" s="604" t="s">
        <v>48</v>
      </c>
    </row>
    <row r="5163" spans="9:16">
      <c r="I5163" s="578" t="str">
        <f t="shared" si="226"/>
        <v>2010bwt500-999Infant</v>
      </c>
      <c r="J5163" s="604">
        <v>2010</v>
      </c>
      <c r="K5163" s="604" t="s">
        <v>447</v>
      </c>
      <c r="L5163" s="604" t="s">
        <v>428</v>
      </c>
      <c r="M5163" s="604">
        <v>77</v>
      </c>
      <c r="N5163" s="604">
        <v>230</v>
      </c>
      <c r="O5163" s="604">
        <v>334.8</v>
      </c>
      <c r="P5163" s="604" t="s">
        <v>48</v>
      </c>
    </row>
    <row r="5164" spans="9:16">
      <c r="I5164" s="578" t="str">
        <f t="shared" si="226"/>
        <v>2010bwt1000-1499Infant</v>
      </c>
      <c r="J5164" s="604">
        <v>2010</v>
      </c>
      <c r="K5164" s="604" t="s">
        <v>447</v>
      </c>
      <c r="L5164" s="604" t="s">
        <v>429</v>
      </c>
      <c r="M5164" s="604">
        <v>16</v>
      </c>
      <c r="N5164" s="604">
        <v>377</v>
      </c>
      <c r="O5164" s="604">
        <v>42.4</v>
      </c>
      <c r="P5164" s="604" t="s">
        <v>48</v>
      </c>
    </row>
    <row r="5165" spans="9:16">
      <c r="I5165" s="578" t="str">
        <f t="shared" si="226"/>
        <v>2010bwt1500-2499Infant</v>
      </c>
      <c r="J5165" s="604">
        <v>2010</v>
      </c>
      <c r="K5165" s="604" t="s">
        <v>447</v>
      </c>
      <c r="L5165" s="604" t="s">
        <v>430</v>
      </c>
      <c r="M5165" s="604">
        <v>47</v>
      </c>
      <c r="N5165" s="604">
        <v>3104</v>
      </c>
      <c r="O5165" s="604">
        <v>15.1</v>
      </c>
      <c r="P5165" s="604" t="s">
        <v>48</v>
      </c>
    </row>
    <row r="5166" spans="9:16">
      <c r="I5166" s="578" t="str">
        <f t="shared" si="226"/>
        <v>2010bwt2500-4499Infant</v>
      </c>
      <c r="J5166" s="604">
        <v>2010</v>
      </c>
      <c r="K5166" s="604" t="s">
        <v>447</v>
      </c>
      <c r="L5166" s="604" t="s">
        <v>431</v>
      </c>
      <c r="M5166" s="604">
        <v>139</v>
      </c>
      <c r="N5166" s="604">
        <v>59190</v>
      </c>
      <c r="O5166" s="604">
        <v>2.2999999999999998</v>
      </c>
      <c r="P5166" s="604" t="s">
        <v>48</v>
      </c>
    </row>
    <row r="5167" spans="9:16">
      <c r="I5167" s="578" t="str">
        <f t="shared" si="226"/>
        <v>2010bwt4500+Infant</v>
      </c>
      <c r="J5167" s="604">
        <v>2010</v>
      </c>
      <c r="K5167" s="604" t="s">
        <v>447</v>
      </c>
      <c r="L5167" s="604" t="s">
        <v>432</v>
      </c>
      <c r="M5167" s="604">
        <v>1</v>
      </c>
      <c r="N5167" s="604">
        <v>1673</v>
      </c>
      <c r="O5167" s="604">
        <v>0.6</v>
      </c>
      <c r="P5167" s="604" t="s">
        <v>48</v>
      </c>
    </row>
    <row r="5168" spans="9:16">
      <c r="I5168" s="578" t="str">
        <f t="shared" si="226"/>
        <v>2010bwtUnknownInfant</v>
      </c>
      <c r="J5168" s="604">
        <v>2010</v>
      </c>
      <c r="K5168" s="604" t="s">
        <v>447</v>
      </c>
      <c r="L5168" s="604" t="s">
        <v>63</v>
      </c>
      <c r="M5168" s="604">
        <v>21</v>
      </c>
      <c r="N5168" s="604">
        <v>56</v>
      </c>
      <c r="O5168" s="604" t="s">
        <v>119</v>
      </c>
      <c r="P5168" s="604" t="s">
        <v>48</v>
      </c>
    </row>
    <row r="5169" spans="9:16">
      <c r="I5169" s="578" t="str">
        <f t="shared" si="226"/>
        <v>2011bwt&lt;500Infant</v>
      </c>
      <c r="J5169" s="604">
        <v>2011</v>
      </c>
      <c r="K5169" s="604" t="s">
        <v>447</v>
      </c>
      <c r="L5169" s="604" t="s">
        <v>427</v>
      </c>
      <c r="M5169" s="604">
        <v>60</v>
      </c>
      <c r="N5169" s="604">
        <v>63</v>
      </c>
      <c r="O5169" s="604">
        <v>952.4</v>
      </c>
      <c r="P5169" s="604" t="s">
        <v>48</v>
      </c>
    </row>
    <row r="5170" spans="9:16">
      <c r="I5170" s="578" t="str">
        <f t="shared" si="226"/>
        <v>2011bwt500-999Infant</v>
      </c>
      <c r="J5170" s="604">
        <v>2011</v>
      </c>
      <c r="K5170" s="604" t="s">
        <v>447</v>
      </c>
      <c r="L5170" s="604" t="s">
        <v>428</v>
      </c>
      <c r="M5170" s="604">
        <v>62</v>
      </c>
      <c r="N5170" s="604">
        <v>209</v>
      </c>
      <c r="O5170" s="604">
        <v>296.7</v>
      </c>
      <c r="P5170" s="604" t="s">
        <v>48</v>
      </c>
    </row>
    <row r="5171" spans="9:16">
      <c r="I5171" s="578" t="str">
        <f t="shared" si="226"/>
        <v>2011bwt1000-1499Infant</v>
      </c>
      <c r="J5171" s="604">
        <v>2011</v>
      </c>
      <c r="K5171" s="604" t="s">
        <v>447</v>
      </c>
      <c r="L5171" s="604" t="s">
        <v>429</v>
      </c>
      <c r="M5171" s="604">
        <v>20</v>
      </c>
      <c r="N5171" s="604">
        <v>327</v>
      </c>
      <c r="O5171" s="604">
        <v>61.2</v>
      </c>
      <c r="P5171" s="604" t="s">
        <v>48</v>
      </c>
    </row>
    <row r="5172" spans="9:16">
      <c r="I5172" s="578" t="str">
        <f t="shared" si="226"/>
        <v>2011bwt1500-2499Infant</v>
      </c>
      <c r="J5172" s="604">
        <v>2011</v>
      </c>
      <c r="K5172" s="604" t="s">
        <v>447</v>
      </c>
      <c r="L5172" s="604" t="s">
        <v>430</v>
      </c>
      <c r="M5172" s="604">
        <v>46</v>
      </c>
      <c r="N5172" s="604">
        <v>3086</v>
      </c>
      <c r="O5172" s="604">
        <v>14.9</v>
      </c>
      <c r="P5172" s="604" t="s">
        <v>48</v>
      </c>
    </row>
    <row r="5173" spans="9:16">
      <c r="I5173" s="578" t="str">
        <f t="shared" si="226"/>
        <v>2011bwt2500-4499Infant</v>
      </c>
      <c r="J5173" s="604">
        <v>2011</v>
      </c>
      <c r="K5173" s="604" t="s">
        <v>447</v>
      </c>
      <c r="L5173" s="604" t="s">
        <v>431</v>
      </c>
      <c r="M5173" s="604">
        <v>123</v>
      </c>
      <c r="N5173" s="604">
        <v>56859</v>
      </c>
      <c r="O5173" s="604">
        <v>2.2000000000000002</v>
      </c>
      <c r="P5173" s="604" t="s">
        <v>48</v>
      </c>
    </row>
    <row r="5174" spans="9:16">
      <c r="I5174" s="578" t="str">
        <f t="shared" si="226"/>
        <v>2011bwt4500+Infant</v>
      </c>
      <c r="J5174" s="604">
        <v>2011</v>
      </c>
      <c r="K5174" s="604" t="s">
        <v>447</v>
      </c>
      <c r="L5174" s="604" t="s">
        <v>432</v>
      </c>
      <c r="M5174" s="604">
        <v>5</v>
      </c>
      <c r="N5174" s="604">
        <v>1597</v>
      </c>
      <c r="O5174" s="604">
        <v>3.1</v>
      </c>
      <c r="P5174" s="604" t="s">
        <v>48</v>
      </c>
    </row>
    <row r="5175" spans="9:16">
      <c r="I5175" s="578" t="str">
        <f t="shared" si="226"/>
        <v>2011bwtUnknownInfant</v>
      </c>
      <c r="J5175" s="604">
        <v>2011</v>
      </c>
      <c r="K5175" s="604" t="s">
        <v>447</v>
      </c>
      <c r="L5175" s="604" t="s">
        <v>63</v>
      </c>
      <c r="M5175" s="604">
        <v>6</v>
      </c>
      <c r="N5175" s="604">
        <v>33</v>
      </c>
      <c r="O5175" s="604" t="s">
        <v>119</v>
      </c>
      <c r="P5175" s="604" t="s">
        <v>48</v>
      </c>
    </row>
    <row r="5176" spans="9:16">
      <c r="I5176" s="578" t="str">
        <f t="shared" si="226"/>
        <v>2012bwt&lt;500Infant</v>
      </c>
      <c r="J5176" s="604">
        <v>2012</v>
      </c>
      <c r="K5176" s="604" t="s">
        <v>447</v>
      </c>
      <c r="L5176" s="604" t="s">
        <v>427</v>
      </c>
      <c r="M5176" s="604">
        <v>50</v>
      </c>
      <c r="N5176" s="604">
        <v>72</v>
      </c>
      <c r="O5176" s="604">
        <v>694.4</v>
      </c>
      <c r="P5176" s="604" t="s">
        <v>48</v>
      </c>
    </row>
    <row r="5177" spans="9:16">
      <c r="I5177" s="578" t="str">
        <f t="shared" si="226"/>
        <v>2012bwt500-999Infant</v>
      </c>
      <c r="J5177" s="604">
        <v>2012</v>
      </c>
      <c r="K5177" s="604" t="s">
        <v>447</v>
      </c>
      <c r="L5177" s="604" t="s">
        <v>428</v>
      </c>
      <c r="M5177" s="604">
        <v>78</v>
      </c>
      <c r="N5177" s="604">
        <v>219</v>
      </c>
      <c r="O5177" s="604">
        <v>356.2</v>
      </c>
      <c r="P5177" s="604" t="s">
        <v>48</v>
      </c>
    </row>
    <row r="5178" spans="9:16">
      <c r="I5178" s="578" t="str">
        <f t="shared" si="226"/>
        <v>2012bwt1000-1499Infant</v>
      </c>
      <c r="J5178" s="604">
        <v>2012</v>
      </c>
      <c r="K5178" s="604" t="s">
        <v>447</v>
      </c>
      <c r="L5178" s="604" t="s">
        <v>429</v>
      </c>
      <c r="M5178" s="604">
        <v>19</v>
      </c>
      <c r="N5178" s="604">
        <v>356</v>
      </c>
      <c r="O5178" s="604">
        <v>53.4</v>
      </c>
      <c r="P5178" s="604" t="s">
        <v>48</v>
      </c>
    </row>
    <row r="5179" spans="9:16">
      <c r="I5179" s="578" t="str">
        <f t="shared" si="226"/>
        <v>2012bwt1500-2499Infant</v>
      </c>
      <c r="J5179" s="604">
        <v>2012</v>
      </c>
      <c r="K5179" s="604" t="s">
        <v>447</v>
      </c>
      <c r="L5179" s="604" t="s">
        <v>430</v>
      </c>
      <c r="M5179" s="604">
        <v>34</v>
      </c>
      <c r="N5179" s="604">
        <v>3144</v>
      </c>
      <c r="O5179" s="604">
        <v>10.8</v>
      </c>
      <c r="P5179" s="604" t="s">
        <v>48</v>
      </c>
    </row>
    <row r="5180" spans="9:16">
      <c r="I5180" s="578" t="str">
        <f t="shared" si="226"/>
        <v>2012bwt2500-4499Infant</v>
      </c>
      <c r="J5180" s="604">
        <v>2012</v>
      </c>
      <c r="K5180" s="604" t="s">
        <v>447</v>
      </c>
      <c r="L5180" s="604" t="s">
        <v>431</v>
      </c>
      <c r="M5180" s="604">
        <v>107</v>
      </c>
      <c r="N5180" s="604">
        <v>56574</v>
      </c>
      <c r="O5180" s="604">
        <v>1.9</v>
      </c>
      <c r="P5180" s="604" t="s">
        <v>48</v>
      </c>
    </row>
    <row r="5181" spans="9:16">
      <c r="I5181" s="578" t="str">
        <f t="shared" si="226"/>
        <v>2012bwt4500+Infant</v>
      </c>
      <c r="J5181" s="604">
        <v>2012</v>
      </c>
      <c r="K5181" s="604" t="s">
        <v>447</v>
      </c>
      <c r="L5181" s="604" t="s">
        <v>432</v>
      </c>
      <c r="M5181" s="604">
        <v>1</v>
      </c>
      <c r="N5181" s="604">
        <v>1642</v>
      </c>
      <c r="O5181" s="604">
        <v>0.6</v>
      </c>
      <c r="P5181" s="604" t="s">
        <v>48</v>
      </c>
    </row>
    <row r="5182" spans="9:16">
      <c r="I5182" s="578" t="str">
        <f t="shared" si="226"/>
        <v>2012bwtUnknownInfant</v>
      </c>
      <c r="J5182" s="604">
        <v>2012</v>
      </c>
      <c r="K5182" s="604" t="s">
        <v>447</v>
      </c>
      <c r="L5182" s="604" t="s">
        <v>63</v>
      </c>
      <c r="M5182" s="604">
        <v>5</v>
      </c>
      <c r="N5182" s="604">
        <v>28</v>
      </c>
      <c r="O5182" s="604" t="s">
        <v>119</v>
      </c>
      <c r="P5182" s="604" t="s">
        <v>48</v>
      </c>
    </row>
    <row r="5183" spans="9:16">
      <c r="I5183" s="578" t="str">
        <f t="shared" si="226"/>
        <v>2013bwt&lt;500Infant</v>
      </c>
      <c r="J5183" s="604">
        <v>2013</v>
      </c>
      <c r="K5183" s="604" t="s">
        <v>447</v>
      </c>
      <c r="L5183" s="604" t="s">
        <v>427</v>
      </c>
      <c r="M5183" s="604">
        <v>58</v>
      </c>
      <c r="N5183" s="604">
        <v>65</v>
      </c>
      <c r="O5183" s="604">
        <v>892.3</v>
      </c>
      <c r="P5183" s="604" t="s">
        <v>48</v>
      </c>
    </row>
    <row r="5184" spans="9:16">
      <c r="I5184" s="578" t="str">
        <f t="shared" si="226"/>
        <v>2013bwt500-999Infant</v>
      </c>
      <c r="J5184" s="604">
        <v>2013</v>
      </c>
      <c r="K5184" s="604" t="s">
        <v>447</v>
      </c>
      <c r="L5184" s="604" t="s">
        <v>428</v>
      </c>
      <c r="M5184" s="604">
        <v>78</v>
      </c>
      <c r="N5184" s="604">
        <v>216</v>
      </c>
      <c r="O5184" s="604">
        <v>361.1</v>
      </c>
      <c r="P5184" s="604" t="s">
        <v>48</v>
      </c>
    </row>
    <row r="5185" spans="9:16">
      <c r="I5185" s="578" t="str">
        <f t="shared" si="226"/>
        <v>2013bwt1000-1499Infant</v>
      </c>
      <c r="J5185" s="604">
        <v>2013</v>
      </c>
      <c r="K5185" s="604" t="s">
        <v>447</v>
      </c>
      <c r="L5185" s="604" t="s">
        <v>429</v>
      </c>
      <c r="M5185" s="604">
        <v>11</v>
      </c>
      <c r="N5185" s="604">
        <v>317</v>
      </c>
      <c r="O5185" s="604">
        <v>34.700000000000003</v>
      </c>
      <c r="P5185" s="604" t="s">
        <v>48</v>
      </c>
    </row>
    <row r="5186" spans="9:16">
      <c r="I5186" s="578" t="str">
        <f t="shared" si="226"/>
        <v>2013bwt1500-2499Infant</v>
      </c>
      <c r="J5186" s="604">
        <v>2013</v>
      </c>
      <c r="K5186" s="604" t="s">
        <v>447</v>
      </c>
      <c r="L5186" s="604" t="s">
        <v>430</v>
      </c>
      <c r="M5186" s="604">
        <v>35</v>
      </c>
      <c r="N5186" s="604">
        <v>2952</v>
      </c>
      <c r="O5186" s="604">
        <v>11.9</v>
      </c>
      <c r="P5186" s="604" t="s">
        <v>48</v>
      </c>
    </row>
    <row r="5187" spans="9:16">
      <c r="I5187" s="578" t="str">
        <f t="shared" si="226"/>
        <v>2013bwt2500-4499Infant</v>
      </c>
      <c r="J5187" s="604">
        <v>2013</v>
      </c>
      <c r="K5187" s="604" t="s">
        <v>447</v>
      </c>
      <c r="L5187" s="604" t="s">
        <v>431</v>
      </c>
      <c r="M5187" s="604">
        <v>96</v>
      </c>
      <c r="N5187" s="604">
        <v>54612</v>
      </c>
      <c r="O5187" s="604">
        <v>1.8</v>
      </c>
      <c r="P5187" s="604" t="s">
        <v>48</v>
      </c>
    </row>
    <row r="5188" spans="9:16">
      <c r="I5188" s="578" t="str">
        <f t="shared" ref="I5188:I5251" si="227">J5188&amp;K5188&amp;L5188&amp;P5188</f>
        <v>2013bwt4500+Infant</v>
      </c>
      <c r="J5188" s="604">
        <v>2013</v>
      </c>
      <c r="K5188" s="604" t="s">
        <v>447</v>
      </c>
      <c r="L5188" s="604" t="s">
        <v>432</v>
      </c>
      <c r="M5188" s="604">
        <v>3</v>
      </c>
      <c r="N5188" s="604">
        <v>1508</v>
      </c>
      <c r="O5188" s="604">
        <v>2</v>
      </c>
      <c r="P5188" s="604" t="s">
        <v>48</v>
      </c>
    </row>
    <row r="5189" spans="9:16">
      <c r="I5189" s="578" t="str">
        <f t="shared" si="227"/>
        <v>2013bwtUnknownInfant</v>
      </c>
      <c r="J5189" s="604">
        <v>2013</v>
      </c>
      <c r="K5189" s="604" t="s">
        <v>447</v>
      </c>
      <c r="L5189" s="604" t="s">
        <v>63</v>
      </c>
      <c r="M5189" s="604">
        <v>15</v>
      </c>
      <c r="N5189" s="604">
        <v>31</v>
      </c>
      <c r="O5189" s="604" t="s">
        <v>119</v>
      </c>
      <c r="P5189" s="604" t="s">
        <v>48</v>
      </c>
    </row>
    <row r="5190" spans="9:16">
      <c r="I5190" s="578" t="str">
        <f t="shared" si="227"/>
        <v>2014bwt&lt;500Infant</v>
      </c>
      <c r="J5190" s="604">
        <v>2014</v>
      </c>
      <c r="K5190" s="604" t="s">
        <v>447</v>
      </c>
      <c r="L5190" s="604" t="s">
        <v>427</v>
      </c>
      <c r="M5190" s="604">
        <v>79</v>
      </c>
      <c r="N5190" s="604">
        <v>95</v>
      </c>
      <c r="O5190" s="604">
        <v>831.6</v>
      </c>
      <c r="P5190" s="604" t="s">
        <v>48</v>
      </c>
    </row>
    <row r="5191" spans="9:16">
      <c r="I5191" s="578" t="str">
        <f t="shared" si="227"/>
        <v>2014bwt500-999Infant</v>
      </c>
      <c r="J5191" s="604">
        <v>2014</v>
      </c>
      <c r="K5191" s="604" t="s">
        <v>447</v>
      </c>
      <c r="L5191" s="604" t="s">
        <v>428</v>
      </c>
      <c r="M5191" s="604">
        <v>76</v>
      </c>
      <c r="N5191" s="604">
        <v>215</v>
      </c>
      <c r="O5191" s="604">
        <v>353.5</v>
      </c>
      <c r="P5191" s="604" t="s">
        <v>48</v>
      </c>
    </row>
    <row r="5192" spans="9:16">
      <c r="I5192" s="578" t="str">
        <f t="shared" si="227"/>
        <v>2014bwt1000-1499Infant</v>
      </c>
      <c r="J5192" s="604">
        <v>2014</v>
      </c>
      <c r="K5192" s="604" t="s">
        <v>447</v>
      </c>
      <c r="L5192" s="604" t="s">
        <v>429</v>
      </c>
      <c r="M5192" s="604">
        <v>10</v>
      </c>
      <c r="N5192" s="604">
        <v>312</v>
      </c>
      <c r="O5192" s="604">
        <v>32.1</v>
      </c>
      <c r="P5192" s="604" t="s">
        <v>48</v>
      </c>
    </row>
    <row r="5193" spans="9:16">
      <c r="I5193" s="578" t="str">
        <f t="shared" si="227"/>
        <v>2014bwt1500-2499Infant</v>
      </c>
      <c r="J5193" s="604">
        <v>2014</v>
      </c>
      <c r="K5193" s="604" t="s">
        <v>447</v>
      </c>
      <c r="L5193" s="604" t="s">
        <v>430</v>
      </c>
      <c r="M5193" s="604">
        <v>40</v>
      </c>
      <c r="N5193" s="604">
        <v>2781</v>
      </c>
      <c r="O5193" s="604">
        <v>14.4</v>
      </c>
      <c r="P5193" s="604" t="s">
        <v>48</v>
      </c>
    </row>
    <row r="5194" spans="9:16">
      <c r="I5194" s="578" t="str">
        <f t="shared" si="227"/>
        <v>2014bwt2500-4499Infant</v>
      </c>
      <c r="J5194" s="604">
        <v>2014</v>
      </c>
      <c r="K5194" s="604" t="s">
        <v>447</v>
      </c>
      <c r="L5194" s="604" t="s">
        <v>431</v>
      </c>
      <c r="M5194" s="604">
        <v>103</v>
      </c>
      <c r="N5194" s="604">
        <v>53374</v>
      </c>
      <c r="O5194" s="604">
        <v>1.9</v>
      </c>
      <c r="P5194" s="604" t="s">
        <v>48</v>
      </c>
    </row>
    <row r="5195" spans="9:16">
      <c r="I5195" s="578" t="str">
        <f t="shared" si="227"/>
        <v>2014bwt4500+Infant</v>
      </c>
      <c r="J5195" s="604">
        <v>2014</v>
      </c>
      <c r="K5195" s="604" t="s">
        <v>447</v>
      </c>
      <c r="L5195" s="604" t="s">
        <v>432</v>
      </c>
      <c r="M5195" s="604">
        <v>2</v>
      </c>
      <c r="N5195" s="604">
        <v>1481</v>
      </c>
      <c r="O5195" s="604">
        <v>1.4</v>
      </c>
      <c r="P5195" s="604" t="s">
        <v>48</v>
      </c>
    </row>
    <row r="5196" spans="9:16">
      <c r="I5196" s="578" t="str">
        <f t="shared" si="227"/>
        <v>2014bwtUnknownInfant</v>
      </c>
      <c r="J5196" s="604">
        <v>2014</v>
      </c>
      <c r="K5196" s="604" t="s">
        <v>447</v>
      </c>
      <c r="L5196" s="604" t="s">
        <v>63</v>
      </c>
      <c r="M5196" s="604">
        <v>23</v>
      </c>
      <c r="N5196" s="604">
        <v>27</v>
      </c>
      <c r="O5196" s="604" t="s">
        <v>119</v>
      </c>
      <c r="P5196" s="604" t="s">
        <v>48</v>
      </c>
    </row>
    <row r="5197" spans="9:16">
      <c r="I5197" s="578" t="str">
        <f t="shared" si="227"/>
        <v>2015bwt&lt;500Infant</v>
      </c>
      <c r="J5197" s="604">
        <v>2015</v>
      </c>
      <c r="K5197" s="604" t="s">
        <v>447</v>
      </c>
      <c r="L5197" s="604" t="s">
        <v>427</v>
      </c>
      <c r="M5197" s="604">
        <v>40</v>
      </c>
      <c r="N5197" s="604">
        <v>58</v>
      </c>
      <c r="O5197" s="604">
        <v>689.7</v>
      </c>
      <c r="P5197" s="604" t="s">
        <v>48</v>
      </c>
    </row>
    <row r="5198" spans="9:16">
      <c r="I5198" s="578" t="str">
        <f t="shared" si="227"/>
        <v>2015bwt500-999Infant</v>
      </c>
      <c r="J5198" s="604">
        <v>2015</v>
      </c>
      <c r="K5198" s="604" t="s">
        <v>447</v>
      </c>
      <c r="L5198" s="604" t="s">
        <v>428</v>
      </c>
      <c r="M5198" s="604">
        <v>60</v>
      </c>
      <c r="N5198" s="604">
        <v>195</v>
      </c>
      <c r="O5198" s="604">
        <v>307.7</v>
      </c>
      <c r="P5198" s="604" t="s">
        <v>48</v>
      </c>
    </row>
    <row r="5199" spans="9:16">
      <c r="I5199" s="578" t="str">
        <f t="shared" si="227"/>
        <v>2015bwt1000-1499Infant</v>
      </c>
      <c r="J5199" s="604">
        <v>2015</v>
      </c>
      <c r="K5199" s="604" t="s">
        <v>447</v>
      </c>
      <c r="L5199" s="604" t="s">
        <v>429</v>
      </c>
      <c r="M5199" s="604">
        <v>15</v>
      </c>
      <c r="N5199" s="604">
        <v>392</v>
      </c>
      <c r="O5199" s="604">
        <v>38.299999999999997</v>
      </c>
      <c r="P5199" s="604" t="s">
        <v>48</v>
      </c>
    </row>
    <row r="5200" spans="9:16">
      <c r="I5200" s="578" t="str">
        <f t="shared" si="227"/>
        <v>2015bwt1500-2499Infant</v>
      </c>
      <c r="J5200" s="604">
        <v>2015</v>
      </c>
      <c r="K5200" s="604" t="s">
        <v>447</v>
      </c>
      <c r="L5200" s="604" t="s">
        <v>430</v>
      </c>
      <c r="M5200" s="604">
        <v>34</v>
      </c>
      <c r="N5200" s="604">
        <v>3014</v>
      </c>
      <c r="O5200" s="604">
        <v>11.3</v>
      </c>
      <c r="P5200" s="604" t="s">
        <v>48</v>
      </c>
    </row>
    <row r="5201" spans="9:16">
      <c r="I5201" s="578" t="str">
        <f t="shared" si="227"/>
        <v>2015bwt2500-4499Infant</v>
      </c>
      <c r="J5201" s="604">
        <v>2015</v>
      </c>
      <c r="K5201" s="604" t="s">
        <v>447</v>
      </c>
      <c r="L5201" s="604" t="s">
        <v>431</v>
      </c>
      <c r="M5201" s="604">
        <v>98</v>
      </c>
      <c r="N5201" s="604">
        <v>57027</v>
      </c>
      <c r="O5201" s="604">
        <v>1.7</v>
      </c>
      <c r="P5201" s="604" t="s">
        <v>48</v>
      </c>
    </row>
    <row r="5202" spans="9:16">
      <c r="I5202" s="578" t="str">
        <f t="shared" si="227"/>
        <v>2015bwt4500+Infant</v>
      </c>
      <c r="J5202" s="604">
        <v>2015</v>
      </c>
      <c r="K5202" s="604" t="s">
        <v>447</v>
      </c>
      <c r="L5202" s="604" t="s">
        <v>432</v>
      </c>
      <c r="M5202" s="604">
        <v>2</v>
      </c>
      <c r="N5202" s="604">
        <v>1390</v>
      </c>
      <c r="O5202" s="604">
        <v>1.4</v>
      </c>
      <c r="P5202" s="604" t="s">
        <v>48</v>
      </c>
    </row>
    <row r="5203" spans="9:16">
      <c r="I5203" s="578" t="str">
        <f t="shared" si="227"/>
        <v>2015bwtUnknownInfant</v>
      </c>
      <c r="J5203" s="604">
        <v>2015</v>
      </c>
      <c r="K5203" s="604" t="s">
        <v>447</v>
      </c>
      <c r="L5203" s="604" t="s">
        <v>63</v>
      </c>
      <c r="M5203" s="604">
        <v>17</v>
      </c>
      <c r="N5203" s="604">
        <v>46</v>
      </c>
      <c r="O5203" s="604" t="s">
        <v>119</v>
      </c>
      <c r="P5203" s="604" t="s">
        <v>48</v>
      </c>
    </row>
    <row r="5204" spans="9:16">
      <c r="I5204" s="578" t="str">
        <f t="shared" si="227"/>
        <v>2016bwt&lt;500Infant</v>
      </c>
      <c r="J5204" s="604">
        <v>2016</v>
      </c>
      <c r="K5204" s="604" t="s">
        <v>447</v>
      </c>
      <c r="L5204" s="604" t="s">
        <v>427</v>
      </c>
      <c r="M5204" s="604">
        <v>37</v>
      </c>
      <c r="N5204" s="604">
        <v>53</v>
      </c>
      <c r="O5204" s="604">
        <v>698.1</v>
      </c>
      <c r="P5204" s="604" t="s">
        <v>48</v>
      </c>
    </row>
    <row r="5205" spans="9:16">
      <c r="I5205" s="578" t="str">
        <f t="shared" si="227"/>
        <v>2016bwt500-999Infant</v>
      </c>
      <c r="J5205" s="604">
        <v>2016</v>
      </c>
      <c r="K5205" s="604" t="s">
        <v>447</v>
      </c>
      <c r="L5205" s="604" t="s">
        <v>428</v>
      </c>
      <c r="M5205" s="604">
        <v>57</v>
      </c>
      <c r="N5205" s="604">
        <v>196</v>
      </c>
      <c r="O5205" s="604">
        <v>290.8</v>
      </c>
      <c r="P5205" s="604" t="s">
        <v>48</v>
      </c>
    </row>
    <row r="5206" spans="9:16">
      <c r="I5206" s="578" t="str">
        <f t="shared" si="227"/>
        <v>2016bwt1000-1499Infant</v>
      </c>
      <c r="J5206" s="604">
        <v>2016</v>
      </c>
      <c r="K5206" s="604" t="s">
        <v>447</v>
      </c>
      <c r="L5206" s="604" t="s">
        <v>429</v>
      </c>
      <c r="M5206" s="604">
        <v>8</v>
      </c>
      <c r="N5206" s="604">
        <v>331</v>
      </c>
      <c r="O5206" s="604">
        <v>24.2</v>
      </c>
      <c r="P5206" s="604" t="s">
        <v>48</v>
      </c>
    </row>
    <row r="5207" spans="9:16">
      <c r="I5207" s="578" t="str">
        <f t="shared" si="227"/>
        <v>2016bwt1500-2499Infant</v>
      </c>
      <c r="J5207" s="604">
        <v>2016</v>
      </c>
      <c r="K5207" s="604" t="s">
        <v>447</v>
      </c>
      <c r="L5207" s="604" t="s">
        <v>430</v>
      </c>
      <c r="M5207" s="604">
        <v>35</v>
      </c>
      <c r="N5207" s="604">
        <v>2991</v>
      </c>
      <c r="O5207" s="604">
        <v>11.7</v>
      </c>
      <c r="P5207" s="604" t="s">
        <v>48</v>
      </c>
    </row>
    <row r="5208" spans="9:16">
      <c r="I5208" s="578" t="str">
        <f t="shared" si="227"/>
        <v>2016bwt2500-4499Infant</v>
      </c>
      <c r="J5208" s="604">
        <v>2016</v>
      </c>
      <c r="K5208" s="604" t="s">
        <v>447</v>
      </c>
      <c r="L5208" s="604" t="s">
        <v>431</v>
      </c>
      <c r="M5208" s="604">
        <v>95</v>
      </c>
      <c r="N5208" s="604">
        <v>55407</v>
      </c>
      <c r="O5208" s="604">
        <v>1.7</v>
      </c>
      <c r="P5208" s="604" t="s">
        <v>48</v>
      </c>
    </row>
    <row r="5209" spans="9:16">
      <c r="I5209" s="578" t="str">
        <f t="shared" si="227"/>
        <v>2016bwt4500+Infant</v>
      </c>
      <c r="J5209" s="604">
        <v>2016</v>
      </c>
      <c r="K5209" s="604" t="s">
        <v>447</v>
      </c>
      <c r="L5209" s="604" t="s">
        <v>432</v>
      </c>
      <c r="M5209" s="604">
        <v>0</v>
      </c>
      <c r="N5209" s="604">
        <v>1423</v>
      </c>
      <c r="O5209" s="604">
        <v>0</v>
      </c>
      <c r="P5209" s="604" t="s">
        <v>48</v>
      </c>
    </row>
    <row r="5210" spans="9:16">
      <c r="I5210" s="578" t="str">
        <f t="shared" si="227"/>
        <v>2016bwtUnknownInfant</v>
      </c>
      <c r="J5210" s="604">
        <v>2016</v>
      </c>
      <c r="K5210" s="604" t="s">
        <v>447</v>
      </c>
      <c r="L5210" s="604" t="s">
        <v>63</v>
      </c>
      <c r="M5210" s="604">
        <v>9</v>
      </c>
      <c r="N5210" s="604">
        <v>35</v>
      </c>
      <c r="O5210" s="604" t="s">
        <v>119</v>
      </c>
      <c r="P5210" s="604" t="s">
        <v>48</v>
      </c>
    </row>
    <row r="5211" spans="9:16">
      <c r="I5211" s="578" t="str">
        <f t="shared" si="227"/>
        <v>1996gest&lt;28Infant</v>
      </c>
      <c r="J5211" s="604">
        <v>1996</v>
      </c>
      <c r="K5211" s="604" t="s">
        <v>450</v>
      </c>
      <c r="L5211" s="604" t="s">
        <v>375</v>
      </c>
      <c r="M5211" s="604">
        <v>112</v>
      </c>
      <c r="N5211" s="604">
        <v>254</v>
      </c>
      <c r="O5211" s="604">
        <v>440.9</v>
      </c>
      <c r="P5211" s="604" t="s">
        <v>48</v>
      </c>
    </row>
    <row r="5212" spans="9:16">
      <c r="I5212" s="578" t="str">
        <f t="shared" si="227"/>
        <v>1996gest28-31Infant</v>
      </c>
      <c r="J5212" s="604">
        <v>1996</v>
      </c>
      <c r="K5212" s="604" t="s">
        <v>450</v>
      </c>
      <c r="L5212" s="604" t="s">
        <v>395</v>
      </c>
      <c r="M5212" s="604">
        <v>25</v>
      </c>
      <c r="N5212" s="604">
        <v>461</v>
      </c>
      <c r="O5212" s="604">
        <v>54.2</v>
      </c>
      <c r="P5212" s="604" t="s">
        <v>48</v>
      </c>
    </row>
    <row r="5213" spans="9:16">
      <c r="I5213" s="578" t="str">
        <f t="shared" si="227"/>
        <v>1996gest32-36Infant</v>
      </c>
      <c r="J5213" s="604">
        <v>1996</v>
      </c>
      <c r="K5213" s="604" t="s">
        <v>450</v>
      </c>
      <c r="L5213" s="604" t="s">
        <v>136</v>
      </c>
      <c r="M5213" s="604">
        <v>59</v>
      </c>
      <c r="N5213" s="604">
        <v>3265</v>
      </c>
      <c r="O5213" s="604">
        <v>18.100000000000001</v>
      </c>
      <c r="P5213" s="604" t="s">
        <v>48</v>
      </c>
    </row>
    <row r="5214" spans="9:16">
      <c r="I5214" s="578" t="str">
        <f t="shared" si="227"/>
        <v>1996gest37-41Infant</v>
      </c>
      <c r="J5214" s="604">
        <v>1996</v>
      </c>
      <c r="K5214" s="604" t="s">
        <v>450</v>
      </c>
      <c r="L5214" s="604" t="s">
        <v>137</v>
      </c>
      <c r="M5214" s="604">
        <v>187</v>
      </c>
      <c r="N5214" s="604">
        <v>50676</v>
      </c>
      <c r="O5214" s="604">
        <v>3.7</v>
      </c>
      <c r="P5214" s="604" t="s">
        <v>48</v>
      </c>
    </row>
    <row r="5215" spans="9:16">
      <c r="I5215" s="578" t="str">
        <f t="shared" si="227"/>
        <v>1996gest42+Infant</v>
      </c>
      <c r="J5215" s="604">
        <v>1996</v>
      </c>
      <c r="K5215" s="604" t="s">
        <v>450</v>
      </c>
      <c r="L5215" s="604" t="s">
        <v>138</v>
      </c>
      <c r="M5215" s="604">
        <v>13</v>
      </c>
      <c r="N5215" s="604">
        <v>2684</v>
      </c>
      <c r="O5215" s="604">
        <v>4.8</v>
      </c>
      <c r="P5215" s="604" t="s">
        <v>48</v>
      </c>
    </row>
    <row r="5216" spans="9:16">
      <c r="I5216" s="578" t="str">
        <f t="shared" si="227"/>
        <v>1996gestUnknownInfant</v>
      </c>
      <c r="J5216" s="604">
        <v>1996</v>
      </c>
      <c r="K5216" s="604" t="s">
        <v>450</v>
      </c>
      <c r="L5216" s="604" t="s">
        <v>63</v>
      </c>
      <c r="M5216" s="604">
        <v>21</v>
      </c>
      <c r="N5216" s="604">
        <v>94</v>
      </c>
      <c r="O5216" s="604" t="s">
        <v>119</v>
      </c>
      <c r="P5216" s="604" t="s">
        <v>48</v>
      </c>
    </row>
    <row r="5217" spans="9:16">
      <c r="I5217" s="578" t="str">
        <f t="shared" si="227"/>
        <v>1997gest&lt;28Infant</v>
      </c>
      <c r="J5217" s="604">
        <v>1997</v>
      </c>
      <c r="K5217" s="604" t="s">
        <v>450</v>
      </c>
      <c r="L5217" s="604" t="s">
        <v>375</v>
      </c>
      <c r="M5217" s="604">
        <v>111</v>
      </c>
      <c r="N5217" s="604">
        <v>246</v>
      </c>
      <c r="O5217" s="604">
        <v>451.2</v>
      </c>
      <c r="P5217" s="604" t="s">
        <v>48</v>
      </c>
    </row>
    <row r="5218" spans="9:16">
      <c r="I5218" s="578" t="str">
        <f t="shared" si="227"/>
        <v>1997gest28-31Infant</v>
      </c>
      <c r="J5218" s="604">
        <v>1997</v>
      </c>
      <c r="K5218" s="604" t="s">
        <v>450</v>
      </c>
      <c r="L5218" s="604" t="s">
        <v>395</v>
      </c>
      <c r="M5218" s="604">
        <v>23</v>
      </c>
      <c r="N5218" s="604">
        <v>435</v>
      </c>
      <c r="O5218" s="604">
        <v>52.9</v>
      </c>
      <c r="P5218" s="604" t="s">
        <v>48</v>
      </c>
    </row>
    <row r="5219" spans="9:16">
      <c r="I5219" s="578" t="str">
        <f t="shared" si="227"/>
        <v>1997gest32-36Infant</v>
      </c>
      <c r="J5219" s="604">
        <v>1997</v>
      </c>
      <c r="K5219" s="604" t="s">
        <v>450</v>
      </c>
      <c r="L5219" s="604" t="s">
        <v>136</v>
      </c>
      <c r="M5219" s="604">
        <v>61</v>
      </c>
      <c r="N5219" s="604">
        <v>3324</v>
      </c>
      <c r="O5219" s="604">
        <v>18.399999999999999</v>
      </c>
      <c r="P5219" s="604" t="s">
        <v>48</v>
      </c>
    </row>
    <row r="5220" spans="9:16">
      <c r="I5220" s="578" t="str">
        <f t="shared" si="227"/>
        <v>1997gest37-41Infant</v>
      </c>
      <c r="J5220" s="604">
        <v>1997</v>
      </c>
      <c r="K5220" s="604" t="s">
        <v>450</v>
      </c>
      <c r="L5220" s="604" t="s">
        <v>137</v>
      </c>
      <c r="M5220" s="604">
        <v>163</v>
      </c>
      <c r="N5220" s="604">
        <v>51106</v>
      </c>
      <c r="O5220" s="604">
        <v>3.2</v>
      </c>
      <c r="P5220" s="604" t="s">
        <v>48</v>
      </c>
    </row>
    <row r="5221" spans="9:16">
      <c r="I5221" s="578" t="str">
        <f t="shared" si="227"/>
        <v>1997gest42+Infant</v>
      </c>
      <c r="J5221" s="604">
        <v>1997</v>
      </c>
      <c r="K5221" s="604" t="s">
        <v>450</v>
      </c>
      <c r="L5221" s="604" t="s">
        <v>138</v>
      </c>
      <c r="M5221" s="604">
        <v>8</v>
      </c>
      <c r="N5221" s="604">
        <v>2569</v>
      </c>
      <c r="O5221" s="604">
        <v>3.1</v>
      </c>
      <c r="P5221" s="604" t="s">
        <v>48</v>
      </c>
    </row>
    <row r="5222" spans="9:16">
      <c r="I5222" s="578" t="str">
        <f t="shared" si="227"/>
        <v>1997gestUnknownInfant</v>
      </c>
      <c r="J5222" s="604">
        <v>1997</v>
      </c>
      <c r="K5222" s="604" t="s">
        <v>450</v>
      </c>
      <c r="L5222" s="604" t="s">
        <v>63</v>
      </c>
      <c r="M5222" s="604">
        <v>25</v>
      </c>
      <c r="N5222" s="604">
        <v>54</v>
      </c>
      <c r="O5222" s="604" t="s">
        <v>119</v>
      </c>
      <c r="P5222" s="604" t="s">
        <v>48</v>
      </c>
    </row>
    <row r="5223" spans="9:16">
      <c r="I5223" s="578" t="str">
        <f t="shared" si="227"/>
        <v>1998gest&lt;28Infant</v>
      </c>
      <c r="J5223" s="604">
        <v>1998</v>
      </c>
      <c r="K5223" s="604" t="s">
        <v>450</v>
      </c>
      <c r="L5223" s="604" t="s">
        <v>375</v>
      </c>
      <c r="M5223" s="604">
        <v>81</v>
      </c>
      <c r="N5223" s="604">
        <v>246</v>
      </c>
      <c r="O5223" s="604">
        <v>329.3</v>
      </c>
      <c r="P5223" s="604" t="s">
        <v>48</v>
      </c>
    </row>
    <row r="5224" spans="9:16">
      <c r="I5224" s="578" t="str">
        <f t="shared" si="227"/>
        <v>1998gest28-31Infant</v>
      </c>
      <c r="J5224" s="604">
        <v>1998</v>
      </c>
      <c r="K5224" s="604" t="s">
        <v>450</v>
      </c>
      <c r="L5224" s="604" t="s">
        <v>395</v>
      </c>
      <c r="M5224" s="604">
        <v>19</v>
      </c>
      <c r="N5224" s="604">
        <v>435</v>
      </c>
      <c r="O5224" s="604">
        <v>43.7</v>
      </c>
      <c r="P5224" s="604" t="s">
        <v>48</v>
      </c>
    </row>
    <row r="5225" spans="9:16">
      <c r="I5225" s="578" t="str">
        <f t="shared" si="227"/>
        <v>1998gest32-36Infant</v>
      </c>
      <c r="J5225" s="604">
        <v>1998</v>
      </c>
      <c r="K5225" s="604" t="s">
        <v>450</v>
      </c>
      <c r="L5225" s="604" t="s">
        <v>136</v>
      </c>
      <c r="M5225" s="604">
        <v>53</v>
      </c>
      <c r="N5225" s="604">
        <v>3324</v>
      </c>
      <c r="O5225" s="604">
        <v>15.9</v>
      </c>
      <c r="P5225" s="604" t="s">
        <v>48</v>
      </c>
    </row>
    <row r="5226" spans="9:16">
      <c r="I5226" s="578" t="str">
        <f t="shared" si="227"/>
        <v>1998gest37-41Infant</v>
      </c>
      <c r="J5226" s="604">
        <v>1998</v>
      </c>
      <c r="K5226" s="604" t="s">
        <v>450</v>
      </c>
      <c r="L5226" s="604" t="s">
        <v>137</v>
      </c>
      <c r="M5226" s="604">
        <v>146</v>
      </c>
      <c r="N5226" s="604">
        <v>51106</v>
      </c>
      <c r="O5226" s="604">
        <v>2.9</v>
      </c>
      <c r="P5226" s="604" t="s">
        <v>48</v>
      </c>
    </row>
    <row r="5227" spans="9:16">
      <c r="I5227" s="578" t="str">
        <f t="shared" si="227"/>
        <v>1998gest42+Infant</v>
      </c>
      <c r="J5227" s="604">
        <v>1998</v>
      </c>
      <c r="K5227" s="604" t="s">
        <v>450</v>
      </c>
      <c r="L5227" s="604" t="s">
        <v>138</v>
      </c>
      <c r="M5227" s="604">
        <v>6</v>
      </c>
      <c r="N5227" s="604">
        <v>2569</v>
      </c>
      <c r="O5227" s="604">
        <v>2.2999999999999998</v>
      </c>
      <c r="P5227" s="604" t="s">
        <v>48</v>
      </c>
    </row>
    <row r="5228" spans="9:16">
      <c r="I5228" s="578" t="str">
        <f t="shared" si="227"/>
        <v>1998gestUnknownInfant</v>
      </c>
      <c r="J5228" s="604">
        <v>1998</v>
      </c>
      <c r="K5228" s="604" t="s">
        <v>450</v>
      </c>
      <c r="L5228" s="604" t="s">
        <v>63</v>
      </c>
      <c r="M5228" s="604">
        <v>3</v>
      </c>
      <c r="N5228" s="604">
        <v>54</v>
      </c>
      <c r="O5228" s="604" t="s">
        <v>119</v>
      </c>
      <c r="P5228" s="604" t="s">
        <v>48</v>
      </c>
    </row>
    <row r="5229" spans="9:16">
      <c r="I5229" s="578" t="str">
        <f t="shared" si="227"/>
        <v>1999gest&lt;28Infant</v>
      </c>
      <c r="J5229" s="604">
        <v>1999</v>
      </c>
      <c r="K5229" s="604" t="s">
        <v>450</v>
      </c>
      <c r="L5229" s="604" t="s">
        <v>375</v>
      </c>
      <c r="M5229" s="604">
        <v>110</v>
      </c>
      <c r="N5229" s="604">
        <v>283</v>
      </c>
      <c r="O5229" s="604">
        <v>388.7</v>
      </c>
      <c r="P5229" s="604" t="s">
        <v>48</v>
      </c>
    </row>
    <row r="5230" spans="9:16">
      <c r="I5230" s="578" t="str">
        <f t="shared" si="227"/>
        <v>1999gest28-31Infant</v>
      </c>
      <c r="J5230" s="604">
        <v>1999</v>
      </c>
      <c r="K5230" s="604" t="s">
        <v>450</v>
      </c>
      <c r="L5230" s="604" t="s">
        <v>395</v>
      </c>
      <c r="M5230" s="604">
        <v>20</v>
      </c>
      <c r="N5230" s="604">
        <v>458</v>
      </c>
      <c r="O5230" s="604">
        <v>43.7</v>
      </c>
      <c r="P5230" s="604" t="s">
        <v>48</v>
      </c>
    </row>
    <row r="5231" spans="9:16">
      <c r="I5231" s="578" t="str">
        <f t="shared" si="227"/>
        <v>1999gest32-36Infant</v>
      </c>
      <c r="J5231" s="604">
        <v>1999</v>
      </c>
      <c r="K5231" s="604" t="s">
        <v>450</v>
      </c>
      <c r="L5231" s="604" t="s">
        <v>136</v>
      </c>
      <c r="M5231" s="604">
        <v>30</v>
      </c>
      <c r="N5231" s="604">
        <v>3552</v>
      </c>
      <c r="O5231" s="604">
        <v>8.4</v>
      </c>
      <c r="P5231" s="604" t="s">
        <v>48</v>
      </c>
    </row>
    <row r="5232" spans="9:16">
      <c r="I5232" s="578" t="str">
        <f t="shared" si="227"/>
        <v>1999gest37-41Infant</v>
      </c>
      <c r="J5232" s="604">
        <v>1999</v>
      </c>
      <c r="K5232" s="604" t="s">
        <v>450</v>
      </c>
      <c r="L5232" s="604" t="s">
        <v>137</v>
      </c>
      <c r="M5232" s="604">
        <v>167</v>
      </c>
      <c r="N5232" s="604">
        <v>50938</v>
      </c>
      <c r="O5232" s="604">
        <v>3.3</v>
      </c>
      <c r="P5232" s="604" t="s">
        <v>48</v>
      </c>
    </row>
    <row r="5233" spans="9:16">
      <c r="I5233" s="578" t="str">
        <f t="shared" si="227"/>
        <v>1999gest42+Infant</v>
      </c>
      <c r="J5233" s="604">
        <v>1999</v>
      </c>
      <c r="K5233" s="604" t="s">
        <v>450</v>
      </c>
      <c r="L5233" s="604" t="s">
        <v>138</v>
      </c>
      <c r="M5233" s="604">
        <v>2</v>
      </c>
      <c r="N5233" s="604">
        <v>2156</v>
      </c>
      <c r="O5233" s="604">
        <v>0.9</v>
      </c>
      <c r="P5233" s="604" t="s">
        <v>48</v>
      </c>
    </row>
    <row r="5234" spans="9:16">
      <c r="I5234" s="578" t="str">
        <f t="shared" si="227"/>
        <v>1999gestUnknownInfant</v>
      </c>
      <c r="J5234" s="604">
        <v>1999</v>
      </c>
      <c r="K5234" s="604" t="s">
        <v>450</v>
      </c>
      <c r="L5234" s="604" t="s">
        <v>63</v>
      </c>
      <c r="M5234" s="604">
        <v>6</v>
      </c>
      <c r="N5234" s="604">
        <v>34</v>
      </c>
      <c r="O5234" s="604" t="s">
        <v>119</v>
      </c>
      <c r="P5234" s="604" t="s">
        <v>48</v>
      </c>
    </row>
    <row r="5235" spans="9:16">
      <c r="I5235" s="578" t="str">
        <f t="shared" si="227"/>
        <v>2000gest&lt;28Infant</v>
      </c>
      <c r="J5235" s="604">
        <v>2000</v>
      </c>
      <c r="K5235" s="604" t="s">
        <v>450</v>
      </c>
      <c r="L5235" s="604" t="s">
        <v>375</v>
      </c>
      <c r="M5235" s="604">
        <v>122</v>
      </c>
      <c r="N5235" s="604">
        <v>318</v>
      </c>
      <c r="O5235" s="604">
        <v>383.6</v>
      </c>
      <c r="P5235" s="604" t="s">
        <v>48</v>
      </c>
    </row>
    <row r="5236" spans="9:16">
      <c r="I5236" s="578" t="str">
        <f t="shared" si="227"/>
        <v>2000gest28-31Infant</v>
      </c>
      <c r="J5236" s="604">
        <v>2000</v>
      </c>
      <c r="K5236" s="604" t="s">
        <v>450</v>
      </c>
      <c r="L5236" s="604" t="s">
        <v>395</v>
      </c>
      <c r="M5236" s="604">
        <v>19</v>
      </c>
      <c r="N5236" s="604">
        <v>454</v>
      </c>
      <c r="O5236" s="604">
        <v>41.9</v>
      </c>
      <c r="P5236" s="604" t="s">
        <v>48</v>
      </c>
    </row>
    <row r="5237" spans="9:16">
      <c r="I5237" s="578" t="str">
        <f t="shared" si="227"/>
        <v>2000gest32-36Infant</v>
      </c>
      <c r="J5237" s="604">
        <v>2000</v>
      </c>
      <c r="K5237" s="604" t="s">
        <v>450</v>
      </c>
      <c r="L5237" s="604" t="s">
        <v>136</v>
      </c>
      <c r="M5237" s="604">
        <v>52</v>
      </c>
      <c r="N5237" s="604">
        <v>3461</v>
      </c>
      <c r="O5237" s="604">
        <v>15</v>
      </c>
      <c r="P5237" s="604" t="s">
        <v>48</v>
      </c>
    </row>
    <row r="5238" spans="9:16">
      <c r="I5238" s="578" t="str">
        <f t="shared" si="227"/>
        <v>2000gest37-41Infant</v>
      </c>
      <c r="J5238" s="604">
        <v>2000</v>
      </c>
      <c r="K5238" s="604" t="s">
        <v>450</v>
      </c>
      <c r="L5238" s="604" t="s">
        <v>137</v>
      </c>
      <c r="M5238" s="604">
        <v>148</v>
      </c>
      <c r="N5238" s="604">
        <v>50864</v>
      </c>
      <c r="O5238" s="604">
        <v>2.9</v>
      </c>
      <c r="P5238" s="604" t="s">
        <v>48</v>
      </c>
    </row>
    <row r="5239" spans="9:16">
      <c r="I5239" s="578" t="str">
        <f t="shared" si="227"/>
        <v>2000gest42+Infant</v>
      </c>
      <c r="J5239" s="604">
        <v>2000</v>
      </c>
      <c r="K5239" s="604" t="s">
        <v>450</v>
      </c>
      <c r="L5239" s="604" t="s">
        <v>138</v>
      </c>
      <c r="M5239" s="604">
        <v>5</v>
      </c>
      <c r="N5239" s="604">
        <v>1868</v>
      </c>
      <c r="O5239" s="604">
        <v>2.7</v>
      </c>
      <c r="P5239" s="604" t="s">
        <v>48</v>
      </c>
    </row>
    <row r="5240" spans="9:16">
      <c r="I5240" s="578" t="str">
        <f t="shared" si="227"/>
        <v>2000gestUnknownInfant</v>
      </c>
      <c r="J5240" s="604">
        <v>2000</v>
      </c>
      <c r="K5240" s="604" t="s">
        <v>450</v>
      </c>
      <c r="L5240" s="604" t="s">
        <v>63</v>
      </c>
      <c r="M5240" s="604">
        <v>13</v>
      </c>
      <c r="N5240" s="604">
        <v>29</v>
      </c>
      <c r="O5240" s="604" t="s">
        <v>119</v>
      </c>
      <c r="P5240" s="604" t="s">
        <v>48</v>
      </c>
    </row>
    <row r="5241" spans="9:16">
      <c r="I5241" s="578" t="str">
        <f t="shared" si="227"/>
        <v>2001gest&lt;28Infant</v>
      </c>
      <c r="J5241" s="604">
        <v>2001</v>
      </c>
      <c r="K5241" s="604" t="s">
        <v>450</v>
      </c>
      <c r="L5241" s="604" t="s">
        <v>375</v>
      </c>
      <c r="M5241" s="604">
        <v>107</v>
      </c>
      <c r="N5241" s="604">
        <v>247</v>
      </c>
      <c r="O5241" s="604">
        <v>433.2</v>
      </c>
      <c r="P5241" s="604" t="s">
        <v>48</v>
      </c>
    </row>
    <row r="5242" spans="9:16">
      <c r="I5242" s="578" t="str">
        <f t="shared" si="227"/>
        <v>2001gest28-31Infant</v>
      </c>
      <c r="J5242" s="604">
        <v>2001</v>
      </c>
      <c r="K5242" s="604" t="s">
        <v>450</v>
      </c>
      <c r="L5242" s="604" t="s">
        <v>395</v>
      </c>
      <c r="M5242" s="604">
        <v>22</v>
      </c>
      <c r="N5242" s="604">
        <v>490</v>
      </c>
      <c r="O5242" s="604">
        <v>44.9</v>
      </c>
      <c r="P5242" s="604" t="s">
        <v>48</v>
      </c>
    </row>
    <row r="5243" spans="9:16">
      <c r="I5243" s="578" t="str">
        <f t="shared" si="227"/>
        <v>2001gest32-36Infant</v>
      </c>
      <c r="J5243" s="604">
        <v>2001</v>
      </c>
      <c r="K5243" s="604" t="s">
        <v>450</v>
      </c>
      <c r="L5243" s="604" t="s">
        <v>136</v>
      </c>
      <c r="M5243" s="604">
        <v>38</v>
      </c>
      <c r="N5243" s="604">
        <v>3463</v>
      </c>
      <c r="O5243" s="604">
        <v>11</v>
      </c>
      <c r="P5243" s="604" t="s">
        <v>48</v>
      </c>
    </row>
    <row r="5244" spans="9:16">
      <c r="I5244" s="578" t="str">
        <f t="shared" si="227"/>
        <v>2001gest37-41Infant</v>
      </c>
      <c r="J5244" s="604">
        <v>2001</v>
      </c>
      <c r="K5244" s="604" t="s">
        <v>450</v>
      </c>
      <c r="L5244" s="604" t="s">
        <v>137</v>
      </c>
      <c r="M5244" s="604">
        <v>139</v>
      </c>
      <c r="N5244" s="604">
        <v>50230</v>
      </c>
      <c r="O5244" s="604">
        <v>2.8</v>
      </c>
      <c r="P5244" s="604" t="s">
        <v>48</v>
      </c>
    </row>
    <row r="5245" spans="9:16">
      <c r="I5245" s="578" t="str">
        <f t="shared" si="227"/>
        <v>2001gest42+Infant</v>
      </c>
      <c r="J5245" s="604">
        <v>2001</v>
      </c>
      <c r="K5245" s="604" t="s">
        <v>450</v>
      </c>
      <c r="L5245" s="604" t="s">
        <v>138</v>
      </c>
      <c r="M5245" s="604">
        <v>5</v>
      </c>
      <c r="N5245" s="604">
        <v>1738</v>
      </c>
      <c r="O5245" s="604">
        <v>2.9</v>
      </c>
      <c r="P5245" s="604" t="s">
        <v>48</v>
      </c>
    </row>
    <row r="5246" spans="9:16">
      <c r="I5246" s="578" t="str">
        <f t="shared" si="227"/>
        <v>2001gestUnknownInfant</v>
      </c>
      <c r="J5246" s="604">
        <v>2001</v>
      </c>
      <c r="K5246" s="604" t="s">
        <v>450</v>
      </c>
      <c r="L5246" s="604" t="s">
        <v>63</v>
      </c>
      <c r="M5246" s="604">
        <v>4</v>
      </c>
      <c r="N5246" s="604">
        <v>56</v>
      </c>
      <c r="O5246" s="604" t="s">
        <v>119</v>
      </c>
      <c r="P5246" s="604" t="s">
        <v>48</v>
      </c>
    </row>
    <row r="5247" spans="9:16">
      <c r="I5247" s="578" t="str">
        <f t="shared" si="227"/>
        <v>2002gest&lt;28Infant</v>
      </c>
      <c r="J5247" s="604">
        <v>2002</v>
      </c>
      <c r="K5247" s="604" t="s">
        <v>450</v>
      </c>
      <c r="L5247" s="604" t="s">
        <v>375</v>
      </c>
      <c r="M5247" s="604">
        <v>143</v>
      </c>
      <c r="N5247" s="604">
        <v>326</v>
      </c>
      <c r="O5247" s="604">
        <v>438.7</v>
      </c>
      <c r="P5247" s="604" t="s">
        <v>48</v>
      </c>
    </row>
    <row r="5248" spans="9:16">
      <c r="I5248" s="578" t="str">
        <f t="shared" si="227"/>
        <v>2002gest28-31Infant</v>
      </c>
      <c r="J5248" s="604">
        <v>2002</v>
      </c>
      <c r="K5248" s="604" t="s">
        <v>450</v>
      </c>
      <c r="L5248" s="604" t="s">
        <v>395</v>
      </c>
      <c r="M5248" s="604">
        <v>21</v>
      </c>
      <c r="N5248" s="604">
        <v>433</v>
      </c>
      <c r="O5248" s="604">
        <v>48.5</v>
      </c>
      <c r="P5248" s="604" t="s">
        <v>48</v>
      </c>
    </row>
    <row r="5249" spans="9:16">
      <c r="I5249" s="578" t="str">
        <f t="shared" si="227"/>
        <v>2002gest32-36Infant</v>
      </c>
      <c r="J5249" s="604">
        <v>2002</v>
      </c>
      <c r="K5249" s="604" t="s">
        <v>450</v>
      </c>
      <c r="L5249" s="604" t="s">
        <v>136</v>
      </c>
      <c r="M5249" s="604">
        <v>39</v>
      </c>
      <c r="N5249" s="604">
        <v>3310</v>
      </c>
      <c r="O5249" s="604">
        <v>11.8</v>
      </c>
      <c r="P5249" s="604" t="s">
        <v>48</v>
      </c>
    </row>
    <row r="5250" spans="9:16">
      <c r="I5250" s="578" t="str">
        <f t="shared" si="227"/>
        <v>2002gest37-41Infant</v>
      </c>
      <c r="J5250" s="604">
        <v>2002</v>
      </c>
      <c r="K5250" s="604" t="s">
        <v>450</v>
      </c>
      <c r="L5250" s="604" t="s">
        <v>137</v>
      </c>
      <c r="M5250" s="604">
        <v>111</v>
      </c>
      <c r="N5250" s="604">
        <v>48776</v>
      </c>
      <c r="O5250" s="604">
        <v>2.2999999999999998</v>
      </c>
      <c r="P5250" s="604" t="s">
        <v>48</v>
      </c>
    </row>
    <row r="5251" spans="9:16">
      <c r="I5251" s="578" t="str">
        <f t="shared" si="227"/>
        <v>2002gest42+Infant</v>
      </c>
      <c r="J5251" s="604">
        <v>2002</v>
      </c>
      <c r="K5251" s="604" t="s">
        <v>450</v>
      </c>
      <c r="L5251" s="604" t="s">
        <v>138</v>
      </c>
      <c r="M5251" s="604">
        <v>8</v>
      </c>
      <c r="N5251" s="604">
        <v>1606</v>
      </c>
      <c r="O5251" s="604">
        <v>5</v>
      </c>
      <c r="P5251" s="604" t="s">
        <v>48</v>
      </c>
    </row>
    <row r="5252" spans="9:16">
      <c r="I5252" s="578" t="str">
        <f t="shared" ref="I5252:I5315" si="228">J5252&amp;K5252&amp;L5252&amp;P5252</f>
        <v>2002gestUnknownInfant</v>
      </c>
      <c r="J5252" s="604">
        <v>2002</v>
      </c>
      <c r="K5252" s="604" t="s">
        <v>450</v>
      </c>
      <c r="L5252" s="604" t="s">
        <v>63</v>
      </c>
      <c r="M5252" s="604">
        <v>15</v>
      </c>
      <c r="N5252" s="604">
        <v>64</v>
      </c>
      <c r="O5252" s="604" t="s">
        <v>119</v>
      </c>
      <c r="P5252" s="604" t="s">
        <v>48</v>
      </c>
    </row>
    <row r="5253" spans="9:16">
      <c r="I5253" s="578" t="str">
        <f t="shared" si="228"/>
        <v>2003gest&lt;28Infant</v>
      </c>
      <c r="J5253" s="604">
        <v>2003</v>
      </c>
      <c r="K5253" s="604" t="s">
        <v>450</v>
      </c>
      <c r="L5253" s="604" t="s">
        <v>375</v>
      </c>
      <c r="M5253" s="604">
        <v>100</v>
      </c>
      <c r="N5253" s="604">
        <v>290</v>
      </c>
      <c r="O5253" s="604">
        <v>344.8</v>
      </c>
      <c r="P5253" s="604" t="s">
        <v>48</v>
      </c>
    </row>
    <row r="5254" spans="9:16">
      <c r="I5254" s="578" t="str">
        <f t="shared" si="228"/>
        <v>2003gest28-31Infant</v>
      </c>
      <c r="J5254" s="604">
        <v>2003</v>
      </c>
      <c r="K5254" s="604" t="s">
        <v>450</v>
      </c>
      <c r="L5254" s="604" t="s">
        <v>395</v>
      </c>
      <c r="M5254" s="604">
        <v>18</v>
      </c>
      <c r="N5254" s="604">
        <v>496</v>
      </c>
      <c r="O5254" s="604">
        <v>36.299999999999997</v>
      </c>
      <c r="P5254" s="604" t="s">
        <v>48</v>
      </c>
    </row>
    <row r="5255" spans="9:16">
      <c r="I5255" s="578" t="str">
        <f t="shared" si="228"/>
        <v>2003gest32-36Infant</v>
      </c>
      <c r="J5255" s="604">
        <v>2003</v>
      </c>
      <c r="K5255" s="604" t="s">
        <v>450</v>
      </c>
      <c r="L5255" s="604" t="s">
        <v>136</v>
      </c>
      <c r="M5255" s="604">
        <v>43</v>
      </c>
      <c r="N5255" s="604">
        <v>3358</v>
      </c>
      <c r="O5255" s="604">
        <v>12.8</v>
      </c>
      <c r="P5255" s="604" t="s">
        <v>48</v>
      </c>
    </row>
    <row r="5256" spans="9:16">
      <c r="I5256" s="578" t="str">
        <f t="shared" si="228"/>
        <v>2003gest37-41Infant</v>
      </c>
      <c r="J5256" s="604">
        <v>2003</v>
      </c>
      <c r="K5256" s="604" t="s">
        <v>450</v>
      </c>
      <c r="L5256" s="604" t="s">
        <v>137</v>
      </c>
      <c r="M5256" s="604">
        <v>127</v>
      </c>
      <c r="N5256" s="604">
        <v>50827</v>
      </c>
      <c r="O5256" s="604">
        <v>2.5</v>
      </c>
      <c r="P5256" s="604" t="s">
        <v>48</v>
      </c>
    </row>
    <row r="5257" spans="9:16">
      <c r="I5257" s="578" t="str">
        <f t="shared" si="228"/>
        <v>2003gest42+Infant</v>
      </c>
      <c r="J5257" s="604">
        <v>2003</v>
      </c>
      <c r="K5257" s="604" t="s">
        <v>450</v>
      </c>
      <c r="L5257" s="604" t="s">
        <v>138</v>
      </c>
      <c r="M5257" s="604">
        <v>2</v>
      </c>
      <c r="N5257" s="604">
        <v>1577</v>
      </c>
      <c r="O5257" s="604">
        <v>1.3</v>
      </c>
      <c r="P5257" s="604" t="s">
        <v>48</v>
      </c>
    </row>
    <row r="5258" spans="9:16">
      <c r="I5258" s="578" t="str">
        <f t="shared" si="228"/>
        <v>2003gestUnknownInfant</v>
      </c>
      <c r="J5258" s="604">
        <v>2003</v>
      </c>
      <c r="K5258" s="604" t="s">
        <v>450</v>
      </c>
      <c r="L5258" s="604" t="s">
        <v>63</v>
      </c>
      <c r="M5258" s="604">
        <v>14</v>
      </c>
      <c r="N5258" s="604">
        <v>28</v>
      </c>
      <c r="O5258" s="604" t="s">
        <v>119</v>
      </c>
      <c r="P5258" s="604" t="s">
        <v>48</v>
      </c>
    </row>
    <row r="5259" spans="9:16">
      <c r="I5259" s="578" t="str">
        <f t="shared" si="228"/>
        <v>2004gest&lt;28Infant</v>
      </c>
      <c r="J5259" s="604">
        <v>2004</v>
      </c>
      <c r="K5259" s="604" t="s">
        <v>450</v>
      </c>
      <c r="L5259" s="604" t="s">
        <v>375</v>
      </c>
      <c r="M5259" s="604">
        <v>117</v>
      </c>
      <c r="N5259" s="604">
        <v>290</v>
      </c>
      <c r="O5259" s="604">
        <v>403.4</v>
      </c>
      <c r="P5259" s="604" t="s">
        <v>48</v>
      </c>
    </row>
    <row r="5260" spans="9:16">
      <c r="I5260" s="578" t="str">
        <f t="shared" si="228"/>
        <v>2004gest28-31Infant</v>
      </c>
      <c r="J5260" s="604">
        <v>2004</v>
      </c>
      <c r="K5260" s="604" t="s">
        <v>450</v>
      </c>
      <c r="L5260" s="604" t="s">
        <v>395</v>
      </c>
      <c r="M5260" s="604">
        <v>28</v>
      </c>
      <c r="N5260" s="604">
        <v>469</v>
      </c>
      <c r="O5260" s="604">
        <v>59.7</v>
      </c>
      <c r="P5260" s="604" t="s">
        <v>48</v>
      </c>
    </row>
    <row r="5261" spans="9:16">
      <c r="I5261" s="578" t="str">
        <f t="shared" si="228"/>
        <v>2004gest32-36Infant</v>
      </c>
      <c r="J5261" s="604">
        <v>2004</v>
      </c>
      <c r="K5261" s="604" t="s">
        <v>450</v>
      </c>
      <c r="L5261" s="604" t="s">
        <v>136</v>
      </c>
      <c r="M5261" s="604">
        <v>43</v>
      </c>
      <c r="N5261" s="604">
        <v>3513</v>
      </c>
      <c r="O5261" s="604">
        <v>12.2</v>
      </c>
      <c r="P5261" s="604" t="s">
        <v>48</v>
      </c>
    </row>
    <row r="5262" spans="9:16">
      <c r="I5262" s="578" t="str">
        <f t="shared" si="228"/>
        <v>2004gest37-41Infant</v>
      </c>
      <c r="J5262" s="604">
        <v>2004</v>
      </c>
      <c r="K5262" s="604" t="s">
        <v>450</v>
      </c>
      <c r="L5262" s="604" t="s">
        <v>137</v>
      </c>
      <c r="M5262" s="604">
        <v>136</v>
      </c>
      <c r="N5262" s="604">
        <v>52717</v>
      </c>
      <c r="O5262" s="604">
        <v>2.6</v>
      </c>
      <c r="P5262" s="604" t="s">
        <v>48</v>
      </c>
    </row>
    <row r="5263" spans="9:16">
      <c r="I5263" s="578" t="str">
        <f t="shared" si="228"/>
        <v>2004gest42+Infant</v>
      </c>
      <c r="J5263" s="604">
        <v>2004</v>
      </c>
      <c r="K5263" s="604" t="s">
        <v>450</v>
      </c>
      <c r="L5263" s="604" t="s">
        <v>138</v>
      </c>
      <c r="M5263" s="604">
        <v>6</v>
      </c>
      <c r="N5263" s="604">
        <v>1690</v>
      </c>
      <c r="O5263" s="604">
        <v>3.6</v>
      </c>
      <c r="P5263" s="604" t="s">
        <v>48</v>
      </c>
    </row>
    <row r="5264" spans="9:16">
      <c r="I5264" s="578" t="str">
        <f t="shared" si="228"/>
        <v>2004gestUnknownInfant</v>
      </c>
      <c r="J5264" s="604">
        <v>2004</v>
      </c>
      <c r="K5264" s="604" t="s">
        <v>450</v>
      </c>
      <c r="L5264" s="604" t="s">
        <v>63</v>
      </c>
      <c r="M5264" s="604">
        <v>16</v>
      </c>
      <c r="N5264" s="604">
        <v>44</v>
      </c>
      <c r="O5264" s="604" t="s">
        <v>119</v>
      </c>
      <c r="P5264" s="604" t="s">
        <v>48</v>
      </c>
    </row>
    <row r="5265" spans="9:16">
      <c r="I5265" s="578" t="str">
        <f t="shared" si="228"/>
        <v>2005gest&lt;28Infant</v>
      </c>
      <c r="J5265" s="604">
        <v>2005</v>
      </c>
      <c r="K5265" s="604" t="s">
        <v>450</v>
      </c>
      <c r="L5265" s="604" t="s">
        <v>375</v>
      </c>
      <c r="M5265" s="604">
        <v>101</v>
      </c>
      <c r="N5265" s="604">
        <v>273</v>
      </c>
      <c r="O5265" s="604">
        <v>370</v>
      </c>
      <c r="P5265" s="604" t="s">
        <v>48</v>
      </c>
    </row>
    <row r="5266" spans="9:16">
      <c r="I5266" s="578" t="str">
        <f t="shared" si="228"/>
        <v>2005gest28-31Infant</v>
      </c>
      <c r="J5266" s="604">
        <v>2005</v>
      </c>
      <c r="K5266" s="604" t="s">
        <v>450</v>
      </c>
      <c r="L5266" s="604" t="s">
        <v>395</v>
      </c>
      <c r="M5266" s="604">
        <v>17</v>
      </c>
      <c r="N5266" s="604">
        <v>478</v>
      </c>
      <c r="O5266" s="604">
        <v>35.6</v>
      </c>
      <c r="P5266" s="604" t="s">
        <v>48</v>
      </c>
    </row>
    <row r="5267" spans="9:16">
      <c r="I5267" s="578" t="str">
        <f t="shared" si="228"/>
        <v>2005gest32-36Infant</v>
      </c>
      <c r="J5267" s="604">
        <v>2005</v>
      </c>
      <c r="K5267" s="604" t="s">
        <v>450</v>
      </c>
      <c r="L5267" s="604" t="s">
        <v>136</v>
      </c>
      <c r="M5267" s="604">
        <v>40</v>
      </c>
      <c r="N5267" s="604">
        <v>3464</v>
      </c>
      <c r="O5267" s="604">
        <v>11.5</v>
      </c>
      <c r="P5267" s="604" t="s">
        <v>48</v>
      </c>
    </row>
    <row r="5268" spans="9:16">
      <c r="I5268" s="578" t="str">
        <f t="shared" si="228"/>
        <v>2005gest37-41Infant</v>
      </c>
      <c r="J5268" s="604">
        <v>2005</v>
      </c>
      <c r="K5268" s="604" t="s">
        <v>450</v>
      </c>
      <c r="L5268" s="604" t="s">
        <v>137</v>
      </c>
      <c r="M5268" s="604">
        <v>115</v>
      </c>
      <c r="N5268" s="604">
        <v>52647</v>
      </c>
      <c r="O5268" s="604">
        <v>2.2000000000000002</v>
      </c>
      <c r="P5268" s="604" t="s">
        <v>48</v>
      </c>
    </row>
    <row r="5269" spans="9:16">
      <c r="I5269" s="578" t="str">
        <f t="shared" si="228"/>
        <v>2005gest42+Infant</v>
      </c>
      <c r="J5269" s="604">
        <v>2005</v>
      </c>
      <c r="K5269" s="604" t="s">
        <v>450</v>
      </c>
      <c r="L5269" s="604" t="s">
        <v>138</v>
      </c>
      <c r="M5269" s="604">
        <v>5</v>
      </c>
      <c r="N5269" s="604">
        <v>1825</v>
      </c>
      <c r="O5269" s="604">
        <v>2.7</v>
      </c>
      <c r="P5269" s="604" t="s">
        <v>48</v>
      </c>
    </row>
    <row r="5270" spans="9:16">
      <c r="I5270" s="578" t="str">
        <f t="shared" si="228"/>
        <v>2005gestUnknownInfant</v>
      </c>
      <c r="J5270" s="604">
        <v>2005</v>
      </c>
      <c r="K5270" s="604" t="s">
        <v>450</v>
      </c>
      <c r="L5270" s="604" t="s">
        <v>63</v>
      </c>
      <c r="M5270" s="604">
        <v>16</v>
      </c>
      <c r="N5270" s="604">
        <v>40</v>
      </c>
      <c r="O5270" s="604" t="s">
        <v>119</v>
      </c>
      <c r="P5270" s="604" t="s">
        <v>48</v>
      </c>
    </row>
    <row r="5271" spans="9:16">
      <c r="I5271" s="578" t="str">
        <f t="shared" si="228"/>
        <v>2006gest&lt;28Infant</v>
      </c>
      <c r="J5271" s="604">
        <v>2006</v>
      </c>
      <c r="K5271" s="604" t="s">
        <v>450</v>
      </c>
      <c r="L5271" s="604" t="s">
        <v>375</v>
      </c>
      <c r="M5271" s="604">
        <v>99</v>
      </c>
      <c r="N5271" s="604">
        <v>269</v>
      </c>
      <c r="O5271" s="604">
        <v>368</v>
      </c>
      <c r="P5271" s="604" t="s">
        <v>48</v>
      </c>
    </row>
    <row r="5272" spans="9:16">
      <c r="I5272" s="578" t="str">
        <f t="shared" si="228"/>
        <v>2006gest28-31Infant</v>
      </c>
      <c r="J5272" s="604">
        <v>2006</v>
      </c>
      <c r="K5272" s="604" t="s">
        <v>450</v>
      </c>
      <c r="L5272" s="604" t="s">
        <v>395</v>
      </c>
      <c r="M5272" s="604">
        <v>17</v>
      </c>
      <c r="N5272" s="604">
        <v>481</v>
      </c>
      <c r="O5272" s="604">
        <v>35.299999999999997</v>
      </c>
      <c r="P5272" s="604" t="s">
        <v>48</v>
      </c>
    </row>
    <row r="5273" spans="9:16">
      <c r="I5273" s="578" t="str">
        <f t="shared" si="228"/>
        <v>2006gest32-36Infant</v>
      </c>
      <c r="J5273" s="604">
        <v>2006</v>
      </c>
      <c r="K5273" s="604" t="s">
        <v>450</v>
      </c>
      <c r="L5273" s="604" t="s">
        <v>136</v>
      </c>
      <c r="M5273" s="604">
        <v>32</v>
      </c>
      <c r="N5273" s="604">
        <v>3581</v>
      </c>
      <c r="O5273" s="604">
        <v>8.9</v>
      </c>
      <c r="P5273" s="604" t="s">
        <v>48</v>
      </c>
    </row>
    <row r="5274" spans="9:16">
      <c r="I5274" s="578" t="str">
        <f t="shared" si="228"/>
        <v>2006gest37-41Infant</v>
      </c>
      <c r="J5274" s="604">
        <v>2006</v>
      </c>
      <c r="K5274" s="604" t="s">
        <v>450</v>
      </c>
      <c r="L5274" s="604" t="s">
        <v>137</v>
      </c>
      <c r="M5274" s="604">
        <v>140</v>
      </c>
      <c r="N5274" s="604">
        <v>54076</v>
      </c>
      <c r="O5274" s="604">
        <v>2.6</v>
      </c>
      <c r="P5274" s="604" t="s">
        <v>48</v>
      </c>
    </row>
    <row r="5275" spans="9:16">
      <c r="I5275" s="578" t="str">
        <f t="shared" si="228"/>
        <v>2006gest42+Infant</v>
      </c>
      <c r="J5275" s="604">
        <v>2006</v>
      </c>
      <c r="K5275" s="604" t="s">
        <v>450</v>
      </c>
      <c r="L5275" s="604" t="s">
        <v>138</v>
      </c>
      <c r="M5275" s="604">
        <v>3</v>
      </c>
      <c r="N5275" s="604">
        <v>1795</v>
      </c>
      <c r="O5275" s="604">
        <v>1.7</v>
      </c>
      <c r="P5275" s="604" t="s">
        <v>48</v>
      </c>
    </row>
    <row r="5276" spans="9:16">
      <c r="I5276" s="578" t="str">
        <f t="shared" si="228"/>
        <v>2006gestUnknownInfant</v>
      </c>
      <c r="J5276" s="604">
        <v>2006</v>
      </c>
      <c r="K5276" s="604" t="s">
        <v>450</v>
      </c>
      <c r="L5276" s="604" t="s">
        <v>63</v>
      </c>
      <c r="M5276" s="604">
        <v>17</v>
      </c>
      <c r="N5276" s="604">
        <v>72</v>
      </c>
      <c r="O5276" s="604" t="s">
        <v>119</v>
      </c>
      <c r="P5276" s="604" t="s">
        <v>48</v>
      </c>
    </row>
    <row r="5277" spans="9:16">
      <c r="I5277" s="578" t="str">
        <f t="shared" si="228"/>
        <v>2007gest&lt;28Infant</v>
      </c>
      <c r="J5277" s="604">
        <v>2007</v>
      </c>
      <c r="K5277" s="604" t="s">
        <v>450</v>
      </c>
      <c r="L5277" s="604" t="s">
        <v>375</v>
      </c>
      <c r="M5277" s="604">
        <v>95</v>
      </c>
      <c r="N5277" s="604">
        <v>311</v>
      </c>
      <c r="O5277" s="604">
        <v>305.5</v>
      </c>
      <c r="P5277" s="604" t="s">
        <v>48</v>
      </c>
    </row>
    <row r="5278" spans="9:16">
      <c r="I5278" s="578" t="str">
        <f t="shared" si="228"/>
        <v>2007gest28-31Infant</v>
      </c>
      <c r="J5278" s="604">
        <v>2007</v>
      </c>
      <c r="K5278" s="604" t="s">
        <v>450</v>
      </c>
      <c r="L5278" s="604" t="s">
        <v>395</v>
      </c>
      <c r="M5278" s="604">
        <v>21</v>
      </c>
      <c r="N5278" s="604">
        <v>493</v>
      </c>
      <c r="O5278" s="604">
        <v>42.6</v>
      </c>
      <c r="P5278" s="604" t="s">
        <v>48</v>
      </c>
    </row>
    <row r="5279" spans="9:16">
      <c r="I5279" s="578" t="str">
        <f t="shared" si="228"/>
        <v>2007gest32-36Infant</v>
      </c>
      <c r="J5279" s="604">
        <v>2007</v>
      </c>
      <c r="K5279" s="604" t="s">
        <v>450</v>
      </c>
      <c r="L5279" s="604" t="s">
        <v>136</v>
      </c>
      <c r="M5279" s="604">
        <v>34</v>
      </c>
      <c r="N5279" s="604">
        <v>3851</v>
      </c>
      <c r="O5279" s="604">
        <v>8.8000000000000007</v>
      </c>
      <c r="P5279" s="604" t="s">
        <v>48</v>
      </c>
    </row>
    <row r="5280" spans="9:16">
      <c r="I5280" s="578" t="str">
        <f t="shared" si="228"/>
        <v>2007gest37-41Infant</v>
      </c>
      <c r="J5280" s="604">
        <v>2007</v>
      </c>
      <c r="K5280" s="604" t="s">
        <v>450</v>
      </c>
      <c r="L5280" s="604" t="s">
        <v>137</v>
      </c>
      <c r="M5280" s="604">
        <v>140</v>
      </c>
      <c r="N5280" s="604">
        <v>58537</v>
      </c>
      <c r="O5280" s="604">
        <v>2.4</v>
      </c>
      <c r="P5280" s="604" t="s">
        <v>48</v>
      </c>
    </row>
    <row r="5281" spans="9:16">
      <c r="I5281" s="578" t="str">
        <f t="shared" si="228"/>
        <v>2007gest42+Infant</v>
      </c>
      <c r="J5281" s="604">
        <v>2007</v>
      </c>
      <c r="K5281" s="604" t="s">
        <v>450</v>
      </c>
      <c r="L5281" s="604" t="s">
        <v>138</v>
      </c>
      <c r="M5281" s="604">
        <v>4</v>
      </c>
      <c r="N5281" s="604">
        <v>1881</v>
      </c>
      <c r="O5281" s="604">
        <v>2.1</v>
      </c>
      <c r="P5281" s="604" t="s">
        <v>48</v>
      </c>
    </row>
    <row r="5282" spans="9:16">
      <c r="I5282" s="578" t="str">
        <f t="shared" si="228"/>
        <v>2007gestUnknownInfant</v>
      </c>
      <c r="J5282" s="604">
        <v>2007</v>
      </c>
      <c r="K5282" s="604" t="s">
        <v>450</v>
      </c>
      <c r="L5282" s="604" t="s">
        <v>63</v>
      </c>
      <c r="M5282" s="604">
        <v>18</v>
      </c>
      <c r="N5282" s="604">
        <v>48</v>
      </c>
      <c r="O5282" s="604" t="s">
        <v>119</v>
      </c>
      <c r="P5282" s="604" t="s">
        <v>48</v>
      </c>
    </row>
    <row r="5283" spans="9:16">
      <c r="I5283" s="578" t="str">
        <f t="shared" si="228"/>
        <v>2008gest&lt;28Infant</v>
      </c>
      <c r="J5283" s="604">
        <v>2008</v>
      </c>
      <c r="K5283" s="604" t="s">
        <v>450</v>
      </c>
      <c r="L5283" s="604" t="s">
        <v>375</v>
      </c>
      <c r="M5283" s="604">
        <v>114</v>
      </c>
      <c r="N5283" s="604">
        <v>308</v>
      </c>
      <c r="O5283" s="604">
        <v>370.1</v>
      </c>
      <c r="P5283" s="604" t="s">
        <v>48</v>
      </c>
    </row>
    <row r="5284" spans="9:16">
      <c r="I5284" s="578" t="str">
        <f t="shared" si="228"/>
        <v>2008gest28-31Infant</v>
      </c>
      <c r="J5284" s="604">
        <v>2008</v>
      </c>
      <c r="K5284" s="604" t="s">
        <v>450</v>
      </c>
      <c r="L5284" s="604" t="s">
        <v>395</v>
      </c>
      <c r="M5284" s="604">
        <v>22</v>
      </c>
      <c r="N5284" s="604">
        <v>531</v>
      </c>
      <c r="O5284" s="604">
        <v>41.4</v>
      </c>
      <c r="P5284" s="604" t="s">
        <v>48</v>
      </c>
    </row>
    <row r="5285" spans="9:16">
      <c r="I5285" s="578" t="str">
        <f t="shared" si="228"/>
        <v>2008gest32-36Infant</v>
      </c>
      <c r="J5285" s="604">
        <v>2008</v>
      </c>
      <c r="K5285" s="604" t="s">
        <v>450</v>
      </c>
      <c r="L5285" s="604" t="s">
        <v>136</v>
      </c>
      <c r="M5285" s="604">
        <v>42</v>
      </c>
      <c r="N5285" s="604">
        <v>4009</v>
      </c>
      <c r="O5285" s="604">
        <v>10.5</v>
      </c>
      <c r="P5285" s="604" t="s">
        <v>48</v>
      </c>
    </row>
    <row r="5286" spans="9:16">
      <c r="I5286" s="578" t="str">
        <f t="shared" si="228"/>
        <v>2008gest37-41Infant</v>
      </c>
      <c r="J5286" s="604">
        <v>2008</v>
      </c>
      <c r="K5286" s="604" t="s">
        <v>450</v>
      </c>
      <c r="L5286" s="604" t="s">
        <v>137</v>
      </c>
      <c r="M5286" s="604">
        <v>117</v>
      </c>
      <c r="N5286" s="604">
        <v>58459</v>
      </c>
      <c r="O5286" s="604">
        <v>2</v>
      </c>
      <c r="P5286" s="604" t="s">
        <v>48</v>
      </c>
    </row>
    <row r="5287" spans="9:16">
      <c r="I5287" s="578" t="str">
        <f t="shared" si="228"/>
        <v>2008gest42+Infant</v>
      </c>
      <c r="J5287" s="604">
        <v>2008</v>
      </c>
      <c r="K5287" s="604" t="s">
        <v>450</v>
      </c>
      <c r="L5287" s="604" t="s">
        <v>138</v>
      </c>
      <c r="M5287" s="604">
        <v>4</v>
      </c>
      <c r="N5287" s="604">
        <v>1981</v>
      </c>
      <c r="O5287" s="604">
        <v>2</v>
      </c>
      <c r="P5287" s="604" t="s">
        <v>48</v>
      </c>
    </row>
    <row r="5288" spans="9:16">
      <c r="I5288" s="578" t="str">
        <f t="shared" si="228"/>
        <v>2008gestUnknownInfant</v>
      </c>
      <c r="J5288" s="604">
        <v>2008</v>
      </c>
      <c r="K5288" s="604" t="s">
        <v>450</v>
      </c>
      <c r="L5288" s="604" t="s">
        <v>63</v>
      </c>
      <c r="M5288" s="604">
        <v>24</v>
      </c>
      <c r="N5288" s="604">
        <v>45</v>
      </c>
      <c r="O5288" s="604" t="s">
        <v>119</v>
      </c>
      <c r="P5288" s="604" t="s">
        <v>48</v>
      </c>
    </row>
    <row r="5289" spans="9:16">
      <c r="I5289" s="578" t="str">
        <f t="shared" si="228"/>
        <v>2009gest&lt;28Infant</v>
      </c>
      <c r="J5289" s="604">
        <v>2009</v>
      </c>
      <c r="K5289" s="604" t="s">
        <v>450</v>
      </c>
      <c r="L5289" s="604" t="s">
        <v>375</v>
      </c>
      <c r="M5289" s="604">
        <v>117</v>
      </c>
      <c r="N5289" s="604">
        <v>279</v>
      </c>
      <c r="O5289" s="604">
        <v>419.4</v>
      </c>
      <c r="P5289" s="604" t="s">
        <v>48</v>
      </c>
    </row>
    <row r="5290" spans="9:16">
      <c r="I5290" s="578" t="str">
        <f t="shared" si="228"/>
        <v>2009gest28-31Infant</v>
      </c>
      <c r="J5290" s="604">
        <v>2009</v>
      </c>
      <c r="K5290" s="604" t="s">
        <v>450</v>
      </c>
      <c r="L5290" s="604" t="s">
        <v>395</v>
      </c>
      <c r="M5290" s="604">
        <v>23</v>
      </c>
      <c r="N5290" s="604">
        <v>495</v>
      </c>
      <c r="O5290" s="604">
        <v>46.5</v>
      </c>
      <c r="P5290" s="604" t="s">
        <v>48</v>
      </c>
    </row>
    <row r="5291" spans="9:16">
      <c r="I5291" s="578" t="str">
        <f t="shared" si="228"/>
        <v>2009gest32-36Infant</v>
      </c>
      <c r="J5291" s="604">
        <v>2009</v>
      </c>
      <c r="K5291" s="604" t="s">
        <v>450</v>
      </c>
      <c r="L5291" s="604" t="s">
        <v>136</v>
      </c>
      <c r="M5291" s="604">
        <v>43</v>
      </c>
      <c r="N5291" s="604">
        <v>3878</v>
      </c>
      <c r="O5291" s="604">
        <v>11.1</v>
      </c>
      <c r="P5291" s="604" t="s">
        <v>48</v>
      </c>
    </row>
    <row r="5292" spans="9:16">
      <c r="I5292" s="578" t="str">
        <f t="shared" si="228"/>
        <v>2009gest37-41Infant</v>
      </c>
      <c r="J5292" s="604">
        <v>2009</v>
      </c>
      <c r="K5292" s="604" t="s">
        <v>450</v>
      </c>
      <c r="L5292" s="604" t="s">
        <v>137</v>
      </c>
      <c r="M5292" s="604">
        <v>127</v>
      </c>
      <c r="N5292" s="604">
        <v>56864</v>
      </c>
      <c r="O5292" s="604">
        <v>2.2000000000000002</v>
      </c>
      <c r="P5292" s="604" t="s">
        <v>48</v>
      </c>
    </row>
    <row r="5293" spans="9:16">
      <c r="I5293" s="578" t="str">
        <f t="shared" si="228"/>
        <v>2009gest42+Infant</v>
      </c>
      <c r="J5293" s="604">
        <v>2009</v>
      </c>
      <c r="K5293" s="604" t="s">
        <v>450</v>
      </c>
      <c r="L5293" s="604" t="s">
        <v>138</v>
      </c>
      <c r="M5293" s="604">
        <v>2</v>
      </c>
      <c r="N5293" s="604">
        <v>1715</v>
      </c>
      <c r="O5293" s="604">
        <v>1.2</v>
      </c>
      <c r="P5293" s="604" t="s">
        <v>48</v>
      </c>
    </row>
    <row r="5294" spans="9:16">
      <c r="I5294" s="578" t="str">
        <f t="shared" si="228"/>
        <v>2009gestUnknownInfant</v>
      </c>
      <c r="J5294" s="604">
        <v>2009</v>
      </c>
      <c r="K5294" s="604" t="s">
        <v>450</v>
      </c>
      <c r="L5294" s="604" t="s">
        <v>63</v>
      </c>
      <c r="M5294" s="604">
        <v>20</v>
      </c>
      <c r="N5294" s="604">
        <v>54</v>
      </c>
      <c r="O5294" s="604" t="s">
        <v>119</v>
      </c>
      <c r="P5294" s="604" t="s">
        <v>48</v>
      </c>
    </row>
    <row r="5295" spans="9:16">
      <c r="I5295" s="578" t="str">
        <f t="shared" si="228"/>
        <v>2010gest&lt;28Infant</v>
      </c>
      <c r="J5295" s="604">
        <v>2010</v>
      </c>
      <c r="K5295" s="604" t="s">
        <v>450</v>
      </c>
      <c r="L5295" s="604" t="s">
        <v>375</v>
      </c>
      <c r="M5295" s="604">
        <v>143</v>
      </c>
      <c r="N5295" s="604">
        <v>314</v>
      </c>
      <c r="O5295" s="604">
        <v>455.4</v>
      </c>
      <c r="P5295" s="604" t="s">
        <v>48</v>
      </c>
    </row>
    <row r="5296" spans="9:16">
      <c r="I5296" s="578" t="str">
        <f t="shared" si="228"/>
        <v>2010gest28-31Infant</v>
      </c>
      <c r="J5296" s="604">
        <v>2010</v>
      </c>
      <c r="K5296" s="604" t="s">
        <v>450</v>
      </c>
      <c r="L5296" s="604" t="s">
        <v>395</v>
      </c>
      <c r="M5296" s="604">
        <v>17</v>
      </c>
      <c r="N5296" s="604">
        <v>516</v>
      </c>
      <c r="O5296" s="604">
        <v>32.9</v>
      </c>
      <c r="P5296" s="604" t="s">
        <v>48</v>
      </c>
    </row>
    <row r="5297" spans="9:16">
      <c r="I5297" s="578" t="str">
        <f t="shared" si="228"/>
        <v>2010gest32-36Infant</v>
      </c>
      <c r="J5297" s="604">
        <v>2010</v>
      </c>
      <c r="K5297" s="604" t="s">
        <v>450</v>
      </c>
      <c r="L5297" s="604" t="s">
        <v>136</v>
      </c>
      <c r="M5297" s="604">
        <v>46</v>
      </c>
      <c r="N5297" s="604">
        <v>4054</v>
      </c>
      <c r="O5297" s="604">
        <v>11.3</v>
      </c>
      <c r="P5297" s="604" t="s">
        <v>48</v>
      </c>
    </row>
    <row r="5298" spans="9:16">
      <c r="I5298" s="578" t="str">
        <f t="shared" si="228"/>
        <v>2010gest37-41Infant</v>
      </c>
      <c r="J5298" s="604">
        <v>2010</v>
      </c>
      <c r="K5298" s="604" t="s">
        <v>450</v>
      </c>
      <c r="L5298" s="604" t="s">
        <v>137</v>
      </c>
      <c r="M5298" s="604">
        <v>131</v>
      </c>
      <c r="N5298" s="604">
        <v>57958</v>
      </c>
      <c r="O5298" s="604">
        <v>2.2999999999999998</v>
      </c>
      <c r="P5298" s="604" t="s">
        <v>48</v>
      </c>
    </row>
    <row r="5299" spans="9:16">
      <c r="I5299" s="578" t="str">
        <f t="shared" si="228"/>
        <v>2010gest42+Infant</v>
      </c>
      <c r="J5299" s="604">
        <v>2010</v>
      </c>
      <c r="K5299" s="604" t="s">
        <v>450</v>
      </c>
      <c r="L5299" s="604" t="s">
        <v>138</v>
      </c>
      <c r="M5299" s="604">
        <v>2</v>
      </c>
      <c r="N5299" s="604">
        <v>1833</v>
      </c>
      <c r="O5299" s="604">
        <v>1.1000000000000001</v>
      </c>
      <c r="P5299" s="604" t="s">
        <v>48</v>
      </c>
    </row>
    <row r="5300" spans="9:16">
      <c r="I5300" s="578" t="str">
        <f t="shared" si="228"/>
        <v>2010gestUnknownInfant</v>
      </c>
      <c r="J5300" s="604">
        <v>2010</v>
      </c>
      <c r="K5300" s="604" t="s">
        <v>450</v>
      </c>
      <c r="L5300" s="604" t="s">
        <v>63</v>
      </c>
      <c r="M5300" s="604">
        <v>22</v>
      </c>
      <c r="N5300" s="604">
        <v>24</v>
      </c>
      <c r="O5300" s="604" t="s">
        <v>119</v>
      </c>
      <c r="P5300" s="604" t="s">
        <v>48</v>
      </c>
    </row>
    <row r="5301" spans="9:16">
      <c r="I5301" s="578" t="str">
        <f t="shared" si="228"/>
        <v>2011gest&lt;28Infant</v>
      </c>
      <c r="J5301" s="604">
        <v>2011</v>
      </c>
      <c r="K5301" s="604" t="s">
        <v>450</v>
      </c>
      <c r="L5301" s="604" t="s">
        <v>375</v>
      </c>
      <c r="M5301" s="604">
        <v>121</v>
      </c>
      <c r="N5301" s="604">
        <v>274</v>
      </c>
      <c r="O5301" s="604">
        <v>441.6</v>
      </c>
      <c r="P5301" s="604" t="s">
        <v>48</v>
      </c>
    </row>
    <row r="5302" spans="9:16">
      <c r="I5302" s="578" t="str">
        <f t="shared" si="228"/>
        <v>2011gest28-31Infant</v>
      </c>
      <c r="J5302" s="604">
        <v>2011</v>
      </c>
      <c r="K5302" s="604" t="s">
        <v>450</v>
      </c>
      <c r="L5302" s="604" t="s">
        <v>395</v>
      </c>
      <c r="M5302" s="604">
        <v>26</v>
      </c>
      <c r="N5302" s="604">
        <v>482</v>
      </c>
      <c r="O5302" s="604">
        <v>53.9</v>
      </c>
      <c r="P5302" s="604" t="s">
        <v>48</v>
      </c>
    </row>
    <row r="5303" spans="9:16">
      <c r="I5303" s="578" t="str">
        <f t="shared" si="228"/>
        <v>2011gest32-36Infant</v>
      </c>
      <c r="J5303" s="604">
        <v>2011</v>
      </c>
      <c r="K5303" s="604" t="s">
        <v>450</v>
      </c>
      <c r="L5303" s="604" t="s">
        <v>136</v>
      </c>
      <c r="M5303" s="604">
        <v>42</v>
      </c>
      <c r="N5303" s="604">
        <v>3882</v>
      </c>
      <c r="O5303" s="604">
        <v>10.8</v>
      </c>
      <c r="P5303" s="604" t="s">
        <v>48</v>
      </c>
    </row>
    <row r="5304" spans="9:16">
      <c r="I5304" s="578" t="str">
        <f t="shared" si="228"/>
        <v>2011gest37-41Infant</v>
      </c>
      <c r="J5304" s="604">
        <v>2011</v>
      </c>
      <c r="K5304" s="604" t="s">
        <v>450</v>
      </c>
      <c r="L5304" s="604" t="s">
        <v>137</v>
      </c>
      <c r="M5304" s="604">
        <v>117</v>
      </c>
      <c r="N5304" s="604">
        <v>55919</v>
      </c>
      <c r="O5304" s="604">
        <v>2.1</v>
      </c>
      <c r="P5304" s="604" t="s">
        <v>48</v>
      </c>
    </row>
    <row r="5305" spans="9:16">
      <c r="I5305" s="578" t="str">
        <f t="shared" si="228"/>
        <v>2011gest42+Infant</v>
      </c>
      <c r="J5305" s="604">
        <v>2011</v>
      </c>
      <c r="K5305" s="604" t="s">
        <v>450</v>
      </c>
      <c r="L5305" s="604" t="s">
        <v>138</v>
      </c>
      <c r="M5305" s="604">
        <v>8</v>
      </c>
      <c r="N5305" s="604">
        <v>1599</v>
      </c>
      <c r="O5305" s="604">
        <v>5</v>
      </c>
      <c r="P5305" s="604" t="s">
        <v>48</v>
      </c>
    </row>
    <row r="5306" spans="9:16">
      <c r="I5306" s="578" t="str">
        <f t="shared" si="228"/>
        <v>2011gestUnknownInfant</v>
      </c>
      <c r="J5306" s="604">
        <v>2011</v>
      </c>
      <c r="K5306" s="604" t="s">
        <v>450</v>
      </c>
      <c r="L5306" s="604" t="s">
        <v>63</v>
      </c>
      <c r="M5306" s="604">
        <v>8</v>
      </c>
      <c r="N5306" s="604">
        <v>18</v>
      </c>
      <c r="O5306" s="604" t="s">
        <v>119</v>
      </c>
      <c r="P5306" s="604" t="s">
        <v>48</v>
      </c>
    </row>
    <row r="5307" spans="9:16">
      <c r="I5307" s="578" t="str">
        <f t="shared" si="228"/>
        <v>2012gest&lt;28Infant</v>
      </c>
      <c r="J5307" s="604">
        <v>2012</v>
      </c>
      <c r="K5307" s="604" t="s">
        <v>450</v>
      </c>
      <c r="L5307" s="604" t="s">
        <v>375</v>
      </c>
      <c r="M5307" s="604">
        <v>126</v>
      </c>
      <c r="N5307" s="604">
        <v>284</v>
      </c>
      <c r="O5307" s="604">
        <v>443.7</v>
      </c>
      <c r="P5307" s="604" t="s">
        <v>48</v>
      </c>
    </row>
    <row r="5308" spans="9:16">
      <c r="I5308" s="578" t="str">
        <f t="shared" si="228"/>
        <v>2012gest28-31Infant</v>
      </c>
      <c r="J5308" s="604">
        <v>2012</v>
      </c>
      <c r="K5308" s="604" t="s">
        <v>450</v>
      </c>
      <c r="L5308" s="604" t="s">
        <v>395</v>
      </c>
      <c r="M5308" s="604">
        <v>19</v>
      </c>
      <c r="N5308" s="604">
        <v>491</v>
      </c>
      <c r="O5308" s="604">
        <v>38.700000000000003</v>
      </c>
      <c r="P5308" s="604" t="s">
        <v>48</v>
      </c>
    </row>
    <row r="5309" spans="9:16">
      <c r="I5309" s="578" t="str">
        <f t="shared" si="228"/>
        <v>2012gest32-36Infant</v>
      </c>
      <c r="J5309" s="604">
        <v>2012</v>
      </c>
      <c r="K5309" s="604" t="s">
        <v>450</v>
      </c>
      <c r="L5309" s="604" t="s">
        <v>136</v>
      </c>
      <c r="M5309" s="604">
        <v>31</v>
      </c>
      <c r="N5309" s="604">
        <v>3935</v>
      </c>
      <c r="O5309" s="604">
        <v>7.9</v>
      </c>
      <c r="P5309" s="604" t="s">
        <v>48</v>
      </c>
    </row>
    <row r="5310" spans="9:16">
      <c r="I5310" s="578" t="str">
        <f t="shared" si="228"/>
        <v>2012gest37-41Infant</v>
      </c>
      <c r="J5310" s="604">
        <v>2012</v>
      </c>
      <c r="K5310" s="604" t="s">
        <v>450</v>
      </c>
      <c r="L5310" s="604" t="s">
        <v>137</v>
      </c>
      <c r="M5310" s="604">
        <v>106</v>
      </c>
      <c r="N5310" s="604">
        <v>55825</v>
      </c>
      <c r="O5310" s="604">
        <v>1.9</v>
      </c>
      <c r="P5310" s="604" t="s">
        <v>48</v>
      </c>
    </row>
    <row r="5311" spans="9:16">
      <c r="I5311" s="578" t="str">
        <f t="shared" si="228"/>
        <v>2012gest42+Infant</v>
      </c>
      <c r="J5311" s="604">
        <v>2012</v>
      </c>
      <c r="K5311" s="604" t="s">
        <v>450</v>
      </c>
      <c r="L5311" s="604" t="s">
        <v>138</v>
      </c>
      <c r="M5311" s="604">
        <v>2</v>
      </c>
      <c r="N5311" s="604">
        <v>1481</v>
      </c>
      <c r="O5311" s="604">
        <v>1.4</v>
      </c>
      <c r="P5311" s="604" t="s">
        <v>48</v>
      </c>
    </row>
    <row r="5312" spans="9:16">
      <c r="I5312" s="578" t="str">
        <f t="shared" si="228"/>
        <v>2012gestUnknownInfant</v>
      </c>
      <c r="J5312" s="604">
        <v>2012</v>
      </c>
      <c r="K5312" s="604" t="s">
        <v>450</v>
      </c>
      <c r="L5312" s="604" t="s">
        <v>63</v>
      </c>
      <c r="M5312" s="604">
        <v>10</v>
      </c>
      <c r="N5312" s="604">
        <v>19</v>
      </c>
      <c r="O5312" s="604" t="s">
        <v>119</v>
      </c>
      <c r="P5312" s="604" t="s">
        <v>48</v>
      </c>
    </row>
    <row r="5313" spans="9:16">
      <c r="I5313" s="578" t="str">
        <f t="shared" si="228"/>
        <v>2013gest&lt;28Infant</v>
      </c>
      <c r="J5313" s="604">
        <v>2013</v>
      </c>
      <c r="K5313" s="604" t="s">
        <v>450</v>
      </c>
      <c r="L5313" s="604" t="s">
        <v>375</v>
      </c>
      <c r="M5313" s="604">
        <v>133</v>
      </c>
      <c r="N5313" s="604">
        <v>299</v>
      </c>
      <c r="O5313" s="604">
        <v>444.8</v>
      </c>
      <c r="P5313" s="604" t="s">
        <v>48</v>
      </c>
    </row>
    <row r="5314" spans="9:16">
      <c r="I5314" s="578" t="str">
        <f t="shared" si="228"/>
        <v>2013gest28-31Infant</v>
      </c>
      <c r="J5314" s="604">
        <v>2013</v>
      </c>
      <c r="K5314" s="604" t="s">
        <v>450</v>
      </c>
      <c r="L5314" s="604" t="s">
        <v>395</v>
      </c>
      <c r="M5314" s="604">
        <v>20</v>
      </c>
      <c r="N5314" s="604">
        <v>448</v>
      </c>
      <c r="O5314" s="604">
        <v>44.6</v>
      </c>
      <c r="P5314" s="604" t="s">
        <v>48</v>
      </c>
    </row>
    <row r="5315" spans="9:16">
      <c r="I5315" s="578" t="str">
        <f t="shared" si="228"/>
        <v>2013gest32-36Infant</v>
      </c>
      <c r="J5315" s="604">
        <v>2013</v>
      </c>
      <c r="K5315" s="604" t="s">
        <v>450</v>
      </c>
      <c r="L5315" s="604" t="s">
        <v>136</v>
      </c>
      <c r="M5315" s="604">
        <v>40</v>
      </c>
      <c r="N5315" s="604">
        <v>3720</v>
      </c>
      <c r="O5315" s="604">
        <v>10.8</v>
      </c>
      <c r="P5315" s="604" t="s">
        <v>48</v>
      </c>
    </row>
    <row r="5316" spans="9:16">
      <c r="I5316" s="578" t="str">
        <f t="shared" ref="I5316:I5379" si="229">J5316&amp;K5316&amp;L5316&amp;P5316</f>
        <v>2013gest37-41Infant</v>
      </c>
      <c r="J5316" s="604">
        <v>2013</v>
      </c>
      <c r="K5316" s="604" t="s">
        <v>450</v>
      </c>
      <c r="L5316" s="604" t="s">
        <v>137</v>
      </c>
      <c r="M5316" s="604">
        <v>87</v>
      </c>
      <c r="N5316" s="604">
        <v>54038</v>
      </c>
      <c r="O5316" s="604">
        <v>1.6</v>
      </c>
      <c r="P5316" s="604" t="s">
        <v>48</v>
      </c>
    </row>
    <row r="5317" spans="9:16">
      <c r="I5317" s="578" t="str">
        <f t="shared" si="229"/>
        <v>2013gest42+Infant</v>
      </c>
      <c r="J5317" s="604">
        <v>2013</v>
      </c>
      <c r="K5317" s="604" t="s">
        <v>450</v>
      </c>
      <c r="L5317" s="604" t="s">
        <v>138</v>
      </c>
      <c r="M5317" s="604">
        <v>2</v>
      </c>
      <c r="N5317" s="604">
        <v>1175</v>
      </c>
      <c r="O5317" s="604">
        <v>1.7</v>
      </c>
      <c r="P5317" s="604" t="s">
        <v>48</v>
      </c>
    </row>
    <row r="5318" spans="9:16">
      <c r="I5318" s="578" t="str">
        <f t="shared" si="229"/>
        <v>2013gestUnknownInfant</v>
      </c>
      <c r="J5318" s="604">
        <v>2013</v>
      </c>
      <c r="K5318" s="604" t="s">
        <v>450</v>
      </c>
      <c r="L5318" s="604" t="s">
        <v>63</v>
      </c>
      <c r="M5318" s="604">
        <v>14</v>
      </c>
      <c r="N5318" s="604">
        <v>21</v>
      </c>
      <c r="O5318" s="604" t="s">
        <v>119</v>
      </c>
      <c r="P5318" s="604" t="s">
        <v>48</v>
      </c>
    </row>
    <row r="5319" spans="9:16">
      <c r="I5319" s="578" t="str">
        <f t="shared" si="229"/>
        <v>2014gest&lt;28Infant</v>
      </c>
      <c r="J5319" s="604">
        <v>2014</v>
      </c>
      <c r="K5319" s="604" t="s">
        <v>450</v>
      </c>
      <c r="L5319" s="604" t="s">
        <v>375</v>
      </c>
      <c r="M5319" s="604">
        <v>156</v>
      </c>
      <c r="N5319" s="604">
        <v>318</v>
      </c>
      <c r="O5319" s="604">
        <v>490.6</v>
      </c>
      <c r="P5319" s="604" t="s">
        <v>48</v>
      </c>
    </row>
    <row r="5320" spans="9:16">
      <c r="I5320" s="578" t="str">
        <f t="shared" si="229"/>
        <v>2014gest28-31Infant</v>
      </c>
      <c r="J5320" s="604">
        <v>2014</v>
      </c>
      <c r="K5320" s="604" t="s">
        <v>450</v>
      </c>
      <c r="L5320" s="604" t="s">
        <v>395</v>
      </c>
      <c r="M5320" s="604">
        <v>10</v>
      </c>
      <c r="N5320" s="604">
        <v>421</v>
      </c>
      <c r="O5320" s="604">
        <v>23.8</v>
      </c>
      <c r="P5320" s="604" t="s">
        <v>48</v>
      </c>
    </row>
    <row r="5321" spans="9:16">
      <c r="I5321" s="578" t="str">
        <f t="shared" si="229"/>
        <v>2014gest32-36Infant</v>
      </c>
      <c r="J5321" s="604">
        <v>2014</v>
      </c>
      <c r="K5321" s="604" t="s">
        <v>450</v>
      </c>
      <c r="L5321" s="604" t="s">
        <v>136</v>
      </c>
      <c r="M5321" s="604">
        <v>34</v>
      </c>
      <c r="N5321" s="604">
        <v>3617</v>
      </c>
      <c r="O5321" s="604">
        <v>9.4</v>
      </c>
      <c r="P5321" s="604" t="s">
        <v>48</v>
      </c>
    </row>
    <row r="5322" spans="9:16">
      <c r="I5322" s="578" t="str">
        <f t="shared" si="229"/>
        <v>2014gest37-41Infant</v>
      </c>
      <c r="J5322" s="604">
        <v>2014</v>
      </c>
      <c r="K5322" s="604" t="s">
        <v>450</v>
      </c>
      <c r="L5322" s="604" t="s">
        <v>137</v>
      </c>
      <c r="M5322" s="604">
        <v>110</v>
      </c>
      <c r="N5322" s="604">
        <v>52797</v>
      </c>
      <c r="O5322" s="604">
        <v>2.1</v>
      </c>
      <c r="P5322" s="604" t="s">
        <v>48</v>
      </c>
    </row>
    <row r="5323" spans="9:16">
      <c r="I5323" s="578" t="str">
        <f t="shared" si="229"/>
        <v>2014gest42+Infant</v>
      </c>
      <c r="J5323" s="604">
        <v>2014</v>
      </c>
      <c r="K5323" s="604" t="s">
        <v>450</v>
      </c>
      <c r="L5323" s="604" t="s">
        <v>138</v>
      </c>
      <c r="M5323" s="604">
        <v>1</v>
      </c>
      <c r="N5323" s="604">
        <v>1120</v>
      </c>
      <c r="O5323" s="604">
        <v>0.9</v>
      </c>
      <c r="P5323" s="604" t="s">
        <v>48</v>
      </c>
    </row>
    <row r="5324" spans="9:16">
      <c r="I5324" s="578" t="str">
        <f t="shared" si="229"/>
        <v>2014gestUnknownInfant</v>
      </c>
      <c r="J5324" s="604">
        <v>2014</v>
      </c>
      <c r="K5324" s="604" t="s">
        <v>450</v>
      </c>
      <c r="L5324" s="604" t="s">
        <v>63</v>
      </c>
      <c r="M5324" s="604">
        <v>22</v>
      </c>
      <c r="N5324" s="604">
        <v>12</v>
      </c>
      <c r="O5324" s="604" t="s">
        <v>119</v>
      </c>
      <c r="P5324" s="604" t="s">
        <v>48</v>
      </c>
    </row>
    <row r="5325" spans="9:16">
      <c r="I5325" s="578" t="str">
        <f t="shared" si="229"/>
        <v>2015gest&lt;28Infant</v>
      </c>
      <c r="J5325" s="604">
        <v>2015</v>
      </c>
      <c r="K5325" s="604" t="s">
        <v>450</v>
      </c>
      <c r="L5325" s="604" t="s">
        <v>375</v>
      </c>
      <c r="M5325" s="604">
        <v>104</v>
      </c>
      <c r="N5325" s="604">
        <v>285</v>
      </c>
      <c r="O5325" s="604">
        <v>364.9</v>
      </c>
      <c r="P5325" s="604" t="s">
        <v>48</v>
      </c>
    </row>
    <row r="5326" spans="9:16">
      <c r="I5326" s="578" t="str">
        <f t="shared" si="229"/>
        <v>2015gest28-31Infant</v>
      </c>
      <c r="J5326" s="604">
        <v>2015</v>
      </c>
      <c r="K5326" s="604" t="s">
        <v>450</v>
      </c>
      <c r="L5326" s="604" t="s">
        <v>395</v>
      </c>
      <c r="M5326" s="604">
        <v>11</v>
      </c>
      <c r="N5326" s="604">
        <v>477</v>
      </c>
      <c r="O5326" s="604">
        <v>23.1</v>
      </c>
      <c r="P5326" s="604" t="s">
        <v>48</v>
      </c>
    </row>
    <row r="5327" spans="9:16">
      <c r="I5327" s="578" t="str">
        <f t="shared" si="229"/>
        <v>2015gest32-36Infant</v>
      </c>
      <c r="J5327" s="604">
        <v>2015</v>
      </c>
      <c r="K5327" s="604" t="s">
        <v>450</v>
      </c>
      <c r="L5327" s="604" t="s">
        <v>136</v>
      </c>
      <c r="M5327" s="604">
        <v>35</v>
      </c>
      <c r="N5327" s="604">
        <v>3866</v>
      </c>
      <c r="O5327" s="604">
        <v>9.1</v>
      </c>
      <c r="P5327" s="604" t="s">
        <v>48</v>
      </c>
    </row>
    <row r="5328" spans="9:16">
      <c r="I5328" s="578" t="str">
        <f t="shared" si="229"/>
        <v>2015gest37-41Infant</v>
      </c>
      <c r="J5328" s="604">
        <v>2015</v>
      </c>
      <c r="K5328" s="604" t="s">
        <v>450</v>
      </c>
      <c r="L5328" s="604" t="s">
        <v>137</v>
      </c>
      <c r="M5328" s="604">
        <v>94</v>
      </c>
      <c r="N5328" s="604">
        <v>56298</v>
      </c>
      <c r="O5328" s="604">
        <v>1.7</v>
      </c>
      <c r="P5328" s="604" t="s">
        <v>48</v>
      </c>
    </row>
    <row r="5329" spans="9:16">
      <c r="I5329" s="578" t="str">
        <f t="shared" si="229"/>
        <v>2015gest42+Infant</v>
      </c>
      <c r="J5329" s="604">
        <v>2015</v>
      </c>
      <c r="K5329" s="604" t="s">
        <v>450</v>
      </c>
      <c r="L5329" s="604" t="s">
        <v>138</v>
      </c>
      <c r="M5329" s="604">
        <v>4</v>
      </c>
      <c r="N5329" s="604">
        <v>1182</v>
      </c>
      <c r="O5329" s="604">
        <v>3.4</v>
      </c>
      <c r="P5329" s="604" t="s">
        <v>48</v>
      </c>
    </row>
    <row r="5330" spans="9:16">
      <c r="I5330" s="578" t="str">
        <f t="shared" si="229"/>
        <v>2015gestUnknownInfant</v>
      </c>
      <c r="J5330" s="604">
        <v>2015</v>
      </c>
      <c r="K5330" s="604" t="s">
        <v>450</v>
      </c>
      <c r="L5330" s="604" t="s">
        <v>63</v>
      </c>
      <c r="M5330" s="604">
        <v>18</v>
      </c>
      <c r="N5330" s="604">
        <v>14</v>
      </c>
      <c r="O5330" s="604" t="s">
        <v>119</v>
      </c>
      <c r="P5330" s="604" t="s">
        <v>48</v>
      </c>
    </row>
    <row r="5331" spans="9:16">
      <c r="I5331" s="578" t="str">
        <f t="shared" si="229"/>
        <v>2016gest&lt;28Infant</v>
      </c>
      <c r="J5331" s="604">
        <v>2016</v>
      </c>
      <c r="K5331" s="604" t="s">
        <v>450</v>
      </c>
      <c r="L5331" s="604" t="s">
        <v>375</v>
      </c>
      <c r="M5331" s="604">
        <v>96</v>
      </c>
      <c r="N5331" s="604">
        <v>260</v>
      </c>
      <c r="O5331" s="604">
        <v>369.2</v>
      </c>
      <c r="P5331" s="604" t="s">
        <v>48</v>
      </c>
    </row>
    <row r="5332" spans="9:16">
      <c r="I5332" s="578" t="str">
        <f t="shared" si="229"/>
        <v>2016gest28-31Infant</v>
      </c>
      <c r="J5332" s="604">
        <v>2016</v>
      </c>
      <c r="K5332" s="604" t="s">
        <v>450</v>
      </c>
      <c r="L5332" s="604" t="s">
        <v>395</v>
      </c>
      <c r="M5332" s="604">
        <v>14</v>
      </c>
      <c r="N5332" s="604">
        <v>417</v>
      </c>
      <c r="O5332" s="604">
        <v>33.6</v>
      </c>
      <c r="P5332" s="604" t="s">
        <v>48</v>
      </c>
    </row>
    <row r="5333" spans="9:16">
      <c r="I5333" s="578" t="str">
        <f t="shared" si="229"/>
        <v>2016gest32-36Infant</v>
      </c>
      <c r="J5333" s="604">
        <v>2016</v>
      </c>
      <c r="K5333" s="604" t="s">
        <v>450</v>
      </c>
      <c r="L5333" s="604" t="s">
        <v>136</v>
      </c>
      <c r="M5333" s="604">
        <v>23</v>
      </c>
      <c r="N5333" s="604">
        <v>3814</v>
      </c>
      <c r="O5333" s="604">
        <v>6</v>
      </c>
      <c r="P5333" s="604" t="s">
        <v>48</v>
      </c>
    </row>
    <row r="5334" spans="9:16">
      <c r="I5334" s="578" t="str">
        <f t="shared" si="229"/>
        <v>2016gest37-41Infant</v>
      </c>
      <c r="J5334" s="604">
        <v>2016</v>
      </c>
      <c r="K5334" s="604" t="s">
        <v>450</v>
      </c>
      <c r="L5334" s="604" t="s">
        <v>137</v>
      </c>
      <c r="M5334" s="604">
        <v>91</v>
      </c>
      <c r="N5334" s="604">
        <v>54899</v>
      </c>
      <c r="O5334" s="604">
        <v>1.7</v>
      </c>
      <c r="P5334" s="604" t="s">
        <v>48</v>
      </c>
    </row>
    <row r="5335" spans="9:16">
      <c r="I5335" s="578" t="str">
        <f t="shared" si="229"/>
        <v>2016gest42+Infant</v>
      </c>
      <c r="J5335" s="604">
        <v>2016</v>
      </c>
      <c r="K5335" s="604" t="s">
        <v>450</v>
      </c>
      <c r="L5335" s="604" t="s">
        <v>138</v>
      </c>
      <c r="M5335" s="604">
        <v>4</v>
      </c>
      <c r="N5335" s="604">
        <v>1017</v>
      </c>
      <c r="O5335" s="604">
        <v>3.9</v>
      </c>
      <c r="P5335" s="604" t="s">
        <v>48</v>
      </c>
    </row>
    <row r="5336" spans="9:16">
      <c r="I5336" s="578" t="str">
        <f t="shared" si="229"/>
        <v>2016gestUnknownInfant</v>
      </c>
      <c r="J5336" s="604">
        <v>2016</v>
      </c>
      <c r="K5336" s="604" t="s">
        <v>450</v>
      </c>
      <c r="L5336" s="604" t="s">
        <v>63</v>
      </c>
      <c r="M5336" s="604">
        <v>13</v>
      </c>
      <c r="N5336" s="604">
        <v>29</v>
      </c>
      <c r="O5336" s="604" t="s">
        <v>119</v>
      </c>
      <c r="P5336" s="604" t="s">
        <v>48</v>
      </c>
    </row>
    <row r="5337" spans="9:16">
      <c r="I5337" s="578" t="str">
        <f t="shared" si="229"/>
        <v>1996dhbNorthlandInfant</v>
      </c>
      <c r="J5337" s="604">
        <v>1996</v>
      </c>
      <c r="K5337" s="604" t="s">
        <v>448</v>
      </c>
      <c r="L5337" s="604" t="s">
        <v>85</v>
      </c>
      <c r="M5337" s="604">
        <v>29</v>
      </c>
      <c r="N5337" s="604">
        <v>2240</v>
      </c>
      <c r="O5337" s="604">
        <v>12.9</v>
      </c>
      <c r="P5337" s="604" t="s">
        <v>48</v>
      </c>
    </row>
    <row r="5338" spans="9:16">
      <c r="I5338" s="578" t="str">
        <f t="shared" si="229"/>
        <v>1996dhbWaitemataInfant</v>
      </c>
      <c r="J5338" s="604">
        <v>1996</v>
      </c>
      <c r="K5338" s="604" t="s">
        <v>448</v>
      </c>
      <c r="L5338" s="604" t="s">
        <v>86</v>
      </c>
      <c r="M5338" s="604">
        <v>36</v>
      </c>
      <c r="N5338" s="604">
        <v>6325</v>
      </c>
      <c r="O5338" s="604">
        <v>5.7</v>
      </c>
      <c r="P5338" s="604" t="s">
        <v>48</v>
      </c>
    </row>
    <row r="5339" spans="9:16">
      <c r="I5339" s="578" t="str">
        <f t="shared" si="229"/>
        <v>1996dhbAucklandInfant</v>
      </c>
      <c r="J5339" s="604">
        <v>1996</v>
      </c>
      <c r="K5339" s="604" t="s">
        <v>448</v>
      </c>
      <c r="L5339" s="604" t="s">
        <v>87</v>
      </c>
      <c r="M5339" s="604">
        <v>39</v>
      </c>
      <c r="N5339" s="604">
        <v>5994</v>
      </c>
      <c r="O5339" s="604">
        <v>6.5</v>
      </c>
      <c r="P5339" s="604" t="s">
        <v>48</v>
      </c>
    </row>
    <row r="5340" spans="9:16">
      <c r="I5340" s="578" t="str">
        <f t="shared" si="229"/>
        <v>1996dhbCounties ManukauInfant</v>
      </c>
      <c r="J5340" s="604">
        <v>1996</v>
      </c>
      <c r="K5340" s="604" t="s">
        <v>448</v>
      </c>
      <c r="L5340" s="604" t="s">
        <v>88</v>
      </c>
      <c r="M5340" s="604">
        <v>42</v>
      </c>
      <c r="N5340" s="604">
        <v>6875</v>
      </c>
      <c r="O5340" s="604">
        <v>6.1</v>
      </c>
      <c r="P5340" s="604" t="s">
        <v>48</v>
      </c>
    </row>
    <row r="5341" spans="9:16">
      <c r="I5341" s="578" t="str">
        <f t="shared" si="229"/>
        <v>1996dhbWaikatoInfant</v>
      </c>
      <c r="J5341" s="604">
        <v>1996</v>
      </c>
      <c r="K5341" s="604" t="s">
        <v>448</v>
      </c>
      <c r="L5341" s="604" t="s">
        <v>89</v>
      </c>
      <c r="M5341" s="604">
        <v>38</v>
      </c>
      <c r="N5341" s="604">
        <v>4944</v>
      </c>
      <c r="O5341" s="604">
        <v>7.7</v>
      </c>
      <c r="P5341" s="604" t="s">
        <v>48</v>
      </c>
    </row>
    <row r="5342" spans="9:16">
      <c r="I5342" s="578" t="str">
        <f t="shared" si="229"/>
        <v>1996dhbLakesInfant</v>
      </c>
      <c r="J5342" s="604">
        <v>1996</v>
      </c>
      <c r="K5342" s="604" t="s">
        <v>448</v>
      </c>
      <c r="L5342" s="604" t="s">
        <v>90</v>
      </c>
      <c r="M5342" s="604">
        <v>18</v>
      </c>
      <c r="N5342" s="604">
        <v>1732</v>
      </c>
      <c r="O5342" s="604">
        <v>10.4</v>
      </c>
      <c r="P5342" s="604" t="s">
        <v>48</v>
      </c>
    </row>
    <row r="5343" spans="9:16">
      <c r="I5343" s="578" t="str">
        <f t="shared" si="229"/>
        <v>1996dhbBay of PlentyInfant</v>
      </c>
      <c r="J5343" s="604">
        <v>1996</v>
      </c>
      <c r="K5343" s="604" t="s">
        <v>448</v>
      </c>
      <c r="L5343" s="604" t="s">
        <v>91</v>
      </c>
      <c r="M5343" s="604">
        <v>19</v>
      </c>
      <c r="N5343" s="604">
        <v>2575</v>
      </c>
      <c r="O5343" s="604">
        <v>7.4</v>
      </c>
      <c r="P5343" s="604" t="s">
        <v>48</v>
      </c>
    </row>
    <row r="5344" spans="9:16">
      <c r="I5344" s="578" t="str">
        <f t="shared" si="229"/>
        <v>1996dhbTairawhitiInfant</v>
      </c>
      <c r="J5344" s="604">
        <v>1996</v>
      </c>
      <c r="K5344" s="604" t="s">
        <v>448</v>
      </c>
      <c r="L5344" s="604" t="s">
        <v>433</v>
      </c>
      <c r="M5344" s="604">
        <v>7</v>
      </c>
      <c r="N5344" s="604">
        <v>871</v>
      </c>
      <c r="O5344" s="604">
        <v>8</v>
      </c>
      <c r="P5344" s="604" t="s">
        <v>48</v>
      </c>
    </row>
    <row r="5345" spans="9:16">
      <c r="I5345" s="578" t="str">
        <f t="shared" si="229"/>
        <v>1996dhbHawke's BayInfant</v>
      </c>
      <c r="J5345" s="604">
        <v>1996</v>
      </c>
      <c r="K5345" s="604" t="s">
        <v>448</v>
      </c>
      <c r="L5345" s="604" t="s">
        <v>92</v>
      </c>
      <c r="M5345" s="604">
        <v>26</v>
      </c>
      <c r="N5345" s="604">
        <v>2405</v>
      </c>
      <c r="O5345" s="604">
        <v>10.8</v>
      </c>
      <c r="P5345" s="604" t="s">
        <v>48</v>
      </c>
    </row>
    <row r="5346" spans="9:16">
      <c r="I5346" s="578" t="str">
        <f t="shared" si="229"/>
        <v>1996dhbTaranakiInfant</v>
      </c>
      <c r="J5346" s="604">
        <v>1996</v>
      </c>
      <c r="K5346" s="604" t="s">
        <v>448</v>
      </c>
      <c r="L5346" s="604" t="s">
        <v>93</v>
      </c>
      <c r="M5346" s="604">
        <v>16</v>
      </c>
      <c r="N5346" s="604">
        <v>1538</v>
      </c>
      <c r="O5346" s="604">
        <v>10.4</v>
      </c>
      <c r="P5346" s="604" t="s">
        <v>48</v>
      </c>
    </row>
    <row r="5347" spans="9:16">
      <c r="I5347" s="578" t="str">
        <f t="shared" si="229"/>
        <v>1996dhbMidCentralInfant</v>
      </c>
      <c r="J5347" s="604">
        <v>1996</v>
      </c>
      <c r="K5347" s="604" t="s">
        <v>448</v>
      </c>
      <c r="L5347" s="604" t="s">
        <v>94</v>
      </c>
      <c r="M5347" s="604">
        <v>16</v>
      </c>
      <c r="N5347" s="604">
        <v>2430</v>
      </c>
      <c r="O5347" s="604">
        <v>6.6</v>
      </c>
      <c r="P5347" s="604" t="s">
        <v>48</v>
      </c>
    </row>
    <row r="5348" spans="9:16">
      <c r="I5348" s="578" t="str">
        <f t="shared" si="229"/>
        <v>1996dhbWhanganuiInfant</v>
      </c>
      <c r="J5348" s="604">
        <v>1996</v>
      </c>
      <c r="K5348" s="604" t="s">
        <v>448</v>
      </c>
      <c r="L5348" s="604" t="s">
        <v>95</v>
      </c>
      <c r="M5348" s="604">
        <v>10</v>
      </c>
      <c r="N5348" s="604">
        <v>1078</v>
      </c>
      <c r="O5348" s="604">
        <v>9.3000000000000007</v>
      </c>
      <c r="P5348" s="604" t="s">
        <v>48</v>
      </c>
    </row>
    <row r="5349" spans="9:16">
      <c r="I5349" s="578" t="str">
        <f t="shared" si="229"/>
        <v>1996dhbCapital &amp; CoastInfant</v>
      </c>
      <c r="J5349" s="604">
        <v>1996</v>
      </c>
      <c r="K5349" s="604" t="s">
        <v>448</v>
      </c>
      <c r="L5349" s="604" t="s">
        <v>96</v>
      </c>
      <c r="M5349" s="604">
        <v>22</v>
      </c>
      <c r="N5349" s="604">
        <v>3644</v>
      </c>
      <c r="O5349" s="604">
        <v>6</v>
      </c>
      <c r="P5349" s="604" t="s">
        <v>48</v>
      </c>
    </row>
    <row r="5350" spans="9:16">
      <c r="I5350" s="578" t="str">
        <f t="shared" si="229"/>
        <v>1996dhbHutt ValleyInfant</v>
      </c>
      <c r="J5350" s="604">
        <v>1996</v>
      </c>
      <c r="K5350" s="604" t="s">
        <v>448</v>
      </c>
      <c r="L5350" s="604" t="s">
        <v>97</v>
      </c>
      <c r="M5350" s="604">
        <v>11</v>
      </c>
      <c r="N5350" s="604">
        <v>2135</v>
      </c>
      <c r="O5350" s="604">
        <v>5.2</v>
      </c>
      <c r="P5350" s="604" t="s">
        <v>48</v>
      </c>
    </row>
    <row r="5351" spans="9:16">
      <c r="I5351" s="578" t="str">
        <f t="shared" si="229"/>
        <v>1996dhbWairarapaInfant</v>
      </c>
      <c r="J5351" s="604">
        <v>1996</v>
      </c>
      <c r="K5351" s="604" t="s">
        <v>448</v>
      </c>
      <c r="L5351" s="604" t="s">
        <v>98</v>
      </c>
      <c r="M5351" s="604">
        <v>6</v>
      </c>
      <c r="N5351" s="604">
        <v>570</v>
      </c>
      <c r="O5351" s="604">
        <v>10.5</v>
      </c>
      <c r="P5351" s="604" t="s">
        <v>48</v>
      </c>
    </row>
    <row r="5352" spans="9:16">
      <c r="I5352" s="578" t="str">
        <f t="shared" si="229"/>
        <v>1996dhbNelson MarlboroughInfant</v>
      </c>
      <c r="J5352" s="604">
        <v>1996</v>
      </c>
      <c r="K5352" s="604" t="s">
        <v>448</v>
      </c>
      <c r="L5352" s="604" t="s">
        <v>99</v>
      </c>
      <c r="M5352" s="604">
        <v>11</v>
      </c>
      <c r="N5352" s="604">
        <v>1476</v>
      </c>
      <c r="O5352" s="604">
        <v>7.5</v>
      </c>
      <c r="P5352" s="604" t="s">
        <v>48</v>
      </c>
    </row>
    <row r="5353" spans="9:16">
      <c r="I5353" s="578" t="str">
        <f t="shared" si="229"/>
        <v>1996dhbWest CoastInfant</v>
      </c>
      <c r="J5353" s="604">
        <v>1996</v>
      </c>
      <c r="K5353" s="604" t="s">
        <v>448</v>
      </c>
      <c r="L5353" s="604" t="s">
        <v>100</v>
      </c>
      <c r="M5353" s="604">
        <v>2</v>
      </c>
      <c r="N5353" s="604">
        <v>491</v>
      </c>
      <c r="O5353" s="604">
        <v>4.0999999999999996</v>
      </c>
      <c r="P5353" s="604" t="s">
        <v>48</v>
      </c>
    </row>
    <row r="5354" spans="9:16">
      <c r="I5354" s="578" t="str">
        <f t="shared" si="229"/>
        <v>1996dhbCanterburyInfant</v>
      </c>
      <c r="J5354" s="604">
        <v>1996</v>
      </c>
      <c r="K5354" s="604" t="s">
        <v>448</v>
      </c>
      <c r="L5354" s="604" t="s">
        <v>101</v>
      </c>
      <c r="M5354" s="604">
        <v>38</v>
      </c>
      <c r="N5354" s="604">
        <v>5538</v>
      </c>
      <c r="O5354" s="604">
        <v>6.9</v>
      </c>
      <c r="P5354" s="604" t="s">
        <v>48</v>
      </c>
    </row>
    <row r="5355" spans="9:16">
      <c r="I5355" s="578" t="str">
        <f t="shared" si="229"/>
        <v>1996dhbSouth CanterburyInfant</v>
      </c>
      <c r="J5355" s="604">
        <v>1996</v>
      </c>
      <c r="K5355" s="604" t="s">
        <v>448</v>
      </c>
      <c r="L5355" s="604" t="s">
        <v>102</v>
      </c>
      <c r="M5355" s="604">
        <v>0</v>
      </c>
      <c r="N5355" s="604">
        <v>698</v>
      </c>
      <c r="O5355" s="604">
        <v>0</v>
      </c>
      <c r="P5355" s="604" t="s">
        <v>48</v>
      </c>
    </row>
    <row r="5356" spans="9:16">
      <c r="I5356" s="578" t="str">
        <f t="shared" si="229"/>
        <v>1996dhbSouthernInfant</v>
      </c>
      <c r="J5356" s="604">
        <v>1996</v>
      </c>
      <c r="K5356" s="604" t="s">
        <v>448</v>
      </c>
      <c r="L5356" s="604" t="s">
        <v>103</v>
      </c>
      <c r="M5356" s="604">
        <v>30</v>
      </c>
      <c r="N5356" s="604">
        <v>3717</v>
      </c>
      <c r="O5356" s="604">
        <v>8.1</v>
      </c>
      <c r="P5356" s="604" t="s">
        <v>48</v>
      </c>
    </row>
    <row r="5357" spans="9:16">
      <c r="I5357" s="578" t="str">
        <f t="shared" si="229"/>
        <v>1996dhbUnknownInfant</v>
      </c>
      <c r="J5357" s="604">
        <v>1996</v>
      </c>
      <c r="K5357" s="604" t="s">
        <v>448</v>
      </c>
      <c r="L5357" s="604" t="s">
        <v>63</v>
      </c>
      <c r="M5357" s="604">
        <v>1</v>
      </c>
      <c r="N5357" s="604">
        <v>158</v>
      </c>
      <c r="O5357" s="604" t="s">
        <v>119</v>
      </c>
      <c r="P5357" s="604" t="s">
        <v>48</v>
      </c>
    </row>
    <row r="5358" spans="9:16">
      <c r="I5358" s="578" t="str">
        <f t="shared" si="229"/>
        <v>1997dhbNorthlandInfant</v>
      </c>
      <c r="J5358" s="604">
        <v>1997</v>
      </c>
      <c r="K5358" s="604" t="s">
        <v>448</v>
      </c>
      <c r="L5358" s="604" t="s">
        <v>85</v>
      </c>
      <c r="M5358" s="604">
        <v>17</v>
      </c>
      <c r="N5358" s="604">
        <v>2213</v>
      </c>
      <c r="O5358" s="604">
        <v>7.7</v>
      </c>
      <c r="P5358" s="604" t="s">
        <v>48</v>
      </c>
    </row>
    <row r="5359" spans="9:16">
      <c r="I5359" s="578" t="str">
        <f t="shared" si="229"/>
        <v>1997dhbWaitemataInfant</v>
      </c>
      <c r="J5359" s="604">
        <v>1997</v>
      </c>
      <c r="K5359" s="604" t="s">
        <v>448</v>
      </c>
      <c r="L5359" s="604" t="s">
        <v>86</v>
      </c>
      <c r="M5359" s="604">
        <v>41</v>
      </c>
      <c r="N5359" s="604">
        <v>6361</v>
      </c>
      <c r="O5359" s="604">
        <v>6.4</v>
      </c>
      <c r="P5359" s="604" t="s">
        <v>48</v>
      </c>
    </row>
    <row r="5360" spans="9:16">
      <c r="I5360" s="578" t="str">
        <f t="shared" si="229"/>
        <v>1997dhbAucklandInfant</v>
      </c>
      <c r="J5360" s="604">
        <v>1997</v>
      </c>
      <c r="K5360" s="604" t="s">
        <v>448</v>
      </c>
      <c r="L5360" s="604" t="s">
        <v>87</v>
      </c>
      <c r="M5360" s="604">
        <v>39</v>
      </c>
      <c r="N5360" s="604">
        <v>5926</v>
      </c>
      <c r="O5360" s="604">
        <v>6.6</v>
      </c>
      <c r="P5360" s="604" t="s">
        <v>48</v>
      </c>
    </row>
    <row r="5361" spans="9:16">
      <c r="I5361" s="578" t="str">
        <f t="shared" si="229"/>
        <v>1997dhbCounties ManukauInfant</v>
      </c>
      <c r="J5361" s="604">
        <v>1997</v>
      </c>
      <c r="K5361" s="604" t="s">
        <v>448</v>
      </c>
      <c r="L5361" s="604" t="s">
        <v>88</v>
      </c>
      <c r="M5361" s="604">
        <v>62</v>
      </c>
      <c r="N5361" s="604">
        <v>6976</v>
      </c>
      <c r="O5361" s="604">
        <v>8.9</v>
      </c>
      <c r="P5361" s="604" t="s">
        <v>48</v>
      </c>
    </row>
    <row r="5362" spans="9:16">
      <c r="I5362" s="578" t="str">
        <f t="shared" si="229"/>
        <v>1997dhbWaikatoInfant</v>
      </c>
      <c r="J5362" s="604">
        <v>1997</v>
      </c>
      <c r="K5362" s="604" t="s">
        <v>448</v>
      </c>
      <c r="L5362" s="604" t="s">
        <v>89</v>
      </c>
      <c r="M5362" s="604">
        <v>43</v>
      </c>
      <c r="N5362" s="604">
        <v>5239</v>
      </c>
      <c r="O5362" s="604">
        <v>8.1999999999999993</v>
      </c>
      <c r="P5362" s="604" t="s">
        <v>48</v>
      </c>
    </row>
    <row r="5363" spans="9:16">
      <c r="I5363" s="578" t="str">
        <f t="shared" si="229"/>
        <v>1997dhbLakesInfant</v>
      </c>
      <c r="J5363" s="604">
        <v>1997</v>
      </c>
      <c r="K5363" s="604" t="s">
        <v>448</v>
      </c>
      <c r="L5363" s="604" t="s">
        <v>90</v>
      </c>
      <c r="M5363" s="604">
        <v>18</v>
      </c>
      <c r="N5363" s="604">
        <v>1878</v>
      </c>
      <c r="O5363" s="604">
        <v>9.6</v>
      </c>
      <c r="P5363" s="604" t="s">
        <v>48</v>
      </c>
    </row>
    <row r="5364" spans="9:16">
      <c r="I5364" s="578" t="str">
        <f t="shared" si="229"/>
        <v>1997dhbBay of PlentyInfant</v>
      </c>
      <c r="J5364" s="604">
        <v>1997</v>
      </c>
      <c r="K5364" s="604" t="s">
        <v>448</v>
      </c>
      <c r="L5364" s="604" t="s">
        <v>91</v>
      </c>
      <c r="M5364" s="604">
        <v>21</v>
      </c>
      <c r="N5364" s="604">
        <v>2746</v>
      </c>
      <c r="O5364" s="604">
        <v>7.6</v>
      </c>
      <c r="P5364" s="604" t="s">
        <v>48</v>
      </c>
    </row>
    <row r="5365" spans="9:16">
      <c r="I5365" s="578" t="str">
        <f t="shared" si="229"/>
        <v>1997dhbTairawhitiInfant</v>
      </c>
      <c r="J5365" s="604">
        <v>1997</v>
      </c>
      <c r="K5365" s="604" t="s">
        <v>448</v>
      </c>
      <c r="L5365" s="604" t="s">
        <v>433</v>
      </c>
      <c r="M5365" s="604">
        <v>7</v>
      </c>
      <c r="N5365" s="604">
        <v>836</v>
      </c>
      <c r="O5365" s="604">
        <v>8.4</v>
      </c>
      <c r="P5365" s="604" t="s">
        <v>48</v>
      </c>
    </row>
    <row r="5366" spans="9:16">
      <c r="I5366" s="578" t="str">
        <f t="shared" si="229"/>
        <v>1997dhbHawke's BayInfant</v>
      </c>
      <c r="J5366" s="604">
        <v>1997</v>
      </c>
      <c r="K5366" s="604" t="s">
        <v>448</v>
      </c>
      <c r="L5366" s="604" t="s">
        <v>92</v>
      </c>
      <c r="M5366" s="604">
        <v>22</v>
      </c>
      <c r="N5366" s="604">
        <v>2303</v>
      </c>
      <c r="O5366" s="604">
        <v>9.6</v>
      </c>
      <c r="P5366" s="604" t="s">
        <v>48</v>
      </c>
    </row>
    <row r="5367" spans="9:16">
      <c r="I5367" s="578" t="str">
        <f t="shared" si="229"/>
        <v>1997dhbTaranakiInfant</v>
      </c>
      <c r="J5367" s="604">
        <v>1997</v>
      </c>
      <c r="K5367" s="604" t="s">
        <v>448</v>
      </c>
      <c r="L5367" s="604" t="s">
        <v>93</v>
      </c>
      <c r="M5367" s="604">
        <v>10</v>
      </c>
      <c r="N5367" s="604">
        <v>1504</v>
      </c>
      <c r="O5367" s="604">
        <v>6.6</v>
      </c>
      <c r="P5367" s="604" t="s">
        <v>48</v>
      </c>
    </row>
    <row r="5368" spans="9:16">
      <c r="I5368" s="578" t="str">
        <f t="shared" si="229"/>
        <v>1997dhbMidCentralInfant</v>
      </c>
      <c r="J5368" s="604">
        <v>1997</v>
      </c>
      <c r="K5368" s="604" t="s">
        <v>448</v>
      </c>
      <c r="L5368" s="604" t="s">
        <v>94</v>
      </c>
      <c r="M5368" s="604">
        <v>7</v>
      </c>
      <c r="N5368" s="604">
        <v>2380</v>
      </c>
      <c r="O5368" s="604">
        <v>2.9</v>
      </c>
      <c r="P5368" s="604" t="s">
        <v>48</v>
      </c>
    </row>
    <row r="5369" spans="9:16">
      <c r="I5369" s="578" t="str">
        <f t="shared" si="229"/>
        <v>1997dhbWhanganuiInfant</v>
      </c>
      <c r="J5369" s="604">
        <v>1997</v>
      </c>
      <c r="K5369" s="604" t="s">
        <v>448</v>
      </c>
      <c r="L5369" s="604" t="s">
        <v>95</v>
      </c>
      <c r="M5369" s="604">
        <v>11</v>
      </c>
      <c r="N5369" s="604">
        <v>1082</v>
      </c>
      <c r="O5369" s="604">
        <v>10.199999999999999</v>
      </c>
      <c r="P5369" s="604" t="s">
        <v>48</v>
      </c>
    </row>
    <row r="5370" spans="9:16">
      <c r="I5370" s="578" t="str">
        <f t="shared" si="229"/>
        <v>1997dhbCapital &amp; CoastInfant</v>
      </c>
      <c r="J5370" s="604">
        <v>1997</v>
      </c>
      <c r="K5370" s="604" t="s">
        <v>448</v>
      </c>
      <c r="L5370" s="604" t="s">
        <v>96</v>
      </c>
      <c r="M5370" s="604">
        <v>18</v>
      </c>
      <c r="N5370" s="604">
        <v>3566</v>
      </c>
      <c r="O5370" s="604">
        <v>5</v>
      </c>
      <c r="P5370" s="604" t="s">
        <v>48</v>
      </c>
    </row>
    <row r="5371" spans="9:16">
      <c r="I5371" s="578" t="str">
        <f t="shared" si="229"/>
        <v>1997dhbHutt ValleyInfant</v>
      </c>
      <c r="J5371" s="604">
        <v>1997</v>
      </c>
      <c r="K5371" s="604" t="s">
        <v>448</v>
      </c>
      <c r="L5371" s="604" t="s">
        <v>97</v>
      </c>
      <c r="M5371" s="604">
        <v>17</v>
      </c>
      <c r="N5371" s="604">
        <v>2116</v>
      </c>
      <c r="O5371" s="604">
        <v>8</v>
      </c>
      <c r="P5371" s="604" t="s">
        <v>48</v>
      </c>
    </row>
    <row r="5372" spans="9:16">
      <c r="I5372" s="578" t="str">
        <f t="shared" si="229"/>
        <v>1997dhbWairarapaInfant</v>
      </c>
      <c r="J5372" s="604">
        <v>1997</v>
      </c>
      <c r="K5372" s="604" t="s">
        <v>448</v>
      </c>
      <c r="L5372" s="604" t="s">
        <v>98</v>
      </c>
      <c r="M5372" s="604">
        <v>4</v>
      </c>
      <c r="N5372" s="604">
        <v>563</v>
      </c>
      <c r="O5372" s="604">
        <v>7.1</v>
      </c>
      <c r="P5372" s="604" t="s">
        <v>48</v>
      </c>
    </row>
    <row r="5373" spans="9:16">
      <c r="I5373" s="578" t="str">
        <f t="shared" si="229"/>
        <v>1997dhbNelson MarlboroughInfant</v>
      </c>
      <c r="J5373" s="604">
        <v>1997</v>
      </c>
      <c r="K5373" s="604" t="s">
        <v>448</v>
      </c>
      <c r="L5373" s="604" t="s">
        <v>99</v>
      </c>
      <c r="M5373" s="604">
        <v>5</v>
      </c>
      <c r="N5373" s="604">
        <v>1544</v>
      </c>
      <c r="O5373" s="604">
        <v>3.2</v>
      </c>
      <c r="P5373" s="604" t="s">
        <v>48</v>
      </c>
    </row>
    <row r="5374" spans="9:16">
      <c r="I5374" s="578" t="str">
        <f t="shared" si="229"/>
        <v>1997dhbWest CoastInfant</v>
      </c>
      <c r="J5374" s="604">
        <v>1997</v>
      </c>
      <c r="K5374" s="604" t="s">
        <v>448</v>
      </c>
      <c r="L5374" s="604" t="s">
        <v>100</v>
      </c>
      <c r="M5374" s="604">
        <v>2</v>
      </c>
      <c r="N5374" s="604">
        <v>428</v>
      </c>
      <c r="O5374" s="604">
        <v>4.7</v>
      </c>
      <c r="P5374" s="604" t="s">
        <v>48</v>
      </c>
    </row>
    <row r="5375" spans="9:16">
      <c r="I5375" s="578" t="str">
        <f t="shared" si="229"/>
        <v>1997dhbCanterburyInfant</v>
      </c>
      <c r="J5375" s="604">
        <v>1997</v>
      </c>
      <c r="K5375" s="604" t="s">
        <v>448</v>
      </c>
      <c r="L5375" s="604" t="s">
        <v>101</v>
      </c>
      <c r="M5375" s="604">
        <v>32</v>
      </c>
      <c r="N5375" s="604">
        <v>5667</v>
      </c>
      <c r="O5375" s="604">
        <v>5.6</v>
      </c>
      <c r="P5375" s="604" t="s">
        <v>48</v>
      </c>
    </row>
    <row r="5376" spans="9:16">
      <c r="I5376" s="578" t="str">
        <f t="shared" si="229"/>
        <v>1997dhbSouth CanterburyInfant</v>
      </c>
      <c r="J5376" s="604">
        <v>1997</v>
      </c>
      <c r="K5376" s="604" t="s">
        <v>448</v>
      </c>
      <c r="L5376" s="604" t="s">
        <v>102</v>
      </c>
      <c r="M5376" s="604">
        <v>2</v>
      </c>
      <c r="N5376" s="604">
        <v>653</v>
      </c>
      <c r="O5376" s="604">
        <v>3.1</v>
      </c>
      <c r="P5376" s="604" t="s">
        <v>48</v>
      </c>
    </row>
    <row r="5377" spans="9:16">
      <c r="I5377" s="578" t="str">
        <f t="shared" si="229"/>
        <v>1997dhbSouthernInfant</v>
      </c>
      <c r="J5377" s="604">
        <v>1997</v>
      </c>
      <c r="K5377" s="604" t="s">
        <v>448</v>
      </c>
      <c r="L5377" s="604" t="s">
        <v>103</v>
      </c>
      <c r="M5377" s="604">
        <v>11</v>
      </c>
      <c r="N5377" s="604">
        <v>3618</v>
      </c>
      <c r="O5377" s="604">
        <v>3</v>
      </c>
      <c r="P5377" s="604" t="s">
        <v>48</v>
      </c>
    </row>
    <row r="5378" spans="9:16">
      <c r="I5378" s="578" t="str">
        <f t="shared" si="229"/>
        <v>1997dhbUnknownInfant</v>
      </c>
      <c r="J5378" s="604">
        <v>1997</v>
      </c>
      <c r="K5378" s="604" t="s">
        <v>448</v>
      </c>
      <c r="L5378" s="604" t="s">
        <v>63</v>
      </c>
      <c r="M5378" s="604">
        <v>2</v>
      </c>
      <c r="N5378" s="604">
        <v>135</v>
      </c>
      <c r="O5378" s="604" t="s">
        <v>119</v>
      </c>
      <c r="P5378" s="604" t="s">
        <v>48</v>
      </c>
    </row>
    <row r="5379" spans="9:16">
      <c r="I5379" s="578" t="str">
        <f t="shared" si="229"/>
        <v>1998dhbNorthlandInfant</v>
      </c>
      <c r="J5379" s="604">
        <v>1998</v>
      </c>
      <c r="K5379" s="604" t="s">
        <v>448</v>
      </c>
      <c r="L5379" s="604" t="s">
        <v>85</v>
      </c>
      <c r="M5379" s="604">
        <v>15</v>
      </c>
      <c r="N5379" s="604">
        <v>2213</v>
      </c>
      <c r="O5379" s="604">
        <v>6.8</v>
      </c>
      <c r="P5379" s="604" t="s">
        <v>48</v>
      </c>
    </row>
    <row r="5380" spans="9:16">
      <c r="I5380" s="578" t="str">
        <f t="shared" ref="I5380:I5443" si="230">J5380&amp;K5380&amp;L5380&amp;P5380</f>
        <v>1998dhbWaitemataInfant</v>
      </c>
      <c r="J5380" s="604">
        <v>1998</v>
      </c>
      <c r="K5380" s="604" t="s">
        <v>448</v>
      </c>
      <c r="L5380" s="604" t="s">
        <v>86</v>
      </c>
      <c r="M5380" s="604">
        <v>32</v>
      </c>
      <c r="N5380" s="604">
        <v>6361</v>
      </c>
      <c r="O5380" s="604">
        <v>5</v>
      </c>
      <c r="P5380" s="604" t="s">
        <v>48</v>
      </c>
    </row>
    <row r="5381" spans="9:16">
      <c r="I5381" s="578" t="str">
        <f t="shared" si="230"/>
        <v>1998dhbAucklandInfant</v>
      </c>
      <c r="J5381" s="604">
        <v>1998</v>
      </c>
      <c r="K5381" s="604" t="s">
        <v>448</v>
      </c>
      <c r="L5381" s="604" t="s">
        <v>87</v>
      </c>
      <c r="M5381" s="604">
        <v>35</v>
      </c>
      <c r="N5381" s="604">
        <v>5926</v>
      </c>
      <c r="O5381" s="604">
        <v>5.9</v>
      </c>
      <c r="P5381" s="604" t="s">
        <v>48</v>
      </c>
    </row>
    <row r="5382" spans="9:16">
      <c r="I5382" s="578" t="str">
        <f t="shared" si="230"/>
        <v>1998dhbCounties ManukauInfant</v>
      </c>
      <c r="J5382" s="604">
        <v>1998</v>
      </c>
      <c r="K5382" s="604" t="s">
        <v>448</v>
      </c>
      <c r="L5382" s="604" t="s">
        <v>88</v>
      </c>
      <c r="M5382" s="604">
        <v>41</v>
      </c>
      <c r="N5382" s="604">
        <v>6976</v>
      </c>
      <c r="O5382" s="604">
        <v>5.9</v>
      </c>
      <c r="P5382" s="604" t="s">
        <v>48</v>
      </c>
    </row>
    <row r="5383" spans="9:16">
      <c r="I5383" s="578" t="str">
        <f t="shared" si="230"/>
        <v>1998dhbWaikatoInfant</v>
      </c>
      <c r="J5383" s="604">
        <v>1998</v>
      </c>
      <c r="K5383" s="604" t="s">
        <v>448</v>
      </c>
      <c r="L5383" s="604" t="s">
        <v>89</v>
      </c>
      <c r="M5383" s="604">
        <v>26</v>
      </c>
      <c r="N5383" s="604">
        <v>5239</v>
      </c>
      <c r="O5383" s="604">
        <v>5</v>
      </c>
      <c r="P5383" s="604" t="s">
        <v>48</v>
      </c>
    </row>
    <row r="5384" spans="9:16">
      <c r="I5384" s="578" t="str">
        <f t="shared" si="230"/>
        <v>1998dhbLakesInfant</v>
      </c>
      <c r="J5384" s="604">
        <v>1998</v>
      </c>
      <c r="K5384" s="604" t="s">
        <v>448</v>
      </c>
      <c r="L5384" s="604" t="s">
        <v>90</v>
      </c>
      <c r="M5384" s="604">
        <v>11</v>
      </c>
      <c r="N5384" s="604">
        <v>1878</v>
      </c>
      <c r="O5384" s="604">
        <v>5.9</v>
      </c>
      <c r="P5384" s="604" t="s">
        <v>48</v>
      </c>
    </row>
    <row r="5385" spans="9:16">
      <c r="I5385" s="578" t="str">
        <f t="shared" si="230"/>
        <v>1998dhbBay of PlentyInfant</v>
      </c>
      <c r="J5385" s="604">
        <v>1998</v>
      </c>
      <c r="K5385" s="604" t="s">
        <v>448</v>
      </c>
      <c r="L5385" s="604" t="s">
        <v>91</v>
      </c>
      <c r="M5385" s="604">
        <v>19</v>
      </c>
      <c r="N5385" s="604">
        <v>2746</v>
      </c>
      <c r="O5385" s="604">
        <v>6.9</v>
      </c>
      <c r="P5385" s="604" t="s">
        <v>48</v>
      </c>
    </row>
    <row r="5386" spans="9:16">
      <c r="I5386" s="578" t="str">
        <f t="shared" si="230"/>
        <v>1998dhbTairawhitiInfant</v>
      </c>
      <c r="J5386" s="604">
        <v>1998</v>
      </c>
      <c r="K5386" s="604" t="s">
        <v>448</v>
      </c>
      <c r="L5386" s="604" t="s">
        <v>433</v>
      </c>
      <c r="M5386" s="604">
        <v>3</v>
      </c>
      <c r="N5386" s="604">
        <v>836</v>
      </c>
      <c r="O5386" s="604">
        <v>3.6</v>
      </c>
      <c r="P5386" s="604" t="s">
        <v>48</v>
      </c>
    </row>
    <row r="5387" spans="9:16">
      <c r="I5387" s="578" t="str">
        <f t="shared" si="230"/>
        <v>1998dhbHawke's BayInfant</v>
      </c>
      <c r="J5387" s="604">
        <v>1998</v>
      </c>
      <c r="K5387" s="604" t="s">
        <v>448</v>
      </c>
      <c r="L5387" s="604" t="s">
        <v>92</v>
      </c>
      <c r="M5387" s="604">
        <v>14</v>
      </c>
      <c r="N5387" s="604">
        <v>2303</v>
      </c>
      <c r="O5387" s="604">
        <v>6.1</v>
      </c>
      <c r="P5387" s="604" t="s">
        <v>48</v>
      </c>
    </row>
    <row r="5388" spans="9:16">
      <c r="I5388" s="578" t="str">
        <f t="shared" si="230"/>
        <v>1998dhbTaranakiInfant</v>
      </c>
      <c r="J5388" s="604">
        <v>1998</v>
      </c>
      <c r="K5388" s="604" t="s">
        <v>448</v>
      </c>
      <c r="L5388" s="604" t="s">
        <v>93</v>
      </c>
      <c r="M5388" s="604">
        <v>7</v>
      </c>
      <c r="N5388" s="604">
        <v>1504</v>
      </c>
      <c r="O5388" s="604">
        <v>4.7</v>
      </c>
      <c r="P5388" s="604" t="s">
        <v>48</v>
      </c>
    </row>
    <row r="5389" spans="9:16">
      <c r="I5389" s="578" t="str">
        <f t="shared" si="230"/>
        <v>1998dhbMidCentralInfant</v>
      </c>
      <c r="J5389" s="604">
        <v>1998</v>
      </c>
      <c r="K5389" s="604" t="s">
        <v>448</v>
      </c>
      <c r="L5389" s="604" t="s">
        <v>94</v>
      </c>
      <c r="M5389" s="604">
        <v>14</v>
      </c>
      <c r="N5389" s="604">
        <v>2380</v>
      </c>
      <c r="O5389" s="604">
        <v>5.9</v>
      </c>
      <c r="P5389" s="604" t="s">
        <v>48</v>
      </c>
    </row>
    <row r="5390" spans="9:16">
      <c r="I5390" s="578" t="str">
        <f t="shared" si="230"/>
        <v>1998dhbWhanganuiInfant</v>
      </c>
      <c r="J5390" s="604">
        <v>1998</v>
      </c>
      <c r="K5390" s="604" t="s">
        <v>448</v>
      </c>
      <c r="L5390" s="604" t="s">
        <v>95</v>
      </c>
      <c r="M5390" s="604">
        <v>3</v>
      </c>
      <c r="N5390" s="604">
        <v>1082</v>
      </c>
      <c r="O5390" s="604">
        <v>2.8</v>
      </c>
      <c r="P5390" s="604" t="s">
        <v>48</v>
      </c>
    </row>
    <row r="5391" spans="9:16">
      <c r="I5391" s="578" t="str">
        <f t="shared" si="230"/>
        <v>1998dhbCapital &amp; CoastInfant</v>
      </c>
      <c r="J5391" s="604">
        <v>1998</v>
      </c>
      <c r="K5391" s="604" t="s">
        <v>448</v>
      </c>
      <c r="L5391" s="604" t="s">
        <v>96</v>
      </c>
      <c r="M5391" s="604">
        <v>10</v>
      </c>
      <c r="N5391" s="604">
        <v>3566</v>
      </c>
      <c r="O5391" s="604">
        <v>2.8</v>
      </c>
      <c r="P5391" s="604" t="s">
        <v>48</v>
      </c>
    </row>
    <row r="5392" spans="9:16">
      <c r="I5392" s="578" t="str">
        <f t="shared" si="230"/>
        <v>1998dhbHutt ValleyInfant</v>
      </c>
      <c r="J5392" s="604">
        <v>1998</v>
      </c>
      <c r="K5392" s="604" t="s">
        <v>448</v>
      </c>
      <c r="L5392" s="604" t="s">
        <v>97</v>
      </c>
      <c r="M5392" s="604">
        <v>10</v>
      </c>
      <c r="N5392" s="604">
        <v>2116</v>
      </c>
      <c r="O5392" s="604">
        <v>4.7</v>
      </c>
      <c r="P5392" s="604" t="s">
        <v>48</v>
      </c>
    </row>
    <row r="5393" spans="9:16">
      <c r="I5393" s="578" t="str">
        <f t="shared" si="230"/>
        <v>1998dhbWairarapaInfant</v>
      </c>
      <c r="J5393" s="604">
        <v>1998</v>
      </c>
      <c r="K5393" s="604" t="s">
        <v>448</v>
      </c>
      <c r="L5393" s="604" t="s">
        <v>98</v>
      </c>
      <c r="M5393" s="604">
        <v>3</v>
      </c>
      <c r="N5393" s="604">
        <v>563</v>
      </c>
      <c r="O5393" s="604">
        <v>5.3</v>
      </c>
      <c r="P5393" s="604" t="s">
        <v>48</v>
      </c>
    </row>
    <row r="5394" spans="9:16">
      <c r="I5394" s="578" t="str">
        <f t="shared" si="230"/>
        <v>1998dhbNelson MarlboroughInfant</v>
      </c>
      <c r="J5394" s="604">
        <v>1998</v>
      </c>
      <c r="K5394" s="604" t="s">
        <v>448</v>
      </c>
      <c r="L5394" s="604" t="s">
        <v>99</v>
      </c>
      <c r="M5394" s="604">
        <v>8</v>
      </c>
      <c r="N5394" s="604">
        <v>1544</v>
      </c>
      <c r="O5394" s="604">
        <v>5.2</v>
      </c>
      <c r="P5394" s="604" t="s">
        <v>48</v>
      </c>
    </row>
    <row r="5395" spans="9:16">
      <c r="I5395" s="578" t="str">
        <f t="shared" si="230"/>
        <v>1998dhbWest CoastInfant</v>
      </c>
      <c r="J5395" s="604">
        <v>1998</v>
      </c>
      <c r="K5395" s="604" t="s">
        <v>448</v>
      </c>
      <c r="L5395" s="604" t="s">
        <v>100</v>
      </c>
      <c r="M5395" s="604">
        <v>3</v>
      </c>
      <c r="N5395" s="604">
        <v>428</v>
      </c>
      <c r="O5395" s="604">
        <v>7</v>
      </c>
      <c r="P5395" s="604" t="s">
        <v>48</v>
      </c>
    </row>
    <row r="5396" spans="9:16">
      <c r="I5396" s="578" t="str">
        <f t="shared" si="230"/>
        <v>1998dhbCanterburyInfant</v>
      </c>
      <c r="J5396" s="604">
        <v>1998</v>
      </c>
      <c r="K5396" s="604" t="s">
        <v>448</v>
      </c>
      <c r="L5396" s="604" t="s">
        <v>101</v>
      </c>
      <c r="M5396" s="604">
        <v>23</v>
      </c>
      <c r="N5396" s="604">
        <v>5667</v>
      </c>
      <c r="O5396" s="604">
        <v>4.0999999999999996</v>
      </c>
      <c r="P5396" s="604" t="s">
        <v>48</v>
      </c>
    </row>
    <row r="5397" spans="9:16">
      <c r="I5397" s="578" t="str">
        <f t="shared" si="230"/>
        <v>1998dhbSouth CanterburyInfant</v>
      </c>
      <c r="J5397" s="604">
        <v>1998</v>
      </c>
      <c r="K5397" s="604" t="s">
        <v>448</v>
      </c>
      <c r="L5397" s="604" t="s">
        <v>102</v>
      </c>
      <c r="M5397" s="604">
        <v>7</v>
      </c>
      <c r="N5397" s="604">
        <v>653</v>
      </c>
      <c r="O5397" s="604">
        <v>10.7</v>
      </c>
      <c r="P5397" s="604" t="s">
        <v>48</v>
      </c>
    </row>
    <row r="5398" spans="9:16">
      <c r="I5398" s="578" t="str">
        <f t="shared" si="230"/>
        <v>1998dhbSouthernInfant</v>
      </c>
      <c r="J5398" s="604">
        <v>1998</v>
      </c>
      <c r="K5398" s="604" t="s">
        <v>448</v>
      </c>
      <c r="L5398" s="604" t="s">
        <v>103</v>
      </c>
      <c r="M5398" s="604">
        <v>24</v>
      </c>
      <c r="N5398" s="604">
        <v>3618</v>
      </c>
      <c r="O5398" s="604">
        <v>6.6</v>
      </c>
      <c r="P5398" s="604" t="s">
        <v>48</v>
      </c>
    </row>
    <row r="5399" spans="9:16">
      <c r="I5399" s="578" t="str">
        <f t="shared" si="230"/>
        <v>1998dhbUnknownInfant</v>
      </c>
      <c r="J5399" s="604">
        <v>1998</v>
      </c>
      <c r="K5399" s="604" t="s">
        <v>448</v>
      </c>
      <c r="L5399" s="604" t="s">
        <v>63</v>
      </c>
      <c r="M5399" s="604">
        <v>0</v>
      </c>
      <c r="N5399" s="604">
        <v>135</v>
      </c>
      <c r="O5399" s="604" t="s">
        <v>119</v>
      </c>
      <c r="P5399" s="604" t="s">
        <v>48</v>
      </c>
    </row>
    <row r="5400" spans="9:16">
      <c r="I5400" s="578" t="str">
        <f t="shared" si="230"/>
        <v>1999dhbNorthlandInfant</v>
      </c>
      <c r="J5400" s="604">
        <v>1999</v>
      </c>
      <c r="K5400" s="604" t="s">
        <v>448</v>
      </c>
      <c r="L5400" s="604" t="s">
        <v>85</v>
      </c>
      <c r="M5400" s="604">
        <v>20</v>
      </c>
      <c r="N5400" s="604">
        <v>2158</v>
      </c>
      <c r="O5400" s="604">
        <v>9.3000000000000007</v>
      </c>
      <c r="P5400" s="604" t="s">
        <v>48</v>
      </c>
    </row>
    <row r="5401" spans="9:16">
      <c r="I5401" s="578" t="str">
        <f t="shared" si="230"/>
        <v>1999dhbWaitemataInfant</v>
      </c>
      <c r="J5401" s="604">
        <v>1999</v>
      </c>
      <c r="K5401" s="604" t="s">
        <v>448</v>
      </c>
      <c r="L5401" s="604" t="s">
        <v>86</v>
      </c>
      <c r="M5401" s="604">
        <v>27</v>
      </c>
      <c r="N5401" s="604">
        <v>6422</v>
      </c>
      <c r="O5401" s="604">
        <v>4.2</v>
      </c>
      <c r="P5401" s="604" t="s">
        <v>48</v>
      </c>
    </row>
    <row r="5402" spans="9:16">
      <c r="I5402" s="578" t="str">
        <f t="shared" si="230"/>
        <v>1999dhbAucklandInfant</v>
      </c>
      <c r="J5402" s="604">
        <v>1999</v>
      </c>
      <c r="K5402" s="604" t="s">
        <v>448</v>
      </c>
      <c r="L5402" s="604" t="s">
        <v>87</v>
      </c>
      <c r="M5402" s="604">
        <v>28</v>
      </c>
      <c r="N5402" s="604">
        <v>5896</v>
      </c>
      <c r="O5402" s="604">
        <v>4.7</v>
      </c>
      <c r="P5402" s="604" t="s">
        <v>48</v>
      </c>
    </row>
    <row r="5403" spans="9:16">
      <c r="I5403" s="578" t="str">
        <f t="shared" si="230"/>
        <v>1999dhbCounties ManukauInfant</v>
      </c>
      <c r="J5403" s="604">
        <v>1999</v>
      </c>
      <c r="K5403" s="604" t="s">
        <v>448</v>
      </c>
      <c r="L5403" s="604" t="s">
        <v>88</v>
      </c>
      <c r="M5403" s="604">
        <v>40</v>
      </c>
      <c r="N5403" s="604">
        <v>7217</v>
      </c>
      <c r="O5403" s="604">
        <v>5.5</v>
      </c>
      <c r="P5403" s="604" t="s">
        <v>48</v>
      </c>
    </row>
    <row r="5404" spans="9:16">
      <c r="I5404" s="578" t="str">
        <f t="shared" si="230"/>
        <v>1999dhbWaikatoInfant</v>
      </c>
      <c r="J5404" s="604">
        <v>1999</v>
      </c>
      <c r="K5404" s="604" t="s">
        <v>448</v>
      </c>
      <c r="L5404" s="604" t="s">
        <v>89</v>
      </c>
      <c r="M5404" s="604">
        <v>34</v>
      </c>
      <c r="N5404" s="604">
        <v>5194</v>
      </c>
      <c r="O5404" s="604">
        <v>6.5</v>
      </c>
      <c r="P5404" s="604" t="s">
        <v>48</v>
      </c>
    </row>
    <row r="5405" spans="9:16">
      <c r="I5405" s="578" t="str">
        <f t="shared" si="230"/>
        <v>1999dhbLakesInfant</v>
      </c>
      <c r="J5405" s="604">
        <v>1999</v>
      </c>
      <c r="K5405" s="604" t="s">
        <v>448</v>
      </c>
      <c r="L5405" s="604" t="s">
        <v>90</v>
      </c>
      <c r="M5405" s="604">
        <v>13</v>
      </c>
      <c r="N5405" s="604">
        <v>1696</v>
      </c>
      <c r="O5405" s="604">
        <v>7.7</v>
      </c>
      <c r="P5405" s="604" t="s">
        <v>48</v>
      </c>
    </row>
    <row r="5406" spans="9:16">
      <c r="I5406" s="578" t="str">
        <f t="shared" si="230"/>
        <v>1999dhbBay of PlentyInfant</v>
      </c>
      <c r="J5406" s="604">
        <v>1999</v>
      </c>
      <c r="K5406" s="604" t="s">
        <v>448</v>
      </c>
      <c r="L5406" s="604" t="s">
        <v>91</v>
      </c>
      <c r="M5406" s="604">
        <v>21</v>
      </c>
      <c r="N5406" s="604">
        <v>2699</v>
      </c>
      <c r="O5406" s="604">
        <v>7.8</v>
      </c>
      <c r="P5406" s="604" t="s">
        <v>48</v>
      </c>
    </row>
    <row r="5407" spans="9:16">
      <c r="I5407" s="578" t="str">
        <f t="shared" si="230"/>
        <v>1999dhbTairawhitiInfant</v>
      </c>
      <c r="J5407" s="604">
        <v>1999</v>
      </c>
      <c r="K5407" s="604" t="s">
        <v>448</v>
      </c>
      <c r="L5407" s="604" t="s">
        <v>433</v>
      </c>
      <c r="M5407" s="604">
        <v>7</v>
      </c>
      <c r="N5407" s="604">
        <v>771</v>
      </c>
      <c r="O5407" s="604">
        <v>9.1</v>
      </c>
      <c r="P5407" s="604" t="s">
        <v>48</v>
      </c>
    </row>
    <row r="5408" spans="9:16">
      <c r="I5408" s="578" t="str">
        <f t="shared" si="230"/>
        <v>1999dhbHawke's BayInfant</v>
      </c>
      <c r="J5408" s="604">
        <v>1999</v>
      </c>
      <c r="K5408" s="604" t="s">
        <v>448</v>
      </c>
      <c r="L5408" s="604" t="s">
        <v>92</v>
      </c>
      <c r="M5408" s="604">
        <v>11</v>
      </c>
      <c r="N5408" s="604">
        <v>2164</v>
      </c>
      <c r="O5408" s="604">
        <v>5.0999999999999996</v>
      </c>
      <c r="P5408" s="604" t="s">
        <v>48</v>
      </c>
    </row>
    <row r="5409" spans="9:16">
      <c r="I5409" s="578" t="str">
        <f t="shared" si="230"/>
        <v>1999dhbTaranakiInfant</v>
      </c>
      <c r="J5409" s="604">
        <v>1999</v>
      </c>
      <c r="K5409" s="604" t="s">
        <v>448</v>
      </c>
      <c r="L5409" s="604" t="s">
        <v>93</v>
      </c>
      <c r="M5409" s="604">
        <v>10</v>
      </c>
      <c r="N5409" s="604">
        <v>1497</v>
      </c>
      <c r="O5409" s="604">
        <v>6.7</v>
      </c>
      <c r="P5409" s="604" t="s">
        <v>48</v>
      </c>
    </row>
    <row r="5410" spans="9:16">
      <c r="I5410" s="578" t="str">
        <f t="shared" si="230"/>
        <v>1999dhbMidCentralInfant</v>
      </c>
      <c r="J5410" s="604">
        <v>1999</v>
      </c>
      <c r="K5410" s="604" t="s">
        <v>448</v>
      </c>
      <c r="L5410" s="604" t="s">
        <v>94</v>
      </c>
      <c r="M5410" s="604">
        <v>9</v>
      </c>
      <c r="N5410" s="604">
        <v>2191</v>
      </c>
      <c r="O5410" s="604">
        <v>4.0999999999999996</v>
      </c>
      <c r="P5410" s="604" t="s">
        <v>48</v>
      </c>
    </row>
    <row r="5411" spans="9:16">
      <c r="I5411" s="578" t="str">
        <f t="shared" si="230"/>
        <v>1999dhbWhanganuiInfant</v>
      </c>
      <c r="J5411" s="604">
        <v>1999</v>
      </c>
      <c r="K5411" s="604" t="s">
        <v>448</v>
      </c>
      <c r="L5411" s="604" t="s">
        <v>95</v>
      </c>
      <c r="M5411" s="604">
        <v>5</v>
      </c>
      <c r="N5411" s="604">
        <v>959</v>
      </c>
      <c r="O5411" s="604">
        <v>5.2</v>
      </c>
      <c r="P5411" s="604" t="s">
        <v>48</v>
      </c>
    </row>
    <row r="5412" spans="9:16">
      <c r="I5412" s="578" t="str">
        <f t="shared" si="230"/>
        <v>1999dhbCapital &amp; CoastInfant</v>
      </c>
      <c r="J5412" s="604">
        <v>1999</v>
      </c>
      <c r="K5412" s="604" t="s">
        <v>448</v>
      </c>
      <c r="L5412" s="604" t="s">
        <v>96</v>
      </c>
      <c r="M5412" s="604">
        <v>24</v>
      </c>
      <c r="N5412" s="604">
        <v>3812</v>
      </c>
      <c r="O5412" s="604">
        <v>6.3</v>
      </c>
      <c r="P5412" s="604" t="s">
        <v>48</v>
      </c>
    </row>
    <row r="5413" spans="9:16">
      <c r="I5413" s="578" t="str">
        <f t="shared" si="230"/>
        <v>1999dhbHutt ValleyInfant</v>
      </c>
      <c r="J5413" s="604">
        <v>1999</v>
      </c>
      <c r="K5413" s="604" t="s">
        <v>448</v>
      </c>
      <c r="L5413" s="604" t="s">
        <v>97</v>
      </c>
      <c r="M5413" s="604">
        <v>19</v>
      </c>
      <c r="N5413" s="604">
        <v>2105</v>
      </c>
      <c r="O5413" s="604">
        <v>9</v>
      </c>
      <c r="P5413" s="604" t="s">
        <v>48</v>
      </c>
    </row>
    <row r="5414" spans="9:16">
      <c r="I5414" s="578" t="str">
        <f t="shared" si="230"/>
        <v>1999dhbWairarapaInfant</v>
      </c>
      <c r="J5414" s="604">
        <v>1999</v>
      </c>
      <c r="K5414" s="604" t="s">
        <v>448</v>
      </c>
      <c r="L5414" s="604" t="s">
        <v>98</v>
      </c>
      <c r="M5414" s="604">
        <v>3</v>
      </c>
      <c r="N5414" s="604">
        <v>553</v>
      </c>
      <c r="O5414" s="604">
        <v>5.4</v>
      </c>
      <c r="P5414" s="604" t="s">
        <v>48</v>
      </c>
    </row>
    <row r="5415" spans="9:16">
      <c r="I5415" s="578" t="str">
        <f t="shared" si="230"/>
        <v>1999dhbNelson MarlboroughInfant</v>
      </c>
      <c r="J5415" s="604">
        <v>1999</v>
      </c>
      <c r="K5415" s="604" t="s">
        <v>448</v>
      </c>
      <c r="L5415" s="604" t="s">
        <v>99</v>
      </c>
      <c r="M5415" s="604">
        <v>7</v>
      </c>
      <c r="N5415" s="604">
        <v>1494</v>
      </c>
      <c r="O5415" s="604">
        <v>4.7</v>
      </c>
      <c r="P5415" s="604" t="s">
        <v>48</v>
      </c>
    </row>
    <row r="5416" spans="9:16">
      <c r="I5416" s="578" t="str">
        <f t="shared" si="230"/>
        <v>1999dhbWest CoastInfant</v>
      </c>
      <c r="J5416" s="604">
        <v>1999</v>
      </c>
      <c r="K5416" s="604" t="s">
        <v>448</v>
      </c>
      <c r="L5416" s="604" t="s">
        <v>100</v>
      </c>
      <c r="M5416" s="604">
        <v>3</v>
      </c>
      <c r="N5416" s="604">
        <v>403</v>
      </c>
      <c r="O5416" s="604">
        <v>7.4</v>
      </c>
      <c r="P5416" s="604" t="s">
        <v>48</v>
      </c>
    </row>
    <row r="5417" spans="9:16">
      <c r="I5417" s="578" t="str">
        <f t="shared" si="230"/>
        <v>1999dhbCanterburyInfant</v>
      </c>
      <c r="J5417" s="604">
        <v>1999</v>
      </c>
      <c r="K5417" s="604" t="s">
        <v>448</v>
      </c>
      <c r="L5417" s="604" t="s">
        <v>101</v>
      </c>
      <c r="M5417" s="604">
        <v>30</v>
      </c>
      <c r="N5417" s="604">
        <v>5576</v>
      </c>
      <c r="O5417" s="604">
        <v>5.4</v>
      </c>
      <c r="P5417" s="604" t="s">
        <v>48</v>
      </c>
    </row>
    <row r="5418" spans="9:16">
      <c r="I5418" s="578" t="str">
        <f t="shared" si="230"/>
        <v>1999dhbSouth CanterburyInfant</v>
      </c>
      <c r="J5418" s="604">
        <v>1999</v>
      </c>
      <c r="K5418" s="604" t="s">
        <v>448</v>
      </c>
      <c r="L5418" s="604" t="s">
        <v>102</v>
      </c>
      <c r="M5418" s="604">
        <v>3</v>
      </c>
      <c r="N5418" s="604">
        <v>616</v>
      </c>
      <c r="O5418" s="604">
        <v>4.9000000000000004</v>
      </c>
      <c r="P5418" s="604" t="s">
        <v>48</v>
      </c>
    </row>
    <row r="5419" spans="9:16">
      <c r="I5419" s="578" t="str">
        <f t="shared" si="230"/>
        <v>1999dhbSouthernInfant</v>
      </c>
      <c r="J5419" s="604">
        <v>1999</v>
      </c>
      <c r="K5419" s="604" t="s">
        <v>448</v>
      </c>
      <c r="L5419" s="604" t="s">
        <v>103</v>
      </c>
      <c r="M5419" s="604">
        <v>21</v>
      </c>
      <c r="N5419" s="604">
        <v>3419</v>
      </c>
      <c r="O5419" s="604">
        <v>6.1</v>
      </c>
      <c r="P5419" s="604" t="s">
        <v>48</v>
      </c>
    </row>
    <row r="5420" spans="9:16">
      <c r="I5420" s="578" t="str">
        <f t="shared" si="230"/>
        <v>1999dhbUnknownInfant</v>
      </c>
      <c r="J5420" s="604">
        <v>1999</v>
      </c>
      <c r="K5420" s="604" t="s">
        <v>448</v>
      </c>
      <c r="L5420" s="604" t="s">
        <v>63</v>
      </c>
      <c r="M5420" s="604">
        <v>0</v>
      </c>
      <c r="N5420" s="604">
        <v>579</v>
      </c>
      <c r="O5420" s="604" t="s">
        <v>119</v>
      </c>
      <c r="P5420" s="604" t="s">
        <v>48</v>
      </c>
    </row>
    <row r="5421" spans="9:16">
      <c r="I5421" s="578" t="str">
        <f t="shared" si="230"/>
        <v>2000dhbNorthlandInfant</v>
      </c>
      <c r="J5421" s="604">
        <v>2000</v>
      </c>
      <c r="K5421" s="604" t="s">
        <v>448</v>
      </c>
      <c r="L5421" s="604" t="s">
        <v>85</v>
      </c>
      <c r="M5421" s="604">
        <v>18</v>
      </c>
      <c r="N5421" s="604">
        <v>2122</v>
      </c>
      <c r="O5421" s="604">
        <v>8.5</v>
      </c>
      <c r="P5421" s="604" t="s">
        <v>48</v>
      </c>
    </row>
    <row r="5422" spans="9:16">
      <c r="I5422" s="578" t="str">
        <f t="shared" si="230"/>
        <v>2000dhbWaitemataInfant</v>
      </c>
      <c r="J5422" s="604">
        <v>2000</v>
      </c>
      <c r="K5422" s="604" t="s">
        <v>448</v>
      </c>
      <c r="L5422" s="604" t="s">
        <v>86</v>
      </c>
      <c r="M5422" s="604">
        <v>36</v>
      </c>
      <c r="N5422" s="604">
        <v>6562</v>
      </c>
      <c r="O5422" s="604">
        <v>5.5</v>
      </c>
      <c r="P5422" s="604" t="s">
        <v>48</v>
      </c>
    </row>
    <row r="5423" spans="9:16">
      <c r="I5423" s="578" t="str">
        <f t="shared" si="230"/>
        <v>2000dhbAucklandInfant</v>
      </c>
      <c r="J5423" s="604">
        <v>2000</v>
      </c>
      <c r="K5423" s="604" t="s">
        <v>448</v>
      </c>
      <c r="L5423" s="604" t="s">
        <v>87</v>
      </c>
      <c r="M5423" s="604">
        <v>40</v>
      </c>
      <c r="N5423" s="604">
        <v>6023</v>
      </c>
      <c r="O5423" s="604">
        <v>6.6</v>
      </c>
      <c r="P5423" s="604" t="s">
        <v>48</v>
      </c>
    </row>
    <row r="5424" spans="9:16">
      <c r="I5424" s="578" t="str">
        <f t="shared" si="230"/>
        <v>2000dhbCounties ManukauInfant</v>
      </c>
      <c r="J5424" s="604">
        <v>2000</v>
      </c>
      <c r="K5424" s="604" t="s">
        <v>448</v>
      </c>
      <c r="L5424" s="604" t="s">
        <v>88</v>
      </c>
      <c r="M5424" s="604">
        <v>62</v>
      </c>
      <c r="N5424" s="604">
        <v>7309</v>
      </c>
      <c r="O5424" s="604">
        <v>8.5</v>
      </c>
      <c r="P5424" s="604" t="s">
        <v>48</v>
      </c>
    </row>
    <row r="5425" spans="9:16">
      <c r="I5425" s="578" t="str">
        <f t="shared" si="230"/>
        <v>2000dhbWaikatoInfant</v>
      </c>
      <c r="J5425" s="604">
        <v>2000</v>
      </c>
      <c r="K5425" s="604" t="s">
        <v>448</v>
      </c>
      <c r="L5425" s="604" t="s">
        <v>89</v>
      </c>
      <c r="M5425" s="604">
        <v>28</v>
      </c>
      <c r="N5425" s="604">
        <v>4792</v>
      </c>
      <c r="O5425" s="604">
        <v>5.8</v>
      </c>
      <c r="P5425" s="604" t="s">
        <v>48</v>
      </c>
    </row>
    <row r="5426" spans="9:16">
      <c r="I5426" s="578" t="str">
        <f t="shared" si="230"/>
        <v>2000dhbLakesInfant</v>
      </c>
      <c r="J5426" s="604">
        <v>2000</v>
      </c>
      <c r="K5426" s="604" t="s">
        <v>448</v>
      </c>
      <c r="L5426" s="604" t="s">
        <v>90</v>
      </c>
      <c r="M5426" s="604">
        <v>17</v>
      </c>
      <c r="N5426" s="604">
        <v>1576</v>
      </c>
      <c r="O5426" s="604">
        <v>10.8</v>
      </c>
      <c r="P5426" s="604" t="s">
        <v>48</v>
      </c>
    </row>
    <row r="5427" spans="9:16">
      <c r="I5427" s="578" t="str">
        <f t="shared" si="230"/>
        <v>2000dhbBay of PlentyInfant</v>
      </c>
      <c r="J5427" s="604">
        <v>2000</v>
      </c>
      <c r="K5427" s="604" t="s">
        <v>448</v>
      </c>
      <c r="L5427" s="604" t="s">
        <v>91</v>
      </c>
      <c r="M5427" s="604">
        <v>17</v>
      </c>
      <c r="N5427" s="604">
        <v>2628</v>
      </c>
      <c r="O5427" s="604">
        <v>6.5</v>
      </c>
      <c r="P5427" s="604" t="s">
        <v>48</v>
      </c>
    </row>
    <row r="5428" spans="9:16">
      <c r="I5428" s="578" t="str">
        <f t="shared" si="230"/>
        <v>2000dhbTairawhitiInfant</v>
      </c>
      <c r="J5428" s="604">
        <v>2000</v>
      </c>
      <c r="K5428" s="604" t="s">
        <v>448</v>
      </c>
      <c r="L5428" s="604" t="s">
        <v>433</v>
      </c>
      <c r="M5428" s="604">
        <v>4</v>
      </c>
      <c r="N5428" s="604">
        <v>773</v>
      </c>
      <c r="O5428" s="604">
        <v>5.2</v>
      </c>
      <c r="P5428" s="604" t="s">
        <v>48</v>
      </c>
    </row>
    <row r="5429" spans="9:16">
      <c r="I5429" s="578" t="str">
        <f t="shared" si="230"/>
        <v>2000dhbHawke's BayInfant</v>
      </c>
      <c r="J5429" s="604">
        <v>2000</v>
      </c>
      <c r="K5429" s="604" t="s">
        <v>448</v>
      </c>
      <c r="L5429" s="604" t="s">
        <v>92</v>
      </c>
      <c r="M5429" s="604">
        <v>16</v>
      </c>
      <c r="N5429" s="604">
        <v>2175</v>
      </c>
      <c r="O5429" s="604">
        <v>7.4</v>
      </c>
      <c r="P5429" s="604" t="s">
        <v>48</v>
      </c>
    </row>
    <row r="5430" spans="9:16">
      <c r="I5430" s="578" t="str">
        <f t="shared" si="230"/>
        <v>2000dhbTaranakiInfant</v>
      </c>
      <c r="J5430" s="604">
        <v>2000</v>
      </c>
      <c r="K5430" s="604" t="s">
        <v>448</v>
      </c>
      <c r="L5430" s="604" t="s">
        <v>93</v>
      </c>
      <c r="M5430" s="604">
        <v>12</v>
      </c>
      <c r="N5430" s="604">
        <v>1427</v>
      </c>
      <c r="O5430" s="604">
        <v>8.4</v>
      </c>
      <c r="P5430" s="604" t="s">
        <v>48</v>
      </c>
    </row>
    <row r="5431" spans="9:16">
      <c r="I5431" s="578" t="str">
        <f t="shared" si="230"/>
        <v>2000dhbMidCentralInfant</v>
      </c>
      <c r="J5431" s="604">
        <v>2000</v>
      </c>
      <c r="K5431" s="604" t="s">
        <v>448</v>
      </c>
      <c r="L5431" s="604" t="s">
        <v>94</v>
      </c>
      <c r="M5431" s="604">
        <v>11</v>
      </c>
      <c r="N5431" s="604">
        <v>2290</v>
      </c>
      <c r="O5431" s="604">
        <v>4.8</v>
      </c>
      <c r="P5431" s="604" t="s">
        <v>48</v>
      </c>
    </row>
    <row r="5432" spans="9:16">
      <c r="I5432" s="578" t="str">
        <f t="shared" si="230"/>
        <v>2000dhbWhanganuiInfant</v>
      </c>
      <c r="J5432" s="604">
        <v>2000</v>
      </c>
      <c r="K5432" s="604" t="s">
        <v>448</v>
      </c>
      <c r="L5432" s="604" t="s">
        <v>95</v>
      </c>
      <c r="M5432" s="604">
        <v>9</v>
      </c>
      <c r="N5432" s="604">
        <v>993</v>
      </c>
      <c r="O5432" s="604">
        <v>9.1</v>
      </c>
      <c r="P5432" s="604" t="s">
        <v>48</v>
      </c>
    </row>
    <row r="5433" spans="9:16">
      <c r="I5433" s="578" t="str">
        <f t="shared" si="230"/>
        <v>2000dhbCapital &amp; CoastInfant</v>
      </c>
      <c r="J5433" s="604">
        <v>2000</v>
      </c>
      <c r="K5433" s="604" t="s">
        <v>448</v>
      </c>
      <c r="L5433" s="604" t="s">
        <v>96</v>
      </c>
      <c r="M5433" s="604">
        <v>11</v>
      </c>
      <c r="N5433" s="604">
        <v>3753</v>
      </c>
      <c r="O5433" s="604">
        <v>2.9</v>
      </c>
      <c r="P5433" s="604" t="s">
        <v>48</v>
      </c>
    </row>
    <row r="5434" spans="9:16">
      <c r="I5434" s="578" t="str">
        <f t="shared" si="230"/>
        <v>2000dhbHutt ValleyInfant</v>
      </c>
      <c r="J5434" s="604">
        <v>2000</v>
      </c>
      <c r="K5434" s="604" t="s">
        <v>448</v>
      </c>
      <c r="L5434" s="604" t="s">
        <v>97</v>
      </c>
      <c r="M5434" s="604">
        <v>11</v>
      </c>
      <c r="N5434" s="604">
        <v>2085</v>
      </c>
      <c r="O5434" s="604">
        <v>5.3</v>
      </c>
      <c r="P5434" s="604" t="s">
        <v>48</v>
      </c>
    </row>
    <row r="5435" spans="9:16">
      <c r="I5435" s="578" t="str">
        <f t="shared" si="230"/>
        <v>2000dhbWairarapaInfant</v>
      </c>
      <c r="J5435" s="604">
        <v>2000</v>
      </c>
      <c r="K5435" s="604" t="s">
        <v>448</v>
      </c>
      <c r="L5435" s="604" t="s">
        <v>98</v>
      </c>
      <c r="M5435" s="604">
        <v>4</v>
      </c>
      <c r="N5435" s="604">
        <v>496</v>
      </c>
      <c r="O5435" s="604">
        <v>8.1</v>
      </c>
      <c r="P5435" s="604" t="s">
        <v>48</v>
      </c>
    </row>
    <row r="5436" spans="9:16">
      <c r="I5436" s="578" t="str">
        <f t="shared" si="230"/>
        <v>2000dhbNelson MarlboroughInfant</v>
      </c>
      <c r="J5436" s="604">
        <v>2000</v>
      </c>
      <c r="K5436" s="604" t="s">
        <v>448</v>
      </c>
      <c r="L5436" s="604" t="s">
        <v>99</v>
      </c>
      <c r="M5436" s="604">
        <v>8</v>
      </c>
      <c r="N5436" s="604">
        <v>1544</v>
      </c>
      <c r="O5436" s="604">
        <v>5.2</v>
      </c>
      <c r="P5436" s="604" t="s">
        <v>48</v>
      </c>
    </row>
    <row r="5437" spans="9:16">
      <c r="I5437" s="578" t="str">
        <f t="shared" si="230"/>
        <v>2000dhbWest CoastInfant</v>
      </c>
      <c r="J5437" s="604">
        <v>2000</v>
      </c>
      <c r="K5437" s="604" t="s">
        <v>448</v>
      </c>
      <c r="L5437" s="604" t="s">
        <v>100</v>
      </c>
      <c r="M5437" s="604">
        <v>0</v>
      </c>
      <c r="N5437" s="604">
        <v>361</v>
      </c>
      <c r="O5437" s="604">
        <v>0</v>
      </c>
      <c r="P5437" s="604" t="s">
        <v>48</v>
      </c>
    </row>
    <row r="5438" spans="9:16">
      <c r="I5438" s="578" t="str">
        <f t="shared" si="230"/>
        <v>2000dhbCanterburyInfant</v>
      </c>
      <c r="J5438" s="604">
        <v>2000</v>
      </c>
      <c r="K5438" s="604" t="s">
        <v>448</v>
      </c>
      <c r="L5438" s="604" t="s">
        <v>101</v>
      </c>
      <c r="M5438" s="604">
        <v>28</v>
      </c>
      <c r="N5438" s="604">
        <v>5542</v>
      </c>
      <c r="O5438" s="604">
        <v>5.0999999999999996</v>
      </c>
      <c r="P5438" s="604" t="s">
        <v>48</v>
      </c>
    </row>
    <row r="5439" spans="9:16">
      <c r="I5439" s="578" t="str">
        <f t="shared" si="230"/>
        <v>2000dhbSouth CanterburyInfant</v>
      </c>
      <c r="J5439" s="604">
        <v>2000</v>
      </c>
      <c r="K5439" s="604" t="s">
        <v>448</v>
      </c>
      <c r="L5439" s="604" t="s">
        <v>102</v>
      </c>
      <c r="M5439" s="604">
        <v>5</v>
      </c>
      <c r="N5439" s="604">
        <v>625</v>
      </c>
      <c r="O5439" s="604">
        <v>8</v>
      </c>
      <c r="P5439" s="604" t="s">
        <v>48</v>
      </c>
    </row>
    <row r="5440" spans="9:16">
      <c r="I5440" s="578" t="str">
        <f t="shared" si="230"/>
        <v>2000dhbSouthernInfant</v>
      </c>
      <c r="J5440" s="604">
        <v>2000</v>
      </c>
      <c r="K5440" s="604" t="s">
        <v>448</v>
      </c>
      <c r="L5440" s="604" t="s">
        <v>103</v>
      </c>
      <c r="M5440" s="604">
        <v>19</v>
      </c>
      <c r="N5440" s="604">
        <v>3435</v>
      </c>
      <c r="O5440" s="604">
        <v>5.5</v>
      </c>
      <c r="P5440" s="604" t="s">
        <v>48</v>
      </c>
    </row>
    <row r="5441" spans="9:16">
      <c r="I5441" s="578" t="str">
        <f t="shared" si="230"/>
        <v>2000dhbUnknownInfant</v>
      </c>
      <c r="J5441" s="604">
        <v>2000</v>
      </c>
      <c r="K5441" s="604" t="s">
        <v>448</v>
      </c>
      <c r="L5441" s="604" t="s">
        <v>63</v>
      </c>
      <c r="M5441" s="604">
        <v>3</v>
      </c>
      <c r="N5441" s="604">
        <v>483</v>
      </c>
      <c r="O5441" s="604" t="s">
        <v>119</v>
      </c>
      <c r="P5441" s="604" t="s">
        <v>48</v>
      </c>
    </row>
    <row r="5442" spans="9:16">
      <c r="I5442" s="578" t="str">
        <f t="shared" si="230"/>
        <v>2001dhbNorthlandInfant</v>
      </c>
      <c r="J5442" s="604">
        <v>2001</v>
      </c>
      <c r="K5442" s="604" t="s">
        <v>448</v>
      </c>
      <c r="L5442" s="604" t="s">
        <v>85</v>
      </c>
      <c r="M5442" s="604">
        <v>14</v>
      </c>
      <c r="N5442" s="604">
        <v>1994</v>
      </c>
      <c r="O5442" s="604">
        <v>7</v>
      </c>
      <c r="P5442" s="604" t="s">
        <v>48</v>
      </c>
    </row>
    <row r="5443" spans="9:16">
      <c r="I5443" s="578" t="str">
        <f t="shared" si="230"/>
        <v>2001dhbWaitemataInfant</v>
      </c>
      <c r="J5443" s="604">
        <v>2001</v>
      </c>
      <c r="K5443" s="604" t="s">
        <v>448</v>
      </c>
      <c r="L5443" s="604" t="s">
        <v>86</v>
      </c>
      <c r="M5443" s="604">
        <v>35</v>
      </c>
      <c r="N5443" s="604">
        <v>6440</v>
      </c>
      <c r="O5443" s="604">
        <v>5.4</v>
      </c>
      <c r="P5443" s="604" t="s">
        <v>48</v>
      </c>
    </row>
    <row r="5444" spans="9:16">
      <c r="I5444" s="578" t="str">
        <f t="shared" ref="I5444:I5507" si="231">J5444&amp;K5444&amp;L5444&amp;P5444</f>
        <v>2001dhbAucklandInfant</v>
      </c>
      <c r="J5444" s="604">
        <v>2001</v>
      </c>
      <c r="K5444" s="604" t="s">
        <v>448</v>
      </c>
      <c r="L5444" s="604" t="s">
        <v>87</v>
      </c>
      <c r="M5444" s="604">
        <v>31</v>
      </c>
      <c r="N5444" s="604">
        <v>5979</v>
      </c>
      <c r="O5444" s="604">
        <v>5.2</v>
      </c>
      <c r="P5444" s="604" t="s">
        <v>48</v>
      </c>
    </row>
    <row r="5445" spans="9:16">
      <c r="I5445" s="578" t="str">
        <f t="shared" si="231"/>
        <v>2001dhbCounties ManukauInfant</v>
      </c>
      <c r="J5445" s="604">
        <v>2001</v>
      </c>
      <c r="K5445" s="604" t="s">
        <v>448</v>
      </c>
      <c r="L5445" s="604" t="s">
        <v>88</v>
      </c>
      <c r="M5445" s="604">
        <v>48</v>
      </c>
      <c r="N5445" s="604">
        <v>7216</v>
      </c>
      <c r="O5445" s="604">
        <v>6.7</v>
      </c>
      <c r="P5445" s="604" t="s">
        <v>48</v>
      </c>
    </row>
    <row r="5446" spans="9:16">
      <c r="I5446" s="578" t="str">
        <f t="shared" si="231"/>
        <v>2001dhbWaikatoInfant</v>
      </c>
      <c r="J5446" s="604">
        <v>2001</v>
      </c>
      <c r="K5446" s="604" t="s">
        <v>448</v>
      </c>
      <c r="L5446" s="604" t="s">
        <v>89</v>
      </c>
      <c r="M5446" s="604">
        <v>26</v>
      </c>
      <c r="N5446" s="604">
        <v>4897</v>
      </c>
      <c r="O5446" s="604">
        <v>5.3</v>
      </c>
      <c r="P5446" s="604" t="s">
        <v>48</v>
      </c>
    </row>
    <row r="5447" spans="9:16">
      <c r="I5447" s="578" t="str">
        <f t="shared" si="231"/>
        <v>2001dhbLakesInfant</v>
      </c>
      <c r="J5447" s="604">
        <v>2001</v>
      </c>
      <c r="K5447" s="604" t="s">
        <v>448</v>
      </c>
      <c r="L5447" s="604" t="s">
        <v>90</v>
      </c>
      <c r="M5447" s="604">
        <v>15</v>
      </c>
      <c r="N5447" s="604">
        <v>1523</v>
      </c>
      <c r="O5447" s="604">
        <v>9.8000000000000007</v>
      </c>
      <c r="P5447" s="604" t="s">
        <v>48</v>
      </c>
    </row>
    <row r="5448" spans="9:16">
      <c r="I5448" s="578" t="str">
        <f t="shared" si="231"/>
        <v>2001dhbBay of PlentyInfant</v>
      </c>
      <c r="J5448" s="604">
        <v>2001</v>
      </c>
      <c r="K5448" s="604" t="s">
        <v>448</v>
      </c>
      <c r="L5448" s="604" t="s">
        <v>91</v>
      </c>
      <c r="M5448" s="604">
        <v>19</v>
      </c>
      <c r="N5448" s="604">
        <v>2604</v>
      </c>
      <c r="O5448" s="604">
        <v>7.3</v>
      </c>
      <c r="P5448" s="604" t="s">
        <v>48</v>
      </c>
    </row>
    <row r="5449" spans="9:16">
      <c r="I5449" s="578" t="str">
        <f t="shared" si="231"/>
        <v>2001dhbTairawhitiInfant</v>
      </c>
      <c r="J5449" s="604">
        <v>2001</v>
      </c>
      <c r="K5449" s="604" t="s">
        <v>448</v>
      </c>
      <c r="L5449" s="604" t="s">
        <v>433</v>
      </c>
      <c r="M5449" s="604">
        <v>4</v>
      </c>
      <c r="N5449" s="604">
        <v>766</v>
      </c>
      <c r="O5449" s="604">
        <v>5.2</v>
      </c>
      <c r="P5449" s="604" t="s">
        <v>48</v>
      </c>
    </row>
    <row r="5450" spans="9:16">
      <c r="I5450" s="578" t="str">
        <f t="shared" si="231"/>
        <v>2001dhbHawke's BayInfant</v>
      </c>
      <c r="J5450" s="604">
        <v>2001</v>
      </c>
      <c r="K5450" s="604" t="s">
        <v>448</v>
      </c>
      <c r="L5450" s="604" t="s">
        <v>92</v>
      </c>
      <c r="M5450" s="604">
        <v>12</v>
      </c>
      <c r="N5450" s="604">
        <v>2141</v>
      </c>
      <c r="O5450" s="604">
        <v>5.6</v>
      </c>
      <c r="P5450" s="604" t="s">
        <v>48</v>
      </c>
    </row>
    <row r="5451" spans="9:16">
      <c r="I5451" s="578" t="str">
        <f t="shared" si="231"/>
        <v>2001dhbTaranakiInfant</v>
      </c>
      <c r="J5451" s="604">
        <v>2001</v>
      </c>
      <c r="K5451" s="604" t="s">
        <v>448</v>
      </c>
      <c r="L5451" s="604" t="s">
        <v>93</v>
      </c>
      <c r="M5451" s="604">
        <v>9</v>
      </c>
      <c r="N5451" s="604">
        <v>1368</v>
      </c>
      <c r="O5451" s="604">
        <v>6.6</v>
      </c>
      <c r="P5451" s="604" t="s">
        <v>48</v>
      </c>
    </row>
    <row r="5452" spans="9:16">
      <c r="I5452" s="578" t="str">
        <f t="shared" si="231"/>
        <v>2001dhbMidCentralInfant</v>
      </c>
      <c r="J5452" s="604">
        <v>2001</v>
      </c>
      <c r="K5452" s="604" t="s">
        <v>448</v>
      </c>
      <c r="L5452" s="604" t="s">
        <v>94</v>
      </c>
      <c r="M5452" s="604">
        <v>12</v>
      </c>
      <c r="N5452" s="604">
        <v>2148</v>
      </c>
      <c r="O5452" s="604">
        <v>5.6</v>
      </c>
      <c r="P5452" s="604" t="s">
        <v>48</v>
      </c>
    </row>
    <row r="5453" spans="9:16">
      <c r="I5453" s="578" t="str">
        <f t="shared" si="231"/>
        <v>2001dhbWhanganuiInfant</v>
      </c>
      <c r="J5453" s="604">
        <v>2001</v>
      </c>
      <c r="K5453" s="604" t="s">
        <v>448</v>
      </c>
      <c r="L5453" s="604" t="s">
        <v>95</v>
      </c>
      <c r="M5453" s="604">
        <v>12</v>
      </c>
      <c r="N5453" s="604">
        <v>904</v>
      </c>
      <c r="O5453" s="604">
        <v>13.3</v>
      </c>
      <c r="P5453" s="604" t="s">
        <v>48</v>
      </c>
    </row>
    <row r="5454" spans="9:16">
      <c r="I5454" s="578" t="str">
        <f t="shared" si="231"/>
        <v>2001dhbCapital &amp; CoastInfant</v>
      </c>
      <c r="J5454" s="604">
        <v>2001</v>
      </c>
      <c r="K5454" s="604" t="s">
        <v>448</v>
      </c>
      <c r="L5454" s="604" t="s">
        <v>96</v>
      </c>
      <c r="M5454" s="604">
        <v>9</v>
      </c>
      <c r="N5454" s="604">
        <v>3702</v>
      </c>
      <c r="O5454" s="604">
        <v>2.4</v>
      </c>
      <c r="P5454" s="604" t="s">
        <v>48</v>
      </c>
    </row>
    <row r="5455" spans="9:16">
      <c r="I5455" s="578" t="str">
        <f t="shared" si="231"/>
        <v>2001dhbHutt ValleyInfant</v>
      </c>
      <c r="J5455" s="604">
        <v>2001</v>
      </c>
      <c r="K5455" s="604" t="s">
        <v>448</v>
      </c>
      <c r="L5455" s="604" t="s">
        <v>97</v>
      </c>
      <c r="M5455" s="604">
        <v>14</v>
      </c>
      <c r="N5455" s="604">
        <v>2165</v>
      </c>
      <c r="O5455" s="604">
        <v>6.5</v>
      </c>
      <c r="P5455" s="604" t="s">
        <v>48</v>
      </c>
    </row>
    <row r="5456" spans="9:16">
      <c r="I5456" s="578" t="str">
        <f t="shared" si="231"/>
        <v>2001dhbWairarapaInfant</v>
      </c>
      <c r="J5456" s="604">
        <v>2001</v>
      </c>
      <c r="K5456" s="604" t="s">
        <v>448</v>
      </c>
      <c r="L5456" s="604" t="s">
        <v>98</v>
      </c>
      <c r="M5456" s="604">
        <v>6</v>
      </c>
      <c r="N5456" s="604">
        <v>498</v>
      </c>
      <c r="O5456" s="604">
        <v>12</v>
      </c>
      <c r="P5456" s="604" t="s">
        <v>48</v>
      </c>
    </row>
    <row r="5457" spans="9:16">
      <c r="I5457" s="578" t="str">
        <f t="shared" si="231"/>
        <v>2001dhbNelson MarlboroughInfant</v>
      </c>
      <c r="J5457" s="604">
        <v>2001</v>
      </c>
      <c r="K5457" s="604" t="s">
        <v>448</v>
      </c>
      <c r="L5457" s="604" t="s">
        <v>99</v>
      </c>
      <c r="M5457" s="604">
        <v>4</v>
      </c>
      <c r="N5457" s="604">
        <v>1488</v>
      </c>
      <c r="O5457" s="604">
        <v>2.7</v>
      </c>
      <c r="P5457" s="604" t="s">
        <v>48</v>
      </c>
    </row>
    <row r="5458" spans="9:16">
      <c r="I5458" s="578" t="str">
        <f t="shared" si="231"/>
        <v>2001dhbWest CoastInfant</v>
      </c>
      <c r="J5458" s="604">
        <v>2001</v>
      </c>
      <c r="K5458" s="604" t="s">
        <v>448</v>
      </c>
      <c r="L5458" s="604" t="s">
        <v>100</v>
      </c>
      <c r="M5458" s="604">
        <v>1</v>
      </c>
      <c r="N5458" s="604">
        <v>396</v>
      </c>
      <c r="O5458" s="604">
        <v>2.5</v>
      </c>
      <c r="P5458" s="604" t="s">
        <v>48</v>
      </c>
    </row>
    <row r="5459" spans="9:16">
      <c r="I5459" s="578" t="str">
        <f t="shared" si="231"/>
        <v>2001dhbCanterburyInfant</v>
      </c>
      <c r="J5459" s="604">
        <v>2001</v>
      </c>
      <c r="K5459" s="604" t="s">
        <v>448</v>
      </c>
      <c r="L5459" s="604" t="s">
        <v>101</v>
      </c>
      <c r="M5459" s="604">
        <v>23</v>
      </c>
      <c r="N5459" s="604">
        <v>5651</v>
      </c>
      <c r="O5459" s="604">
        <v>4.0999999999999996</v>
      </c>
      <c r="P5459" s="604" t="s">
        <v>48</v>
      </c>
    </row>
    <row r="5460" spans="9:16">
      <c r="I5460" s="578" t="str">
        <f t="shared" si="231"/>
        <v>2001dhbSouth CanterburyInfant</v>
      </c>
      <c r="J5460" s="604">
        <v>2001</v>
      </c>
      <c r="K5460" s="604" t="s">
        <v>448</v>
      </c>
      <c r="L5460" s="604" t="s">
        <v>102</v>
      </c>
      <c r="M5460" s="604">
        <v>3</v>
      </c>
      <c r="N5460" s="604">
        <v>591</v>
      </c>
      <c r="O5460" s="604">
        <v>5.0999999999999996</v>
      </c>
      <c r="P5460" s="604" t="s">
        <v>48</v>
      </c>
    </row>
    <row r="5461" spans="9:16">
      <c r="I5461" s="578" t="str">
        <f t="shared" si="231"/>
        <v>2001dhbSouthernInfant</v>
      </c>
      <c r="J5461" s="604">
        <v>2001</v>
      </c>
      <c r="K5461" s="604" t="s">
        <v>448</v>
      </c>
      <c r="L5461" s="604" t="s">
        <v>103</v>
      </c>
      <c r="M5461" s="604">
        <v>16</v>
      </c>
      <c r="N5461" s="604">
        <v>3263</v>
      </c>
      <c r="O5461" s="604">
        <v>4.9000000000000004</v>
      </c>
      <c r="P5461" s="604" t="s">
        <v>48</v>
      </c>
    </row>
    <row r="5462" spans="9:16">
      <c r="I5462" s="578" t="str">
        <f t="shared" si="231"/>
        <v>2001dhbUnknownInfant</v>
      </c>
      <c r="J5462" s="604">
        <v>2001</v>
      </c>
      <c r="K5462" s="604" t="s">
        <v>448</v>
      </c>
      <c r="L5462" s="604" t="s">
        <v>63</v>
      </c>
      <c r="M5462" s="604">
        <v>2</v>
      </c>
      <c r="N5462" s="604">
        <v>490</v>
      </c>
      <c r="O5462" s="604" t="s">
        <v>119</v>
      </c>
      <c r="P5462" s="604" t="s">
        <v>48</v>
      </c>
    </row>
    <row r="5463" spans="9:16">
      <c r="I5463" s="578" t="str">
        <f t="shared" si="231"/>
        <v>2002dhbNorthlandInfant</v>
      </c>
      <c r="J5463" s="604">
        <v>2002</v>
      </c>
      <c r="K5463" s="604" t="s">
        <v>448</v>
      </c>
      <c r="L5463" s="604" t="s">
        <v>85</v>
      </c>
      <c r="M5463" s="604">
        <v>10</v>
      </c>
      <c r="N5463" s="604">
        <v>1918</v>
      </c>
      <c r="O5463" s="604">
        <v>5.2</v>
      </c>
      <c r="P5463" s="604" t="s">
        <v>48</v>
      </c>
    </row>
    <row r="5464" spans="9:16">
      <c r="I5464" s="578" t="str">
        <f t="shared" si="231"/>
        <v>2002dhbWaitemataInfant</v>
      </c>
      <c r="J5464" s="604">
        <v>2002</v>
      </c>
      <c r="K5464" s="604" t="s">
        <v>448</v>
      </c>
      <c r="L5464" s="604" t="s">
        <v>86</v>
      </c>
      <c r="M5464" s="604">
        <v>34</v>
      </c>
      <c r="N5464" s="604">
        <v>6459</v>
      </c>
      <c r="O5464" s="604">
        <v>5.3</v>
      </c>
      <c r="P5464" s="604" t="s">
        <v>48</v>
      </c>
    </row>
    <row r="5465" spans="9:16">
      <c r="I5465" s="578" t="str">
        <f t="shared" si="231"/>
        <v>2002dhbAucklandInfant</v>
      </c>
      <c r="J5465" s="604">
        <v>2002</v>
      </c>
      <c r="K5465" s="604" t="s">
        <v>448</v>
      </c>
      <c r="L5465" s="604" t="s">
        <v>87</v>
      </c>
      <c r="M5465" s="604">
        <v>32</v>
      </c>
      <c r="N5465" s="604">
        <v>5903</v>
      </c>
      <c r="O5465" s="604">
        <v>5.4</v>
      </c>
      <c r="P5465" s="604" t="s">
        <v>48</v>
      </c>
    </row>
    <row r="5466" spans="9:16">
      <c r="I5466" s="578" t="str">
        <f t="shared" si="231"/>
        <v>2002dhbCounties ManukauInfant</v>
      </c>
      <c r="J5466" s="604">
        <v>2002</v>
      </c>
      <c r="K5466" s="604" t="s">
        <v>448</v>
      </c>
      <c r="L5466" s="604" t="s">
        <v>88</v>
      </c>
      <c r="M5466" s="604">
        <v>52</v>
      </c>
      <c r="N5466" s="604">
        <v>7203</v>
      </c>
      <c r="O5466" s="604">
        <v>7.2</v>
      </c>
      <c r="P5466" s="604" t="s">
        <v>48</v>
      </c>
    </row>
    <row r="5467" spans="9:16">
      <c r="I5467" s="578" t="str">
        <f t="shared" si="231"/>
        <v>2002dhbWaikatoInfant</v>
      </c>
      <c r="J5467" s="604">
        <v>2002</v>
      </c>
      <c r="K5467" s="604" t="s">
        <v>448</v>
      </c>
      <c r="L5467" s="604" t="s">
        <v>89</v>
      </c>
      <c r="M5467" s="604">
        <v>29</v>
      </c>
      <c r="N5467" s="604">
        <v>4608</v>
      </c>
      <c r="O5467" s="604">
        <v>6.3</v>
      </c>
      <c r="P5467" s="604" t="s">
        <v>48</v>
      </c>
    </row>
    <row r="5468" spans="9:16">
      <c r="I5468" s="578" t="str">
        <f t="shared" si="231"/>
        <v>2002dhbLakesInfant</v>
      </c>
      <c r="J5468" s="604">
        <v>2002</v>
      </c>
      <c r="K5468" s="604" t="s">
        <v>448</v>
      </c>
      <c r="L5468" s="604" t="s">
        <v>90</v>
      </c>
      <c r="M5468" s="604">
        <v>11</v>
      </c>
      <c r="N5468" s="604">
        <v>1500</v>
      </c>
      <c r="O5468" s="604">
        <v>7.3</v>
      </c>
      <c r="P5468" s="604" t="s">
        <v>48</v>
      </c>
    </row>
    <row r="5469" spans="9:16">
      <c r="I5469" s="578" t="str">
        <f t="shared" si="231"/>
        <v>2002dhbBay of PlentyInfant</v>
      </c>
      <c r="J5469" s="604">
        <v>2002</v>
      </c>
      <c r="K5469" s="604" t="s">
        <v>448</v>
      </c>
      <c r="L5469" s="604" t="s">
        <v>91</v>
      </c>
      <c r="M5469" s="604">
        <v>17</v>
      </c>
      <c r="N5469" s="604">
        <v>2560</v>
      </c>
      <c r="O5469" s="604">
        <v>6.6</v>
      </c>
      <c r="P5469" s="604" t="s">
        <v>48</v>
      </c>
    </row>
    <row r="5470" spans="9:16">
      <c r="I5470" s="578" t="str">
        <f t="shared" si="231"/>
        <v>2002dhbTairawhitiInfant</v>
      </c>
      <c r="J5470" s="604">
        <v>2002</v>
      </c>
      <c r="K5470" s="604" t="s">
        <v>448</v>
      </c>
      <c r="L5470" s="604" t="s">
        <v>433</v>
      </c>
      <c r="M5470" s="604">
        <v>6</v>
      </c>
      <c r="N5470" s="604">
        <v>759</v>
      </c>
      <c r="O5470" s="604">
        <v>7.9</v>
      </c>
      <c r="P5470" s="604" t="s">
        <v>48</v>
      </c>
    </row>
    <row r="5471" spans="9:16">
      <c r="I5471" s="578" t="str">
        <f t="shared" si="231"/>
        <v>2002dhbHawke's BayInfant</v>
      </c>
      <c r="J5471" s="604">
        <v>2002</v>
      </c>
      <c r="K5471" s="604" t="s">
        <v>448</v>
      </c>
      <c r="L5471" s="604" t="s">
        <v>92</v>
      </c>
      <c r="M5471" s="604">
        <v>16</v>
      </c>
      <c r="N5471" s="604">
        <v>2053</v>
      </c>
      <c r="O5471" s="604">
        <v>7.8</v>
      </c>
      <c r="P5471" s="604" t="s">
        <v>48</v>
      </c>
    </row>
    <row r="5472" spans="9:16">
      <c r="I5472" s="578" t="str">
        <f t="shared" si="231"/>
        <v>2002dhbTaranakiInfant</v>
      </c>
      <c r="J5472" s="604">
        <v>2002</v>
      </c>
      <c r="K5472" s="604" t="s">
        <v>448</v>
      </c>
      <c r="L5472" s="604" t="s">
        <v>93</v>
      </c>
      <c r="M5472" s="604">
        <v>14</v>
      </c>
      <c r="N5472" s="604">
        <v>1310</v>
      </c>
      <c r="O5472" s="604">
        <v>10.7</v>
      </c>
      <c r="P5472" s="604" t="s">
        <v>48</v>
      </c>
    </row>
    <row r="5473" spans="9:16">
      <c r="I5473" s="578" t="str">
        <f t="shared" si="231"/>
        <v>2002dhbMidCentralInfant</v>
      </c>
      <c r="J5473" s="604">
        <v>2002</v>
      </c>
      <c r="K5473" s="604" t="s">
        <v>448</v>
      </c>
      <c r="L5473" s="604" t="s">
        <v>94</v>
      </c>
      <c r="M5473" s="604">
        <v>11</v>
      </c>
      <c r="N5473" s="604">
        <v>1974</v>
      </c>
      <c r="O5473" s="604">
        <v>5.6</v>
      </c>
      <c r="P5473" s="604" t="s">
        <v>48</v>
      </c>
    </row>
    <row r="5474" spans="9:16">
      <c r="I5474" s="578" t="str">
        <f t="shared" si="231"/>
        <v>2002dhbWhanganuiInfant</v>
      </c>
      <c r="J5474" s="604">
        <v>2002</v>
      </c>
      <c r="K5474" s="604" t="s">
        <v>448</v>
      </c>
      <c r="L5474" s="604" t="s">
        <v>95</v>
      </c>
      <c r="M5474" s="604">
        <v>6</v>
      </c>
      <c r="N5474" s="604">
        <v>861</v>
      </c>
      <c r="O5474" s="604">
        <v>7</v>
      </c>
      <c r="P5474" s="604" t="s">
        <v>48</v>
      </c>
    </row>
    <row r="5475" spans="9:16">
      <c r="I5475" s="578" t="str">
        <f t="shared" si="231"/>
        <v>2002dhbCapital &amp; CoastInfant</v>
      </c>
      <c r="J5475" s="604">
        <v>2002</v>
      </c>
      <c r="K5475" s="604" t="s">
        <v>448</v>
      </c>
      <c r="L5475" s="604" t="s">
        <v>96</v>
      </c>
      <c r="M5475" s="604">
        <v>21</v>
      </c>
      <c r="N5475" s="604">
        <v>3562</v>
      </c>
      <c r="O5475" s="604">
        <v>5.9</v>
      </c>
      <c r="P5475" s="604" t="s">
        <v>48</v>
      </c>
    </row>
    <row r="5476" spans="9:16">
      <c r="I5476" s="578" t="str">
        <f t="shared" si="231"/>
        <v>2002dhbHutt ValleyInfant</v>
      </c>
      <c r="J5476" s="604">
        <v>2002</v>
      </c>
      <c r="K5476" s="604" t="s">
        <v>448</v>
      </c>
      <c r="L5476" s="604" t="s">
        <v>97</v>
      </c>
      <c r="M5476" s="604">
        <v>13</v>
      </c>
      <c r="N5476" s="604">
        <v>1894</v>
      </c>
      <c r="O5476" s="604">
        <v>6.9</v>
      </c>
      <c r="P5476" s="604" t="s">
        <v>48</v>
      </c>
    </row>
    <row r="5477" spans="9:16">
      <c r="I5477" s="578" t="str">
        <f t="shared" si="231"/>
        <v>2002dhbWairarapaInfant</v>
      </c>
      <c r="J5477" s="604">
        <v>2002</v>
      </c>
      <c r="K5477" s="604" t="s">
        <v>448</v>
      </c>
      <c r="L5477" s="604" t="s">
        <v>98</v>
      </c>
      <c r="M5477" s="604">
        <v>2</v>
      </c>
      <c r="N5477" s="604">
        <v>462</v>
      </c>
      <c r="O5477" s="604">
        <v>4.3</v>
      </c>
      <c r="P5477" s="604" t="s">
        <v>48</v>
      </c>
    </row>
    <row r="5478" spans="9:16">
      <c r="I5478" s="578" t="str">
        <f t="shared" si="231"/>
        <v>2002dhbNelson MarlboroughInfant</v>
      </c>
      <c r="J5478" s="604">
        <v>2002</v>
      </c>
      <c r="K5478" s="604" t="s">
        <v>448</v>
      </c>
      <c r="L5478" s="604" t="s">
        <v>99</v>
      </c>
      <c r="M5478" s="604">
        <v>11</v>
      </c>
      <c r="N5478" s="604">
        <v>1442</v>
      </c>
      <c r="O5478" s="604">
        <v>7.6</v>
      </c>
      <c r="P5478" s="604" t="s">
        <v>48</v>
      </c>
    </row>
    <row r="5479" spans="9:16">
      <c r="I5479" s="578" t="str">
        <f t="shared" si="231"/>
        <v>2002dhbWest CoastInfant</v>
      </c>
      <c r="J5479" s="604">
        <v>2002</v>
      </c>
      <c r="K5479" s="604" t="s">
        <v>448</v>
      </c>
      <c r="L5479" s="604" t="s">
        <v>100</v>
      </c>
      <c r="M5479" s="604">
        <v>4</v>
      </c>
      <c r="N5479" s="604">
        <v>330</v>
      </c>
      <c r="O5479" s="604">
        <v>12.1</v>
      </c>
      <c r="P5479" s="604" t="s">
        <v>48</v>
      </c>
    </row>
    <row r="5480" spans="9:16">
      <c r="I5480" s="578" t="str">
        <f t="shared" si="231"/>
        <v>2002dhbCanterburyInfant</v>
      </c>
      <c r="J5480" s="604">
        <v>2002</v>
      </c>
      <c r="K5480" s="604" t="s">
        <v>448</v>
      </c>
      <c r="L5480" s="604" t="s">
        <v>101</v>
      </c>
      <c r="M5480" s="604">
        <v>28</v>
      </c>
      <c r="N5480" s="604">
        <v>5342</v>
      </c>
      <c r="O5480" s="604">
        <v>5.2</v>
      </c>
      <c r="P5480" s="604" t="s">
        <v>48</v>
      </c>
    </row>
    <row r="5481" spans="9:16">
      <c r="I5481" s="578" t="str">
        <f t="shared" si="231"/>
        <v>2002dhbSouth CanterburyInfant</v>
      </c>
      <c r="J5481" s="604">
        <v>2002</v>
      </c>
      <c r="K5481" s="604" t="s">
        <v>448</v>
      </c>
      <c r="L5481" s="604" t="s">
        <v>102</v>
      </c>
      <c r="M5481" s="604">
        <v>5</v>
      </c>
      <c r="N5481" s="604">
        <v>547</v>
      </c>
      <c r="O5481" s="604">
        <v>9.1</v>
      </c>
      <c r="P5481" s="604" t="s">
        <v>48</v>
      </c>
    </row>
    <row r="5482" spans="9:16">
      <c r="I5482" s="578" t="str">
        <f t="shared" si="231"/>
        <v>2002dhbSouthernInfant</v>
      </c>
      <c r="J5482" s="604">
        <v>2002</v>
      </c>
      <c r="K5482" s="604" t="s">
        <v>448</v>
      </c>
      <c r="L5482" s="604" t="s">
        <v>103</v>
      </c>
      <c r="M5482" s="604">
        <v>12</v>
      </c>
      <c r="N5482" s="604">
        <v>3285</v>
      </c>
      <c r="O5482" s="604">
        <v>3.7</v>
      </c>
      <c r="P5482" s="604" t="s">
        <v>48</v>
      </c>
    </row>
    <row r="5483" spans="9:16">
      <c r="I5483" s="578" t="str">
        <f t="shared" si="231"/>
        <v>2002dhbUnknownInfant</v>
      </c>
      <c r="J5483" s="604">
        <v>2002</v>
      </c>
      <c r="K5483" s="604" t="s">
        <v>448</v>
      </c>
      <c r="L5483" s="604" t="s">
        <v>63</v>
      </c>
      <c r="M5483" s="604">
        <v>3</v>
      </c>
      <c r="N5483" s="604">
        <v>543</v>
      </c>
      <c r="O5483" s="604" t="s">
        <v>119</v>
      </c>
      <c r="P5483" s="604" t="s">
        <v>48</v>
      </c>
    </row>
    <row r="5484" spans="9:16">
      <c r="I5484" s="578" t="str">
        <f t="shared" si="231"/>
        <v>2003dhbNorthlandInfant</v>
      </c>
      <c r="J5484" s="604">
        <v>2003</v>
      </c>
      <c r="K5484" s="604" t="s">
        <v>448</v>
      </c>
      <c r="L5484" s="604" t="s">
        <v>85</v>
      </c>
      <c r="M5484" s="604">
        <v>17</v>
      </c>
      <c r="N5484" s="604">
        <v>2024</v>
      </c>
      <c r="O5484" s="604">
        <v>8.4</v>
      </c>
      <c r="P5484" s="604" t="s">
        <v>48</v>
      </c>
    </row>
    <row r="5485" spans="9:16">
      <c r="I5485" s="578" t="str">
        <f t="shared" si="231"/>
        <v>2003dhbWaitemataInfant</v>
      </c>
      <c r="J5485" s="604">
        <v>2003</v>
      </c>
      <c r="K5485" s="604" t="s">
        <v>448</v>
      </c>
      <c r="L5485" s="604" t="s">
        <v>86</v>
      </c>
      <c r="M5485" s="604">
        <v>25</v>
      </c>
      <c r="N5485" s="604">
        <v>6822</v>
      </c>
      <c r="O5485" s="604">
        <v>3.7</v>
      </c>
      <c r="P5485" s="604" t="s">
        <v>48</v>
      </c>
    </row>
    <row r="5486" spans="9:16">
      <c r="I5486" s="578" t="str">
        <f t="shared" si="231"/>
        <v>2003dhbAucklandInfant</v>
      </c>
      <c r="J5486" s="604">
        <v>2003</v>
      </c>
      <c r="K5486" s="604" t="s">
        <v>448</v>
      </c>
      <c r="L5486" s="604" t="s">
        <v>87</v>
      </c>
      <c r="M5486" s="604">
        <v>32</v>
      </c>
      <c r="N5486" s="604">
        <v>5975</v>
      </c>
      <c r="O5486" s="604">
        <v>5.4</v>
      </c>
      <c r="P5486" s="604" t="s">
        <v>48</v>
      </c>
    </row>
    <row r="5487" spans="9:16">
      <c r="I5487" s="578" t="str">
        <f t="shared" si="231"/>
        <v>2003dhbCounties ManukauInfant</v>
      </c>
      <c r="J5487" s="604">
        <v>2003</v>
      </c>
      <c r="K5487" s="604" t="s">
        <v>448</v>
      </c>
      <c r="L5487" s="604" t="s">
        <v>88</v>
      </c>
      <c r="M5487" s="604">
        <v>59</v>
      </c>
      <c r="N5487" s="604">
        <v>7547</v>
      </c>
      <c r="O5487" s="604">
        <v>7.8</v>
      </c>
      <c r="P5487" s="604" t="s">
        <v>48</v>
      </c>
    </row>
    <row r="5488" spans="9:16">
      <c r="I5488" s="578" t="str">
        <f t="shared" si="231"/>
        <v>2003dhbWaikatoInfant</v>
      </c>
      <c r="J5488" s="604">
        <v>2003</v>
      </c>
      <c r="K5488" s="604" t="s">
        <v>448</v>
      </c>
      <c r="L5488" s="604" t="s">
        <v>89</v>
      </c>
      <c r="M5488" s="604">
        <v>20</v>
      </c>
      <c r="N5488" s="604">
        <v>4800</v>
      </c>
      <c r="O5488" s="604">
        <v>4.2</v>
      </c>
      <c r="P5488" s="604" t="s">
        <v>48</v>
      </c>
    </row>
    <row r="5489" spans="9:16">
      <c r="I5489" s="578" t="str">
        <f t="shared" si="231"/>
        <v>2003dhbLakesInfant</v>
      </c>
      <c r="J5489" s="604">
        <v>2003</v>
      </c>
      <c r="K5489" s="604" t="s">
        <v>448</v>
      </c>
      <c r="L5489" s="604" t="s">
        <v>90</v>
      </c>
      <c r="M5489" s="604">
        <v>9</v>
      </c>
      <c r="N5489" s="604">
        <v>1553</v>
      </c>
      <c r="O5489" s="604">
        <v>5.8</v>
      </c>
      <c r="P5489" s="604" t="s">
        <v>48</v>
      </c>
    </row>
    <row r="5490" spans="9:16">
      <c r="I5490" s="578" t="str">
        <f t="shared" si="231"/>
        <v>2003dhbBay of PlentyInfant</v>
      </c>
      <c r="J5490" s="604">
        <v>2003</v>
      </c>
      <c r="K5490" s="604" t="s">
        <v>448</v>
      </c>
      <c r="L5490" s="604" t="s">
        <v>91</v>
      </c>
      <c r="M5490" s="604">
        <v>18</v>
      </c>
      <c r="N5490" s="604">
        <v>2602</v>
      </c>
      <c r="O5490" s="604">
        <v>6.9</v>
      </c>
      <c r="P5490" s="604" t="s">
        <v>48</v>
      </c>
    </row>
    <row r="5491" spans="9:16">
      <c r="I5491" s="578" t="str">
        <f t="shared" si="231"/>
        <v>2003dhbTairawhitiInfant</v>
      </c>
      <c r="J5491" s="604">
        <v>2003</v>
      </c>
      <c r="K5491" s="604" t="s">
        <v>448</v>
      </c>
      <c r="L5491" s="604" t="s">
        <v>433</v>
      </c>
      <c r="M5491" s="604">
        <v>5</v>
      </c>
      <c r="N5491" s="604">
        <v>703</v>
      </c>
      <c r="O5491" s="604">
        <v>7.1</v>
      </c>
      <c r="P5491" s="604" t="s">
        <v>48</v>
      </c>
    </row>
    <row r="5492" spans="9:16">
      <c r="I5492" s="578" t="str">
        <f t="shared" si="231"/>
        <v>2003dhbHawke's BayInfant</v>
      </c>
      <c r="J5492" s="604">
        <v>2003</v>
      </c>
      <c r="K5492" s="604" t="s">
        <v>448</v>
      </c>
      <c r="L5492" s="604" t="s">
        <v>92</v>
      </c>
      <c r="M5492" s="604">
        <v>7</v>
      </c>
      <c r="N5492" s="604">
        <v>2078</v>
      </c>
      <c r="O5492" s="604">
        <v>3.4</v>
      </c>
      <c r="P5492" s="604" t="s">
        <v>48</v>
      </c>
    </row>
    <row r="5493" spans="9:16">
      <c r="I5493" s="578" t="str">
        <f t="shared" si="231"/>
        <v>2003dhbTaranakiInfant</v>
      </c>
      <c r="J5493" s="604">
        <v>2003</v>
      </c>
      <c r="K5493" s="604" t="s">
        <v>448</v>
      </c>
      <c r="L5493" s="604" t="s">
        <v>93</v>
      </c>
      <c r="M5493" s="604">
        <v>12</v>
      </c>
      <c r="N5493" s="604">
        <v>1378</v>
      </c>
      <c r="O5493" s="604">
        <v>8.6999999999999993</v>
      </c>
      <c r="P5493" s="604" t="s">
        <v>48</v>
      </c>
    </row>
    <row r="5494" spans="9:16">
      <c r="I5494" s="578" t="str">
        <f t="shared" si="231"/>
        <v>2003dhbMidCentralInfant</v>
      </c>
      <c r="J5494" s="604">
        <v>2003</v>
      </c>
      <c r="K5494" s="604" t="s">
        <v>448</v>
      </c>
      <c r="L5494" s="604" t="s">
        <v>94</v>
      </c>
      <c r="M5494" s="604">
        <v>5</v>
      </c>
      <c r="N5494" s="604">
        <v>2032</v>
      </c>
      <c r="O5494" s="604">
        <v>2.5</v>
      </c>
      <c r="P5494" s="604" t="s">
        <v>48</v>
      </c>
    </row>
    <row r="5495" spans="9:16">
      <c r="I5495" s="578" t="str">
        <f t="shared" si="231"/>
        <v>2003dhbWhanganuiInfant</v>
      </c>
      <c r="J5495" s="604">
        <v>2003</v>
      </c>
      <c r="K5495" s="604" t="s">
        <v>448</v>
      </c>
      <c r="L5495" s="604" t="s">
        <v>95</v>
      </c>
      <c r="M5495" s="604">
        <v>7</v>
      </c>
      <c r="N5495" s="604">
        <v>843</v>
      </c>
      <c r="O5495" s="604">
        <v>8.3000000000000007</v>
      </c>
      <c r="P5495" s="604" t="s">
        <v>48</v>
      </c>
    </row>
    <row r="5496" spans="9:16">
      <c r="I5496" s="578" t="str">
        <f t="shared" si="231"/>
        <v>2003dhbCapital &amp; CoastInfant</v>
      </c>
      <c r="J5496" s="604">
        <v>2003</v>
      </c>
      <c r="K5496" s="604" t="s">
        <v>448</v>
      </c>
      <c r="L5496" s="604" t="s">
        <v>96</v>
      </c>
      <c r="M5496" s="604">
        <v>21</v>
      </c>
      <c r="N5496" s="604">
        <v>3805</v>
      </c>
      <c r="O5496" s="604">
        <v>5.5</v>
      </c>
      <c r="P5496" s="604" t="s">
        <v>48</v>
      </c>
    </row>
    <row r="5497" spans="9:16">
      <c r="I5497" s="578" t="str">
        <f t="shared" si="231"/>
        <v>2003dhbHutt ValleyInfant</v>
      </c>
      <c r="J5497" s="604">
        <v>2003</v>
      </c>
      <c r="K5497" s="604" t="s">
        <v>448</v>
      </c>
      <c r="L5497" s="604" t="s">
        <v>97</v>
      </c>
      <c r="M5497" s="604">
        <v>9</v>
      </c>
      <c r="N5497" s="604">
        <v>2052</v>
      </c>
      <c r="O5497" s="604">
        <v>4.4000000000000004</v>
      </c>
      <c r="P5497" s="604" t="s">
        <v>48</v>
      </c>
    </row>
    <row r="5498" spans="9:16">
      <c r="I5498" s="578" t="str">
        <f t="shared" si="231"/>
        <v>2003dhbWairarapaInfant</v>
      </c>
      <c r="J5498" s="604">
        <v>2003</v>
      </c>
      <c r="K5498" s="604" t="s">
        <v>448</v>
      </c>
      <c r="L5498" s="604" t="s">
        <v>98</v>
      </c>
      <c r="M5498" s="604">
        <v>1</v>
      </c>
      <c r="N5498" s="604">
        <v>435</v>
      </c>
      <c r="O5498" s="604">
        <v>2.2999999999999998</v>
      </c>
      <c r="P5498" s="604" t="s">
        <v>48</v>
      </c>
    </row>
    <row r="5499" spans="9:16">
      <c r="I5499" s="578" t="str">
        <f t="shared" si="231"/>
        <v>2003dhbNelson MarlboroughInfant</v>
      </c>
      <c r="J5499" s="604">
        <v>2003</v>
      </c>
      <c r="K5499" s="604" t="s">
        <v>448</v>
      </c>
      <c r="L5499" s="604" t="s">
        <v>99</v>
      </c>
      <c r="M5499" s="604">
        <v>8</v>
      </c>
      <c r="N5499" s="604">
        <v>1523</v>
      </c>
      <c r="O5499" s="604">
        <v>5.3</v>
      </c>
      <c r="P5499" s="604" t="s">
        <v>48</v>
      </c>
    </row>
    <row r="5500" spans="9:16">
      <c r="I5500" s="578" t="str">
        <f t="shared" si="231"/>
        <v>2003dhbWest CoastInfant</v>
      </c>
      <c r="J5500" s="604">
        <v>2003</v>
      </c>
      <c r="K5500" s="604" t="s">
        <v>448</v>
      </c>
      <c r="L5500" s="604" t="s">
        <v>100</v>
      </c>
      <c r="M5500" s="604">
        <v>3</v>
      </c>
      <c r="N5500" s="604">
        <v>334</v>
      </c>
      <c r="O5500" s="604">
        <v>9</v>
      </c>
      <c r="P5500" s="604" t="s">
        <v>48</v>
      </c>
    </row>
    <row r="5501" spans="9:16">
      <c r="I5501" s="578" t="str">
        <f t="shared" si="231"/>
        <v>2003dhbCanterburyInfant</v>
      </c>
      <c r="J5501" s="604">
        <v>2003</v>
      </c>
      <c r="K5501" s="604" t="s">
        <v>448</v>
      </c>
      <c r="L5501" s="604" t="s">
        <v>101</v>
      </c>
      <c r="M5501" s="604">
        <v>20</v>
      </c>
      <c r="N5501" s="604">
        <v>5665</v>
      </c>
      <c r="O5501" s="604">
        <v>3.5</v>
      </c>
      <c r="P5501" s="604" t="s">
        <v>48</v>
      </c>
    </row>
    <row r="5502" spans="9:16">
      <c r="I5502" s="578" t="str">
        <f t="shared" si="231"/>
        <v>2003dhbSouth CanterburyInfant</v>
      </c>
      <c r="J5502" s="604">
        <v>2003</v>
      </c>
      <c r="K5502" s="604" t="s">
        <v>448</v>
      </c>
      <c r="L5502" s="604" t="s">
        <v>102</v>
      </c>
      <c r="M5502" s="604">
        <v>2</v>
      </c>
      <c r="N5502" s="604">
        <v>592</v>
      </c>
      <c r="O5502" s="604">
        <v>3.4</v>
      </c>
      <c r="P5502" s="604" t="s">
        <v>48</v>
      </c>
    </row>
    <row r="5503" spans="9:16">
      <c r="I5503" s="696" t="str">
        <f t="shared" si="231"/>
        <v>2003dhbSouthernInfant</v>
      </c>
      <c r="J5503" s="604">
        <v>2003</v>
      </c>
      <c r="K5503" s="604" t="s">
        <v>448</v>
      </c>
      <c r="L5503" s="604" t="s">
        <v>103</v>
      </c>
      <c r="M5503" s="604">
        <v>21</v>
      </c>
      <c r="N5503" s="604">
        <v>3290</v>
      </c>
      <c r="O5503" s="604">
        <v>6.4</v>
      </c>
      <c r="P5503" s="604" t="s">
        <v>48</v>
      </c>
    </row>
    <row r="5504" spans="9:16">
      <c r="I5504" s="696" t="str">
        <f t="shared" si="231"/>
        <v>2003dhbUnknownInfant</v>
      </c>
      <c r="J5504" s="604">
        <v>2003</v>
      </c>
      <c r="K5504" s="604" t="s">
        <v>448</v>
      </c>
      <c r="L5504" s="604" t="s">
        <v>63</v>
      </c>
      <c r="M5504" s="604">
        <v>3</v>
      </c>
      <c r="N5504" s="604">
        <v>523</v>
      </c>
      <c r="O5504" s="604" t="s">
        <v>119</v>
      </c>
      <c r="P5504" s="604" t="s">
        <v>48</v>
      </c>
    </row>
    <row r="5505" spans="9:16">
      <c r="I5505" s="696" t="str">
        <f t="shared" si="231"/>
        <v>2004dhbNorthlandInfant</v>
      </c>
      <c r="J5505" s="604">
        <v>2004</v>
      </c>
      <c r="K5505" s="604" t="s">
        <v>448</v>
      </c>
      <c r="L5505" s="604" t="s">
        <v>85</v>
      </c>
      <c r="M5505" s="604">
        <v>20</v>
      </c>
      <c r="N5505" s="604">
        <v>2087</v>
      </c>
      <c r="O5505" s="604">
        <v>9.6</v>
      </c>
      <c r="P5505" s="604" t="s">
        <v>48</v>
      </c>
    </row>
    <row r="5506" spans="9:16">
      <c r="I5506" s="696" t="str">
        <f t="shared" si="231"/>
        <v>2004dhbWaitemataInfant</v>
      </c>
      <c r="J5506" s="604">
        <v>2004</v>
      </c>
      <c r="K5506" s="604" t="s">
        <v>448</v>
      </c>
      <c r="L5506" s="604" t="s">
        <v>86</v>
      </c>
      <c r="M5506" s="604">
        <v>34</v>
      </c>
      <c r="N5506" s="604">
        <v>7137</v>
      </c>
      <c r="O5506" s="604">
        <v>4.8</v>
      </c>
      <c r="P5506" s="604" t="s">
        <v>48</v>
      </c>
    </row>
    <row r="5507" spans="9:16">
      <c r="I5507" s="696" t="str">
        <f t="shared" si="231"/>
        <v>2004dhbAucklandInfant</v>
      </c>
      <c r="J5507" s="604">
        <v>2004</v>
      </c>
      <c r="K5507" s="604" t="s">
        <v>448</v>
      </c>
      <c r="L5507" s="604" t="s">
        <v>87</v>
      </c>
      <c r="M5507" s="604">
        <v>40</v>
      </c>
      <c r="N5507" s="604">
        <v>6298</v>
      </c>
      <c r="O5507" s="604">
        <v>6.4</v>
      </c>
      <c r="P5507" s="604" t="s">
        <v>48</v>
      </c>
    </row>
    <row r="5508" spans="9:16">
      <c r="I5508" s="696" t="str">
        <f t="shared" ref="I5508:I5571" si="232">J5508&amp;K5508&amp;L5508&amp;P5508</f>
        <v>2004dhbCounties ManukauInfant</v>
      </c>
      <c r="J5508" s="604">
        <v>2004</v>
      </c>
      <c r="K5508" s="604" t="s">
        <v>448</v>
      </c>
      <c r="L5508" s="604" t="s">
        <v>88</v>
      </c>
      <c r="M5508" s="604">
        <v>61</v>
      </c>
      <c r="N5508" s="604">
        <v>7923</v>
      </c>
      <c r="O5508" s="604">
        <v>7.7</v>
      </c>
      <c r="P5508" s="604" t="s">
        <v>48</v>
      </c>
    </row>
    <row r="5509" spans="9:16">
      <c r="I5509" s="696" t="str">
        <f t="shared" si="232"/>
        <v>2004dhbWaikatoInfant</v>
      </c>
      <c r="J5509" s="604">
        <v>2004</v>
      </c>
      <c r="K5509" s="604" t="s">
        <v>448</v>
      </c>
      <c r="L5509" s="604" t="s">
        <v>89</v>
      </c>
      <c r="M5509" s="604">
        <v>27</v>
      </c>
      <c r="N5509" s="604">
        <v>4956</v>
      </c>
      <c r="O5509" s="604">
        <v>5.4</v>
      </c>
      <c r="P5509" s="604" t="s">
        <v>48</v>
      </c>
    </row>
    <row r="5510" spans="9:16">
      <c r="I5510" s="696" t="str">
        <f t="shared" si="232"/>
        <v>2004dhbLakesInfant</v>
      </c>
      <c r="J5510" s="604">
        <v>2004</v>
      </c>
      <c r="K5510" s="604" t="s">
        <v>448</v>
      </c>
      <c r="L5510" s="604" t="s">
        <v>90</v>
      </c>
      <c r="M5510" s="604">
        <v>7</v>
      </c>
      <c r="N5510" s="604">
        <v>1659</v>
      </c>
      <c r="O5510" s="604">
        <v>4.2</v>
      </c>
      <c r="P5510" s="604" t="s">
        <v>48</v>
      </c>
    </row>
    <row r="5511" spans="9:16">
      <c r="I5511" s="696" t="str">
        <f t="shared" si="232"/>
        <v>2004dhbBay of PlentyInfant</v>
      </c>
      <c r="J5511" s="604">
        <v>2004</v>
      </c>
      <c r="K5511" s="604" t="s">
        <v>448</v>
      </c>
      <c r="L5511" s="604" t="s">
        <v>91</v>
      </c>
      <c r="M5511" s="604">
        <v>23</v>
      </c>
      <c r="N5511" s="604">
        <v>2763</v>
      </c>
      <c r="O5511" s="604">
        <v>8.3000000000000007</v>
      </c>
      <c r="P5511" s="604" t="s">
        <v>48</v>
      </c>
    </row>
    <row r="5512" spans="9:16">
      <c r="I5512" s="696" t="str">
        <f t="shared" si="232"/>
        <v>2004dhbTairawhitiInfant</v>
      </c>
      <c r="J5512" s="604">
        <v>2004</v>
      </c>
      <c r="K5512" s="604" t="s">
        <v>448</v>
      </c>
      <c r="L5512" s="604" t="s">
        <v>433</v>
      </c>
      <c r="M5512" s="604">
        <v>5</v>
      </c>
      <c r="N5512" s="604">
        <v>760</v>
      </c>
      <c r="O5512" s="604">
        <v>6.6</v>
      </c>
      <c r="P5512" s="604" t="s">
        <v>48</v>
      </c>
    </row>
    <row r="5513" spans="9:16">
      <c r="I5513" s="696" t="str">
        <f t="shared" si="232"/>
        <v>2004dhbHawke's BayInfant</v>
      </c>
      <c r="J5513" s="604">
        <v>2004</v>
      </c>
      <c r="K5513" s="604" t="s">
        <v>448</v>
      </c>
      <c r="L5513" s="604" t="s">
        <v>92</v>
      </c>
      <c r="M5513" s="604">
        <v>17</v>
      </c>
      <c r="N5513" s="604">
        <v>2188</v>
      </c>
      <c r="O5513" s="604">
        <v>7.8</v>
      </c>
      <c r="P5513" s="604" t="s">
        <v>48</v>
      </c>
    </row>
    <row r="5514" spans="9:16">
      <c r="I5514" s="696" t="str">
        <f t="shared" si="232"/>
        <v>2004dhbTaranakiInfant</v>
      </c>
      <c r="J5514" s="604">
        <v>2004</v>
      </c>
      <c r="K5514" s="604" t="s">
        <v>448</v>
      </c>
      <c r="L5514" s="604" t="s">
        <v>93</v>
      </c>
      <c r="M5514" s="604">
        <v>7</v>
      </c>
      <c r="N5514" s="604">
        <v>1336</v>
      </c>
      <c r="O5514" s="604">
        <v>5.2</v>
      </c>
      <c r="P5514" s="604" t="s">
        <v>48</v>
      </c>
    </row>
    <row r="5515" spans="9:16">
      <c r="I5515" s="696" t="str">
        <f t="shared" si="232"/>
        <v>2004dhbMidCentralInfant</v>
      </c>
      <c r="J5515" s="604">
        <v>2004</v>
      </c>
      <c r="K5515" s="604" t="s">
        <v>448</v>
      </c>
      <c r="L5515" s="604" t="s">
        <v>94</v>
      </c>
      <c r="M5515" s="604">
        <v>9</v>
      </c>
      <c r="N5515" s="604">
        <v>2079</v>
      </c>
      <c r="O5515" s="604">
        <v>4.3</v>
      </c>
      <c r="P5515" s="604" t="s">
        <v>48</v>
      </c>
    </row>
    <row r="5516" spans="9:16">
      <c r="I5516" s="696" t="str">
        <f t="shared" si="232"/>
        <v>2004dhbWhanganuiInfant</v>
      </c>
      <c r="J5516" s="604">
        <v>2004</v>
      </c>
      <c r="K5516" s="604" t="s">
        <v>448</v>
      </c>
      <c r="L5516" s="604" t="s">
        <v>95</v>
      </c>
      <c r="M5516" s="604">
        <v>5</v>
      </c>
      <c r="N5516" s="604">
        <v>815</v>
      </c>
      <c r="O5516" s="604">
        <v>6.1</v>
      </c>
      <c r="P5516" s="604" t="s">
        <v>48</v>
      </c>
    </row>
    <row r="5517" spans="9:16">
      <c r="I5517" s="696" t="str">
        <f t="shared" si="232"/>
        <v>2004dhbCapital &amp; CoastInfant</v>
      </c>
      <c r="J5517" s="604">
        <v>2004</v>
      </c>
      <c r="K5517" s="604" t="s">
        <v>448</v>
      </c>
      <c r="L5517" s="604" t="s">
        <v>96</v>
      </c>
      <c r="M5517" s="604">
        <v>18</v>
      </c>
      <c r="N5517" s="604">
        <v>3693</v>
      </c>
      <c r="O5517" s="604">
        <v>4.9000000000000004</v>
      </c>
      <c r="P5517" s="604" t="s">
        <v>48</v>
      </c>
    </row>
    <row r="5518" spans="9:16">
      <c r="I5518" s="696" t="str">
        <f t="shared" si="232"/>
        <v>2004dhbHutt ValleyInfant</v>
      </c>
      <c r="J5518" s="604">
        <v>2004</v>
      </c>
      <c r="K5518" s="604" t="s">
        <v>448</v>
      </c>
      <c r="L5518" s="604" t="s">
        <v>97</v>
      </c>
      <c r="M5518" s="604">
        <v>9</v>
      </c>
      <c r="N5518" s="604">
        <v>2031</v>
      </c>
      <c r="O5518" s="604">
        <v>4.4000000000000004</v>
      </c>
      <c r="P5518" s="604" t="s">
        <v>48</v>
      </c>
    </row>
    <row r="5519" spans="9:16">
      <c r="I5519" s="696" t="str">
        <f t="shared" si="232"/>
        <v>2004dhbWairarapaInfant</v>
      </c>
      <c r="J5519" s="604">
        <v>2004</v>
      </c>
      <c r="K5519" s="604" t="s">
        <v>448</v>
      </c>
      <c r="L5519" s="604" t="s">
        <v>98</v>
      </c>
      <c r="M5519" s="604">
        <v>3</v>
      </c>
      <c r="N5519" s="604">
        <v>522</v>
      </c>
      <c r="O5519" s="604">
        <v>5.7</v>
      </c>
      <c r="P5519" s="604" t="s">
        <v>48</v>
      </c>
    </row>
    <row r="5520" spans="9:16">
      <c r="I5520" s="696" t="str">
        <f t="shared" si="232"/>
        <v>2004dhbNelson MarlboroughInfant</v>
      </c>
      <c r="J5520" s="604">
        <v>2004</v>
      </c>
      <c r="K5520" s="604" t="s">
        <v>448</v>
      </c>
      <c r="L5520" s="604" t="s">
        <v>99</v>
      </c>
      <c r="M5520" s="604">
        <v>5</v>
      </c>
      <c r="N5520" s="604">
        <v>1623</v>
      </c>
      <c r="O5520" s="604">
        <v>3.1</v>
      </c>
      <c r="P5520" s="604" t="s">
        <v>48</v>
      </c>
    </row>
    <row r="5521" spans="9:16">
      <c r="I5521" s="696" t="str">
        <f t="shared" si="232"/>
        <v>2004dhbWest CoastInfant</v>
      </c>
      <c r="J5521" s="604">
        <v>2004</v>
      </c>
      <c r="K5521" s="604" t="s">
        <v>448</v>
      </c>
      <c r="L5521" s="604" t="s">
        <v>100</v>
      </c>
      <c r="M5521" s="604">
        <v>2</v>
      </c>
      <c r="N5521" s="604">
        <v>399</v>
      </c>
      <c r="O5521" s="604">
        <v>5</v>
      </c>
      <c r="P5521" s="604" t="s">
        <v>48</v>
      </c>
    </row>
    <row r="5522" spans="9:16">
      <c r="I5522" s="696" t="str">
        <f t="shared" si="232"/>
        <v>2004dhbCanterburyInfant</v>
      </c>
      <c r="J5522" s="604">
        <v>2004</v>
      </c>
      <c r="K5522" s="604" t="s">
        <v>448</v>
      </c>
      <c r="L5522" s="604" t="s">
        <v>101</v>
      </c>
      <c r="M5522" s="604">
        <v>25</v>
      </c>
      <c r="N5522" s="604">
        <v>6071</v>
      </c>
      <c r="O5522" s="604">
        <v>4.0999999999999996</v>
      </c>
      <c r="P5522" s="604" t="s">
        <v>48</v>
      </c>
    </row>
    <row r="5523" spans="9:16">
      <c r="I5523" s="696" t="str">
        <f t="shared" si="232"/>
        <v>2004dhbSouth CanterburyInfant</v>
      </c>
      <c r="J5523" s="604">
        <v>2004</v>
      </c>
      <c r="K5523" s="604" t="s">
        <v>448</v>
      </c>
      <c r="L5523" s="604" t="s">
        <v>102</v>
      </c>
      <c r="M5523" s="604">
        <v>6</v>
      </c>
      <c r="N5523" s="604">
        <v>569</v>
      </c>
      <c r="O5523" s="604">
        <v>10.5</v>
      </c>
      <c r="P5523" s="604" t="s">
        <v>48</v>
      </c>
    </row>
    <row r="5524" spans="9:16">
      <c r="I5524" s="696" t="str">
        <f t="shared" si="232"/>
        <v>2004dhbSouthernInfant</v>
      </c>
      <c r="J5524" s="604">
        <v>2004</v>
      </c>
      <c r="K5524" s="604" t="s">
        <v>448</v>
      </c>
      <c r="L5524" s="604" t="s">
        <v>103</v>
      </c>
      <c r="M5524" s="604">
        <v>20</v>
      </c>
      <c r="N5524" s="604">
        <v>3458</v>
      </c>
      <c r="O5524" s="604">
        <v>5.8</v>
      </c>
      <c r="P5524" s="604" t="s">
        <v>48</v>
      </c>
    </row>
    <row r="5525" spans="9:16">
      <c r="I5525" s="696" t="str">
        <f t="shared" si="232"/>
        <v>2004dhbUnknownInfant</v>
      </c>
      <c r="J5525" s="604">
        <v>2004</v>
      </c>
      <c r="K5525" s="604" t="s">
        <v>448</v>
      </c>
      <c r="L5525" s="604" t="s">
        <v>63</v>
      </c>
      <c r="M5525" s="604">
        <v>3</v>
      </c>
      <c r="N5525" s="604">
        <v>356</v>
      </c>
      <c r="O5525" s="604" t="s">
        <v>119</v>
      </c>
      <c r="P5525" s="604" t="s">
        <v>48</v>
      </c>
    </row>
    <row r="5526" spans="9:16">
      <c r="I5526" s="696" t="str">
        <f t="shared" si="232"/>
        <v>2005dhbNorthlandInfant</v>
      </c>
      <c r="J5526" s="604">
        <v>2005</v>
      </c>
      <c r="K5526" s="604" t="s">
        <v>448</v>
      </c>
      <c r="L5526" s="604" t="s">
        <v>85</v>
      </c>
      <c r="M5526" s="604">
        <v>13</v>
      </c>
      <c r="N5526" s="604">
        <v>2137</v>
      </c>
      <c r="O5526" s="604">
        <v>6.1</v>
      </c>
      <c r="P5526" s="604" t="s">
        <v>48</v>
      </c>
    </row>
    <row r="5527" spans="9:16">
      <c r="I5527" s="696" t="str">
        <f t="shared" si="232"/>
        <v>2005dhbWaitemataInfant</v>
      </c>
      <c r="J5527" s="604">
        <v>2005</v>
      </c>
      <c r="K5527" s="604" t="s">
        <v>448</v>
      </c>
      <c r="L5527" s="604" t="s">
        <v>86</v>
      </c>
      <c r="M5527" s="604">
        <v>26</v>
      </c>
      <c r="N5527" s="604">
        <v>6944</v>
      </c>
      <c r="O5527" s="604">
        <v>3.7</v>
      </c>
      <c r="P5527" s="604" t="s">
        <v>48</v>
      </c>
    </row>
    <row r="5528" spans="9:16">
      <c r="I5528" s="696" t="str">
        <f t="shared" si="232"/>
        <v>2005dhbAucklandInfant</v>
      </c>
      <c r="J5528" s="604">
        <v>2005</v>
      </c>
      <c r="K5528" s="604" t="s">
        <v>448</v>
      </c>
      <c r="L5528" s="604" t="s">
        <v>87</v>
      </c>
      <c r="M5528" s="604">
        <v>33</v>
      </c>
      <c r="N5528" s="604">
        <v>6247</v>
      </c>
      <c r="O5528" s="604">
        <v>5.3</v>
      </c>
      <c r="P5528" s="604" t="s">
        <v>48</v>
      </c>
    </row>
    <row r="5529" spans="9:16">
      <c r="I5529" s="696" t="str">
        <f t="shared" si="232"/>
        <v>2005dhbCounties ManukauInfant</v>
      </c>
      <c r="J5529" s="604">
        <v>2005</v>
      </c>
      <c r="K5529" s="604" t="s">
        <v>448</v>
      </c>
      <c r="L5529" s="604" t="s">
        <v>88</v>
      </c>
      <c r="M5529" s="604">
        <v>64</v>
      </c>
      <c r="N5529" s="604">
        <v>8070</v>
      </c>
      <c r="O5529" s="604">
        <v>7.9</v>
      </c>
      <c r="P5529" s="604" t="s">
        <v>48</v>
      </c>
    </row>
    <row r="5530" spans="9:16">
      <c r="I5530" s="696" t="str">
        <f t="shared" si="232"/>
        <v>2005dhbWaikatoInfant</v>
      </c>
      <c r="J5530" s="604">
        <v>2005</v>
      </c>
      <c r="K5530" s="604" t="s">
        <v>448</v>
      </c>
      <c r="L5530" s="604" t="s">
        <v>89</v>
      </c>
      <c r="M5530" s="604">
        <v>23</v>
      </c>
      <c r="N5530" s="604">
        <v>5110</v>
      </c>
      <c r="O5530" s="604">
        <v>4.5</v>
      </c>
      <c r="P5530" s="604" t="s">
        <v>48</v>
      </c>
    </row>
    <row r="5531" spans="9:16">
      <c r="I5531" s="696" t="str">
        <f t="shared" si="232"/>
        <v>2005dhbLakesInfant</v>
      </c>
      <c r="J5531" s="604">
        <v>2005</v>
      </c>
      <c r="K5531" s="604" t="s">
        <v>448</v>
      </c>
      <c r="L5531" s="604" t="s">
        <v>90</v>
      </c>
      <c r="M5531" s="604">
        <v>9</v>
      </c>
      <c r="N5531" s="604">
        <v>1577</v>
      </c>
      <c r="O5531" s="604">
        <v>5.7</v>
      </c>
      <c r="P5531" s="604" t="s">
        <v>48</v>
      </c>
    </row>
    <row r="5532" spans="9:16">
      <c r="I5532" s="696" t="str">
        <f t="shared" si="232"/>
        <v>2005dhbBay of PlentyInfant</v>
      </c>
      <c r="J5532" s="604">
        <v>2005</v>
      </c>
      <c r="K5532" s="604" t="s">
        <v>448</v>
      </c>
      <c r="L5532" s="604" t="s">
        <v>91</v>
      </c>
      <c r="M5532" s="604">
        <v>16</v>
      </c>
      <c r="N5532" s="604">
        <v>2794</v>
      </c>
      <c r="O5532" s="604">
        <v>5.7</v>
      </c>
      <c r="P5532" s="604" t="s">
        <v>48</v>
      </c>
    </row>
    <row r="5533" spans="9:16">
      <c r="I5533" s="696" t="str">
        <f t="shared" si="232"/>
        <v>2005dhbTairawhitiInfant</v>
      </c>
      <c r="J5533" s="604">
        <v>2005</v>
      </c>
      <c r="K5533" s="604" t="s">
        <v>448</v>
      </c>
      <c r="L5533" s="604" t="s">
        <v>433</v>
      </c>
      <c r="M5533" s="604">
        <v>7</v>
      </c>
      <c r="N5533" s="604">
        <v>800</v>
      </c>
      <c r="O5533" s="604">
        <v>8.8000000000000007</v>
      </c>
      <c r="P5533" s="604" t="s">
        <v>48</v>
      </c>
    </row>
    <row r="5534" spans="9:16">
      <c r="I5534" s="696" t="str">
        <f t="shared" si="232"/>
        <v>2005dhbHawke's BayInfant</v>
      </c>
      <c r="J5534" s="604">
        <v>2005</v>
      </c>
      <c r="K5534" s="604" t="s">
        <v>448</v>
      </c>
      <c r="L5534" s="604" t="s">
        <v>92</v>
      </c>
      <c r="M5534" s="604">
        <v>10</v>
      </c>
      <c r="N5534" s="604">
        <v>2159</v>
      </c>
      <c r="O5534" s="604">
        <v>4.5999999999999996</v>
      </c>
      <c r="P5534" s="604" t="s">
        <v>48</v>
      </c>
    </row>
    <row r="5535" spans="9:16">
      <c r="I5535" s="696" t="str">
        <f t="shared" si="232"/>
        <v>2005dhbTaranakiInfant</v>
      </c>
      <c r="J5535" s="604">
        <v>2005</v>
      </c>
      <c r="K5535" s="604" t="s">
        <v>448</v>
      </c>
      <c r="L5535" s="604" t="s">
        <v>93</v>
      </c>
      <c r="M5535" s="604">
        <v>10</v>
      </c>
      <c r="N5535" s="604">
        <v>1438</v>
      </c>
      <c r="O5535" s="604">
        <v>7</v>
      </c>
      <c r="P5535" s="604" t="s">
        <v>48</v>
      </c>
    </row>
    <row r="5536" spans="9:16">
      <c r="I5536" s="696" t="str">
        <f t="shared" si="232"/>
        <v>2005dhbMidCentralInfant</v>
      </c>
      <c r="J5536" s="604">
        <v>2005</v>
      </c>
      <c r="K5536" s="604" t="s">
        <v>448</v>
      </c>
      <c r="L5536" s="604" t="s">
        <v>94</v>
      </c>
      <c r="M5536" s="604">
        <v>11</v>
      </c>
      <c r="N5536" s="604">
        <v>2255</v>
      </c>
      <c r="O5536" s="604">
        <v>4.9000000000000004</v>
      </c>
      <c r="P5536" s="604" t="s">
        <v>48</v>
      </c>
    </row>
    <row r="5537" spans="9:16">
      <c r="I5537" s="696" t="str">
        <f t="shared" si="232"/>
        <v>2005dhbWhanganuiInfant</v>
      </c>
      <c r="J5537" s="604">
        <v>2005</v>
      </c>
      <c r="K5537" s="604" t="s">
        <v>448</v>
      </c>
      <c r="L5537" s="604" t="s">
        <v>95</v>
      </c>
      <c r="M5537" s="604">
        <v>3</v>
      </c>
      <c r="N5537" s="604">
        <v>823</v>
      </c>
      <c r="O5537" s="604">
        <v>3.6</v>
      </c>
      <c r="P5537" s="604" t="s">
        <v>48</v>
      </c>
    </row>
    <row r="5538" spans="9:16">
      <c r="I5538" s="696" t="str">
        <f t="shared" si="232"/>
        <v>2005dhbCapital &amp; CoastInfant</v>
      </c>
      <c r="J5538" s="604">
        <v>2005</v>
      </c>
      <c r="K5538" s="604" t="s">
        <v>448</v>
      </c>
      <c r="L5538" s="604" t="s">
        <v>96</v>
      </c>
      <c r="M5538" s="604">
        <v>14</v>
      </c>
      <c r="N5538" s="604">
        <v>3729</v>
      </c>
      <c r="O5538" s="604">
        <v>3.8</v>
      </c>
      <c r="P5538" s="604" t="s">
        <v>48</v>
      </c>
    </row>
    <row r="5539" spans="9:16">
      <c r="I5539" s="696" t="str">
        <f t="shared" si="232"/>
        <v>2005dhbHutt ValleyInfant</v>
      </c>
      <c r="J5539" s="604">
        <v>2005</v>
      </c>
      <c r="K5539" s="604" t="s">
        <v>448</v>
      </c>
      <c r="L5539" s="604" t="s">
        <v>97</v>
      </c>
      <c r="M5539" s="604">
        <v>6</v>
      </c>
      <c r="N5539" s="604">
        <v>2011</v>
      </c>
      <c r="O5539" s="604">
        <v>3</v>
      </c>
      <c r="P5539" s="604" t="s">
        <v>48</v>
      </c>
    </row>
    <row r="5540" spans="9:16">
      <c r="I5540" s="696" t="str">
        <f t="shared" si="232"/>
        <v>2005dhbWairarapaInfant</v>
      </c>
      <c r="J5540" s="604">
        <v>2005</v>
      </c>
      <c r="K5540" s="604" t="s">
        <v>448</v>
      </c>
      <c r="L5540" s="604" t="s">
        <v>98</v>
      </c>
      <c r="M5540" s="604">
        <v>1</v>
      </c>
      <c r="N5540" s="604">
        <v>475</v>
      </c>
      <c r="O5540" s="604">
        <v>2.1</v>
      </c>
      <c r="P5540" s="604" t="s">
        <v>48</v>
      </c>
    </row>
    <row r="5541" spans="9:16">
      <c r="I5541" s="696" t="str">
        <f t="shared" si="232"/>
        <v>2005dhbNelson MarlboroughInfant</v>
      </c>
      <c r="J5541" s="604">
        <v>2005</v>
      </c>
      <c r="K5541" s="604" t="s">
        <v>448</v>
      </c>
      <c r="L5541" s="604" t="s">
        <v>99</v>
      </c>
      <c r="M5541" s="604">
        <v>3</v>
      </c>
      <c r="N5541" s="604">
        <v>1514</v>
      </c>
      <c r="O5541" s="604">
        <v>2</v>
      </c>
      <c r="P5541" s="604" t="s">
        <v>48</v>
      </c>
    </row>
    <row r="5542" spans="9:16">
      <c r="I5542" s="696" t="str">
        <f t="shared" si="232"/>
        <v>2005dhbWest CoastInfant</v>
      </c>
      <c r="J5542" s="604">
        <v>2005</v>
      </c>
      <c r="K5542" s="604" t="s">
        <v>448</v>
      </c>
      <c r="L5542" s="604" t="s">
        <v>100</v>
      </c>
      <c r="M5542" s="604">
        <v>1</v>
      </c>
      <c r="N5542" s="604">
        <v>341</v>
      </c>
      <c r="O5542" s="604">
        <v>2.9</v>
      </c>
      <c r="P5542" s="604" t="s">
        <v>48</v>
      </c>
    </row>
    <row r="5543" spans="9:16">
      <c r="I5543" s="696" t="str">
        <f t="shared" si="232"/>
        <v>2005dhbCanterburyInfant</v>
      </c>
      <c r="J5543" s="604">
        <v>2005</v>
      </c>
      <c r="K5543" s="604" t="s">
        <v>448</v>
      </c>
      <c r="L5543" s="604" t="s">
        <v>101</v>
      </c>
      <c r="M5543" s="604">
        <v>20</v>
      </c>
      <c r="N5543" s="604">
        <v>6048</v>
      </c>
      <c r="O5543" s="604">
        <v>3.3</v>
      </c>
      <c r="P5543" s="604" t="s">
        <v>48</v>
      </c>
    </row>
    <row r="5544" spans="9:16">
      <c r="I5544" s="696" t="str">
        <f t="shared" si="232"/>
        <v>2005dhbSouth CanterburyInfant</v>
      </c>
      <c r="J5544" s="604">
        <v>2005</v>
      </c>
      <c r="K5544" s="604" t="s">
        <v>448</v>
      </c>
      <c r="L5544" s="604" t="s">
        <v>102</v>
      </c>
      <c r="M5544" s="604">
        <v>6</v>
      </c>
      <c r="N5544" s="604">
        <v>589</v>
      </c>
      <c r="O5544" s="604">
        <v>10.199999999999999</v>
      </c>
      <c r="P5544" s="604" t="s">
        <v>48</v>
      </c>
    </row>
    <row r="5545" spans="9:16">
      <c r="I5545" s="696" t="str">
        <f t="shared" si="232"/>
        <v>2005dhbSouthernInfant</v>
      </c>
      <c r="J5545" s="604">
        <v>2005</v>
      </c>
      <c r="K5545" s="604" t="s">
        <v>448</v>
      </c>
      <c r="L5545" s="604" t="s">
        <v>103</v>
      </c>
      <c r="M5545" s="604">
        <v>17</v>
      </c>
      <c r="N5545" s="604">
        <v>3419</v>
      </c>
      <c r="O5545" s="604">
        <v>5</v>
      </c>
      <c r="P5545" s="604" t="s">
        <v>48</v>
      </c>
    </row>
    <row r="5546" spans="9:16">
      <c r="I5546" s="696" t="str">
        <f t="shared" si="232"/>
        <v>2005dhbUnknownInfant</v>
      </c>
      <c r="J5546" s="604">
        <v>2005</v>
      </c>
      <c r="K5546" s="604" t="s">
        <v>448</v>
      </c>
      <c r="L5546" s="604" t="s">
        <v>63</v>
      </c>
      <c r="M5546" s="604">
        <v>1</v>
      </c>
      <c r="N5546" s="604">
        <v>247</v>
      </c>
      <c r="O5546" s="604" t="s">
        <v>119</v>
      </c>
      <c r="P5546" s="604" t="s">
        <v>48</v>
      </c>
    </row>
    <row r="5547" spans="9:16">
      <c r="I5547" s="696" t="str">
        <f t="shared" si="232"/>
        <v>2006dhbNorthlandInfant</v>
      </c>
      <c r="J5547" s="604">
        <v>2006</v>
      </c>
      <c r="K5547" s="604" t="s">
        <v>448</v>
      </c>
      <c r="L5547" s="604" t="s">
        <v>85</v>
      </c>
      <c r="M5547" s="604">
        <v>12</v>
      </c>
      <c r="N5547" s="604">
        <v>2299</v>
      </c>
      <c r="O5547" s="604">
        <v>5.2</v>
      </c>
      <c r="P5547" s="604" t="s">
        <v>48</v>
      </c>
    </row>
    <row r="5548" spans="9:16">
      <c r="I5548" s="696" t="str">
        <f t="shared" si="232"/>
        <v>2006dhbWaitemataInfant</v>
      </c>
      <c r="J5548" s="604">
        <v>2006</v>
      </c>
      <c r="K5548" s="604" t="s">
        <v>448</v>
      </c>
      <c r="L5548" s="604" t="s">
        <v>86</v>
      </c>
      <c r="M5548" s="604">
        <v>22</v>
      </c>
      <c r="N5548" s="604">
        <v>7318</v>
      </c>
      <c r="O5548" s="604">
        <v>3</v>
      </c>
      <c r="P5548" s="604" t="s">
        <v>48</v>
      </c>
    </row>
    <row r="5549" spans="9:16">
      <c r="I5549" s="696" t="str">
        <f t="shared" si="232"/>
        <v>2006dhbAucklandInfant</v>
      </c>
      <c r="J5549" s="604">
        <v>2006</v>
      </c>
      <c r="K5549" s="604" t="s">
        <v>448</v>
      </c>
      <c r="L5549" s="604" t="s">
        <v>87</v>
      </c>
      <c r="M5549" s="604">
        <v>24</v>
      </c>
      <c r="N5549" s="604">
        <v>6285</v>
      </c>
      <c r="O5549" s="604">
        <v>3.8</v>
      </c>
      <c r="P5549" s="604" t="s">
        <v>48</v>
      </c>
    </row>
    <row r="5550" spans="9:16">
      <c r="I5550" s="696" t="str">
        <f t="shared" si="232"/>
        <v>2006dhbCounties ManukauInfant</v>
      </c>
      <c r="J5550" s="604">
        <v>2006</v>
      </c>
      <c r="K5550" s="604" t="s">
        <v>448</v>
      </c>
      <c r="L5550" s="604" t="s">
        <v>88</v>
      </c>
      <c r="M5550" s="604">
        <v>57</v>
      </c>
      <c r="N5550" s="604">
        <v>8267</v>
      </c>
      <c r="O5550" s="604">
        <v>6.9</v>
      </c>
      <c r="P5550" s="604" t="s">
        <v>48</v>
      </c>
    </row>
    <row r="5551" spans="9:16">
      <c r="I5551" s="696" t="str">
        <f t="shared" si="232"/>
        <v>2006dhbWaikatoInfant</v>
      </c>
      <c r="J5551" s="604">
        <v>2006</v>
      </c>
      <c r="K5551" s="604" t="s">
        <v>448</v>
      </c>
      <c r="L5551" s="604" t="s">
        <v>89</v>
      </c>
      <c r="M5551" s="604">
        <v>40</v>
      </c>
      <c r="N5551" s="604">
        <v>5058</v>
      </c>
      <c r="O5551" s="604">
        <v>7.9</v>
      </c>
      <c r="P5551" s="604" t="s">
        <v>48</v>
      </c>
    </row>
    <row r="5552" spans="9:16">
      <c r="I5552" s="696" t="str">
        <f t="shared" si="232"/>
        <v>2006dhbLakesInfant</v>
      </c>
      <c r="J5552" s="604">
        <v>2006</v>
      </c>
      <c r="K5552" s="604" t="s">
        <v>448</v>
      </c>
      <c r="L5552" s="604" t="s">
        <v>90</v>
      </c>
      <c r="M5552" s="604">
        <v>4</v>
      </c>
      <c r="N5552" s="604">
        <v>1632</v>
      </c>
      <c r="O5552" s="604">
        <v>2.5</v>
      </c>
      <c r="P5552" s="604" t="s">
        <v>48</v>
      </c>
    </row>
    <row r="5553" spans="9:16">
      <c r="I5553" s="696" t="str">
        <f t="shared" si="232"/>
        <v>2006dhbBay of PlentyInfant</v>
      </c>
      <c r="J5553" s="604">
        <v>2006</v>
      </c>
      <c r="K5553" s="604" t="s">
        <v>448</v>
      </c>
      <c r="L5553" s="604" t="s">
        <v>91</v>
      </c>
      <c r="M5553" s="604">
        <v>10</v>
      </c>
      <c r="N5553" s="604">
        <v>2824</v>
      </c>
      <c r="O5553" s="604">
        <v>3.5</v>
      </c>
      <c r="P5553" s="604" t="s">
        <v>48</v>
      </c>
    </row>
    <row r="5554" spans="9:16">
      <c r="I5554" s="696" t="str">
        <f t="shared" si="232"/>
        <v>2006dhbTairawhitiInfant</v>
      </c>
      <c r="J5554" s="604">
        <v>2006</v>
      </c>
      <c r="K5554" s="604" t="s">
        <v>448</v>
      </c>
      <c r="L5554" s="604" t="s">
        <v>433</v>
      </c>
      <c r="M5554" s="604">
        <v>6</v>
      </c>
      <c r="N5554" s="604">
        <v>747</v>
      </c>
      <c r="O5554" s="604">
        <v>8</v>
      </c>
      <c r="P5554" s="604" t="s">
        <v>48</v>
      </c>
    </row>
    <row r="5555" spans="9:16">
      <c r="I5555" s="696" t="str">
        <f t="shared" si="232"/>
        <v>2006dhbHawke's BayInfant</v>
      </c>
      <c r="J5555" s="604">
        <v>2006</v>
      </c>
      <c r="K5555" s="604" t="s">
        <v>448</v>
      </c>
      <c r="L5555" s="604" t="s">
        <v>92</v>
      </c>
      <c r="M5555" s="604">
        <v>18</v>
      </c>
      <c r="N5555" s="604">
        <v>2212</v>
      </c>
      <c r="O5555" s="604">
        <v>8.1</v>
      </c>
      <c r="P5555" s="604" t="s">
        <v>48</v>
      </c>
    </row>
    <row r="5556" spans="9:16">
      <c r="I5556" s="696" t="str">
        <f t="shared" si="232"/>
        <v>2006dhbTaranakiInfant</v>
      </c>
      <c r="J5556" s="604">
        <v>2006</v>
      </c>
      <c r="K5556" s="604" t="s">
        <v>448</v>
      </c>
      <c r="L5556" s="604" t="s">
        <v>93</v>
      </c>
      <c r="M5556" s="604">
        <v>5</v>
      </c>
      <c r="N5556" s="604">
        <v>1479</v>
      </c>
      <c r="O5556" s="604">
        <v>3.4</v>
      </c>
      <c r="P5556" s="604" t="s">
        <v>48</v>
      </c>
    </row>
    <row r="5557" spans="9:16">
      <c r="I5557" s="696" t="str">
        <f t="shared" si="232"/>
        <v>2006dhbMidCentralInfant</v>
      </c>
      <c r="J5557" s="604">
        <v>2006</v>
      </c>
      <c r="K5557" s="604" t="s">
        <v>448</v>
      </c>
      <c r="L5557" s="604" t="s">
        <v>94</v>
      </c>
      <c r="M5557" s="604">
        <v>12</v>
      </c>
      <c r="N5557" s="604">
        <v>2270</v>
      </c>
      <c r="O5557" s="604">
        <v>5.3</v>
      </c>
      <c r="P5557" s="604" t="s">
        <v>48</v>
      </c>
    </row>
    <row r="5558" spans="9:16">
      <c r="I5558" s="696" t="str">
        <f t="shared" si="232"/>
        <v>2006dhbWhanganuiInfant</v>
      </c>
      <c r="J5558" s="604">
        <v>2006</v>
      </c>
      <c r="K5558" s="604" t="s">
        <v>448</v>
      </c>
      <c r="L5558" s="604" t="s">
        <v>95</v>
      </c>
      <c r="M5558" s="604">
        <v>3</v>
      </c>
      <c r="N5558" s="604">
        <v>895</v>
      </c>
      <c r="O5558" s="604">
        <v>3.4</v>
      </c>
      <c r="P5558" s="604" t="s">
        <v>48</v>
      </c>
    </row>
    <row r="5559" spans="9:16">
      <c r="I5559" s="696" t="str">
        <f t="shared" si="232"/>
        <v>2006dhbCapital &amp; CoastInfant</v>
      </c>
      <c r="J5559" s="604">
        <v>2006</v>
      </c>
      <c r="K5559" s="604" t="s">
        <v>448</v>
      </c>
      <c r="L5559" s="604" t="s">
        <v>96</v>
      </c>
      <c r="M5559" s="604">
        <v>21</v>
      </c>
      <c r="N5559" s="604">
        <v>3894</v>
      </c>
      <c r="O5559" s="604">
        <v>5.4</v>
      </c>
      <c r="P5559" s="604" t="s">
        <v>48</v>
      </c>
    </row>
    <row r="5560" spans="9:16">
      <c r="I5560" s="696" t="str">
        <f t="shared" si="232"/>
        <v>2006dhbHutt ValleyInfant</v>
      </c>
      <c r="J5560" s="604">
        <v>2006</v>
      </c>
      <c r="K5560" s="604" t="s">
        <v>448</v>
      </c>
      <c r="L5560" s="604" t="s">
        <v>97</v>
      </c>
      <c r="M5560" s="604">
        <v>13</v>
      </c>
      <c r="N5560" s="604">
        <v>1999</v>
      </c>
      <c r="O5560" s="604">
        <v>6.5</v>
      </c>
      <c r="P5560" s="604" t="s">
        <v>48</v>
      </c>
    </row>
    <row r="5561" spans="9:16">
      <c r="I5561" s="696" t="str">
        <f t="shared" si="232"/>
        <v>2006dhbWairarapaInfant</v>
      </c>
      <c r="J5561" s="604">
        <v>2006</v>
      </c>
      <c r="K5561" s="604" t="s">
        <v>448</v>
      </c>
      <c r="L5561" s="604" t="s">
        <v>98</v>
      </c>
      <c r="M5561" s="604">
        <v>4</v>
      </c>
      <c r="N5561" s="604">
        <v>523</v>
      </c>
      <c r="O5561" s="604">
        <v>7.6</v>
      </c>
      <c r="P5561" s="604" t="s">
        <v>48</v>
      </c>
    </row>
    <row r="5562" spans="9:16">
      <c r="I5562" s="696" t="str">
        <f t="shared" si="232"/>
        <v>2006dhbNelson MarlboroughInfant</v>
      </c>
      <c r="J5562" s="604">
        <v>2006</v>
      </c>
      <c r="K5562" s="604" t="s">
        <v>448</v>
      </c>
      <c r="L5562" s="604" t="s">
        <v>99</v>
      </c>
      <c r="M5562" s="604">
        <v>6</v>
      </c>
      <c r="N5562" s="604">
        <v>1569</v>
      </c>
      <c r="O5562" s="604">
        <v>3.8</v>
      </c>
      <c r="P5562" s="604" t="s">
        <v>48</v>
      </c>
    </row>
    <row r="5563" spans="9:16">
      <c r="I5563" s="696" t="str">
        <f t="shared" si="232"/>
        <v>2006dhbWest CoastInfant</v>
      </c>
      <c r="J5563" s="604">
        <v>2006</v>
      </c>
      <c r="K5563" s="604" t="s">
        <v>448</v>
      </c>
      <c r="L5563" s="604" t="s">
        <v>100</v>
      </c>
      <c r="M5563" s="604">
        <v>3</v>
      </c>
      <c r="N5563" s="604">
        <v>398</v>
      </c>
      <c r="O5563" s="604">
        <v>7.5</v>
      </c>
      <c r="P5563" s="604" t="s">
        <v>48</v>
      </c>
    </row>
    <row r="5564" spans="9:16">
      <c r="I5564" s="696" t="str">
        <f t="shared" si="232"/>
        <v>2006dhbCanterburyInfant</v>
      </c>
      <c r="J5564" s="604">
        <v>2006</v>
      </c>
      <c r="K5564" s="604" t="s">
        <v>448</v>
      </c>
      <c r="L5564" s="604" t="s">
        <v>101</v>
      </c>
      <c r="M5564" s="604">
        <v>22</v>
      </c>
      <c r="N5564" s="604">
        <v>6204</v>
      </c>
      <c r="O5564" s="604">
        <v>3.5</v>
      </c>
      <c r="P5564" s="604" t="s">
        <v>48</v>
      </c>
    </row>
    <row r="5565" spans="9:16">
      <c r="I5565" s="696" t="str">
        <f t="shared" si="232"/>
        <v>2006dhbSouth CanterburyInfant</v>
      </c>
      <c r="J5565" s="604">
        <v>2006</v>
      </c>
      <c r="K5565" s="604" t="s">
        <v>448</v>
      </c>
      <c r="L5565" s="604" t="s">
        <v>102</v>
      </c>
      <c r="M5565" s="604">
        <v>1</v>
      </c>
      <c r="N5565" s="604">
        <v>606</v>
      </c>
      <c r="O5565" s="604">
        <v>1.7</v>
      </c>
      <c r="P5565" s="604" t="s">
        <v>48</v>
      </c>
    </row>
    <row r="5566" spans="9:16">
      <c r="I5566" s="696" t="str">
        <f t="shared" si="232"/>
        <v>2006dhbSouthernInfant</v>
      </c>
      <c r="J5566" s="604">
        <v>2006</v>
      </c>
      <c r="K5566" s="604" t="s">
        <v>448</v>
      </c>
      <c r="L5566" s="604" t="s">
        <v>103</v>
      </c>
      <c r="M5566" s="604">
        <v>22</v>
      </c>
      <c r="N5566" s="604">
        <v>3441</v>
      </c>
      <c r="O5566" s="604">
        <v>6.4</v>
      </c>
      <c r="P5566" s="604" t="s">
        <v>48</v>
      </c>
    </row>
    <row r="5567" spans="9:16">
      <c r="I5567" s="696" t="str">
        <f t="shared" si="232"/>
        <v>2006dhbUnknownInfant</v>
      </c>
      <c r="J5567" s="604">
        <v>2006</v>
      </c>
      <c r="K5567" s="604" t="s">
        <v>448</v>
      </c>
      <c r="L5567" s="604" t="s">
        <v>63</v>
      </c>
      <c r="M5567" s="604">
        <v>3</v>
      </c>
      <c r="N5567" s="604">
        <v>354</v>
      </c>
      <c r="O5567" s="604" t="s">
        <v>119</v>
      </c>
      <c r="P5567" s="604" t="s">
        <v>48</v>
      </c>
    </row>
    <row r="5568" spans="9:16">
      <c r="I5568" s="696" t="str">
        <f t="shared" si="232"/>
        <v>2007dhbNorthlandInfant</v>
      </c>
      <c r="J5568" s="604">
        <v>2007</v>
      </c>
      <c r="K5568" s="604" t="s">
        <v>448</v>
      </c>
      <c r="L5568" s="604" t="s">
        <v>85</v>
      </c>
      <c r="M5568" s="604">
        <v>12</v>
      </c>
      <c r="N5568" s="604">
        <v>2372</v>
      </c>
      <c r="O5568" s="604">
        <v>5.0999999999999996</v>
      </c>
      <c r="P5568" s="604" t="s">
        <v>48</v>
      </c>
    </row>
    <row r="5569" spans="9:16">
      <c r="I5569" s="696" t="str">
        <f t="shared" si="232"/>
        <v>2007dhbWaitemataInfant</v>
      </c>
      <c r="J5569" s="604">
        <v>2007</v>
      </c>
      <c r="K5569" s="604" t="s">
        <v>448</v>
      </c>
      <c r="L5569" s="604" t="s">
        <v>86</v>
      </c>
      <c r="M5569" s="604">
        <v>15</v>
      </c>
      <c r="N5569" s="604">
        <v>7829</v>
      </c>
      <c r="O5569" s="604">
        <v>1.9</v>
      </c>
      <c r="P5569" s="604" t="s">
        <v>48</v>
      </c>
    </row>
    <row r="5570" spans="9:16">
      <c r="I5570" s="696" t="str">
        <f t="shared" si="232"/>
        <v>2007dhbAucklandInfant</v>
      </c>
      <c r="J5570" s="604">
        <v>2007</v>
      </c>
      <c r="K5570" s="604" t="s">
        <v>448</v>
      </c>
      <c r="L5570" s="604" t="s">
        <v>87</v>
      </c>
      <c r="M5570" s="604">
        <v>33</v>
      </c>
      <c r="N5570" s="604">
        <v>6738</v>
      </c>
      <c r="O5570" s="604">
        <v>4.9000000000000004</v>
      </c>
      <c r="P5570" s="604" t="s">
        <v>48</v>
      </c>
    </row>
    <row r="5571" spans="9:16">
      <c r="I5571" s="696" t="str">
        <f t="shared" si="232"/>
        <v>2007dhbCounties ManukauInfant</v>
      </c>
      <c r="J5571" s="604">
        <v>2007</v>
      </c>
      <c r="K5571" s="604" t="s">
        <v>448</v>
      </c>
      <c r="L5571" s="604" t="s">
        <v>88</v>
      </c>
      <c r="M5571" s="604">
        <v>58</v>
      </c>
      <c r="N5571" s="604">
        <v>8998</v>
      </c>
      <c r="O5571" s="604">
        <v>6.4</v>
      </c>
      <c r="P5571" s="604" t="s">
        <v>48</v>
      </c>
    </row>
    <row r="5572" spans="9:16">
      <c r="I5572" s="696" t="str">
        <f t="shared" ref="I5572:I5635" si="233">J5572&amp;K5572&amp;L5572&amp;P5572</f>
        <v>2007dhbWaikatoInfant</v>
      </c>
      <c r="J5572" s="604">
        <v>2007</v>
      </c>
      <c r="K5572" s="604" t="s">
        <v>448</v>
      </c>
      <c r="L5572" s="604" t="s">
        <v>89</v>
      </c>
      <c r="M5572" s="604">
        <v>34</v>
      </c>
      <c r="N5572" s="604">
        <v>5630</v>
      </c>
      <c r="O5572" s="604">
        <v>6</v>
      </c>
      <c r="P5572" s="604" t="s">
        <v>48</v>
      </c>
    </row>
    <row r="5573" spans="9:16">
      <c r="I5573" s="696" t="str">
        <f t="shared" si="233"/>
        <v>2007dhbLakesInfant</v>
      </c>
      <c r="J5573" s="604">
        <v>2007</v>
      </c>
      <c r="K5573" s="604" t="s">
        <v>448</v>
      </c>
      <c r="L5573" s="604" t="s">
        <v>90</v>
      </c>
      <c r="M5573" s="604">
        <v>19</v>
      </c>
      <c r="N5573" s="604">
        <v>1692</v>
      </c>
      <c r="O5573" s="604">
        <v>11.2</v>
      </c>
      <c r="P5573" s="604" t="s">
        <v>48</v>
      </c>
    </row>
    <row r="5574" spans="9:16">
      <c r="I5574" s="696" t="str">
        <f t="shared" si="233"/>
        <v>2007dhbBay of PlentyInfant</v>
      </c>
      <c r="J5574" s="604">
        <v>2007</v>
      </c>
      <c r="K5574" s="604" t="s">
        <v>448</v>
      </c>
      <c r="L5574" s="604" t="s">
        <v>91</v>
      </c>
      <c r="M5574" s="604">
        <v>18</v>
      </c>
      <c r="N5574" s="604">
        <v>3050</v>
      </c>
      <c r="O5574" s="604">
        <v>5.9</v>
      </c>
      <c r="P5574" s="604" t="s">
        <v>48</v>
      </c>
    </row>
    <row r="5575" spans="9:16">
      <c r="I5575" s="696" t="str">
        <f t="shared" si="233"/>
        <v>2007dhbTairawhitiInfant</v>
      </c>
      <c r="J5575" s="604">
        <v>2007</v>
      </c>
      <c r="K5575" s="604" t="s">
        <v>448</v>
      </c>
      <c r="L5575" s="604" t="s">
        <v>433</v>
      </c>
      <c r="M5575" s="604">
        <v>3</v>
      </c>
      <c r="N5575" s="604">
        <v>836</v>
      </c>
      <c r="O5575" s="604">
        <v>3.6</v>
      </c>
      <c r="P5575" s="604" t="s">
        <v>48</v>
      </c>
    </row>
    <row r="5576" spans="9:16">
      <c r="I5576" s="696" t="str">
        <f t="shared" si="233"/>
        <v>2007dhbHawke's BayInfant</v>
      </c>
      <c r="J5576" s="604">
        <v>2007</v>
      </c>
      <c r="K5576" s="604" t="s">
        <v>448</v>
      </c>
      <c r="L5576" s="604" t="s">
        <v>92</v>
      </c>
      <c r="M5576" s="604">
        <v>9</v>
      </c>
      <c r="N5576" s="604">
        <v>2379</v>
      </c>
      <c r="O5576" s="604">
        <v>3.8</v>
      </c>
      <c r="P5576" s="604" t="s">
        <v>48</v>
      </c>
    </row>
    <row r="5577" spans="9:16">
      <c r="I5577" s="696" t="str">
        <f t="shared" si="233"/>
        <v>2007dhbTaranakiInfant</v>
      </c>
      <c r="J5577" s="604">
        <v>2007</v>
      </c>
      <c r="K5577" s="604" t="s">
        <v>448</v>
      </c>
      <c r="L5577" s="604" t="s">
        <v>93</v>
      </c>
      <c r="M5577" s="604">
        <v>8</v>
      </c>
      <c r="N5577" s="604">
        <v>1626</v>
      </c>
      <c r="O5577" s="604">
        <v>4.9000000000000004</v>
      </c>
      <c r="P5577" s="604" t="s">
        <v>48</v>
      </c>
    </row>
    <row r="5578" spans="9:16">
      <c r="I5578" s="696" t="str">
        <f t="shared" si="233"/>
        <v>2007dhbMidCentralInfant</v>
      </c>
      <c r="J5578" s="604">
        <v>2007</v>
      </c>
      <c r="K5578" s="604" t="s">
        <v>448</v>
      </c>
      <c r="L5578" s="604" t="s">
        <v>94</v>
      </c>
      <c r="M5578" s="604">
        <v>9</v>
      </c>
      <c r="N5578" s="604">
        <v>2350</v>
      </c>
      <c r="O5578" s="604">
        <v>3.8</v>
      </c>
      <c r="P5578" s="604" t="s">
        <v>48</v>
      </c>
    </row>
    <row r="5579" spans="9:16">
      <c r="I5579" s="696" t="str">
        <f t="shared" si="233"/>
        <v>2007dhbWhanganuiInfant</v>
      </c>
      <c r="J5579" s="604">
        <v>2007</v>
      </c>
      <c r="K5579" s="604" t="s">
        <v>448</v>
      </c>
      <c r="L5579" s="604" t="s">
        <v>95</v>
      </c>
      <c r="M5579" s="604">
        <v>4</v>
      </c>
      <c r="N5579" s="604">
        <v>905</v>
      </c>
      <c r="O5579" s="604">
        <v>4.4000000000000004</v>
      </c>
      <c r="P5579" s="604" t="s">
        <v>48</v>
      </c>
    </row>
    <row r="5580" spans="9:16">
      <c r="I5580" s="696" t="str">
        <f t="shared" si="233"/>
        <v>2007dhbCapital &amp; CoastInfant</v>
      </c>
      <c r="J5580" s="604">
        <v>2007</v>
      </c>
      <c r="K5580" s="604" t="s">
        <v>448</v>
      </c>
      <c r="L5580" s="604" t="s">
        <v>96</v>
      </c>
      <c r="M5580" s="604">
        <v>18</v>
      </c>
      <c r="N5580" s="604">
        <v>4056</v>
      </c>
      <c r="O5580" s="604">
        <v>4.4000000000000004</v>
      </c>
      <c r="P5580" s="604" t="s">
        <v>48</v>
      </c>
    </row>
    <row r="5581" spans="9:16">
      <c r="I5581" s="696" t="str">
        <f t="shared" si="233"/>
        <v>2007dhbHutt ValleyInfant</v>
      </c>
      <c r="J5581" s="604">
        <v>2007</v>
      </c>
      <c r="K5581" s="604" t="s">
        <v>448</v>
      </c>
      <c r="L5581" s="604" t="s">
        <v>97</v>
      </c>
      <c r="M5581" s="604">
        <v>14</v>
      </c>
      <c r="N5581" s="604">
        <v>2264</v>
      </c>
      <c r="O5581" s="604">
        <v>6.2</v>
      </c>
      <c r="P5581" s="604" t="s">
        <v>48</v>
      </c>
    </row>
    <row r="5582" spans="9:16">
      <c r="I5582" s="696" t="str">
        <f t="shared" si="233"/>
        <v>2007dhbWairarapaInfant</v>
      </c>
      <c r="J5582" s="604">
        <v>2007</v>
      </c>
      <c r="K5582" s="604" t="s">
        <v>448</v>
      </c>
      <c r="L5582" s="604" t="s">
        <v>98</v>
      </c>
      <c r="M5582" s="604">
        <v>2</v>
      </c>
      <c r="N5582" s="604">
        <v>539</v>
      </c>
      <c r="O5582" s="604">
        <v>3.7</v>
      </c>
      <c r="P5582" s="604" t="s">
        <v>48</v>
      </c>
    </row>
    <row r="5583" spans="9:16">
      <c r="I5583" s="696" t="str">
        <f t="shared" si="233"/>
        <v>2007dhbNelson MarlboroughInfant</v>
      </c>
      <c r="J5583" s="604">
        <v>2007</v>
      </c>
      <c r="K5583" s="604" t="s">
        <v>448</v>
      </c>
      <c r="L5583" s="604" t="s">
        <v>99</v>
      </c>
      <c r="M5583" s="604">
        <v>12</v>
      </c>
      <c r="N5583" s="604">
        <v>1718</v>
      </c>
      <c r="O5583" s="604">
        <v>7</v>
      </c>
      <c r="P5583" s="604" t="s">
        <v>48</v>
      </c>
    </row>
    <row r="5584" spans="9:16">
      <c r="I5584" s="696" t="str">
        <f t="shared" si="233"/>
        <v>2007dhbWest CoastInfant</v>
      </c>
      <c r="J5584" s="604">
        <v>2007</v>
      </c>
      <c r="K5584" s="604" t="s">
        <v>448</v>
      </c>
      <c r="L5584" s="604" t="s">
        <v>100</v>
      </c>
      <c r="M5584" s="604">
        <v>3</v>
      </c>
      <c r="N5584" s="604">
        <v>408</v>
      </c>
      <c r="O5584" s="604">
        <v>7.4</v>
      </c>
      <c r="P5584" s="604" t="s">
        <v>48</v>
      </c>
    </row>
    <row r="5585" spans="9:16">
      <c r="I5585" s="696" t="str">
        <f t="shared" si="233"/>
        <v>2007dhbCanterburyInfant</v>
      </c>
      <c r="J5585" s="604">
        <v>2007</v>
      </c>
      <c r="K5585" s="604" t="s">
        <v>448</v>
      </c>
      <c r="L5585" s="604" t="s">
        <v>101</v>
      </c>
      <c r="M5585" s="604">
        <v>27</v>
      </c>
      <c r="N5585" s="604">
        <v>6908</v>
      </c>
      <c r="O5585" s="604">
        <v>3.9</v>
      </c>
      <c r="P5585" s="604" t="s">
        <v>48</v>
      </c>
    </row>
    <row r="5586" spans="9:16">
      <c r="I5586" s="696" t="str">
        <f t="shared" si="233"/>
        <v>2007dhbSouth CanterburyInfant</v>
      </c>
      <c r="J5586" s="604">
        <v>2007</v>
      </c>
      <c r="K5586" s="604" t="s">
        <v>448</v>
      </c>
      <c r="L5586" s="604" t="s">
        <v>102</v>
      </c>
      <c r="M5586" s="604">
        <v>1</v>
      </c>
      <c r="N5586" s="604">
        <v>675</v>
      </c>
      <c r="O5586" s="604">
        <v>1.5</v>
      </c>
      <c r="P5586" s="604" t="s">
        <v>48</v>
      </c>
    </row>
    <row r="5587" spans="9:16">
      <c r="I5587" s="696" t="str">
        <f t="shared" si="233"/>
        <v>2007dhbSouthernInfant</v>
      </c>
      <c r="J5587" s="604">
        <v>2007</v>
      </c>
      <c r="K5587" s="604" t="s">
        <v>448</v>
      </c>
      <c r="L5587" s="604" t="s">
        <v>103</v>
      </c>
      <c r="M5587" s="604">
        <v>12</v>
      </c>
      <c r="N5587" s="604">
        <v>3742</v>
      </c>
      <c r="O5587" s="604">
        <v>3.2</v>
      </c>
      <c r="P5587" s="604" t="s">
        <v>48</v>
      </c>
    </row>
    <row r="5588" spans="9:16">
      <c r="I5588" s="696" t="str">
        <f t="shared" si="233"/>
        <v>2007dhbUnknownInfant</v>
      </c>
      <c r="J5588" s="604">
        <v>2007</v>
      </c>
      <c r="K5588" s="604" t="s">
        <v>448</v>
      </c>
      <c r="L5588" s="604" t="s">
        <v>63</v>
      </c>
      <c r="M5588" s="604">
        <v>1</v>
      </c>
      <c r="N5588" s="604">
        <v>406</v>
      </c>
      <c r="O5588" s="604" t="s">
        <v>119</v>
      </c>
      <c r="P5588" s="604" t="s">
        <v>48</v>
      </c>
    </row>
    <row r="5589" spans="9:16">
      <c r="I5589" s="696" t="str">
        <f t="shared" si="233"/>
        <v>2008dhbNorthlandInfant</v>
      </c>
      <c r="J5589" s="604">
        <v>2008</v>
      </c>
      <c r="K5589" s="604" t="s">
        <v>448</v>
      </c>
      <c r="L5589" s="604" t="s">
        <v>85</v>
      </c>
      <c r="M5589" s="604">
        <v>18</v>
      </c>
      <c r="N5589" s="604">
        <v>2368</v>
      </c>
      <c r="O5589" s="604">
        <v>7.6</v>
      </c>
      <c r="P5589" s="604" t="s">
        <v>48</v>
      </c>
    </row>
    <row r="5590" spans="9:16">
      <c r="I5590" s="696" t="str">
        <f t="shared" si="233"/>
        <v>2008dhbWaitemataInfant</v>
      </c>
      <c r="J5590" s="604">
        <v>2008</v>
      </c>
      <c r="K5590" s="604" t="s">
        <v>448</v>
      </c>
      <c r="L5590" s="604" t="s">
        <v>86</v>
      </c>
      <c r="M5590" s="604">
        <v>28</v>
      </c>
      <c r="N5590" s="604">
        <v>7944</v>
      </c>
      <c r="O5590" s="604">
        <v>3.5</v>
      </c>
      <c r="P5590" s="604" t="s">
        <v>48</v>
      </c>
    </row>
    <row r="5591" spans="9:16">
      <c r="I5591" s="696" t="str">
        <f t="shared" si="233"/>
        <v>2008dhbAucklandInfant</v>
      </c>
      <c r="J5591" s="604">
        <v>2008</v>
      </c>
      <c r="K5591" s="604" t="s">
        <v>448</v>
      </c>
      <c r="L5591" s="604" t="s">
        <v>87</v>
      </c>
      <c r="M5591" s="604">
        <v>38</v>
      </c>
      <c r="N5591" s="604">
        <v>6588</v>
      </c>
      <c r="O5591" s="604">
        <v>5.8</v>
      </c>
      <c r="P5591" s="604" t="s">
        <v>48</v>
      </c>
    </row>
    <row r="5592" spans="9:16">
      <c r="I5592" s="696" t="str">
        <f t="shared" si="233"/>
        <v>2008dhbCounties ManukauInfant</v>
      </c>
      <c r="J5592" s="604">
        <v>2008</v>
      </c>
      <c r="K5592" s="604" t="s">
        <v>448</v>
      </c>
      <c r="L5592" s="604" t="s">
        <v>88</v>
      </c>
      <c r="M5592" s="604">
        <v>45</v>
      </c>
      <c r="N5592" s="604">
        <v>9052</v>
      </c>
      <c r="O5592" s="604">
        <v>5</v>
      </c>
      <c r="P5592" s="604" t="s">
        <v>48</v>
      </c>
    </row>
    <row r="5593" spans="9:16">
      <c r="I5593" s="696" t="str">
        <f t="shared" si="233"/>
        <v>2008dhbWaikatoInfant</v>
      </c>
      <c r="J5593" s="604">
        <v>2008</v>
      </c>
      <c r="K5593" s="604" t="s">
        <v>448</v>
      </c>
      <c r="L5593" s="604" t="s">
        <v>89</v>
      </c>
      <c r="M5593" s="604">
        <v>33</v>
      </c>
      <c r="N5593" s="604">
        <v>5843</v>
      </c>
      <c r="O5593" s="604">
        <v>5.6</v>
      </c>
      <c r="P5593" s="604" t="s">
        <v>48</v>
      </c>
    </row>
    <row r="5594" spans="9:16">
      <c r="I5594" s="696" t="str">
        <f t="shared" si="233"/>
        <v>2008dhbLakesInfant</v>
      </c>
      <c r="J5594" s="604">
        <v>2008</v>
      </c>
      <c r="K5594" s="604" t="s">
        <v>448</v>
      </c>
      <c r="L5594" s="604" t="s">
        <v>90</v>
      </c>
      <c r="M5594" s="604">
        <v>14</v>
      </c>
      <c r="N5594" s="604">
        <v>1726</v>
      </c>
      <c r="O5594" s="604">
        <v>8.1</v>
      </c>
      <c r="P5594" s="604" t="s">
        <v>48</v>
      </c>
    </row>
    <row r="5595" spans="9:16">
      <c r="I5595" s="696" t="str">
        <f t="shared" si="233"/>
        <v>2008dhbBay of PlentyInfant</v>
      </c>
      <c r="J5595" s="604">
        <v>2008</v>
      </c>
      <c r="K5595" s="604" t="s">
        <v>448</v>
      </c>
      <c r="L5595" s="604" t="s">
        <v>91</v>
      </c>
      <c r="M5595" s="604">
        <v>21</v>
      </c>
      <c r="N5595" s="604">
        <v>3047</v>
      </c>
      <c r="O5595" s="604">
        <v>6.9</v>
      </c>
      <c r="P5595" s="604" t="s">
        <v>48</v>
      </c>
    </row>
    <row r="5596" spans="9:16">
      <c r="I5596" s="696" t="str">
        <f t="shared" si="233"/>
        <v>2008dhbTairawhitiInfant</v>
      </c>
      <c r="J5596" s="604">
        <v>2008</v>
      </c>
      <c r="K5596" s="604" t="s">
        <v>448</v>
      </c>
      <c r="L5596" s="604" t="s">
        <v>433</v>
      </c>
      <c r="M5596" s="604">
        <v>3</v>
      </c>
      <c r="N5596" s="604">
        <v>862</v>
      </c>
      <c r="O5596" s="604">
        <v>3.5</v>
      </c>
      <c r="P5596" s="604" t="s">
        <v>48</v>
      </c>
    </row>
    <row r="5597" spans="9:16">
      <c r="I5597" s="696" t="str">
        <f t="shared" si="233"/>
        <v>2008dhbHawke's BayInfant</v>
      </c>
      <c r="J5597" s="604">
        <v>2008</v>
      </c>
      <c r="K5597" s="604" t="s">
        <v>448</v>
      </c>
      <c r="L5597" s="604" t="s">
        <v>92</v>
      </c>
      <c r="M5597" s="604">
        <v>14</v>
      </c>
      <c r="N5597" s="604">
        <v>2404</v>
      </c>
      <c r="O5597" s="604">
        <v>5.8</v>
      </c>
      <c r="P5597" s="604" t="s">
        <v>48</v>
      </c>
    </row>
    <row r="5598" spans="9:16">
      <c r="I5598" s="696" t="str">
        <f t="shared" si="233"/>
        <v>2008dhbTaranakiInfant</v>
      </c>
      <c r="J5598" s="604">
        <v>2008</v>
      </c>
      <c r="K5598" s="604" t="s">
        <v>448</v>
      </c>
      <c r="L5598" s="604" t="s">
        <v>93</v>
      </c>
      <c r="M5598" s="604">
        <v>10</v>
      </c>
      <c r="N5598" s="604">
        <v>1623</v>
      </c>
      <c r="O5598" s="604">
        <v>6.2</v>
      </c>
      <c r="P5598" s="604" t="s">
        <v>48</v>
      </c>
    </row>
    <row r="5599" spans="9:16">
      <c r="I5599" s="696" t="str">
        <f t="shared" si="233"/>
        <v>2008dhbMidCentralInfant</v>
      </c>
      <c r="J5599" s="604">
        <v>2008</v>
      </c>
      <c r="K5599" s="604" t="s">
        <v>448</v>
      </c>
      <c r="L5599" s="604" t="s">
        <v>94</v>
      </c>
      <c r="M5599" s="604">
        <v>13</v>
      </c>
      <c r="N5599" s="604">
        <v>2458</v>
      </c>
      <c r="O5599" s="604">
        <v>5.3</v>
      </c>
      <c r="P5599" s="604" t="s">
        <v>48</v>
      </c>
    </row>
    <row r="5600" spans="9:16">
      <c r="I5600" s="696" t="str">
        <f t="shared" si="233"/>
        <v>2008dhbWhanganuiInfant</v>
      </c>
      <c r="J5600" s="604">
        <v>2008</v>
      </c>
      <c r="K5600" s="604" t="s">
        <v>448</v>
      </c>
      <c r="L5600" s="604" t="s">
        <v>95</v>
      </c>
      <c r="M5600" s="604">
        <v>6</v>
      </c>
      <c r="N5600" s="604">
        <v>950</v>
      </c>
      <c r="O5600" s="604">
        <v>6.3</v>
      </c>
      <c r="P5600" s="604" t="s">
        <v>48</v>
      </c>
    </row>
    <row r="5601" spans="9:16">
      <c r="I5601" s="696" t="str">
        <f t="shared" si="233"/>
        <v>2008dhbCapital &amp; CoastInfant</v>
      </c>
      <c r="J5601" s="604">
        <v>2008</v>
      </c>
      <c r="K5601" s="604" t="s">
        <v>448</v>
      </c>
      <c r="L5601" s="604" t="s">
        <v>96</v>
      </c>
      <c r="M5601" s="604">
        <v>15</v>
      </c>
      <c r="N5601" s="604">
        <v>4133</v>
      </c>
      <c r="O5601" s="604">
        <v>3.6</v>
      </c>
      <c r="P5601" s="604" t="s">
        <v>48</v>
      </c>
    </row>
    <row r="5602" spans="9:16">
      <c r="I5602" s="696" t="str">
        <f t="shared" si="233"/>
        <v>2008dhbHutt ValleyInfant</v>
      </c>
      <c r="J5602" s="604">
        <v>2008</v>
      </c>
      <c r="K5602" s="604" t="s">
        <v>448</v>
      </c>
      <c r="L5602" s="604" t="s">
        <v>97</v>
      </c>
      <c r="M5602" s="604">
        <v>14</v>
      </c>
      <c r="N5602" s="604">
        <v>2249</v>
      </c>
      <c r="O5602" s="604">
        <v>6.2</v>
      </c>
      <c r="P5602" s="604" t="s">
        <v>48</v>
      </c>
    </row>
    <row r="5603" spans="9:16">
      <c r="I5603" s="696" t="str">
        <f t="shared" si="233"/>
        <v>2008dhbWairarapaInfant</v>
      </c>
      <c r="J5603" s="604">
        <v>2008</v>
      </c>
      <c r="K5603" s="604" t="s">
        <v>448</v>
      </c>
      <c r="L5603" s="604" t="s">
        <v>98</v>
      </c>
      <c r="M5603" s="604">
        <v>1</v>
      </c>
      <c r="N5603" s="604">
        <v>530</v>
      </c>
      <c r="O5603" s="604">
        <v>1.9</v>
      </c>
      <c r="P5603" s="604" t="s">
        <v>48</v>
      </c>
    </row>
    <row r="5604" spans="9:16">
      <c r="I5604" s="696" t="str">
        <f t="shared" si="233"/>
        <v>2008dhbNelson MarlboroughInfant</v>
      </c>
      <c r="J5604" s="604">
        <v>2008</v>
      </c>
      <c r="K5604" s="604" t="s">
        <v>448</v>
      </c>
      <c r="L5604" s="604" t="s">
        <v>99</v>
      </c>
      <c r="M5604" s="604">
        <v>1</v>
      </c>
      <c r="N5604" s="604">
        <v>1756</v>
      </c>
      <c r="O5604" s="604">
        <v>0.6</v>
      </c>
      <c r="P5604" s="604" t="s">
        <v>48</v>
      </c>
    </row>
    <row r="5605" spans="9:16">
      <c r="I5605" s="696" t="str">
        <f t="shared" si="233"/>
        <v>2008dhbWest CoastInfant</v>
      </c>
      <c r="J5605" s="604">
        <v>2008</v>
      </c>
      <c r="K5605" s="604" t="s">
        <v>448</v>
      </c>
      <c r="L5605" s="604" t="s">
        <v>100</v>
      </c>
      <c r="M5605" s="604">
        <v>2</v>
      </c>
      <c r="N5605" s="604">
        <v>452</v>
      </c>
      <c r="O5605" s="604">
        <v>4.4000000000000004</v>
      </c>
      <c r="P5605" s="604" t="s">
        <v>48</v>
      </c>
    </row>
    <row r="5606" spans="9:16">
      <c r="I5606" s="696" t="str">
        <f t="shared" si="233"/>
        <v>2008dhbCanterburyInfant</v>
      </c>
      <c r="J5606" s="604">
        <v>2008</v>
      </c>
      <c r="K5606" s="604" t="s">
        <v>448</v>
      </c>
      <c r="L5606" s="604" t="s">
        <v>101</v>
      </c>
      <c r="M5606" s="604">
        <v>27</v>
      </c>
      <c r="N5606" s="604">
        <v>6665</v>
      </c>
      <c r="O5606" s="604">
        <v>4.0999999999999996</v>
      </c>
      <c r="P5606" s="604" t="s">
        <v>48</v>
      </c>
    </row>
    <row r="5607" spans="9:16">
      <c r="I5607" s="696" t="str">
        <f t="shared" si="233"/>
        <v>2008dhbSouth CanterburyInfant</v>
      </c>
      <c r="J5607" s="604">
        <v>2008</v>
      </c>
      <c r="K5607" s="604" t="s">
        <v>448</v>
      </c>
      <c r="L5607" s="604" t="s">
        <v>102</v>
      </c>
      <c r="M5607" s="604">
        <v>3</v>
      </c>
      <c r="N5607" s="604">
        <v>643</v>
      </c>
      <c r="O5607" s="604">
        <v>4.7</v>
      </c>
      <c r="P5607" s="604" t="s">
        <v>48</v>
      </c>
    </row>
    <row r="5608" spans="9:16">
      <c r="I5608" s="696" t="str">
        <f t="shared" si="233"/>
        <v>2008dhbSouthernInfant</v>
      </c>
      <c r="J5608" s="604">
        <v>2008</v>
      </c>
      <c r="K5608" s="604" t="s">
        <v>448</v>
      </c>
      <c r="L5608" s="604" t="s">
        <v>103</v>
      </c>
      <c r="M5608" s="604">
        <v>13</v>
      </c>
      <c r="N5608" s="604">
        <v>3746</v>
      </c>
      <c r="O5608" s="604">
        <v>3.5</v>
      </c>
      <c r="P5608" s="604" t="s">
        <v>48</v>
      </c>
    </row>
    <row r="5609" spans="9:16">
      <c r="I5609" s="696" t="str">
        <f t="shared" si="233"/>
        <v>2008dhbUnknownInfant</v>
      </c>
      <c r="J5609" s="604">
        <v>2008</v>
      </c>
      <c r="K5609" s="604" t="s">
        <v>448</v>
      </c>
      <c r="L5609" s="604" t="s">
        <v>63</v>
      </c>
      <c r="M5609" s="604">
        <v>4</v>
      </c>
      <c r="N5609" s="604">
        <v>294</v>
      </c>
      <c r="O5609" s="604" t="s">
        <v>119</v>
      </c>
      <c r="P5609" s="604" t="s">
        <v>48</v>
      </c>
    </row>
    <row r="5610" spans="9:16">
      <c r="I5610" s="696" t="str">
        <f t="shared" si="233"/>
        <v>2009dhbNorthlandInfant</v>
      </c>
      <c r="J5610" s="604">
        <v>2009</v>
      </c>
      <c r="K5610" s="604" t="s">
        <v>448</v>
      </c>
      <c r="L5610" s="604" t="s">
        <v>85</v>
      </c>
      <c r="M5610" s="604">
        <v>17</v>
      </c>
      <c r="N5610" s="604">
        <v>2233</v>
      </c>
      <c r="O5610" s="604">
        <v>7.6</v>
      </c>
      <c r="P5610" s="604" t="s">
        <v>48</v>
      </c>
    </row>
    <row r="5611" spans="9:16">
      <c r="I5611" s="696" t="str">
        <f t="shared" si="233"/>
        <v>2009dhbWaitemataInfant</v>
      </c>
      <c r="J5611" s="604">
        <v>2009</v>
      </c>
      <c r="K5611" s="604" t="s">
        <v>448</v>
      </c>
      <c r="L5611" s="604" t="s">
        <v>86</v>
      </c>
      <c r="M5611" s="604">
        <v>24</v>
      </c>
      <c r="N5611" s="604">
        <v>7691</v>
      </c>
      <c r="O5611" s="604">
        <v>3.1</v>
      </c>
      <c r="P5611" s="604" t="s">
        <v>48</v>
      </c>
    </row>
    <row r="5612" spans="9:16">
      <c r="I5612" s="696" t="str">
        <f t="shared" si="233"/>
        <v>2009dhbAucklandInfant</v>
      </c>
      <c r="J5612" s="604">
        <v>2009</v>
      </c>
      <c r="K5612" s="604" t="s">
        <v>448</v>
      </c>
      <c r="L5612" s="604" t="s">
        <v>87</v>
      </c>
      <c r="M5612" s="604">
        <v>28</v>
      </c>
      <c r="N5612" s="604">
        <v>6732</v>
      </c>
      <c r="O5612" s="604">
        <v>4.2</v>
      </c>
      <c r="P5612" s="604" t="s">
        <v>48</v>
      </c>
    </row>
    <row r="5613" spans="9:16">
      <c r="I5613" s="696" t="str">
        <f t="shared" si="233"/>
        <v>2009dhbCounties ManukauInfant</v>
      </c>
      <c r="J5613" s="604">
        <v>2009</v>
      </c>
      <c r="K5613" s="604" t="s">
        <v>448</v>
      </c>
      <c r="L5613" s="604" t="s">
        <v>88</v>
      </c>
      <c r="M5613" s="604">
        <v>71</v>
      </c>
      <c r="N5613" s="604">
        <v>8600</v>
      </c>
      <c r="O5613" s="604">
        <v>8.3000000000000007</v>
      </c>
      <c r="P5613" s="604" t="s">
        <v>48</v>
      </c>
    </row>
    <row r="5614" spans="9:16">
      <c r="I5614" s="696" t="str">
        <f t="shared" si="233"/>
        <v>2009dhbWaikatoInfant</v>
      </c>
      <c r="J5614" s="604">
        <v>2009</v>
      </c>
      <c r="K5614" s="604" t="s">
        <v>448</v>
      </c>
      <c r="L5614" s="604" t="s">
        <v>89</v>
      </c>
      <c r="M5614" s="604">
        <v>38</v>
      </c>
      <c r="N5614" s="604">
        <v>5548</v>
      </c>
      <c r="O5614" s="604">
        <v>6.8</v>
      </c>
      <c r="P5614" s="604" t="s">
        <v>48</v>
      </c>
    </row>
    <row r="5615" spans="9:16">
      <c r="I5615" s="696" t="str">
        <f t="shared" si="233"/>
        <v>2009dhbLakesInfant</v>
      </c>
      <c r="J5615" s="604">
        <v>2009</v>
      </c>
      <c r="K5615" s="604" t="s">
        <v>448</v>
      </c>
      <c r="L5615" s="604" t="s">
        <v>90</v>
      </c>
      <c r="M5615" s="604">
        <v>9</v>
      </c>
      <c r="N5615" s="604">
        <v>1685</v>
      </c>
      <c r="O5615" s="604">
        <v>5.3</v>
      </c>
      <c r="P5615" s="604" t="s">
        <v>48</v>
      </c>
    </row>
    <row r="5616" spans="9:16">
      <c r="I5616" s="696" t="str">
        <f t="shared" si="233"/>
        <v>2009dhbBay of PlentyInfant</v>
      </c>
      <c r="J5616" s="604">
        <v>2009</v>
      </c>
      <c r="K5616" s="604" t="s">
        <v>448</v>
      </c>
      <c r="L5616" s="604" t="s">
        <v>91</v>
      </c>
      <c r="M5616" s="604">
        <v>15</v>
      </c>
      <c r="N5616" s="604">
        <v>2900</v>
      </c>
      <c r="O5616" s="604">
        <v>5.2</v>
      </c>
      <c r="P5616" s="604" t="s">
        <v>48</v>
      </c>
    </row>
    <row r="5617" spans="9:16">
      <c r="I5617" s="696" t="str">
        <f t="shared" si="233"/>
        <v>2009dhbTairawhitiInfant</v>
      </c>
      <c r="J5617" s="604">
        <v>2009</v>
      </c>
      <c r="K5617" s="604" t="s">
        <v>448</v>
      </c>
      <c r="L5617" s="604" t="s">
        <v>433</v>
      </c>
      <c r="M5617" s="604">
        <v>3</v>
      </c>
      <c r="N5617" s="604">
        <v>746</v>
      </c>
      <c r="O5617" s="604">
        <v>4</v>
      </c>
      <c r="P5617" s="604" t="s">
        <v>48</v>
      </c>
    </row>
    <row r="5618" spans="9:16">
      <c r="I5618" s="696" t="str">
        <f t="shared" si="233"/>
        <v>2009dhbHawke's BayInfant</v>
      </c>
      <c r="J5618" s="604">
        <v>2009</v>
      </c>
      <c r="K5618" s="604" t="s">
        <v>448</v>
      </c>
      <c r="L5618" s="604" t="s">
        <v>92</v>
      </c>
      <c r="M5618" s="604">
        <v>10</v>
      </c>
      <c r="N5618" s="604">
        <v>2395</v>
      </c>
      <c r="O5618" s="604">
        <v>4.2</v>
      </c>
      <c r="P5618" s="604" t="s">
        <v>48</v>
      </c>
    </row>
    <row r="5619" spans="9:16">
      <c r="I5619" s="696" t="str">
        <f t="shared" si="233"/>
        <v>2009dhbTaranakiInfant</v>
      </c>
      <c r="J5619" s="604">
        <v>2009</v>
      </c>
      <c r="K5619" s="604" t="s">
        <v>448</v>
      </c>
      <c r="L5619" s="604" t="s">
        <v>93</v>
      </c>
      <c r="M5619" s="604">
        <v>12</v>
      </c>
      <c r="N5619" s="604">
        <v>1601</v>
      </c>
      <c r="O5619" s="604">
        <v>7.5</v>
      </c>
      <c r="P5619" s="604" t="s">
        <v>48</v>
      </c>
    </row>
    <row r="5620" spans="9:16">
      <c r="I5620" s="696" t="str">
        <f t="shared" si="233"/>
        <v>2009dhbMidCentralInfant</v>
      </c>
      <c r="J5620" s="604">
        <v>2009</v>
      </c>
      <c r="K5620" s="604" t="s">
        <v>448</v>
      </c>
      <c r="L5620" s="604" t="s">
        <v>94</v>
      </c>
      <c r="M5620" s="604">
        <v>12</v>
      </c>
      <c r="N5620" s="604">
        <v>2204</v>
      </c>
      <c r="O5620" s="604">
        <v>5.4</v>
      </c>
      <c r="P5620" s="604" t="s">
        <v>48</v>
      </c>
    </row>
    <row r="5621" spans="9:16">
      <c r="I5621" s="696" t="str">
        <f t="shared" si="233"/>
        <v>2009dhbWhanganuiInfant</v>
      </c>
      <c r="J5621" s="604">
        <v>2009</v>
      </c>
      <c r="K5621" s="604" t="s">
        <v>448</v>
      </c>
      <c r="L5621" s="604" t="s">
        <v>95</v>
      </c>
      <c r="M5621" s="604">
        <v>7</v>
      </c>
      <c r="N5621" s="604">
        <v>927</v>
      </c>
      <c r="O5621" s="604">
        <v>7.6</v>
      </c>
      <c r="P5621" s="604" t="s">
        <v>48</v>
      </c>
    </row>
    <row r="5622" spans="9:16">
      <c r="I5622" s="696" t="str">
        <f t="shared" si="233"/>
        <v>2009dhbCapital &amp; CoastInfant</v>
      </c>
      <c r="J5622" s="604">
        <v>2009</v>
      </c>
      <c r="K5622" s="604" t="s">
        <v>448</v>
      </c>
      <c r="L5622" s="604" t="s">
        <v>96</v>
      </c>
      <c r="M5622" s="604">
        <v>19</v>
      </c>
      <c r="N5622" s="604">
        <v>3983</v>
      </c>
      <c r="O5622" s="604">
        <v>4.8</v>
      </c>
      <c r="P5622" s="604" t="s">
        <v>48</v>
      </c>
    </row>
    <row r="5623" spans="9:16">
      <c r="I5623" s="696" t="str">
        <f t="shared" si="233"/>
        <v>2009dhbHutt ValleyInfant</v>
      </c>
      <c r="J5623" s="604">
        <v>2009</v>
      </c>
      <c r="K5623" s="604" t="s">
        <v>448</v>
      </c>
      <c r="L5623" s="604" t="s">
        <v>97</v>
      </c>
      <c r="M5623" s="604">
        <v>14</v>
      </c>
      <c r="N5623" s="604">
        <v>2201</v>
      </c>
      <c r="O5623" s="604">
        <v>6.4</v>
      </c>
      <c r="P5623" s="604" t="s">
        <v>48</v>
      </c>
    </row>
    <row r="5624" spans="9:16">
      <c r="I5624" s="696" t="str">
        <f t="shared" si="233"/>
        <v>2009dhbWairarapaInfant</v>
      </c>
      <c r="J5624" s="604">
        <v>2009</v>
      </c>
      <c r="K5624" s="604" t="s">
        <v>448</v>
      </c>
      <c r="L5624" s="604" t="s">
        <v>98</v>
      </c>
      <c r="M5624" s="604">
        <v>4</v>
      </c>
      <c r="N5624" s="604">
        <v>555</v>
      </c>
      <c r="O5624" s="604">
        <v>7.2</v>
      </c>
      <c r="P5624" s="604" t="s">
        <v>48</v>
      </c>
    </row>
    <row r="5625" spans="9:16">
      <c r="I5625" s="696" t="str">
        <f t="shared" si="233"/>
        <v>2009dhbNelson MarlboroughInfant</v>
      </c>
      <c r="J5625" s="604">
        <v>2009</v>
      </c>
      <c r="K5625" s="604" t="s">
        <v>448</v>
      </c>
      <c r="L5625" s="604" t="s">
        <v>99</v>
      </c>
      <c r="M5625" s="604">
        <v>3</v>
      </c>
      <c r="N5625" s="604">
        <v>1660</v>
      </c>
      <c r="O5625" s="604">
        <v>1.8</v>
      </c>
      <c r="P5625" s="604" t="s">
        <v>48</v>
      </c>
    </row>
    <row r="5626" spans="9:16">
      <c r="I5626" s="696" t="str">
        <f t="shared" si="233"/>
        <v>2009dhbWest CoastInfant</v>
      </c>
      <c r="J5626" s="604">
        <v>2009</v>
      </c>
      <c r="K5626" s="604" t="s">
        <v>448</v>
      </c>
      <c r="L5626" s="604" t="s">
        <v>100</v>
      </c>
      <c r="M5626" s="604">
        <v>2</v>
      </c>
      <c r="N5626" s="604">
        <v>432</v>
      </c>
      <c r="O5626" s="604">
        <v>4.5999999999999996</v>
      </c>
      <c r="P5626" s="604" t="s">
        <v>48</v>
      </c>
    </row>
    <row r="5627" spans="9:16">
      <c r="I5627" s="696" t="str">
        <f t="shared" si="233"/>
        <v>2009dhbCanterburyInfant</v>
      </c>
      <c r="J5627" s="604">
        <v>2009</v>
      </c>
      <c r="K5627" s="604" t="s">
        <v>448</v>
      </c>
      <c r="L5627" s="604" t="s">
        <v>101</v>
      </c>
      <c r="M5627" s="604">
        <v>26</v>
      </c>
      <c r="N5627" s="604">
        <v>6533</v>
      </c>
      <c r="O5627" s="604">
        <v>4</v>
      </c>
      <c r="P5627" s="604" t="s">
        <v>48</v>
      </c>
    </row>
    <row r="5628" spans="9:16">
      <c r="I5628" s="696" t="str">
        <f t="shared" si="233"/>
        <v>2009dhbSouth CanterburyInfant</v>
      </c>
      <c r="J5628" s="604">
        <v>2009</v>
      </c>
      <c r="K5628" s="604" t="s">
        <v>448</v>
      </c>
      <c r="L5628" s="604" t="s">
        <v>102</v>
      </c>
      <c r="M5628" s="604">
        <v>6</v>
      </c>
      <c r="N5628" s="604">
        <v>654</v>
      </c>
      <c r="O5628" s="604">
        <v>9.1999999999999993</v>
      </c>
      <c r="P5628" s="604" t="s">
        <v>48</v>
      </c>
    </row>
    <row r="5629" spans="9:16">
      <c r="I5629" s="696" t="str">
        <f t="shared" si="233"/>
        <v>2009dhbSouthernInfant</v>
      </c>
      <c r="J5629" s="604">
        <v>2009</v>
      </c>
      <c r="K5629" s="604" t="s">
        <v>448</v>
      </c>
      <c r="L5629" s="604" t="s">
        <v>103</v>
      </c>
      <c r="M5629" s="604">
        <v>10</v>
      </c>
      <c r="N5629" s="604">
        <v>3733</v>
      </c>
      <c r="O5629" s="604">
        <v>2.7</v>
      </c>
      <c r="P5629" s="604" t="s">
        <v>48</v>
      </c>
    </row>
    <row r="5630" spans="9:16">
      <c r="I5630" s="696" t="str">
        <f t="shared" si="233"/>
        <v>2009dhbUnknownInfant</v>
      </c>
      <c r="J5630" s="604">
        <v>2009</v>
      </c>
      <c r="K5630" s="604" t="s">
        <v>448</v>
      </c>
      <c r="L5630" s="604" t="s">
        <v>63</v>
      </c>
      <c r="M5630" s="604">
        <v>2</v>
      </c>
      <c r="N5630" s="604">
        <v>272</v>
      </c>
      <c r="O5630" s="604" t="s">
        <v>119</v>
      </c>
      <c r="P5630" s="604" t="s">
        <v>48</v>
      </c>
    </row>
    <row r="5631" spans="9:16">
      <c r="I5631" s="696" t="str">
        <f t="shared" si="233"/>
        <v>2010dhbNorthlandInfant</v>
      </c>
      <c r="J5631" s="604">
        <v>2010</v>
      </c>
      <c r="K5631" s="604" t="s">
        <v>448</v>
      </c>
      <c r="L5631" s="604" t="s">
        <v>85</v>
      </c>
      <c r="M5631" s="604">
        <v>24</v>
      </c>
      <c r="N5631" s="604">
        <v>2456</v>
      </c>
      <c r="O5631" s="604">
        <v>9.8000000000000007</v>
      </c>
      <c r="P5631" s="604" t="s">
        <v>48</v>
      </c>
    </row>
    <row r="5632" spans="9:16">
      <c r="I5632" s="696" t="str">
        <f t="shared" si="233"/>
        <v>2010dhbWaitemataInfant</v>
      </c>
      <c r="J5632" s="604">
        <v>2010</v>
      </c>
      <c r="K5632" s="604" t="s">
        <v>448</v>
      </c>
      <c r="L5632" s="604" t="s">
        <v>86</v>
      </c>
      <c r="M5632" s="604">
        <v>37</v>
      </c>
      <c r="N5632" s="604">
        <v>8106</v>
      </c>
      <c r="O5632" s="604">
        <v>4.5999999999999996</v>
      </c>
      <c r="P5632" s="604" t="s">
        <v>48</v>
      </c>
    </row>
    <row r="5633" spans="9:16">
      <c r="I5633" s="696" t="str">
        <f t="shared" si="233"/>
        <v>2010dhbAucklandInfant</v>
      </c>
      <c r="J5633" s="604">
        <v>2010</v>
      </c>
      <c r="K5633" s="604" t="s">
        <v>448</v>
      </c>
      <c r="L5633" s="604" t="s">
        <v>87</v>
      </c>
      <c r="M5633" s="604">
        <v>28</v>
      </c>
      <c r="N5633" s="604">
        <v>6700</v>
      </c>
      <c r="O5633" s="604">
        <v>4.2</v>
      </c>
      <c r="P5633" s="604" t="s">
        <v>48</v>
      </c>
    </row>
    <row r="5634" spans="9:16">
      <c r="I5634" s="696" t="str">
        <f t="shared" si="233"/>
        <v>2010dhbCounties ManukauInfant</v>
      </c>
      <c r="J5634" s="604">
        <v>2010</v>
      </c>
      <c r="K5634" s="604" t="s">
        <v>448</v>
      </c>
      <c r="L5634" s="604" t="s">
        <v>88</v>
      </c>
      <c r="M5634" s="604">
        <v>51</v>
      </c>
      <c r="N5634" s="604">
        <v>8851</v>
      </c>
      <c r="O5634" s="604">
        <v>5.8</v>
      </c>
      <c r="P5634" s="604" t="s">
        <v>48</v>
      </c>
    </row>
    <row r="5635" spans="9:16">
      <c r="I5635" s="696" t="str">
        <f t="shared" si="233"/>
        <v>2010dhbWaikatoInfant</v>
      </c>
      <c r="J5635" s="604">
        <v>2010</v>
      </c>
      <c r="K5635" s="604" t="s">
        <v>448</v>
      </c>
      <c r="L5635" s="604" t="s">
        <v>89</v>
      </c>
      <c r="M5635" s="604">
        <v>30</v>
      </c>
      <c r="N5635" s="604">
        <v>5697</v>
      </c>
      <c r="O5635" s="604">
        <v>5.3</v>
      </c>
      <c r="P5635" s="604" t="s">
        <v>48</v>
      </c>
    </row>
    <row r="5636" spans="9:16">
      <c r="I5636" s="696" t="str">
        <f t="shared" ref="I5636:I5699" si="234">J5636&amp;K5636&amp;L5636&amp;P5636</f>
        <v>2010dhbLakesInfant</v>
      </c>
      <c r="J5636" s="604">
        <v>2010</v>
      </c>
      <c r="K5636" s="604" t="s">
        <v>448</v>
      </c>
      <c r="L5636" s="604" t="s">
        <v>90</v>
      </c>
      <c r="M5636" s="604">
        <v>14</v>
      </c>
      <c r="N5636" s="604">
        <v>1624</v>
      </c>
      <c r="O5636" s="604">
        <v>8.6</v>
      </c>
      <c r="P5636" s="604" t="s">
        <v>48</v>
      </c>
    </row>
    <row r="5637" spans="9:16">
      <c r="I5637" s="696" t="str">
        <f t="shared" si="234"/>
        <v>2010dhbBay of PlentyInfant</v>
      </c>
      <c r="J5637" s="604">
        <v>2010</v>
      </c>
      <c r="K5637" s="604" t="s">
        <v>448</v>
      </c>
      <c r="L5637" s="604" t="s">
        <v>91</v>
      </c>
      <c r="M5637" s="604">
        <v>25</v>
      </c>
      <c r="N5637" s="604">
        <v>2988</v>
      </c>
      <c r="O5637" s="604">
        <v>8.4</v>
      </c>
      <c r="P5637" s="604" t="s">
        <v>48</v>
      </c>
    </row>
    <row r="5638" spans="9:16">
      <c r="I5638" s="696" t="str">
        <f t="shared" si="234"/>
        <v>2010dhbTairawhitiInfant</v>
      </c>
      <c r="J5638" s="604">
        <v>2010</v>
      </c>
      <c r="K5638" s="604" t="s">
        <v>448</v>
      </c>
      <c r="L5638" s="604" t="s">
        <v>433</v>
      </c>
      <c r="M5638" s="604">
        <v>5</v>
      </c>
      <c r="N5638" s="604">
        <v>805</v>
      </c>
      <c r="O5638" s="604">
        <v>6.2</v>
      </c>
      <c r="P5638" s="604" t="s">
        <v>48</v>
      </c>
    </row>
    <row r="5639" spans="9:16">
      <c r="I5639" s="696" t="str">
        <f t="shared" si="234"/>
        <v>2010dhbHawke's BayInfant</v>
      </c>
      <c r="J5639" s="604">
        <v>2010</v>
      </c>
      <c r="K5639" s="604" t="s">
        <v>448</v>
      </c>
      <c r="L5639" s="604" t="s">
        <v>92</v>
      </c>
      <c r="M5639" s="604">
        <v>19</v>
      </c>
      <c r="N5639" s="604">
        <v>2331</v>
      </c>
      <c r="O5639" s="604">
        <v>8.1999999999999993</v>
      </c>
      <c r="P5639" s="604" t="s">
        <v>48</v>
      </c>
    </row>
    <row r="5640" spans="9:16">
      <c r="I5640" s="696" t="str">
        <f t="shared" si="234"/>
        <v>2010dhbTaranakiInfant</v>
      </c>
      <c r="J5640" s="604">
        <v>2010</v>
      </c>
      <c r="K5640" s="604" t="s">
        <v>448</v>
      </c>
      <c r="L5640" s="604" t="s">
        <v>93</v>
      </c>
      <c r="M5640" s="604">
        <v>4</v>
      </c>
      <c r="N5640" s="604">
        <v>1607</v>
      </c>
      <c r="O5640" s="604">
        <v>2.5</v>
      </c>
      <c r="P5640" s="604" t="s">
        <v>48</v>
      </c>
    </row>
    <row r="5641" spans="9:16">
      <c r="I5641" s="696" t="str">
        <f t="shared" si="234"/>
        <v>2010dhbMidCentralInfant</v>
      </c>
      <c r="J5641" s="604">
        <v>2010</v>
      </c>
      <c r="K5641" s="604" t="s">
        <v>448</v>
      </c>
      <c r="L5641" s="604" t="s">
        <v>94</v>
      </c>
      <c r="M5641" s="604">
        <v>12</v>
      </c>
      <c r="N5641" s="604">
        <v>2373</v>
      </c>
      <c r="O5641" s="604">
        <v>5.0999999999999996</v>
      </c>
      <c r="P5641" s="604" t="s">
        <v>48</v>
      </c>
    </row>
    <row r="5642" spans="9:16">
      <c r="I5642" s="696" t="str">
        <f t="shared" si="234"/>
        <v>2010dhbWhanganuiInfant</v>
      </c>
      <c r="J5642" s="604">
        <v>2010</v>
      </c>
      <c r="K5642" s="604" t="s">
        <v>448</v>
      </c>
      <c r="L5642" s="604" t="s">
        <v>95</v>
      </c>
      <c r="M5642" s="604">
        <v>7</v>
      </c>
      <c r="N5642" s="604">
        <v>912</v>
      </c>
      <c r="O5642" s="604">
        <v>7.7</v>
      </c>
      <c r="P5642" s="604" t="s">
        <v>48</v>
      </c>
    </row>
    <row r="5643" spans="9:16">
      <c r="I5643" s="696" t="str">
        <f t="shared" si="234"/>
        <v>2010dhbCapital &amp; CoastInfant</v>
      </c>
      <c r="J5643" s="604">
        <v>2010</v>
      </c>
      <c r="K5643" s="604" t="s">
        <v>448</v>
      </c>
      <c r="L5643" s="604" t="s">
        <v>96</v>
      </c>
      <c r="M5643" s="604">
        <v>15</v>
      </c>
      <c r="N5643" s="604">
        <v>3998</v>
      </c>
      <c r="O5643" s="604">
        <v>3.8</v>
      </c>
      <c r="P5643" s="604" t="s">
        <v>48</v>
      </c>
    </row>
    <row r="5644" spans="9:16">
      <c r="I5644" s="696" t="str">
        <f t="shared" si="234"/>
        <v>2010dhbHutt ValleyInfant</v>
      </c>
      <c r="J5644" s="604">
        <v>2010</v>
      </c>
      <c r="K5644" s="604" t="s">
        <v>448</v>
      </c>
      <c r="L5644" s="604" t="s">
        <v>97</v>
      </c>
      <c r="M5644" s="604">
        <v>12</v>
      </c>
      <c r="N5644" s="604">
        <v>2151</v>
      </c>
      <c r="O5644" s="604">
        <v>5.6</v>
      </c>
      <c r="P5644" s="604" t="s">
        <v>48</v>
      </c>
    </row>
    <row r="5645" spans="9:16">
      <c r="I5645" s="696" t="str">
        <f t="shared" si="234"/>
        <v>2010dhbWairarapaInfant</v>
      </c>
      <c r="J5645" s="604">
        <v>2010</v>
      </c>
      <c r="K5645" s="604" t="s">
        <v>448</v>
      </c>
      <c r="L5645" s="604" t="s">
        <v>98</v>
      </c>
      <c r="M5645" s="604">
        <v>6</v>
      </c>
      <c r="N5645" s="604">
        <v>549</v>
      </c>
      <c r="O5645" s="604">
        <v>10.9</v>
      </c>
      <c r="P5645" s="604" t="s">
        <v>48</v>
      </c>
    </row>
    <row r="5646" spans="9:16">
      <c r="I5646" s="696" t="str">
        <f t="shared" si="234"/>
        <v>2010dhbNelson MarlboroughInfant</v>
      </c>
      <c r="J5646" s="604">
        <v>2010</v>
      </c>
      <c r="K5646" s="604" t="s">
        <v>448</v>
      </c>
      <c r="L5646" s="604" t="s">
        <v>99</v>
      </c>
      <c r="M5646" s="604">
        <v>7</v>
      </c>
      <c r="N5646" s="604">
        <v>1725</v>
      </c>
      <c r="O5646" s="604">
        <v>4.0999999999999996</v>
      </c>
      <c r="P5646" s="604" t="s">
        <v>48</v>
      </c>
    </row>
    <row r="5647" spans="9:16">
      <c r="I5647" s="696" t="str">
        <f t="shared" si="234"/>
        <v>2010dhbWest CoastInfant</v>
      </c>
      <c r="J5647" s="604">
        <v>2010</v>
      </c>
      <c r="K5647" s="604" t="s">
        <v>448</v>
      </c>
      <c r="L5647" s="604" t="s">
        <v>100</v>
      </c>
      <c r="M5647" s="604">
        <v>2</v>
      </c>
      <c r="N5647" s="604">
        <v>432</v>
      </c>
      <c r="O5647" s="604">
        <v>4.5999999999999996</v>
      </c>
      <c r="P5647" s="604" t="s">
        <v>48</v>
      </c>
    </row>
    <row r="5648" spans="9:16">
      <c r="I5648" s="696" t="str">
        <f t="shared" si="234"/>
        <v>2010dhbCanterburyInfant</v>
      </c>
      <c r="J5648" s="604">
        <v>2010</v>
      </c>
      <c r="K5648" s="604" t="s">
        <v>448</v>
      </c>
      <c r="L5648" s="604" t="s">
        <v>101</v>
      </c>
      <c r="M5648" s="604">
        <v>38</v>
      </c>
      <c r="N5648" s="604">
        <v>6688</v>
      </c>
      <c r="O5648" s="604">
        <v>5.7</v>
      </c>
      <c r="P5648" s="604" t="s">
        <v>48</v>
      </c>
    </row>
    <row r="5649" spans="9:16">
      <c r="I5649" s="696" t="str">
        <f t="shared" si="234"/>
        <v>2010dhbSouth CanterburyInfant</v>
      </c>
      <c r="J5649" s="604">
        <v>2010</v>
      </c>
      <c r="K5649" s="604" t="s">
        <v>448</v>
      </c>
      <c r="L5649" s="604" t="s">
        <v>102</v>
      </c>
      <c r="M5649" s="604">
        <v>4</v>
      </c>
      <c r="N5649" s="604">
        <v>627</v>
      </c>
      <c r="O5649" s="604">
        <v>6.4</v>
      </c>
      <c r="P5649" s="604" t="s">
        <v>48</v>
      </c>
    </row>
    <row r="5650" spans="9:16">
      <c r="I5650" s="696" t="str">
        <f t="shared" si="234"/>
        <v>2010dhbSouthernInfant</v>
      </c>
      <c r="J5650" s="604">
        <v>2010</v>
      </c>
      <c r="K5650" s="604" t="s">
        <v>448</v>
      </c>
      <c r="L5650" s="604" t="s">
        <v>103</v>
      </c>
      <c r="M5650" s="604">
        <v>18</v>
      </c>
      <c r="N5650" s="604">
        <v>3772</v>
      </c>
      <c r="O5650" s="604">
        <v>4.8</v>
      </c>
      <c r="P5650" s="604" t="s">
        <v>48</v>
      </c>
    </row>
    <row r="5651" spans="9:16">
      <c r="I5651" s="696" t="str">
        <f t="shared" si="234"/>
        <v>2010dhbUnknownInfant</v>
      </c>
      <c r="J5651" s="604">
        <v>2010</v>
      </c>
      <c r="K5651" s="604" t="s">
        <v>448</v>
      </c>
      <c r="L5651" s="604" t="s">
        <v>63</v>
      </c>
      <c r="M5651" s="604">
        <v>3</v>
      </c>
      <c r="N5651" s="604">
        <v>307</v>
      </c>
      <c r="O5651" s="604" t="s">
        <v>119</v>
      </c>
      <c r="P5651" s="604" t="s">
        <v>48</v>
      </c>
    </row>
    <row r="5652" spans="9:16">
      <c r="I5652" s="696" t="str">
        <f t="shared" si="234"/>
        <v>2011dhbNorthlandInfant</v>
      </c>
      <c r="J5652" s="604">
        <v>2011</v>
      </c>
      <c r="K5652" s="604" t="s">
        <v>448</v>
      </c>
      <c r="L5652" s="604" t="s">
        <v>85</v>
      </c>
      <c r="M5652" s="604">
        <v>12</v>
      </c>
      <c r="N5652" s="604">
        <v>2261</v>
      </c>
      <c r="O5652" s="604">
        <v>5.3</v>
      </c>
      <c r="P5652" s="604" t="s">
        <v>48</v>
      </c>
    </row>
    <row r="5653" spans="9:16">
      <c r="I5653" s="696" t="str">
        <f t="shared" si="234"/>
        <v>2011dhbWaitemataInfant</v>
      </c>
      <c r="J5653" s="604">
        <v>2011</v>
      </c>
      <c r="K5653" s="604" t="s">
        <v>448</v>
      </c>
      <c r="L5653" s="604" t="s">
        <v>86</v>
      </c>
      <c r="M5653" s="604">
        <v>18</v>
      </c>
      <c r="N5653" s="604">
        <v>7880</v>
      </c>
      <c r="O5653" s="604">
        <v>2.2999999999999998</v>
      </c>
      <c r="P5653" s="604" t="s">
        <v>48</v>
      </c>
    </row>
    <row r="5654" spans="9:16">
      <c r="I5654" s="696" t="str">
        <f t="shared" si="234"/>
        <v>2011dhbAucklandInfant</v>
      </c>
      <c r="J5654" s="604">
        <v>2011</v>
      </c>
      <c r="K5654" s="604" t="s">
        <v>448</v>
      </c>
      <c r="L5654" s="604" t="s">
        <v>87</v>
      </c>
      <c r="M5654" s="604">
        <v>21</v>
      </c>
      <c r="N5654" s="604">
        <v>6524</v>
      </c>
      <c r="O5654" s="604">
        <v>3.2</v>
      </c>
      <c r="P5654" s="604" t="s">
        <v>48</v>
      </c>
    </row>
    <row r="5655" spans="9:16">
      <c r="I5655" s="696" t="str">
        <f t="shared" si="234"/>
        <v>2011dhbCounties ManukauInfant</v>
      </c>
      <c r="J5655" s="604">
        <v>2011</v>
      </c>
      <c r="K5655" s="604" t="s">
        <v>448</v>
      </c>
      <c r="L5655" s="604" t="s">
        <v>88</v>
      </c>
      <c r="M5655" s="604">
        <v>69</v>
      </c>
      <c r="N5655" s="604">
        <v>8608</v>
      </c>
      <c r="O5655" s="604">
        <v>8</v>
      </c>
      <c r="P5655" s="604" t="s">
        <v>48</v>
      </c>
    </row>
    <row r="5656" spans="9:16">
      <c r="I5656" s="696" t="str">
        <f t="shared" si="234"/>
        <v>2011dhbWaikatoInfant</v>
      </c>
      <c r="J5656" s="604">
        <v>2011</v>
      </c>
      <c r="K5656" s="604" t="s">
        <v>448</v>
      </c>
      <c r="L5656" s="604" t="s">
        <v>89</v>
      </c>
      <c r="M5656" s="604">
        <v>42</v>
      </c>
      <c r="N5656" s="604">
        <v>5401</v>
      </c>
      <c r="O5656" s="604">
        <v>7.8</v>
      </c>
      <c r="P5656" s="604" t="s">
        <v>48</v>
      </c>
    </row>
    <row r="5657" spans="9:16">
      <c r="I5657" s="696" t="str">
        <f t="shared" si="234"/>
        <v>2011dhbLakesInfant</v>
      </c>
      <c r="J5657" s="604">
        <v>2011</v>
      </c>
      <c r="K5657" s="604" t="s">
        <v>448</v>
      </c>
      <c r="L5657" s="604" t="s">
        <v>90</v>
      </c>
      <c r="M5657" s="604">
        <v>11</v>
      </c>
      <c r="N5657" s="604">
        <v>1552</v>
      </c>
      <c r="O5657" s="604">
        <v>7.1</v>
      </c>
      <c r="P5657" s="604" t="s">
        <v>48</v>
      </c>
    </row>
    <row r="5658" spans="9:16">
      <c r="I5658" s="696" t="str">
        <f t="shared" si="234"/>
        <v>2011dhbBay of PlentyInfant</v>
      </c>
      <c r="J5658" s="604">
        <v>2011</v>
      </c>
      <c r="K5658" s="604" t="s">
        <v>448</v>
      </c>
      <c r="L5658" s="604" t="s">
        <v>91</v>
      </c>
      <c r="M5658" s="604">
        <v>16</v>
      </c>
      <c r="N5658" s="604">
        <v>2975</v>
      </c>
      <c r="O5658" s="604">
        <v>5.4</v>
      </c>
      <c r="P5658" s="604" t="s">
        <v>48</v>
      </c>
    </row>
    <row r="5659" spans="9:16">
      <c r="I5659" s="696" t="str">
        <f t="shared" si="234"/>
        <v>2011dhbTairawhitiInfant</v>
      </c>
      <c r="J5659" s="604">
        <v>2011</v>
      </c>
      <c r="K5659" s="604" t="s">
        <v>448</v>
      </c>
      <c r="L5659" s="604" t="s">
        <v>433</v>
      </c>
      <c r="M5659" s="604">
        <v>8</v>
      </c>
      <c r="N5659" s="604">
        <v>756</v>
      </c>
      <c r="O5659" s="604">
        <v>10.6</v>
      </c>
      <c r="P5659" s="604" t="s">
        <v>48</v>
      </c>
    </row>
    <row r="5660" spans="9:16">
      <c r="I5660" s="696" t="str">
        <f t="shared" si="234"/>
        <v>2011dhbHawke's BayInfant</v>
      </c>
      <c r="J5660" s="604">
        <v>2011</v>
      </c>
      <c r="K5660" s="604" t="s">
        <v>448</v>
      </c>
      <c r="L5660" s="604" t="s">
        <v>92</v>
      </c>
      <c r="M5660" s="604">
        <v>20</v>
      </c>
      <c r="N5660" s="604">
        <v>2250</v>
      </c>
      <c r="O5660" s="604">
        <v>8.9</v>
      </c>
      <c r="P5660" s="604" t="s">
        <v>48</v>
      </c>
    </row>
    <row r="5661" spans="9:16">
      <c r="I5661" s="696" t="str">
        <f t="shared" si="234"/>
        <v>2011dhbTaranakiInfant</v>
      </c>
      <c r="J5661" s="604">
        <v>2011</v>
      </c>
      <c r="K5661" s="604" t="s">
        <v>448</v>
      </c>
      <c r="L5661" s="604" t="s">
        <v>93</v>
      </c>
      <c r="M5661" s="604">
        <v>9</v>
      </c>
      <c r="N5661" s="604">
        <v>1567</v>
      </c>
      <c r="O5661" s="604">
        <v>5.7</v>
      </c>
      <c r="P5661" s="604" t="s">
        <v>48</v>
      </c>
    </row>
    <row r="5662" spans="9:16">
      <c r="I5662" s="696" t="str">
        <f t="shared" si="234"/>
        <v>2011dhbMidCentralInfant</v>
      </c>
      <c r="J5662" s="604">
        <v>2011</v>
      </c>
      <c r="K5662" s="604" t="s">
        <v>448</v>
      </c>
      <c r="L5662" s="604" t="s">
        <v>94</v>
      </c>
      <c r="M5662" s="604">
        <v>12</v>
      </c>
      <c r="N5662" s="604">
        <v>2364</v>
      </c>
      <c r="O5662" s="604">
        <v>5.0999999999999996</v>
      </c>
      <c r="P5662" s="604" t="s">
        <v>48</v>
      </c>
    </row>
    <row r="5663" spans="9:16">
      <c r="I5663" s="696" t="str">
        <f t="shared" si="234"/>
        <v>2011dhbWhanganuiInfant</v>
      </c>
      <c r="J5663" s="604">
        <v>2011</v>
      </c>
      <c r="K5663" s="604" t="s">
        <v>448</v>
      </c>
      <c r="L5663" s="604" t="s">
        <v>95</v>
      </c>
      <c r="M5663" s="604">
        <v>7</v>
      </c>
      <c r="N5663" s="604">
        <v>827</v>
      </c>
      <c r="O5663" s="604">
        <v>8.5</v>
      </c>
      <c r="P5663" s="604" t="s">
        <v>48</v>
      </c>
    </row>
    <row r="5664" spans="9:16">
      <c r="I5664" s="696" t="str">
        <f t="shared" si="234"/>
        <v>2011dhbCapital &amp; CoastInfant</v>
      </c>
      <c r="J5664" s="604">
        <v>2011</v>
      </c>
      <c r="K5664" s="604" t="s">
        <v>448</v>
      </c>
      <c r="L5664" s="604" t="s">
        <v>96</v>
      </c>
      <c r="M5664" s="604">
        <v>13</v>
      </c>
      <c r="N5664" s="604">
        <v>3882</v>
      </c>
      <c r="O5664" s="604">
        <v>3.3</v>
      </c>
      <c r="P5664" s="604" t="s">
        <v>48</v>
      </c>
    </row>
    <row r="5665" spans="9:16">
      <c r="I5665" s="696" t="str">
        <f t="shared" si="234"/>
        <v>2011dhbHutt ValleyInfant</v>
      </c>
      <c r="J5665" s="604">
        <v>2011</v>
      </c>
      <c r="K5665" s="604" t="s">
        <v>448</v>
      </c>
      <c r="L5665" s="604" t="s">
        <v>97</v>
      </c>
      <c r="M5665" s="604">
        <v>5</v>
      </c>
      <c r="N5665" s="604">
        <v>2052</v>
      </c>
      <c r="O5665" s="604">
        <v>2.4</v>
      </c>
      <c r="P5665" s="604" t="s">
        <v>48</v>
      </c>
    </row>
    <row r="5666" spans="9:16">
      <c r="I5666" s="696" t="str">
        <f t="shared" si="234"/>
        <v>2011dhbWairarapaInfant</v>
      </c>
      <c r="J5666" s="604">
        <v>2011</v>
      </c>
      <c r="K5666" s="604" t="s">
        <v>448</v>
      </c>
      <c r="L5666" s="604" t="s">
        <v>98</v>
      </c>
      <c r="M5666" s="604">
        <v>1</v>
      </c>
      <c r="N5666" s="604">
        <v>534</v>
      </c>
      <c r="O5666" s="604">
        <v>1.9</v>
      </c>
      <c r="P5666" s="604" t="s">
        <v>48</v>
      </c>
    </row>
    <row r="5667" spans="9:16">
      <c r="I5667" s="696" t="str">
        <f t="shared" si="234"/>
        <v>2011dhbNelson MarlboroughInfant</v>
      </c>
      <c r="J5667" s="604">
        <v>2011</v>
      </c>
      <c r="K5667" s="604" t="s">
        <v>448</v>
      </c>
      <c r="L5667" s="604" t="s">
        <v>99</v>
      </c>
      <c r="M5667" s="604">
        <v>5</v>
      </c>
      <c r="N5667" s="604">
        <v>1647</v>
      </c>
      <c r="O5667" s="604">
        <v>3</v>
      </c>
      <c r="P5667" s="604" t="s">
        <v>48</v>
      </c>
    </row>
    <row r="5668" spans="9:16">
      <c r="I5668" s="696" t="str">
        <f t="shared" si="234"/>
        <v>2011dhbWest CoastInfant</v>
      </c>
      <c r="J5668" s="604">
        <v>2011</v>
      </c>
      <c r="K5668" s="604" t="s">
        <v>448</v>
      </c>
      <c r="L5668" s="604" t="s">
        <v>100</v>
      </c>
      <c r="M5668" s="604">
        <v>2</v>
      </c>
      <c r="N5668" s="604">
        <v>435</v>
      </c>
      <c r="O5668" s="604">
        <v>4.5999999999999996</v>
      </c>
      <c r="P5668" s="604" t="s">
        <v>48</v>
      </c>
    </row>
    <row r="5669" spans="9:16">
      <c r="I5669" s="696" t="str">
        <f t="shared" si="234"/>
        <v>2011dhbCanterburyInfant</v>
      </c>
      <c r="J5669" s="604">
        <v>2011</v>
      </c>
      <c r="K5669" s="604" t="s">
        <v>448</v>
      </c>
      <c r="L5669" s="604" t="s">
        <v>101</v>
      </c>
      <c r="M5669" s="604">
        <v>29</v>
      </c>
      <c r="N5669" s="604">
        <v>6121</v>
      </c>
      <c r="O5669" s="604">
        <v>4.7</v>
      </c>
      <c r="P5669" s="604" t="s">
        <v>48</v>
      </c>
    </row>
    <row r="5670" spans="9:16">
      <c r="I5670" s="696" t="str">
        <f t="shared" si="234"/>
        <v>2011dhbSouth CanterburyInfant</v>
      </c>
      <c r="J5670" s="604">
        <v>2011</v>
      </c>
      <c r="K5670" s="604" t="s">
        <v>448</v>
      </c>
      <c r="L5670" s="604" t="s">
        <v>102</v>
      </c>
      <c r="M5670" s="604">
        <v>5</v>
      </c>
      <c r="N5670" s="604">
        <v>586</v>
      </c>
      <c r="O5670" s="604">
        <v>8.5</v>
      </c>
      <c r="P5670" s="604" t="s">
        <v>48</v>
      </c>
    </row>
    <row r="5671" spans="9:16">
      <c r="I5671" s="696" t="str">
        <f t="shared" si="234"/>
        <v>2011dhbSouthernInfant</v>
      </c>
      <c r="J5671" s="604">
        <v>2011</v>
      </c>
      <c r="K5671" s="604" t="s">
        <v>448</v>
      </c>
      <c r="L5671" s="604" t="s">
        <v>103</v>
      </c>
      <c r="M5671" s="604">
        <v>16</v>
      </c>
      <c r="N5671" s="604">
        <v>3710</v>
      </c>
      <c r="O5671" s="604">
        <v>4.3</v>
      </c>
      <c r="P5671" s="604" t="s">
        <v>48</v>
      </c>
    </row>
    <row r="5672" spans="9:16">
      <c r="I5672" s="696" t="str">
        <f t="shared" si="234"/>
        <v>2011dhbUnknownInfant</v>
      </c>
      <c r="J5672" s="604">
        <v>2011</v>
      </c>
      <c r="K5672" s="604" t="s">
        <v>448</v>
      </c>
      <c r="L5672" s="604" t="s">
        <v>63</v>
      </c>
      <c r="M5672" s="604">
        <v>1</v>
      </c>
      <c r="N5672" s="604">
        <v>242</v>
      </c>
      <c r="O5672" s="604" t="s">
        <v>119</v>
      </c>
      <c r="P5672" s="604" t="s">
        <v>48</v>
      </c>
    </row>
    <row r="5673" spans="9:16">
      <c r="I5673" s="696" t="str">
        <f t="shared" si="234"/>
        <v>2012dhbNorthlandInfant</v>
      </c>
      <c r="J5673" s="604">
        <v>2012</v>
      </c>
      <c r="K5673" s="604" t="s">
        <v>448</v>
      </c>
      <c r="L5673" s="604" t="s">
        <v>85</v>
      </c>
      <c r="M5673" s="604">
        <v>15</v>
      </c>
      <c r="N5673" s="604">
        <v>2387</v>
      </c>
      <c r="O5673" s="604">
        <v>6.3</v>
      </c>
      <c r="P5673" s="604" t="s">
        <v>48</v>
      </c>
    </row>
    <row r="5674" spans="9:16">
      <c r="I5674" s="696" t="str">
        <f t="shared" si="234"/>
        <v>2012dhbWaitemataInfant</v>
      </c>
      <c r="J5674" s="604">
        <v>2012</v>
      </c>
      <c r="K5674" s="604" t="s">
        <v>448</v>
      </c>
      <c r="L5674" s="604" t="s">
        <v>86</v>
      </c>
      <c r="M5674" s="604">
        <v>18</v>
      </c>
      <c r="N5674" s="604">
        <v>7953</v>
      </c>
      <c r="O5674" s="604">
        <v>2.2999999999999998</v>
      </c>
      <c r="P5674" s="604" t="s">
        <v>48</v>
      </c>
    </row>
    <row r="5675" spans="9:16">
      <c r="I5675" s="696" t="str">
        <f t="shared" si="234"/>
        <v>2012dhbAucklandInfant</v>
      </c>
      <c r="J5675" s="604">
        <v>2012</v>
      </c>
      <c r="K5675" s="604" t="s">
        <v>448</v>
      </c>
      <c r="L5675" s="604" t="s">
        <v>87</v>
      </c>
      <c r="M5675" s="604">
        <v>40</v>
      </c>
      <c r="N5675" s="604">
        <v>6556</v>
      </c>
      <c r="O5675" s="604">
        <v>6.1</v>
      </c>
      <c r="P5675" s="604" t="s">
        <v>48</v>
      </c>
    </row>
    <row r="5676" spans="9:16">
      <c r="I5676" s="696" t="str">
        <f t="shared" si="234"/>
        <v>2012dhbCounties ManukauInfant</v>
      </c>
      <c r="J5676" s="604">
        <v>2012</v>
      </c>
      <c r="K5676" s="604" t="s">
        <v>448</v>
      </c>
      <c r="L5676" s="604" t="s">
        <v>88</v>
      </c>
      <c r="M5676" s="604">
        <v>57</v>
      </c>
      <c r="N5676" s="604">
        <v>8748</v>
      </c>
      <c r="O5676" s="604">
        <v>6.5</v>
      </c>
      <c r="P5676" s="604" t="s">
        <v>48</v>
      </c>
    </row>
    <row r="5677" spans="9:16">
      <c r="I5677" s="696" t="str">
        <f t="shared" si="234"/>
        <v>2012dhbWaikatoInfant</v>
      </c>
      <c r="J5677" s="604">
        <v>2012</v>
      </c>
      <c r="K5677" s="604" t="s">
        <v>448</v>
      </c>
      <c r="L5677" s="604" t="s">
        <v>89</v>
      </c>
      <c r="M5677" s="604">
        <v>36</v>
      </c>
      <c r="N5677" s="604">
        <v>5485</v>
      </c>
      <c r="O5677" s="604">
        <v>6.6</v>
      </c>
      <c r="P5677" s="604" t="s">
        <v>48</v>
      </c>
    </row>
    <row r="5678" spans="9:16">
      <c r="I5678" s="696" t="str">
        <f t="shared" si="234"/>
        <v>2012dhbLakesInfant</v>
      </c>
      <c r="J5678" s="604">
        <v>2012</v>
      </c>
      <c r="K5678" s="604" t="s">
        <v>448</v>
      </c>
      <c r="L5678" s="604" t="s">
        <v>90</v>
      </c>
      <c r="M5678" s="604">
        <v>7</v>
      </c>
      <c r="N5678" s="604">
        <v>1517</v>
      </c>
      <c r="O5678" s="604">
        <v>4.5999999999999996</v>
      </c>
      <c r="P5678" s="604" t="s">
        <v>48</v>
      </c>
    </row>
    <row r="5679" spans="9:16">
      <c r="I5679" s="696" t="str">
        <f t="shared" si="234"/>
        <v>2012dhbBay of PlentyInfant</v>
      </c>
      <c r="J5679" s="604">
        <v>2012</v>
      </c>
      <c r="K5679" s="604" t="s">
        <v>448</v>
      </c>
      <c r="L5679" s="604" t="s">
        <v>91</v>
      </c>
      <c r="M5679" s="604">
        <v>17</v>
      </c>
      <c r="N5679" s="604">
        <v>2978</v>
      </c>
      <c r="O5679" s="604">
        <v>5.7</v>
      </c>
      <c r="P5679" s="604" t="s">
        <v>48</v>
      </c>
    </row>
    <row r="5680" spans="9:16">
      <c r="I5680" s="696" t="str">
        <f t="shared" si="234"/>
        <v>2012dhbTairawhitiInfant</v>
      </c>
      <c r="J5680" s="604">
        <v>2012</v>
      </c>
      <c r="K5680" s="604" t="s">
        <v>448</v>
      </c>
      <c r="L5680" s="604" t="s">
        <v>433</v>
      </c>
      <c r="M5680" s="604">
        <v>4</v>
      </c>
      <c r="N5680" s="604">
        <v>721</v>
      </c>
      <c r="O5680" s="604">
        <v>5.5</v>
      </c>
      <c r="P5680" s="604" t="s">
        <v>48</v>
      </c>
    </row>
    <row r="5681" spans="9:16">
      <c r="I5681" s="696" t="str">
        <f t="shared" si="234"/>
        <v>2012dhbHawke's BayInfant</v>
      </c>
      <c r="J5681" s="604">
        <v>2012</v>
      </c>
      <c r="K5681" s="604" t="s">
        <v>448</v>
      </c>
      <c r="L5681" s="604" t="s">
        <v>92</v>
      </c>
      <c r="M5681" s="604">
        <v>6</v>
      </c>
      <c r="N5681" s="604">
        <v>2284</v>
      </c>
      <c r="O5681" s="604">
        <v>2.6</v>
      </c>
      <c r="P5681" s="604" t="s">
        <v>48</v>
      </c>
    </row>
    <row r="5682" spans="9:16">
      <c r="I5682" s="696" t="str">
        <f t="shared" si="234"/>
        <v>2012dhbTaranakiInfant</v>
      </c>
      <c r="J5682" s="604">
        <v>2012</v>
      </c>
      <c r="K5682" s="604" t="s">
        <v>448</v>
      </c>
      <c r="L5682" s="604" t="s">
        <v>93</v>
      </c>
      <c r="M5682" s="604">
        <v>8</v>
      </c>
      <c r="N5682" s="604">
        <v>1553</v>
      </c>
      <c r="O5682" s="604">
        <v>5.2</v>
      </c>
      <c r="P5682" s="604" t="s">
        <v>48</v>
      </c>
    </row>
    <row r="5683" spans="9:16">
      <c r="I5683" s="696" t="str">
        <f t="shared" si="234"/>
        <v>2012dhbMidCentralInfant</v>
      </c>
      <c r="J5683" s="604">
        <v>2012</v>
      </c>
      <c r="K5683" s="604" t="s">
        <v>448</v>
      </c>
      <c r="L5683" s="604" t="s">
        <v>94</v>
      </c>
      <c r="M5683" s="604">
        <v>10</v>
      </c>
      <c r="N5683" s="604">
        <v>2182</v>
      </c>
      <c r="O5683" s="604">
        <v>4.5999999999999996</v>
      </c>
      <c r="P5683" s="604" t="s">
        <v>48</v>
      </c>
    </row>
    <row r="5684" spans="9:16">
      <c r="I5684" s="696" t="str">
        <f t="shared" si="234"/>
        <v>2012dhbWhanganuiInfant</v>
      </c>
      <c r="J5684" s="604">
        <v>2012</v>
      </c>
      <c r="K5684" s="604" t="s">
        <v>448</v>
      </c>
      <c r="L5684" s="604" t="s">
        <v>95</v>
      </c>
      <c r="M5684" s="604">
        <v>9</v>
      </c>
      <c r="N5684" s="604">
        <v>845</v>
      </c>
      <c r="O5684" s="604">
        <v>10.7</v>
      </c>
      <c r="P5684" s="604" t="s">
        <v>48</v>
      </c>
    </row>
    <row r="5685" spans="9:16">
      <c r="I5685" s="696" t="str">
        <f t="shared" si="234"/>
        <v>2012dhbCapital &amp; CoastInfant</v>
      </c>
      <c r="J5685" s="604">
        <v>2012</v>
      </c>
      <c r="K5685" s="604" t="s">
        <v>448</v>
      </c>
      <c r="L5685" s="604" t="s">
        <v>96</v>
      </c>
      <c r="M5685" s="604">
        <v>13</v>
      </c>
      <c r="N5685" s="604">
        <v>3833</v>
      </c>
      <c r="O5685" s="604">
        <v>3.4</v>
      </c>
      <c r="P5685" s="604" t="s">
        <v>48</v>
      </c>
    </row>
    <row r="5686" spans="9:16">
      <c r="I5686" s="696" t="str">
        <f t="shared" si="234"/>
        <v>2012dhbHutt ValleyInfant</v>
      </c>
      <c r="J5686" s="604">
        <v>2012</v>
      </c>
      <c r="K5686" s="604" t="s">
        <v>448</v>
      </c>
      <c r="L5686" s="604" t="s">
        <v>97</v>
      </c>
      <c r="M5686" s="604">
        <v>7</v>
      </c>
      <c r="N5686" s="604">
        <v>2041</v>
      </c>
      <c r="O5686" s="604">
        <v>3.4</v>
      </c>
      <c r="P5686" s="604" t="s">
        <v>48</v>
      </c>
    </row>
    <row r="5687" spans="9:16">
      <c r="I5687" s="696" t="str">
        <f t="shared" si="234"/>
        <v>2012dhbWairarapaInfant</v>
      </c>
      <c r="J5687" s="604">
        <v>2012</v>
      </c>
      <c r="K5687" s="604" t="s">
        <v>448</v>
      </c>
      <c r="L5687" s="604" t="s">
        <v>98</v>
      </c>
      <c r="M5687" s="604">
        <v>0</v>
      </c>
      <c r="N5687" s="604">
        <v>513</v>
      </c>
      <c r="O5687" s="604">
        <v>0</v>
      </c>
      <c r="P5687" s="604" t="s">
        <v>48</v>
      </c>
    </row>
    <row r="5688" spans="9:16">
      <c r="I5688" s="696" t="str">
        <f t="shared" si="234"/>
        <v>2012dhbNelson MarlboroughInfant</v>
      </c>
      <c r="J5688" s="604">
        <v>2012</v>
      </c>
      <c r="K5688" s="604" t="s">
        <v>448</v>
      </c>
      <c r="L5688" s="604" t="s">
        <v>99</v>
      </c>
      <c r="M5688" s="604">
        <v>4</v>
      </c>
      <c r="N5688" s="604">
        <v>1541</v>
      </c>
      <c r="O5688" s="604">
        <v>2.6</v>
      </c>
      <c r="P5688" s="604" t="s">
        <v>48</v>
      </c>
    </row>
    <row r="5689" spans="9:16">
      <c r="I5689" s="696" t="str">
        <f t="shared" si="234"/>
        <v>2012dhbWest CoastInfant</v>
      </c>
      <c r="J5689" s="604">
        <v>2012</v>
      </c>
      <c r="K5689" s="604" t="s">
        <v>448</v>
      </c>
      <c r="L5689" s="604" t="s">
        <v>100</v>
      </c>
      <c r="M5689" s="604">
        <v>2</v>
      </c>
      <c r="N5689" s="604">
        <v>419</v>
      </c>
      <c r="O5689" s="604">
        <v>4.8</v>
      </c>
      <c r="P5689" s="604" t="s">
        <v>48</v>
      </c>
    </row>
    <row r="5690" spans="9:16">
      <c r="I5690" s="696" t="str">
        <f t="shared" si="234"/>
        <v>2012dhbCanterburyInfant</v>
      </c>
      <c r="J5690" s="604">
        <v>2012</v>
      </c>
      <c r="K5690" s="604" t="s">
        <v>448</v>
      </c>
      <c r="L5690" s="604" t="s">
        <v>101</v>
      </c>
      <c r="M5690" s="604">
        <v>24</v>
      </c>
      <c r="N5690" s="604">
        <v>6041</v>
      </c>
      <c r="O5690" s="604">
        <v>4</v>
      </c>
      <c r="P5690" s="604" t="s">
        <v>48</v>
      </c>
    </row>
    <row r="5691" spans="9:16">
      <c r="I5691" s="696" t="str">
        <f t="shared" si="234"/>
        <v>2012dhbSouth CanterburyInfant</v>
      </c>
      <c r="J5691" s="604">
        <v>2012</v>
      </c>
      <c r="K5691" s="604" t="s">
        <v>448</v>
      </c>
      <c r="L5691" s="604" t="s">
        <v>102</v>
      </c>
      <c r="M5691" s="604">
        <v>1</v>
      </c>
      <c r="N5691" s="604">
        <v>626</v>
      </c>
      <c r="O5691" s="604">
        <v>1.6</v>
      </c>
      <c r="P5691" s="604" t="s">
        <v>48</v>
      </c>
    </row>
    <row r="5692" spans="9:16">
      <c r="I5692" s="696" t="str">
        <f t="shared" si="234"/>
        <v>2012dhbSouthernInfant</v>
      </c>
      <c r="J5692" s="604">
        <v>2012</v>
      </c>
      <c r="K5692" s="604" t="s">
        <v>448</v>
      </c>
      <c r="L5692" s="604" t="s">
        <v>103</v>
      </c>
      <c r="M5692" s="604">
        <v>15</v>
      </c>
      <c r="N5692" s="604">
        <v>3620</v>
      </c>
      <c r="O5692" s="604">
        <v>4.0999999999999996</v>
      </c>
      <c r="P5692" s="604" t="s">
        <v>48</v>
      </c>
    </row>
    <row r="5693" spans="9:16">
      <c r="I5693" s="696" t="str">
        <f t="shared" si="234"/>
        <v>2012dhbUnknownInfant</v>
      </c>
      <c r="J5693" s="604">
        <v>2012</v>
      </c>
      <c r="K5693" s="604" t="s">
        <v>448</v>
      </c>
      <c r="L5693" s="604" t="s">
        <v>63</v>
      </c>
      <c r="M5693" s="604">
        <v>1</v>
      </c>
      <c r="N5693" s="604">
        <v>192</v>
      </c>
      <c r="O5693" s="604" t="s">
        <v>119</v>
      </c>
      <c r="P5693" s="604" t="s">
        <v>48</v>
      </c>
    </row>
    <row r="5694" spans="9:16">
      <c r="I5694" s="696" t="str">
        <f t="shared" si="234"/>
        <v>2013dhbNorthlandInfant</v>
      </c>
      <c r="J5694" s="604">
        <v>2013</v>
      </c>
      <c r="K5694" s="604" t="s">
        <v>448</v>
      </c>
      <c r="L5694" s="604" t="s">
        <v>85</v>
      </c>
      <c r="M5694" s="604">
        <v>13</v>
      </c>
      <c r="N5694" s="604">
        <v>2196</v>
      </c>
      <c r="O5694" s="604">
        <v>5.9</v>
      </c>
      <c r="P5694" s="604" t="s">
        <v>48</v>
      </c>
    </row>
    <row r="5695" spans="9:16">
      <c r="I5695" s="696" t="str">
        <f t="shared" si="234"/>
        <v>2013dhbWaitemataInfant</v>
      </c>
      <c r="J5695" s="604">
        <v>2013</v>
      </c>
      <c r="K5695" s="604" t="s">
        <v>448</v>
      </c>
      <c r="L5695" s="604" t="s">
        <v>86</v>
      </c>
      <c r="M5695" s="604">
        <v>20</v>
      </c>
      <c r="N5695" s="604">
        <v>7678</v>
      </c>
      <c r="O5695" s="604">
        <v>2.6</v>
      </c>
      <c r="P5695" s="604" t="s">
        <v>48</v>
      </c>
    </row>
    <row r="5696" spans="9:16">
      <c r="I5696" s="696" t="str">
        <f t="shared" si="234"/>
        <v>2013dhbAucklandInfant</v>
      </c>
      <c r="J5696" s="604">
        <v>2013</v>
      </c>
      <c r="K5696" s="604" t="s">
        <v>448</v>
      </c>
      <c r="L5696" s="604" t="s">
        <v>87</v>
      </c>
      <c r="M5696" s="604">
        <v>27</v>
      </c>
      <c r="N5696" s="604">
        <v>6215</v>
      </c>
      <c r="O5696" s="604">
        <v>4.3</v>
      </c>
      <c r="P5696" s="604" t="s">
        <v>48</v>
      </c>
    </row>
    <row r="5697" spans="9:16">
      <c r="I5697" s="696" t="str">
        <f t="shared" si="234"/>
        <v>2013dhbCounties ManukauInfant</v>
      </c>
      <c r="J5697" s="604">
        <v>2013</v>
      </c>
      <c r="K5697" s="604" t="s">
        <v>448</v>
      </c>
      <c r="L5697" s="604" t="s">
        <v>88</v>
      </c>
      <c r="M5697" s="604">
        <v>67</v>
      </c>
      <c r="N5697" s="604">
        <v>8350</v>
      </c>
      <c r="O5697" s="604">
        <v>8</v>
      </c>
      <c r="P5697" s="604" t="s">
        <v>48</v>
      </c>
    </row>
    <row r="5698" spans="9:16">
      <c r="I5698" s="696" t="str">
        <f t="shared" si="234"/>
        <v>2013dhbWaikatoInfant</v>
      </c>
      <c r="J5698" s="604">
        <v>2013</v>
      </c>
      <c r="K5698" s="604" t="s">
        <v>448</v>
      </c>
      <c r="L5698" s="604" t="s">
        <v>89</v>
      </c>
      <c r="M5698" s="604">
        <v>25</v>
      </c>
      <c r="N5698" s="604">
        <v>5287</v>
      </c>
      <c r="O5698" s="604">
        <v>4.7</v>
      </c>
      <c r="P5698" s="604" t="s">
        <v>48</v>
      </c>
    </row>
    <row r="5699" spans="9:16">
      <c r="I5699" s="696" t="str">
        <f t="shared" si="234"/>
        <v>2013dhbLakesInfant</v>
      </c>
      <c r="J5699" s="604">
        <v>2013</v>
      </c>
      <c r="K5699" s="604" t="s">
        <v>448</v>
      </c>
      <c r="L5699" s="604" t="s">
        <v>90</v>
      </c>
      <c r="M5699" s="604">
        <v>7</v>
      </c>
      <c r="N5699" s="604">
        <v>1480</v>
      </c>
      <c r="O5699" s="604">
        <v>4.7</v>
      </c>
      <c r="P5699" s="604" t="s">
        <v>48</v>
      </c>
    </row>
    <row r="5700" spans="9:16">
      <c r="I5700" s="696" t="str">
        <f t="shared" ref="I5700:I5763" si="235">J5700&amp;K5700&amp;L5700&amp;P5700</f>
        <v>2013dhbBay of PlentyInfant</v>
      </c>
      <c r="J5700" s="604">
        <v>2013</v>
      </c>
      <c r="K5700" s="604" t="s">
        <v>448</v>
      </c>
      <c r="L5700" s="604" t="s">
        <v>91</v>
      </c>
      <c r="M5700" s="604">
        <v>16</v>
      </c>
      <c r="N5700" s="604">
        <v>2806</v>
      </c>
      <c r="O5700" s="604">
        <v>5.7</v>
      </c>
      <c r="P5700" s="604" t="s">
        <v>48</v>
      </c>
    </row>
    <row r="5701" spans="9:16">
      <c r="I5701" s="696" t="str">
        <f t="shared" si="235"/>
        <v>2013dhbTairawhitiInfant</v>
      </c>
      <c r="J5701" s="604">
        <v>2013</v>
      </c>
      <c r="K5701" s="604" t="s">
        <v>448</v>
      </c>
      <c r="L5701" s="604" t="s">
        <v>433</v>
      </c>
      <c r="M5701" s="604">
        <v>3</v>
      </c>
      <c r="N5701" s="604">
        <v>714</v>
      </c>
      <c r="O5701" s="604">
        <v>4.2</v>
      </c>
      <c r="P5701" s="604" t="s">
        <v>48</v>
      </c>
    </row>
    <row r="5702" spans="9:16">
      <c r="I5702" s="696" t="str">
        <f t="shared" si="235"/>
        <v>2013dhbHawke's BayInfant</v>
      </c>
      <c r="J5702" s="604">
        <v>2013</v>
      </c>
      <c r="K5702" s="604" t="s">
        <v>448</v>
      </c>
      <c r="L5702" s="604" t="s">
        <v>92</v>
      </c>
      <c r="M5702" s="604">
        <v>14</v>
      </c>
      <c r="N5702" s="604">
        <v>2207</v>
      </c>
      <c r="O5702" s="604">
        <v>6.3</v>
      </c>
      <c r="P5702" s="604" t="s">
        <v>48</v>
      </c>
    </row>
    <row r="5703" spans="9:16">
      <c r="I5703" s="696" t="str">
        <f t="shared" si="235"/>
        <v>2013dhbTaranakiInfant</v>
      </c>
      <c r="J5703" s="604">
        <v>2013</v>
      </c>
      <c r="K5703" s="604" t="s">
        <v>448</v>
      </c>
      <c r="L5703" s="604" t="s">
        <v>93</v>
      </c>
      <c r="M5703" s="604">
        <v>8</v>
      </c>
      <c r="N5703" s="604">
        <v>1522</v>
      </c>
      <c r="O5703" s="604">
        <v>5.3</v>
      </c>
      <c r="P5703" s="604" t="s">
        <v>48</v>
      </c>
    </row>
    <row r="5704" spans="9:16">
      <c r="I5704" s="696" t="str">
        <f t="shared" si="235"/>
        <v>2013dhbMidCentralInfant</v>
      </c>
      <c r="J5704" s="604">
        <v>2013</v>
      </c>
      <c r="K5704" s="604" t="s">
        <v>448</v>
      </c>
      <c r="L5704" s="604" t="s">
        <v>94</v>
      </c>
      <c r="M5704" s="604">
        <v>10</v>
      </c>
      <c r="N5704" s="604">
        <v>2145</v>
      </c>
      <c r="O5704" s="604">
        <v>4.7</v>
      </c>
      <c r="P5704" s="604" t="s">
        <v>48</v>
      </c>
    </row>
    <row r="5705" spans="9:16">
      <c r="I5705" s="696" t="str">
        <f t="shared" si="235"/>
        <v>2013dhbWhanganuiInfant</v>
      </c>
      <c r="J5705" s="604">
        <v>2013</v>
      </c>
      <c r="K5705" s="604" t="s">
        <v>448</v>
      </c>
      <c r="L5705" s="604" t="s">
        <v>95</v>
      </c>
      <c r="M5705" s="604">
        <v>3</v>
      </c>
      <c r="N5705" s="604">
        <v>867</v>
      </c>
      <c r="O5705" s="604">
        <v>3.5</v>
      </c>
      <c r="P5705" s="604" t="s">
        <v>48</v>
      </c>
    </row>
    <row r="5706" spans="9:16">
      <c r="I5706" s="696" t="str">
        <f t="shared" si="235"/>
        <v>2013dhbCapital &amp; CoastInfant</v>
      </c>
      <c r="J5706" s="604">
        <v>2013</v>
      </c>
      <c r="K5706" s="604" t="s">
        <v>448</v>
      </c>
      <c r="L5706" s="604" t="s">
        <v>96</v>
      </c>
      <c r="M5706" s="604">
        <v>13</v>
      </c>
      <c r="N5706" s="604">
        <v>3638</v>
      </c>
      <c r="O5706" s="604">
        <v>3.6</v>
      </c>
      <c r="P5706" s="604" t="s">
        <v>48</v>
      </c>
    </row>
    <row r="5707" spans="9:16">
      <c r="I5707" s="696" t="str">
        <f t="shared" si="235"/>
        <v>2013dhbHutt ValleyInfant</v>
      </c>
      <c r="J5707" s="604">
        <v>2013</v>
      </c>
      <c r="K5707" s="604" t="s">
        <v>448</v>
      </c>
      <c r="L5707" s="604" t="s">
        <v>97</v>
      </c>
      <c r="M5707" s="604">
        <v>15</v>
      </c>
      <c r="N5707" s="604">
        <v>1903</v>
      </c>
      <c r="O5707" s="604">
        <v>7.9</v>
      </c>
      <c r="P5707" s="604" t="s">
        <v>48</v>
      </c>
    </row>
    <row r="5708" spans="9:16">
      <c r="I5708" s="696" t="str">
        <f t="shared" si="235"/>
        <v>2013dhbWairarapaInfant</v>
      </c>
      <c r="J5708" s="604">
        <v>2013</v>
      </c>
      <c r="K5708" s="604" t="s">
        <v>448</v>
      </c>
      <c r="L5708" s="604" t="s">
        <v>98</v>
      </c>
      <c r="M5708" s="604">
        <v>2</v>
      </c>
      <c r="N5708" s="604">
        <v>497</v>
      </c>
      <c r="O5708" s="604">
        <v>4</v>
      </c>
      <c r="P5708" s="604" t="s">
        <v>48</v>
      </c>
    </row>
    <row r="5709" spans="9:16">
      <c r="I5709" s="696" t="str">
        <f t="shared" si="235"/>
        <v>2013dhbNelson MarlboroughInfant</v>
      </c>
      <c r="J5709" s="604">
        <v>2013</v>
      </c>
      <c r="K5709" s="604" t="s">
        <v>448</v>
      </c>
      <c r="L5709" s="604" t="s">
        <v>99</v>
      </c>
      <c r="M5709" s="604">
        <v>9</v>
      </c>
      <c r="N5709" s="604">
        <v>1556</v>
      </c>
      <c r="O5709" s="604">
        <v>5.8</v>
      </c>
      <c r="P5709" s="604" t="s">
        <v>48</v>
      </c>
    </row>
    <row r="5710" spans="9:16">
      <c r="I5710" s="696" t="str">
        <f t="shared" si="235"/>
        <v>2013dhbWest CoastInfant</v>
      </c>
      <c r="J5710" s="604">
        <v>2013</v>
      </c>
      <c r="K5710" s="604" t="s">
        <v>448</v>
      </c>
      <c r="L5710" s="604" t="s">
        <v>100</v>
      </c>
      <c r="M5710" s="604">
        <v>1</v>
      </c>
      <c r="N5710" s="604">
        <v>392</v>
      </c>
      <c r="O5710" s="604">
        <v>2.6</v>
      </c>
      <c r="P5710" s="604" t="s">
        <v>48</v>
      </c>
    </row>
    <row r="5711" spans="9:16">
      <c r="I5711" s="696" t="str">
        <f t="shared" si="235"/>
        <v>2013dhbCanterburyInfant</v>
      </c>
      <c r="J5711" s="604">
        <v>2013</v>
      </c>
      <c r="K5711" s="604" t="s">
        <v>448</v>
      </c>
      <c r="L5711" s="604" t="s">
        <v>101</v>
      </c>
      <c r="M5711" s="604">
        <v>24</v>
      </c>
      <c r="N5711" s="604">
        <v>5945</v>
      </c>
      <c r="O5711" s="604">
        <v>4</v>
      </c>
      <c r="P5711" s="604" t="s">
        <v>48</v>
      </c>
    </row>
    <row r="5712" spans="9:16">
      <c r="I5712" s="696" t="str">
        <f t="shared" si="235"/>
        <v>2013dhbSouth CanterburyInfant</v>
      </c>
      <c r="J5712" s="604">
        <v>2013</v>
      </c>
      <c r="K5712" s="604" t="s">
        <v>448</v>
      </c>
      <c r="L5712" s="604" t="s">
        <v>102</v>
      </c>
      <c r="M5712" s="604">
        <v>6</v>
      </c>
      <c r="N5712" s="604">
        <v>629</v>
      </c>
      <c r="O5712" s="604">
        <v>9.5</v>
      </c>
      <c r="P5712" s="604" t="s">
        <v>48</v>
      </c>
    </row>
    <row r="5713" spans="9:16">
      <c r="I5713" s="696" t="str">
        <f t="shared" si="235"/>
        <v>2013dhbSouthernInfant</v>
      </c>
      <c r="J5713" s="604">
        <v>2013</v>
      </c>
      <c r="K5713" s="604" t="s">
        <v>448</v>
      </c>
      <c r="L5713" s="604" t="s">
        <v>103</v>
      </c>
      <c r="M5713" s="604">
        <v>12</v>
      </c>
      <c r="N5713" s="604">
        <v>3478</v>
      </c>
      <c r="O5713" s="604">
        <v>3.5</v>
      </c>
      <c r="P5713" s="604" t="s">
        <v>48</v>
      </c>
    </row>
    <row r="5714" spans="9:16">
      <c r="I5714" s="696" t="str">
        <f t="shared" si="235"/>
        <v>2013dhbUnknownInfant</v>
      </c>
      <c r="J5714" s="604">
        <v>2013</v>
      </c>
      <c r="K5714" s="604" t="s">
        <v>448</v>
      </c>
      <c r="L5714" s="604" t="s">
        <v>63</v>
      </c>
      <c r="M5714" s="604">
        <v>1</v>
      </c>
      <c r="N5714" s="604">
        <v>196</v>
      </c>
      <c r="O5714" s="604" t="s">
        <v>119</v>
      </c>
      <c r="P5714" s="604" t="s">
        <v>48</v>
      </c>
    </row>
    <row r="5715" spans="9:16">
      <c r="I5715" s="696" t="str">
        <f t="shared" si="235"/>
        <v>2014dhbNorthlandInfant</v>
      </c>
      <c r="J5715" s="604">
        <v>2014</v>
      </c>
      <c r="K5715" s="604" t="s">
        <v>448</v>
      </c>
      <c r="L5715" s="604" t="s">
        <v>85</v>
      </c>
      <c r="M5715" s="604">
        <v>18</v>
      </c>
      <c r="N5715" s="604">
        <v>2127</v>
      </c>
      <c r="O5715" s="604">
        <v>8.5</v>
      </c>
      <c r="P5715" s="604" t="s">
        <v>48</v>
      </c>
    </row>
    <row r="5716" spans="9:16">
      <c r="I5716" s="696" t="str">
        <f t="shared" si="235"/>
        <v>2014dhbWaitemataInfant</v>
      </c>
      <c r="J5716" s="604">
        <v>2014</v>
      </c>
      <c r="K5716" s="604" t="s">
        <v>448</v>
      </c>
      <c r="L5716" s="604" t="s">
        <v>86</v>
      </c>
      <c r="M5716" s="604">
        <v>32</v>
      </c>
      <c r="N5716" s="604">
        <v>7737</v>
      </c>
      <c r="O5716" s="604">
        <v>4.0999999999999996</v>
      </c>
      <c r="P5716" s="604" t="s">
        <v>48</v>
      </c>
    </row>
    <row r="5717" spans="9:16">
      <c r="I5717" s="696" t="str">
        <f t="shared" si="235"/>
        <v>2014dhbAucklandInfant</v>
      </c>
      <c r="J5717" s="604">
        <v>2014</v>
      </c>
      <c r="K5717" s="604" t="s">
        <v>448</v>
      </c>
      <c r="L5717" s="604" t="s">
        <v>87</v>
      </c>
      <c r="M5717" s="604">
        <v>30</v>
      </c>
      <c r="N5717" s="604">
        <v>6074</v>
      </c>
      <c r="O5717" s="604">
        <v>4.9000000000000004</v>
      </c>
      <c r="P5717" s="604" t="s">
        <v>48</v>
      </c>
    </row>
    <row r="5718" spans="9:16">
      <c r="I5718" s="696" t="str">
        <f t="shared" si="235"/>
        <v>2014dhbCounties ManukauInfant</v>
      </c>
      <c r="J5718" s="604">
        <v>2014</v>
      </c>
      <c r="K5718" s="604" t="s">
        <v>448</v>
      </c>
      <c r="L5718" s="604" t="s">
        <v>88</v>
      </c>
      <c r="M5718" s="604">
        <v>57</v>
      </c>
      <c r="N5718" s="604">
        <v>8072</v>
      </c>
      <c r="O5718" s="604">
        <v>7.1</v>
      </c>
      <c r="P5718" s="604" t="s">
        <v>48</v>
      </c>
    </row>
    <row r="5719" spans="9:16">
      <c r="I5719" s="696" t="str">
        <f t="shared" si="235"/>
        <v>2014dhbWaikatoInfant</v>
      </c>
      <c r="J5719" s="604">
        <v>2014</v>
      </c>
      <c r="K5719" s="604" t="s">
        <v>448</v>
      </c>
      <c r="L5719" s="604" t="s">
        <v>89</v>
      </c>
      <c r="M5719" s="604">
        <v>45</v>
      </c>
      <c r="N5719" s="604">
        <v>5235</v>
      </c>
      <c r="O5719" s="604">
        <v>8.6</v>
      </c>
      <c r="P5719" s="604" t="s">
        <v>48</v>
      </c>
    </row>
    <row r="5720" spans="9:16">
      <c r="I5720" s="696" t="str">
        <f t="shared" si="235"/>
        <v>2014dhbLakesInfant</v>
      </c>
      <c r="J5720" s="604">
        <v>2014</v>
      </c>
      <c r="K5720" s="604" t="s">
        <v>448</v>
      </c>
      <c r="L5720" s="604" t="s">
        <v>90</v>
      </c>
      <c r="M5720" s="604">
        <v>12</v>
      </c>
      <c r="N5720" s="604">
        <v>1364</v>
      </c>
      <c r="O5720" s="604">
        <v>8.8000000000000007</v>
      </c>
      <c r="P5720" s="604" t="s">
        <v>48</v>
      </c>
    </row>
    <row r="5721" spans="9:16">
      <c r="I5721" s="696" t="str">
        <f t="shared" si="235"/>
        <v>2014dhbBay of PlentyInfant</v>
      </c>
      <c r="J5721" s="604">
        <v>2014</v>
      </c>
      <c r="K5721" s="604" t="s">
        <v>448</v>
      </c>
      <c r="L5721" s="604" t="s">
        <v>91</v>
      </c>
      <c r="M5721" s="604">
        <v>24</v>
      </c>
      <c r="N5721" s="604">
        <v>2688</v>
      </c>
      <c r="O5721" s="604">
        <v>8.9</v>
      </c>
      <c r="P5721" s="604" t="s">
        <v>48</v>
      </c>
    </row>
    <row r="5722" spans="9:16">
      <c r="I5722" s="696" t="str">
        <f t="shared" si="235"/>
        <v>2014dhbTairawhitiInfant</v>
      </c>
      <c r="J5722" s="604">
        <v>2014</v>
      </c>
      <c r="K5722" s="604" t="s">
        <v>448</v>
      </c>
      <c r="L5722" s="604" t="s">
        <v>433</v>
      </c>
      <c r="M5722" s="604">
        <v>8</v>
      </c>
      <c r="N5722" s="604">
        <v>673</v>
      </c>
      <c r="O5722" s="604">
        <v>11.9</v>
      </c>
      <c r="P5722" s="604" t="s">
        <v>48</v>
      </c>
    </row>
    <row r="5723" spans="9:16">
      <c r="I5723" s="696" t="str">
        <f t="shared" si="235"/>
        <v>2014dhbHawke's BayInfant</v>
      </c>
      <c r="J5723" s="604">
        <v>2014</v>
      </c>
      <c r="K5723" s="604" t="s">
        <v>448</v>
      </c>
      <c r="L5723" s="604" t="s">
        <v>92</v>
      </c>
      <c r="M5723" s="604">
        <v>10</v>
      </c>
      <c r="N5723" s="604">
        <v>2094</v>
      </c>
      <c r="O5723" s="604">
        <v>4.8</v>
      </c>
      <c r="P5723" s="604" t="s">
        <v>48</v>
      </c>
    </row>
    <row r="5724" spans="9:16">
      <c r="I5724" s="696" t="str">
        <f t="shared" si="235"/>
        <v>2014dhbTaranakiInfant</v>
      </c>
      <c r="J5724" s="604">
        <v>2014</v>
      </c>
      <c r="K5724" s="604" t="s">
        <v>448</v>
      </c>
      <c r="L5724" s="604" t="s">
        <v>93</v>
      </c>
      <c r="M5724" s="604">
        <v>9</v>
      </c>
      <c r="N5724" s="604">
        <v>1534</v>
      </c>
      <c r="O5724" s="604">
        <v>5.9</v>
      </c>
      <c r="P5724" s="604" t="s">
        <v>48</v>
      </c>
    </row>
    <row r="5725" spans="9:16">
      <c r="I5725" s="696" t="str">
        <f t="shared" si="235"/>
        <v>2014dhbMidCentralInfant</v>
      </c>
      <c r="J5725" s="604">
        <v>2014</v>
      </c>
      <c r="K5725" s="604" t="s">
        <v>448</v>
      </c>
      <c r="L5725" s="604" t="s">
        <v>94</v>
      </c>
      <c r="M5725" s="604">
        <v>3</v>
      </c>
      <c r="N5725" s="604">
        <v>2093</v>
      </c>
      <c r="O5725" s="604">
        <v>1.4</v>
      </c>
      <c r="P5725" s="604" t="s">
        <v>48</v>
      </c>
    </row>
    <row r="5726" spans="9:16">
      <c r="I5726" s="696" t="str">
        <f t="shared" si="235"/>
        <v>2014dhbWhanganuiInfant</v>
      </c>
      <c r="J5726" s="604">
        <v>2014</v>
      </c>
      <c r="K5726" s="604" t="s">
        <v>448</v>
      </c>
      <c r="L5726" s="604" t="s">
        <v>95</v>
      </c>
      <c r="M5726" s="604">
        <v>4</v>
      </c>
      <c r="N5726" s="604">
        <v>800</v>
      </c>
      <c r="O5726" s="604">
        <v>5</v>
      </c>
      <c r="P5726" s="604" t="s">
        <v>48</v>
      </c>
    </row>
    <row r="5727" spans="9:16">
      <c r="I5727" s="696" t="str">
        <f t="shared" si="235"/>
        <v>2014dhbCapital &amp; CoastInfant</v>
      </c>
      <c r="J5727" s="604">
        <v>2014</v>
      </c>
      <c r="K5727" s="604" t="s">
        <v>448</v>
      </c>
      <c r="L5727" s="604" t="s">
        <v>96</v>
      </c>
      <c r="M5727" s="604">
        <v>15</v>
      </c>
      <c r="N5727" s="604">
        <v>3559</v>
      </c>
      <c r="O5727" s="604">
        <v>4.2</v>
      </c>
      <c r="P5727" s="604" t="s">
        <v>48</v>
      </c>
    </row>
    <row r="5728" spans="9:16">
      <c r="I5728" s="696" t="str">
        <f t="shared" si="235"/>
        <v>2014dhbHutt ValleyInfant</v>
      </c>
      <c r="J5728" s="604">
        <v>2014</v>
      </c>
      <c r="K5728" s="604" t="s">
        <v>448</v>
      </c>
      <c r="L5728" s="604" t="s">
        <v>97</v>
      </c>
      <c r="M5728" s="604">
        <v>5</v>
      </c>
      <c r="N5728" s="604">
        <v>1814</v>
      </c>
      <c r="O5728" s="604">
        <v>2.8</v>
      </c>
      <c r="P5728" s="604" t="s">
        <v>48</v>
      </c>
    </row>
    <row r="5729" spans="9:16">
      <c r="I5729" s="696" t="str">
        <f t="shared" si="235"/>
        <v>2014dhbWairarapaInfant</v>
      </c>
      <c r="J5729" s="604">
        <v>2014</v>
      </c>
      <c r="K5729" s="604" t="s">
        <v>448</v>
      </c>
      <c r="L5729" s="604" t="s">
        <v>98</v>
      </c>
      <c r="M5729" s="604">
        <v>1</v>
      </c>
      <c r="N5729" s="604">
        <v>493</v>
      </c>
      <c r="O5729" s="604">
        <v>2</v>
      </c>
      <c r="P5729" s="604" t="s">
        <v>48</v>
      </c>
    </row>
    <row r="5730" spans="9:16">
      <c r="I5730" s="696" t="str">
        <f t="shared" si="235"/>
        <v>2014dhbNelson MarlboroughInfant</v>
      </c>
      <c r="J5730" s="604">
        <v>2014</v>
      </c>
      <c r="K5730" s="604" t="s">
        <v>448</v>
      </c>
      <c r="L5730" s="604" t="s">
        <v>99</v>
      </c>
      <c r="M5730" s="604">
        <v>10</v>
      </c>
      <c r="N5730" s="604">
        <v>1449</v>
      </c>
      <c r="O5730" s="604">
        <v>6.9</v>
      </c>
      <c r="P5730" s="604" t="s">
        <v>48</v>
      </c>
    </row>
    <row r="5731" spans="9:16">
      <c r="I5731" s="696" t="str">
        <f t="shared" si="235"/>
        <v>2014dhbWest CoastInfant</v>
      </c>
      <c r="J5731" s="604">
        <v>2014</v>
      </c>
      <c r="K5731" s="604" t="s">
        <v>448</v>
      </c>
      <c r="L5731" s="604" t="s">
        <v>100</v>
      </c>
      <c r="M5731" s="604">
        <v>3</v>
      </c>
      <c r="N5731" s="604">
        <v>381</v>
      </c>
      <c r="O5731" s="604">
        <v>7.9</v>
      </c>
      <c r="P5731" s="604" t="s">
        <v>48</v>
      </c>
    </row>
    <row r="5732" spans="9:16">
      <c r="I5732" s="696" t="str">
        <f t="shared" si="235"/>
        <v>2014dhbCanterburyInfant</v>
      </c>
      <c r="J5732" s="604">
        <v>2014</v>
      </c>
      <c r="K5732" s="604" t="s">
        <v>448</v>
      </c>
      <c r="L5732" s="604" t="s">
        <v>101</v>
      </c>
      <c r="M5732" s="604">
        <v>25</v>
      </c>
      <c r="N5732" s="604">
        <v>5993</v>
      </c>
      <c r="O5732" s="604">
        <v>4.2</v>
      </c>
      <c r="P5732" s="604" t="s">
        <v>48</v>
      </c>
    </row>
    <row r="5733" spans="9:16">
      <c r="I5733" s="696" t="str">
        <f t="shared" si="235"/>
        <v>2014dhbSouth CanterburyInfant</v>
      </c>
      <c r="J5733" s="604">
        <v>2014</v>
      </c>
      <c r="K5733" s="604" t="s">
        <v>448</v>
      </c>
      <c r="L5733" s="604" t="s">
        <v>102</v>
      </c>
      <c r="M5733" s="604">
        <v>3</v>
      </c>
      <c r="N5733" s="604">
        <v>624</v>
      </c>
      <c r="O5733" s="604">
        <v>4.8</v>
      </c>
      <c r="P5733" s="604" t="s">
        <v>48</v>
      </c>
    </row>
    <row r="5734" spans="9:16">
      <c r="I5734" s="696" t="str">
        <f t="shared" si="235"/>
        <v>2014dhbSouthernInfant</v>
      </c>
      <c r="J5734" s="604">
        <v>2014</v>
      </c>
      <c r="K5734" s="604" t="s">
        <v>448</v>
      </c>
      <c r="L5734" s="604" t="s">
        <v>103</v>
      </c>
      <c r="M5734" s="604">
        <v>17</v>
      </c>
      <c r="N5734" s="604">
        <v>3269</v>
      </c>
      <c r="O5734" s="604">
        <v>5.2</v>
      </c>
      <c r="P5734" s="604" t="s">
        <v>48</v>
      </c>
    </row>
    <row r="5735" spans="9:16">
      <c r="I5735" s="696" t="str">
        <f t="shared" si="235"/>
        <v>2014dhbUnknownInfant</v>
      </c>
      <c r="J5735" s="604">
        <v>2014</v>
      </c>
      <c r="K5735" s="604" t="s">
        <v>448</v>
      </c>
      <c r="L5735" s="604" t="s">
        <v>63</v>
      </c>
      <c r="M5735" s="604">
        <v>2</v>
      </c>
      <c r="N5735" s="604">
        <v>212</v>
      </c>
      <c r="O5735" s="604" t="s">
        <v>119</v>
      </c>
      <c r="P5735" s="604" t="s">
        <v>48</v>
      </c>
    </row>
    <row r="5736" spans="9:16">
      <c r="I5736" s="696" t="str">
        <f t="shared" si="235"/>
        <v>2015dhbNorthlandInfant</v>
      </c>
      <c r="J5736" s="604">
        <v>2015</v>
      </c>
      <c r="K5736" s="604" t="s">
        <v>448</v>
      </c>
      <c r="L5736" s="604" t="s">
        <v>85</v>
      </c>
      <c r="M5736" s="604">
        <v>7</v>
      </c>
      <c r="N5736" s="604">
        <v>2287</v>
      </c>
      <c r="O5736" s="604">
        <v>3.1</v>
      </c>
      <c r="P5736" s="604" t="s">
        <v>48</v>
      </c>
    </row>
    <row r="5737" spans="9:16">
      <c r="I5737" s="696" t="str">
        <f t="shared" si="235"/>
        <v>2015dhbWaitemataInfant</v>
      </c>
      <c r="J5737" s="604">
        <v>2015</v>
      </c>
      <c r="K5737" s="604" t="s">
        <v>448</v>
      </c>
      <c r="L5737" s="604" t="s">
        <v>86</v>
      </c>
      <c r="M5737" s="604">
        <v>22</v>
      </c>
      <c r="N5737" s="604">
        <v>8092</v>
      </c>
      <c r="O5737" s="604">
        <v>2.7</v>
      </c>
      <c r="P5737" s="604" t="s">
        <v>48</v>
      </c>
    </row>
    <row r="5738" spans="9:16">
      <c r="I5738" s="696" t="str">
        <f t="shared" si="235"/>
        <v>2015dhbAucklandInfant</v>
      </c>
      <c r="J5738" s="604">
        <v>2015</v>
      </c>
      <c r="K5738" s="604" t="s">
        <v>448</v>
      </c>
      <c r="L5738" s="604" t="s">
        <v>87</v>
      </c>
      <c r="M5738" s="604">
        <v>27</v>
      </c>
      <c r="N5738" s="604">
        <v>6264</v>
      </c>
      <c r="O5738" s="604">
        <v>4.3</v>
      </c>
      <c r="P5738" s="604" t="s">
        <v>48</v>
      </c>
    </row>
    <row r="5739" spans="9:16">
      <c r="I5739" s="696" t="str">
        <f t="shared" si="235"/>
        <v>2015dhbCounties ManukauInfant</v>
      </c>
      <c r="J5739" s="604">
        <v>2015</v>
      </c>
      <c r="K5739" s="604" t="s">
        <v>448</v>
      </c>
      <c r="L5739" s="604" t="s">
        <v>88</v>
      </c>
      <c r="M5739" s="604">
        <v>54</v>
      </c>
      <c r="N5739" s="604">
        <v>8562</v>
      </c>
      <c r="O5739" s="604">
        <v>6.3</v>
      </c>
      <c r="P5739" s="604" t="s">
        <v>48</v>
      </c>
    </row>
    <row r="5740" spans="9:16">
      <c r="I5740" s="696" t="str">
        <f t="shared" si="235"/>
        <v>2015dhbWaikatoInfant</v>
      </c>
      <c r="J5740" s="604">
        <v>2015</v>
      </c>
      <c r="K5740" s="604" t="s">
        <v>448</v>
      </c>
      <c r="L5740" s="604" t="s">
        <v>89</v>
      </c>
      <c r="M5740" s="604">
        <v>36</v>
      </c>
      <c r="N5740" s="604">
        <v>5690</v>
      </c>
      <c r="O5740" s="604">
        <v>6.3</v>
      </c>
      <c r="P5740" s="604" t="s">
        <v>48</v>
      </c>
    </row>
    <row r="5741" spans="9:16">
      <c r="I5741" s="696" t="str">
        <f t="shared" si="235"/>
        <v>2015dhbLakesInfant</v>
      </c>
      <c r="J5741" s="604">
        <v>2015</v>
      </c>
      <c r="K5741" s="604" t="s">
        <v>448</v>
      </c>
      <c r="L5741" s="604" t="s">
        <v>90</v>
      </c>
      <c r="M5741" s="604">
        <v>4</v>
      </c>
      <c r="N5741" s="604">
        <v>1591</v>
      </c>
      <c r="O5741" s="604">
        <v>2.5</v>
      </c>
      <c r="P5741" s="604" t="s">
        <v>48</v>
      </c>
    </row>
    <row r="5742" spans="9:16">
      <c r="I5742" s="696" t="str">
        <f t="shared" si="235"/>
        <v>2015dhbBay of PlentyInfant</v>
      </c>
      <c r="J5742" s="604">
        <v>2015</v>
      </c>
      <c r="K5742" s="604" t="s">
        <v>448</v>
      </c>
      <c r="L5742" s="604" t="s">
        <v>91</v>
      </c>
      <c r="M5742" s="604">
        <v>9</v>
      </c>
      <c r="N5742" s="604">
        <v>2946</v>
      </c>
      <c r="O5742" s="604">
        <v>3.1</v>
      </c>
      <c r="P5742" s="604" t="s">
        <v>48</v>
      </c>
    </row>
    <row r="5743" spans="9:16">
      <c r="I5743" s="696" t="str">
        <f t="shared" si="235"/>
        <v>2015dhbTairawhitiInfant</v>
      </c>
      <c r="J5743" s="604">
        <v>2015</v>
      </c>
      <c r="K5743" s="604" t="s">
        <v>448</v>
      </c>
      <c r="L5743" s="604" t="s">
        <v>433</v>
      </c>
      <c r="M5743" s="604">
        <v>1</v>
      </c>
      <c r="N5743" s="604">
        <v>739</v>
      </c>
      <c r="O5743" s="604">
        <v>1.4</v>
      </c>
      <c r="P5743" s="604" t="s">
        <v>48</v>
      </c>
    </row>
    <row r="5744" spans="9:16">
      <c r="I5744" s="696" t="str">
        <f t="shared" si="235"/>
        <v>2015dhbHawke's BayInfant</v>
      </c>
      <c r="J5744" s="604">
        <v>2015</v>
      </c>
      <c r="K5744" s="604" t="s">
        <v>448</v>
      </c>
      <c r="L5744" s="604" t="s">
        <v>92</v>
      </c>
      <c r="M5744" s="604">
        <v>6</v>
      </c>
      <c r="N5744" s="604">
        <v>2208</v>
      </c>
      <c r="O5744" s="604">
        <v>2.7</v>
      </c>
      <c r="P5744" s="604" t="s">
        <v>48</v>
      </c>
    </row>
    <row r="5745" spans="9:16">
      <c r="I5745" s="696" t="str">
        <f t="shared" si="235"/>
        <v>2015dhbTaranakiInfant</v>
      </c>
      <c r="J5745" s="604">
        <v>2015</v>
      </c>
      <c r="K5745" s="604" t="s">
        <v>448</v>
      </c>
      <c r="L5745" s="604" t="s">
        <v>93</v>
      </c>
      <c r="M5745" s="604">
        <v>6</v>
      </c>
      <c r="N5745" s="604">
        <v>1638</v>
      </c>
      <c r="O5745" s="604">
        <v>3.7</v>
      </c>
      <c r="P5745" s="604" t="s">
        <v>48</v>
      </c>
    </row>
    <row r="5746" spans="9:16">
      <c r="I5746" s="696" t="str">
        <f t="shared" si="235"/>
        <v>2015dhbMidCentralInfant</v>
      </c>
      <c r="J5746" s="604">
        <v>2015</v>
      </c>
      <c r="K5746" s="604" t="s">
        <v>448</v>
      </c>
      <c r="L5746" s="604" t="s">
        <v>94</v>
      </c>
      <c r="M5746" s="604">
        <v>14</v>
      </c>
      <c r="N5746" s="604">
        <v>2217</v>
      </c>
      <c r="O5746" s="604">
        <v>6.3</v>
      </c>
      <c r="P5746" s="604" t="s">
        <v>48</v>
      </c>
    </row>
    <row r="5747" spans="9:16">
      <c r="I5747" s="696" t="str">
        <f t="shared" si="235"/>
        <v>2015dhbWhanganuiInfant</v>
      </c>
      <c r="J5747" s="604">
        <v>2015</v>
      </c>
      <c r="K5747" s="604" t="s">
        <v>448</v>
      </c>
      <c r="L5747" s="604" t="s">
        <v>95</v>
      </c>
      <c r="M5747" s="604">
        <v>5</v>
      </c>
      <c r="N5747" s="604">
        <v>874</v>
      </c>
      <c r="O5747" s="604">
        <v>5.7</v>
      </c>
      <c r="P5747" s="604" t="s">
        <v>48</v>
      </c>
    </row>
    <row r="5748" spans="9:16">
      <c r="I5748" s="696" t="str">
        <f t="shared" si="235"/>
        <v>2015dhbCapital &amp; CoastInfant</v>
      </c>
      <c r="J5748" s="604">
        <v>2015</v>
      </c>
      <c r="K5748" s="604" t="s">
        <v>448</v>
      </c>
      <c r="L5748" s="604" t="s">
        <v>96</v>
      </c>
      <c r="M5748" s="604">
        <v>14</v>
      </c>
      <c r="N5748" s="604">
        <v>3615</v>
      </c>
      <c r="O5748" s="604">
        <v>3.9</v>
      </c>
      <c r="P5748" s="604" t="s">
        <v>48</v>
      </c>
    </row>
    <row r="5749" spans="9:16">
      <c r="I5749" s="696" t="str">
        <f t="shared" si="235"/>
        <v>2015dhbHutt ValleyInfant</v>
      </c>
      <c r="J5749" s="604">
        <v>2015</v>
      </c>
      <c r="K5749" s="604" t="s">
        <v>448</v>
      </c>
      <c r="L5749" s="604" t="s">
        <v>97</v>
      </c>
      <c r="M5749" s="604">
        <v>10</v>
      </c>
      <c r="N5749" s="604">
        <v>2091</v>
      </c>
      <c r="O5749" s="604">
        <v>4.8</v>
      </c>
      <c r="P5749" s="604" t="s">
        <v>48</v>
      </c>
    </row>
    <row r="5750" spans="9:16">
      <c r="I5750" s="696" t="str">
        <f t="shared" si="235"/>
        <v>2015dhbWairarapaInfant</v>
      </c>
      <c r="J5750" s="604">
        <v>2015</v>
      </c>
      <c r="K5750" s="604" t="s">
        <v>448</v>
      </c>
      <c r="L5750" s="604" t="s">
        <v>98</v>
      </c>
      <c r="M5750" s="604">
        <v>2</v>
      </c>
      <c r="N5750" s="604">
        <v>494</v>
      </c>
      <c r="O5750" s="604">
        <v>4</v>
      </c>
      <c r="P5750" s="604" t="s">
        <v>48</v>
      </c>
    </row>
    <row r="5751" spans="9:16">
      <c r="I5751" s="696" t="str">
        <f t="shared" si="235"/>
        <v>2015dhbNelson MarlboroughInfant</v>
      </c>
      <c r="J5751" s="604">
        <v>2015</v>
      </c>
      <c r="K5751" s="604" t="s">
        <v>448</v>
      </c>
      <c r="L5751" s="604" t="s">
        <v>99</v>
      </c>
      <c r="M5751" s="604">
        <v>1</v>
      </c>
      <c r="N5751" s="604">
        <v>1489</v>
      </c>
      <c r="O5751" s="604">
        <v>0.7</v>
      </c>
      <c r="P5751" s="604" t="s">
        <v>48</v>
      </c>
    </row>
    <row r="5752" spans="9:16">
      <c r="I5752" s="696" t="str">
        <f t="shared" si="235"/>
        <v>2015dhbWest CoastInfant</v>
      </c>
      <c r="J5752" s="604">
        <v>2015</v>
      </c>
      <c r="K5752" s="604" t="s">
        <v>448</v>
      </c>
      <c r="L5752" s="604" t="s">
        <v>100</v>
      </c>
      <c r="M5752" s="604">
        <v>0</v>
      </c>
      <c r="N5752" s="604">
        <v>389</v>
      </c>
      <c r="O5752" s="604">
        <v>0</v>
      </c>
      <c r="P5752" s="604" t="s">
        <v>48</v>
      </c>
    </row>
    <row r="5753" spans="9:16">
      <c r="I5753" s="696" t="str">
        <f t="shared" si="235"/>
        <v>2015dhbCanterburyInfant</v>
      </c>
      <c r="J5753" s="604">
        <v>2015</v>
      </c>
      <c r="K5753" s="604" t="s">
        <v>448</v>
      </c>
      <c r="L5753" s="604" t="s">
        <v>101</v>
      </c>
      <c r="M5753" s="604">
        <v>25</v>
      </c>
      <c r="N5753" s="604">
        <v>6439</v>
      </c>
      <c r="O5753" s="604">
        <v>3.9</v>
      </c>
      <c r="P5753" s="604" t="s">
        <v>48</v>
      </c>
    </row>
    <row r="5754" spans="9:16">
      <c r="I5754" s="696" t="str">
        <f t="shared" si="235"/>
        <v>2015dhbSouth CanterburyInfant</v>
      </c>
      <c r="J5754" s="604">
        <v>2015</v>
      </c>
      <c r="K5754" s="604" t="s">
        <v>448</v>
      </c>
      <c r="L5754" s="604" t="s">
        <v>102</v>
      </c>
      <c r="M5754" s="604">
        <v>3</v>
      </c>
      <c r="N5754" s="604">
        <v>682</v>
      </c>
      <c r="O5754" s="604">
        <v>4.4000000000000004</v>
      </c>
      <c r="P5754" s="604" t="s">
        <v>48</v>
      </c>
    </row>
    <row r="5755" spans="9:16">
      <c r="I5755" s="696" t="str">
        <f t="shared" si="235"/>
        <v>2015dhbSouthernInfant</v>
      </c>
      <c r="J5755" s="604">
        <v>2015</v>
      </c>
      <c r="K5755" s="604" t="s">
        <v>448</v>
      </c>
      <c r="L5755" s="604" t="s">
        <v>103</v>
      </c>
      <c r="M5755" s="604">
        <v>18</v>
      </c>
      <c r="N5755" s="604">
        <v>3646</v>
      </c>
      <c r="O5755" s="604">
        <v>4.9000000000000004</v>
      </c>
      <c r="P5755" s="604" t="s">
        <v>48</v>
      </c>
    </row>
    <row r="5756" spans="9:16">
      <c r="I5756" s="696" t="str">
        <f t="shared" si="235"/>
        <v>2015dhbUnknownInfant</v>
      </c>
      <c r="J5756" s="604">
        <v>2015</v>
      </c>
      <c r="K5756" s="604" t="s">
        <v>448</v>
      </c>
      <c r="L5756" s="604" t="s">
        <v>63</v>
      </c>
      <c r="M5756" s="604">
        <v>2</v>
      </c>
      <c r="N5756" s="604">
        <v>169</v>
      </c>
      <c r="O5756" s="604" t="s">
        <v>119</v>
      </c>
      <c r="P5756" s="604" t="s">
        <v>48</v>
      </c>
    </row>
    <row r="5757" spans="9:16">
      <c r="I5757" s="696" t="str">
        <f t="shared" si="235"/>
        <v>2016dhbNorthlandInfant</v>
      </c>
      <c r="J5757" s="604">
        <v>2016</v>
      </c>
      <c r="K5757" s="604" t="s">
        <v>448</v>
      </c>
      <c r="L5757" s="604" t="s">
        <v>85</v>
      </c>
      <c r="M5757" s="604">
        <v>12</v>
      </c>
      <c r="N5757" s="604">
        <v>2320</v>
      </c>
      <c r="O5757" s="604">
        <v>5.2</v>
      </c>
      <c r="P5757" s="604" t="s">
        <v>48</v>
      </c>
    </row>
    <row r="5758" spans="9:16">
      <c r="I5758" s="696" t="str">
        <f t="shared" si="235"/>
        <v>2016dhbWaitemataInfant</v>
      </c>
      <c r="J5758" s="604">
        <v>2016</v>
      </c>
      <c r="K5758" s="604" t="s">
        <v>448</v>
      </c>
      <c r="L5758" s="604" t="s">
        <v>86</v>
      </c>
      <c r="M5758" s="604">
        <v>18</v>
      </c>
      <c r="N5758" s="604">
        <v>8051</v>
      </c>
      <c r="O5758" s="604">
        <v>2.2000000000000002</v>
      </c>
      <c r="P5758" s="604" t="s">
        <v>48</v>
      </c>
    </row>
    <row r="5759" spans="9:16">
      <c r="I5759" s="696" t="str">
        <f t="shared" si="235"/>
        <v>2016dhbAucklandInfant</v>
      </c>
      <c r="J5759" s="604">
        <v>2016</v>
      </c>
      <c r="K5759" s="604" t="s">
        <v>448</v>
      </c>
      <c r="L5759" s="604" t="s">
        <v>87</v>
      </c>
      <c r="M5759" s="604">
        <v>18</v>
      </c>
      <c r="N5759" s="604">
        <v>5905</v>
      </c>
      <c r="O5759" s="604">
        <v>3</v>
      </c>
      <c r="P5759" s="604" t="s">
        <v>48</v>
      </c>
    </row>
    <row r="5760" spans="9:16">
      <c r="I5760" s="696" t="str">
        <f t="shared" si="235"/>
        <v>2016dhbCounties ManukauInfant</v>
      </c>
      <c r="J5760" s="604">
        <v>2016</v>
      </c>
      <c r="K5760" s="604" t="s">
        <v>448</v>
      </c>
      <c r="L5760" s="604" t="s">
        <v>88</v>
      </c>
      <c r="M5760" s="604">
        <v>57</v>
      </c>
      <c r="N5760" s="604">
        <v>8375</v>
      </c>
      <c r="O5760" s="604">
        <v>6.8</v>
      </c>
      <c r="P5760" s="604" t="s">
        <v>48</v>
      </c>
    </row>
    <row r="5761" spans="9:16">
      <c r="I5761" s="696" t="str">
        <f t="shared" si="235"/>
        <v>2016dhbWaikatoInfant</v>
      </c>
      <c r="J5761" s="604">
        <v>2016</v>
      </c>
      <c r="K5761" s="604" t="s">
        <v>448</v>
      </c>
      <c r="L5761" s="604" t="s">
        <v>89</v>
      </c>
      <c r="M5761" s="604">
        <v>28</v>
      </c>
      <c r="N5761" s="604">
        <v>5507</v>
      </c>
      <c r="O5761" s="604">
        <v>5.0999999999999996</v>
      </c>
      <c r="P5761" s="604" t="s">
        <v>48</v>
      </c>
    </row>
    <row r="5762" spans="9:16">
      <c r="I5762" s="696" t="str">
        <f t="shared" si="235"/>
        <v>2016dhbLakesInfant</v>
      </c>
      <c r="J5762" s="604">
        <v>2016</v>
      </c>
      <c r="K5762" s="604" t="s">
        <v>448</v>
      </c>
      <c r="L5762" s="604" t="s">
        <v>90</v>
      </c>
      <c r="M5762" s="604">
        <v>0</v>
      </c>
      <c r="N5762" s="604">
        <v>1569</v>
      </c>
      <c r="O5762" s="604">
        <v>0</v>
      </c>
      <c r="P5762" s="604" t="s">
        <v>48</v>
      </c>
    </row>
    <row r="5763" spans="9:16">
      <c r="I5763" s="696" t="str">
        <f t="shared" si="235"/>
        <v>2016dhbBay of PlentyInfant</v>
      </c>
      <c r="J5763" s="604">
        <v>2016</v>
      </c>
      <c r="K5763" s="604" t="s">
        <v>448</v>
      </c>
      <c r="L5763" s="604" t="s">
        <v>91</v>
      </c>
      <c r="M5763" s="604">
        <v>18</v>
      </c>
      <c r="N5763" s="604">
        <v>2940</v>
      </c>
      <c r="O5763" s="604">
        <v>6.1</v>
      </c>
      <c r="P5763" s="604" t="s">
        <v>48</v>
      </c>
    </row>
    <row r="5764" spans="9:16">
      <c r="I5764" s="696" t="str">
        <f t="shared" ref="I5764:I5777" si="236">J5764&amp;K5764&amp;L5764&amp;P5764</f>
        <v>2016dhbTairawhitiInfant</v>
      </c>
      <c r="J5764" s="604">
        <v>2016</v>
      </c>
      <c r="K5764" s="604" t="s">
        <v>448</v>
      </c>
      <c r="L5764" s="604" t="s">
        <v>433</v>
      </c>
      <c r="M5764" s="604">
        <v>3</v>
      </c>
      <c r="N5764" s="604">
        <v>769</v>
      </c>
      <c r="O5764" s="604">
        <v>3.9</v>
      </c>
      <c r="P5764" s="604" t="s">
        <v>48</v>
      </c>
    </row>
    <row r="5765" spans="9:16">
      <c r="I5765" s="696" t="str">
        <f t="shared" si="236"/>
        <v>2016dhbHawke's BayInfant</v>
      </c>
      <c r="J5765" s="604">
        <v>2016</v>
      </c>
      <c r="K5765" s="604" t="s">
        <v>448</v>
      </c>
      <c r="L5765" s="604" t="s">
        <v>92</v>
      </c>
      <c r="M5765" s="604">
        <v>6</v>
      </c>
      <c r="N5765" s="604">
        <v>2098</v>
      </c>
      <c r="O5765" s="604">
        <v>2.9</v>
      </c>
      <c r="P5765" s="604" t="s">
        <v>48</v>
      </c>
    </row>
    <row r="5766" spans="9:16">
      <c r="I5766" s="696" t="str">
        <f t="shared" si="236"/>
        <v>2016dhbTaranakiInfant</v>
      </c>
      <c r="J5766" s="604">
        <v>2016</v>
      </c>
      <c r="K5766" s="604" t="s">
        <v>448</v>
      </c>
      <c r="L5766" s="604" t="s">
        <v>93</v>
      </c>
      <c r="M5766" s="604">
        <v>6</v>
      </c>
      <c r="N5766" s="604">
        <v>1491</v>
      </c>
      <c r="O5766" s="604">
        <v>4</v>
      </c>
      <c r="P5766" s="604" t="s">
        <v>48</v>
      </c>
    </row>
    <row r="5767" spans="9:16">
      <c r="I5767" s="696" t="str">
        <f t="shared" si="236"/>
        <v>2016dhbMidCentralInfant</v>
      </c>
      <c r="J5767" s="604">
        <v>2016</v>
      </c>
      <c r="K5767" s="604" t="s">
        <v>448</v>
      </c>
      <c r="L5767" s="604" t="s">
        <v>94</v>
      </c>
      <c r="M5767" s="604">
        <v>10</v>
      </c>
      <c r="N5767" s="604">
        <v>2106</v>
      </c>
      <c r="O5767" s="604">
        <v>4.7</v>
      </c>
      <c r="P5767" s="604" t="s">
        <v>48</v>
      </c>
    </row>
    <row r="5768" spans="9:16">
      <c r="I5768" s="696" t="str">
        <f t="shared" si="236"/>
        <v>2016dhbWhanganuiInfant</v>
      </c>
      <c r="J5768" s="604">
        <v>2016</v>
      </c>
      <c r="K5768" s="604" t="s">
        <v>448</v>
      </c>
      <c r="L5768" s="604" t="s">
        <v>95</v>
      </c>
      <c r="M5768" s="604">
        <v>6</v>
      </c>
      <c r="N5768" s="604">
        <v>843</v>
      </c>
      <c r="O5768" s="604">
        <v>7.1</v>
      </c>
      <c r="P5768" s="604" t="s">
        <v>48</v>
      </c>
    </row>
    <row r="5769" spans="9:16">
      <c r="I5769" s="696" t="str">
        <f t="shared" si="236"/>
        <v>2016dhbCapital &amp; CoastInfant</v>
      </c>
      <c r="J5769" s="604">
        <v>2016</v>
      </c>
      <c r="K5769" s="604" t="s">
        <v>448</v>
      </c>
      <c r="L5769" s="604" t="s">
        <v>96</v>
      </c>
      <c r="M5769" s="604">
        <v>11</v>
      </c>
      <c r="N5769" s="604">
        <v>3527</v>
      </c>
      <c r="O5769" s="604">
        <v>3.1</v>
      </c>
      <c r="P5769" s="604" t="s">
        <v>48</v>
      </c>
    </row>
    <row r="5770" spans="9:16">
      <c r="I5770" s="696" t="str">
        <f t="shared" si="236"/>
        <v>2016dhbHutt ValleyInfant</v>
      </c>
      <c r="J5770" s="604">
        <v>2016</v>
      </c>
      <c r="K5770" s="604" t="s">
        <v>448</v>
      </c>
      <c r="L5770" s="604" t="s">
        <v>97</v>
      </c>
      <c r="M5770" s="604">
        <v>9</v>
      </c>
      <c r="N5770" s="604">
        <v>2004</v>
      </c>
      <c r="O5770" s="604">
        <v>4.5</v>
      </c>
      <c r="P5770" s="604" t="s">
        <v>48</v>
      </c>
    </row>
    <row r="5771" spans="9:16">
      <c r="I5771" s="696" t="str">
        <f t="shared" si="236"/>
        <v>2016dhbWairarapaInfant</v>
      </c>
      <c r="J5771" s="604">
        <v>2016</v>
      </c>
      <c r="K5771" s="604" t="s">
        <v>448</v>
      </c>
      <c r="L5771" s="604" t="s">
        <v>98</v>
      </c>
      <c r="M5771" s="604">
        <v>1</v>
      </c>
      <c r="N5771" s="604">
        <v>481</v>
      </c>
      <c r="O5771" s="604">
        <v>2.1</v>
      </c>
      <c r="P5771" s="604" t="s">
        <v>48</v>
      </c>
    </row>
    <row r="5772" spans="9:16">
      <c r="I5772" s="696" t="str">
        <f t="shared" si="236"/>
        <v>2016dhbNelson MarlboroughInfant</v>
      </c>
      <c r="J5772" s="604">
        <v>2016</v>
      </c>
      <c r="K5772" s="604" t="s">
        <v>448</v>
      </c>
      <c r="L5772" s="604" t="s">
        <v>99</v>
      </c>
      <c r="M5772" s="604">
        <v>2</v>
      </c>
      <c r="N5772" s="604">
        <v>1539</v>
      </c>
      <c r="O5772" s="604">
        <v>1.3</v>
      </c>
      <c r="P5772" s="604" t="s">
        <v>48</v>
      </c>
    </row>
    <row r="5773" spans="9:16">
      <c r="I5773" s="696" t="str">
        <f t="shared" si="236"/>
        <v>2016dhbWest CoastInfant</v>
      </c>
      <c r="J5773" s="604">
        <v>2016</v>
      </c>
      <c r="K5773" s="604" t="s">
        <v>448</v>
      </c>
      <c r="L5773" s="604" t="s">
        <v>100</v>
      </c>
      <c r="M5773" s="604">
        <v>2</v>
      </c>
      <c r="N5773" s="604">
        <v>327</v>
      </c>
      <c r="O5773" s="604">
        <v>6.1</v>
      </c>
      <c r="P5773" s="604" t="s">
        <v>48</v>
      </c>
    </row>
    <row r="5774" spans="9:16">
      <c r="I5774" s="696" t="str">
        <f t="shared" si="236"/>
        <v>2016dhbCanterburyInfant</v>
      </c>
      <c r="J5774" s="604">
        <v>2016</v>
      </c>
      <c r="K5774" s="604" t="s">
        <v>448</v>
      </c>
      <c r="L5774" s="604" t="s">
        <v>101</v>
      </c>
      <c r="M5774" s="604">
        <v>21</v>
      </c>
      <c r="N5774" s="604">
        <v>6399</v>
      </c>
      <c r="O5774" s="604">
        <v>3.3</v>
      </c>
      <c r="P5774" s="604" t="s">
        <v>48</v>
      </c>
    </row>
    <row r="5775" spans="9:16">
      <c r="I5775" s="696" t="str">
        <f t="shared" si="236"/>
        <v>2016dhbSouth CanterburyInfant</v>
      </c>
      <c r="J5775" s="604">
        <v>2016</v>
      </c>
      <c r="K5775" s="604" t="s">
        <v>448</v>
      </c>
      <c r="L5775" s="604" t="s">
        <v>102</v>
      </c>
      <c r="M5775" s="604">
        <v>3</v>
      </c>
      <c r="N5775" s="604">
        <v>641</v>
      </c>
      <c r="O5775" s="604">
        <v>4.7</v>
      </c>
      <c r="P5775" s="604" t="s">
        <v>48</v>
      </c>
    </row>
    <row r="5776" spans="9:16">
      <c r="I5776" s="696" t="str">
        <f t="shared" si="236"/>
        <v>2016dhbSouthernInfant</v>
      </c>
      <c r="J5776" s="604">
        <v>2016</v>
      </c>
      <c r="K5776" s="604" t="s">
        <v>448</v>
      </c>
      <c r="L5776" s="604" t="s">
        <v>103</v>
      </c>
      <c r="M5776" s="604">
        <v>9</v>
      </c>
      <c r="N5776" s="604">
        <v>3414</v>
      </c>
      <c r="O5776" s="604">
        <v>2.6</v>
      </c>
      <c r="P5776" s="604" t="s">
        <v>48</v>
      </c>
    </row>
    <row r="5777" spans="9:16">
      <c r="I5777" s="696" t="str">
        <f t="shared" si="236"/>
        <v>2016dhbUnknownInfant</v>
      </c>
      <c r="J5777" s="604">
        <v>2016</v>
      </c>
      <c r="K5777" s="604" t="s">
        <v>448</v>
      </c>
      <c r="L5777" s="604" t="s">
        <v>63</v>
      </c>
      <c r="M5777" s="604">
        <v>1</v>
      </c>
      <c r="N5777" s="604">
        <v>130</v>
      </c>
      <c r="O5777" s="604" t="s">
        <v>119</v>
      </c>
      <c r="P5777" s="604" t="s">
        <v>48</v>
      </c>
    </row>
  </sheetData>
  <mergeCells count="12">
    <mergeCell ref="BR1:BW1"/>
    <mergeCell ref="BY1:CD1"/>
    <mergeCell ref="CN1:CT1"/>
    <mergeCell ref="CF1:CL1"/>
    <mergeCell ref="A1:G1"/>
    <mergeCell ref="I1:P1"/>
    <mergeCell ref="R1:W1"/>
    <mergeCell ref="Y1:AH1"/>
    <mergeCell ref="AJ1:AP1"/>
    <mergeCell ref="AR1:AZ1"/>
    <mergeCell ref="BB1:BH1"/>
    <mergeCell ref="BJ1:BP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7B5CE-5D47-4E46-871B-144D65463658}">
  <sheetPr>
    <pageSetUpPr fitToPage="1"/>
  </sheetPr>
  <dimension ref="A1:H44"/>
  <sheetViews>
    <sheetView zoomScaleNormal="100" workbookViewId="0">
      <pane ySplit="3" topLeftCell="A4" activePane="bottomLeft" state="frozen"/>
      <selection pane="bottomLeft" activeCell="A4" sqref="A4"/>
    </sheetView>
  </sheetViews>
  <sheetFormatPr defaultRowHeight="15"/>
  <cols>
    <col min="1" max="1" width="154.7109375" style="65" customWidth="1"/>
    <col min="2" max="3" width="1.85546875" style="65" customWidth="1"/>
    <col min="4" max="4" width="27.42578125" style="65" customWidth="1"/>
    <col min="5" max="5" width="41.140625" style="65" customWidth="1"/>
    <col min="6" max="16384" width="9.140625" style="65"/>
  </cols>
  <sheetData>
    <row r="1" spans="1:8">
      <c r="A1" s="64"/>
      <c r="B1" s="64"/>
      <c r="C1" s="64"/>
      <c r="D1" s="64"/>
      <c r="F1" s="66"/>
      <c r="G1" s="64"/>
      <c r="H1" s="89"/>
    </row>
    <row r="2" spans="1:8">
      <c r="A2" s="64"/>
      <c r="B2" s="64"/>
      <c r="C2" s="64"/>
      <c r="D2" s="66"/>
      <c r="E2" s="66"/>
      <c r="F2" s="66"/>
      <c r="G2" s="66"/>
    </row>
    <row r="3" spans="1:8" ht="20.25">
      <c r="A3" s="844" t="s">
        <v>618</v>
      </c>
      <c r="B3" s="844"/>
      <c r="C3" s="844"/>
    </row>
    <row r="4" spans="1:8" s="845" customFormat="1" ht="12.75">
      <c r="A4" s="280"/>
      <c r="B4" s="280"/>
      <c r="C4" s="280"/>
    </row>
    <row r="5" spans="1:8">
      <c r="A5" s="846" t="s">
        <v>106</v>
      </c>
      <c r="B5" s="847"/>
      <c r="C5" s="847"/>
      <c r="D5" s="848"/>
    </row>
    <row r="6" spans="1:8" ht="19.5" customHeight="1">
      <c r="A6" s="849" t="s">
        <v>633</v>
      </c>
      <c r="B6" s="276"/>
      <c r="C6" s="276"/>
      <c r="D6" s="850"/>
    </row>
    <row r="7" spans="1:8" ht="19.5" customHeight="1">
      <c r="A7" s="849" t="s">
        <v>634</v>
      </c>
      <c r="B7" s="276"/>
      <c r="C7" s="276"/>
      <c r="D7" s="850"/>
    </row>
    <row r="8" spans="1:8" ht="32.25" customHeight="1">
      <c r="A8" s="276" t="s">
        <v>644</v>
      </c>
      <c r="B8" s="276"/>
      <c r="C8" s="276"/>
      <c r="D8" s="850"/>
      <c r="E8" s="851"/>
    </row>
    <row r="9" spans="1:8" ht="21.75" customHeight="1">
      <c r="A9" s="852" t="s">
        <v>528</v>
      </c>
      <c r="B9" s="276"/>
      <c r="C9" s="276"/>
      <c r="D9" s="850"/>
    </row>
    <row r="10" spans="1:8" ht="16.5" customHeight="1">
      <c r="A10" s="846" t="s">
        <v>73</v>
      </c>
      <c r="B10" s="847"/>
      <c r="C10" s="847"/>
      <c r="D10" s="850"/>
    </row>
    <row r="11" spans="1:8" ht="20.25" customHeight="1">
      <c r="A11" s="852" t="s">
        <v>651</v>
      </c>
      <c r="B11" s="276"/>
      <c r="C11" s="276"/>
    </row>
    <row r="12" spans="1:8" ht="18.75" customHeight="1">
      <c r="A12" s="873" t="s">
        <v>650</v>
      </c>
      <c r="B12" s="853"/>
      <c r="C12" s="853"/>
      <c r="D12" s="848"/>
    </row>
    <row r="13" spans="1:8" ht="32.25" customHeight="1">
      <c r="A13" s="276" t="s">
        <v>657</v>
      </c>
      <c r="B13" s="276"/>
      <c r="C13" s="276"/>
      <c r="D13" s="854"/>
      <c r="E13" s="855"/>
      <c r="F13" s="856"/>
    </row>
    <row r="14" spans="1:8" ht="15.75" customHeight="1">
      <c r="A14" s="846" t="s">
        <v>159</v>
      </c>
      <c r="B14" s="847"/>
      <c r="C14" s="847"/>
      <c r="D14" s="850"/>
    </row>
    <row r="15" spans="1:8" ht="20.25" customHeight="1">
      <c r="A15" s="276" t="s">
        <v>647</v>
      </c>
      <c r="B15" s="276"/>
      <c r="C15" s="276"/>
      <c r="D15" s="850"/>
    </row>
    <row r="16" spans="1:8" ht="35.25" customHeight="1">
      <c r="A16" s="276" t="s">
        <v>658</v>
      </c>
      <c r="B16" s="276"/>
      <c r="C16" s="276"/>
      <c r="D16" s="857"/>
    </row>
    <row r="17" spans="1:4" ht="35.25" customHeight="1">
      <c r="A17" s="276" t="s">
        <v>648</v>
      </c>
      <c r="B17" s="276"/>
      <c r="C17" s="276"/>
      <c r="D17" s="850"/>
    </row>
    <row r="18" spans="1:4" ht="16.5" customHeight="1">
      <c r="A18" s="846" t="s">
        <v>348</v>
      </c>
      <c r="B18" s="847"/>
      <c r="C18" s="847"/>
      <c r="D18" s="850"/>
    </row>
    <row r="19" spans="1:4" ht="20.25" customHeight="1">
      <c r="A19" s="276" t="s">
        <v>649</v>
      </c>
      <c r="B19" s="276"/>
      <c r="C19" s="276"/>
      <c r="D19" s="850"/>
    </row>
    <row r="20" spans="1:4" ht="38.25" customHeight="1">
      <c r="A20" s="276" t="s">
        <v>645</v>
      </c>
      <c r="B20" s="276"/>
      <c r="C20" s="276"/>
      <c r="D20" s="850"/>
    </row>
    <row r="21" spans="1:4" ht="18" customHeight="1">
      <c r="A21" s="846" t="s">
        <v>113</v>
      </c>
      <c r="B21" s="847"/>
      <c r="C21" s="847"/>
      <c r="D21" s="848"/>
    </row>
    <row r="22" spans="1:4" ht="36.75" customHeight="1">
      <c r="A22" s="276" t="s">
        <v>635</v>
      </c>
      <c r="B22" s="276"/>
      <c r="C22" s="276"/>
      <c r="D22" s="850"/>
    </row>
    <row r="23" spans="1:4" ht="18" customHeight="1">
      <c r="A23" s="846" t="s">
        <v>1</v>
      </c>
      <c r="B23" s="847"/>
      <c r="C23" s="847"/>
      <c r="D23" s="850"/>
    </row>
    <row r="24" spans="1:4" ht="36.75" customHeight="1">
      <c r="A24" s="858" t="s">
        <v>636</v>
      </c>
      <c r="B24" s="858"/>
      <c r="C24" s="858"/>
      <c r="D24" s="850"/>
    </row>
    <row r="25" spans="1:4" ht="18" customHeight="1">
      <c r="A25" s="846" t="s">
        <v>410</v>
      </c>
      <c r="B25" s="847"/>
      <c r="C25" s="847"/>
      <c r="D25" s="276"/>
    </row>
    <row r="26" spans="1:4" ht="38.1" customHeight="1">
      <c r="A26" s="276" t="s">
        <v>655</v>
      </c>
      <c r="B26" s="276"/>
      <c r="C26" s="276"/>
      <c r="D26" s="276"/>
    </row>
    <row r="27" spans="1:4" ht="18" customHeight="1">
      <c r="A27" s="846" t="s">
        <v>3</v>
      </c>
      <c r="B27" s="276"/>
      <c r="C27" s="276"/>
    </row>
    <row r="28" spans="1:4" ht="20.25" customHeight="1">
      <c r="A28" s="276" t="s">
        <v>640</v>
      </c>
      <c r="B28" s="276"/>
      <c r="C28" s="276"/>
      <c r="D28" s="850"/>
    </row>
    <row r="29" spans="1:4" ht="34.5" customHeight="1">
      <c r="A29" s="276" t="s">
        <v>547</v>
      </c>
      <c r="B29" s="276"/>
      <c r="C29" s="276"/>
      <c r="D29" s="850"/>
    </row>
    <row r="30" spans="1:4" ht="25.5" customHeight="1">
      <c r="A30" s="276" t="s">
        <v>637</v>
      </c>
      <c r="B30" s="276"/>
      <c r="C30" s="276"/>
      <c r="D30" s="850"/>
    </row>
    <row r="31" spans="1:4" ht="38.25">
      <c r="A31" s="276" t="s">
        <v>615</v>
      </c>
      <c r="B31" s="276"/>
      <c r="C31" s="276"/>
      <c r="D31" s="850"/>
    </row>
    <row r="32" spans="1:4" ht="25.5">
      <c r="A32" s="276" t="s">
        <v>616</v>
      </c>
      <c r="B32" s="276"/>
      <c r="C32" s="276"/>
      <c r="D32" s="859"/>
    </row>
    <row r="33" spans="1:4" ht="18" customHeight="1">
      <c r="A33" s="846" t="s">
        <v>543</v>
      </c>
      <c r="B33" s="276"/>
      <c r="C33" s="276"/>
      <c r="D33" s="850"/>
    </row>
    <row r="34" spans="1:4" ht="38.25" customHeight="1">
      <c r="A34" s="276" t="s">
        <v>617</v>
      </c>
      <c r="B34" s="276"/>
      <c r="C34" s="276"/>
      <c r="D34" s="850"/>
    </row>
    <row r="35" spans="1:4" ht="38.1" customHeight="1">
      <c r="A35" s="276" t="s">
        <v>659</v>
      </c>
    </row>
    <row r="36" spans="1:4" ht="48" customHeight="1">
      <c r="A36" s="276" t="s">
        <v>656</v>
      </c>
      <c r="D36" s="850"/>
    </row>
    <row r="37" spans="1:4" s="276" customFormat="1" ht="53.25" customHeight="1">
      <c r="A37" s="276" t="s">
        <v>662</v>
      </c>
    </row>
    <row r="38" spans="1:4" ht="18" customHeight="1">
      <c r="A38" s="846" t="s">
        <v>646</v>
      </c>
      <c r="B38" s="276"/>
      <c r="C38" s="276"/>
      <c r="D38" s="850"/>
    </row>
    <row r="39" spans="1:4" ht="38.1" customHeight="1">
      <c r="A39" s="276" t="s">
        <v>661</v>
      </c>
      <c r="B39" s="276"/>
      <c r="C39" s="276"/>
    </row>
    <row r="40" spans="1:4" ht="48.95" customHeight="1">
      <c r="A40" s="873" t="s">
        <v>668</v>
      </c>
      <c r="B40" s="276"/>
      <c r="C40" s="276"/>
      <c r="D40" s="850"/>
    </row>
    <row r="41" spans="1:4" s="103" customFormat="1" ht="15" customHeight="1">
      <c r="A41" s="874" t="s">
        <v>643</v>
      </c>
    </row>
    <row r="42" spans="1:4" s="103" customFormat="1" ht="15" customHeight="1">
      <c r="A42" s="874" t="s">
        <v>652</v>
      </c>
    </row>
    <row r="43" spans="1:4" s="103" customFormat="1" ht="15" customHeight="1">
      <c r="A43" s="874" t="s">
        <v>653</v>
      </c>
      <c r="B43" s="241"/>
      <c r="C43" s="241"/>
    </row>
    <row r="44" spans="1:4" ht="15" customHeight="1">
      <c r="A44" s="874" t="s">
        <v>654</v>
      </c>
    </row>
  </sheetData>
  <pageMargins left="0.70866141732283472" right="0.70866141732283472" top="0.74803149606299213" bottom="0.74803149606299213" header="0.31496062992125984" footer="0.31496062992125984"/>
  <pageSetup paperSize="9" scale="56" fitToHeight="0" orientation="portrait" r:id="rId1"/>
  <headerFooter>
    <oddFooter>&amp;L&amp;"Arial,Regular"&amp;8Fetal and Infant Deaths 2016&amp;R&amp;"Arial,Regular"&amp;8Page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BM29"/>
  <sheetViews>
    <sheetView zoomScaleNormal="100" workbookViewId="0">
      <pane ySplit="3" topLeftCell="A4" activePane="bottomLeft" state="frozen"/>
      <selection activeCell="A4" sqref="A4"/>
      <selection pane="bottomLeft" activeCell="A4" sqref="A4"/>
    </sheetView>
  </sheetViews>
  <sheetFormatPr defaultRowHeight="15"/>
  <cols>
    <col min="1" max="1" width="15.140625" customWidth="1"/>
    <col min="2" max="16" width="9" customWidth="1"/>
    <col min="17" max="17" width="9" style="256" customWidth="1"/>
    <col min="18" max="19" width="9" customWidth="1"/>
    <col min="20" max="20" width="9" style="397" customWidth="1"/>
    <col min="21" max="21" width="7.85546875" customWidth="1"/>
    <col min="23" max="24" width="9.140625" style="245"/>
    <col min="25" max="25" width="14.28515625" style="289" bestFit="1" customWidth="1"/>
    <col min="26" max="46" width="9.140625" style="289"/>
    <col min="47" max="65" width="9.140625" style="245"/>
  </cols>
  <sheetData>
    <row r="1" spans="1:65" s="5" customFormat="1">
      <c r="A1" s="60" t="s">
        <v>158</v>
      </c>
      <c r="B1" s="60" t="s">
        <v>115</v>
      </c>
      <c r="C1" s="88" t="s">
        <v>173</v>
      </c>
      <c r="E1" s="159" t="s">
        <v>353</v>
      </c>
      <c r="F1" s="60"/>
      <c r="G1" s="61"/>
      <c r="Q1" s="103"/>
      <c r="T1" s="103"/>
      <c r="W1" s="516"/>
      <c r="X1" s="516"/>
      <c r="Y1" s="515"/>
      <c r="Z1" s="515"/>
      <c r="AA1" s="515"/>
      <c r="AB1" s="515"/>
      <c r="AC1" s="515"/>
      <c r="AD1" s="515"/>
      <c r="AE1" s="515"/>
      <c r="AF1" s="515"/>
      <c r="AG1" s="515"/>
      <c r="AH1" s="515"/>
      <c r="AI1" s="515"/>
      <c r="AJ1" s="515"/>
      <c r="AK1" s="515"/>
      <c r="AL1" s="515"/>
      <c r="AM1" s="515"/>
      <c r="AN1" s="515"/>
      <c r="AO1" s="515"/>
      <c r="AP1" s="515"/>
      <c r="AQ1" s="515"/>
      <c r="AR1" s="515"/>
      <c r="AS1" s="515"/>
      <c r="AT1" s="515"/>
      <c r="AU1" s="516"/>
      <c r="AV1" s="516"/>
      <c r="AW1" s="516"/>
      <c r="AX1" s="516"/>
      <c r="AY1" s="516"/>
      <c r="AZ1" s="516"/>
      <c r="BA1" s="516"/>
      <c r="BB1" s="516"/>
      <c r="BC1" s="516"/>
      <c r="BD1" s="516"/>
      <c r="BE1" s="516"/>
      <c r="BF1" s="516"/>
      <c r="BG1" s="516"/>
      <c r="BH1" s="516"/>
      <c r="BI1" s="516"/>
      <c r="BJ1" s="516"/>
      <c r="BK1" s="516"/>
      <c r="BL1" s="516"/>
      <c r="BM1" s="516"/>
    </row>
    <row r="2" spans="1:65" s="5" customFormat="1" ht="9" customHeight="1">
      <c r="A2" s="60"/>
      <c r="B2" s="61"/>
      <c r="C2" s="62"/>
      <c r="D2" s="62"/>
      <c r="E2" s="62"/>
      <c r="F2" s="62"/>
      <c r="Q2" s="103"/>
      <c r="T2" s="103"/>
      <c r="W2" s="516"/>
      <c r="X2" s="516"/>
      <c r="Y2" s="515"/>
      <c r="Z2" s="515"/>
      <c r="AA2" s="515"/>
      <c r="AB2" s="515"/>
      <c r="AC2" s="515"/>
      <c r="AD2" s="515"/>
      <c r="AE2" s="515"/>
      <c r="AF2" s="515"/>
      <c r="AG2" s="515"/>
      <c r="AH2" s="515"/>
      <c r="AI2" s="515"/>
      <c r="AJ2" s="515"/>
      <c r="AK2" s="515"/>
      <c r="AL2" s="515"/>
      <c r="AM2" s="515"/>
      <c r="AN2" s="515"/>
      <c r="AO2" s="515"/>
      <c r="AP2" s="515"/>
      <c r="AQ2" s="515"/>
      <c r="AR2" s="515"/>
      <c r="AS2" s="515"/>
      <c r="AT2" s="515"/>
      <c r="AU2" s="516"/>
      <c r="AV2" s="516"/>
      <c r="AW2" s="516"/>
      <c r="AX2" s="516"/>
      <c r="AY2" s="516"/>
      <c r="AZ2" s="516"/>
      <c r="BA2" s="516"/>
      <c r="BB2" s="516"/>
      <c r="BC2" s="516"/>
      <c r="BD2" s="516"/>
      <c r="BE2" s="516"/>
      <c r="BF2" s="516"/>
      <c r="BG2" s="516"/>
      <c r="BH2" s="516"/>
      <c r="BI2" s="516"/>
      <c r="BJ2" s="516"/>
      <c r="BK2" s="516"/>
      <c r="BL2" s="516"/>
      <c r="BM2" s="516"/>
    </row>
    <row r="3" spans="1:65" s="5" customFormat="1" ht="20.25">
      <c r="A3" s="4" t="s">
        <v>106</v>
      </c>
      <c r="Q3" s="103"/>
      <c r="T3" s="103"/>
      <c r="W3" s="516"/>
      <c r="X3" s="516"/>
      <c r="Y3" s="515"/>
      <c r="Z3" s="515"/>
      <c r="AA3" s="515"/>
      <c r="AB3" s="515"/>
      <c r="AC3" s="515"/>
      <c r="AD3" s="515"/>
      <c r="AE3" s="515"/>
      <c r="AF3" s="515"/>
      <c r="AG3" s="515"/>
      <c r="AH3" s="515"/>
      <c r="AI3" s="515"/>
      <c r="AJ3" s="515"/>
      <c r="AK3" s="515"/>
      <c r="AL3" s="515"/>
      <c r="AM3" s="515"/>
      <c r="AN3" s="515"/>
      <c r="AO3" s="515"/>
      <c r="AP3" s="515"/>
      <c r="AQ3" s="515"/>
      <c r="AR3" s="515"/>
      <c r="AS3" s="515"/>
      <c r="AT3" s="515"/>
      <c r="AU3" s="516"/>
      <c r="AV3" s="516"/>
      <c r="AW3" s="516"/>
      <c r="AX3" s="516"/>
      <c r="AY3" s="516"/>
      <c r="AZ3" s="516"/>
      <c r="BA3" s="516"/>
      <c r="BB3" s="516"/>
      <c r="BC3" s="516"/>
      <c r="BD3" s="516"/>
      <c r="BE3" s="516"/>
      <c r="BF3" s="516"/>
      <c r="BG3" s="516"/>
      <c r="BH3" s="516"/>
      <c r="BI3" s="516"/>
      <c r="BJ3" s="516"/>
      <c r="BK3" s="516"/>
      <c r="BL3" s="516"/>
      <c r="BM3" s="516"/>
    </row>
    <row r="5" spans="1:65" ht="24" customHeight="1">
      <c r="A5" s="896" t="str">
        <f>Contents!E5</f>
        <v xml:space="preserve">Table 1: Number and rate of deaths, by death type, 1996−2016
</v>
      </c>
      <c r="B5" s="896"/>
      <c r="C5" s="896"/>
      <c r="D5" s="896"/>
      <c r="E5" s="896"/>
      <c r="F5" s="896"/>
      <c r="G5" s="896"/>
      <c r="H5" s="896"/>
      <c r="I5" s="896"/>
      <c r="J5" s="896"/>
      <c r="K5" s="896"/>
      <c r="L5" s="896"/>
      <c r="M5" s="896"/>
      <c r="N5" s="896"/>
      <c r="O5" s="896"/>
      <c r="P5" s="896"/>
      <c r="Q5" s="896"/>
      <c r="R5" s="896"/>
    </row>
    <row r="6" spans="1:65" s="3" customFormat="1" ht="15.75" customHeight="1">
      <c r="A6" s="28" t="s">
        <v>68</v>
      </c>
      <c r="B6" s="18">
        <v>1996</v>
      </c>
      <c r="C6" s="18">
        <v>1997</v>
      </c>
      <c r="D6" s="117" t="s">
        <v>277</v>
      </c>
      <c r="E6" s="18">
        <v>1999</v>
      </c>
      <c r="F6" s="18">
        <v>2000</v>
      </c>
      <c r="G6" s="18">
        <v>2001</v>
      </c>
      <c r="H6" s="18">
        <v>2002</v>
      </c>
      <c r="I6" s="18">
        <v>2003</v>
      </c>
      <c r="J6" s="18">
        <v>2004</v>
      </c>
      <c r="K6" s="18">
        <v>2005</v>
      </c>
      <c r="L6" s="18">
        <v>2006</v>
      </c>
      <c r="M6" s="18">
        <v>2007</v>
      </c>
      <c r="N6" s="18">
        <v>2008</v>
      </c>
      <c r="O6" s="18">
        <v>2009</v>
      </c>
      <c r="P6" s="18">
        <v>2010</v>
      </c>
      <c r="Q6" s="257">
        <v>2011</v>
      </c>
      <c r="R6" s="18">
        <v>2012</v>
      </c>
      <c r="S6" s="326">
        <v>2013</v>
      </c>
      <c r="T6" s="398">
        <v>2014</v>
      </c>
      <c r="U6" s="560">
        <v>2015</v>
      </c>
      <c r="V6" s="697">
        <v>2016</v>
      </c>
      <c r="W6" s="526"/>
      <c r="X6" s="526"/>
      <c r="Y6" s="753" t="s">
        <v>68</v>
      </c>
      <c r="Z6" s="753">
        <v>1996</v>
      </c>
      <c r="AA6" s="753">
        <v>1997</v>
      </c>
      <c r="AB6" s="753">
        <v>1998</v>
      </c>
      <c r="AC6" s="753">
        <v>1999</v>
      </c>
      <c r="AD6" s="753">
        <v>2000</v>
      </c>
      <c r="AE6" s="753">
        <v>2001</v>
      </c>
      <c r="AF6" s="753">
        <v>2002</v>
      </c>
      <c r="AG6" s="753">
        <v>2003</v>
      </c>
      <c r="AH6" s="753">
        <v>2004</v>
      </c>
      <c r="AI6" s="753">
        <v>2005</v>
      </c>
      <c r="AJ6" s="753">
        <v>2006</v>
      </c>
      <c r="AK6" s="753">
        <v>2007</v>
      </c>
      <c r="AL6" s="753">
        <v>2008</v>
      </c>
      <c r="AM6" s="753">
        <v>2009</v>
      </c>
      <c r="AN6" s="753">
        <v>2010</v>
      </c>
      <c r="AO6" s="753">
        <v>2011</v>
      </c>
      <c r="AP6" s="753">
        <v>2012</v>
      </c>
      <c r="AQ6" s="753">
        <v>2013</v>
      </c>
      <c r="AR6" s="753">
        <v>2014</v>
      </c>
      <c r="AS6" s="753">
        <v>2015</v>
      </c>
      <c r="AT6" s="753">
        <v>2016</v>
      </c>
      <c r="AU6" s="526"/>
      <c r="AV6" s="526"/>
      <c r="AW6" s="526"/>
      <c r="AX6" s="526"/>
      <c r="AY6" s="526"/>
      <c r="AZ6" s="526"/>
      <c r="BA6" s="526"/>
      <c r="BB6" s="526"/>
      <c r="BC6" s="526"/>
      <c r="BD6" s="526"/>
      <c r="BE6" s="526"/>
      <c r="BF6" s="526"/>
      <c r="BG6" s="526"/>
      <c r="BH6" s="526"/>
      <c r="BI6" s="526"/>
      <c r="BJ6" s="526"/>
      <c r="BK6" s="526"/>
      <c r="BL6" s="526"/>
      <c r="BM6" s="526"/>
    </row>
    <row r="7" spans="1:65" ht="15.75" customHeight="1">
      <c r="A7" s="30" t="s">
        <v>46</v>
      </c>
      <c r="B7" s="34"/>
      <c r="C7" s="34"/>
      <c r="D7" s="34"/>
      <c r="E7" s="34"/>
      <c r="F7" s="34"/>
      <c r="G7" s="34"/>
      <c r="H7" s="34"/>
      <c r="I7" s="34"/>
      <c r="J7" s="34"/>
      <c r="K7" s="34"/>
      <c r="L7" s="34"/>
      <c r="M7" s="34"/>
      <c r="N7" s="34"/>
      <c r="O7" s="34"/>
      <c r="P7" s="34"/>
      <c r="Q7" s="34"/>
      <c r="R7" s="34"/>
      <c r="S7" s="34"/>
      <c r="T7" s="402"/>
      <c r="U7" s="402"/>
      <c r="V7" s="402"/>
      <c r="Y7" s="754" t="s">
        <v>46</v>
      </c>
      <c r="Z7" s="754"/>
      <c r="AA7" s="754"/>
      <c r="AB7" s="754"/>
      <c r="AC7" s="754"/>
      <c r="AD7" s="754"/>
      <c r="AE7" s="754"/>
      <c r="AF7" s="754"/>
      <c r="AG7" s="754"/>
      <c r="AH7" s="754"/>
      <c r="AI7" s="754"/>
      <c r="AJ7" s="754"/>
      <c r="AK7" s="754"/>
      <c r="AL7" s="754"/>
      <c r="AM7" s="754"/>
      <c r="AN7" s="754"/>
      <c r="AO7" s="754"/>
      <c r="AP7" s="754"/>
      <c r="AQ7" s="754"/>
      <c r="AR7" s="754"/>
      <c r="AS7" s="754"/>
      <c r="AT7" s="754"/>
    </row>
    <row r="8" spans="1:65" ht="15.75" customHeight="1">
      <c r="A8" s="31" t="s">
        <v>51</v>
      </c>
      <c r="B8" s="56">
        <f>Z8</f>
        <v>57434</v>
      </c>
      <c r="C8" s="56">
        <f t="shared" ref="C8:U8" si="0">AA8</f>
        <v>57734</v>
      </c>
      <c r="D8" s="56">
        <f t="shared" si="0"/>
        <v>55521</v>
      </c>
      <c r="E8" s="56">
        <f t="shared" si="0"/>
        <v>57421</v>
      </c>
      <c r="F8" s="56">
        <f t="shared" si="0"/>
        <v>56994</v>
      </c>
      <c r="G8" s="56">
        <f t="shared" si="0"/>
        <v>56224</v>
      </c>
      <c r="H8" s="56">
        <f t="shared" si="0"/>
        <v>54515</v>
      </c>
      <c r="I8" s="56">
        <f t="shared" si="0"/>
        <v>56576</v>
      </c>
      <c r="J8" s="56">
        <f t="shared" si="0"/>
        <v>58723</v>
      </c>
      <c r="K8" s="56">
        <f t="shared" si="0"/>
        <v>58727</v>
      </c>
      <c r="L8" s="56">
        <f t="shared" si="0"/>
        <v>60274</v>
      </c>
      <c r="M8" s="56">
        <f t="shared" si="0"/>
        <v>65121</v>
      </c>
      <c r="N8" s="56">
        <f t="shared" si="0"/>
        <v>65333</v>
      </c>
      <c r="O8" s="56">
        <f t="shared" si="0"/>
        <v>63285</v>
      </c>
      <c r="P8" s="56">
        <f t="shared" si="0"/>
        <v>64699</v>
      </c>
      <c r="Q8" s="56">
        <f t="shared" si="0"/>
        <v>62174</v>
      </c>
      <c r="R8" s="56">
        <f t="shared" si="0"/>
        <v>62035</v>
      </c>
      <c r="S8" s="56">
        <f t="shared" si="0"/>
        <v>59701</v>
      </c>
      <c r="T8" s="56">
        <f t="shared" si="0"/>
        <v>58285</v>
      </c>
      <c r="U8" s="56">
        <f t="shared" si="0"/>
        <v>62122</v>
      </c>
      <c r="V8" s="56">
        <f>AT8</f>
        <v>60436</v>
      </c>
      <c r="Y8" s="754" t="s">
        <v>44</v>
      </c>
      <c r="Z8" s="754">
        <f t="shared" ref="Z8:AR8" si="1">VLOOKUP(Z6&amp;$Y$7&amp;$Y$8, vw.births, 6, FALSE)</f>
        <v>57434</v>
      </c>
      <c r="AA8" s="754">
        <f t="shared" si="1"/>
        <v>57734</v>
      </c>
      <c r="AB8" s="754">
        <f t="shared" si="1"/>
        <v>55521</v>
      </c>
      <c r="AC8" s="754">
        <f t="shared" si="1"/>
        <v>57421</v>
      </c>
      <c r="AD8" s="754">
        <f t="shared" si="1"/>
        <v>56994</v>
      </c>
      <c r="AE8" s="754">
        <f t="shared" si="1"/>
        <v>56224</v>
      </c>
      <c r="AF8" s="754">
        <f t="shared" si="1"/>
        <v>54515</v>
      </c>
      <c r="AG8" s="754">
        <f t="shared" si="1"/>
        <v>56576</v>
      </c>
      <c r="AH8" s="754">
        <f t="shared" si="1"/>
        <v>58723</v>
      </c>
      <c r="AI8" s="754">
        <f t="shared" si="1"/>
        <v>58727</v>
      </c>
      <c r="AJ8" s="754">
        <f t="shared" si="1"/>
        <v>60274</v>
      </c>
      <c r="AK8" s="754">
        <f t="shared" si="1"/>
        <v>65121</v>
      </c>
      <c r="AL8" s="754">
        <f t="shared" si="1"/>
        <v>65333</v>
      </c>
      <c r="AM8" s="754">
        <f t="shared" si="1"/>
        <v>63285</v>
      </c>
      <c r="AN8" s="754">
        <f t="shared" si="1"/>
        <v>64699</v>
      </c>
      <c r="AO8" s="754">
        <f t="shared" si="1"/>
        <v>62174</v>
      </c>
      <c r="AP8" s="754">
        <f t="shared" si="1"/>
        <v>62035</v>
      </c>
      <c r="AQ8" s="754">
        <f t="shared" si="1"/>
        <v>59701</v>
      </c>
      <c r="AR8" s="754">
        <f t="shared" si="1"/>
        <v>58285</v>
      </c>
      <c r="AS8" s="754">
        <f>VLOOKUP(AS6&amp;$Y$7&amp;$Y$8, vw.births, 6, FALSE)</f>
        <v>62122</v>
      </c>
      <c r="AT8" s="754">
        <f t="shared" ref="AT8" si="2">VLOOKUP(AT6&amp;$Y$7&amp;$Y$8, vw.births, 6, FALSE)</f>
        <v>60436</v>
      </c>
    </row>
    <row r="9" spans="1:65" ht="15.75" customHeight="1">
      <c r="A9" s="31" t="s">
        <v>44</v>
      </c>
      <c r="B9" s="56">
        <f t="shared" ref="B9:S9" si="3">B8+B11</f>
        <v>57843</v>
      </c>
      <c r="C9" s="56">
        <f t="shared" si="3"/>
        <v>58151</v>
      </c>
      <c r="D9" s="56">
        <f t="shared" si="3"/>
        <v>55869</v>
      </c>
      <c r="E9" s="56">
        <f t="shared" si="3"/>
        <v>57847</v>
      </c>
      <c r="F9" s="56">
        <f t="shared" si="3"/>
        <v>57363</v>
      </c>
      <c r="G9" s="56">
        <f t="shared" si="3"/>
        <v>56610</v>
      </c>
      <c r="H9" s="56">
        <f t="shared" si="3"/>
        <v>54905</v>
      </c>
      <c r="I9" s="56">
        <f t="shared" si="3"/>
        <v>56969</v>
      </c>
      <c r="J9" s="56">
        <f t="shared" si="3"/>
        <v>59229</v>
      </c>
      <c r="K9" s="56">
        <f t="shared" si="3"/>
        <v>59130</v>
      </c>
      <c r="L9" s="56">
        <f t="shared" si="3"/>
        <v>60683</v>
      </c>
      <c r="M9" s="56">
        <f t="shared" si="3"/>
        <v>65591</v>
      </c>
      <c r="N9" s="56">
        <f t="shared" si="3"/>
        <v>65889</v>
      </c>
      <c r="O9" s="56">
        <f t="shared" si="3"/>
        <v>63767</v>
      </c>
      <c r="P9" s="56">
        <f t="shared" si="3"/>
        <v>65168</v>
      </c>
      <c r="Q9" s="56">
        <f t="shared" si="3"/>
        <v>62625</v>
      </c>
      <c r="R9" s="56">
        <f t="shared" si="3"/>
        <v>62483</v>
      </c>
      <c r="S9" s="56">
        <f t="shared" si="3"/>
        <v>60094</v>
      </c>
      <c r="T9" s="56">
        <f>T8+T11</f>
        <v>58732</v>
      </c>
      <c r="U9" s="56">
        <f>U8+U11</f>
        <v>62506</v>
      </c>
      <c r="V9" s="56">
        <f>V8+V11</f>
        <v>60849</v>
      </c>
      <c r="Y9" s="754"/>
      <c r="Z9" s="754"/>
      <c r="AA9" s="754"/>
      <c r="AB9" s="754"/>
      <c r="AC9" s="754"/>
      <c r="AD9" s="754"/>
      <c r="AE9" s="754"/>
      <c r="AF9" s="754"/>
      <c r="AG9" s="754"/>
      <c r="AH9" s="754"/>
      <c r="AI9" s="754"/>
      <c r="AJ9" s="754"/>
      <c r="AK9" s="754"/>
      <c r="AL9" s="754"/>
      <c r="AM9" s="754"/>
      <c r="AN9" s="754"/>
      <c r="AO9" s="754"/>
      <c r="AP9" s="754"/>
      <c r="AQ9" s="754"/>
      <c r="AR9" s="754"/>
      <c r="AS9" s="754"/>
      <c r="AT9" s="754"/>
    </row>
    <row r="10" spans="1:65" s="40" customFormat="1" ht="15.75" customHeight="1">
      <c r="A10" s="50" t="s">
        <v>278</v>
      </c>
      <c r="B10" s="50"/>
      <c r="C10" s="50"/>
      <c r="D10" s="50"/>
      <c r="E10" s="50"/>
      <c r="F10" s="50"/>
      <c r="G10" s="50"/>
      <c r="H10" s="50"/>
      <c r="I10" s="50"/>
      <c r="J10" s="50"/>
      <c r="K10" s="50"/>
      <c r="L10" s="50"/>
      <c r="M10" s="50"/>
      <c r="N10" s="50"/>
      <c r="O10" s="50"/>
      <c r="P10" s="50"/>
      <c r="Q10" s="108"/>
      <c r="R10" s="50"/>
      <c r="S10" s="108"/>
      <c r="T10" s="108"/>
      <c r="U10" s="108"/>
      <c r="V10" s="108"/>
      <c r="W10" s="526"/>
      <c r="X10" s="526"/>
      <c r="Y10" s="753" t="s">
        <v>299</v>
      </c>
      <c r="Z10" s="753"/>
      <c r="AA10" s="753"/>
      <c r="AB10" s="753"/>
      <c r="AC10" s="753"/>
      <c r="AD10" s="753"/>
      <c r="AE10" s="753"/>
      <c r="AF10" s="753"/>
      <c r="AG10" s="753"/>
      <c r="AH10" s="753"/>
      <c r="AI10" s="753"/>
      <c r="AJ10" s="753"/>
      <c r="AK10" s="753"/>
      <c r="AL10" s="753"/>
      <c r="AM10" s="753"/>
      <c r="AN10" s="753"/>
      <c r="AO10" s="753"/>
      <c r="AP10" s="753"/>
      <c r="AQ10" s="753"/>
      <c r="AR10" s="753"/>
      <c r="AS10" s="753"/>
      <c r="AT10" s="753"/>
      <c r="AU10" s="526"/>
      <c r="AV10" s="526"/>
      <c r="AW10" s="526"/>
      <c r="AX10" s="526"/>
      <c r="AY10" s="526"/>
      <c r="AZ10" s="526"/>
      <c r="BA10" s="526"/>
      <c r="BB10" s="526"/>
      <c r="BC10" s="526"/>
      <c r="BD10" s="526"/>
      <c r="BE10" s="526"/>
      <c r="BF10" s="526"/>
      <c r="BG10" s="526"/>
      <c r="BH10" s="526"/>
      <c r="BI10" s="526"/>
      <c r="BJ10" s="526"/>
      <c r="BK10" s="526"/>
      <c r="BL10" s="526"/>
      <c r="BM10" s="526"/>
    </row>
    <row r="11" spans="1:65" s="3" customFormat="1" ht="15.75" customHeight="1">
      <c r="A11" s="29" t="s">
        <v>47</v>
      </c>
      <c r="B11" s="55">
        <f>Z11</f>
        <v>409</v>
      </c>
      <c r="C11" s="55">
        <f t="shared" ref="C11:V17" si="4">AA11</f>
        <v>417</v>
      </c>
      <c r="D11" s="55">
        <f t="shared" si="4"/>
        <v>348</v>
      </c>
      <c r="E11" s="55">
        <f t="shared" si="4"/>
        <v>426</v>
      </c>
      <c r="F11" s="55">
        <f t="shared" si="4"/>
        <v>369</v>
      </c>
      <c r="G11" s="55">
        <f t="shared" si="4"/>
        <v>386</v>
      </c>
      <c r="H11" s="55">
        <f t="shared" si="4"/>
        <v>390</v>
      </c>
      <c r="I11" s="55">
        <f t="shared" si="4"/>
        <v>393</v>
      </c>
      <c r="J11" s="55">
        <f t="shared" si="4"/>
        <v>506</v>
      </c>
      <c r="K11" s="55">
        <f t="shared" si="4"/>
        <v>403</v>
      </c>
      <c r="L11" s="55">
        <f t="shared" si="4"/>
        <v>409</v>
      </c>
      <c r="M11" s="55">
        <f t="shared" si="4"/>
        <v>470</v>
      </c>
      <c r="N11" s="55">
        <f t="shared" si="4"/>
        <v>556</v>
      </c>
      <c r="O11" s="55">
        <f t="shared" si="4"/>
        <v>482</v>
      </c>
      <c r="P11" s="55">
        <f t="shared" si="4"/>
        <v>469</v>
      </c>
      <c r="Q11" s="55">
        <f t="shared" si="4"/>
        <v>451</v>
      </c>
      <c r="R11" s="55">
        <f t="shared" si="4"/>
        <v>448</v>
      </c>
      <c r="S11" s="55">
        <f t="shared" si="4"/>
        <v>393</v>
      </c>
      <c r="T11" s="55">
        <f t="shared" si="4"/>
        <v>447</v>
      </c>
      <c r="U11" s="55">
        <f t="shared" si="4"/>
        <v>384</v>
      </c>
      <c r="V11" s="55">
        <f t="shared" si="4"/>
        <v>413</v>
      </c>
      <c r="W11" s="526"/>
      <c r="X11" s="526"/>
      <c r="Y11" s="753" t="s">
        <v>47</v>
      </c>
      <c r="Z11" s="753">
        <f t="shared" ref="Z11:AR11" si="5">VLOOKUP(Z6&amp;$Y$10&amp;$Y$11, vw.overview, 5, FALSE)</f>
        <v>409</v>
      </c>
      <c r="AA11" s="753">
        <f t="shared" si="5"/>
        <v>417</v>
      </c>
      <c r="AB11" s="753">
        <f t="shared" si="5"/>
        <v>348</v>
      </c>
      <c r="AC11" s="753">
        <f t="shared" si="5"/>
        <v>426</v>
      </c>
      <c r="AD11" s="753">
        <f t="shared" si="5"/>
        <v>369</v>
      </c>
      <c r="AE11" s="753">
        <f t="shared" si="5"/>
        <v>386</v>
      </c>
      <c r="AF11" s="753">
        <f t="shared" si="5"/>
        <v>390</v>
      </c>
      <c r="AG11" s="753">
        <f t="shared" si="5"/>
        <v>393</v>
      </c>
      <c r="AH11" s="753">
        <f t="shared" si="5"/>
        <v>506</v>
      </c>
      <c r="AI11" s="753">
        <f t="shared" si="5"/>
        <v>403</v>
      </c>
      <c r="AJ11" s="753">
        <f t="shared" si="5"/>
        <v>409</v>
      </c>
      <c r="AK11" s="753">
        <f t="shared" si="5"/>
        <v>470</v>
      </c>
      <c r="AL11" s="753">
        <f t="shared" si="5"/>
        <v>556</v>
      </c>
      <c r="AM11" s="753">
        <f t="shared" si="5"/>
        <v>482</v>
      </c>
      <c r="AN11" s="753">
        <f t="shared" si="5"/>
        <v>469</v>
      </c>
      <c r="AO11" s="753">
        <f t="shared" si="5"/>
        <v>451</v>
      </c>
      <c r="AP11" s="753">
        <f t="shared" si="5"/>
        <v>448</v>
      </c>
      <c r="AQ11" s="753">
        <f t="shared" si="5"/>
        <v>393</v>
      </c>
      <c r="AR11" s="753">
        <f t="shared" si="5"/>
        <v>447</v>
      </c>
      <c r="AS11" s="753">
        <f t="shared" ref="AS11:AT11" si="6">VLOOKUP(AS6&amp;$Y$10&amp;$Y$11, vw.overview, 5, FALSE)</f>
        <v>384</v>
      </c>
      <c r="AT11" s="753">
        <f t="shared" si="6"/>
        <v>413</v>
      </c>
      <c r="AU11" s="526"/>
      <c r="AV11" s="526"/>
      <c r="AW11" s="526"/>
      <c r="AX11" s="526"/>
      <c r="AY11" s="526"/>
      <c r="AZ11" s="526"/>
      <c r="BA11" s="526"/>
      <c r="BB11" s="526"/>
      <c r="BC11" s="526"/>
      <c r="BD11" s="526"/>
      <c r="BE11" s="526"/>
      <c r="BF11" s="526"/>
      <c r="BG11" s="526"/>
      <c r="BH11" s="526"/>
      <c r="BI11" s="526"/>
      <c r="BJ11" s="526"/>
      <c r="BK11" s="526"/>
      <c r="BL11" s="526"/>
      <c r="BM11" s="526"/>
    </row>
    <row r="12" spans="1:65" s="3" customFormat="1" ht="15.75" customHeight="1">
      <c r="A12" s="29" t="s">
        <v>41</v>
      </c>
      <c r="B12" s="55">
        <f t="shared" ref="B12:B17" si="7">Z12</f>
        <v>173</v>
      </c>
      <c r="C12" s="55">
        <f t="shared" si="4"/>
        <v>171</v>
      </c>
      <c r="D12" s="55">
        <f t="shared" si="4"/>
        <v>136</v>
      </c>
      <c r="E12" s="55">
        <f t="shared" si="4"/>
        <v>156</v>
      </c>
      <c r="F12" s="55">
        <f t="shared" si="4"/>
        <v>174</v>
      </c>
      <c r="G12" s="55">
        <f t="shared" si="4"/>
        <v>143</v>
      </c>
      <c r="H12" s="55">
        <f t="shared" si="4"/>
        <v>185</v>
      </c>
      <c r="I12" s="55">
        <f t="shared" si="4"/>
        <v>141</v>
      </c>
      <c r="J12" s="55">
        <f t="shared" si="4"/>
        <v>160</v>
      </c>
      <c r="K12" s="55">
        <f t="shared" si="4"/>
        <v>148</v>
      </c>
      <c r="L12" s="55">
        <f t="shared" si="4"/>
        <v>137</v>
      </c>
      <c r="M12" s="55">
        <f t="shared" si="4"/>
        <v>134</v>
      </c>
      <c r="N12" s="55">
        <f t="shared" si="4"/>
        <v>145</v>
      </c>
      <c r="O12" s="55">
        <f t="shared" si="4"/>
        <v>152</v>
      </c>
      <c r="P12" s="55">
        <f t="shared" si="4"/>
        <v>192</v>
      </c>
      <c r="Q12" s="55">
        <f t="shared" si="4"/>
        <v>171</v>
      </c>
      <c r="R12" s="55">
        <f t="shared" si="4"/>
        <v>160</v>
      </c>
      <c r="S12" s="55">
        <f t="shared" si="4"/>
        <v>166</v>
      </c>
      <c r="T12" s="55">
        <f t="shared" si="4"/>
        <v>208</v>
      </c>
      <c r="U12" s="55">
        <f t="shared" si="4"/>
        <v>144</v>
      </c>
      <c r="V12" s="55">
        <f t="shared" si="4"/>
        <v>133</v>
      </c>
      <c r="W12" s="526"/>
      <c r="X12" s="526"/>
      <c r="Y12" s="753" t="s">
        <v>41</v>
      </c>
      <c r="Z12" s="753">
        <f t="shared" ref="Z12:AR12" si="8">VLOOKUP(Z6&amp;$Y$10&amp;$Y$12, vw.overview, 5, FALSE)</f>
        <v>173</v>
      </c>
      <c r="AA12" s="753">
        <f t="shared" si="8"/>
        <v>171</v>
      </c>
      <c r="AB12" s="753">
        <f t="shared" si="8"/>
        <v>136</v>
      </c>
      <c r="AC12" s="753">
        <f t="shared" si="8"/>
        <v>156</v>
      </c>
      <c r="AD12" s="753">
        <f t="shared" si="8"/>
        <v>174</v>
      </c>
      <c r="AE12" s="753">
        <f t="shared" si="8"/>
        <v>143</v>
      </c>
      <c r="AF12" s="753">
        <f t="shared" si="8"/>
        <v>185</v>
      </c>
      <c r="AG12" s="753">
        <f t="shared" si="8"/>
        <v>141</v>
      </c>
      <c r="AH12" s="753">
        <f t="shared" si="8"/>
        <v>160</v>
      </c>
      <c r="AI12" s="753">
        <f t="shared" si="8"/>
        <v>148</v>
      </c>
      <c r="AJ12" s="753">
        <f t="shared" si="8"/>
        <v>137</v>
      </c>
      <c r="AK12" s="753">
        <f t="shared" si="8"/>
        <v>134</v>
      </c>
      <c r="AL12" s="753">
        <f t="shared" si="8"/>
        <v>145</v>
      </c>
      <c r="AM12" s="753">
        <f t="shared" si="8"/>
        <v>152</v>
      </c>
      <c r="AN12" s="753">
        <f t="shared" si="8"/>
        <v>192</v>
      </c>
      <c r="AO12" s="753">
        <f t="shared" si="8"/>
        <v>171</v>
      </c>
      <c r="AP12" s="753">
        <f t="shared" si="8"/>
        <v>160</v>
      </c>
      <c r="AQ12" s="753">
        <f t="shared" si="8"/>
        <v>166</v>
      </c>
      <c r="AR12" s="753">
        <f t="shared" si="8"/>
        <v>208</v>
      </c>
      <c r="AS12" s="753">
        <f t="shared" ref="AS12:AT12" si="9">VLOOKUP(AS6&amp;$Y$10&amp;$Y$12, vw.overview, 5, FALSE)</f>
        <v>144</v>
      </c>
      <c r="AT12" s="753">
        <f t="shared" si="9"/>
        <v>133</v>
      </c>
      <c r="AU12" s="526"/>
      <c r="AV12" s="526"/>
      <c r="AW12" s="526"/>
      <c r="AX12" s="526"/>
      <c r="AY12" s="526"/>
      <c r="AZ12" s="526"/>
      <c r="BA12" s="526"/>
      <c r="BB12" s="526"/>
      <c r="BC12" s="526"/>
      <c r="BD12" s="526"/>
      <c r="BE12" s="526"/>
      <c r="BF12" s="526"/>
      <c r="BG12" s="526"/>
      <c r="BH12" s="526"/>
      <c r="BI12" s="526"/>
      <c r="BJ12" s="526"/>
      <c r="BK12" s="526"/>
      <c r="BL12" s="526"/>
      <c r="BM12" s="526"/>
    </row>
    <row r="13" spans="1:65" s="3" customFormat="1" ht="15.75" customHeight="1">
      <c r="A13" s="29" t="s">
        <v>42</v>
      </c>
      <c r="B13" s="55">
        <f t="shared" si="7"/>
        <v>50</v>
      </c>
      <c r="C13" s="55">
        <f t="shared" si="4"/>
        <v>38</v>
      </c>
      <c r="D13" s="55">
        <f t="shared" si="4"/>
        <v>35</v>
      </c>
      <c r="E13" s="55">
        <f t="shared" si="4"/>
        <v>26</v>
      </c>
      <c r="F13" s="55">
        <f t="shared" si="4"/>
        <v>42</v>
      </c>
      <c r="G13" s="55">
        <f t="shared" si="4"/>
        <v>27</v>
      </c>
      <c r="H13" s="55">
        <f t="shared" si="4"/>
        <v>36</v>
      </c>
      <c r="I13" s="55">
        <f t="shared" si="4"/>
        <v>43</v>
      </c>
      <c r="J13" s="55">
        <f t="shared" si="4"/>
        <v>37</v>
      </c>
      <c r="K13" s="55">
        <f t="shared" si="4"/>
        <v>35</v>
      </c>
      <c r="L13" s="55">
        <f t="shared" si="4"/>
        <v>28</v>
      </c>
      <c r="M13" s="55">
        <f t="shared" si="4"/>
        <v>32</v>
      </c>
      <c r="N13" s="55">
        <f t="shared" si="4"/>
        <v>42</v>
      </c>
      <c r="O13" s="55">
        <f t="shared" si="4"/>
        <v>45</v>
      </c>
      <c r="P13" s="55">
        <f t="shared" si="4"/>
        <v>42</v>
      </c>
      <c r="Q13" s="55">
        <f t="shared" si="4"/>
        <v>26</v>
      </c>
      <c r="R13" s="55">
        <f t="shared" si="4"/>
        <v>34</v>
      </c>
      <c r="S13" s="55">
        <f t="shared" si="4"/>
        <v>32</v>
      </c>
      <c r="T13" s="55">
        <f t="shared" si="4"/>
        <v>32</v>
      </c>
      <c r="U13" s="55">
        <f t="shared" si="4"/>
        <v>31</v>
      </c>
      <c r="V13" s="55">
        <f t="shared" si="4"/>
        <v>28</v>
      </c>
      <c r="W13" s="526"/>
      <c r="X13" s="526"/>
      <c r="Y13" s="753" t="s">
        <v>42</v>
      </c>
      <c r="Z13" s="753">
        <f t="shared" ref="Z13:AR13" si="10">VLOOKUP(Z6&amp;$Y$10&amp;$Y$13, vw.overview, 5, FALSE)</f>
        <v>50</v>
      </c>
      <c r="AA13" s="753">
        <f t="shared" si="10"/>
        <v>38</v>
      </c>
      <c r="AB13" s="753">
        <f t="shared" si="10"/>
        <v>35</v>
      </c>
      <c r="AC13" s="753">
        <f t="shared" si="10"/>
        <v>26</v>
      </c>
      <c r="AD13" s="753">
        <f t="shared" si="10"/>
        <v>42</v>
      </c>
      <c r="AE13" s="753">
        <f t="shared" si="10"/>
        <v>27</v>
      </c>
      <c r="AF13" s="753">
        <f t="shared" si="10"/>
        <v>36</v>
      </c>
      <c r="AG13" s="753">
        <f t="shared" si="10"/>
        <v>43</v>
      </c>
      <c r="AH13" s="753">
        <f t="shared" si="10"/>
        <v>37</v>
      </c>
      <c r="AI13" s="753">
        <f t="shared" si="10"/>
        <v>35</v>
      </c>
      <c r="AJ13" s="753">
        <f t="shared" si="10"/>
        <v>28</v>
      </c>
      <c r="AK13" s="753">
        <f t="shared" si="10"/>
        <v>32</v>
      </c>
      <c r="AL13" s="753">
        <f t="shared" si="10"/>
        <v>42</v>
      </c>
      <c r="AM13" s="753">
        <f t="shared" si="10"/>
        <v>45</v>
      </c>
      <c r="AN13" s="753">
        <f t="shared" si="10"/>
        <v>42</v>
      </c>
      <c r="AO13" s="753">
        <f t="shared" si="10"/>
        <v>26</v>
      </c>
      <c r="AP13" s="753">
        <f t="shared" si="10"/>
        <v>34</v>
      </c>
      <c r="AQ13" s="753">
        <f t="shared" si="10"/>
        <v>32</v>
      </c>
      <c r="AR13" s="753">
        <f t="shared" si="10"/>
        <v>32</v>
      </c>
      <c r="AS13" s="753">
        <f t="shared" ref="AS13:AT13" si="11">VLOOKUP(AS6&amp;$Y$10&amp;$Y$13, vw.overview, 5, FALSE)</f>
        <v>31</v>
      </c>
      <c r="AT13" s="753">
        <f t="shared" si="11"/>
        <v>28</v>
      </c>
      <c r="AU13" s="526"/>
      <c r="AV13" s="526"/>
      <c r="AW13" s="526"/>
      <c r="AX13" s="526"/>
      <c r="AY13" s="526"/>
      <c r="AZ13" s="526"/>
      <c r="BA13" s="526"/>
      <c r="BB13" s="526"/>
      <c r="BC13" s="526"/>
      <c r="BD13" s="526"/>
      <c r="BE13" s="526"/>
      <c r="BF13" s="526"/>
      <c r="BG13" s="526"/>
      <c r="BH13" s="526"/>
      <c r="BI13" s="526"/>
      <c r="BJ13" s="526"/>
      <c r="BK13" s="526"/>
      <c r="BL13" s="526"/>
      <c r="BM13" s="526"/>
    </row>
    <row r="14" spans="1:65" s="3" customFormat="1" ht="15.75" customHeight="1">
      <c r="A14" s="29" t="s">
        <v>43</v>
      </c>
      <c r="B14" s="55">
        <f t="shared" si="7"/>
        <v>194</v>
      </c>
      <c r="C14" s="55">
        <f t="shared" si="4"/>
        <v>182</v>
      </c>
      <c r="D14" s="55">
        <f t="shared" si="4"/>
        <v>137</v>
      </c>
      <c r="E14" s="55">
        <f t="shared" si="4"/>
        <v>153</v>
      </c>
      <c r="F14" s="55">
        <f t="shared" si="4"/>
        <v>143</v>
      </c>
      <c r="G14" s="55">
        <f t="shared" si="4"/>
        <v>145</v>
      </c>
      <c r="H14" s="55">
        <f t="shared" si="4"/>
        <v>116</v>
      </c>
      <c r="I14" s="55">
        <f t="shared" si="4"/>
        <v>120</v>
      </c>
      <c r="J14" s="55">
        <f t="shared" si="4"/>
        <v>149</v>
      </c>
      <c r="K14" s="55">
        <f t="shared" si="4"/>
        <v>111</v>
      </c>
      <c r="L14" s="55">
        <f t="shared" si="4"/>
        <v>143</v>
      </c>
      <c r="M14" s="55">
        <f t="shared" si="4"/>
        <v>146</v>
      </c>
      <c r="N14" s="55">
        <f t="shared" si="4"/>
        <v>136</v>
      </c>
      <c r="O14" s="55">
        <f t="shared" si="4"/>
        <v>135</v>
      </c>
      <c r="P14" s="55">
        <f t="shared" si="4"/>
        <v>127</v>
      </c>
      <c r="Q14" s="55">
        <f t="shared" si="4"/>
        <v>125</v>
      </c>
      <c r="R14" s="55">
        <f t="shared" si="4"/>
        <v>100</v>
      </c>
      <c r="S14" s="55">
        <f t="shared" si="4"/>
        <v>98</v>
      </c>
      <c r="T14" s="55">
        <f t="shared" si="4"/>
        <v>93</v>
      </c>
      <c r="U14" s="55">
        <f t="shared" si="4"/>
        <v>91</v>
      </c>
      <c r="V14" s="55">
        <f t="shared" si="4"/>
        <v>80</v>
      </c>
      <c r="W14" s="526"/>
      <c r="X14" s="526"/>
      <c r="Y14" s="753" t="s">
        <v>43</v>
      </c>
      <c r="Z14" s="753">
        <f t="shared" ref="Z14:AR14" si="12">VLOOKUP(Z6&amp;$Y$10&amp;$Y$14, vw.overview, 5, FALSE)</f>
        <v>194</v>
      </c>
      <c r="AA14" s="753">
        <f t="shared" si="12"/>
        <v>182</v>
      </c>
      <c r="AB14" s="753">
        <f t="shared" si="12"/>
        <v>137</v>
      </c>
      <c r="AC14" s="753">
        <f t="shared" si="12"/>
        <v>153</v>
      </c>
      <c r="AD14" s="753">
        <f t="shared" si="12"/>
        <v>143</v>
      </c>
      <c r="AE14" s="753">
        <f t="shared" si="12"/>
        <v>145</v>
      </c>
      <c r="AF14" s="753">
        <f t="shared" si="12"/>
        <v>116</v>
      </c>
      <c r="AG14" s="753">
        <f t="shared" si="12"/>
        <v>120</v>
      </c>
      <c r="AH14" s="753">
        <f t="shared" si="12"/>
        <v>149</v>
      </c>
      <c r="AI14" s="753">
        <f t="shared" si="12"/>
        <v>111</v>
      </c>
      <c r="AJ14" s="753">
        <f t="shared" si="12"/>
        <v>143</v>
      </c>
      <c r="AK14" s="753">
        <f t="shared" si="12"/>
        <v>146</v>
      </c>
      <c r="AL14" s="753">
        <f t="shared" si="12"/>
        <v>136</v>
      </c>
      <c r="AM14" s="753">
        <f t="shared" si="12"/>
        <v>135</v>
      </c>
      <c r="AN14" s="753">
        <f t="shared" si="12"/>
        <v>127</v>
      </c>
      <c r="AO14" s="753">
        <f t="shared" si="12"/>
        <v>125</v>
      </c>
      <c r="AP14" s="753">
        <f t="shared" si="12"/>
        <v>100</v>
      </c>
      <c r="AQ14" s="753">
        <f t="shared" si="12"/>
        <v>98</v>
      </c>
      <c r="AR14" s="753">
        <f t="shared" si="12"/>
        <v>93</v>
      </c>
      <c r="AS14" s="753">
        <f t="shared" ref="AS14:AT14" si="13">VLOOKUP(AS6&amp;$Y$10&amp;$Y$14, vw.overview, 5, FALSE)</f>
        <v>91</v>
      </c>
      <c r="AT14" s="753">
        <f t="shared" si="13"/>
        <v>80</v>
      </c>
      <c r="AU14" s="526"/>
      <c r="AV14" s="526"/>
      <c r="AW14" s="526"/>
      <c r="AX14" s="526"/>
      <c r="AY14" s="526"/>
      <c r="AZ14" s="526"/>
      <c r="BA14" s="526"/>
      <c r="BB14" s="526"/>
      <c r="BC14" s="526"/>
      <c r="BD14" s="526"/>
      <c r="BE14" s="526"/>
      <c r="BF14" s="526"/>
      <c r="BG14" s="526"/>
      <c r="BH14" s="526"/>
      <c r="BI14" s="526"/>
      <c r="BJ14" s="526"/>
      <c r="BK14" s="526"/>
      <c r="BL14" s="526"/>
      <c r="BM14" s="526"/>
    </row>
    <row r="15" spans="1:65" ht="15.75" customHeight="1">
      <c r="A15" s="31" t="s">
        <v>49</v>
      </c>
      <c r="B15" s="55">
        <f t="shared" si="7"/>
        <v>582</v>
      </c>
      <c r="C15" s="55">
        <f t="shared" si="4"/>
        <v>588</v>
      </c>
      <c r="D15" s="55">
        <f t="shared" si="4"/>
        <v>484</v>
      </c>
      <c r="E15" s="55">
        <f t="shared" si="4"/>
        <v>582</v>
      </c>
      <c r="F15" s="55">
        <f t="shared" si="4"/>
        <v>543</v>
      </c>
      <c r="G15" s="55">
        <f t="shared" si="4"/>
        <v>529</v>
      </c>
      <c r="H15" s="55">
        <f t="shared" si="4"/>
        <v>575</v>
      </c>
      <c r="I15" s="55">
        <f t="shared" si="4"/>
        <v>534</v>
      </c>
      <c r="J15" s="55">
        <f t="shared" si="4"/>
        <v>666</v>
      </c>
      <c r="K15" s="55">
        <f t="shared" si="4"/>
        <v>551</v>
      </c>
      <c r="L15" s="55">
        <f t="shared" si="4"/>
        <v>546</v>
      </c>
      <c r="M15" s="55">
        <f t="shared" si="4"/>
        <v>604</v>
      </c>
      <c r="N15" s="55">
        <f t="shared" si="4"/>
        <v>701</v>
      </c>
      <c r="O15" s="55">
        <f t="shared" si="4"/>
        <v>634</v>
      </c>
      <c r="P15" s="55">
        <f t="shared" si="4"/>
        <v>661</v>
      </c>
      <c r="Q15" s="55">
        <f t="shared" si="4"/>
        <v>622</v>
      </c>
      <c r="R15" s="55">
        <f t="shared" si="4"/>
        <v>608</v>
      </c>
      <c r="S15" s="55">
        <f t="shared" si="4"/>
        <v>559</v>
      </c>
      <c r="T15" s="55">
        <f t="shared" si="4"/>
        <v>655</v>
      </c>
      <c r="U15" s="55">
        <f t="shared" si="4"/>
        <v>528</v>
      </c>
      <c r="V15" s="55">
        <f t="shared" si="4"/>
        <v>546</v>
      </c>
      <c r="Y15" s="754" t="s">
        <v>49</v>
      </c>
      <c r="Z15" s="753">
        <f t="shared" ref="Z15:AR15" si="14">VLOOKUP(Z6&amp;$Y$10&amp;$Y$15, vw.overview, 5, FALSE)</f>
        <v>582</v>
      </c>
      <c r="AA15" s="753">
        <f t="shared" si="14"/>
        <v>588</v>
      </c>
      <c r="AB15" s="753">
        <f t="shared" si="14"/>
        <v>484</v>
      </c>
      <c r="AC15" s="753">
        <f t="shared" si="14"/>
        <v>582</v>
      </c>
      <c r="AD15" s="753">
        <f t="shared" si="14"/>
        <v>543</v>
      </c>
      <c r="AE15" s="753">
        <f t="shared" si="14"/>
        <v>529</v>
      </c>
      <c r="AF15" s="753">
        <f t="shared" si="14"/>
        <v>575</v>
      </c>
      <c r="AG15" s="753">
        <f t="shared" si="14"/>
        <v>534</v>
      </c>
      <c r="AH15" s="753">
        <f t="shared" si="14"/>
        <v>666</v>
      </c>
      <c r="AI15" s="753">
        <f t="shared" si="14"/>
        <v>551</v>
      </c>
      <c r="AJ15" s="753">
        <f t="shared" si="14"/>
        <v>546</v>
      </c>
      <c r="AK15" s="753">
        <f t="shared" si="14"/>
        <v>604</v>
      </c>
      <c r="AL15" s="753">
        <f t="shared" si="14"/>
        <v>701</v>
      </c>
      <c r="AM15" s="753">
        <f t="shared" si="14"/>
        <v>634</v>
      </c>
      <c r="AN15" s="753">
        <f t="shared" si="14"/>
        <v>661</v>
      </c>
      <c r="AO15" s="753">
        <f t="shared" si="14"/>
        <v>622</v>
      </c>
      <c r="AP15" s="753">
        <f t="shared" si="14"/>
        <v>608</v>
      </c>
      <c r="AQ15" s="753">
        <f t="shared" si="14"/>
        <v>559</v>
      </c>
      <c r="AR15" s="753">
        <f t="shared" si="14"/>
        <v>655</v>
      </c>
      <c r="AS15" s="753">
        <f t="shared" ref="AS15:AT15" si="15">VLOOKUP(AS6&amp;$Y$10&amp;$Y$15, vw.overview, 5, FALSE)</f>
        <v>528</v>
      </c>
      <c r="AT15" s="753">
        <f t="shared" si="15"/>
        <v>546</v>
      </c>
    </row>
    <row r="16" spans="1:65" ht="15.75" customHeight="1">
      <c r="A16" s="31" t="s">
        <v>50</v>
      </c>
      <c r="B16" s="55">
        <f t="shared" si="7"/>
        <v>223</v>
      </c>
      <c r="C16" s="55">
        <f t="shared" si="4"/>
        <v>209</v>
      </c>
      <c r="D16" s="55">
        <f t="shared" si="4"/>
        <v>171</v>
      </c>
      <c r="E16" s="55">
        <f t="shared" si="4"/>
        <v>182</v>
      </c>
      <c r="F16" s="55">
        <f t="shared" si="4"/>
        <v>216</v>
      </c>
      <c r="G16" s="55">
        <f t="shared" si="4"/>
        <v>170</v>
      </c>
      <c r="H16" s="55">
        <f t="shared" si="4"/>
        <v>221</v>
      </c>
      <c r="I16" s="55">
        <f t="shared" si="4"/>
        <v>184</v>
      </c>
      <c r="J16" s="55">
        <f t="shared" si="4"/>
        <v>197</v>
      </c>
      <c r="K16" s="55">
        <f t="shared" si="4"/>
        <v>183</v>
      </c>
      <c r="L16" s="55">
        <f t="shared" si="4"/>
        <v>165</v>
      </c>
      <c r="M16" s="55">
        <f t="shared" si="4"/>
        <v>166</v>
      </c>
      <c r="N16" s="55">
        <f t="shared" si="4"/>
        <v>187</v>
      </c>
      <c r="O16" s="55">
        <f t="shared" si="4"/>
        <v>197</v>
      </c>
      <c r="P16" s="55">
        <f t="shared" si="4"/>
        <v>234</v>
      </c>
      <c r="Q16" s="55">
        <f t="shared" si="4"/>
        <v>197</v>
      </c>
      <c r="R16" s="55">
        <f t="shared" si="4"/>
        <v>194</v>
      </c>
      <c r="S16" s="55">
        <f t="shared" si="4"/>
        <v>198</v>
      </c>
      <c r="T16" s="55">
        <f t="shared" si="4"/>
        <v>240</v>
      </c>
      <c r="U16" s="55">
        <f t="shared" si="4"/>
        <v>175</v>
      </c>
      <c r="V16" s="55">
        <f t="shared" si="4"/>
        <v>161</v>
      </c>
      <c r="Y16" s="754" t="s">
        <v>50</v>
      </c>
      <c r="Z16" s="753">
        <f t="shared" ref="Z16:AR16" si="16">VLOOKUP(Z6&amp;$Y$10&amp;$Y$16, vw.overview, 5, FALSE)</f>
        <v>223</v>
      </c>
      <c r="AA16" s="753">
        <f t="shared" si="16"/>
        <v>209</v>
      </c>
      <c r="AB16" s="753">
        <f t="shared" si="16"/>
        <v>171</v>
      </c>
      <c r="AC16" s="753">
        <f t="shared" si="16"/>
        <v>182</v>
      </c>
      <c r="AD16" s="753">
        <f t="shared" si="16"/>
        <v>216</v>
      </c>
      <c r="AE16" s="753">
        <f t="shared" si="16"/>
        <v>170</v>
      </c>
      <c r="AF16" s="753">
        <f t="shared" si="16"/>
        <v>221</v>
      </c>
      <c r="AG16" s="753">
        <f t="shared" si="16"/>
        <v>184</v>
      </c>
      <c r="AH16" s="753">
        <f t="shared" si="16"/>
        <v>197</v>
      </c>
      <c r="AI16" s="753">
        <f t="shared" si="16"/>
        <v>183</v>
      </c>
      <c r="AJ16" s="753">
        <f t="shared" si="16"/>
        <v>165</v>
      </c>
      <c r="AK16" s="753">
        <f t="shared" si="16"/>
        <v>166</v>
      </c>
      <c r="AL16" s="753">
        <f t="shared" si="16"/>
        <v>187</v>
      </c>
      <c r="AM16" s="753">
        <f t="shared" si="16"/>
        <v>197</v>
      </c>
      <c r="AN16" s="753">
        <f t="shared" si="16"/>
        <v>234</v>
      </c>
      <c r="AO16" s="753">
        <f t="shared" si="16"/>
        <v>197</v>
      </c>
      <c r="AP16" s="753">
        <f t="shared" si="16"/>
        <v>194</v>
      </c>
      <c r="AQ16" s="753">
        <f t="shared" si="16"/>
        <v>198</v>
      </c>
      <c r="AR16" s="753">
        <f t="shared" si="16"/>
        <v>240</v>
      </c>
      <c r="AS16" s="753">
        <f t="shared" ref="AS16:AT16" si="17">VLOOKUP(AS6&amp;$Y$10&amp;$Y$16, vw.overview, 5, FALSE)</f>
        <v>175</v>
      </c>
      <c r="AT16" s="753">
        <f t="shared" si="17"/>
        <v>161</v>
      </c>
    </row>
    <row r="17" spans="1:65" ht="15.75" customHeight="1">
      <c r="A17" s="31" t="s">
        <v>48</v>
      </c>
      <c r="B17" s="55">
        <f t="shared" si="7"/>
        <v>417</v>
      </c>
      <c r="C17" s="55">
        <f t="shared" si="4"/>
        <v>391</v>
      </c>
      <c r="D17" s="55">
        <f t="shared" si="4"/>
        <v>308</v>
      </c>
      <c r="E17" s="55">
        <f t="shared" si="4"/>
        <v>335</v>
      </c>
      <c r="F17" s="55">
        <f t="shared" si="4"/>
        <v>359</v>
      </c>
      <c r="G17" s="55">
        <f t="shared" si="4"/>
        <v>315</v>
      </c>
      <c r="H17" s="55">
        <f t="shared" si="4"/>
        <v>337</v>
      </c>
      <c r="I17" s="55">
        <f t="shared" si="4"/>
        <v>304</v>
      </c>
      <c r="J17" s="55">
        <f t="shared" si="4"/>
        <v>346</v>
      </c>
      <c r="K17" s="55">
        <f t="shared" si="4"/>
        <v>294</v>
      </c>
      <c r="L17" s="55">
        <f t="shared" si="4"/>
        <v>308</v>
      </c>
      <c r="M17" s="55">
        <f t="shared" si="4"/>
        <v>312</v>
      </c>
      <c r="N17" s="55">
        <f t="shared" si="4"/>
        <v>323</v>
      </c>
      <c r="O17" s="55">
        <f t="shared" si="4"/>
        <v>332</v>
      </c>
      <c r="P17" s="55">
        <f t="shared" si="4"/>
        <v>361</v>
      </c>
      <c r="Q17" s="55">
        <f t="shared" si="4"/>
        <v>322</v>
      </c>
      <c r="R17" s="55">
        <f t="shared" si="4"/>
        <v>294</v>
      </c>
      <c r="S17" s="55">
        <f t="shared" si="4"/>
        <v>296</v>
      </c>
      <c r="T17" s="55">
        <f t="shared" si="4"/>
        <v>333</v>
      </c>
      <c r="U17" s="55">
        <f t="shared" si="4"/>
        <v>266</v>
      </c>
      <c r="V17" s="55">
        <f t="shared" si="4"/>
        <v>241</v>
      </c>
      <c r="Y17" s="754" t="s">
        <v>48</v>
      </c>
      <c r="Z17" s="753">
        <f t="shared" ref="Z17:AR17" si="18">VLOOKUP(Z6&amp;$Y$10&amp;$Y$17, vw.overview, 5, FALSE)</f>
        <v>417</v>
      </c>
      <c r="AA17" s="753">
        <f t="shared" si="18"/>
        <v>391</v>
      </c>
      <c r="AB17" s="753">
        <f t="shared" si="18"/>
        <v>308</v>
      </c>
      <c r="AC17" s="753">
        <f t="shared" si="18"/>
        <v>335</v>
      </c>
      <c r="AD17" s="753">
        <f t="shared" si="18"/>
        <v>359</v>
      </c>
      <c r="AE17" s="753">
        <f t="shared" si="18"/>
        <v>315</v>
      </c>
      <c r="AF17" s="753">
        <f t="shared" si="18"/>
        <v>337</v>
      </c>
      <c r="AG17" s="753">
        <f t="shared" si="18"/>
        <v>304</v>
      </c>
      <c r="AH17" s="753">
        <f t="shared" si="18"/>
        <v>346</v>
      </c>
      <c r="AI17" s="753">
        <f t="shared" si="18"/>
        <v>294</v>
      </c>
      <c r="AJ17" s="753">
        <f t="shared" si="18"/>
        <v>308</v>
      </c>
      <c r="AK17" s="753">
        <f t="shared" si="18"/>
        <v>312</v>
      </c>
      <c r="AL17" s="753">
        <f t="shared" si="18"/>
        <v>323</v>
      </c>
      <c r="AM17" s="753">
        <f t="shared" si="18"/>
        <v>332</v>
      </c>
      <c r="AN17" s="753">
        <f t="shared" si="18"/>
        <v>361</v>
      </c>
      <c r="AO17" s="753">
        <f t="shared" si="18"/>
        <v>322</v>
      </c>
      <c r="AP17" s="753">
        <f t="shared" si="18"/>
        <v>294</v>
      </c>
      <c r="AQ17" s="753">
        <f t="shared" si="18"/>
        <v>296</v>
      </c>
      <c r="AR17" s="753">
        <f t="shared" si="18"/>
        <v>333</v>
      </c>
      <c r="AS17" s="753">
        <f t="shared" ref="AS17:AT17" si="19">VLOOKUP(AS6&amp;$Y$10&amp;$Y$17, vw.overview, 5, FALSE)</f>
        <v>266</v>
      </c>
      <c r="AT17" s="753">
        <f t="shared" si="19"/>
        <v>241</v>
      </c>
    </row>
    <row r="18" spans="1:65" ht="15.75" customHeight="1">
      <c r="A18" s="30" t="s">
        <v>45</v>
      </c>
      <c r="B18" s="34"/>
      <c r="C18" s="34"/>
      <c r="D18" s="34"/>
      <c r="E18" s="34"/>
      <c r="F18" s="34"/>
      <c r="G18" s="34"/>
      <c r="H18" s="34"/>
      <c r="I18" s="34"/>
      <c r="J18" s="34"/>
      <c r="K18" s="34"/>
      <c r="L18" s="34"/>
      <c r="M18" s="34"/>
      <c r="N18" s="34"/>
      <c r="O18" s="34"/>
      <c r="P18" s="34"/>
      <c r="Q18" s="34"/>
      <c r="R18" s="34"/>
      <c r="S18" s="34"/>
      <c r="T18" s="34"/>
      <c r="U18" s="34"/>
      <c r="V18" s="34"/>
      <c r="Y18" s="754"/>
      <c r="Z18" s="754"/>
      <c r="AA18" s="754"/>
      <c r="AB18" s="754"/>
      <c r="AC18" s="754"/>
      <c r="AD18" s="754"/>
      <c r="AE18" s="754"/>
      <c r="AF18" s="754"/>
      <c r="AG18" s="754"/>
      <c r="AH18" s="754"/>
      <c r="AI18" s="754"/>
      <c r="AJ18" s="754"/>
      <c r="AK18" s="754"/>
      <c r="AL18" s="754"/>
      <c r="AM18" s="754"/>
      <c r="AN18" s="754"/>
      <c r="AO18" s="754"/>
      <c r="AP18" s="754"/>
      <c r="AQ18" s="754"/>
      <c r="AR18" s="754"/>
      <c r="AS18" s="754"/>
      <c r="AT18" s="754"/>
    </row>
    <row r="19" spans="1:65" ht="15.75" customHeight="1">
      <c r="A19" s="32" t="s">
        <v>279</v>
      </c>
      <c r="B19" s="409">
        <f>Z19</f>
        <v>7.1</v>
      </c>
      <c r="C19" s="409">
        <f t="shared" ref="C19:V23" si="20">AA19</f>
        <v>7.2</v>
      </c>
      <c r="D19" s="409">
        <f t="shared" si="20"/>
        <v>6</v>
      </c>
      <c r="E19" s="409">
        <f t="shared" si="20"/>
        <v>7.4</v>
      </c>
      <c r="F19" s="409">
        <f t="shared" si="20"/>
        <v>6.4</v>
      </c>
      <c r="G19" s="409">
        <f t="shared" si="20"/>
        <v>6.8</v>
      </c>
      <c r="H19" s="409">
        <f t="shared" si="20"/>
        <v>7.1</v>
      </c>
      <c r="I19" s="409">
        <f t="shared" si="20"/>
        <v>6.9</v>
      </c>
      <c r="J19" s="409">
        <f t="shared" si="20"/>
        <v>8.5</v>
      </c>
      <c r="K19" s="409">
        <f t="shared" si="20"/>
        <v>6.8</v>
      </c>
      <c r="L19" s="409">
        <f t="shared" si="20"/>
        <v>6.7</v>
      </c>
      <c r="M19" s="409">
        <f t="shared" si="20"/>
        <v>7.2</v>
      </c>
      <c r="N19" s="409">
        <f t="shared" si="20"/>
        <v>8.4</v>
      </c>
      <c r="O19" s="409">
        <f t="shared" si="20"/>
        <v>7.6</v>
      </c>
      <c r="P19" s="409">
        <f t="shared" si="20"/>
        <v>7.2</v>
      </c>
      <c r="Q19" s="409">
        <f t="shared" si="20"/>
        <v>7.2</v>
      </c>
      <c r="R19" s="409">
        <f t="shared" si="20"/>
        <v>7.2</v>
      </c>
      <c r="S19" s="409">
        <f t="shared" si="20"/>
        <v>6.5</v>
      </c>
      <c r="T19" s="409">
        <f t="shared" si="20"/>
        <v>7.6</v>
      </c>
      <c r="U19" s="409">
        <f t="shared" si="20"/>
        <v>6.1</v>
      </c>
      <c r="V19" s="409">
        <f t="shared" si="20"/>
        <v>6.8</v>
      </c>
      <c r="Y19" s="754" t="s">
        <v>47</v>
      </c>
      <c r="Z19" s="753">
        <f t="shared" ref="Z19:AR19" si="21">VLOOKUP(Z6&amp;$Y$10&amp;$Y$19, vw.overview, 7, FALSE)</f>
        <v>7.1</v>
      </c>
      <c r="AA19" s="753">
        <f t="shared" si="21"/>
        <v>7.2</v>
      </c>
      <c r="AB19" s="753">
        <f t="shared" si="21"/>
        <v>6</v>
      </c>
      <c r="AC19" s="753">
        <f t="shared" si="21"/>
        <v>7.4</v>
      </c>
      <c r="AD19" s="753">
        <f t="shared" si="21"/>
        <v>6.4</v>
      </c>
      <c r="AE19" s="753">
        <f t="shared" si="21"/>
        <v>6.8</v>
      </c>
      <c r="AF19" s="753">
        <f t="shared" si="21"/>
        <v>7.1</v>
      </c>
      <c r="AG19" s="753">
        <f t="shared" si="21"/>
        <v>6.9</v>
      </c>
      <c r="AH19" s="753">
        <f t="shared" si="21"/>
        <v>8.5</v>
      </c>
      <c r="AI19" s="753">
        <f t="shared" si="21"/>
        <v>6.8</v>
      </c>
      <c r="AJ19" s="753">
        <f t="shared" si="21"/>
        <v>6.7</v>
      </c>
      <c r="AK19" s="753">
        <f t="shared" si="21"/>
        <v>7.2</v>
      </c>
      <c r="AL19" s="753">
        <f t="shared" si="21"/>
        <v>8.4</v>
      </c>
      <c r="AM19" s="753">
        <f t="shared" si="21"/>
        <v>7.6</v>
      </c>
      <c r="AN19" s="753">
        <f t="shared" si="21"/>
        <v>7.2</v>
      </c>
      <c r="AO19" s="753">
        <f t="shared" si="21"/>
        <v>7.2</v>
      </c>
      <c r="AP19" s="753">
        <f t="shared" si="21"/>
        <v>7.2</v>
      </c>
      <c r="AQ19" s="753">
        <f t="shared" si="21"/>
        <v>6.5</v>
      </c>
      <c r="AR19" s="753">
        <f t="shared" si="21"/>
        <v>7.6</v>
      </c>
      <c r="AS19" s="753">
        <f t="shared" ref="AS19:AT19" si="22">VLOOKUP(AS6&amp;$Y$10&amp;$Y$19, vw.overview, 7, FALSE)</f>
        <v>6.1</v>
      </c>
      <c r="AT19" s="753">
        <f t="shared" si="22"/>
        <v>6.8</v>
      </c>
    </row>
    <row r="20" spans="1:65" ht="15.75" customHeight="1">
      <c r="A20" s="32" t="s">
        <v>280</v>
      </c>
      <c r="B20" s="409">
        <f t="shared" ref="B20:B22" si="23">Z20</f>
        <v>10.1</v>
      </c>
      <c r="C20" s="409">
        <f t="shared" si="20"/>
        <v>10.1</v>
      </c>
      <c r="D20" s="409">
        <f t="shared" si="20"/>
        <v>8.3000000000000007</v>
      </c>
      <c r="E20" s="409">
        <f t="shared" si="20"/>
        <v>10.1</v>
      </c>
      <c r="F20" s="409">
        <f t="shared" si="20"/>
        <v>9.5</v>
      </c>
      <c r="G20" s="409">
        <f t="shared" si="20"/>
        <v>9.3000000000000007</v>
      </c>
      <c r="H20" s="409">
        <f t="shared" si="20"/>
        <v>10.5</v>
      </c>
      <c r="I20" s="409">
        <f t="shared" si="20"/>
        <v>9.4</v>
      </c>
      <c r="J20" s="409">
        <f t="shared" si="20"/>
        <v>11.2</v>
      </c>
      <c r="K20" s="409">
        <f t="shared" si="20"/>
        <v>9.3000000000000007</v>
      </c>
      <c r="L20" s="409">
        <f t="shared" si="20"/>
        <v>9</v>
      </c>
      <c r="M20" s="409">
        <f t="shared" si="20"/>
        <v>9.1999999999999993</v>
      </c>
      <c r="N20" s="409">
        <f t="shared" si="20"/>
        <v>10.6</v>
      </c>
      <c r="O20" s="409">
        <f t="shared" si="20"/>
        <v>9.9</v>
      </c>
      <c r="P20" s="409">
        <f t="shared" si="20"/>
        <v>10.1</v>
      </c>
      <c r="Q20" s="409">
        <f t="shared" si="20"/>
        <v>9.9</v>
      </c>
      <c r="R20" s="409">
        <f t="shared" si="20"/>
        <v>9.6999999999999993</v>
      </c>
      <c r="S20" s="409">
        <f t="shared" si="20"/>
        <v>9.3000000000000007</v>
      </c>
      <c r="T20" s="409">
        <f t="shared" si="20"/>
        <v>11.2</v>
      </c>
      <c r="U20" s="409">
        <f t="shared" si="20"/>
        <v>8.4</v>
      </c>
      <c r="V20" s="409">
        <f t="shared" si="20"/>
        <v>9</v>
      </c>
      <c r="Y20" s="754" t="s">
        <v>49</v>
      </c>
      <c r="Z20" s="753">
        <f t="shared" ref="Z20:AR20" si="24">VLOOKUP(Z6&amp;$Y$10&amp;$Y$20, vw.overview, 7, FALSE)</f>
        <v>10.1</v>
      </c>
      <c r="AA20" s="753">
        <f t="shared" si="24"/>
        <v>10.1</v>
      </c>
      <c r="AB20" s="753">
        <f t="shared" si="24"/>
        <v>8.3000000000000007</v>
      </c>
      <c r="AC20" s="753">
        <f t="shared" si="24"/>
        <v>10.1</v>
      </c>
      <c r="AD20" s="753">
        <f t="shared" si="24"/>
        <v>9.5</v>
      </c>
      <c r="AE20" s="753">
        <f t="shared" si="24"/>
        <v>9.3000000000000007</v>
      </c>
      <c r="AF20" s="753">
        <f t="shared" si="24"/>
        <v>10.5</v>
      </c>
      <c r="AG20" s="753">
        <f t="shared" si="24"/>
        <v>9.4</v>
      </c>
      <c r="AH20" s="753">
        <f t="shared" si="24"/>
        <v>11.2</v>
      </c>
      <c r="AI20" s="753">
        <f t="shared" si="24"/>
        <v>9.3000000000000007</v>
      </c>
      <c r="AJ20" s="753">
        <f t="shared" si="24"/>
        <v>9</v>
      </c>
      <c r="AK20" s="753">
        <f t="shared" si="24"/>
        <v>9.1999999999999993</v>
      </c>
      <c r="AL20" s="753">
        <f t="shared" si="24"/>
        <v>10.6</v>
      </c>
      <c r="AM20" s="753">
        <f t="shared" si="24"/>
        <v>9.9</v>
      </c>
      <c r="AN20" s="753">
        <f t="shared" si="24"/>
        <v>10.1</v>
      </c>
      <c r="AO20" s="753">
        <f t="shared" si="24"/>
        <v>9.9</v>
      </c>
      <c r="AP20" s="753">
        <f t="shared" si="24"/>
        <v>9.6999999999999993</v>
      </c>
      <c r="AQ20" s="753">
        <f t="shared" si="24"/>
        <v>9.3000000000000007</v>
      </c>
      <c r="AR20" s="753">
        <f t="shared" si="24"/>
        <v>11.2</v>
      </c>
      <c r="AS20" s="753">
        <f t="shared" ref="AS20:AT20" si="25">VLOOKUP(AS6&amp;$Y$10&amp;$Y$20, vw.overview, 7, FALSE)</f>
        <v>8.4</v>
      </c>
      <c r="AT20" s="753">
        <f t="shared" si="25"/>
        <v>9</v>
      </c>
    </row>
    <row r="21" spans="1:65" ht="15.75" customHeight="1">
      <c r="A21" s="32" t="s">
        <v>281</v>
      </c>
      <c r="B21" s="409">
        <f t="shared" si="23"/>
        <v>3.9</v>
      </c>
      <c r="C21" s="409">
        <f t="shared" si="20"/>
        <v>3.6</v>
      </c>
      <c r="D21" s="409">
        <f t="shared" si="20"/>
        <v>3</v>
      </c>
      <c r="E21" s="409">
        <f t="shared" si="20"/>
        <v>3.2</v>
      </c>
      <c r="F21" s="409">
        <f t="shared" si="20"/>
        <v>3.8</v>
      </c>
      <c r="G21" s="409">
        <f t="shared" si="20"/>
        <v>3</v>
      </c>
      <c r="H21" s="409">
        <f t="shared" si="20"/>
        <v>4.0999999999999996</v>
      </c>
      <c r="I21" s="409">
        <f t="shared" si="20"/>
        <v>3.3</v>
      </c>
      <c r="J21" s="409">
        <f t="shared" si="20"/>
        <v>3.4</v>
      </c>
      <c r="K21" s="409">
        <f t="shared" si="20"/>
        <v>3.1</v>
      </c>
      <c r="L21" s="409">
        <f t="shared" si="20"/>
        <v>2.7</v>
      </c>
      <c r="M21" s="409">
        <f t="shared" si="20"/>
        <v>2.5</v>
      </c>
      <c r="N21" s="409">
        <f t="shared" si="20"/>
        <v>2.9</v>
      </c>
      <c r="O21" s="409">
        <f t="shared" si="20"/>
        <v>3.1</v>
      </c>
      <c r="P21" s="409">
        <f t="shared" si="20"/>
        <v>3.6</v>
      </c>
      <c r="Q21" s="409">
        <f t="shared" si="20"/>
        <v>3.2</v>
      </c>
      <c r="R21" s="409">
        <f t="shared" si="20"/>
        <v>3.1</v>
      </c>
      <c r="S21" s="409">
        <f t="shared" si="20"/>
        <v>3.3</v>
      </c>
      <c r="T21" s="409">
        <f t="shared" si="20"/>
        <v>4.0999999999999996</v>
      </c>
      <c r="U21" s="409">
        <f t="shared" si="20"/>
        <v>2.8</v>
      </c>
      <c r="V21" s="409">
        <f t="shared" si="20"/>
        <v>2.7</v>
      </c>
      <c r="Y21" s="754" t="s">
        <v>50</v>
      </c>
      <c r="Z21" s="753">
        <f t="shared" ref="Z21:AR21" si="26">VLOOKUP(Z6&amp;$Y$10&amp;$Y$21, vw.overview, 7, FALSE)</f>
        <v>3.9</v>
      </c>
      <c r="AA21" s="753">
        <f t="shared" si="26"/>
        <v>3.6</v>
      </c>
      <c r="AB21" s="753">
        <f t="shared" si="26"/>
        <v>3</v>
      </c>
      <c r="AC21" s="753">
        <f t="shared" si="26"/>
        <v>3.2</v>
      </c>
      <c r="AD21" s="753">
        <f t="shared" si="26"/>
        <v>3.8</v>
      </c>
      <c r="AE21" s="753">
        <f t="shared" si="26"/>
        <v>3</v>
      </c>
      <c r="AF21" s="753">
        <f t="shared" si="26"/>
        <v>4.0999999999999996</v>
      </c>
      <c r="AG21" s="753">
        <f t="shared" si="26"/>
        <v>3.3</v>
      </c>
      <c r="AH21" s="753">
        <f t="shared" si="26"/>
        <v>3.4</v>
      </c>
      <c r="AI21" s="753">
        <f t="shared" si="26"/>
        <v>3.1</v>
      </c>
      <c r="AJ21" s="753">
        <f t="shared" si="26"/>
        <v>2.7</v>
      </c>
      <c r="AK21" s="753">
        <f t="shared" si="26"/>
        <v>2.5</v>
      </c>
      <c r="AL21" s="753">
        <f t="shared" si="26"/>
        <v>2.9</v>
      </c>
      <c r="AM21" s="753">
        <f t="shared" si="26"/>
        <v>3.1</v>
      </c>
      <c r="AN21" s="753">
        <f t="shared" si="26"/>
        <v>3.6</v>
      </c>
      <c r="AO21" s="753">
        <f t="shared" si="26"/>
        <v>3.2</v>
      </c>
      <c r="AP21" s="753">
        <f t="shared" si="26"/>
        <v>3.1</v>
      </c>
      <c r="AQ21" s="753">
        <f t="shared" si="26"/>
        <v>3.3</v>
      </c>
      <c r="AR21" s="753">
        <f t="shared" si="26"/>
        <v>4.0999999999999996</v>
      </c>
      <c r="AS21" s="753">
        <f t="shared" ref="AS21:AT21" si="27">VLOOKUP(AS6&amp;$Y$10&amp;$Y$21, vw.overview, 7, FALSE)</f>
        <v>2.8</v>
      </c>
      <c r="AT21" s="753">
        <f t="shared" si="27"/>
        <v>2.7</v>
      </c>
    </row>
    <row r="22" spans="1:65" s="102" customFormat="1" ht="15.75" customHeight="1">
      <c r="A22" s="32" t="s">
        <v>282</v>
      </c>
      <c r="B22" s="409">
        <f t="shared" si="23"/>
        <v>3.4</v>
      </c>
      <c r="C22" s="409">
        <f t="shared" si="20"/>
        <v>3.2</v>
      </c>
      <c r="D22" s="409">
        <f t="shared" si="20"/>
        <v>2.4</v>
      </c>
      <c r="E22" s="409">
        <f t="shared" si="20"/>
        <v>2.7</v>
      </c>
      <c r="F22" s="409">
        <f t="shared" si="20"/>
        <v>2.5</v>
      </c>
      <c r="G22" s="409">
        <f t="shared" si="20"/>
        <v>2.6</v>
      </c>
      <c r="H22" s="409">
        <f t="shared" si="20"/>
        <v>2.1</v>
      </c>
      <c r="I22" s="409">
        <f t="shared" si="20"/>
        <v>2.1</v>
      </c>
      <c r="J22" s="409">
        <f t="shared" si="20"/>
        <v>2.5</v>
      </c>
      <c r="K22" s="409">
        <f t="shared" si="20"/>
        <v>1.9</v>
      </c>
      <c r="L22" s="409">
        <f t="shared" si="20"/>
        <v>2.4</v>
      </c>
      <c r="M22" s="409">
        <f t="shared" si="20"/>
        <v>2.2000000000000002</v>
      </c>
      <c r="N22" s="409">
        <f t="shared" si="20"/>
        <v>2.1</v>
      </c>
      <c r="O22" s="409">
        <f t="shared" si="20"/>
        <v>2.1</v>
      </c>
      <c r="P22" s="409">
        <f t="shared" si="20"/>
        <v>2</v>
      </c>
      <c r="Q22" s="409">
        <f t="shared" si="20"/>
        <v>2</v>
      </c>
      <c r="R22" s="409">
        <f t="shared" si="20"/>
        <v>1.6</v>
      </c>
      <c r="S22" s="409">
        <f t="shared" si="20"/>
        <v>1.6</v>
      </c>
      <c r="T22" s="409">
        <f t="shared" si="20"/>
        <v>1.6</v>
      </c>
      <c r="U22" s="409">
        <f t="shared" si="20"/>
        <v>1.5</v>
      </c>
      <c r="V22" s="409">
        <f t="shared" si="20"/>
        <v>1.3</v>
      </c>
      <c r="W22" s="245"/>
      <c r="X22" s="245"/>
      <c r="Y22" s="754" t="s">
        <v>43</v>
      </c>
      <c r="Z22" s="753">
        <f t="shared" ref="Z22:AR22" si="28">VLOOKUP(Z6&amp;$Y$10&amp;$Y$22, vw.overview, 7, FALSE)</f>
        <v>3.4</v>
      </c>
      <c r="AA22" s="753">
        <f t="shared" si="28"/>
        <v>3.2</v>
      </c>
      <c r="AB22" s="753">
        <f t="shared" si="28"/>
        <v>2.4</v>
      </c>
      <c r="AC22" s="753">
        <f t="shared" si="28"/>
        <v>2.7</v>
      </c>
      <c r="AD22" s="753">
        <f t="shared" si="28"/>
        <v>2.5</v>
      </c>
      <c r="AE22" s="753">
        <f t="shared" si="28"/>
        <v>2.6</v>
      </c>
      <c r="AF22" s="753">
        <f t="shared" si="28"/>
        <v>2.1</v>
      </c>
      <c r="AG22" s="753">
        <f t="shared" si="28"/>
        <v>2.1</v>
      </c>
      <c r="AH22" s="753">
        <f t="shared" si="28"/>
        <v>2.5</v>
      </c>
      <c r="AI22" s="753">
        <f t="shared" si="28"/>
        <v>1.9</v>
      </c>
      <c r="AJ22" s="753">
        <f t="shared" si="28"/>
        <v>2.4</v>
      </c>
      <c r="AK22" s="753">
        <f t="shared" si="28"/>
        <v>2.2000000000000002</v>
      </c>
      <c r="AL22" s="753">
        <f t="shared" si="28"/>
        <v>2.1</v>
      </c>
      <c r="AM22" s="753">
        <f t="shared" si="28"/>
        <v>2.1</v>
      </c>
      <c r="AN22" s="753">
        <f t="shared" si="28"/>
        <v>2</v>
      </c>
      <c r="AO22" s="753">
        <f t="shared" si="28"/>
        <v>2</v>
      </c>
      <c r="AP22" s="753">
        <f t="shared" si="28"/>
        <v>1.6</v>
      </c>
      <c r="AQ22" s="753">
        <f t="shared" si="28"/>
        <v>1.6</v>
      </c>
      <c r="AR22" s="753">
        <f t="shared" si="28"/>
        <v>1.6</v>
      </c>
      <c r="AS22" s="753">
        <f t="shared" ref="AS22:AT22" si="29">VLOOKUP(AS6&amp;$Y$10&amp;$Y$22, vw.overview, 7, FALSE)</f>
        <v>1.5</v>
      </c>
      <c r="AT22" s="753">
        <f t="shared" si="29"/>
        <v>1.3</v>
      </c>
      <c r="AU22" s="245"/>
      <c r="AV22" s="245"/>
      <c r="AW22" s="245"/>
      <c r="AX22" s="245"/>
      <c r="AY22" s="245"/>
      <c r="AZ22" s="245"/>
      <c r="BA22" s="245"/>
      <c r="BB22" s="245"/>
      <c r="BC22" s="245"/>
      <c r="BD22" s="245"/>
      <c r="BE22" s="245"/>
      <c r="BF22" s="245"/>
      <c r="BG22" s="245"/>
      <c r="BH22" s="245"/>
      <c r="BI22" s="245"/>
      <c r="BJ22" s="245"/>
      <c r="BK22" s="245"/>
      <c r="BL22" s="245"/>
      <c r="BM22" s="245"/>
    </row>
    <row r="23" spans="1:65" ht="15.75" customHeight="1">
      <c r="A23" s="33" t="s">
        <v>283</v>
      </c>
      <c r="B23" s="525">
        <f>Z23</f>
        <v>7.3</v>
      </c>
      <c r="C23" s="525">
        <f t="shared" si="20"/>
        <v>6.8</v>
      </c>
      <c r="D23" s="525">
        <f t="shared" si="20"/>
        <v>5.3</v>
      </c>
      <c r="E23" s="525">
        <f t="shared" si="20"/>
        <v>5.8</v>
      </c>
      <c r="F23" s="525">
        <f t="shared" si="20"/>
        <v>6.3</v>
      </c>
      <c r="G23" s="525">
        <f t="shared" si="20"/>
        <v>5.6</v>
      </c>
      <c r="H23" s="525">
        <f t="shared" si="20"/>
        <v>6.2</v>
      </c>
      <c r="I23" s="525">
        <f t="shared" si="20"/>
        <v>5.4</v>
      </c>
      <c r="J23" s="525">
        <f t="shared" si="20"/>
        <v>5.9</v>
      </c>
      <c r="K23" s="525">
        <f t="shared" si="20"/>
        <v>5</v>
      </c>
      <c r="L23" s="525">
        <f t="shared" si="20"/>
        <v>5.0999999999999996</v>
      </c>
      <c r="M23" s="525">
        <f t="shared" si="20"/>
        <v>4.8</v>
      </c>
      <c r="N23" s="525">
        <f t="shared" si="20"/>
        <v>4.9000000000000004</v>
      </c>
      <c r="O23" s="525">
        <f t="shared" si="20"/>
        <v>5.2</v>
      </c>
      <c r="P23" s="525">
        <f t="shared" si="20"/>
        <v>5.6</v>
      </c>
      <c r="Q23" s="525">
        <f t="shared" si="20"/>
        <v>5.2</v>
      </c>
      <c r="R23" s="525">
        <f t="shared" si="20"/>
        <v>4.7</v>
      </c>
      <c r="S23" s="525">
        <f t="shared" si="20"/>
        <v>5</v>
      </c>
      <c r="T23" s="525">
        <f t="shared" si="20"/>
        <v>5.7</v>
      </c>
      <c r="U23" s="525">
        <f t="shared" si="20"/>
        <v>4.3</v>
      </c>
      <c r="V23" s="525">
        <f t="shared" si="20"/>
        <v>4</v>
      </c>
      <c r="Y23" s="754" t="s">
        <v>48</v>
      </c>
      <c r="Z23" s="753">
        <f t="shared" ref="Z23:AR23" si="30">VLOOKUP(Z6&amp;$Y$10&amp;$Y$23, vw.overview, 7, FALSE)</f>
        <v>7.3</v>
      </c>
      <c r="AA23" s="753">
        <f t="shared" si="30"/>
        <v>6.8</v>
      </c>
      <c r="AB23" s="753">
        <f t="shared" si="30"/>
        <v>5.3</v>
      </c>
      <c r="AC23" s="753">
        <f t="shared" si="30"/>
        <v>5.8</v>
      </c>
      <c r="AD23" s="753">
        <f t="shared" si="30"/>
        <v>6.3</v>
      </c>
      <c r="AE23" s="753">
        <f t="shared" si="30"/>
        <v>5.6</v>
      </c>
      <c r="AF23" s="753">
        <f t="shared" si="30"/>
        <v>6.2</v>
      </c>
      <c r="AG23" s="753">
        <f t="shared" si="30"/>
        <v>5.4</v>
      </c>
      <c r="AH23" s="753">
        <f t="shared" si="30"/>
        <v>5.9</v>
      </c>
      <c r="AI23" s="753">
        <f t="shared" si="30"/>
        <v>5</v>
      </c>
      <c r="AJ23" s="753">
        <f t="shared" si="30"/>
        <v>5.0999999999999996</v>
      </c>
      <c r="AK23" s="753">
        <f t="shared" si="30"/>
        <v>4.8</v>
      </c>
      <c r="AL23" s="753">
        <f t="shared" si="30"/>
        <v>4.9000000000000004</v>
      </c>
      <c r="AM23" s="753">
        <f t="shared" si="30"/>
        <v>5.2</v>
      </c>
      <c r="AN23" s="753">
        <f t="shared" si="30"/>
        <v>5.6</v>
      </c>
      <c r="AO23" s="753">
        <f t="shared" si="30"/>
        <v>5.2</v>
      </c>
      <c r="AP23" s="753">
        <f t="shared" si="30"/>
        <v>4.7</v>
      </c>
      <c r="AQ23" s="753">
        <f t="shared" si="30"/>
        <v>5</v>
      </c>
      <c r="AR23" s="753">
        <f t="shared" si="30"/>
        <v>5.7</v>
      </c>
      <c r="AS23" s="753">
        <f t="shared" ref="AS23:AT23" si="31">VLOOKUP(AS6&amp;$Y$10&amp;$Y$23, vw.overview, 7, FALSE)</f>
        <v>4.3</v>
      </c>
      <c r="AT23" s="753">
        <f t="shared" si="31"/>
        <v>4</v>
      </c>
    </row>
    <row r="24" spans="1:65">
      <c r="A24" s="490" t="s">
        <v>401</v>
      </c>
      <c r="B24" s="57"/>
      <c r="C24" s="57"/>
      <c r="D24" s="57"/>
      <c r="E24" s="57"/>
      <c r="F24" s="487"/>
      <c r="G24" s="487"/>
      <c r="H24" s="487"/>
      <c r="I24" s="487"/>
      <c r="J24" s="487"/>
      <c r="K24" s="487"/>
      <c r="L24" s="487"/>
      <c r="M24" s="487"/>
      <c r="N24" s="487"/>
      <c r="O24" s="487"/>
      <c r="P24" s="487"/>
      <c r="Q24" s="487"/>
      <c r="R24" s="487"/>
      <c r="S24" s="487"/>
      <c r="T24" s="487"/>
    </row>
    <row r="25" spans="1:65">
      <c r="A25" s="327" t="s">
        <v>546</v>
      </c>
      <c r="B25" s="54"/>
      <c r="C25" s="54"/>
      <c r="D25" s="54"/>
      <c r="E25" s="54"/>
      <c r="F25" s="53"/>
      <c r="G25" s="53"/>
      <c r="H25" s="53"/>
      <c r="I25" s="53"/>
      <c r="J25" s="53"/>
      <c r="K25" s="53"/>
      <c r="L25" s="53"/>
      <c r="M25" s="53"/>
      <c r="N25" s="53"/>
      <c r="O25" s="53"/>
      <c r="P25" s="53"/>
      <c r="Q25" s="53"/>
    </row>
    <row r="26" spans="1:65">
      <c r="A26" s="327" t="s">
        <v>349</v>
      </c>
      <c r="C26" s="39"/>
      <c r="D26" s="39"/>
      <c r="E26" s="39"/>
      <c r="F26" s="39"/>
      <c r="G26" s="39"/>
      <c r="H26" s="39"/>
      <c r="I26" s="39"/>
      <c r="J26" s="39"/>
      <c r="K26" s="39"/>
      <c r="L26" s="39"/>
      <c r="M26" s="39"/>
      <c r="N26" s="39"/>
      <c r="O26" s="39"/>
      <c r="P26" s="39"/>
    </row>
    <row r="27" spans="1:65">
      <c r="A27" s="290" t="s">
        <v>350</v>
      </c>
      <c r="B27" s="39"/>
      <c r="C27" s="39"/>
      <c r="D27" s="39"/>
      <c r="E27" s="39"/>
      <c r="F27" s="39"/>
      <c r="G27" s="39"/>
      <c r="H27" s="39"/>
      <c r="I27" s="39"/>
      <c r="J27" s="39"/>
      <c r="K27" s="39"/>
      <c r="L27" s="39"/>
      <c r="M27" s="39"/>
      <c r="N27" s="39"/>
      <c r="O27" s="39"/>
      <c r="P27" s="39"/>
    </row>
    <row r="28" spans="1:65">
      <c r="A28" s="456"/>
      <c r="B28" s="231"/>
      <c r="C28" s="231"/>
      <c r="D28" s="231"/>
      <c r="E28" s="231"/>
      <c r="F28" s="231"/>
      <c r="G28" s="231"/>
      <c r="H28" s="231"/>
      <c r="I28" s="231"/>
      <c r="J28" s="231"/>
      <c r="K28" s="231"/>
      <c r="L28" s="231"/>
      <c r="M28" s="231"/>
      <c r="N28" s="231"/>
      <c r="O28" s="231"/>
      <c r="P28" s="231"/>
      <c r="Q28" s="231"/>
      <c r="R28" s="231"/>
    </row>
    <row r="29" spans="1:65">
      <c r="B29" s="231"/>
      <c r="C29" s="231"/>
      <c r="D29" s="231"/>
      <c r="E29" s="231"/>
      <c r="F29" s="231"/>
      <c r="G29" s="231"/>
      <c r="H29" s="231"/>
      <c r="I29" s="231"/>
      <c r="J29" s="231"/>
      <c r="K29" s="231"/>
      <c r="L29" s="231"/>
      <c r="M29" s="231"/>
      <c r="N29" s="231"/>
      <c r="O29" s="231"/>
      <c r="P29" s="231"/>
      <c r="Q29" s="231"/>
      <c r="R29" s="231"/>
      <c r="S29" s="230"/>
      <c r="T29" s="230"/>
    </row>
  </sheetData>
  <mergeCells count="1">
    <mergeCell ref="A5:R5"/>
  </mergeCells>
  <hyperlinks>
    <hyperlink ref="B1" location="Glossary!A1" display="Glossary" xr:uid="{00000000-0004-0000-0300-000000000000}"/>
    <hyperlink ref="A1" location="Contents!A1" display="Table of contents" xr:uid="{00000000-0004-0000-0300-000001000000}"/>
    <hyperlink ref="C1" location="About!A1" display="About the publication" xr:uid="{00000000-0004-0000-0300-000002000000}"/>
    <hyperlink ref="E1" location="KeyFindings!A1" display="Key findings" xr:uid="{00000000-0004-0000-0300-000003000000}"/>
  </hyperlinks>
  <pageMargins left="0.70866141732283472" right="0.70866141732283472" top="0.74803149606299213" bottom="0.74803149606299213" header="0.31496062992125984" footer="0.31496062992125984"/>
  <pageSetup paperSize="9" scale="42" fitToHeight="2" orientation="portrait" r:id="rId1"/>
  <headerFooter>
    <oddFooter>&amp;L&amp;"Arial,Regular"&amp;8&amp;K01+019Fetal and Infant Deaths 2016&amp;R&amp;"Arial,Regular"&amp;8&amp;K01+018Page &amp;P of &amp;N</oddFooter>
  </headerFooter>
  <colBreaks count="1" manualBreakCount="1">
    <brk id="18" min="2" max="2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R153"/>
  <sheetViews>
    <sheetView zoomScaleNormal="100" workbookViewId="0">
      <pane ySplit="7" topLeftCell="A8" activePane="bottomLeft" state="frozen"/>
      <selection pane="bottomLeft" activeCell="A8" sqref="A8"/>
    </sheetView>
  </sheetViews>
  <sheetFormatPr defaultRowHeight="15"/>
  <cols>
    <col min="1" max="1" width="25.5703125" style="499" customWidth="1"/>
    <col min="2" max="3" width="8.140625" style="499" customWidth="1"/>
    <col min="4" max="4" width="9" style="499" customWidth="1"/>
    <col min="5" max="8" width="8.140625" style="499" customWidth="1"/>
    <col min="9" max="9" width="7.28515625" style="499" customWidth="1"/>
    <col min="10" max="11" width="7.85546875" style="499" customWidth="1"/>
    <col min="12" max="14" width="9.140625" style="499" customWidth="1"/>
    <col min="15" max="28" width="9.140625" style="245" customWidth="1"/>
    <col min="29" max="29" width="11" style="245" customWidth="1"/>
    <col min="30" max="30" width="23.5703125" style="289" bestFit="1" customWidth="1"/>
    <col min="31" max="31" width="9.85546875" style="762" bestFit="1" customWidth="1"/>
    <col min="32" max="32" width="9.140625" style="762"/>
    <col min="33" max="33" width="9.5703125" style="775" bestFit="1" customWidth="1"/>
    <col min="34" max="49" width="9.140625" style="762"/>
    <col min="50" max="51" width="9.140625" style="289"/>
    <col min="52" max="53" width="9.140625" style="245"/>
    <col min="54" max="16384" width="9.140625" style="499"/>
  </cols>
  <sheetData>
    <row r="1" spans="1:70" s="103" customFormat="1">
      <c r="A1" s="88" t="s">
        <v>158</v>
      </c>
      <c r="B1" s="88" t="s">
        <v>115</v>
      </c>
      <c r="C1" s="88" t="s">
        <v>173</v>
      </c>
      <c r="E1" s="159" t="s">
        <v>353</v>
      </c>
      <c r="O1" s="516"/>
      <c r="P1" s="516"/>
      <c r="Q1" s="516"/>
      <c r="R1" s="516"/>
      <c r="S1" s="516"/>
      <c r="T1" s="516"/>
      <c r="U1" s="516"/>
      <c r="V1" s="516"/>
      <c r="W1" s="516"/>
      <c r="X1" s="516"/>
      <c r="Y1" s="516"/>
      <c r="Z1" s="516"/>
      <c r="AA1" s="516"/>
      <c r="AB1" s="516"/>
      <c r="AC1" s="516"/>
      <c r="AD1" s="515"/>
      <c r="AE1" s="755"/>
      <c r="AF1" s="755"/>
      <c r="AG1" s="756"/>
      <c r="AH1" s="755"/>
      <c r="AI1" s="755"/>
      <c r="AJ1" s="755"/>
      <c r="AK1" s="755"/>
      <c r="AL1" s="755"/>
      <c r="AM1" s="755"/>
      <c r="AN1" s="755"/>
      <c r="AO1" s="755"/>
      <c r="AP1" s="755"/>
      <c r="AQ1" s="755"/>
      <c r="AR1" s="755"/>
      <c r="AS1" s="755"/>
      <c r="AT1" s="755"/>
      <c r="AU1" s="755"/>
      <c r="AV1" s="755"/>
      <c r="AW1" s="755"/>
      <c r="AX1" s="515"/>
      <c r="AY1" s="515"/>
      <c r="AZ1" s="516"/>
      <c r="BA1" s="516"/>
    </row>
    <row r="2" spans="1:70" s="103" customFormat="1">
      <c r="A2" s="88"/>
      <c r="O2" s="516"/>
      <c r="P2" s="516"/>
      <c r="Q2" s="516"/>
      <c r="R2" s="516"/>
      <c r="S2" s="516"/>
      <c r="T2" s="516"/>
      <c r="U2" s="516"/>
      <c r="V2" s="516"/>
      <c r="W2" s="516"/>
      <c r="X2" s="516"/>
      <c r="Y2" s="516"/>
      <c r="Z2" s="516"/>
      <c r="AA2" s="516"/>
      <c r="AB2" s="516"/>
      <c r="AC2" s="516"/>
      <c r="AD2" s="515"/>
      <c r="AE2" s="755"/>
      <c r="AF2" s="755"/>
      <c r="AG2" s="756"/>
      <c r="AH2" s="755"/>
      <c r="AI2" s="755"/>
      <c r="AJ2" s="755"/>
      <c r="AK2" s="755"/>
      <c r="AL2" s="755"/>
      <c r="AM2" s="755"/>
      <c r="AN2" s="755"/>
      <c r="AO2" s="755"/>
      <c r="AP2" s="755"/>
      <c r="AQ2" s="755"/>
      <c r="AR2" s="755"/>
      <c r="AS2" s="755"/>
      <c r="AT2" s="755"/>
      <c r="AU2" s="755"/>
      <c r="AV2" s="755"/>
      <c r="AW2" s="755"/>
      <c r="AX2" s="515"/>
      <c r="AY2" s="515"/>
      <c r="AZ2" s="516"/>
      <c r="BA2" s="516"/>
    </row>
    <row r="3" spans="1:70" s="103" customFormat="1" ht="20.25">
      <c r="A3" s="876" t="str">
        <f>B4&amp; " deaths: time trends"</f>
        <v>Fetal deaths: time trends</v>
      </c>
      <c r="B3" s="283"/>
      <c r="C3" s="283"/>
      <c r="D3" s="283"/>
      <c r="E3" s="283"/>
      <c r="W3" s="516"/>
      <c r="X3" s="516"/>
      <c r="Y3" s="515"/>
      <c r="Z3" s="515"/>
      <c r="AA3" s="515"/>
      <c r="AB3" s="515"/>
      <c r="AC3" s="515"/>
      <c r="AD3" s="515"/>
      <c r="AE3" s="515"/>
      <c r="AF3" s="515"/>
      <c r="AG3" s="515"/>
      <c r="AH3" s="515"/>
      <c r="AI3" s="515"/>
      <c r="AJ3" s="515"/>
      <c r="AK3" s="515"/>
      <c r="AL3" s="515"/>
      <c r="AM3" s="515"/>
      <c r="AN3" s="515"/>
      <c r="AO3" s="515"/>
      <c r="AP3" s="515"/>
      <c r="AQ3" s="515"/>
      <c r="AR3" s="515"/>
      <c r="AS3" s="515"/>
      <c r="AT3" s="515"/>
      <c r="AU3" s="516"/>
      <c r="AV3" s="516"/>
      <c r="AW3" s="516"/>
      <c r="AX3" s="516"/>
      <c r="AY3" s="516"/>
      <c r="AZ3" s="516"/>
      <c r="BA3" s="516"/>
      <c r="BB3" s="516"/>
      <c r="BC3" s="516"/>
      <c r="BD3" s="516"/>
      <c r="BE3" s="516"/>
      <c r="BF3" s="516"/>
      <c r="BG3" s="516"/>
      <c r="BH3" s="516"/>
      <c r="BI3" s="516"/>
      <c r="BJ3" s="516"/>
      <c r="BK3" s="516"/>
      <c r="BL3" s="516"/>
      <c r="BM3" s="516"/>
    </row>
    <row r="4" spans="1:70" s="103" customFormat="1">
      <c r="A4" s="662" t="s">
        <v>542</v>
      </c>
      <c r="B4" s="898" t="s">
        <v>47</v>
      </c>
      <c r="C4" s="898"/>
      <c r="O4" s="516"/>
      <c r="P4" s="516"/>
      <c r="Q4" s="516"/>
      <c r="R4" s="516"/>
      <c r="S4" s="516"/>
      <c r="T4" s="516"/>
      <c r="U4" s="516"/>
      <c r="V4" s="516"/>
      <c r="W4" s="516"/>
      <c r="X4" s="516"/>
      <c r="Y4" s="516"/>
      <c r="Z4" s="516"/>
      <c r="AA4" s="516"/>
      <c r="AB4" s="516"/>
      <c r="AC4" s="516"/>
      <c r="AD4" s="324"/>
      <c r="AE4" s="757"/>
      <c r="AF4" s="758" t="s">
        <v>439</v>
      </c>
      <c r="AG4" s="759" t="s">
        <v>440</v>
      </c>
      <c r="AH4" s="757"/>
      <c r="AI4" s="757"/>
      <c r="AJ4" s="757"/>
      <c r="AK4" s="757"/>
      <c r="AL4" s="757"/>
      <c r="AM4" s="757"/>
      <c r="AN4" s="757"/>
      <c r="AO4" s="757"/>
      <c r="AP4" s="758"/>
      <c r="AQ4" s="758"/>
      <c r="AR4" s="758"/>
      <c r="AS4" s="758"/>
      <c r="AT4" s="758"/>
      <c r="AU4" s="758"/>
      <c r="AV4" s="758"/>
      <c r="AW4" s="758"/>
      <c r="AX4" s="515"/>
      <c r="AY4" s="515"/>
      <c r="AZ4" s="516"/>
      <c r="BA4" s="516"/>
    </row>
    <row r="5" spans="1:70" s="11" customFormat="1">
      <c r="A5" s="608"/>
      <c r="B5" s="900"/>
      <c r="C5" s="900"/>
      <c r="D5" s="900"/>
      <c r="E5" s="900"/>
      <c r="F5" s="900"/>
      <c r="G5" s="900"/>
      <c r="H5" s="900"/>
      <c r="I5" s="900"/>
      <c r="J5" s="900"/>
      <c r="K5" s="900"/>
      <c r="L5" s="506"/>
      <c r="O5" s="517"/>
      <c r="P5" s="517"/>
      <c r="Q5" s="517"/>
      <c r="R5" s="517"/>
      <c r="S5" s="517"/>
      <c r="T5" s="517"/>
      <c r="U5" s="517"/>
      <c r="V5" s="517"/>
      <c r="W5" s="517"/>
      <c r="X5" s="517"/>
      <c r="Y5" s="517"/>
      <c r="Z5" s="517"/>
      <c r="AA5" s="517"/>
      <c r="AB5" s="517"/>
      <c r="AC5" s="517"/>
      <c r="AD5" s="760"/>
      <c r="AE5" s="761"/>
      <c r="AF5" s="762" t="str">
        <f>VLOOKUP(B4,Table1[#All], 3, FALSE)</f>
        <v>fetal</v>
      </c>
      <c r="AG5" s="763">
        <f>VLOOKUP(B4,Table1[#All], 2, FALSE)</f>
        <v>1</v>
      </c>
      <c r="AH5" s="764"/>
      <c r="AI5" s="764"/>
      <c r="AJ5" s="764"/>
      <c r="AK5" s="764"/>
      <c r="AL5" s="764"/>
      <c r="AM5" s="764"/>
      <c r="AN5" s="764"/>
      <c r="AO5" s="764"/>
      <c r="AP5" s="762"/>
      <c r="AQ5" s="762"/>
      <c r="AR5" s="762"/>
      <c r="AS5" s="762"/>
      <c r="AT5" s="762"/>
      <c r="AU5" s="762"/>
      <c r="AV5" s="762"/>
      <c r="AW5" s="762"/>
      <c r="AX5" s="765"/>
      <c r="AY5" s="765"/>
      <c r="AZ5" s="517"/>
      <c r="BA5" s="517"/>
    </row>
    <row r="6" spans="1:70" s="11" customFormat="1" ht="30" customHeight="1">
      <c r="A6" s="901" t="str">
        <f>Contents!E6</f>
        <v xml:space="preserve">Table 2: Number of deaths, by sex, ethnic group, maternal age group, deprivation quintile of residence, gestational age, birthweight and DHB of domicile, 2007−2016
</v>
      </c>
      <c r="B6" s="901"/>
      <c r="C6" s="901"/>
      <c r="D6" s="901"/>
      <c r="E6" s="901"/>
      <c r="F6" s="901"/>
      <c r="G6" s="901"/>
      <c r="H6" s="901"/>
      <c r="I6" s="901"/>
      <c r="J6" s="901"/>
      <c r="K6" s="901"/>
      <c r="O6" s="517"/>
      <c r="P6" s="517"/>
      <c r="Q6" s="517"/>
      <c r="R6" s="517"/>
      <c r="S6" s="517"/>
      <c r="T6" s="517"/>
      <c r="U6" s="517"/>
      <c r="V6" s="517"/>
      <c r="W6" s="517"/>
      <c r="X6" s="517"/>
      <c r="Y6" s="517"/>
      <c r="Z6" s="517"/>
      <c r="AA6" s="517"/>
      <c r="AB6" s="517"/>
      <c r="AC6" s="700"/>
      <c r="AD6" s="289" t="s">
        <v>442</v>
      </c>
      <c r="AE6" s="766">
        <v>1996</v>
      </c>
      <c r="AF6" s="767">
        <v>1997</v>
      </c>
      <c r="AG6" s="766">
        <v>1998</v>
      </c>
      <c r="AH6" s="766">
        <v>1999</v>
      </c>
      <c r="AI6" s="766">
        <v>2000</v>
      </c>
      <c r="AJ6" s="766">
        <v>2001</v>
      </c>
      <c r="AK6" s="766">
        <v>2002</v>
      </c>
      <c r="AL6" s="766">
        <v>2003</v>
      </c>
      <c r="AM6" s="766">
        <v>2004</v>
      </c>
      <c r="AN6" s="766">
        <v>2005</v>
      </c>
      <c r="AO6" s="766">
        <v>2006</v>
      </c>
      <c r="AP6" s="766">
        <v>2007</v>
      </c>
      <c r="AQ6" s="766">
        <v>2008</v>
      </c>
      <c r="AR6" s="766">
        <v>2009</v>
      </c>
      <c r="AS6" s="766">
        <v>2010</v>
      </c>
      <c r="AT6" s="766">
        <v>2011</v>
      </c>
      <c r="AU6" s="766">
        <v>2012</v>
      </c>
      <c r="AV6" s="766">
        <v>2013</v>
      </c>
      <c r="AW6" s="766">
        <v>2014</v>
      </c>
      <c r="AX6" s="766">
        <v>2015</v>
      </c>
      <c r="AY6" s="765">
        <v>2016</v>
      </c>
      <c r="AZ6" s="517"/>
      <c r="BA6" s="517"/>
    </row>
    <row r="7" spans="1:70">
      <c r="A7" s="10" t="s">
        <v>68</v>
      </c>
      <c r="B7" s="500">
        <v>2007</v>
      </c>
      <c r="C7" s="500">
        <v>2008</v>
      </c>
      <c r="D7" s="500">
        <v>2009</v>
      </c>
      <c r="E7" s="500">
        <v>2010</v>
      </c>
      <c r="F7" s="500">
        <v>2011</v>
      </c>
      <c r="G7" s="500">
        <v>2012</v>
      </c>
      <c r="H7" s="500">
        <v>2013</v>
      </c>
      <c r="I7" s="500">
        <v>2014</v>
      </c>
      <c r="J7" s="561">
        <v>2015</v>
      </c>
      <c r="K7" s="708">
        <v>2016</v>
      </c>
      <c r="AC7" s="261"/>
      <c r="AD7" s="503" t="s">
        <v>68</v>
      </c>
      <c r="AE7" s="766"/>
      <c r="AF7" s="767"/>
      <c r="AG7" s="766"/>
      <c r="AH7" s="766"/>
      <c r="AI7" s="766"/>
      <c r="AJ7" s="766"/>
      <c r="AK7" s="766"/>
      <c r="AL7" s="766"/>
      <c r="AM7" s="766"/>
      <c r="AN7" s="767"/>
      <c r="AO7" s="766"/>
      <c r="AP7" s="766"/>
      <c r="AQ7" s="766"/>
      <c r="AR7" s="766"/>
      <c r="AS7" s="766"/>
      <c r="AT7" s="766"/>
      <c r="AU7" s="766"/>
      <c r="AV7" s="766"/>
      <c r="AW7" s="766"/>
      <c r="AX7" s="766"/>
    </row>
    <row r="8" spans="1:70">
      <c r="A8" s="108" t="s">
        <v>104</v>
      </c>
      <c r="B8" s="108"/>
      <c r="C8" s="108"/>
      <c r="D8" s="108"/>
      <c r="E8" s="108"/>
      <c r="F8" s="108"/>
      <c r="G8" s="108"/>
      <c r="H8" s="108"/>
      <c r="I8" s="108"/>
      <c r="J8" s="108"/>
      <c r="K8" s="108"/>
      <c r="AC8" s="701"/>
      <c r="AD8" s="768" t="s">
        <v>104</v>
      </c>
      <c r="AE8" s="766"/>
      <c r="AF8" s="767"/>
      <c r="AG8" s="766"/>
      <c r="AH8" s="766"/>
      <c r="AI8" s="766"/>
      <c r="AJ8" s="766"/>
      <c r="AX8" s="762"/>
    </row>
    <row r="9" spans="1:70">
      <c r="A9" s="40" t="s">
        <v>44</v>
      </c>
      <c r="B9" s="519">
        <f>AP9</f>
        <v>470</v>
      </c>
      <c r="C9" s="519">
        <f t="shared" ref="C9:K9" si="0">AQ9</f>
        <v>556</v>
      </c>
      <c r="D9" s="519">
        <f t="shared" si="0"/>
        <v>482</v>
      </c>
      <c r="E9" s="519">
        <f t="shared" si="0"/>
        <v>469</v>
      </c>
      <c r="F9" s="519">
        <f t="shared" si="0"/>
        <v>451</v>
      </c>
      <c r="G9" s="519">
        <f t="shared" si="0"/>
        <v>448</v>
      </c>
      <c r="H9" s="519">
        <f t="shared" si="0"/>
        <v>393</v>
      </c>
      <c r="I9" s="519">
        <f t="shared" si="0"/>
        <v>447</v>
      </c>
      <c r="J9" s="519">
        <f t="shared" si="0"/>
        <v>384</v>
      </c>
      <c r="K9" s="519">
        <f t="shared" si="0"/>
        <v>413</v>
      </c>
      <c r="L9" s="173"/>
      <c r="M9" s="173"/>
      <c r="N9" s="173"/>
      <c r="O9" s="702"/>
      <c r="P9" s="702"/>
      <c r="Q9" s="702"/>
      <c r="R9" s="702"/>
      <c r="S9" s="702"/>
      <c r="T9" s="702"/>
      <c r="U9" s="702"/>
      <c r="V9" s="702"/>
      <c r="W9" s="702"/>
      <c r="X9" s="702"/>
      <c r="Y9" s="702"/>
      <c r="AC9" s="701"/>
      <c r="AD9" s="769" t="s">
        <v>44</v>
      </c>
      <c r="AE9" s="770">
        <f t="shared" ref="AE9:AX9" si="1">VLOOKUP(AE$6&amp;$AD8&amp;$AD9&amp;$AF$5, vw.deaths, 5, FALSE)</f>
        <v>409</v>
      </c>
      <c r="AF9" s="770">
        <f t="shared" si="1"/>
        <v>417</v>
      </c>
      <c r="AG9" s="770">
        <f t="shared" si="1"/>
        <v>348</v>
      </c>
      <c r="AH9" s="770">
        <f t="shared" si="1"/>
        <v>426</v>
      </c>
      <c r="AI9" s="770">
        <f t="shared" si="1"/>
        <v>369</v>
      </c>
      <c r="AJ9" s="770">
        <f t="shared" si="1"/>
        <v>386</v>
      </c>
      <c r="AK9" s="770">
        <f t="shared" si="1"/>
        <v>390</v>
      </c>
      <c r="AL9" s="770">
        <f t="shared" si="1"/>
        <v>393</v>
      </c>
      <c r="AM9" s="770">
        <f t="shared" si="1"/>
        <v>506</v>
      </c>
      <c r="AN9" s="770">
        <f t="shared" si="1"/>
        <v>403</v>
      </c>
      <c r="AO9" s="770">
        <f t="shared" si="1"/>
        <v>409</v>
      </c>
      <c r="AP9" s="770">
        <f t="shared" si="1"/>
        <v>470</v>
      </c>
      <c r="AQ9" s="770">
        <f t="shared" si="1"/>
        <v>556</v>
      </c>
      <c r="AR9" s="770">
        <f t="shared" si="1"/>
        <v>482</v>
      </c>
      <c r="AS9" s="770">
        <f t="shared" si="1"/>
        <v>469</v>
      </c>
      <c r="AT9" s="770">
        <f t="shared" si="1"/>
        <v>451</v>
      </c>
      <c r="AU9" s="770">
        <f t="shared" si="1"/>
        <v>448</v>
      </c>
      <c r="AV9" s="770">
        <f t="shared" si="1"/>
        <v>393</v>
      </c>
      <c r="AW9" s="770">
        <f t="shared" si="1"/>
        <v>447</v>
      </c>
      <c r="AX9" s="770">
        <f t="shared" si="1"/>
        <v>384</v>
      </c>
      <c r="AY9" s="770">
        <f t="shared" ref="AY9" si="2">VLOOKUP(AY$6&amp;$AD8&amp;$AD9&amp;$AF$5, vw.deaths, 5, FALSE)</f>
        <v>413</v>
      </c>
    </row>
    <row r="10" spans="1:70">
      <c r="A10" s="108" t="s">
        <v>69</v>
      </c>
      <c r="B10" s="520"/>
      <c r="C10" s="520"/>
      <c r="D10" s="520"/>
      <c r="E10" s="520"/>
      <c r="F10" s="520"/>
      <c r="G10" s="520"/>
      <c r="H10" s="520"/>
      <c r="I10" s="520"/>
      <c r="J10" s="520"/>
      <c r="K10" s="520"/>
      <c r="AC10" s="701"/>
      <c r="AD10" s="503" t="s">
        <v>69</v>
      </c>
      <c r="AE10" s="770"/>
      <c r="AF10" s="770"/>
      <c r="AG10" s="770"/>
      <c r="AH10" s="770"/>
      <c r="AI10" s="770"/>
      <c r="AJ10" s="770"/>
      <c r="AK10" s="770"/>
      <c r="AL10" s="770"/>
      <c r="AM10" s="770"/>
      <c r="AN10" s="770"/>
      <c r="AO10" s="770"/>
      <c r="AP10" s="770"/>
      <c r="AQ10" s="770"/>
      <c r="AR10" s="770"/>
      <c r="AS10" s="770"/>
      <c r="AT10" s="770"/>
      <c r="AU10" s="770"/>
      <c r="AV10" s="770"/>
      <c r="AW10" s="770"/>
      <c r="AX10" s="770"/>
      <c r="AY10" s="770"/>
      <c r="BQ10" s="512"/>
      <c r="BR10" s="512"/>
    </row>
    <row r="11" spans="1:70">
      <c r="A11" s="49" t="s">
        <v>70</v>
      </c>
      <c r="B11" s="521">
        <f>AP11</f>
        <v>233</v>
      </c>
      <c r="C11" s="521">
        <f>AQ11</f>
        <v>286</v>
      </c>
      <c r="D11" s="521">
        <f t="shared" ref="C11:K13" si="3">AR11</f>
        <v>245</v>
      </c>
      <c r="E11" s="521">
        <f t="shared" si="3"/>
        <v>234</v>
      </c>
      <c r="F11" s="521">
        <f t="shared" si="3"/>
        <v>230</v>
      </c>
      <c r="G11" s="521">
        <f t="shared" si="3"/>
        <v>224</v>
      </c>
      <c r="H11" s="521">
        <f t="shared" si="3"/>
        <v>200</v>
      </c>
      <c r="I11" s="521">
        <f t="shared" si="3"/>
        <v>243</v>
      </c>
      <c r="J11" s="521">
        <f t="shared" si="3"/>
        <v>183</v>
      </c>
      <c r="K11" s="521">
        <f t="shared" si="3"/>
        <v>216</v>
      </c>
      <c r="L11" s="173"/>
      <c r="M11" s="173"/>
      <c r="N11" s="173"/>
      <c r="O11" s="702"/>
      <c r="P11" s="702"/>
      <c r="Q11" s="702"/>
      <c r="R11" s="702"/>
      <c r="S11" s="702"/>
      <c r="T11" s="702"/>
      <c r="U11" s="702"/>
      <c r="V11" s="702"/>
      <c r="W11" s="702"/>
      <c r="X11" s="702"/>
      <c r="Y11" s="702"/>
      <c r="AC11" s="703"/>
      <c r="AD11" s="503" t="s">
        <v>70</v>
      </c>
      <c r="AE11" s="770">
        <f t="shared" ref="AE11:AX11" si="4">VLOOKUP(AE$6&amp;$AD10&amp;$AD11&amp;$AF$5, vw.deaths, 5, FALSE)</f>
        <v>213</v>
      </c>
      <c r="AF11" s="770">
        <f t="shared" si="4"/>
        <v>218</v>
      </c>
      <c r="AG11" s="770">
        <f t="shared" si="4"/>
        <v>176</v>
      </c>
      <c r="AH11" s="770">
        <f t="shared" si="4"/>
        <v>213</v>
      </c>
      <c r="AI11" s="770">
        <f t="shared" si="4"/>
        <v>188</v>
      </c>
      <c r="AJ11" s="770">
        <f t="shared" si="4"/>
        <v>204</v>
      </c>
      <c r="AK11" s="770">
        <f t="shared" si="4"/>
        <v>193</v>
      </c>
      <c r="AL11" s="770">
        <f t="shared" si="4"/>
        <v>191</v>
      </c>
      <c r="AM11" s="770">
        <f t="shared" si="4"/>
        <v>280</v>
      </c>
      <c r="AN11" s="770">
        <f t="shared" si="4"/>
        <v>212</v>
      </c>
      <c r="AO11" s="770">
        <f t="shared" si="4"/>
        <v>216</v>
      </c>
      <c r="AP11" s="770">
        <f t="shared" si="4"/>
        <v>233</v>
      </c>
      <c r="AQ11" s="770">
        <f t="shared" si="4"/>
        <v>286</v>
      </c>
      <c r="AR11" s="770">
        <f t="shared" si="4"/>
        <v>245</v>
      </c>
      <c r="AS11" s="770">
        <f t="shared" si="4"/>
        <v>234</v>
      </c>
      <c r="AT11" s="770">
        <f t="shared" si="4"/>
        <v>230</v>
      </c>
      <c r="AU11" s="770">
        <f t="shared" si="4"/>
        <v>224</v>
      </c>
      <c r="AV11" s="770">
        <f t="shared" si="4"/>
        <v>200</v>
      </c>
      <c r="AW11" s="770">
        <f t="shared" si="4"/>
        <v>243</v>
      </c>
      <c r="AX11" s="770">
        <f t="shared" si="4"/>
        <v>183</v>
      </c>
      <c r="AY11" s="770">
        <f t="shared" ref="AY11" si="5">VLOOKUP(AY$6&amp;$AD10&amp;$AD11&amp;$AF$5, vw.deaths, 5, FALSE)</f>
        <v>216</v>
      </c>
    </row>
    <row r="12" spans="1:70">
      <c r="A12" s="49" t="s">
        <v>71</v>
      </c>
      <c r="B12" s="521">
        <f>AP12</f>
        <v>236</v>
      </c>
      <c r="C12" s="521">
        <f t="shared" si="3"/>
        <v>266</v>
      </c>
      <c r="D12" s="521">
        <f t="shared" si="3"/>
        <v>232</v>
      </c>
      <c r="E12" s="521">
        <f t="shared" si="3"/>
        <v>232</v>
      </c>
      <c r="F12" s="521">
        <f t="shared" si="3"/>
        <v>217</v>
      </c>
      <c r="G12" s="521">
        <f t="shared" si="3"/>
        <v>215</v>
      </c>
      <c r="H12" s="521">
        <f t="shared" si="3"/>
        <v>186</v>
      </c>
      <c r="I12" s="521">
        <f t="shared" si="3"/>
        <v>191</v>
      </c>
      <c r="J12" s="521">
        <f t="shared" si="3"/>
        <v>192</v>
      </c>
      <c r="K12" s="521">
        <f t="shared" si="3"/>
        <v>189</v>
      </c>
      <c r="L12" s="173"/>
      <c r="M12" s="173"/>
      <c r="N12" s="173"/>
      <c r="O12" s="702"/>
      <c r="P12" s="702"/>
      <c r="Q12" s="702"/>
      <c r="R12" s="702"/>
      <c r="S12" s="702"/>
      <c r="T12" s="702"/>
      <c r="U12" s="702"/>
      <c r="V12" s="702"/>
      <c r="W12" s="702"/>
      <c r="X12" s="702"/>
      <c r="Y12" s="702"/>
      <c r="AC12" s="701"/>
      <c r="AD12" s="503" t="s">
        <v>71</v>
      </c>
      <c r="AE12" s="770">
        <f t="shared" ref="AE12:AX12" si="6">VLOOKUP(AE$6&amp;$AD10&amp;$AD12&amp;$AF$5, vw.deaths, 5, FALSE)</f>
        <v>196</v>
      </c>
      <c r="AF12" s="770">
        <f t="shared" si="6"/>
        <v>199</v>
      </c>
      <c r="AG12" s="770">
        <f t="shared" si="6"/>
        <v>167</v>
      </c>
      <c r="AH12" s="770">
        <f t="shared" si="6"/>
        <v>207</v>
      </c>
      <c r="AI12" s="770">
        <f t="shared" si="6"/>
        <v>181</v>
      </c>
      <c r="AJ12" s="770">
        <f t="shared" si="6"/>
        <v>181</v>
      </c>
      <c r="AK12" s="770">
        <f t="shared" si="6"/>
        <v>196</v>
      </c>
      <c r="AL12" s="770">
        <f t="shared" si="6"/>
        <v>197</v>
      </c>
      <c r="AM12" s="770">
        <f t="shared" si="6"/>
        <v>223</v>
      </c>
      <c r="AN12" s="770">
        <f t="shared" si="6"/>
        <v>191</v>
      </c>
      <c r="AO12" s="770">
        <f t="shared" si="6"/>
        <v>193</v>
      </c>
      <c r="AP12" s="770">
        <f t="shared" si="6"/>
        <v>236</v>
      </c>
      <c r="AQ12" s="770">
        <f t="shared" si="6"/>
        <v>266</v>
      </c>
      <c r="AR12" s="770">
        <f t="shared" si="6"/>
        <v>232</v>
      </c>
      <c r="AS12" s="770">
        <f t="shared" si="6"/>
        <v>232</v>
      </c>
      <c r="AT12" s="770">
        <f t="shared" si="6"/>
        <v>217</v>
      </c>
      <c r="AU12" s="770">
        <f t="shared" si="6"/>
        <v>215</v>
      </c>
      <c r="AV12" s="770">
        <f t="shared" si="6"/>
        <v>186</v>
      </c>
      <c r="AW12" s="770">
        <f t="shared" si="6"/>
        <v>191</v>
      </c>
      <c r="AX12" s="770">
        <f t="shared" si="6"/>
        <v>192</v>
      </c>
      <c r="AY12" s="770">
        <f t="shared" ref="AY12" si="7">VLOOKUP(AY$6&amp;$AD10&amp;$AD12&amp;$AF$5, vw.deaths, 5, FALSE)</f>
        <v>189</v>
      </c>
    </row>
    <row r="13" spans="1:70">
      <c r="A13" s="664" t="s">
        <v>63</v>
      </c>
      <c r="B13" s="521">
        <f>AP13</f>
        <v>1</v>
      </c>
      <c r="C13" s="521">
        <f t="shared" si="3"/>
        <v>4</v>
      </c>
      <c r="D13" s="521">
        <f t="shared" si="3"/>
        <v>5</v>
      </c>
      <c r="E13" s="521">
        <f t="shared" si="3"/>
        <v>3</v>
      </c>
      <c r="F13" s="521">
        <f t="shared" si="3"/>
        <v>4</v>
      </c>
      <c r="G13" s="521">
        <f t="shared" si="3"/>
        <v>9</v>
      </c>
      <c r="H13" s="521">
        <f t="shared" si="3"/>
        <v>7</v>
      </c>
      <c r="I13" s="521">
        <f t="shared" si="3"/>
        <v>13</v>
      </c>
      <c r="J13" s="521">
        <f t="shared" si="3"/>
        <v>9</v>
      </c>
      <c r="K13" s="521">
        <f t="shared" si="3"/>
        <v>8</v>
      </c>
      <c r="AC13" s="703"/>
      <c r="AD13" s="503" t="s">
        <v>458</v>
      </c>
      <c r="AE13" s="770">
        <f t="shared" ref="AE13:AX13" si="8">VLOOKUP(AE$6&amp;$AD10&amp;$AD13&amp;$AF$5, vw.deaths, 5, FALSE)</f>
        <v>0</v>
      </c>
      <c r="AF13" s="770">
        <f t="shared" si="8"/>
        <v>0</v>
      </c>
      <c r="AG13" s="770">
        <f t="shared" si="8"/>
        <v>5</v>
      </c>
      <c r="AH13" s="770">
        <f t="shared" si="8"/>
        <v>6</v>
      </c>
      <c r="AI13" s="770">
        <f t="shared" si="8"/>
        <v>0</v>
      </c>
      <c r="AJ13" s="770">
        <f t="shared" si="8"/>
        <v>1</v>
      </c>
      <c r="AK13" s="770">
        <f t="shared" si="8"/>
        <v>1</v>
      </c>
      <c r="AL13" s="770">
        <f t="shared" si="8"/>
        <v>5</v>
      </c>
      <c r="AM13" s="770">
        <f t="shared" si="8"/>
        <v>3</v>
      </c>
      <c r="AN13" s="770">
        <f t="shared" si="8"/>
        <v>0</v>
      </c>
      <c r="AO13" s="770">
        <f t="shared" si="8"/>
        <v>0</v>
      </c>
      <c r="AP13" s="770">
        <f t="shared" si="8"/>
        <v>1</v>
      </c>
      <c r="AQ13" s="770">
        <f t="shared" si="8"/>
        <v>4</v>
      </c>
      <c r="AR13" s="770">
        <f t="shared" si="8"/>
        <v>5</v>
      </c>
      <c r="AS13" s="770">
        <f t="shared" si="8"/>
        <v>3</v>
      </c>
      <c r="AT13" s="770">
        <f t="shared" si="8"/>
        <v>4</v>
      </c>
      <c r="AU13" s="770">
        <f t="shared" si="8"/>
        <v>9</v>
      </c>
      <c r="AV13" s="770">
        <f t="shared" si="8"/>
        <v>7</v>
      </c>
      <c r="AW13" s="770">
        <f t="shared" si="8"/>
        <v>13</v>
      </c>
      <c r="AX13" s="770">
        <f t="shared" si="8"/>
        <v>9</v>
      </c>
      <c r="AY13" s="770">
        <f t="shared" ref="AY13" si="9">VLOOKUP(AY$6&amp;$AD10&amp;$AD13&amp;$AF$5, vw.deaths, 5, FALSE)</f>
        <v>8</v>
      </c>
    </row>
    <row r="14" spans="1:70">
      <c r="A14" s="108" t="s">
        <v>73</v>
      </c>
      <c r="B14" s="520"/>
      <c r="C14" s="520"/>
      <c r="D14" s="520"/>
      <c r="E14" s="520"/>
      <c r="F14" s="520"/>
      <c r="G14" s="520"/>
      <c r="H14" s="520"/>
      <c r="I14" s="520"/>
      <c r="J14" s="520"/>
      <c r="K14" s="520"/>
      <c r="L14" s="173"/>
      <c r="M14" s="173"/>
      <c r="N14" s="173"/>
      <c r="O14" s="702"/>
      <c r="P14" s="702"/>
      <c r="Q14" s="702"/>
      <c r="R14" s="702"/>
      <c r="S14" s="702"/>
      <c r="T14" s="702"/>
      <c r="U14" s="702"/>
      <c r="V14" s="702"/>
      <c r="W14" s="702"/>
      <c r="X14" s="702"/>
      <c r="Y14" s="702"/>
      <c r="AC14" s="701"/>
      <c r="AD14" s="503" t="s">
        <v>461</v>
      </c>
      <c r="AE14" s="770"/>
      <c r="AF14" s="770"/>
      <c r="AG14" s="770"/>
      <c r="AH14" s="770"/>
      <c r="AI14" s="770"/>
      <c r="AJ14" s="770"/>
      <c r="AK14" s="770"/>
      <c r="AL14" s="770"/>
      <c r="AM14" s="770"/>
      <c r="AN14" s="770"/>
      <c r="AO14" s="770"/>
      <c r="AP14" s="770"/>
      <c r="AQ14" s="770"/>
      <c r="AR14" s="770"/>
      <c r="AS14" s="770"/>
      <c r="AT14" s="770"/>
      <c r="AU14" s="770"/>
      <c r="AV14" s="770"/>
      <c r="AW14" s="770"/>
      <c r="AX14" s="770"/>
      <c r="AY14" s="770"/>
    </row>
    <row r="15" spans="1:70">
      <c r="A15" s="507" t="s">
        <v>74</v>
      </c>
      <c r="B15" s="521">
        <f>AP15</f>
        <v>126</v>
      </c>
      <c r="C15" s="521">
        <f t="shared" ref="C15:K18" si="10">AQ15</f>
        <v>171</v>
      </c>
      <c r="D15" s="521">
        <f t="shared" si="10"/>
        <v>150</v>
      </c>
      <c r="E15" s="521">
        <f t="shared" si="10"/>
        <v>151</v>
      </c>
      <c r="F15" s="521">
        <f t="shared" si="10"/>
        <v>133</v>
      </c>
      <c r="G15" s="521">
        <f t="shared" si="10"/>
        <v>127</v>
      </c>
      <c r="H15" s="521">
        <f>AV15</f>
        <v>117</v>
      </c>
      <c r="I15" s="521">
        <f t="shared" si="10"/>
        <v>124</v>
      </c>
      <c r="J15" s="521">
        <f t="shared" si="10"/>
        <v>100</v>
      </c>
      <c r="K15" s="521">
        <f t="shared" si="10"/>
        <v>122</v>
      </c>
      <c r="L15" s="173"/>
      <c r="M15" s="173"/>
      <c r="N15" s="173"/>
      <c r="O15" s="702"/>
      <c r="P15" s="702"/>
      <c r="Q15" s="702"/>
      <c r="R15" s="702"/>
      <c r="S15" s="702"/>
      <c r="T15" s="702"/>
      <c r="U15" s="702"/>
      <c r="V15" s="702"/>
      <c r="W15" s="702"/>
      <c r="X15" s="702"/>
      <c r="Y15" s="702"/>
      <c r="AC15" s="701"/>
      <c r="AD15" s="503" t="s">
        <v>129</v>
      </c>
      <c r="AE15" s="770">
        <f t="shared" ref="AE15:AX15" si="11">VLOOKUP(AE$6&amp;$AD14&amp;$AD15&amp;$AF$5, vw.deaths, 5, FALSE)</f>
        <v>112</v>
      </c>
      <c r="AF15" s="770">
        <f t="shared" si="11"/>
        <v>117</v>
      </c>
      <c r="AG15" s="770">
        <f t="shared" si="11"/>
        <v>89</v>
      </c>
      <c r="AH15" s="770">
        <f t="shared" si="11"/>
        <v>110</v>
      </c>
      <c r="AI15" s="770">
        <f t="shared" si="11"/>
        <v>93</v>
      </c>
      <c r="AJ15" s="770">
        <f t="shared" si="11"/>
        <v>108</v>
      </c>
      <c r="AK15" s="770">
        <f t="shared" si="11"/>
        <v>100</v>
      </c>
      <c r="AL15" s="770">
        <f t="shared" si="11"/>
        <v>103</v>
      </c>
      <c r="AM15" s="770">
        <f t="shared" si="11"/>
        <v>141</v>
      </c>
      <c r="AN15" s="770">
        <f t="shared" si="11"/>
        <v>114</v>
      </c>
      <c r="AO15" s="770">
        <f t="shared" si="11"/>
        <v>99</v>
      </c>
      <c r="AP15" s="770">
        <f t="shared" si="11"/>
        <v>126</v>
      </c>
      <c r="AQ15" s="770">
        <f t="shared" si="11"/>
        <v>171</v>
      </c>
      <c r="AR15" s="770">
        <f t="shared" si="11"/>
        <v>150</v>
      </c>
      <c r="AS15" s="770">
        <f t="shared" si="11"/>
        <v>151</v>
      </c>
      <c r="AT15" s="770">
        <f t="shared" si="11"/>
        <v>133</v>
      </c>
      <c r="AU15" s="770">
        <f t="shared" si="11"/>
        <v>127</v>
      </c>
      <c r="AV15" s="770">
        <f t="shared" si="11"/>
        <v>117</v>
      </c>
      <c r="AW15" s="770">
        <f t="shared" si="11"/>
        <v>124</v>
      </c>
      <c r="AX15" s="770">
        <f t="shared" si="11"/>
        <v>100</v>
      </c>
      <c r="AY15" s="770">
        <f t="shared" ref="AY15" si="12">VLOOKUP(AY$6&amp;$AD14&amp;$AD15&amp;$AF$5, vw.deaths, 5, FALSE)</f>
        <v>122</v>
      </c>
    </row>
    <row r="16" spans="1:70">
      <c r="A16" s="49" t="s">
        <v>320</v>
      </c>
      <c r="B16" s="521">
        <f>AP16</f>
        <v>58</v>
      </c>
      <c r="C16" s="521">
        <f t="shared" si="10"/>
        <v>80</v>
      </c>
      <c r="D16" s="521">
        <f t="shared" si="10"/>
        <v>66</v>
      </c>
      <c r="E16" s="521">
        <f t="shared" si="10"/>
        <v>71</v>
      </c>
      <c r="F16" s="521">
        <f t="shared" si="10"/>
        <v>51</v>
      </c>
      <c r="G16" s="521">
        <f t="shared" si="10"/>
        <v>50</v>
      </c>
      <c r="H16" s="521">
        <f t="shared" si="10"/>
        <v>49</v>
      </c>
      <c r="I16" s="521">
        <f t="shared" si="10"/>
        <v>48</v>
      </c>
      <c r="J16" s="521">
        <f t="shared" si="10"/>
        <v>39</v>
      </c>
      <c r="K16" s="521">
        <f t="shared" si="10"/>
        <v>45</v>
      </c>
      <c r="L16" s="173"/>
      <c r="M16" s="173"/>
      <c r="N16" s="173"/>
      <c r="O16" s="702"/>
      <c r="P16" s="702"/>
      <c r="Q16" s="702"/>
      <c r="R16" s="702"/>
      <c r="S16" s="702"/>
      <c r="T16" s="702"/>
      <c r="U16" s="702"/>
      <c r="V16" s="702"/>
      <c r="W16" s="702"/>
      <c r="X16" s="702"/>
      <c r="Y16" s="702"/>
      <c r="AC16" s="701"/>
      <c r="AD16" s="503" t="s">
        <v>320</v>
      </c>
      <c r="AE16" s="770">
        <f t="shared" ref="AE16:AX16" si="13">VLOOKUP(AE$6&amp;$AD14&amp;$AD16&amp;$AF$5, vw.deaths, 5, FALSE)</f>
        <v>45</v>
      </c>
      <c r="AF16" s="770">
        <f t="shared" si="13"/>
        <v>46</v>
      </c>
      <c r="AG16" s="770">
        <f t="shared" si="13"/>
        <v>55</v>
      </c>
      <c r="AH16" s="770">
        <f t="shared" si="13"/>
        <v>61</v>
      </c>
      <c r="AI16" s="770">
        <f t="shared" si="13"/>
        <v>41</v>
      </c>
      <c r="AJ16" s="770">
        <f t="shared" si="13"/>
        <v>42</v>
      </c>
      <c r="AK16" s="770">
        <f t="shared" si="13"/>
        <v>55</v>
      </c>
      <c r="AL16" s="770">
        <f t="shared" si="13"/>
        <v>49</v>
      </c>
      <c r="AM16" s="770">
        <f t="shared" si="13"/>
        <v>65</v>
      </c>
      <c r="AN16" s="770">
        <f t="shared" si="13"/>
        <v>43</v>
      </c>
      <c r="AO16" s="770">
        <f t="shared" si="13"/>
        <v>56</v>
      </c>
      <c r="AP16" s="770">
        <f t="shared" si="13"/>
        <v>58</v>
      </c>
      <c r="AQ16" s="770">
        <f t="shared" si="13"/>
        <v>80</v>
      </c>
      <c r="AR16" s="770">
        <f t="shared" si="13"/>
        <v>66</v>
      </c>
      <c r="AS16" s="770">
        <f t="shared" si="13"/>
        <v>71</v>
      </c>
      <c r="AT16" s="770">
        <f t="shared" si="13"/>
        <v>51</v>
      </c>
      <c r="AU16" s="770">
        <f t="shared" si="13"/>
        <v>50</v>
      </c>
      <c r="AV16" s="770">
        <f t="shared" si="13"/>
        <v>49</v>
      </c>
      <c r="AW16" s="770">
        <f t="shared" si="13"/>
        <v>48</v>
      </c>
      <c r="AX16" s="770">
        <f t="shared" si="13"/>
        <v>39</v>
      </c>
      <c r="AY16" s="770">
        <f t="shared" ref="AY16" si="14">VLOOKUP(AY$6&amp;$AD14&amp;$AD16&amp;$AF$5, vw.deaths, 5, FALSE)</f>
        <v>45</v>
      </c>
    </row>
    <row r="17" spans="1:51">
      <c r="A17" s="309" t="s">
        <v>355</v>
      </c>
      <c r="B17" s="521">
        <f>AP17</f>
        <v>44</v>
      </c>
      <c r="C17" s="521">
        <f t="shared" si="10"/>
        <v>61</v>
      </c>
      <c r="D17" s="521">
        <f t="shared" si="10"/>
        <v>47</v>
      </c>
      <c r="E17" s="521">
        <f t="shared" si="10"/>
        <v>56</v>
      </c>
      <c r="F17" s="521">
        <f t="shared" si="10"/>
        <v>61</v>
      </c>
      <c r="G17" s="521">
        <f t="shared" si="10"/>
        <v>76</v>
      </c>
      <c r="H17" s="521">
        <f t="shared" si="10"/>
        <v>61</v>
      </c>
      <c r="I17" s="521">
        <f t="shared" si="10"/>
        <v>57</v>
      </c>
      <c r="J17" s="521">
        <f t="shared" si="10"/>
        <v>63</v>
      </c>
      <c r="K17" s="521">
        <f t="shared" si="10"/>
        <v>73</v>
      </c>
      <c r="L17" s="173"/>
      <c r="M17" s="173"/>
      <c r="N17" s="173"/>
      <c r="O17" s="702"/>
      <c r="P17" s="702"/>
      <c r="Q17" s="702"/>
      <c r="R17" s="702"/>
      <c r="S17" s="702"/>
      <c r="T17" s="702"/>
      <c r="U17" s="702"/>
      <c r="V17" s="702"/>
      <c r="W17" s="702"/>
      <c r="X17" s="702"/>
      <c r="Y17" s="702"/>
      <c r="AC17" s="703"/>
      <c r="AD17" s="503" t="s">
        <v>355</v>
      </c>
      <c r="AE17" s="770">
        <f t="shared" ref="AE17:AX17" si="15">VLOOKUP(AE$6&amp;$AD14&amp;$AD17&amp;$AF$5, vw.deaths, 5, FALSE)</f>
        <v>18</v>
      </c>
      <c r="AF17" s="770">
        <f t="shared" si="15"/>
        <v>23</v>
      </c>
      <c r="AG17" s="770">
        <f t="shared" si="15"/>
        <v>26</v>
      </c>
      <c r="AH17" s="770">
        <f t="shared" si="15"/>
        <v>27</v>
      </c>
      <c r="AI17" s="770">
        <f t="shared" si="15"/>
        <v>32</v>
      </c>
      <c r="AJ17" s="770">
        <f t="shared" si="15"/>
        <v>33</v>
      </c>
      <c r="AK17" s="770">
        <f t="shared" si="15"/>
        <v>27</v>
      </c>
      <c r="AL17" s="770">
        <f t="shared" si="15"/>
        <v>49</v>
      </c>
      <c r="AM17" s="770">
        <f t="shared" si="15"/>
        <v>57</v>
      </c>
      <c r="AN17" s="770">
        <f t="shared" si="15"/>
        <v>43</v>
      </c>
      <c r="AO17" s="770">
        <f t="shared" si="15"/>
        <v>47</v>
      </c>
      <c r="AP17" s="770">
        <f t="shared" si="15"/>
        <v>44</v>
      </c>
      <c r="AQ17" s="770">
        <f t="shared" si="15"/>
        <v>61</v>
      </c>
      <c r="AR17" s="770">
        <f t="shared" si="15"/>
        <v>47</v>
      </c>
      <c r="AS17" s="770">
        <f t="shared" si="15"/>
        <v>56</v>
      </c>
      <c r="AT17" s="770">
        <f t="shared" si="15"/>
        <v>61</v>
      </c>
      <c r="AU17" s="770">
        <f t="shared" si="15"/>
        <v>76</v>
      </c>
      <c r="AV17" s="770">
        <f t="shared" si="15"/>
        <v>61</v>
      </c>
      <c r="AW17" s="770">
        <f t="shared" si="15"/>
        <v>57</v>
      </c>
      <c r="AX17" s="770">
        <f t="shared" si="15"/>
        <v>63</v>
      </c>
      <c r="AY17" s="770">
        <f t="shared" ref="AY17" si="16">VLOOKUP(AY$6&amp;$AD14&amp;$AD17&amp;$AF$5, vw.deaths, 5, FALSE)</f>
        <v>73</v>
      </c>
    </row>
    <row r="18" spans="1:51">
      <c r="A18" s="309" t="s">
        <v>356</v>
      </c>
      <c r="B18" s="521">
        <f>AP18</f>
        <v>242</v>
      </c>
      <c r="C18" s="521">
        <f t="shared" si="10"/>
        <v>244</v>
      </c>
      <c r="D18" s="521">
        <f t="shared" si="10"/>
        <v>219</v>
      </c>
      <c r="E18" s="521">
        <f t="shared" si="10"/>
        <v>191</v>
      </c>
      <c r="F18" s="521">
        <f t="shared" si="10"/>
        <v>206</v>
      </c>
      <c r="G18" s="521">
        <f t="shared" si="10"/>
        <v>195</v>
      </c>
      <c r="H18" s="521">
        <f t="shared" si="10"/>
        <v>166</v>
      </c>
      <c r="I18" s="521">
        <f t="shared" si="10"/>
        <v>218</v>
      </c>
      <c r="J18" s="521">
        <f t="shared" si="10"/>
        <v>182</v>
      </c>
      <c r="K18" s="521">
        <f t="shared" si="10"/>
        <v>173</v>
      </c>
      <c r="L18" s="173"/>
      <c r="M18" s="173"/>
      <c r="N18" s="173"/>
      <c r="O18" s="702"/>
      <c r="P18" s="702"/>
      <c r="Q18" s="702"/>
      <c r="R18" s="702"/>
      <c r="S18" s="702"/>
      <c r="T18" s="702"/>
      <c r="U18" s="702"/>
      <c r="V18" s="702"/>
      <c r="W18" s="702"/>
      <c r="X18" s="702"/>
      <c r="Y18" s="702"/>
      <c r="AC18" s="701"/>
      <c r="AD18" s="503" t="s">
        <v>356</v>
      </c>
      <c r="AE18" s="770">
        <f t="shared" ref="AE18:AX18" si="17">VLOOKUP(AE$6&amp;$AD14&amp;$AD18&amp;$AF$5, vw.deaths, 5, FALSE)</f>
        <v>234</v>
      </c>
      <c r="AF18" s="770">
        <f t="shared" si="17"/>
        <v>231</v>
      </c>
      <c r="AG18" s="770">
        <f t="shared" si="17"/>
        <v>178</v>
      </c>
      <c r="AH18" s="770">
        <f t="shared" si="17"/>
        <v>228</v>
      </c>
      <c r="AI18" s="770">
        <f t="shared" si="17"/>
        <v>203</v>
      </c>
      <c r="AJ18" s="770">
        <f t="shared" si="17"/>
        <v>203</v>
      </c>
      <c r="AK18" s="770">
        <f t="shared" si="17"/>
        <v>208</v>
      </c>
      <c r="AL18" s="770">
        <f t="shared" si="17"/>
        <v>192</v>
      </c>
      <c r="AM18" s="770">
        <f t="shared" si="17"/>
        <v>243</v>
      </c>
      <c r="AN18" s="770">
        <f t="shared" si="17"/>
        <v>203</v>
      </c>
      <c r="AO18" s="770">
        <f t="shared" si="17"/>
        <v>207</v>
      </c>
      <c r="AP18" s="770">
        <f t="shared" si="17"/>
        <v>242</v>
      </c>
      <c r="AQ18" s="770">
        <f t="shared" si="17"/>
        <v>244</v>
      </c>
      <c r="AR18" s="770">
        <f t="shared" si="17"/>
        <v>219</v>
      </c>
      <c r="AS18" s="770">
        <f t="shared" si="17"/>
        <v>191</v>
      </c>
      <c r="AT18" s="770">
        <f t="shared" si="17"/>
        <v>206</v>
      </c>
      <c r="AU18" s="770">
        <f t="shared" si="17"/>
        <v>195</v>
      </c>
      <c r="AV18" s="770">
        <f t="shared" si="17"/>
        <v>166</v>
      </c>
      <c r="AW18" s="770">
        <f t="shared" si="17"/>
        <v>218</v>
      </c>
      <c r="AX18" s="770">
        <f t="shared" si="17"/>
        <v>182</v>
      </c>
      <c r="AY18" s="770">
        <f t="shared" ref="AY18" si="18">VLOOKUP(AY$6&amp;$AD14&amp;$AD18&amp;$AF$5, vw.deaths, 5, FALSE)</f>
        <v>173</v>
      </c>
    </row>
    <row r="19" spans="1:51">
      <c r="A19" s="108" t="s">
        <v>152</v>
      </c>
      <c r="B19" s="520"/>
      <c r="C19" s="520"/>
      <c r="D19" s="520"/>
      <c r="E19" s="520"/>
      <c r="F19" s="520"/>
      <c r="G19" s="520"/>
      <c r="H19" s="520"/>
      <c r="I19" s="520"/>
      <c r="J19" s="520"/>
      <c r="K19" s="520"/>
      <c r="AC19" s="701"/>
      <c r="AD19" s="503" t="s">
        <v>453</v>
      </c>
      <c r="AE19" s="770"/>
      <c r="AF19" s="770"/>
      <c r="AG19" s="770"/>
      <c r="AH19" s="770"/>
      <c r="AI19" s="770"/>
      <c r="AJ19" s="770"/>
      <c r="AK19" s="770"/>
      <c r="AL19" s="770"/>
      <c r="AM19" s="770"/>
      <c r="AN19" s="770"/>
      <c r="AO19" s="770"/>
      <c r="AP19" s="770"/>
      <c r="AQ19" s="770"/>
      <c r="AR19" s="770"/>
      <c r="AS19" s="770"/>
      <c r="AT19" s="770"/>
      <c r="AU19" s="770"/>
      <c r="AV19" s="770"/>
      <c r="AW19" s="770"/>
      <c r="AX19" s="770"/>
      <c r="AY19" s="770"/>
    </row>
    <row r="20" spans="1:51">
      <c r="A20" s="422" t="s">
        <v>339</v>
      </c>
      <c r="B20" s="521">
        <f t="shared" ref="B20:B26" si="19">AP20</f>
        <v>38</v>
      </c>
      <c r="C20" s="521">
        <f t="shared" ref="C20:K26" si="20">AQ20</f>
        <v>62</v>
      </c>
      <c r="D20" s="521">
        <f t="shared" si="20"/>
        <v>52</v>
      </c>
      <c r="E20" s="521">
        <f t="shared" si="20"/>
        <v>33</v>
      </c>
      <c r="F20" s="521">
        <f t="shared" si="20"/>
        <v>34</v>
      </c>
      <c r="G20" s="521">
        <f t="shared" si="20"/>
        <v>41</v>
      </c>
      <c r="H20" s="521">
        <f t="shared" si="20"/>
        <v>34</v>
      </c>
      <c r="I20" s="521">
        <f t="shared" si="20"/>
        <v>32</v>
      </c>
      <c r="J20" s="521">
        <f t="shared" si="20"/>
        <v>27</v>
      </c>
      <c r="K20" s="521">
        <f t="shared" si="20"/>
        <v>36</v>
      </c>
      <c r="AC20" s="701"/>
      <c r="AD20" s="771" t="s">
        <v>339</v>
      </c>
      <c r="AE20" s="770">
        <f t="shared" ref="AE20:AX20" si="21">VLOOKUP(AE$6&amp;$AD19&amp;$AD20&amp;$AF$5, vw.deaths, 5, FALSE)</f>
        <v>38</v>
      </c>
      <c r="AF20" s="770">
        <f t="shared" si="21"/>
        <v>36</v>
      </c>
      <c r="AG20" s="770">
        <f t="shared" si="21"/>
        <v>26</v>
      </c>
      <c r="AH20" s="770">
        <f t="shared" si="21"/>
        <v>38</v>
      </c>
      <c r="AI20" s="770">
        <f t="shared" si="21"/>
        <v>28</v>
      </c>
      <c r="AJ20" s="770">
        <f t="shared" si="21"/>
        <v>29</v>
      </c>
      <c r="AK20" s="770">
        <f t="shared" si="21"/>
        <v>29</v>
      </c>
      <c r="AL20" s="770">
        <f t="shared" si="21"/>
        <v>36</v>
      </c>
      <c r="AM20" s="770">
        <f t="shared" si="21"/>
        <v>48</v>
      </c>
      <c r="AN20" s="770">
        <f t="shared" si="21"/>
        <v>37</v>
      </c>
      <c r="AO20" s="770">
        <f t="shared" si="21"/>
        <v>28</v>
      </c>
      <c r="AP20" s="770">
        <f t="shared" si="21"/>
        <v>38</v>
      </c>
      <c r="AQ20" s="770">
        <f t="shared" si="21"/>
        <v>62</v>
      </c>
      <c r="AR20" s="770">
        <f t="shared" si="21"/>
        <v>52</v>
      </c>
      <c r="AS20" s="770">
        <f t="shared" si="21"/>
        <v>33</v>
      </c>
      <c r="AT20" s="770">
        <f t="shared" si="21"/>
        <v>34</v>
      </c>
      <c r="AU20" s="770">
        <f t="shared" si="21"/>
        <v>41</v>
      </c>
      <c r="AV20" s="770">
        <f t="shared" si="21"/>
        <v>34</v>
      </c>
      <c r="AW20" s="770">
        <f t="shared" si="21"/>
        <v>32</v>
      </c>
      <c r="AX20" s="770">
        <f t="shared" si="21"/>
        <v>27</v>
      </c>
      <c r="AY20" s="770">
        <f t="shared" ref="AY20" si="22">VLOOKUP(AY$6&amp;$AD19&amp;$AD20&amp;$AF$5, vw.deaths, 5, FALSE)</f>
        <v>36</v>
      </c>
    </row>
    <row r="21" spans="1:51">
      <c r="A21" s="507" t="s">
        <v>77</v>
      </c>
      <c r="B21" s="521">
        <f t="shared" si="19"/>
        <v>87</v>
      </c>
      <c r="C21" s="521">
        <f t="shared" si="20"/>
        <v>103</v>
      </c>
      <c r="D21" s="521">
        <f t="shared" si="20"/>
        <v>78</v>
      </c>
      <c r="E21" s="521">
        <f t="shared" si="20"/>
        <v>113</v>
      </c>
      <c r="F21" s="521">
        <f t="shared" si="20"/>
        <v>84</v>
      </c>
      <c r="G21" s="521">
        <f t="shared" si="20"/>
        <v>79</v>
      </c>
      <c r="H21" s="521">
        <f t="shared" si="20"/>
        <v>64</v>
      </c>
      <c r="I21" s="521">
        <f t="shared" si="20"/>
        <v>82</v>
      </c>
      <c r="J21" s="521">
        <f t="shared" si="20"/>
        <v>53</v>
      </c>
      <c r="K21" s="521">
        <f t="shared" si="20"/>
        <v>73</v>
      </c>
      <c r="AC21" s="701"/>
      <c r="AD21" s="771" t="s">
        <v>130</v>
      </c>
      <c r="AE21" s="770">
        <f t="shared" ref="AE21:AX21" si="23">VLOOKUP(AE$6&amp;$AD19&amp;$AD21&amp;$AF$5, vw.deaths, 5, FALSE)</f>
        <v>87</v>
      </c>
      <c r="AF21" s="770">
        <f t="shared" si="23"/>
        <v>91</v>
      </c>
      <c r="AG21" s="770">
        <f t="shared" si="23"/>
        <v>71</v>
      </c>
      <c r="AH21" s="770">
        <f t="shared" si="23"/>
        <v>78</v>
      </c>
      <c r="AI21" s="770">
        <f t="shared" si="23"/>
        <v>58</v>
      </c>
      <c r="AJ21" s="770">
        <f t="shared" si="23"/>
        <v>67</v>
      </c>
      <c r="AK21" s="770">
        <f t="shared" si="23"/>
        <v>58</v>
      </c>
      <c r="AL21" s="770">
        <f t="shared" si="23"/>
        <v>78</v>
      </c>
      <c r="AM21" s="770">
        <f t="shared" si="23"/>
        <v>93</v>
      </c>
      <c r="AN21" s="770">
        <f t="shared" si="23"/>
        <v>68</v>
      </c>
      <c r="AO21" s="770">
        <f t="shared" si="23"/>
        <v>73</v>
      </c>
      <c r="AP21" s="770">
        <f t="shared" si="23"/>
        <v>87</v>
      </c>
      <c r="AQ21" s="770">
        <f t="shared" si="23"/>
        <v>103</v>
      </c>
      <c r="AR21" s="770">
        <f t="shared" si="23"/>
        <v>78</v>
      </c>
      <c r="AS21" s="770">
        <f t="shared" si="23"/>
        <v>113</v>
      </c>
      <c r="AT21" s="770">
        <f t="shared" si="23"/>
        <v>84</v>
      </c>
      <c r="AU21" s="770">
        <f t="shared" si="23"/>
        <v>79</v>
      </c>
      <c r="AV21" s="770">
        <f t="shared" si="23"/>
        <v>64</v>
      </c>
      <c r="AW21" s="770">
        <f t="shared" si="23"/>
        <v>82</v>
      </c>
      <c r="AX21" s="770">
        <f t="shared" si="23"/>
        <v>53</v>
      </c>
      <c r="AY21" s="770">
        <f t="shared" ref="AY21" si="24">VLOOKUP(AY$6&amp;$AD19&amp;$AD21&amp;$AF$5, vw.deaths, 5, FALSE)</f>
        <v>73</v>
      </c>
    </row>
    <row r="22" spans="1:51">
      <c r="A22" s="49" t="s">
        <v>78</v>
      </c>
      <c r="B22" s="521">
        <f t="shared" si="19"/>
        <v>110</v>
      </c>
      <c r="C22" s="521">
        <f t="shared" si="20"/>
        <v>120</v>
      </c>
      <c r="D22" s="521">
        <f t="shared" si="20"/>
        <v>109</v>
      </c>
      <c r="E22" s="521">
        <f t="shared" si="20"/>
        <v>104</v>
      </c>
      <c r="F22" s="521">
        <f t="shared" si="20"/>
        <v>103</v>
      </c>
      <c r="G22" s="521">
        <f t="shared" si="20"/>
        <v>88</v>
      </c>
      <c r="H22" s="521">
        <f t="shared" si="20"/>
        <v>88</v>
      </c>
      <c r="I22" s="521">
        <f t="shared" si="20"/>
        <v>106</v>
      </c>
      <c r="J22" s="521">
        <f t="shared" si="20"/>
        <v>108</v>
      </c>
      <c r="K22" s="521">
        <f t="shared" si="20"/>
        <v>103</v>
      </c>
      <c r="AC22" s="703"/>
      <c r="AD22" s="771" t="s">
        <v>131</v>
      </c>
      <c r="AE22" s="770">
        <f t="shared" ref="AE22:AX22" si="25">VLOOKUP(AE$6&amp;$AD19&amp;$AD22&amp;$AF$5, vw.deaths, 5, FALSE)</f>
        <v>122</v>
      </c>
      <c r="AF22" s="770">
        <f t="shared" si="25"/>
        <v>101</v>
      </c>
      <c r="AG22" s="770">
        <f t="shared" si="25"/>
        <v>85</v>
      </c>
      <c r="AH22" s="770">
        <f t="shared" si="25"/>
        <v>121</v>
      </c>
      <c r="AI22" s="770">
        <f t="shared" si="25"/>
        <v>91</v>
      </c>
      <c r="AJ22" s="770">
        <f t="shared" si="25"/>
        <v>104</v>
      </c>
      <c r="AK22" s="770">
        <f t="shared" si="25"/>
        <v>89</v>
      </c>
      <c r="AL22" s="770">
        <f t="shared" si="25"/>
        <v>95</v>
      </c>
      <c r="AM22" s="770">
        <f t="shared" si="25"/>
        <v>104</v>
      </c>
      <c r="AN22" s="770">
        <f t="shared" si="25"/>
        <v>81</v>
      </c>
      <c r="AO22" s="770">
        <f t="shared" si="25"/>
        <v>94</v>
      </c>
      <c r="AP22" s="770">
        <f t="shared" si="25"/>
        <v>110</v>
      </c>
      <c r="AQ22" s="770">
        <f t="shared" si="25"/>
        <v>120</v>
      </c>
      <c r="AR22" s="770">
        <f t="shared" si="25"/>
        <v>109</v>
      </c>
      <c r="AS22" s="770">
        <f t="shared" si="25"/>
        <v>104</v>
      </c>
      <c r="AT22" s="770">
        <f t="shared" si="25"/>
        <v>103</v>
      </c>
      <c r="AU22" s="770">
        <f t="shared" si="25"/>
        <v>88</v>
      </c>
      <c r="AV22" s="770">
        <f t="shared" si="25"/>
        <v>88</v>
      </c>
      <c r="AW22" s="770">
        <f t="shared" si="25"/>
        <v>106</v>
      </c>
      <c r="AX22" s="770">
        <f t="shared" si="25"/>
        <v>108</v>
      </c>
      <c r="AY22" s="770">
        <f t="shared" ref="AY22" si="26">VLOOKUP(AY$6&amp;$AD19&amp;$AD22&amp;$AF$5, vw.deaths, 5, FALSE)</f>
        <v>103</v>
      </c>
    </row>
    <row r="23" spans="1:51">
      <c r="A23" s="49" t="s">
        <v>79</v>
      </c>
      <c r="B23" s="521">
        <f t="shared" si="19"/>
        <v>118</v>
      </c>
      <c r="C23" s="521">
        <f t="shared" si="20"/>
        <v>144</v>
      </c>
      <c r="D23" s="521">
        <f t="shared" si="20"/>
        <v>118</v>
      </c>
      <c r="E23" s="521">
        <f t="shared" si="20"/>
        <v>105</v>
      </c>
      <c r="F23" s="521">
        <f t="shared" si="20"/>
        <v>110</v>
      </c>
      <c r="G23" s="521">
        <f t="shared" si="20"/>
        <v>117</v>
      </c>
      <c r="H23" s="521">
        <f t="shared" si="20"/>
        <v>109</v>
      </c>
      <c r="I23" s="521">
        <f t="shared" si="20"/>
        <v>122</v>
      </c>
      <c r="J23" s="521">
        <f t="shared" si="20"/>
        <v>104</v>
      </c>
      <c r="K23" s="521">
        <f t="shared" si="20"/>
        <v>115</v>
      </c>
      <c r="AC23" s="701"/>
      <c r="AD23" s="771" t="s">
        <v>132</v>
      </c>
      <c r="AE23" s="770">
        <f t="shared" ref="AE23:AX23" si="27">VLOOKUP(AE$6&amp;$AD19&amp;$AD23&amp;$AF$5, vw.deaths, 5, FALSE)</f>
        <v>100</v>
      </c>
      <c r="AF23" s="770">
        <f t="shared" si="27"/>
        <v>109</v>
      </c>
      <c r="AG23" s="770">
        <f t="shared" si="27"/>
        <v>99</v>
      </c>
      <c r="AH23" s="770">
        <f t="shared" si="27"/>
        <v>107</v>
      </c>
      <c r="AI23" s="770">
        <f t="shared" si="27"/>
        <v>110</v>
      </c>
      <c r="AJ23" s="770">
        <f t="shared" si="27"/>
        <v>97</v>
      </c>
      <c r="AK23" s="770">
        <f t="shared" si="27"/>
        <v>113</v>
      </c>
      <c r="AL23" s="770">
        <f t="shared" si="27"/>
        <v>97</v>
      </c>
      <c r="AM23" s="770">
        <f t="shared" si="27"/>
        <v>135</v>
      </c>
      <c r="AN23" s="770">
        <f t="shared" si="27"/>
        <v>122</v>
      </c>
      <c r="AO23" s="770">
        <f t="shared" si="27"/>
        <v>116</v>
      </c>
      <c r="AP23" s="770">
        <f t="shared" si="27"/>
        <v>118</v>
      </c>
      <c r="AQ23" s="770">
        <f t="shared" si="27"/>
        <v>144</v>
      </c>
      <c r="AR23" s="770">
        <f t="shared" si="27"/>
        <v>118</v>
      </c>
      <c r="AS23" s="770">
        <f t="shared" si="27"/>
        <v>105</v>
      </c>
      <c r="AT23" s="770">
        <f t="shared" si="27"/>
        <v>110</v>
      </c>
      <c r="AU23" s="770">
        <f t="shared" si="27"/>
        <v>117</v>
      </c>
      <c r="AV23" s="770">
        <f t="shared" si="27"/>
        <v>109</v>
      </c>
      <c r="AW23" s="770">
        <f t="shared" si="27"/>
        <v>122</v>
      </c>
      <c r="AX23" s="770">
        <f t="shared" si="27"/>
        <v>104</v>
      </c>
      <c r="AY23" s="770">
        <f t="shared" ref="AY23" si="28">VLOOKUP(AY$6&amp;$AD19&amp;$AD23&amp;$AF$5, vw.deaths, 5, FALSE)</f>
        <v>115</v>
      </c>
    </row>
    <row r="24" spans="1:51">
      <c r="A24" s="49" t="s">
        <v>80</v>
      </c>
      <c r="B24" s="521">
        <f t="shared" si="19"/>
        <v>93</v>
      </c>
      <c r="C24" s="521">
        <f t="shared" si="20"/>
        <v>95</v>
      </c>
      <c r="D24" s="521">
        <f t="shared" si="20"/>
        <v>106</v>
      </c>
      <c r="E24" s="521">
        <f t="shared" si="20"/>
        <v>88</v>
      </c>
      <c r="F24" s="521">
        <f t="shared" si="20"/>
        <v>100</v>
      </c>
      <c r="G24" s="521">
        <f t="shared" si="20"/>
        <v>90</v>
      </c>
      <c r="H24" s="521">
        <f t="shared" si="20"/>
        <v>64</v>
      </c>
      <c r="I24" s="521">
        <f t="shared" si="20"/>
        <v>79</v>
      </c>
      <c r="J24" s="521">
        <f t="shared" si="20"/>
        <v>68</v>
      </c>
      <c r="K24" s="521">
        <f t="shared" si="20"/>
        <v>70</v>
      </c>
      <c r="L24" s="173"/>
      <c r="M24" s="173"/>
      <c r="N24" s="173"/>
      <c r="O24" s="702"/>
      <c r="P24" s="702"/>
      <c r="Q24" s="702"/>
      <c r="R24" s="702"/>
      <c r="S24" s="702"/>
      <c r="T24" s="702"/>
      <c r="U24" s="702"/>
      <c r="V24" s="702"/>
      <c r="W24" s="702"/>
      <c r="X24" s="702"/>
      <c r="Y24" s="702"/>
      <c r="AC24" s="701"/>
      <c r="AD24" s="771" t="s">
        <v>133</v>
      </c>
      <c r="AE24" s="770">
        <f t="shared" ref="AE24:AX24" si="29">VLOOKUP(AE$6&amp;$AD19&amp;$AD24&amp;$AF$5, vw.deaths, 5, FALSE)</f>
        <v>42</v>
      </c>
      <c r="AF24" s="770">
        <f t="shared" si="29"/>
        <v>63</v>
      </c>
      <c r="AG24" s="770">
        <f t="shared" si="29"/>
        <v>47</v>
      </c>
      <c r="AH24" s="770">
        <f t="shared" si="29"/>
        <v>61</v>
      </c>
      <c r="AI24" s="770">
        <f t="shared" si="29"/>
        <v>67</v>
      </c>
      <c r="AJ24" s="770">
        <f t="shared" si="29"/>
        <v>72</v>
      </c>
      <c r="AK24" s="770">
        <f t="shared" si="29"/>
        <v>81</v>
      </c>
      <c r="AL24" s="770">
        <f t="shared" si="29"/>
        <v>67</v>
      </c>
      <c r="AM24" s="770">
        <f t="shared" si="29"/>
        <v>93</v>
      </c>
      <c r="AN24" s="770">
        <f t="shared" si="29"/>
        <v>72</v>
      </c>
      <c r="AO24" s="770">
        <f t="shared" si="29"/>
        <v>72</v>
      </c>
      <c r="AP24" s="770">
        <f t="shared" si="29"/>
        <v>93</v>
      </c>
      <c r="AQ24" s="770">
        <f t="shared" si="29"/>
        <v>95</v>
      </c>
      <c r="AR24" s="770">
        <f t="shared" si="29"/>
        <v>106</v>
      </c>
      <c r="AS24" s="770">
        <f t="shared" si="29"/>
        <v>88</v>
      </c>
      <c r="AT24" s="770">
        <f t="shared" si="29"/>
        <v>100</v>
      </c>
      <c r="AU24" s="770">
        <f t="shared" si="29"/>
        <v>90</v>
      </c>
      <c r="AV24" s="770">
        <f t="shared" si="29"/>
        <v>64</v>
      </c>
      <c r="AW24" s="770">
        <f t="shared" si="29"/>
        <v>79</v>
      </c>
      <c r="AX24" s="770">
        <f t="shared" si="29"/>
        <v>68</v>
      </c>
      <c r="AY24" s="770">
        <f t="shared" ref="AY24" si="30">VLOOKUP(AY$6&amp;$AD19&amp;$AD24&amp;$AF$5, vw.deaths, 5, FALSE)</f>
        <v>70</v>
      </c>
    </row>
    <row r="25" spans="1:51">
      <c r="A25" s="507" t="s">
        <v>81</v>
      </c>
      <c r="B25" s="521">
        <f t="shared" si="19"/>
        <v>24</v>
      </c>
      <c r="C25" s="521">
        <f t="shared" si="20"/>
        <v>32</v>
      </c>
      <c r="D25" s="521">
        <f t="shared" si="20"/>
        <v>19</v>
      </c>
      <c r="E25" s="521">
        <f t="shared" si="20"/>
        <v>26</v>
      </c>
      <c r="F25" s="521">
        <f t="shared" si="20"/>
        <v>20</v>
      </c>
      <c r="G25" s="521">
        <f t="shared" si="20"/>
        <v>33</v>
      </c>
      <c r="H25" s="521">
        <f t="shared" si="20"/>
        <v>34</v>
      </c>
      <c r="I25" s="521">
        <f t="shared" si="20"/>
        <v>26</v>
      </c>
      <c r="J25" s="521">
        <f t="shared" si="20"/>
        <v>24</v>
      </c>
      <c r="K25" s="521">
        <f t="shared" si="20"/>
        <v>16</v>
      </c>
      <c r="L25" s="173"/>
      <c r="M25" s="173"/>
      <c r="N25" s="173"/>
      <c r="O25" s="702"/>
      <c r="P25" s="702"/>
      <c r="Q25" s="702"/>
      <c r="R25" s="702"/>
      <c r="S25" s="702"/>
      <c r="T25" s="702"/>
      <c r="U25" s="702"/>
      <c r="V25" s="702"/>
      <c r="W25" s="702"/>
      <c r="X25" s="702"/>
      <c r="Y25" s="702"/>
      <c r="AC25" s="701"/>
      <c r="AD25" s="772" t="s">
        <v>134</v>
      </c>
      <c r="AE25" s="770">
        <f t="shared" ref="AE25:AX25" si="31">VLOOKUP(AE$6&amp;$AD19&amp;$AD25&amp;$AF$5, vw.deaths, 5, FALSE)</f>
        <v>19</v>
      </c>
      <c r="AF25" s="770">
        <f t="shared" si="31"/>
        <v>14</v>
      </c>
      <c r="AG25" s="770">
        <f t="shared" si="31"/>
        <v>20</v>
      </c>
      <c r="AH25" s="770">
        <f t="shared" si="31"/>
        <v>21</v>
      </c>
      <c r="AI25" s="770">
        <f t="shared" si="31"/>
        <v>15</v>
      </c>
      <c r="AJ25" s="770">
        <f t="shared" si="31"/>
        <v>17</v>
      </c>
      <c r="AK25" s="770">
        <f t="shared" si="31"/>
        <v>20</v>
      </c>
      <c r="AL25" s="770">
        <f t="shared" si="31"/>
        <v>20</v>
      </c>
      <c r="AM25" s="770">
        <f t="shared" si="31"/>
        <v>33</v>
      </c>
      <c r="AN25" s="770">
        <f t="shared" si="31"/>
        <v>22</v>
      </c>
      <c r="AO25" s="770">
        <f t="shared" si="31"/>
        <v>26</v>
      </c>
      <c r="AP25" s="770">
        <f t="shared" si="31"/>
        <v>24</v>
      </c>
      <c r="AQ25" s="770">
        <f t="shared" si="31"/>
        <v>32</v>
      </c>
      <c r="AR25" s="770">
        <f t="shared" si="31"/>
        <v>19</v>
      </c>
      <c r="AS25" s="770">
        <f t="shared" si="31"/>
        <v>26</v>
      </c>
      <c r="AT25" s="770">
        <f t="shared" si="31"/>
        <v>20</v>
      </c>
      <c r="AU25" s="770">
        <f t="shared" si="31"/>
        <v>33</v>
      </c>
      <c r="AV25" s="770">
        <f t="shared" si="31"/>
        <v>34</v>
      </c>
      <c r="AW25" s="770">
        <f t="shared" si="31"/>
        <v>26</v>
      </c>
      <c r="AX25" s="770">
        <f t="shared" si="31"/>
        <v>24</v>
      </c>
      <c r="AY25" s="770">
        <f t="shared" ref="AY25" si="32">VLOOKUP(AY$6&amp;$AD19&amp;$AD25&amp;$AF$5, vw.deaths, 5, FALSE)</f>
        <v>16</v>
      </c>
    </row>
    <row r="26" spans="1:51">
      <c r="A26" s="49" t="s">
        <v>63</v>
      </c>
      <c r="B26" s="521">
        <f t="shared" si="19"/>
        <v>0</v>
      </c>
      <c r="C26" s="521">
        <f t="shared" si="20"/>
        <v>0</v>
      </c>
      <c r="D26" s="521">
        <f t="shared" si="20"/>
        <v>0</v>
      </c>
      <c r="E26" s="521">
        <f t="shared" si="20"/>
        <v>0</v>
      </c>
      <c r="F26" s="521">
        <f t="shared" si="20"/>
        <v>0</v>
      </c>
      <c r="G26" s="521">
        <f t="shared" si="20"/>
        <v>0</v>
      </c>
      <c r="H26" s="521">
        <f t="shared" si="20"/>
        <v>0</v>
      </c>
      <c r="I26" s="521">
        <f t="shared" si="20"/>
        <v>0</v>
      </c>
      <c r="J26" s="521">
        <f t="shared" si="20"/>
        <v>0</v>
      </c>
      <c r="K26" s="521">
        <f t="shared" si="20"/>
        <v>0</v>
      </c>
      <c r="L26" s="173"/>
      <c r="M26" s="173"/>
      <c r="N26" s="173"/>
      <c r="O26" s="702"/>
      <c r="P26" s="702"/>
      <c r="Q26" s="702"/>
      <c r="R26" s="702"/>
      <c r="S26" s="702"/>
      <c r="T26" s="702"/>
      <c r="U26" s="702"/>
      <c r="V26" s="702"/>
      <c r="W26" s="702"/>
      <c r="X26" s="702"/>
      <c r="Y26" s="702"/>
      <c r="AC26" s="701"/>
      <c r="AD26" s="773" t="s">
        <v>63</v>
      </c>
      <c r="AE26" s="770">
        <f t="shared" ref="AE26:AX26" si="33">VLOOKUP(AE$6&amp;$AD19&amp;$AD26&amp;$AF$5, vw.deaths, 5, FALSE)</f>
        <v>1</v>
      </c>
      <c r="AF26" s="770">
        <f t="shared" si="33"/>
        <v>3</v>
      </c>
      <c r="AG26" s="770">
        <f t="shared" si="33"/>
        <v>0</v>
      </c>
      <c r="AH26" s="770">
        <f t="shared" si="33"/>
        <v>0</v>
      </c>
      <c r="AI26" s="770">
        <f t="shared" si="33"/>
        <v>0</v>
      </c>
      <c r="AJ26" s="770">
        <f t="shared" si="33"/>
        <v>0</v>
      </c>
      <c r="AK26" s="770">
        <f t="shared" si="33"/>
        <v>0</v>
      </c>
      <c r="AL26" s="770">
        <f t="shared" si="33"/>
        <v>0</v>
      </c>
      <c r="AM26" s="770">
        <f t="shared" si="33"/>
        <v>0</v>
      </c>
      <c r="AN26" s="770">
        <f t="shared" si="33"/>
        <v>1</v>
      </c>
      <c r="AO26" s="770">
        <f t="shared" si="33"/>
        <v>0</v>
      </c>
      <c r="AP26" s="770">
        <f t="shared" si="33"/>
        <v>0</v>
      </c>
      <c r="AQ26" s="770">
        <f t="shared" si="33"/>
        <v>0</v>
      </c>
      <c r="AR26" s="770">
        <f t="shared" si="33"/>
        <v>0</v>
      </c>
      <c r="AS26" s="770">
        <f t="shared" si="33"/>
        <v>0</v>
      </c>
      <c r="AT26" s="770">
        <f t="shared" si="33"/>
        <v>0</v>
      </c>
      <c r="AU26" s="770">
        <f t="shared" si="33"/>
        <v>0</v>
      </c>
      <c r="AV26" s="770">
        <f t="shared" si="33"/>
        <v>0</v>
      </c>
      <c r="AW26" s="770">
        <f t="shared" si="33"/>
        <v>0</v>
      </c>
      <c r="AX26" s="770">
        <f t="shared" si="33"/>
        <v>0</v>
      </c>
      <c r="AY26" s="770">
        <f t="shared" ref="AY26" si="34">VLOOKUP(AY$6&amp;$AD19&amp;$AD26&amp;$AF$5, vw.deaths, 5, FALSE)</f>
        <v>0</v>
      </c>
    </row>
    <row r="27" spans="1:51">
      <c r="A27" s="108" t="s">
        <v>82</v>
      </c>
      <c r="B27" s="520"/>
      <c r="C27" s="520"/>
      <c r="D27" s="520"/>
      <c r="E27" s="520"/>
      <c r="F27" s="520"/>
      <c r="G27" s="520"/>
      <c r="H27" s="520"/>
      <c r="I27" s="520"/>
      <c r="J27" s="520"/>
      <c r="K27" s="520"/>
      <c r="AC27" s="701"/>
      <c r="AD27" s="774" t="s">
        <v>463</v>
      </c>
      <c r="AE27" s="770"/>
      <c r="AF27" s="770"/>
      <c r="AG27" s="770"/>
      <c r="AH27" s="770"/>
      <c r="AI27" s="770"/>
      <c r="AJ27" s="770"/>
      <c r="AK27" s="770"/>
      <c r="AL27" s="770"/>
      <c r="AM27" s="770"/>
      <c r="AN27" s="770"/>
      <c r="AO27" s="770"/>
      <c r="AP27" s="770"/>
      <c r="AQ27" s="770"/>
      <c r="AR27" s="770"/>
      <c r="AS27" s="770"/>
      <c r="AT27" s="770"/>
      <c r="AU27" s="770"/>
      <c r="AV27" s="770"/>
      <c r="AW27" s="770"/>
      <c r="AX27" s="770"/>
      <c r="AY27" s="770"/>
    </row>
    <row r="28" spans="1:51">
      <c r="A28" s="49" t="s">
        <v>83</v>
      </c>
      <c r="B28" s="521">
        <f t="shared" ref="B28:B33" si="35">AP28</f>
        <v>59</v>
      </c>
      <c r="C28" s="521">
        <f t="shared" ref="C28:K33" si="36">AQ28</f>
        <v>63</v>
      </c>
      <c r="D28" s="521">
        <f t="shared" si="36"/>
        <v>60</v>
      </c>
      <c r="E28" s="521">
        <f t="shared" si="36"/>
        <v>56</v>
      </c>
      <c r="F28" s="521">
        <f t="shared" si="36"/>
        <v>68</v>
      </c>
      <c r="G28" s="521">
        <f t="shared" si="36"/>
        <v>50</v>
      </c>
      <c r="H28" s="521">
        <f t="shared" si="36"/>
        <v>44</v>
      </c>
      <c r="I28" s="521">
        <f t="shared" si="36"/>
        <v>64</v>
      </c>
      <c r="J28" s="521">
        <f t="shared" si="36"/>
        <v>54</v>
      </c>
      <c r="K28" s="521">
        <f t="shared" si="36"/>
        <v>43</v>
      </c>
      <c r="L28" s="173"/>
      <c r="M28" s="173"/>
      <c r="N28" s="173"/>
      <c r="O28" s="702"/>
      <c r="P28" s="702"/>
      <c r="Q28" s="702"/>
      <c r="R28" s="702"/>
      <c r="S28" s="702"/>
      <c r="T28" s="702"/>
      <c r="U28" s="702"/>
      <c r="V28" s="702"/>
      <c r="W28" s="702"/>
      <c r="X28" s="702"/>
      <c r="Y28" s="702"/>
      <c r="AC28" s="701"/>
      <c r="AD28" s="774" t="s">
        <v>421</v>
      </c>
      <c r="AE28" s="770">
        <f t="shared" ref="AE28:AX28" si="37">VLOOKUP(AE$6&amp;$AD27&amp;$AD28&amp;$AF$5, vw.deaths, 5, FALSE)</f>
        <v>38</v>
      </c>
      <c r="AF28" s="770">
        <f t="shared" si="37"/>
        <v>33</v>
      </c>
      <c r="AG28" s="770">
        <f t="shared" si="37"/>
        <v>25</v>
      </c>
      <c r="AH28" s="770">
        <f t="shared" si="37"/>
        <v>47</v>
      </c>
      <c r="AI28" s="770">
        <f t="shared" si="37"/>
        <v>33</v>
      </c>
      <c r="AJ28" s="770">
        <f t="shared" si="37"/>
        <v>51</v>
      </c>
      <c r="AK28" s="770">
        <f t="shared" si="37"/>
        <v>34</v>
      </c>
      <c r="AL28" s="770">
        <f t="shared" si="37"/>
        <v>36</v>
      </c>
      <c r="AM28" s="770">
        <f t="shared" si="37"/>
        <v>55</v>
      </c>
      <c r="AN28" s="770">
        <f t="shared" si="37"/>
        <v>62</v>
      </c>
      <c r="AO28" s="770">
        <f t="shared" si="37"/>
        <v>40</v>
      </c>
      <c r="AP28" s="770">
        <f t="shared" si="37"/>
        <v>59</v>
      </c>
      <c r="AQ28" s="770">
        <f t="shared" si="37"/>
        <v>63</v>
      </c>
      <c r="AR28" s="770">
        <f t="shared" si="37"/>
        <v>60</v>
      </c>
      <c r="AS28" s="770">
        <f t="shared" si="37"/>
        <v>56</v>
      </c>
      <c r="AT28" s="770">
        <f t="shared" si="37"/>
        <v>68</v>
      </c>
      <c r="AU28" s="770">
        <f t="shared" si="37"/>
        <v>50</v>
      </c>
      <c r="AV28" s="770">
        <f t="shared" si="37"/>
        <v>44</v>
      </c>
      <c r="AW28" s="770">
        <f t="shared" si="37"/>
        <v>64</v>
      </c>
      <c r="AX28" s="770">
        <f t="shared" si="37"/>
        <v>54</v>
      </c>
      <c r="AY28" s="770">
        <f t="shared" ref="AY28" si="38">VLOOKUP(AY$6&amp;$AD27&amp;$AD28&amp;$AF$5, vw.deaths, 5, FALSE)</f>
        <v>43</v>
      </c>
    </row>
    <row r="29" spans="1:51">
      <c r="A29" s="13">
        <v>2</v>
      </c>
      <c r="B29" s="521">
        <f t="shared" si="35"/>
        <v>60</v>
      </c>
      <c r="C29" s="521">
        <f t="shared" si="36"/>
        <v>75</v>
      </c>
      <c r="D29" s="521">
        <f t="shared" si="36"/>
        <v>61</v>
      </c>
      <c r="E29" s="521">
        <f t="shared" si="36"/>
        <v>62</v>
      </c>
      <c r="F29" s="521">
        <f t="shared" si="36"/>
        <v>63</v>
      </c>
      <c r="G29" s="521">
        <f t="shared" si="36"/>
        <v>67</v>
      </c>
      <c r="H29" s="521">
        <f t="shared" si="36"/>
        <v>50</v>
      </c>
      <c r="I29" s="521">
        <f t="shared" si="36"/>
        <v>66</v>
      </c>
      <c r="J29" s="521">
        <f t="shared" si="36"/>
        <v>58</v>
      </c>
      <c r="K29" s="521">
        <f t="shared" si="36"/>
        <v>64</v>
      </c>
      <c r="L29" s="173"/>
      <c r="M29" s="173"/>
      <c r="N29" s="173"/>
      <c r="O29" s="702"/>
      <c r="P29" s="702"/>
      <c r="Q29" s="702"/>
      <c r="R29" s="702"/>
      <c r="S29" s="702"/>
      <c r="T29" s="702"/>
      <c r="U29" s="702"/>
      <c r="V29" s="702"/>
      <c r="W29" s="702"/>
      <c r="X29" s="702"/>
      <c r="Y29" s="702"/>
      <c r="AC29" s="701"/>
      <c r="AD29" s="774" t="s">
        <v>422</v>
      </c>
      <c r="AE29" s="770">
        <f t="shared" ref="AE29:AX29" si="39">VLOOKUP(AE$6&amp;$AD27&amp;$AD29&amp;$AF$5, vw.deaths, 5, FALSE)</f>
        <v>46</v>
      </c>
      <c r="AF29" s="770">
        <f t="shared" si="39"/>
        <v>56</v>
      </c>
      <c r="AG29" s="770">
        <f t="shared" si="39"/>
        <v>51</v>
      </c>
      <c r="AH29" s="770">
        <f t="shared" si="39"/>
        <v>57</v>
      </c>
      <c r="AI29" s="770">
        <f t="shared" si="39"/>
        <v>71</v>
      </c>
      <c r="AJ29" s="770">
        <f t="shared" si="39"/>
        <v>54</v>
      </c>
      <c r="AK29" s="770">
        <f t="shared" si="39"/>
        <v>53</v>
      </c>
      <c r="AL29" s="770">
        <f t="shared" si="39"/>
        <v>54</v>
      </c>
      <c r="AM29" s="770">
        <f t="shared" si="39"/>
        <v>66</v>
      </c>
      <c r="AN29" s="770">
        <f t="shared" si="39"/>
        <v>58</v>
      </c>
      <c r="AO29" s="770">
        <f t="shared" si="39"/>
        <v>59</v>
      </c>
      <c r="AP29" s="770">
        <f t="shared" si="39"/>
        <v>60</v>
      </c>
      <c r="AQ29" s="770">
        <f t="shared" si="39"/>
        <v>75</v>
      </c>
      <c r="AR29" s="770">
        <f t="shared" si="39"/>
        <v>61</v>
      </c>
      <c r="AS29" s="770">
        <f t="shared" si="39"/>
        <v>62</v>
      </c>
      <c r="AT29" s="770">
        <f t="shared" si="39"/>
        <v>63</v>
      </c>
      <c r="AU29" s="770">
        <f t="shared" si="39"/>
        <v>67</v>
      </c>
      <c r="AV29" s="770">
        <f t="shared" si="39"/>
        <v>50</v>
      </c>
      <c r="AW29" s="770">
        <f t="shared" si="39"/>
        <v>66</v>
      </c>
      <c r="AX29" s="770">
        <f t="shared" si="39"/>
        <v>58</v>
      </c>
      <c r="AY29" s="770">
        <f t="shared" ref="AY29" si="40">VLOOKUP(AY$6&amp;$AD27&amp;$AD29&amp;$AF$5, vw.deaths, 5, FALSE)</f>
        <v>64</v>
      </c>
    </row>
    <row r="30" spans="1:51">
      <c r="A30" s="13">
        <v>3</v>
      </c>
      <c r="B30" s="521">
        <f t="shared" si="35"/>
        <v>88</v>
      </c>
      <c r="C30" s="521">
        <f t="shared" si="36"/>
        <v>108</v>
      </c>
      <c r="D30" s="521">
        <f t="shared" si="36"/>
        <v>94</v>
      </c>
      <c r="E30" s="521">
        <f t="shared" si="36"/>
        <v>73</v>
      </c>
      <c r="F30" s="521">
        <f t="shared" si="36"/>
        <v>77</v>
      </c>
      <c r="G30" s="521">
        <f t="shared" si="36"/>
        <v>57</v>
      </c>
      <c r="H30" s="521">
        <f t="shared" si="36"/>
        <v>83</v>
      </c>
      <c r="I30" s="521">
        <f t="shared" si="36"/>
        <v>69</v>
      </c>
      <c r="J30" s="521">
        <f t="shared" si="36"/>
        <v>47</v>
      </c>
      <c r="K30" s="521">
        <f t="shared" si="36"/>
        <v>68</v>
      </c>
      <c r="L30" s="173"/>
      <c r="M30" s="173"/>
      <c r="N30" s="173"/>
      <c r="O30" s="702"/>
      <c r="P30" s="702"/>
      <c r="Q30" s="702"/>
      <c r="R30" s="702"/>
      <c r="S30" s="702"/>
      <c r="T30" s="702"/>
      <c r="U30" s="702"/>
      <c r="V30" s="702"/>
      <c r="W30" s="702"/>
      <c r="X30" s="702"/>
      <c r="Y30" s="702"/>
      <c r="AC30" s="703"/>
      <c r="AD30" s="774" t="s">
        <v>423</v>
      </c>
      <c r="AE30" s="770">
        <f t="shared" ref="AE30:AX30" si="41">VLOOKUP(AE$6&amp;$AD27&amp;$AD30&amp;$AF$5, vw.deaths, 5, FALSE)</f>
        <v>58</v>
      </c>
      <c r="AF30" s="770">
        <f t="shared" si="41"/>
        <v>65</v>
      </c>
      <c r="AG30" s="770">
        <f t="shared" si="41"/>
        <v>50</v>
      </c>
      <c r="AH30" s="770">
        <f t="shared" si="41"/>
        <v>66</v>
      </c>
      <c r="AI30" s="770">
        <f t="shared" si="41"/>
        <v>51</v>
      </c>
      <c r="AJ30" s="770">
        <f t="shared" si="41"/>
        <v>63</v>
      </c>
      <c r="AK30" s="770">
        <f t="shared" si="41"/>
        <v>72</v>
      </c>
      <c r="AL30" s="770">
        <f t="shared" si="41"/>
        <v>62</v>
      </c>
      <c r="AM30" s="770">
        <f t="shared" si="41"/>
        <v>102</v>
      </c>
      <c r="AN30" s="770">
        <f t="shared" si="41"/>
        <v>65</v>
      </c>
      <c r="AO30" s="770">
        <f t="shared" si="41"/>
        <v>90</v>
      </c>
      <c r="AP30" s="770">
        <f t="shared" si="41"/>
        <v>88</v>
      </c>
      <c r="AQ30" s="770">
        <f t="shared" si="41"/>
        <v>108</v>
      </c>
      <c r="AR30" s="770">
        <f t="shared" si="41"/>
        <v>94</v>
      </c>
      <c r="AS30" s="770">
        <f t="shared" si="41"/>
        <v>73</v>
      </c>
      <c r="AT30" s="770">
        <f t="shared" si="41"/>
        <v>77</v>
      </c>
      <c r="AU30" s="770">
        <f t="shared" si="41"/>
        <v>57</v>
      </c>
      <c r="AV30" s="770">
        <f t="shared" si="41"/>
        <v>83</v>
      </c>
      <c r="AW30" s="770">
        <f t="shared" si="41"/>
        <v>69</v>
      </c>
      <c r="AX30" s="770">
        <f t="shared" si="41"/>
        <v>47</v>
      </c>
      <c r="AY30" s="770">
        <f t="shared" ref="AY30" si="42">VLOOKUP(AY$6&amp;$AD27&amp;$AD30&amp;$AF$5, vw.deaths, 5, FALSE)</f>
        <v>68</v>
      </c>
    </row>
    <row r="31" spans="1:51">
      <c r="A31" s="13">
        <v>4</v>
      </c>
      <c r="B31" s="521">
        <f t="shared" si="35"/>
        <v>103</v>
      </c>
      <c r="C31" s="521">
        <f t="shared" si="36"/>
        <v>108</v>
      </c>
      <c r="D31" s="521">
        <f t="shared" si="36"/>
        <v>120</v>
      </c>
      <c r="E31" s="521">
        <f t="shared" si="36"/>
        <v>89</v>
      </c>
      <c r="F31" s="521">
        <f t="shared" si="36"/>
        <v>97</v>
      </c>
      <c r="G31" s="521">
        <f t="shared" si="36"/>
        <v>91</v>
      </c>
      <c r="H31" s="521">
        <f t="shared" si="36"/>
        <v>82</v>
      </c>
      <c r="I31" s="521">
        <f t="shared" si="36"/>
        <v>99</v>
      </c>
      <c r="J31" s="521">
        <f t="shared" si="36"/>
        <v>82</v>
      </c>
      <c r="K31" s="521">
        <f t="shared" si="36"/>
        <v>90</v>
      </c>
      <c r="L31" s="173"/>
      <c r="M31" s="173"/>
      <c r="N31" s="173"/>
      <c r="O31" s="702"/>
      <c r="P31" s="702"/>
      <c r="Q31" s="702"/>
      <c r="R31" s="702"/>
      <c r="S31" s="702"/>
      <c r="T31" s="702"/>
      <c r="U31" s="702"/>
      <c r="V31" s="702"/>
      <c r="W31" s="702"/>
      <c r="X31" s="702"/>
      <c r="Y31" s="702"/>
      <c r="AC31" s="701"/>
      <c r="AD31" s="774" t="s">
        <v>424</v>
      </c>
      <c r="AE31" s="770">
        <f t="shared" ref="AE31:AX31" si="43">VLOOKUP(AE$6&amp;$AD27&amp;$AD31&amp;$AF$5, vw.deaths, 5, FALSE)</f>
        <v>97</v>
      </c>
      <c r="AF31" s="770">
        <f t="shared" si="43"/>
        <v>94</v>
      </c>
      <c r="AG31" s="770">
        <f t="shared" si="43"/>
        <v>66</v>
      </c>
      <c r="AH31" s="770">
        <f t="shared" si="43"/>
        <v>95</v>
      </c>
      <c r="AI31" s="770">
        <f t="shared" si="43"/>
        <v>88</v>
      </c>
      <c r="AJ31" s="770">
        <f t="shared" si="43"/>
        <v>74</v>
      </c>
      <c r="AK31" s="770">
        <f t="shared" si="43"/>
        <v>72</v>
      </c>
      <c r="AL31" s="770">
        <f t="shared" si="43"/>
        <v>99</v>
      </c>
      <c r="AM31" s="770">
        <f t="shared" si="43"/>
        <v>98</v>
      </c>
      <c r="AN31" s="770">
        <f t="shared" si="43"/>
        <v>101</v>
      </c>
      <c r="AO31" s="770">
        <f t="shared" si="43"/>
        <v>88</v>
      </c>
      <c r="AP31" s="770">
        <f t="shared" si="43"/>
        <v>103</v>
      </c>
      <c r="AQ31" s="770">
        <f t="shared" si="43"/>
        <v>108</v>
      </c>
      <c r="AR31" s="770">
        <f t="shared" si="43"/>
        <v>120</v>
      </c>
      <c r="AS31" s="770">
        <f t="shared" si="43"/>
        <v>89</v>
      </c>
      <c r="AT31" s="770">
        <f t="shared" si="43"/>
        <v>97</v>
      </c>
      <c r="AU31" s="770">
        <f t="shared" si="43"/>
        <v>91</v>
      </c>
      <c r="AV31" s="770">
        <f t="shared" si="43"/>
        <v>82</v>
      </c>
      <c r="AW31" s="770">
        <f t="shared" si="43"/>
        <v>99</v>
      </c>
      <c r="AX31" s="770">
        <f t="shared" si="43"/>
        <v>82</v>
      </c>
      <c r="AY31" s="770">
        <f t="shared" ref="AY31" si="44">VLOOKUP(AY$6&amp;$AD27&amp;$AD31&amp;$AF$5, vw.deaths, 5, FALSE)</f>
        <v>90</v>
      </c>
    </row>
    <row r="32" spans="1:51">
      <c r="A32" s="49" t="s">
        <v>84</v>
      </c>
      <c r="B32" s="521">
        <f t="shared" si="35"/>
        <v>129</v>
      </c>
      <c r="C32" s="521">
        <f t="shared" si="36"/>
        <v>173</v>
      </c>
      <c r="D32" s="521">
        <f t="shared" si="36"/>
        <v>140</v>
      </c>
      <c r="E32" s="521">
        <f t="shared" si="36"/>
        <v>163</v>
      </c>
      <c r="F32" s="521">
        <f t="shared" si="36"/>
        <v>124</v>
      </c>
      <c r="G32" s="521">
        <f t="shared" si="36"/>
        <v>159</v>
      </c>
      <c r="H32" s="521">
        <f t="shared" si="36"/>
        <v>119</v>
      </c>
      <c r="I32" s="521">
        <f t="shared" si="36"/>
        <v>130</v>
      </c>
      <c r="J32" s="521">
        <f t="shared" si="36"/>
        <v>127</v>
      </c>
      <c r="K32" s="521">
        <f t="shared" si="36"/>
        <v>126</v>
      </c>
      <c r="L32" s="173"/>
      <c r="M32" s="173"/>
      <c r="N32" s="173"/>
      <c r="O32" s="702"/>
      <c r="P32" s="702"/>
      <c r="Q32" s="702"/>
      <c r="R32" s="702"/>
      <c r="S32" s="702"/>
      <c r="T32" s="702"/>
      <c r="U32" s="702"/>
      <c r="V32" s="702"/>
      <c r="W32" s="702"/>
      <c r="X32" s="702"/>
      <c r="Y32" s="702"/>
      <c r="AC32" s="701"/>
      <c r="AD32" s="774" t="s">
        <v>425</v>
      </c>
      <c r="AE32" s="770">
        <f t="shared" ref="AE32:AX32" si="45">VLOOKUP(AE$6&amp;$AD27&amp;$AD32&amp;$AF$5, vw.deaths, 5, FALSE)</f>
        <v>117</v>
      </c>
      <c r="AF32" s="770">
        <f t="shared" si="45"/>
        <v>115</v>
      </c>
      <c r="AG32" s="770">
        <f t="shared" si="45"/>
        <v>112</v>
      </c>
      <c r="AH32" s="770">
        <f t="shared" si="45"/>
        <v>135</v>
      </c>
      <c r="AI32" s="770">
        <f t="shared" si="45"/>
        <v>93</v>
      </c>
      <c r="AJ32" s="770">
        <f t="shared" si="45"/>
        <v>113</v>
      </c>
      <c r="AK32" s="770">
        <f t="shared" si="45"/>
        <v>114</v>
      </c>
      <c r="AL32" s="770">
        <f t="shared" si="45"/>
        <v>118</v>
      </c>
      <c r="AM32" s="770">
        <f t="shared" si="45"/>
        <v>156</v>
      </c>
      <c r="AN32" s="770">
        <f t="shared" si="45"/>
        <v>96</v>
      </c>
      <c r="AO32" s="770">
        <f t="shared" si="45"/>
        <v>107</v>
      </c>
      <c r="AP32" s="770">
        <f t="shared" si="45"/>
        <v>129</v>
      </c>
      <c r="AQ32" s="770">
        <f t="shared" si="45"/>
        <v>173</v>
      </c>
      <c r="AR32" s="770">
        <f t="shared" si="45"/>
        <v>140</v>
      </c>
      <c r="AS32" s="770">
        <f t="shared" si="45"/>
        <v>163</v>
      </c>
      <c r="AT32" s="770">
        <f t="shared" si="45"/>
        <v>124</v>
      </c>
      <c r="AU32" s="770">
        <f t="shared" si="45"/>
        <v>159</v>
      </c>
      <c r="AV32" s="770">
        <f t="shared" si="45"/>
        <v>119</v>
      </c>
      <c r="AW32" s="770">
        <f t="shared" si="45"/>
        <v>130</v>
      </c>
      <c r="AX32" s="770">
        <f t="shared" si="45"/>
        <v>127</v>
      </c>
      <c r="AY32" s="770">
        <f t="shared" ref="AY32" si="46">VLOOKUP(AY$6&amp;$AD27&amp;$AD32&amp;$AF$5, vw.deaths, 5, FALSE)</f>
        <v>126</v>
      </c>
    </row>
    <row r="33" spans="1:51">
      <c r="A33" s="49" t="s">
        <v>63</v>
      </c>
      <c r="B33" s="521">
        <f t="shared" si="35"/>
        <v>31</v>
      </c>
      <c r="C33" s="521">
        <f t="shared" si="36"/>
        <v>29</v>
      </c>
      <c r="D33" s="521">
        <f t="shared" si="36"/>
        <v>7</v>
      </c>
      <c r="E33" s="521">
        <f t="shared" si="36"/>
        <v>26</v>
      </c>
      <c r="F33" s="521">
        <f t="shared" si="36"/>
        <v>22</v>
      </c>
      <c r="G33" s="521">
        <f t="shared" si="36"/>
        <v>24</v>
      </c>
      <c r="H33" s="521">
        <f t="shared" si="36"/>
        <v>15</v>
      </c>
      <c r="I33" s="521">
        <f t="shared" si="36"/>
        <v>19</v>
      </c>
      <c r="J33" s="521">
        <f t="shared" si="36"/>
        <v>16</v>
      </c>
      <c r="K33" s="521">
        <f t="shared" si="36"/>
        <v>22</v>
      </c>
      <c r="L33" s="173"/>
      <c r="M33" s="173"/>
      <c r="N33" s="173"/>
      <c r="O33" s="702"/>
      <c r="P33" s="702"/>
      <c r="Q33" s="702"/>
      <c r="R33" s="702"/>
      <c r="S33" s="702"/>
      <c r="T33" s="702"/>
      <c r="U33" s="702"/>
      <c r="V33" s="702"/>
      <c r="W33" s="702"/>
      <c r="X33" s="702"/>
      <c r="Y33" s="702"/>
      <c r="AC33" s="701"/>
      <c r="AD33" s="774" t="s">
        <v>426</v>
      </c>
      <c r="AE33" s="770">
        <f t="shared" ref="AE33:AX33" si="47">VLOOKUP(AE$6&amp;$AD27&amp;$AD33&amp;$AF$5, vw.deaths, 5, FALSE)</f>
        <v>53</v>
      </c>
      <c r="AF33" s="770">
        <f t="shared" si="47"/>
        <v>54</v>
      </c>
      <c r="AG33" s="770">
        <f t="shared" si="47"/>
        <v>44</v>
      </c>
      <c r="AH33" s="770">
        <f t="shared" si="47"/>
        <v>26</v>
      </c>
      <c r="AI33" s="770">
        <f t="shared" si="47"/>
        <v>33</v>
      </c>
      <c r="AJ33" s="770">
        <f t="shared" si="47"/>
        <v>31</v>
      </c>
      <c r="AK33" s="770">
        <f t="shared" si="47"/>
        <v>45</v>
      </c>
      <c r="AL33" s="770">
        <f t="shared" si="47"/>
        <v>24</v>
      </c>
      <c r="AM33" s="770">
        <f t="shared" si="47"/>
        <v>29</v>
      </c>
      <c r="AN33" s="770">
        <f t="shared" si="47"/>
        <v>21</v>
      </c>
      <c r="AO33" s="770">
        <f t="shared" si="47"/>
        <v>25</v>
      </c>
      <c r="AP33" s="770">
        <f t="shared" si="47"/>
        <v>31</v>
      </c>
      <c r="AQ33" s="770">
        <f t="shared" si="47"/>
        <v>29</v>
      </c>
      <c r="AR33" s="770">
        <f t="shared" si="47"/>
        <v>7</v>
      </c>
      <c r="AS33" s="770">
        <f t="shared" si="47"/>
        <v>26</v>
      </c>
      <c r="AT33" s="770">
        <f t="shared" si="47"/>
        <v>22</v>
      </c>
      <c r="AU33" s="770">
        <f t="shared" si="47"/>
        <v>24</v>
      </c>
      <c r="AV33" s="770">
        <f t="shared" si="47"/>
        <v>15</v>
      </c>
      <c r="AW33" s="770">
        <f t="shared" si="47"/>
        <v>19</v>
      </c>
      <c r="AX33" s="770">
        <f t="shared" si="47"/>
        <v>16</v>
      </c>
      <c r="AY33" s="770">
        <f t="shared" ref="AY33" si="48">VLOOKUP(AY$6&amp;$AD27&amp;$AD33&amp;$AF$5, vw.deaths, 5, FALSE)</f>
        <v>22</v>
      </c>
    </row>
    <row r="34" spans="1:51">
      <c r="A34" s="108" t="s">
        <v>105</v>
      </c>
      <c r="B34" s="520"/>
      <c r="C34" s="520"/>
      <c r="D34" s="520"/>
      <c r="E34" s="520"/>
      <c r="F34" s="520"/>
      <c r="G34" s="520"/>
      <c r="H34" s="520"/>
      <c r="I34" s="520"/>
      <c r="J34" s="520"/>
      <c r="K34" s="520"/>
      <c r="AC34" s="701"/>
      <c r="AD34" s="503" t="s">
        <v>135</v>
      </c>
      <c r="AE34" s="770"/>
      <c r="AF34" s="770"/>
      <c r="AG34" s="770"/>
      <c r="AH34" s="770"/>
      <c r="AI34" s="770"/>
      <c r="AJ34" s="770"/>
      <c r="AK34" s="770"/>
      <c r="AL34" s="770"/>
      <c r="AM34" s="770"/>
      <c r="AN34" s="770"/>
      <c r="AO34" s="770"/>
      <c r="AP34" s="770"/>
      <c r="AQ34" s="770"/>
      <c r="AR34" s="770"/>
      <c r="AS34" s="770"/>
      <c r="AT34" s="770"/>
      <c r="AU34" s="770"/>
      <c r="AV34" s="770"/>
      <c r="AW34" s="770"/>
      <c r="AX34" s="770"/>
      <c r="AY34" s="770"/>
    </row>
    <row r="35" spans="1:51">
      <c r="A35" s="407" t="s">
        <v>375</v>
      </c>
      <c r="B35" s="521">
        <f t="shared" ref="B35:B40" si="49">AP35</f>
        <v>252</v>
      </c>
      <c r="C35" s="521">
        <f t="shared" ref="C35:K40" si="50">AQ35</f>
        <v>299</v>
      </c>
      <c r="D35" s="521">
        <f t="shared" si="50"/>
        <v>259</v>
      </c>
      <c r="E35" s="521">
        <f t="shared" si="50"/>
        <v>267</v>
      </c>
      <c r="F35" s="521">
        <f t="shared" si="50"/>
        <v>257</v>
      </c>
      <c r="G35" s="521">
        <f t="shared" si="50"/>
        <v>270</v>
      </c>
      <c r="H35" s="521">
        <f t="shared" si="50"/>
        <v>223</v>
      </c>
      <c r="I35" s="521">
        <f t="shared" si="50"/>
        <v>273</v>
      </c>
      <c r="J35" s="521">
        <f t="shared" si="50"/>
        <v>213</v>
      </c>
      <c r="K35" s="521">
        <f t="shared" si="50"/>
        <v>227</v>
      </c>
      <c r="L35" s="123"/>
      <c r="M35" s="123"/>
      <c r="N35" s="123"/>
      <c r="O35" s="702"/>
      <c r="P35" s="702"/>
      <c r="Q35" s="702"/>
      <c r="R35" s="702"/>
      <c r="S35" s="702"/>
      <c r="T35" s="702"/>
      <c r="U35" s="702"/>
      <c r="V35" s="702"/>
      <c r="W35" s="702"/>
      <c r="X35" s="702"/>
      <c r="Y35" s="702"/>
      <c r="AC35" s="701"/>
      <c r="AD35" s="503" t="s">
        <v>375</v>
      </c>
      <c r="AE35" s="770">
        <f t="shared" ref="AE35:AX35" si="51">VLOOKUP(AE$6&amp;$AD34&amp;$AD35&amp;$AF$5, vw.deaths, 5, FALSE)</f>
        <v>206</v>
      </c>
      <c r="AF35" s="770">
        <f t="shared" si="51"/>
        <v>216</v>
      </c>
      <c r="AG35" s="770">
        <f t="shared" si="51"/>
        <v>180</v>
      </c>
      <c r="AH35" s="770">
        <f t="shared" si="51"/>
        <v>222</v>
      </c>
      <c r="AI35" s="770">
        <f t="shared" si="51"/>
        <v>187</v>
      </c>
      <c r="AJ35" s="770">
        <f t="shared" si="51"/>
        <v>200</v>
      </c>
      <c r="AK35" s="770">
        <f t="shared" si="51"/>
        <v>221</v>
      </c>
      <c r="AL35" s="770">
        <f t="shared" si="51"/>
        <v>203</v>
      </c>
      <c r="AM35" s="770">
        <f t="shared" si="51"/>
        <v>289</v>
      </c>
      <c r="AN35" s="770">
        <f t="shared" si="51"/>
        <v>220</v>
      </c>
      <c r="AO35" s="770">
        <f t="shared" si="51"/>
        <v>229</v>
      </c>
      <c r="AP35" s="770">
        <f t="shared" si="51"/>
        <v>252</v>
      </c>
      <c r="AQ35" s="770">
        <f t="shared" si="51"/>
        <v>299</v>
      </c>
      <c r="AR35" s="770">
        <f t="shared" si="51"/>
        <v>259</v>
      </c>
      <c r="AS35" s="770">
        <f t="shared" si="51"/>
        <v>267</v>
      </c>
      <c r="AT35" s="770">
        <f t="shared" si="51"/>
        <v>257</v>
      </c>
      <c r="AU35" s="770">
        <f t="shared" si="51"/>
        <v>270</v>
      </c>
      <c r="AV35" s="770">
        <f t="shared" si="51"/>
        <v>223</v>
      </c>
      <c r="AW35" s="770">
        <f t="shared" si="51"/>
        <v>273</v>
      </c>
      <c r="AX35" s="770">
        <f t="shared" si="51"/>
        <v>213</v>
      </c>
      <c r="AY35" s="770">
        <f t="shared" ref="AY35" si="52">VLOOKUP(AY$6&amp;$AD34&amp;$AD35&amp;$AF$5, vw.deaths, 5, FALSE)</f>
        <v>227</v>
      </c>
    </row>
    <row r="36" spans="1:51">
      <c r="A36" s="407" t="s">
        <v>376</v>
      </c>
      <c r="B36" s="521">
        <f t="shared" si="49"/>
        <v>44</v>
      </c>
      <c r="C36" s="521">
        <f t="shared" si="50"/>
        <v>51</v>
      </c>
      <c r="D36" s="521">
        <f t="shared" si="50"/>
        <v>43</v>
      </c>
      <c r="E36" s="521">
        <f t="shared" si="50"/>
        <v>39</v>
      </c>
      <c r="F36" s="521">
        <f t="shared" si="50"/>
        <v>43</v>
      </c>
      <c r="G36" s="521">
        <f t="shared" si="50"/>
        <v>37</v>
      </c>
      <c r="H36" s="521">
        <f t="shared" si="50"/>
        <v>32</v>
      </c>
      <c r="I36" s="521">
        <f t="shared" si="50"/>
        <v>43</v>
      </c>
      <c r="J36" s="521">
        <f t="shared" si="50"/>
        <v>30</v>
      </c>
      <c r="K36" s="521">
        <f t="shared" si="50"/>
        <v>38</v>
      </c>
      <c r="L36" s="123"/>
      <c r="M36" s="123"/>
      <c r="N36" s="123"/>
      <c r="O36" s="702"/>
      <c r="P36" s="702"/>
      <c r="Q36" s="702"/>
      <c r="R36" s="702"/>
      <c r="S36" s="702"/>
      <c r="T36" s="702"/>
      <c r="U36" s="702"/>
      <c r="V36" s="702"/>
      <c r="W36" s="702"/>
      <c r="X36" s="702"/>
      <c r="Y36" s="702"/>
      <c r="AC36" s="701"/>
      <c r="AD36" s="771" t="s">
        <v>395</v>
      </c>
      <c r="AE36" s="770">
        <f t="shared" ref="AE36:AX36" si="53">VLOOKUP(AE$6&amp;$AD34&amp;$AD36&amp;$AF$5, vw.deaths, 5, FALSE)</f>
        <v>45</v>
      </c>
      <c r="AF36" s="770">
        <f t="shared" si="53"/>
        <v>46</v>
      </c>
      <c r="AG36" s="770">
        <f t="shared" si="53"/>
        <v>37</v>
      </c>
      <c r="AH36" s="770">
        <f t="shared" si="53"/>
        <v>48</v>
      </c>
      <c r="AI36" s="770">
        <f t="shared" si="53"/>
        <v>46</v>
      </c>
      <c r="AJ36" s="770">
        <f t="shared" si="53"/>
        <v>28</v>
      </c>
      <c r="AK36" s="770">
        <f t="shared" si="53"/>
        <v>30</v>
      </c>
      <c r="AL36" s="770">
        <f t="shared" si="53"/>
        <v>48</v>
      </c>
      <c r="AM36" s="770">
        <f t="shared" si="53"/>
        <v>46</v>
      </c>
      <c r="AN36" s="770">
        <f t="shared" si="53"/>
        <v>40</v>
      </c>
      <c r="AO36" s="770">
        <f t="shared" si="53"/>
        <v>46</v>
      </c>
      <c r="AP36" s="770">
        <f t="shared" si="53"/>
        <v>44</v>
      </c>
      <c r="AQ36" s="770">
        <f t="shared" si="53"/>
        <v>51</v>
      </c>
      <c r="AR36" s="770">
        <f t="shared" si="53"/>
        <v>43</v>
      </c>
      <c r="AS36" s="770">
        <f t="shared" si="53"/>
        <v>39</v>
      </c>
      <c r="AT36" s="770">
        <f t="shared" si="53"/>
        <v>43</v>
      </c>
      <c r="AU36" s="770">
        <f t="shared" si="53"/>
        <v>37</v>
      </c>
      <c r="AV36" s="770">
        <f t="shared" si="53"/>
        <v>32</v>
      </c>
      <c r="AW36" s="770">
        <f t="shared" si="53"/>
        <v>43</v>
      </c>
      <c r="AX36" s="770">
        <f t="shared" si="53"/>
        <v>30</v>
      </c>
      <c r="AY36" s="770">
        <f t="shared" ref="AY36" si="54">VLOOKUP(AY$6&amp;$AD34&amp;$AD36&amp;$AF$5, vw.deaths, 5, FALSE)</f>
        <v>38</v>
      </c>
    </row>
    <row r="37" spans="1:51">
      <c r="A37" s="407" t="s">
        <v>64</v>
      </c>
      <c r="B37" s="521">
        <f t="shared" si="49"/>
        <v>71</v>
      </c>
      <c r="C37" s="521">
        <f t="shared" si="50"/>
        <v>70</v>
      </c>
      <c r="D37" s="521">
        <f t="shared" si="50"/>
        <v>57</v>
      </c>
      <c r="E37" s="521">
        <f t="shared" si="50"/>
        <v>69</v>
      </c>
      <c r="F37" s="521">
        <f t="shared" si="50"/>
        <v>58</v>
      </c>
      <c r="G37" s="521">
        <f t="shared" si="50"/>
        <v>54</v>
      </c>
      <c r="H37" s="521">
        <f t="shared" si="50"/>
        <v>62</v>
      </c>
      <c r="I37" s="521">
        <f t="shared" si="50"/>
        <v>54</v>
      </c>
      <c r="J37" s="521">
        <f t="shared" si="50"/>
        <v>46</v>
      </c>
      <c r="K37" s="521">
        <f t="shared" si="50"/>
        <v>56</v>
      </c>
      <c r="L37" s="123"/>
      <c r="M37" s="123"/>
      <c r="N37" s="123"/>
      <c r="O37" s="702"/>
      <c r="P37" s="702"/>
      <c r="Q37" s="702"/>
      <c r="R37" s="702"/>
      <c r="S37" s="702"/>
      <c r="T37" s="702"/>
      <c r="U37" s="702"/>
      <c r="V37" s="702"/>
      <c r="W37" s="702"/>
      <c r="X37" s="702"/>
      <c r="Y37" s="702"/>
      <c r="AC37" s="703"/>
      <c r="AD37" s="773" t="s">
        <v>136</v>
      </c>
      <c r="AE37" s="770">
        <f t="shared" ref="AE37:AX37" si="55">VLOOKUP(AE$6&amp;$AD34&amp;$AD37&amp;$AF$5, vw.deaths, 5, FALSE)</f>
        <v>68</v>
      </c>
      <c r="AF37" s="770">
        <f t="shared" si="55"/>
        <v>63</v>
      </c>
      <c r="AG37" s="770">
        <f t="shared" si="55"/>
        <v>55</v>
      </c>
      <c r="AH37" s="770">
        <f t="shared" si="55"/>
        <v>61</v>
      </c>
      <c r="AI37" s="770">
        <f t="shared" si="55"/>
        <v>53</v>
      </c>
      <c r="AJ37" s="770">
        <f t="shared" si="55"/>
        <v>61</v>
      </c>
      <c r="AK37" s="770">
        <f t="shared" si="55"/>
        <v>48</v>
      </c>
      <c r="AL37" s="770">
        <f t="shared" si="55"/>
        <v>65</v>
      </c>
      <c r="AM37" s="770">
        <f t="shared" si="55"/>
        <v>62</v>
      </c>
      <c r="AN37" s="770">
        <f t="shared" si="55"/>
        <v>54</v>
      </c>
      <c r="AO37" s="770">
        <f t="shared" si="55"/>
        <v>51</v>
      </c>
      <c r="AP37" s="770">
        <f t="shared" si="55"/>
        <v>71</v>
      </c>
      <c r="AQ37" s="770">
        <f t="shared" si="55"/>
        <v>70</v>
      </c>
      <c r="AR37" s="770">
        <f t="shared" si="55"/>
        <v>57</v>
      </c>
      <c r="AS37" s="770">
        <f t="shared" si="55"/>
        <v>69</v>
      </c>
      <c r="AT37" s="770">
        <f t="shared" si="55"/>
        <v>58</v>
      </c>
      <c r="AU37" s="770">
        <f t="shared" si="55"/>
        <v>54</v>
      </c>
      <c r="AV37" s="770">
        <f t="shared" si="55"/>
        <v>62</v>
      </c>
      <c r="AW37" s="770">
        <f t="shared" si="55"/>
        <v>54</v>
      </c>
      <c r="AX37" s="770">
        <f t="shared" si="55"/>
        <v>46</v>
      </c>
      <c r="AY37" s="770">
        <f t="shared" ref="AY37" si="56">VLOOKUP(AY$6&amp;$AD34&amp;$AD37&amp;$AF$5, vw.deaths, 5, FALSE)</f>
        <v>56</v>
      </c>
    </row>
    <row r="38" spans="1:51">
      <c r="A38" s="49" t="s">
        <v>65</v>
      </c>
      <c r="B38" s="521">
        <f t="shared" si="49"/>
        <v>97</v>
      </c>
      <c r="C38" s="521">
        <f t="shared" si="50"/>
        <v>127</v>
      </c>
      <c r="D38" s="521">
        <f t="shared" si="50"/>
        <v>116</v>
      </c>
      <c r="E38" s="521">
        <f t="shared" si="50"/>
        <v>91</v>
      </c>
      <c r="F38" s="521">
        <f t="shared" si="50"/>
        <v>89</v>
      </c>
      <c r="G38" s="521">
        <f t="shared" si="50"/>
        <v>83</v>
      </c>
      <c r="H38" s="521">
        <f t="shared" si="50"/>
        <v>74</v>
      </c>
      <c r="I38" s="521">
        <f t="shared" si="50"/>
        <v>75</v>
      </c>
      <c r="J38" s="521">
        <f t="shared" si="50"/>
        <v>83</v>
      </c>
      <c r="K38" s="521">
        <f t="shared" si="50"/>
        <v>86</v>
      </c>
      <c r="L38" s="123"/>
      <c r="M38" s="123"/>
      <c r="N38" s="123"/>
      <c r="O38" s="702"/>
      <c r="P38" s="702"/>
      <c r="Q38" s="702"/>
      <c r="R38" s="702"/>
      <c r="S38" s="702"/>
      <c r="T38" s="702"/>
      <c r="U38" s="702"/>
      <c r="V38" s="702"/>
      <c r="W38" s="702"/>
      <c r="X38" s="702"/>
      <c r="Y38" s="702"/>
      <c r="AC38" s="701"/>
      <c r="AD38" s="773" t="s">
        <v>137</v>
      </c>
      <c r="AE38" s="770">
        <f t="shared" ref="AE38:AX38" si="57">VLOOKUP(AE$6&amp;$AD34&amp;$AD38&amp;$AF$5, vw.deaths, 5, FALSE)</f>
        <v>85</v>
      </c>
      <c r="AF38" s="770">
        <f t="shared" si="57"/>
        <v>86</v>
      </c>
      <c r="AG38" s="770">
        <f t="shared" si="57"/>
        <v>65</v>
      </c>
      <c r="AH38" s="770">
        <f t="shared" si="57"/>
        <v>84</v>
      </c>
      <c r="AI38" s="770">
        <f t="shared" si="57"/>
        <v>79</v>
      </c>
      <c r="AJ38" s="770">
        <f t="shared" si="57"/>
        <v>95</v>
      </c>
      <c r="AK38" s="770">
        <f t="shared" si="57"/>
        <v>86</v>
      </c>
      <c r="AL38" s="770">
        <f t="shared" si="57"/>
        <v>74</v>
      </c>
      <c r="AM38" s="770">
        <f t="shared" si="57"/>
        <v>103</v>
      </c>
      <c r="AN38" s="770">
        <f t="shared" si="57"/>
        <v>83</v>
      </c>
      <c r="AO38" s="770">
        <f t="shared" si="57"/>
        <v>78</v>
      </c>
      <c r="AP38" s="770">
        <f t="shared" si="57"/>
        <v>97</v>
      </c>
      <c r="AQ38" s="770">
        <f t="shared" si="57"/>
        <v>127</v>
      </c>
      <c r="AR38" s="770">
        <f t="shared" si="57"/>
        <v>116</v>
      </c>
      <c r="AS38" s="770">
        <f t="shared" si="57"/>
        <v>91</v>
      </c>
      <c r="AT38" s="770">
        <f t="shared" si="57"/>
        <v>89</v>
      </c>
      <c r="AU38" s="770">
        <f t="shared" si="57"/>
        <v>83</v>
      </c>
      <c r="AV38" s="770">
        <f t="shared" si="57"/>
        <v>74</v>
      </c>
      <c r="AW38" s="770">
        <f t="shared" si="57"/>
        <v>75</v>
      </c>
      <c r="AX38" s="770">
        <f t="shared" si="57"/>
        <v>83</v>
      </c>
      <c r="AY38" s="770">
        <f t="shared" ref="AY38" si="58">VLOOKUP(AY$6&amp;$AD34&amp;$AD38&amp;$AF$5, vw.deaths, 5, FALSE)</f>
        <v>86</v>
      </c>
    </row>
    <row r="39" spans="1:51">
      <c r="A39" s="49" t="s">
        <v>66</v>
      </c>
      <c r="B39" s="521">
        <f t="shared" si="49"/>
        <v>4</v>
      </c>
      <c r="C39" s="521">
        <f t="shared" si="50"/>
        <v>6</v>
      </c>
      <c r="D39" s="521">
        <f t="shared" si="50"/>
        <v>3</v>
      </c>
      <c r="E39" s="521">
        <f t="shared" si="50"/>
        <v>1</v>
      </c>
      <c r="F39" s="521">
        <f t="shared" si="50"/>
        <v>4</v>
      </c>
      <c r="G39" s="521">
        <f t="shared" si="50"/>
        <v>2</v>
      </c>
      <c r="H39" s="521">
        <f t="shared" si="50"/>
        <v>1</v>
      </c>
      <c r="I39" s="521">
        <f t="shared" si="50"/>
        <v>0</v>
      </c>
      <c r="J39" s="521">
        <f t="shared" si="50"/>
        <v>2</v>
      </c>
      <c r="K39" s="521">
        <f t="shared" si="50"/>
        <v>0</v>
      </c>
      <c r="L39" s="123"/>
      <c r="M39" s="123"/>
      <c r="N39" s="123"/>
      <c r="O39" s="702"/>
      <c r="P39" s="702"/>
      <c r="Q39" s="702"/>
      <c r="R39" s="702"/>
      <c r="S39" s="702"/>
      <c r="T39" s="702"/>
      <c r="U39" s="702"/>
      <c r="V39" s="702"/>
      <c r="W39" s="702"/>
      <c r="X39" s="702"/>
      <c r="Y39" s="702"/>
      <c r="AC39" s="701"/>
      <c r="AD39" s="773" t="s">
        <v>138</v>
      </c>
      <c r="AE39" s="770">
        <f t="shared" ref="AE39:AX39" si="59">VLOOKUP(AE$6&amp;$AD34&amp;$AD39&amp;$AF$5, vw.deaths, 5, FALSE)</f>
        <v>4</v>
      </c>
      <c r="AF39" s="770">
        <f t="shared" si="59"/>
        <v>5</v>
      </c>
      <c r="AG39" s="770">
        <f t="shared" si="59"/>
        <v>7</v>
      </c>
      <c r="AH39" s="770">
        <f t="shared" si="59"/>
        <v>3</v>
      </c>
      <c r="AI39" s="770">
        <f t="shared" si="59"/>
        <v>3</v>
      </c>
      <c r="AJ39" s="770">
        <f t="shared" si="59"/>
        <v>2</v>
      </c>
      <c r="AK39" s="770">
        <f t="shared" si="59"/>
        <v>4</v>
      </c>
      <c r="AL39" s="770">
        <f t="shared" si="59"/>
        <v>3</v>
      </c>
      <c r="AM39" s="770">
        <f t="shared" si="59"/>
        <v>5</v>
      </c>
      <c r="AN39" s="770">
        <f t="shared" si="59"/>
        <v>5</v>
      </c>
      <c r="AO39" s="770">
        <f t="shared" si="59"/>
        <v>4</v>
      </c>
      <c r="AP39" s="770">
        <f t="shared" si="59"/>
        <v>4</v>
      </c>
      <c r="AQ39" s="770">
        <f t="shared" si="59"/>
        <v>6</v>
      </c>
      <c r="AR39" s="770">
        <f t="shared" si="59"/>
        <v>3</v>
      </c>
      <c r="AS39" s="770">
        <f t="shared" si="59"/>
        <v>1</v>
      </c>
      <c r="AT39" s="770">
        <f t="shared" si="59"/>
        <v>4</v>
      </c>
      <c r="AU39" s="770">
        <f t="shared" si="59"/>
        <v>2</v>
      </c>
      <c r="AV39" s="770">
        <f t="shared" si="59"/>
        <v>1</v>
      </c>
      <c r="AW39" s="770">
        <f t="shared" si="59"/>
        <v>0</v>
      </c>
      <c r="AX39" s="770">
        <f t="shared" si="59"/>
        <v>2</v>
      </c>
      <c r="AY39" s="770">
        <f t="shared" ref="AY39" si="60">VLOOKUP(AY$6&amp;$AD34&amp;$AD39&amp;$AF$5, vw.deaths, 5, FALSE)</f>
        <v>0</v>
      </c>
    </row>
    <row r="40" spans="1:51">
      <c r="A40" s="49" t="s">
        <v>63</v>
      </c>
      <c r="B40" s="521">
        <f t="shared" si="49"/>
        <v>2</v>
      </c>
      <c r="C40" s="521">
        <f t="shared" si="50"/>
        <v>3</v>
      </c>
      <c r="D40" s="521">
        <f t="shared" si="50"/>
        <v>4</v>
      </c>
      <c r="E40" s="521">
        <f t="shared" si="50"/>
        <v>2</v>
      </c>
      <c r="F40" s="521">
        <f t="shared" si="50"/>
        <v>0</v>
      </c>
      <c r="G40" s="521">
        <f t="shared" si="50"/>
        <v>2</v>
      </c>
      <c r="H40" s="521">
        <f t="shared" si="50"/>
        <v>1</v>
      </c>
      <c r="I40" s="521">
        <f t="shared" si="50"/>
        <v>2</v>
      </c>
      <c r="J40" s="521">
        <f t="shared" si="50"/>
        <v>10</v>
      </c>
      <c r="K40" s="521">
        <f t="shared" si="50"/>
        <v>6</v>
      </c>
      <c r="L40" s="123"/>
      <c r="M40" s="123"/>
      <c r="N40" s="123"/>
      <c r="O40" s="702"/>
      <c r="P40" s="702"/>
      <c r="Q40" s="702"/>
      <c r="R40" s="702"/>
      <c r="S40" s="702"/>
      <c r="T40" s="702"/>
      <c r="U40" s="702"/>
      <c r="V40" s="702"/>
      <c r="W40" s="702"/>
      <c r="X40" s="702"/>
      <c r="Y40" s="702"/>
      <c r="AC40" s="701"/>
      <c r="AD40" s="773" t="s">
        <v>63</v>
      </c>
      <c r="AE40" s="770">
        <f t="shared" ref="AE40:AX40" si="61">VLOOKUP(AE$6&amp;$AD34&amp;$AD40&amp;$AF$5, vw.deaths, 5, FALSE)</f>
        <v>1</v>
      </c>
      <c r="AF40" s="770">
        <f t="shared" si="61"/>
        <v>1</v>
      </c>
      <c r="AG40" s="770">
        <f t="shared" si="61"/>
        <v>4</v>
      </c>
      <c r="AH40" s="770">
        <f t="shared" si="61"/>
        <v>8</v>
      </c>
      <c r="AI40" s="770">
        <f t="shared" si="61"/>
        <v>1</v>
      </c>
      <c r="AJ40" s="770">
        <f t="shared" si="61"/>
        <v>0</v>
      </c>
      <c r="AK40" s="770">
        <f t="shared" si="61"/>
        <v>1</v>
      </c>
      <c r="AL40" s="770">
        <f t="shared" si="61"/>
        <v>0</v>
      </c>
      <c r="AM40" s="770">
        <f t="shared" si="61"/>
        <v>1</v>
      </c>
      <c r="AN40" s="770">
        <f t="shared" si="61"/>
        <v>1</v>
      </c>
      <c r="AO40" s="770">
        <f t="shared" si="61"/>
        <v>1</v>
      </c>
      <c r="AP40" s="770">
        <f t="shared" si="61"/>
        <v>2</v>
      </c>
      <c r="AQ40" s="770">
        <f t="shared" si="61"/>
        <v>3</v>
      </c>
      <c r="AR40" s="770">
        <f t="shared" si="61"/>
        <v>4</v>
      </c>
      <c r="AS40" s="770">
        <f t="shared" si="61"/>
        <v>2</v>
      </c>
      <c r="AT40" s="770">
        <f t="shared" si="61"/>
        <v>0</v>
      </c>
      <c r="AU40" s="770">
        <f t="shared" si="61"/>
        <v>2</v>
      </c>
      <c r="AV40" s="770">
        <f t="shared" si="61"/>
        <v>1</v>
      </c>
      <c r="AW40" s="770">
        <f t="shared" si="61"/>
        <v>2</v>
      </c>
      <c r="AX40" s="770">
        <f t="shared" si="61"/>
        <v>10</v>
      </c>
      <c r="AY40" s="770">
        <f t="shared" ref="AY40" si="62">VLOOKUP(AY$6&amp;$AD34&amp;$AD40&amp;$AF$5, vw.deaths, 5, FALSE)</f>
        <v>6</v>
      </c>
    </row>
    <row r="41" spans="1:51">
      <c r="A41" s="108" t="s">
        <v>1</v>
      </c>
      <c r="B41" s="520"/>
      <c r="C41" s="520"/>
      <c r="D41" s="520"/>
      <c r="E41" s="520"/>
      <c r="F41" s="520"/>
      <c r="G41" s="520"/>
      <c r="H41" s="520"/>
      <c r="I41" s="520"/>
      <c r="J41" s="520"/>
      <c r="K41" s="520"/>
      <c r="AC41" s="701"/>
      <c r="AD41" s="503" t="s">
        <v>464</v>
      </c>
      <c r="AE41" s="770"/>
      <c r="AF41" s="770"/>
      <c r="AG41" s="770"/>
      <c r="AH41" s="770"/>
      <c r="AI41" s="770"/>
      <c r="AJ41" s="770"/>
      <c r="AK41" s="770"/>
      <c r="AL41" s="770"/>
      <c r="AM41" s="770"/>
      <c r="AN41" s="770"/>
      <c r="AO41" s="770"/>
      <c r="AP41" s="770"/>
      <c r="AQ41" s="770"/>
      <c r="AR41" s="770"/>
      <c r="AS41" s="770"/>
      <c r="AT41" s="770"/>
      <c r="AU41" s="770"/>
      <c r="AV41" s="770"/>
      <c r="AW41" s="770"/>
      <c r="AX41" s="770"/>
      <c r="AY41" s="770"/>
    </row>
    <row r="42" spans="1:51">
      <c r="A42" s="406" t="s">
        <v>378</v>
      </c>
      <c r="B42" s="521">
        <f t="shared" ref="B42:B48" si="63">AP42</f>
        <v>158</v>
      </c>
      <c r="C42" s="521">
        <f t="shared" ref="C42:K48" si="64">AQ42</f>
        <v>198</v>
      </c>
      <c r="D42" s="521">
        <f t="shared" si="64"/>
        <v>164</v>
      </c>
      <c r="E42" s="521">
        <f t="shared" si="64"/>
        <v>168</v>
      </c>
      <c r="F42" s="521">
        <f t="shared" si="64"/>
        <v>180</v>
      </c>
      <c r="G42" s="521">
        <f t="shared" si="64"/>
        <v>187</v>
      </c>
      <c r="H42" s="521">
        <f t="shared" si="64"/>
        <v>160</v>
      </c>
      <c r="I42" s="521">
        <f t="shared" si="64"/>
        <v>183</v>
      </c>
      <c r="J42" s="521">
        <f t="shared" si="64"/>
        <v>147</v>
      </c>
      <c r="K42" s="521">
        <f t="shared" si="64"/>
        <v>141</v>
      </c>
      <c r="L42" s="173"/>
      <c r="M42" s="173"/>
      <c r="N42" s="173"/>
      <c r="O42" s="702"/>
      <c r="P42" s="702"/>
      <c r="Q42" s="702"/>
      <c r="R42" s="702"/>
      <c r="S42" s="702"/>
      <c r="T42" s="702"/>
      <c r="U42" s="702"/>
      <c r="V42" s="702"/>
      <c r="W42" s="702"/>
      <c r="X42" s="702"/>
      <c r="Y42" s="702"/>
      <c r="AC42" s="701"/>
      <c r="AD42" s="773" t="s">
        <v>427</v>
      </c>
      <c r="AE42" s="770">
        <f t="shared" ref="AE42:AX42" si="65">VLOOKUP(AE$6&amp;$AD41&amp;$AD42&amp;$AF$5, vw.deaths, 5, FALSE)</f>
        <v>117</v>
      </c>
      <c r="AF42" s="770">
        <f t="shared" si="65"/>
        <v>135</v>
      </c>
      <c r="AG42" s="770">
        <f t="shared" si="65"/>
        <v>104</v>
      </c>
      <c r="AH42" s="770">
        <f t="shared" si="65"/>
        <v>147</v>
      </c>
      <c r="AI42" s="770">
        <f t="shared" si="65"/>
        <v>130</v>
      </c>
      <c r="AJ42" s="770">
        <f t="shared" si="65"/>
        <v>141</v>
      </c>
      <c r="AK42" s="770">
        <f t="shared" si="65"/>
        <v>160</v>
      </c>
      <c r="AL42" s="770">
        <f t="shared" si="65"/>
        <v>125</v>
      </c>
      <c r="AM42" s="770">
        <f t="shared" si="65"/>
        <v>185</v>
      </c>
      <c r="AN42" s="770">
        <f t="shared" si="65"/>
        <v>153</v>
      </c>
      <c r="AO42" s="770">
        <f t="shared" si="65"/>
        <v>162</v>
      </c>
      <c r="AP42" s="770">
        <f t="shared" si="65"/>
        <v>158</v>
      </c>
      <c r="AQ42" s="770">
        <f t="shared" si="65"/>
        <v>198</v>
      </c>
      <c r="AR42" s="770">
        <f t="shared" si="65"/>
        <v>164</v>
      </c>
      <c r="AS42" s="770">
        <f t="shared" si="65"/>
        <v>168</v>
      </c>
      <c r="AT42" s="770">
        <f t="shared" si="65"/>
        <v>180</v>
      </c>
      <c r="AU42" s="770">
        <f t="shared" si="65"/>
        <v>187</v>
      </c>
      <c r="AV42" s="770">
        <f t="shared" si="65"/>
        <v>160</v>
      </c>
      <c r="AW42" s="770">
        <f t="shared" si="65"/>
        <v>183</v>
      </c>
      <c r="AX42" s="770">
        <f t="shared" si="65"/>
        <v>147</v>
      </c>
      <c r="AY42" s="770">
        <f t="shared" ref="AY42" si="66">VLOOKUP(AY$6&amp;$AD41&amp;$AD42&amp;$AF$5, vw.deaths, 5, FALSE)</f>
        <v>141</v>
      </c>
    </row>
    <row r="43" spans="1:51">
      <c r="A43" s="563" t="s">
        <v>478</v>
      </c>
      <c r="B43" s="521">
        <f t="shared" si="63"/>
        <v>104</v>
      </c>
      <c r="C43" s="521">
        <f t="shared" si="64"/>
        <v>113</v>
      </c>
      <c r="D43" s="521">
        <f t="shared" si="64"/>
        <v>105</v>
      </c>
      <c r="E43" s="521">
        <f t="shared" si="64"/>
        <v>102</v>
      </c>
      <c r="F43" s="521">
        <f t="shared" si="64"/>
        <v>87</v>
      </c>
      <c r="G43" s="521">
        <f t="shared" si="64"/>
        <v>92</v>
      </c>
      <c r="H43" s="521">
        <f t="shared" si="64"/>
        <v>76</v>
      </c>
      <c r="I43" s="521">
        <f t="shared" si="64"/>
        <v>104</v>
      </c>
      <c r="J43" s="521">
        <f t="shared" si="64"/>
        <v>74</v>
      </c>
      <c r="K43" s="521">
        <f t="shared" si="64"/>
        <v>97</v>
      </c>
      <c r="L43" s="173"/>
      <c r="M43" s="173"/>
      <c r="N43" s="173"/>
      <c r="O43" s="702"/>
      <c r="P43" s="702"/>
      <c r="Q43" s="702"/>
      <c r="R43" s="702"/>
      <c r="S43" s="702"/>
      <c r="T43" s="702"/>
      <c r="U43" s="702"/>
      <c r="V43" s="702"/>
      <c r="W43" s="702"/>
      <c r="X43" s="702"/>
      <c r="Y43" s="702"/>
      <c r="AC43" s="701"/>
      <c r="AD43" s="773" t="s">
        <v>428</v>
      </c>
      <c r="AE43" s="770">
        <f t="shared" ref="AE43:AX43" si="67">VLOOKUP(AE$6&amp;$AD41&amp;$AD43&amp;$AF$5, vw.deaths, 5, FALSE)</f>
        <v>102</v>
      </c>
      <c r="AF43" s="770">
        <f t="shared" si="67"/>
        <v>92</v>
      </c>
      <c r="AG43" s="770">
        <f t="shared" si="67"/>
        <v>80</v>
      </c>
      <c r="AH43" s="770">
        <f t="shared" si="67"/>
        <v>87</v>
      </c>
      <c r="AI43" s="770">
        <f t="shared" si="67"/>
        <v>71</v>
      </c>
      <c r="AJ43" s="770">
        <f t="shared" si="67"/>
        <v>70</v>
      </c>
      <c r="AK43" s="770">
        <f t="shared" si="67"/>
        <v>62</v>
      </c>
      <c r="AL43" s="770">
        <f t="shared" si="67"/>
        <v>95</v>
      </c>
      <c r="AM43" s="770">
        <f t="shared" si="67"/>
        <v>113</v>
      </c>
      <c r="AN43" s="770">
        <f t="shared" si="67"/>
        <v>75</v>
      </c>
      <c r="AO43" s="770">
        <f t="shared" si="67"/>
        <v>85</v>
      </c>
      <c r="AP43" s="770">
        <f t="shared" si="67"/>
        <v>104</v>
      </c>
      <c r="AQ43" s="770">
        <f t="shared" si="67"/>
        <v>113</v>
      </c>
      <c r="AR43" s="770">
        <f t="shared" si="67"/>
        <v>105</v>
      </c>
      <c r="AS43" s="770">
        <f t="shared" si="67"/>
        <v>102</v>
      </c>
      <c r="AT43" s="770">
        <f t="shared" si="67"/>
        <v>87</v>
      </c>
      <c r="AU43" s="770">
        <f t="shared" si="67"/>
        <v>92</v>
      </c>
      <c r="AV43" s="770">
        <f t="shared" si="67"/>
        <v>76</v>
      </c>
      <c r="AW43" s="770">
        <f t="shared" si="67"/>
        <v>104</v>
      </c>
      <c r="AX43" s="770">
        <f t="shared" si="67"/>
        <v>74</v>
      </c>
      <c r="AY43" s="770">
        <f t="shared" ref="AY43" si="68">VLOOKUP(AY$6&amp;$AD41&amp;$AD43&amp;$AF$5, vw.deaths, 5, FALSE)</f>
        <v>97</v>
      </c>
    </row>
    <row r="44" spans="1:51">
      <c r="A44" s="563" t="s">
        <v>479</v>
      </c>
      <c r="B44" s="521">
        <f t="shared" si="63"/>
        <v>39</v>
      </c>
      <c r="C44" s="521">
        <f t="shared" si="64"/>
        <v>30</v>
      </c>
      <c r="D44" s="521">
        <f t="shared" si="64"/>
        <v>27</v>
      </c>
      <c r="E44" s="521">
        <f t="shared" si="64"/>
        <v>45</v>
      </c>
      <c r="F44" s="521">
        <f t="shared" si="64"/>
        <v>33</v>
      </c>
      <c r="G44" s="521">
        <f t="shared" si="64"/>
        <v>33</v>
      </c>
      <c r="H44" s="521">
        <f t="shared" si="64"/>
        <v>21</v>
      </c>
      <c r="I44" s="521">
        <f t="shared" si="64"/>
        <v>30</v>
      </c>
      <c r="J44" s="521">
        <f t="shared" si="64"/>
        <v>18</v>
      </c>
      <c r="K44" s="521">
        <f t="shared" si="64"/>
        <v>27</v>
      </c>
      <c r="L44" s="173"/>
      <c r="M44" s="173"/>
      <c r="N44" s="173"/>
      <c r="O44" s="702"/>
      <c r="P44" s="702"/>
      <c r="Q44" s="702"/>
      <c r="R44" s="702"/>
      <c r="S44" s="702"/>
      <c r="T44" s="702"/>
      <c r="U44" s="702"/>
      <c r="V44" s="702"/>
      <c r="W44" s="702"/>
      <c r="X44" s="702"/>
      <c r="Y44" s="702"/>
      <c r="AC44" s="703"/>
      <c r="AD44" s="773" t="s">
        <v>429</v>
      </c>
      <c r="AE44" s="770">
        <f t="shared" ref="AE44:AX44" si="69">VLOOKUP(AE$6&amp;$AD41&amp;$AD44&amp;$AF$5, vw.deaths, 5, FALSE)</f>
        <v>34</v>
      </c>
      <c r="AF44" s="770">
        <f t="shared" si="69"/>
        <v>35</v>
      </c>
      <c r="AG44" s="770">
        <f t="shared" si="69"/>
        <v>29</v>
      </c>
      <c r="AH44" s="770">
        <f t="shared" si="69"/>
        <v>26</v>
      </c>
      <c r="AI44" s="770">
        <f t="shared" si="69"/>
        <v>35</v>
      </c>
      <c r="AJ44" s="770">
        <f t="shared" si="69"/>
        <v>21</v>
      </c>
      <c r="AK44" s="770">
        <f t="shared" si="69"/>
        <v>25</v>
      </c>
      <c r="AL44" s="770">
        <f t="shared" si="69"/>
        <v>34</v>
      </c>
      <c r="AM44" s="770">
        <f t="shared" si="69"/>
        <v>35</v>
      </c>
      <c r="AN44" s="770">
        <f t="shared" si="69"/>
        <v>31</v>
      </c>
      <c r="AO44" s="770">
        <f t="shared" si="69"/>
        <v>29</v>
      </c>
      <c r="AP44" s="770">
        <f t="shared" si="69"/>
        <v>39</v>
      </c>
      <c r="AQ44" s="770">
        <f t="shared" si="69"/>
        <v>30</v>
      </c>
      <c r="AR44" s="770">
        <f t="shared" si="69"/>
        <v>27</v>
      </c>
      <c r="AS44" s="770">
        <f t="shared" si="69"/>
        <v>45</v>
      </c>
      <c r="AT44" s="770">
        <f t="shared" si="69"/>
        <v>33</v>
      </c>
      <c r="AU44" s="770">
        <f t="shared" si="69"/>
        <v>33</v>
      </c>
      <c r="AV44" s="770">
        <f t="shared" si="69"/>
        <v>21</v>
      </c>
      <c r="AW44" s="770">
        <f t="shared" si="69"/>
        <v>30</v>
      </c>
      <c r="AX44" s="770">
        <f t="shared" si="69"/>
        <v>18</v>
      </c>
      <c r="AY44" s="770">
        <f t="shared" ref="AY44" si="70">VLOOKUP(AY$6&amp;$AD41&amp;$AD44&amp;$AF$5, vw.deaths, 5, FALSE)</f>
        <v>27</v>
      </c>
    </row>
    <row r="45" spans="1:51">
      <c r="A45" s="563" t="s">
        <v>477</v>
      </c>
      <c r="B45" s="521">
        <f t="shared" si="63"/>
        <v>59</v>
      </c>
      <c r="C45" s="521">
        <f t="shared" si="64"/>
        <v>78</v>
      </c>
      <c r="D45" s="521">
        <f t="shared" si="64"/>
        <v>52</v>
      </c>
      <c r="E45" s="521">
        <f t="shared" si="64"/>
        <v>54</v>
      </c>
      <c r="F45" s="521">
        <f t="shared" si="64"/>
        <v>61</v>
      </c>
      <c r="G45" s="521">
        <f t="shared" si="64"/>
        <v>50</v>
      </c>
      <c r="H45" s="521">
        <f t="shared" si="64"/>
        <v>49</v>
      </c>
      <c r="I45" s="521">
        <f t="shared" si="64"/>
        <v>47</v>
      </c>
      <c r="J45" s="521">
        <f t="shared" si="64"/>
        <v>46</v>
      </c>
      <c r="K45" s="521">
        <f t="shared" si="64"/>
        <v>45</v>
      </c>
      <c r="L45" s="173"/>
      <c r="M45" s="173"/>
      <c r="N45" s="173"/>
      <c r="O45" s="702"/>
      <c r="P45" s="702"/>
      <c r="Q45" s="702"/>
      <c r="R45" s="702"/>
      <c r="S45" s="702"/>
      <c r="T45" s="702"/>
      <c r="U45" s="702"/>
      <c r="V45" s="702"/>
      <c r="W45" s="702"/>
      <c r="X45" s="702"/>
      <c r="Y45" s="702"/>
      <c r="AC45" s="701"/>
      <c r="AD45" s="773" t="s">
        <v>430</v>
      </c>
      <c r="AE45" s="770">
        <f t="shared" ref="AE45:AX45" si="71">VLOOKUP(AE$6&amp;$AD41&amp;$AD45&amp;$AF$5, vw.deaths, 5, FALSE)</f>
        <v>63</v>
      </c>
      <c r="AF45" s="770">
        <f t="shared" si="71"/>
        <v>49</v>
      </c>
      <c r="AG45" s="770">
        <f t="shared" si="71"/>
        <v>42</v>
      </c>
      <c r="AH45" s="770">
        <f t="shared" si="71"/>
        <v>57</v>
      </c>
      <c r="AI45" s="770">
        <f t="shared" si="71"/>
        <v>40</v>
      </c>
      <c r="AJ45" s="770">
        <f t="shared" si="71"/>
        <v>54</v>
      </c>
      <c r="AK45" s="770">
        <f t="shared" si="71"/>
        <v>49</v>
      </c>
      <c r="AL45" s="770">
        <f t="shared" si="71"/>
        <v>55</v>
      </c>
      <c r="AM45" s="770">
        <f t="shared" si="71"/>
        <v>57</v>
      </c>
      <c r="AN45" s="770">
        <f t="shared" si="71"/>
        <v>44</v>
      </c>
      <c r="AO45" s="770">
        <f t="shared" si="71"/>
        <v>45</v>
      </c>
      <c r="AP45" s="770">
        <f t="shared" si="71"/>
        <v>59</v>
      </c>
      <c r="AQ45" s="770">
        <f t="shared" si="71"/>
        <v>78</v>
      </c>
      <c r="AR45" s="770">
        <f t="shared" si="71"/>
        <v>52</v>
      </c>
      <c r="AS45" s="770">
        <f t="shared" si="71"/>
        <v>54</v>
      </c>
      <c r="AT45" s="770">
        <f t="shared" si="71"/>
        <v>61</v>
      </c>
      <c r="AU45" s="770">
        <f t="shared" si="71"/>
        <v>50</v>
      </c>
      <c r="AV45" s="770">
        <f t="shared" si="71"/>
        <v>49</v>
      </c>
      <c r="AW45" s="770">
        <f t="shared" si="71"/>
        <v>47</v>
      </c>
      <c r="AX45" s="770">
        <f t="shared" si="71"/>
        <v>46</v>
      </c>
      <c r="AY45" s="770">
        <f t="shared" ref="AY45" si="72">VLOOKUP(AY$6&amp;$AD41&amp;$AD45&amp;$AF$5, vw.deaths, 5, FALSE)</f>
        <v>45</v>
      </c>
    </row>
    <row r="46" spans="1:51">
      <c r="A46" s="563" t="s">
        <v>480</v>
      </c>
      <c r="B46" s="521">
        <f t="shared" si="63"/>
        <v>98</v>
      </c>
      <c r="C46" s="521">
        <f t="shared" si="64"/>
        <v>126</v>
      </c>
      <c r="D46" s="521">
        <f t="shared" si="64"/>
        <v>120</v>
      </c>
      <c r="E46" s="521">
        <f t="shared" si="64"/>
        <v>91</v>
      </c>
      <c r="F46" s="521">
        <f t="shared" si="64"/>
        <v>84</v>
      </c>
      <c r="G46" s="521">
        <f t="shared" si="64"/>
        <v>75</v>
      </c>
      <c r="H46" s="521">
        <f t="shared" si="64"/>
        <v>76</v>
      </c>
      <c r="I46" s="521">
        <f t="shared" si="64"/>
        <v>71</v>
      </c>
      <c r="J46" s="521">
        <f t="shared" si="64"/>
        <v>82</v>
      </c>
      <c r="K46" s="521">
        <f t="shared" si="64"/>
        <v>81</v>
      </c>
      <c r="L46" s="173"/>
      <c r="M46" s="173"/>
      <c r="N46" s="173"/>
      <c r="O46" s="702"/>
      <c r="P46" s="702"/>
      <c r="Q46" s="702"/>
      <c r="R46" s="702"/>
      <c r="S46" s="702"/>
      <c r="T46" s="702"/>
      <c r="U46" s="702"/>
      <c r="V46" s="702"/>
      <c r="W46" s="702"/>
      <c r="X46" s="702"/>
      <c r="Y46" s="702"/>
      <c r="AC46" s="701"/>
      <c r="AD46" s="773" t="s">
        <v>431</v>
      </c>
      <c r="AE46" s="770">
        <f t="shared" ref="AE46:AX46" si="73">VLOOKUP(AE$6&amp;$AD41&amp;$AD46&amp;$AF$5, vw.deaths, 5, FALSE)</f>
        <v>83</v>
      </c>
      <c r="AF46" s="770">
        <f t="shared" si="73"/>
        <v>86</v>
      </c>
      <c r="AG46" s="770">
        <f t="shared" si="73"/>
        <v>73</v>
      </c>
      <c r="AH46" s="770">
        <f t="shared" si="73"/>
        <v>85</v>
      </c>
      <c r="AI46" s="770">
        <f t="shared" si="73"/>
        <v>92</v>
      </c>
      <c r="AJ46" s="770">
        <f t="shared" si="73"/>
        <v>90</v>
      </c>
      <c r="AK46" s="770">
        <f t="shared" si="73"/>
        <v>83</v>
      </c>
      <c r="AL46" s="770">
        <f t="shared" si="73"/>
        <v>76</v>
      </c>
      <c r="AM46" s="770">
        <f t="shared" si="73"/>
        <v>104</v>
      </c>
      <c r="AN46" s="770">
        <f t="shared" si="73"/>
        <v>89</v>
      </c>
      <c r="AO46" s="770">
        <f t="shared" si="73"/>
        <v>86</v>
      </c>
      <c r="AP46" s="770">
        <f t="shared" si="73"/>
        <v>98</v>
      </c>
      <c r="AQ46" s="770">
        <f t="shared" si="73"/>
        <v>126</v>
      </c>
      <c r="AR46" s="770">
        <f t="shared" si="73"/>
        <v>120</v>
      </c>
      <c r="AS46" s="770">
        <f t="shared" si="73"/>
        <v>91</v>
      </c>
      <c r="AT46" s="770">
        <f t="shared" si="73"/>
        <v>84</v>
      </c>
      <c r="AU46" s="770">
        <f t="shared" si="73"/>
        <v>75</v>
      </c>
      <c r="AV46" s="770">
        <f t="shared" si="73"/>
        <v>76</v>
      </c>
      <c r="AW46" s="770">
        <f t="shared" si="73"/>
        <v>71</v>
      </c>
      <c r="AX46" s="770">
        <f t="shared" si="73"/>
        <v>82</v>
      </c>
      <c r="AY46" s="770">
        <f t="shared" ref="AY46" si="74">VLOOKUP(AY$6&amp;$AD41&amp;$AD46&amp;$AF$5, vw.deaths, 5, FALSE)</f>
        <v>81</v>
      </c>
    </row>
    <row r="47" spans="1:51">
      <c r="A47" s="407" t="s">
        <v>383</v>
      </c>
      <c r="B47" s="521">
        <f t="shared" si="63"/>
        <v>5</v>
      </c>
      <c r="C47" s="521">
        <f t="shared" si="64"/>
        <v>3</v>
      </c>
      <c r="D47" s="521">
        <f t="shared" si="64"/>
        <v>1</v>
      </c>
      <c r="E47" s="521">
        <f t="shared" si="64"/>
        <v>4</v>
      </c>
      <c r="F47" s="521">
        <f t="shared" si="64"/>
        <v>0</v>
      </c>
      <c r="G47" s="521">
        <f t="shared" si="64"/>
        <v>1</v>
      </c>
      <c r="H47" s="521">
        <f t="shared" si="64"/>
        <v>2</v>
      </c>
      <c r="I47" s="521">
        <f t="shared" si="64"/>
        <v>0</v>
      </c>
      <c r="J47" s="521">
        <f t="shared" si="64"/>
        <v>2</v>
      </c>
      <c r="K47" s="521">
        <f t="shared" si="64"/>
        <v>4</v>
      </c>
      <c r="L47" s="173"/>
      <c r="M47" s="173"/>
      <c r="N47" s="173"/>
      <c r="O47" s="702"/>
      <c r="P47" s="702"/>
      <c r="Q47" s="702"/>
      <c r="R47" s="702"/>
      <c r="S47" s="702"/>
      <c r="T47" s="702"/>
      <c r="U47" s="702"/>
      <c r="V47" s="702"/>
      <c r="W47" s="702"/>
      <c r="X47" s="702"/>
      <c r="Y47" s="702"/>
      <c r="AC47" s="701"/>
      <c r="AD47" s="773" t="s">
        <v>432</v>
      </c>
      <c r="AE47" s="770">
        <f t="shared" ref="AE47:AX47" si="75">VLOOKUP(AE$6&amp;$AD41&amp;$AD47&amp;$AF$5, vw.deaths, 5, FALSE)</f>
        <v>5</v>
      </c>
      <c r="AF47" s="770">
        <f t="shared" si="75"/>
        <v>2</v>
      </c>
      <c r="AG47" s="770">
        <f t="shared" si="75"/>
        <v>2</v>
      </c>
      <c r="AH47" s="770">
        <f t="shared" si="75"/>
        <v>2</v>
      </c>
      <c r="AI47" s="770">
        <f t="shared" si="75"/>
        <v>0</v>
      </c>
      <c r="AJ47" s="770">
        <f t="shared" si="75"/>
        <v>5</v>
      </c>
      <c r="AK47" s="770">
        <f t="shared" si="75"/>
        <v>1</v>
      </c>
      <c r="AL47" s="770">
        <f t="shared" si="75"/>
        <v>2</v>
      </c>
      <c r="AM47" s="770">
        <f t="shared" si="75"/>
        <v>4</v>
      </c>
      <c r="AN47" s="770">
        <f t="shared" si="75"/>
        <v>4</v>
      </c>
      <c r="AO47" s="770">
        <f t="shared" si="75"/>
        <v>2</v>
      </c>
      <c r="AP47" s="770">
        <f t="shared" si="75"/>
        <v>5</v>
      </c>
      <c r="AQ47" s="770">
        <f t="shared" si="75"/>
        <v>3</v>
      </c>
      <c r="AR47" s="770">
        <f t="shared" si="75"/>
        <v>1</v>
      </c>
      <c r="AS47" s="770">
        <f t="shared" si="75"/>
        <v>4</v>
      </c>
      <c r="AT47" s="770">
        <f t="shared" si="75"/>
        <v>0</v>
      </c>
      <c r="AU47" s="770">
        <f t="shared" si="75"/>
        <v>1</v>
      </c>
      <c r="AV47" s="770">
        <f t="shared" si="75"/>
        <v>2</v>
      </c>
      <c r="AW47" s="770">
        <f t="shared" si="75"/>
        <v>0</v>
      </c>
      <c r="AX47" s="770">
        <f t="shared" si="75"/>
        <v>2</v>
      </c>
      <c r="AY47" s="770">
        <f t="shared" ref="AY47" si="76">VLOOKUP(AY$6&amp;$AD41&amp;$AD47&amp;$AF$5, vw.deaths, 5, FALSE)</f>
        <v>4</v>
      </c>
    </row>
    <row r="48" spans="1:51">
      <c r="A48" s="14" t="s">
        <v>63</v>
      </c>
      <c r="B48" s="521">
        <f t="shared" si="63"/>
        <v>7</v>
      </c>
      <c r="C48" s="521">
        <f t="shared" si="64"/>
        <v>8</v>
      </c>
      <c r="D48" s="521">
        <f t="shared" si="64"/>
        <v>13</v>
      </c>
      <c r="E48" s="521">
        <f t="shared" si="64"/>
        <v>5</v>
      </c>
      <c r="F48" s="521">
        <f t="shared" si="64"/>
        <v>6</v>
      </c>
      <c r="G48" s="521">
        <f t="shared" si="64"/>
        <v>10</v>
      </c>
      <c r="H48" s="521">
        <f t="shared" si="64"/>
        <v>9</v>
      </c>
      <c r="I48" s="521">
        <f t="shared" si="64"/>
        <v>12</v>
      </c>
      <c r="J48" s="521">
        <f t="shared" si="64"/>
        <v>15</v>
      </c>
      <c r="K48" s="521">
        <f t="shared" si="64"/>
        <v>18</v>
      </c>
      <c r="L48" s="173"/>
      <c r="M48" s="173"/>
      <c r="N48" s="173"/>
      <c r="O48" s="702"/>
      <c r="P48" s="702"/>
      <c r="Q48" s="702"/>
      <c r="R48" s="702"/>
      <c r="S48" s="702"/>
      <c r="T48" s="702"/>
      <c r="U48" s="702"/>
      <c r="V48" s="702"/>
      <c r="W48" s="702"/>
      <c r="X48" s="702"/>
      <c r="Y48" s="702"/>
      <c r="AC48" s="701"/>
      <c r="AD48" s="324" t="s">
        <v>63</v>
      </c>
      <c r="AE48" s="770">
        <f t="shared" ref="AE48:AX48" si="77">VLOOKUP(AE$6&amp;$AD41&amp;$AD48&amp;$AF$5, vw.deaths, 5, FALSE)</f>
        <v>5</v>
      </c>
      <c r="AF48" s="770">
        <f t="shared" si="77"/>
        <v>18</v>
      </c>
      <c r="AG48" s="770">
        <f t="shared" si="77"/>
        <v>18</v>
      </c>
      <c r="AH48" s="770">
        <f t="shared" si="77"/>
        <v>22</v>
      </c>
      <c r="AI48" s="770">
        <f t="shared" si="77"/>
        <v>1</v>
      </c>
      <c r="AJ48" s="770">
        <f t="shared" si="77"/>
        <v>5</v>
      </c>
      <c r="AK48" s="770">
        <f t="shared" si="77"/>
        <v>10</v>
      </c>
      <c r="AL48" s="770">
        <f t="shared" si="77"/>
        <v>6</v>
      </c>
      <c r="AM48" s="770">
        <f t="shared" si="77"/>
        <v>8</v>
      </c>
      <c r="AN48" s="770">
        <f t="shared" si="77"/>
        <v>7</v>
      </c>
      <c r="AO48" s="770">
        <f t="shared" si="77"/>
        <v>0</v>
      </c>
      <c r="AP48" s="770">
        <f t="shared" si="77"/>
        <v>7</v>
      </c>
      <c r="AQ48" s="770">
        <f t="shared" si="77"/>
        <v>8</v>
      </c>
      <c r="AR48" s="770">
        <f t="shared" si="77"/>
        <v>13</v>
      </c>
      <c r="AS48" s="770">
        <f t="shared" si="77"/>
        <v>5</v>
      </c>
      <c r="AT48" s="770">
        <f t="shared" si="77"/>
        <v>6</v>
      </c>
      <c r="AU48" s="770">
        <f t="shared" si="77"/>
        <v>10</v>
      </c>
      <c r="AV48" s="770">
        <f t="shared" si="77"/>
        <v>9</v>
      </c>
      <c r="AW48" s="770">
        <f t="shared" si="77"/>
        <v>12</v>
      </c>
      <c r="AX48" s="770">
        <f t="shared" si="77"/>
        <v>15</v>
      </c>
      <c r="AY48" s="770">
        <f t="shared" ref="AY48" si="78">VLOOKUP(AY$6&amp;$AD41&amp;$AD48&amp;$AF$5, vw.deaths, 5, FALSE)</f>
        <v>18</v>
      </c>
    </row>
    <row r="49" spans="1:51">
      <c r="A49" s="108" t="s">
        <v>322</v>
      </c>
      <c r="B49" s="520"/>
      <c r="C49" s="520"/>
      <c r="D49" s="520"/>
      <c r="E49" s="520"/>
      <c r="F49" s="520"/>
      <c r="G49" s="520"/>
      <c r="H49" s="520"/>
      <c r="I49" s="520"/>
      <c r="J49" s="520"/>
      <c r="K49" s="520"/>
      <c r="AC49" s="701"/>
      <c r="AD49" s="289" t="s">
        <v>522</v>
      </c>
      <c r="AE49" s="770"/>
      <c r="AF49" s="770"/>
      <c r="AG49" s="770"/>
      <c r="AH49" s="770"/>
      <c r="AI49" s="770"/>
      <c r="AJ49" s="770"/>
      <c r="AK49" s="770"/>
      <c r="AL49" s="770"/>
      <c r="AM49" s="770"/>
      <c r="AN49" s="770"/>
      <c r="AO49" s="770"/>
      <c r="AP49" s="770"/>
      <c r="AQ49" s="770"/>
      <c r="AR49" s="770"/>
      <c r="AS49" s="770"/>
      <c r="AT49" s="770"/>
      <c r="AU49" s="770"/>
      <c r="AV49" s="770"/>
      <c r="AW49" s="770"/>
      <c r="AX49" s="770"/>
      <c r="AY49" s="770"/>
    </row>
    <row r="50" spans="1:51">
      <c r="A50" s="49" t="s">
        <v>85</v>
      </c>
      <c r="B50" s="521">
        <f t="shared" ref="B50:B70" si="79">AP50</f>
        <v>19</v>
      </c>
      <c r="C50" s="521">
        <f t="shared" ref="C50:K65" si="80">AQ50</f>
        <v>21</v>
      </c>
      <c r="D50" s="521">
        <f t="shared" si="80"/>
        <v>13</v>
      </c>
      <c r="E50" s="521">
        <f t="shared" si="80"/>
        <v>22</v>
      </c>
      <c r="F50" s="521">
        <f t="shared" si="80"/>
        <v>14</v>
      </c>
      <c r="G50" s="521">
        <f t="shared" si="80"/>
        <v>21</v>
      </c>
      <c r="H50" s="521">
        <f t="shared" si="80"/>
        <v>19</v>
      </c>
      <c r="I50" s="521">
        <f t="shared" si="80"/>
        <v>23</v>
      </c>
      <c r="J50" s="521">
        <f t="shared" si="80"/>
        <v>14</v>
      </c>
      <c r="K50" s="521">
        <f t="shared" si="80"/>
        <v>20</v>
      </c>
      <c r="L50" s="173"/>
      <c r="M50" s="173"/>
      <c r="N50" s="173"/>
      <c r="O50" s="702"/>
      <c r="P50" s="702"/>
      <c r="Q50" s="702"/>
      <c r="R50" s="702"/>
      <c r="S50" s="702"/>
      <c r="T50" s="702"/>
      <c r="U50" s="702"/>
      <c r="V50" s="702"/>
      <c r="W50" s="702"/>
      <c r="X50" s="702"/>
      <c r="Y50" s="702"/>
      <c r="AC50" s="701"/>
      <c r="AD50" s="289" t="s">
        <v>85</v>
      </c>
      <c r="AE50" s="770">
        <f t="shared" ref="AE50:AX50" si="81">VLOOKUP(AE$6&amp;$AD49&amp;$AD50&amp;$AF$5, vw.deaths, 5, FALSE)</f>
        <v>9</v>
      </c>
      <c r="AF50" s="770">
        <f t="shared" si="81"/>
        <v>13</v>
      </c>
      <c r="AG50" s="770">
        <f t="shared" si="81"/>
        <v>14</v>
      </c>
      <c r="AH50" s="770">
        <f t="shared" si="81"/>
        <v>12</v>
      </c>
      <c r="AI50" s="770">
        <f t="shared" si="81"/>
        <v>14</v>
      </c>
      <c r="AJ50" s="770">
        <f t="shared" si="81"/>
        <v>24</v>
      </c>
      <c r="AK50" s="770">
        <f t="shared" si="81"/>
        <v>10</v>
      </c>
      <c r="AL50" s="770">
        <f t="shared" si="81"/>
        <v>17</v>
      </c>
      <c r="AM50" s="770">
        <f t="shared" si="81"/>
        <v>19</v>
      </c>
      <c r="AN50" s="770">
        <f t="shared" si="81"/>
        <v>15</v>
      </c>
      <c r="AO50" s="770">
        <f t="shared" si="81"/>
        <v>18</v>
      </c>
      <c r="AP50" s="770">
        <f t="shared" si="81"/>
        <v>19</v>
      </c>
      <c r="AQ50" s="770">
        <f t="shared" si="81"/>
        <v>21</v>
      </c>
      <c r="AR50" s="770">
        <f t="shared" si="81"/>
        <v>13</v>
      </c>
      <c r="AS50" s="770">
        <f t="shared" si="81"/>
        <v>22</v>
      </c>
      <c r="AT50" s="770">
        <f t="shared" si="81"/>
        <v>14</v>
      </c>
      <c r="AU50" s="770">
        <f t="shared" si="81"/>
        <v>21</v>
      </c>
      <c r="AV50" s="770">
        <f t="shared" si="81"/>
        <v>19</v>
      </c>
      <c r="AW50" s="770">
        <f t="shared" si="81"/>
        <v>23</v>
      </c>
      <c r="AX50" s="770">
        <f t="shared" si="81"/>
        <v>14</v>
      </c>
      <c r="AY50" s="770">
        <f t="shared" ref="AY50" si="82">VLOOKUP(AY$6&amp;$AD49&amp;$AD50&amp;$AF$5, vw.deaths, 5, FALSE)</f>
        <v>20</v>
      </c>
    </row>
    <row r="51" spans="1:51">
      <c r="A51" s="49" t="s">
        <v>86</v>
      </c>
      <c r="B51" s="521">
        <f t="shared" si="79"/>
        <v>75</v>
      </c>
      <c r="C51" s="521">
        <f t="shared" si="80"/>
        <v>70</v>
      </c>
      <c r="D51" s="521">
        <f t="shared" si="80"/>
        <v>66</v>
      </c>
      <c r="E51" s="521">
        <f t="shared" si="80"/>
        <v>50</v>
      </c>
      <c r="F51" s="521">
        <f t="shared" si="80"/>
        <v>54</v>
      </c>
      <c r="G51" s="521">
        <f t="shared" si="80"/>
        <v>58</v>
      </c>
      <c r="H51" s="521">
        <f t="shared" si="80"/>
        <v>51</v>
      </c>
      <c r="I51" s="521">
        <f t="shared" si="80"/>
        <v>39</v>
      </c>
      <c r="J51" s="521">
        <f t="shared" si="80"/>
        <v>41</v>
      </c>
      <c r="K51" s="521">
        <f t="shared" si="80"/>
        <v>42</v>
      </c>
      <c r="L51" s="173"/>
      <c r="M51" s="173"/>
      <c r="N51" s="173"/>
      <c r="O51" s="702"/>
      <c r="P51" s="702"/>
      <c r="Q51" s="702"/>
      <c r="R51" s="702"/>
      <c r="S51" s="702"/>
      <c r="T51" s="702"/>
      <c r="U51" s="702"/>
      <c r="V51" s="702"/>
      <c r="W51" s="702"/>
      <c r="X51" s="702"/>
      <c r="Y51" s="702"/>
      <c r="AC51" s="701"/>
      <c r="AD51" s="289" t="s">
        <v>86</v>
      </c>
      <c r="AE51" s="770">
        <f t="shared" ref="AE51:AX51" si="83">VLOOKUP(AE$6&amp;$AD49&amp;$AD51&amp;$AF$5, vw.deaths, 5, FALSE)</f>
        <v>34</v>
      </c>
      <c r="AF51" s="770">
        <f t="shared" si="83"/>
        <v>36</v>
      </c>
      <c r="AG51" s="770">
        <f t="shared" si="83"/>
        <v>34</v>
      </c>
      <c r="AH51" s="770">
        <f t="shared" si="83"/>
        <v>50</v>
      </c>
      <c r="AI51" s="770">
        <f t="shared" si="83"/>
        <v>42</v>
      </c>
      <c r="AJ51" s="770">
        <f t="shared" si="83"/>
        <v>49</v>
      </c>
      <c r="AK51" s="770">
        <f t="shared" si="83"/>
        <v>45</v>
      </c>
      <c r="AL51" s="770">
        <f t="shared" si="83"/>
        <v>44</v>
      </c>
      <c r="AM51" s="770">
        <f t="shared" si="83"/>
        <v>51</v>
      </c>
      <c r="AN51" s="770">
        <f t="shared" si="83"/>
        <v>57</v>
      </c>
      <c r="AO51" s="770">
        <f t="shared" si="83"/>
        <v>52</v>
      </c>
      <c r="AP51" s="770">
        <f t="shared" si="83"/>
        <v>75</v>
      </c>
      <c r="AQ51" s="770">
        <f t="shared" si="83"/>
        <v>70</v>
      </c>
      <c r="AR51" s="770">
        <f t="shared" si="83"/>
        <v>66</v>
      </c>
      <c r="AS51" s="770">
        <f t="shared" si="83"/>
        <v>50</v>
      </c>
      <c r="AT51" s="770">
        <f t="shared" si="83"/>
        <v>54</v>
      </c>
      <c r="AU51" s="770">
        <f t="shared" si="83"/>
        <v>58</v>
      </c>
      <c r="AV51" s="770">
        <f t="shared" si="83"/>
        <v>51</v>
      </c>
      <c r="AW51" s="770">
        <f t="shared" si="83"/>
        <v>39</v>
      </c>
      <c r="AX51" s="770">
        <f t="shared" si="83"/>
        <v>41</v>
      </c>
      <c r="AY51" s="770">
        <f t="shared" ref="AY51" si="84">VLOOKUP(AY$6&amp;$AD49&amp;$AD51&amp;$AF$5, vw.deaths, 5, FALSE)</f>
        <v>42</v>
      </c>
    </row>
    <row r="52" spans="1:51">
      <c r="A52" s="49" t="s">
        <v>87</v>
      </c>
      <c r="B52" s="521">
        <f t="shared" si="79"/>
        <v>48</v>
      </c>
      <c r="C52" s="521">
        <f t="shared" si="80"/>
        <v>49</v>
      </c>
      <c r="D52" s="521">
        <f t="shared" si="80"/>
        <v>48</v>
      </c>
      <c r="E52" s="521">
        <f t="shared" si="80"/>
        <v>55</v>
      </c>
      <c r="F52" s="521">
        <f t="shared" si="80"/>
        <v>57</v>
      </c>
      <c r="G52" s="521">
        <f t="shared" si="80"/>
        <v>51</v>
      </c>
      <c r="H52" s="521">
        <f t="shared" si="80"/>
        <v>47</v>
      </c>
      <c r="I52" s="521">
        <f t="shared" si="80"/>
        <v>42</v>
      </c>
      <c r="J52" s="521">
        <f t="shared" si="80"/>
        <v>34</v>
      </c>
      <c r="K52" s="521">
        <f t="shared" si="80"/>
        <v>39</v>
      </c>
      <c r="L52" s="173"/>
      <c r="M52" s="173"/>
      <c r="N52" s="173"/>
      <c r="O52" s="702"/>
      <c r="P52" s="702"/>
      <c r="Q52" s="702"/>
      <c r="R52" s="702"/>
      <c r="S52" s="702"/>
      <c r="T52" s="702"/>
      <c r="U52" s="702"/>
      <c r="V52" s="702"/>
      <c r="W52" s="702"/>
      <c r="X52" s="702"/>
      <c r="Y52" s="702"/>
      <c r="AD52" s="289" t="s">
        <v>87</v>
      </c>
      <c r="AE52" s="770">
        <f t="shared" ref="AE52:AX52" si="85">VLOOKUP(AE$6&amp;$AD49&amp;$AD52&amp;$AF$5, vw.deaths, 5, FALSE)</f>
        <v>35</v>
      </c>
      <c r="AF52" s="770">
        <f t="shared" si="85"/>
        <v>40</v>
      </c>
      <c r="AG52" s="770">
        <f t="shared" si="85"/>
        <v>27</v>
      </c>
      <c r="AH52" s="770">
        <f t="shared" si="85"/>
        <v>35</v>
      </c>
      <c r="AI52" s="770">
        <f t="shared" si="85"/>
        <v>38</v>
      </c>
      <c r="AJ52" s="770">
        <f t="shared" si="85"/>
        <v>34</v>
      </c>
      <c r="AK52" s="770">
        <f t="shared" si="85"/>
        <v>43</v>
      </c>
      <c r="AL52" s="770">
        <f t="shared" si="85"/>
        <v>40</v>
      </c>
      <c r="AM52" s="770">
        <f t="shared" si="85"/>
        <v>60</v>
      </c>
      <c r="AN52" s="770">
        <f t="shared" si="85"/>
        <v>22</v>
      </c>
      <c r="AO52" s="770">
        <f t="shared" si="85"/>
        <v>43</v>
      </c>
      <c r="AP52" s="770">
        <f t="shared" si="85"/>
        <v>48</v>
      </c>
      <c r="AQ52" s="770">
        <f t="shared" si="85"/>
        <v>49</v>
      </c>
      <c r="AR52" s="770">
        <f t="shared" si="85"/>
        <v>48</v>
      </c>
      <c r="AS52" s="770">
        <f t="shared" si="85"/>
        <v>55</v>
      </c>
      <c r="AT52" s="770">
        <f t="shared" si="85"/>
        <v>57</v>
      </c>
      <c r="AU52" s="770">
        <f t="shared" si="85"/>
        <v>51</v>
      </c>
      <c r="AV52" s="770">
        <f t="shared" si="85"/>
        <v>47</v>
      </c>
      <c r="AW52" s="770">
        <f t="shared" si="85"/>
        <v>42</v>
      </c>
      <c r="AX52" s="770">
        <f t="shared" si="85"/>
        <v>34</v>
      </c>
      <c r="AY52" s="770">
        <f t="shared" ref="AY52" si="86">VLOOKUP(AY$6&amp;$AD49&amp;$AD52&amp;$AF$5, vw.deaths, 5, FALSE)</f>
        <v>39</v>
      </c>
    </row>
    <row r="53" spans="1:51">
      <c r="A53" s="49" t="s">
        <v>88</v>
      </c>
      <c r="B53" s="521">
        <f t="shared" si="79"/>
        <v>71</v>
      </c>
      <c r="C53" s="521">
        <f t="shared" si="80"/>
        <v>101</v>
      </c>
      <c r="D53" s="521">
        <f t="shared" si="80"/>
        <v>80</v>
      </c>
      <c r="E53" s="521">
        <f t="shared" si="80"/>
        <v>67</v>
      </c>
      <c r="F53" s="521">
        <f t="shared" si="80"/>
        <v>73</v>
      </c>
      <c r="G53" s="521">
        <f t="shared" si="80"/>
        <v>68</v>
      </c>
      <c r="H53" s="521">
        <f t="shared" si="80"/>
        <v>62</v>
      </c>
      <c r="I53" s="521">
        <f t="shared" si="80"/>
        <v>87</v>
      </c>
      <c r="J53" s="521">
        <f t="shared" si="80"/>
        <v>52</v>
      </c>
      <c r="K53" s="521">
        <f t="shared" si="80"/>
        <v>66</v>
      </c>
      <c r="L53" s="173"/>
      <c r="M53" s="173"/>
      <c r="N53" s="173"/>
      <c r="O53" s="702"/>
      <c r="P53" s="702"/>
      <c r="Q53" s="702"/>
      <c r="R53" s="702"/>
      <c r="S53" s="702"/>
      <c r="T53" s="702"/>
      <c r="U53" s="702"/>
      <c r="V53" s="702"/>
      <c r="W53" s="702"/>
      <c r="X53" s="702"/>
      <c r="Y53" s="702"/>
      <c r="AD53" s="289" t="s">
        <v>88</v>
      </c>
      <c r="AE53" s="770">
        <f t="shared" ref="AE53:AX53" si="87">VLOOKUP(AE$6&amp;$AD49&amp;$AD53&amp;$AF$5, vw.deaths, 5, FALSE)</f>
        <v>44</v>
      </c>
      <c r="AF53" s="770">
        <f t="shared" si="87"/>
        <v>43</v>
      </c>
      <c r="AG53" s="770">
        <f t="shared" si="87"/>
        <v>70</v>
      </c>
      <c r="AH53" s="770">
        <f t="shared" si="87"/>
        <v>59</v>
      </c>
      <c r="AI53" s="770">
        <f t="shared" si="87"/>
        <v>50</v>
      </c>
      <c r="AJ53" s="770">
        <f t="shared" si="87"/>
        <v>55</v>
      </c>
      <c r="AK53" s="770">
        <f t="shared" si="87"/>
        <v>49</v>
      </c>
      <c r="AL53" s="770">
        <f t="shared" si="87"/>
        <v>57</v>
      </c>
      <c r="AM53" s="770">
        <f t="shared" si="87"/>
        <v>85</v>
      </c>
      <c r="AN53" s="770">
        <f t="shared" si="87"/>
        <v>56</v>
      </c>
      <c r="AO53" s="770">
        <f t="shared" si="87"/>
        <v>63</v>
      </c>
      <c r="AP53" s="770">
        <f t="shared" si="87"/>
        <v>71</v>
      </c>
      <c r="AQ53" s="770">
        <f t="shared" si="87"/>
        <v>101</v>
      </c>
      <c r="AR53" s="770">
        <f t="shared" si="87"/>
        <v>80</v>
      </c>
      <c r="AS53" s="770">
        <f t="shared" si="87"/>
        <v>67</v>
      </c>
      <c r="AT53" s="770">
        <f t="shared" si="87"/>
        <v>73</v>
      </c>
      <c r="AU53" s="770">
        <f t="shared" si="87"/>
        <v>68</v>
      </c>
      <c r="AV53" s="770">
        <f t="shared" si="87"/>
        <v>62</v>
      </c>
      <c r="AW53" s="770">
        <f t="shared" si="87"/>
        <v>87</v>
      </c>
      <c r="AX53" s="770">
        <f t="shared" si="87"/>
        <v>52</v>
      </c>
      <c r="AY53" s="770">
        <f t="shared" ref="AY53" si="88">VLOOKUP(AY$6&amp;$AD49&amp;$AD53&amp;$AF$5, vw.deaths, 5, FALSE)</f>
        <v>66</v>
      </c>
    </row>
    <row r="54" spans="1:51">
      <c r="A54" s="49" t="s">
        <v>89</v>
      </c>
      <c r="B54" s="521">
        <f t="shared" si="79"/>
        <v>41</v>
      </c>
      <c r="C54" s="521">
        <f t="shared" si="80"/>
        <v>43</v>
      </c>
      <c r="D54" s="521">
        <f t="shared" si="80"/>
        <v>46</v>
      </c>
      <c r="E54" s="521">
        <f t="shared" si="80"/>
        <v>39</v>
      </c>
      <c r="F54" s="521">
        <f t="shared" si="80"/>
        <v>40</v>
      </c>
      <c r="G54" s="521">
        <f t="shared" si="80"/>
        <v>43</v>
      </c>
      <c r="H54" s="521">
        <f t="shared" si="80"/>
        <v>35</v>
      </c>
      <c r="I54" s="521">
        <f t="shared" si="80"/>
        <v>40</v>
      </c>
      <c r="J54" s="521">
        <f t="shared" si="80"/>
        <v>35</v>
      </c>
      <c r="K54" s="521">
        <f t="shared" si="80"/>
        <v>58</v>
      </c>
      <c r="L54" s="173"/>
      <c r="M54" s="173"/>
      <c r="N54" s="173"/>
      <c r="O54" s="702"/>
      <c r="P54" s="702"/>
      <c r="Q54" s="702"/>
      <c r="R54" s="702"/>
      <c r="S54" s="702"/>
      <c r="T54" s="702"/>
      <c r="U54" s="702"/>
      <c r="V54" s="702"/>
      <c r="W54" s="702"/>
      <c r="X54" s="702"/>
      <c r="Y54" s="702"/>
      <c r="AD54" s="289" t="s">
        <v>89</v>
      </c>
      <c r="AE54" s="770">
        <f t="shared" ref="AE54:AX54" si="89">VLOOKUP(AE$6&amp;$AD49&amp;$AD54&amp;$AF$5, vw.deaths, 5, FALSE)</f>
        <v>43</v>
      </c>
      <c r="AF54" s="770">
        <f t="shared" si="89"/>
        <v>33</v>
      </c>
      <c r="AG54" s="770">
        <f t="shared" si="89"/>
        <v>24</v>
      </c>
      <c r="AH54" s="770">
        <f t="shared" si="89"/>
        <v>36</v>
      </c>
      <c r="AI54" s="770">
        <f t="shared" si="89"/>
        <v>26</v>
      </c>
      <c r="AJ54" s="770">
        <f t="shared" si="89"/>
        <v>26</v>
      </c>
      <c r="AK54" s="770">
        <f t="shared" si="89"/>
        <v>37</v>
      </c>
      <c r="AL54" s="770">
        <f t="shared" si="89"/>
        <v>42</v>
      </c>
      <c r="AM54" s="770">
        <f t="shared" si="89"/>
        <v>45</v>
      </c>
      <c r="AN54" s="770">
        <f t="shared" si="89"/>
        <v>33</v>
      </c>
      <c r="AO54" s="770">
        <f t="shared" si="89"/>
        <v>40</v>
      </c>
      <c r="AP54" s="770">
        <f t="shared" si="89"/>
        <v>41</v>
      </c>
      <c r="AQ54" s="770">
        <f t="shared" si="89"/>
        <v>43</v>
      </c>
      <c r="AR54" s="770">
        <f t="shared" si="89"/>
        <v>46</v>
      </c>
      <c r="AS54" s="770">
        <f t="shared" si="89"/>
        <v>39</v>
      </c>
      <c r="AT54" s="770">
        <f t="shared" si="89"/>
        <v>40</v>
      </c>
      <c r="AU54" s="770">
        <f t="shared" si="89"/>
        <v>43</v>
      </c>
      <c r="AV54" s="770">
        <f t="shared" si="89"/>
        <v>35</v>
      </c>
      <c r="AW54" s="770">
        <f t="shared" si="89"/>
        <v>40</v>
      </c>
      <c r="AX54" s="770">
        <f t="shared" si="89"/>
        <v>35</v>
      </c>
      <c r="AY54" s="770">
        <f t="shared" ref="AY54" si="90">VLOOKUP(AY$6&amp;$AD49&amp;$AD54&amp;$AF$5, vw.deaths, 5, FALSE)</f>
        <v>58</v>
      </c>
    </row>
    <row r="55" spans="1:51">
      <c r="A55" s="49" t="s">
        <v>90</v>
      </c>
      <c r="B55" s="521">
        <f t="shared" si="79"/>
        <v>8</v>
      </c>
      <c r="C55" s="521">
        <f t="shared" si="80"/>
        <v>25</v>
      </c>
      <c r="D55" s="521">
        <f t="shared" si="80"/>
        <v>11</v>
      </c>
      <c r="E55" s="521">
        <f t="shared" si="80"/>
        <v>10</v>
      </c>
      <c r="F55" s="521">
        <f t="shared" si="80"/>
        <v>12</v>
      </c>
      <c r="G55" s="521">
        <f t="shared" si="80"/>
        <v>11</v>
      </c>
      <c r="H55" s="521">
        <f t="shared" si="80"/>
        <v>10</v>
      </c>
      <c r="I55" s="521">
        <f t="shared" si="80"/>
        <v>14</v>
      </c>
      <c r="J55" s="521">
        <f t="shared" si="80"/>
        <v>12</v>
      </c>
      <c r="K55" s="521">
        <f t="shared" si="80"/>
        <v>13</v>
      </c>
      <c r="L55" s="173"/>
      <c r="M55" s="173"/>
      <c r="N55" s="173"/>
      <c r="O55" s="702"/>
      <c r="P55" s="702"/>
      <c r="Q55" s="702"/>
      <c r="R55" s="702"/>
      <c r="S55" s="702"/>
      <c r="T55" s="702"/>
      <c r="U55" s="702"/>
      <c r="V55" s="702"/>
      <c r="W55" s="702"/>
      <c r="X55" s="702"/>
      <c r="Y55" s="702"/>
      <c r="AD55" s="289" t="s">
        <v>90</v>
      </c>
      <c r="AE55" s="770">
        <f t="shared" ref="AE55:AX55" si="91">VLOOKUP(AE$6&amp;$AD49&amp;$AD55&amp;$AF$5, vw.deaths, 5, FALSE)</f>
        <v>10</v>
      </c>
      <c r="AF55" s="770">
        <f t="shared" si="91"/>
        <v>25</v>
      </c>
      <c r="AG55" s="770">
        <f t="shared" si="91"/>
        <v>11</v>
      </c>
      <c r="AH55" s="770">
        <f t="shared" si="91"/>
        <v>10</v>
      </c>
      <c r="AI55" s="770">
        <f t="shared" si="91"/>
        <v>12</v>
      </c>
      <c r="AJ55" s="770">
        <f t="shared" si="91"/>
        <v>9</v>
      </c>
      <c r="AK55" s="770">
        <f t="shared" si="91"/>
        <v>12</v>
      </c>
      <c r="AL55" s="770">
        <f t="shared" si="91"/>
        <v>14</v>
      </c>
      <c r="AM55" s="770">
        <f t="shared" si="91"/>
        <v>15</v>
      </c>
      <c r="AN55" s="770">
        <f t="shared" si="91"/>
        <v>14</v>
      </c>
      <c r="AO55" s="770">
        <f t="shared" si="91"/>
        <v>8</v>
      </c>
      <c r="AP55" s="770">
        <f t="shared" si="91"/>
        <v>8</v>
      </c>
      <c r="AQ55" s="770">
        <f t="shared" si="91"/>
        <v>25</v>
      </c>
      <c r="AR55" s="770">
        <f t="shared" si="91"/>
        <v>11</v>
      </c>
      <c r="AS55" s="770">
        <f t="shared" si="91"/>
        <v>10</v>
      </c>
      <c r="AT55" s="770">
        <f t="shared" si="91"/>
        <v>12</v>
      </c>
      <c r="AU55" s="770">
        <f t="shared" si="91"/>
        <v>11</v>
      </c>
      <c r="AV55" s="770">
        <f t="shared" si="91"/>
        <v>10</v>
      </c>
      <c r="AW55" s="770">
        <f t="shared" si="91"/>
        <v>14</v>
      </c>
      <c r="AX55" s="770">
        <f t="shared" si="91"/>
        <v>12</v>
      </c>
      <c r="AY55" s="770">
        <f t="shared" ref="AY55" si="92">VLOOKUP(AY$6&amp;$AD49&amp;$AD55&amp;$AF$5, vw.deaths, 5, FALSE)</f>
        <v>13</v>
      </c>
    </row>
    <row r="56" spans="1:51">
      <c r="A56" s="49" t="s">
        <v>91</v>
      </c>
      <c r="B56" s="521">
        <f t="shared" si="79"/>
        <v>20</v>
      </c>
      <c r="C56" s="521">
        <f t="shared" si="80"/>
        <v>25</v>
      </c>
      <c r="D56" s="521">
        <f t="shared" si="80"/>
        <v>11</v>
      </c>
      <c r="E56" s="521">
        <f t="shared" si="80"/>
        <v>14</v>
      </c>
      <c r="F56" s="521">
        <f t="shared" si="80"/>
        <v>15</v>
      </c>
      <c r="G56" s="521">
        <f t="shared" si="80"/>
        <v>19</v>
      </c>
      <c r="H56" s="521">
        <f t="shared" si="80"/>
        <v>11</v>
      </c>
      <c r="I56" s="521">
        <f t="shared" si="80"/>
        <v>27</v>
      </c>
      <c r="J56" s="521">
        <f t="shared" si="80"/>
        <v>20</v>
      </c>
      <c r="K56" s="521">
        <f t="shared" si="80"/>
        <v>19</v>
      </c>
      <c r="L56" s="173"/>
      <c r="M56" s="173"/>
      <c r="N56" s="173"/>
      <c r="O56" s="702"/>
      <c r="P56" s="702"/>
      <c r="Q56" s="702"/>
      <c r="R56" s="702"/>
      <c r="S56" s="702"/>
      <c r="T56" s="702"/>
      <c r="U56" s="702"/>
      <c r="V56" s="702"/>
      <c r="W56" s="702"/>
      <c r="X56" s="702"/>
      <c r="Y56" s="702"/>
      <c r="AD56" s="289" t="s">
        <v>91</v>
      </c>
      <c r="AE56" s="770">
        <f t="shared" ref="AE56:AX56" si="93">VLOOKUP(AE$6&amp;$AD49&amp;$AD56&amp;$AF$5, vw.deaths, 5, FALSE)</f>
        <v>15</v>
      </c>
      <c r="AF56" s="770">
        <f t="shared" si="93"/>
        <v>15</v>
      </c>
      <c r="AG56" s="770">
        <f t="shared" si="93"/>
        <v>13</v>
      </c>
      <c r="AH56" s="770">
        <f t="shared" si="93"/>
        <v>20</v>
      </c>
      <c r="AI56" s="770">
        <f t="shared" si="93"/>
        <v>16</v>
      </c>
      <c r="AJ56" s="770">
        <f t="shared" si="93"/>
        <v>15</v>
      </c>
      <c r="AK56" s="770">
        <f t="shared" si="93"/>
        <v>22</v>
      </c>
      <c r="AL56" s="770">
        <f t="shared" si="93"/>
        <v>15</v>
      </c>
      <c r="AM56" s="770">
        <f t="shared" si="93"/>
        <v>17</v>
      </c>
      <c r="AN56" s="770">
        <f t="shared" si="93"/>
        <v>22</v>
      </c>
      <c r="AO56" s="770">
        <f t="shared" si="93"/>
        <v>13</v>
      </c>
      <c r="AP56" s="770">
        <f t="shared" si="93"/>
        <v>20</v>
      </c>
      <c r="AQ56" s="770">
        <f t="shared" si="93"/>
        <v>25</v>
      </c>
      <c r="AR56" s="770">
        <f t="shared" si="93"/>
        <v>11</v>
      </c>
      <c r="AS56" s="770">
        <f t="shared" si="93"/>
        <v>14</v>
      </c>
      <c r="AT56" s="770">
        <f t="shared" si="93"/>
        <v>15</v>
      </c>
      <c r="AU56" s="770">
        <f t="shared" si="93"/>
        <v>19</v>
      </c>
      <c r="AV56" s="770">
        <f t="shared" si="93"/>
        <v>11</v>
      </c>
      <c r="AW56" s="770">
        <f t="shared" si="93"/>
        <v>27</v>
      </c>
      <c r="AX56" s="770">
        <f t="shared" si="93"/>
        <v>20</v>
      </c>
      <c r="AY56" s="770">
        <f t="shared" ref="AY56" si="94">VLOOKUP(AY$6&amp;$AD49&amp;$AD56&amp;$AF$5, vw.deaths, 5, FALSE)</f>
        <v>19</v>
      </c>
    </row>
    <row r="57" spans="1:51">
      <c r="A57" s="49" t="s">
        <v>366</v>
      </c>
      <c r="B57" s="521">
        <f t="shared" si="79"/>
        <v>3</v>
      </c>
      <c r="C57" s="521">
        <f t="shared" si="80"/>
        <v>11</v>
      </c>
      <c r="D57" s="521">
        <f t="shared" si="80"/>
        <v>1</v>
      </c>
      <c r="E57" s="521">
        <f t="shared" si="80"/>
        <v>8</v>
      </c>
      <c r="F57" s="521">
        <f t="shared" si="80"/>
        <v>4</v>
      </c>
      <c r="G57" s="521">
        <f t="shared" si="80"/>
        <v>4</v>
      </c>
      <c r="H57" s="521">
        <f t="shared" si="80"/>
        <v>5</v>
      </c>
      <c r="I57" s="521">
        <f t="shared" si="80"/>
        <v>2</v>
      </c>
      <c r="J57" s="521">
        <f t="shared" si="80"/>
        <v>6</v>
      </c>
      <c r="K57" s="521">
        <f t="shared" si="80"/>
        <v>2</v>
      </c>
      <c r="L57" s="173"/>
      <c r="M57" s="173"/>
      <c r="N57" s="173"/>
      <c r="O57" s="702"/>
      <c r="P57" s="702"/>
      <c r="Q57" s="702"/>
      <c r="R57" s="702"/>
      <c r="S57" s="702"/>
      <c r="T57" s="702"/>
      <c r="U57" s="702"/>
      <c r="V57" s="702"/>
      <c r="W57" s="702"/>
      <c r="X57" s="702"/>
      <c r="Y57" s="702"/>
      <c r="AD57" s="289" t="s">
        <v>433</v>
      </c>
      <c r="AE57" s="770">
        <f t="shared" ref="AE57:AX57" si="95">VLOOKUP(AE$6&amp;$AD49&amp;$AD57&amp;$AF$5, vw.deaths, 5, FALSE)</f>
        <v>5</v>
      </c>
      <c r="AF57" s="770">
        <f t="shared" si="95"/>
        <v>4</v>
      </c>
      <c r="AG57" s="770">
        <f t="shared" si="95"/>
        <v>3</v>
      </c>
      <c r="AH57" s="770">
        <f t="shared" si="95"/>
        <v>7</v>
      </c>
      <c r="AI57" s="770">
        <f t="shared" si="95"/>
        <v>5</v>
      </c>
      <c r="AJ57" s="770">
        <f t="shared" si="95"/>
        <v>7</v>
      </c>
      <c r="AK57" s="770">
        <f t="shared" si="95"/>
        <v>6</v>
      </c>
      <c r="AL57" s="770">
        <f t="shared" si="95"/>
        <v>3</v>
      </c>
      <c r="AM57" s="770">
        <f t="shared" si="95"/>
        <v>5</v>
      </c>
      <c r="AN57" s="770">
        <f t="shared" si="95"/>
        <v>7</v>
      </c>
      <c r="AO57" s="770">
        <f t="shared" si="95"/>
        <v>5</v>
      </c>
      <c r="AP57" s="770">
        <f t="shared" si="95"/>
        <v>3</v>
      </c>
      <c r="AQ57" s="770">
        <f t="shared" si="95"/>
        <v>11</v>
      </c>
      <c r="AR57" s="770">
        <f t="shared" si="95"/>
        <v>1</v>
      </c>
      <c r="AS57" s="770">
        <f t="shared" si="95"/>
        <v>8</v>
      </c>
      <c r="AT57" s="770">
        <f t="shared" si="95"/>
        <v>4</v>
      </c>
      <c r="AU57" s="770">
        <f t="shared" si="95"/>
        <v>4</v>
      </c>
      <c r="AV57" s="770">
        <f t="shared" si="95"/>
        <v>5</v>
      </c>
      <c r="AW57" s="770">
        <f t="shared" si="95"/>
        <v>2</v>
      </c>
      <c r="AX57" s="770">
        <f t="shared" si="95"/>
        <v>6</v>
      </c>
      <c r="AY57" s="770">
        <f t="shared" ref="AY57" si="96">VLOOKUP(AY$6&amp;$AD49&amp;$AD57&amp;$AF$5, vw.deaths, 5, FALSE)</f>
        <v>2</v>
      </c>
    </row>
    <row r="58" spans="1:51">
      <c r="A58" s="49" t="s">
        <v>92</v>
      </c>
      <c r="B58" s="521">
        <f t="shared" si="79"/>
        <v>10</v>
      </c>
      <c r="C58" s="521">
        <f t="shared" si="80"/>
        <v>12</v>
      </c>
      <c r="D58" s="521">
        <f t="shared" si="80"/>
        <v>15</v>
      </c>
      <c r="E58" s="521">
        <f t="shared" si="80"/>
        <v>21</v>
      </c>
      <c r="F58" s="521">
        <f t="shared" si="80"/>
        <v>20</v>
      </c>
      <c r="G58" s="521">
        <f t="shared" si="80"/>
        <v>13</v>
      </c>
      <c r="H58" s="521">
        <f t="shared" si="80"/>
        <v>16</v>
      </c>
      <c r="I58" s="521">
        <f t="shared" si="80"/>
        <v>14</v>
      </c>
      <c r="J58" s="521">
        <f t="shared" si="80"/>
        <v>11</v>
      </c>
      <c r="K58" s="521">
        <f t="shared" si="80"/>
        <v>7</v>
      </c>
      <c r="L58" s="173"/>
      <c r="M58" s="173"/>
      <c r="N58" s="173"/>
      <c r="O58" s="702"/>
      <c r="P58" s="702"/>
      <c r="Q58" s="702"/>
      <c r="R58" s="702"/>
      <c r="S58" s="702"/>
      <c r="T58" s="702"/>
      <c r="U58" s="702"/>
      <c r="V58" s="702"/>
      <c r="W58" s="702"/>
      <c r="X58" s="702"/>
      <c r="Y58" s="702"/>
      <c r="AD58" s="289" t="s">
        <v>92</v>
      </c>
      <c r="AE58" s="770">
        <f t="shared" ref="AE58:AX58" si="97">VLOOKUP(AE$6&amp;$AD49&amp;$AD58&amp;$AF$5, vw.deaths, 5, FALSE)</f>
        <v>20</v>
      </c>
      <c r="AF58" s="770">
        <f t="shared" si="97"/>
        <v>13</v>
      </c>
      <c r="AG58" s="770">
        <f t="shared" si="97"/>
        <v>12</v>
      </c>
      <c r="AH58" s="770">
        <f t="shared" si="97"/>
        <v>20</v>
      </c>
      <c r="AI58" s="770">
        <f t="shared" si="97"/>
        <v>15</v>
      </c>
      <c r="AJ58" s="770">
        <f t="shared" si="97"/>
        <v>17</v>
      </c>
      <c r="AK58" s="770">
        <f t="shared" si="97"/>
        <v>12</v>
      </c>
      <c r="AL58" s="770">
        <f t="shared" si="97"/>
        <v>8</v>
      </c>
      <c r="AM58" s="770">
        <f t="shared" si="97"/>
        <v>14</v>
      </c>
      <c r="AN58" s="770">
        <f t="shared" si="97"/>
        <v>11</v>
      </c>
      <c r="AO58" s="770">
        <f t="shared" si="97"/>
        <v>10</v>
      </c>
      <c r="AP58" s="770">
        <f t="shared" si="97"/>
        <v>10</v>
      </c>
      <c r="AQ58" s="770">
        <f t="shared" si="97"/>
        <v>12</v>
      </c>
      <c r="AR58" s="770">
        <f t="shared" si="97"/>
        <v>15</v>
      </c>
      <c r="AS58" s="770">
        <f t="shared" si="97"/>
        <v>21</v>
      </c>
      <c r="AT58" s="770">
        <f t="shared" si="97"/>
        <v>20</v>
      </c>
      <c r="AU58" s="770">
        <f t="shared" si="97"/>
        <v>13</v>
      </c>
      <c r="AV58" s="770">
        <f t="shared" si="97"/>
        <v>16</v>
      </c>
      <c r="AW58" s="770">
        <f t="shared" si="97"/>
        <v>14</v>
      </c>
      <c r="AX58" s="770">
        <f t="shared" si="97"/>
        <v>11</v>
      </c>
      <c r="AY58" s="770">
        <f t="shared" ref="AY58" si="98">VLOOKUP(AY$6&amp;$AD49&amp;$AD58&amp;$AF$5, vw.deaths, 5, FALSE)</f>
        <v>7</v>
      </c>
    </row>
    <row r="59" spans="1:51">
      <c r="A59" s="49" t="s">
        <v>93</v>
      </c>
      <c r="B59" s="521">
        <f t="shared" si="79"/>
        <v>6</v>
      </c>
      <c r="C59" s="521">
        <f t="shared" si="80"/>
        <v>13</v>
      </c>
      <c r="D59" s="521">
        <f t="shared" si="80"/>
        <v>8</v>
      </c>
      <c r="E59" s="521">
        <f t="shared" si="80"/>
        <v>15</v>
      </c>
      <c r="F59" s="521">
        <f t="shared" si="80"/>
        <v>12</v>
      </c>
      <c r="G59" s="521">
        <f t="shared" si="80"/>
        <v>6</v>
      </c>
      <c r="H59" s="521">
        <f t="shared" si="80"/>
        <v>10</v>
      </c>
      <c r="I59" s="521">
        <f t="shared" si="80"/>
        <v>12</v>
      </c>
      <c r="J59" s="521">
        <f t="shared" si="80"/>
        <v>7</v>
      </c>
      <c r="K59" s="521">
        <f t="shared" si="80"/>
        <v>13</v>
      </c>
      <c r="L59" s="173"/>
      <c r="M59" s="173"/>
      <c r="N59" s="173"/>
      <c r="O59" s="702"/>
      <c r="P59" s="702"/>
      <c r="Q59" s="702"/>
      <c r="R59" s="702"/>
      <c r="S59" s="702"/>
      <c r="T59" s="702"/>
      <c r="U59" s="702"/>
      <c r="V59" s="702"/>
      <c r="W59" s="702"/>
      <c r="X59" s="702"/>
      <c r="Y59" s="702"/>
      <c r="AD59" s="289" t="s">
        <v>93</v>
      </c>
      <c r="AE59" s="770">
        <f t="shared" ref="AE59:AX59" si="99">VLOOKUP(AE$6&amp;$AD49&amp;$AD59&amp;$AF$5, vw.deaths, 5, FALSE)</f>
        <v>19</v>
      </c>
      <c r="AF59" s="770">
        <f t="shared" si="99"/>
        <v>12</v>
      </c>
      <c r="AG59" s="770">
        <f t="shared" si="99"/>
        <v>9</v>
      </c>
      <c r="AH59" s="770">
        <f t="shared" si="99"/>
        <v>15</v>
      </c>
      <c r="AI59" s="770">
        <f t="shared" si="99"/>
        <v>3</v>
      </c>
      <c r="AJ59" s="770">
        <f t="shared" si="99"/>
        <v>11</v>
      </c>
      <c r="AK59" s="770">
        <f t="shared" si="99"/>
        <v>12</v>
      </c>
      <c r="AL59" s="770">
        <f t="shared" si="99"/>
        <v>7</v>
      </c>
      <c r="AM59" s="770">
        <f t="shared" si="99"/>
        <v>13</v>
      </c>
      <c r="AN59" s="770">
        <f t="shared" si="99"/>
        <v>7</v>
      </c>
      <c r="AO59" s="770">
        <f t="shared" si="99"/>
        <v>12</v>
      </c>
      <c r="AP59" s="770">
        <f t="shared" si="99"/>
        <v>6</v>
      </c>
      <c r="AQ59" s="770">
        <f t="shared" si="99"/>
        <v>13</v>
      </c>
      <c r="AR59" s="770">
        <f t="shared" si="99"/>
        <v>8</v>
      </c>
      <c r="AS59" s="770">
        <f t="shared" si="99"/>
        <v>15</v>
      </c>
      <c r="AT59" s="770">
        <f t="shared" si="99"/>
        <v>12</v>
      </c>
      <c r="AU59" s="770">
        <f t="shared" si="99"/>
        <v>6</v>
      </c>
      <c r="AV59" s="770">
        <f t="shared" si="99"/>
        <v>10</v>
      </c>
      <c r="AW59" s="770">
        <f t="shared" si="99"/>
        <v>12</v>
      </c>
      <c r="AX59" s="770">
        <f t="shared" si="99"/>
        <v>7</v>
      </c>
      <c r="AY59" s="770">
        <f t="shared" ref="AY59" si="100">VLOOKUP(AY$6&amp;$AD49&amp;$AD59&amp;$AF$5, vw.deaths, 5, FALSE)</f>
        <v>13</v>
      </c>
    </row>
    <row r="60" spans="1:51">
      <c r="A60" s="49" t="s">
        <v>94</v>
      </c>
      <c r="B60" s="521">
        <f t="shared" si="79"/>
        <v>20</v>
      </c>
      <c r="C60" s="521">
        <f t="shared" si="80"/>
        <v>22</v>
      </c>
      <c r="D60" s="521">
        <f t="shared" si="80"/>
        <v>25</v>
      </c>
      <c r="E60" s="521">
        <f t="shared" si="80"/>
        <v>20</v>
      </c>
      <c r="F60" s="521">
        <f t="shared" si="80"/>
        <v>14</v>
      </c>
      <c r="G60" s="521">
        <f t="shared" si="80"/>
        <v>17</v>
      </c>
      <c r="H60" s="521">
        <f t="shared" si="80"/>
        <v>13</v>
      </c>
      <c r="I60" s="521">
        <f t="shared" si="80"/>
        <v>9</v>
      </c>
      <c r="J60" s="521">
        <f t="shared" si="80"/>
        <v>12</v>
      </c>
      <c r="K60" s="521">
        <f t="shared" si="80"/>
        <v>11</v>
      </c>
      <c r="L60" s="173"/>
      <c r="M60" s="173"/>
      <c r="N60" s="173"/>
      <c r="O60" s="702"/>
      <c r="P60" s="702"/>
      <c r="Q60" s="702"/>
      <c r="R60" s="702"/>
      <c r="S60" s="702"/>
      <c r="T60" s="702"/>
      <c r="U60" s="702"/>
      <c r="V60" s="702"/>
      <c r="W60" s="702"/>
      <c r="X60" s="702"/>
      <c r="Y60" s="702"/>
      <c r="AD60" s="289" t="s">
        <v>94</v>
      </c>
      <c r="AE60" s="770">
        <f t="shared" ref="AE60:AX60" si="101">VLOOKUP(AE$6&amp;$AD49&amp;$AD60&amp;$AF$5, vw.deaths, 5, FALSE)</f>
        <v>21</v>
      </c>
      <c r="AF60" s="770">
        <f t="shared" si="101"/>
        <v>22</v>
      </c>
      <c r="AG60" s="770">
        <f t="shared" si="101"/>
        <v>19</v>
      </c>
      <c r="AH60" s="770">
        <f t="shared" si="101"/>
        <v>18</v>
      </c>
      <c r="AI60" s="770">
        <f t="shared" si="101"/>
        <v>13</v>
      </c>
      <c r="AJ60" s="770">
        <f t="shared" si="101"/>
        <v>19</v>
      </c>
      <c r="AK60" s="770">
        <f t="shared" si="101"/>
        <v>14</v>
      </c>
      <c r="AL60" s="770">
        <f t="shared" si="101"/>
        <v>14</v>
      </c>
      <c r="AM60" s="770">
        <f t="shared" si="101"/>
        <v>16</v>
      </c>
      <c r="AN60" s="770">
        <f t="shared" si="101"/>
        <v>18</v>
      </c>
      <c r="AO60" s="770">
        <f t="shared" si="101"/>
        <v>9</v>
      </c>
      <c r="AP60" s="770">
        <f t="shared" si="101"/>
        <v>20</v>
      </c>
      <c r="AQ60" s="770">
        <f t="shared" si="101"/>
        <v>22</v>
      </c>
      <c r="AR60" s="770">
        <f t="shared" si="101"/>
        <v>25</v>
      </c>
      <c r="AS60" s="770">
        <f t="shared" si="101"/>
        <v>20</v>
      </c>
      <c r="AT60" s="770">
        <f t="shared" si="101"/>
        <v>14</v>
      </c>
      <c r="AU60" s="770">
        <f t="shared" si="101"/>
        <v>17</v>
      </c>
      <c r="AV60" s="770">
        <f t="shared" si="101"/>
        <v>13</v>
      </c>
      <c r="AW60" s="770">
        <f t="shared" si="101"/>
        <v>9</v>
      </c>
      <c r="AX60" s="770">
        <f t="shared" si="101"/>
        <v>12</v>
      </c>
      <c r="AY60" s="770">
        <f t="shared" ref="AY60" si="102">VLOOKUP(AY$6&amp;$AD49&amp;$AD60&amp;$AF$5, vw.deaths, 5, FALSE)</f>
        <v>11</v>
      </c>
    </row>
    <row r="61" spans="1:51">
      <c r="A61" s="49" t="s">
        <v>95</v>
      </c>
      <c r="B61" s="521">
        <f t="shared" si="79"/>
        <v>9</v>
      </c>
      <c r="C61" s="521">
        <f t="shared" si="80"/>
        <v>9</v>
      </c>
      <c r="D61" s="521">
        <f t="shared" si="80"/>
        <v>9</v>
      </c>
      <c r="E61" s="521">
        <f t="shared" si="80"/>
        <v>6</v>
      </c>
      <c r="F61" s="521">
        <f t="shared" si="80"/>
        <v>5</v>
      </c>
      <c r="G61" s="521">
        <f t="shared" si="80"/>
        <v>13</v>
      </c>
      <c r="H61" s="521">
        <f t="shared" si="80"/>
        <v>4</v>
      </c>
      <c r="I61" s="521">
        <f t="shared" si="80"/>
        <v>3</v>
      </c>
      <c r="J61" s="521">
        <f t="shared" si="80"/>
        <v>7</v>
      </c>
      <c r="K61" s="521">
        <f t="shared" si="80"/>
        <v>4</v>
      </c>
      <c r="L61" s="173"/>
      <c r="M61" s="173"/>
      <c r="N61" s="173"/>
      <c r="O61" s="702"/>
      <c r="P61" s="702"/>
      <c r="Q61" s="702"/>
      <c r="R61" s="702"/>
      <c r="S61" s="702"/>
      <c r="T61" s="702"/>
      <c r="U61" s="702"/>
      <c r="V61" s="702"/>
      <c r="W61" s="702"/>
      <c r="X61" s="702"/>
      <c r="Y61" s="702"/>
      <c r="AD61" s="289" t="s">
        <v>95</v>
      </c>
      <c r="AE61" s="770">
        <f t="shared" ref="AE61:AX61" si="103">VLOOKUP(AE$6&amp;$AD49&amp;$AD61&amp;$AF$5, vw.deaths, 5, FALSE)</f>
        <v>10</v>
      </c>
      <c r="AF61" s="770">
        <f t="shared" si="103"/>
        <v>6</v>
      </c>
      <c r="AG61" s="770">
        <f t="shared" si="103"/>
        <v>8</v>
      </c>
      <c r="AH61" s="770">
        <f t="shared" si="103"/>
        <v>6</v>
      </c>
      <c r="AI61" s="770">
        <f t="shared" si="103"/>
        <v>7</v>
      </c>
      <c r="AJ61" s="770">
        <f t="shared" si="103"/>
        <v>3</v>
      </c>
      <c r="AK61" s="770">
        <f t="shared" si="103"/>
        <v>5</v>
      </c>
      <c r="AL61" s="770">
        <f t="shared" si="103"/>
        <v>7</v>
      </c>
      <c r="AM61" s="770">
        <f t="shared" si="103"/>
        <v>10</v>
      </c>
      <c r="AN61" s="770">
        <f t="shared" si="103"/>
        <v>8</v>
      </c>
      <c r="AO61" s="770">
        <f t="shared" si="103"/>
        <v>5</v>
      </c>
      <c r="AP61" s="770">
        <f t="shared" si="103"/>
        <v>9</v>
      </c>
      <c r="AQ61" s="770">
        <f t="shared" si="103"/>
        <v>9</v>
      </c>
      <c r="AR61" s="770">
        <f t="shared" si="103"/>
        <v>9</v>
      </c>
      <c r="AS61" s="770">
        <f t="shared" si="103"/>
        <v>6</v>
      </c>
      <c r="AT61" s="770">
        <f t="shared" si="103"/>
        <v>5</v>
      </c>
      <c r="AU61" s="770">
        <f t="shared" si="103"/>
        <v>13</v>
      </c>
      <c r="AV61" s="770">
        <f t="shared" si="103"/>
        <v>4</v>
      </c>
      <c r="AW61" s="770">
        <f t="shared" si="103"/>
        <v>3</v>
      </c>
      <c r="AX61" s="770">
        <f t="shared" si="103"/>
        <v>7</v>
      </c>
      <c r="AY61" s="770">
        <f t="shared" ref="AY61" si="104">VLOOKUP(AY$6&amp;$AD49&amp;$AD61&amp;$AF$5, vw.deaths, 5, FALSE)</f>
        <v>4</v>
      </c>
    </row>
    <row r="62" spans="1:51">
      <c r="A62" s="49" t="s">
        <v>96</v>
      </c>
      <c r="B62" s="521">
        <f t="shared" si="79"/>
        <v>32</v>
      </c>
      <c r="C62" s="521">
        <f t="shared" si="80"/>
        <v>31</v>
      </c>
      <c r="D62" s="521">
        <f t="shared" si="80"/>
        <v>31</v>
      </c>
      <c r="E62" s="521">
        <f t="shared" si="80"/>
        <v>21</v>
      </c>
      <c r="F62" s="521">
        <f t="shared" si="80"/>
        <v>20</v>
      </c>
      <c r="G62" s="521">
        <f t="shared" si="80"/>
        <v>28</v>
      </c>
      <c r="H62" s="521">
        <f t="shared" si="80"/>
        <v>17</v>
      </c>
      <c r="I62" s="521">
        <f t="shared" si="80"/>
        <v>16</v>
      </c>
      <c r="J62" s="521">
        <f t="shared" si="80"/>
        <v>25</v>
      </c>
      <c r="K62" s="521">
        <f t="shared" si="80"/>
        <v>18</v>
      </c>
      <c r="L62" s="173"/>
      <c r="M62" s="173"/>
      <c r="N62" s="173"/>
      <c r="O62" s="702"/>
      <c r="P62" s="702"/>
      <c r="Q62" s="702"/>
      <c r="R62" s="702"/>
      <c r="S62" s="702"/>
      <c r="T62" s="702"/>
      <c r="U62" s="702"/>
      <c r="V62" s="702"/>
      <c r="W62" s="702"/>
      <c r="X62" s="702"/>
      <c r="Y62" s="702"/>
      <c r="AD62" s="289" t="s">
        <v>96</v>
      </c>
      <c r="AE62" s="770">
        <f t="shared" ref="AE62:AX62" si="105">VLOOKUP(AE$6&amp;$AD49&amp;$AD62&amp;$AF$5, vw.deaths, 5, FALSE)</f>
        <v>23</v>
      </c>
      <c r="AF62" s="770">
        <f t="shared" si="105"/>
        <v>27</v>
      </c>
      <c r="AG62" s="770">
        <f t="shared" si="105"/>
        <v>29</v>
      </c>
      <c r="AH62" s="770">
        <f t="shared" si="105"/>
        <v>33</v>
      </c>
      <c r="AI62" s="770">
        <f t="shared" si="105"/>
        <v>25</v>
      </c>
      <c r="AJ62" s="770">
        <f t="shared" si="105"/>
        <v>27</v>
      </c>
      <c r="AK62" s="770">
        <f t="shared" si="105"/>
        <v>26</v>
      </c>
      <c r="AL62" s="770">
        <f t="shared" si="105"/>
        <v>26</v>
      </c>
      <c r="AM62" s="770">
        <f t="shared" si="105"/>
        <v>33</v>
      </c>
      <c r="AN62" s="770">
        <f t="shared" si="105"/>
        <v>25</v>
      </c>
      <c r="AO62" s="770">
        <f t="shared" si="105"/>
        <v>25</v>
      </c>
      <c r="AP62" s="770">
        <f t="shared" si="105"/>
        <v>32</v>
      </c>
      <c r="AQ62" s="770">
        <f t="shared" si="105"/>
        <v>31</v>
      </c>
      <c r="AR62" s="770">
        <f t="shared" si="105"/>
        <v>31</v>
      </c>
      <c r="AS62" s="770">
        <f t="shared" si="105"/>
        <v>21</v>
      </c>
      <c r="AT62" s="770">
        <f t="shared" si="105"/>
        <v>20</v>
      </c>
      <c r="AU62" s="770">
        <f t="shared" si="105"/>
        <v>28</v>
      </c>
      <c r="AV62" s="770">
        <f t="shared" si="105"/>
        <v>17</v>
      </c>
      <c r="AW62" s="770">
        <f t="shared" si="105"/>
        <v>16</v>
      </c>
      <c r="AX62" s="770">
        <f t="shared" si="105"/>
        <v>25</v>
      </c>
      <c r="AY62" s="770">
        <f t="shared" ref="AY62" si="106">VLOOKUP(AY$6&amp;$AD49&amp;$AD62&amp;$AF$5, vw.deaths, 5, FALSE)</f>
        <v>18</v>
      </c>
    </row>
    <row r="63" spans="1:51">
      <c r="A63" s="49" t="s">
        <v>97</v>
      </c>
      <c r="B63" s="521">
        <f t="shared" si="79"/>
        <v>19</v>
      </c>
      <c r="C63" s="521">
        <f t="shared" si="80"/>
        <v>21</v>
      </c>
      <c r="D63" s="521">
        <f t="shared" si="80"/>
        <v>16</v>
      </c>
      <c r="E63" s="521">
        <f t="shared" si="80"/>
        <v>19</v>
      </c>
      <c r="F63" s="521">
        <f t="shared" si="80"/>
        <v>22</v>
      </c>
      <c r="G63" s="521">
        <f t="shared" si="80"/>
        <v>11</v>
      </c>
      <c r="H63" s="521">
        <f t="shared" si="80"/>
        <v>7</v>
      </c>
      <c r="I63" s="521">
        <f t="shared" si="80"/>
        <v>16</v>
      </c>
      <c r="J63" s="521">
        <f t="shared" si="80"/>
        <v>13</v>
      </c>
      <c r="K63" s="521">
        <f t="shared" si="80"/>
        <v>7</v>
      </c>
      <c r="L63" s="173"/>
      <c r="M63" s="173"/>
      <c r="N63" s="173"/>
      <c r="O63" s="702"/>
      <c r="P63" s="702"/>
      <c r="Q63" s="702"/>
      <c r="R63" s="702"/>
      <c r="S63" s="702"/>
      <c r="T63" s="702"/>
      <c r="U63" s="702"/>
      <c r="V63" s="702"/>
      <c r="W63" s="702"/>
      <c r="X63" s="702"/>
      <c r="Y63" s="702"/>
      <c r="AD63" s="289" t="s">
        <v>97</v>
      </c>
      <c r="AE63" s="770">
        <f t="shared" ref="AE63:AX63" si="107">VLOOKUP(AE$6&amp;$AD49&amp;$AD63&amp;$AF$5, vw.deaths, 5, FALSE)</f>
        <v>12</v>
      </c>
      <c r="AF63" s="770">
        <f t="shared" si="107"/>
        <v>17</v>
      </c>
      <c r="AG63" s="770">
        <f t="shared" si="107"/>
        <v>10</v>
      </c>
      <c r="AH63" s="770">
        <f t="shared" si="107"/>
        <v>17</v>
      </c>
      <c r="AI63" s="770">
        <f t="shared" si="107"/>
        <v>20</v>
      </c>
      <c r="AJ63" s="770">
        <f t="shared" si="107"/>
        <v>14</v>
      </c>
      <c r="AK63" s="770">
        <f t="shared" si="107"/>
        <v>11</v>
      </c>
      <c r="AL63" s="770">
        <f t="shared" si="107"/>
        <v>13</v>
      </c>
      <c r="AM63" s="770">
        <f t="shared" si="107"/>
        <v>15</v>
      </c>
      <c r="AN63" s="770">
        <f t="shared" si="107"/>
        <v>15</v>
      </c>
      <c r="AO63" s="770">
        <f t="shared" si="107"/>
        <v>18</v>
      </c>
      <c r="AP63" s="770">
        <f t="shared" si="107"/>
        <v>19</v>
      </c>
      <c r="AQ63" s="770">
        <f t="shared" si="107"/>
        <v>21</v>
      </c>
      <c r="AR63" s="770">
        <f t="shared" si="107"/>
        <v>16</v>
      </c>
      <c r="AS63" s="770">
        <f t="shared" si="107"/>
        <v>19</v>
      </c>
      <c r="AT63" s="770">
        <f t="shared" si="107"/>
        <v>22</v>
      </c>
      <c r="AU63" s="770">
        <f t="shared" si="107"/>
        <v>11</v>
      </c>
      <c r="AV63" s="770">
        <f t="shared" si="107"/>
        <v>7</v>
      </c>
      <c r="AW63" s="770">
        <f t="shared" si="107"/>
        <v>16</v>
      </c>
      <c r="AX63" s="770">
        <f t="shared" si="107"/>
        <v>13</v>
      </c>
      <c r="AY63" s="770">
        <f t="shared" ref="AY63" si="108">VLOOKUP(AY$6&amp;$AD49&amp;$AD63&amp;$AF$5, vw.deaths, 5, FALSE)</f>
        <v>7</v>
      </c>
    </row>
    <row r="64" spans="1:51">
      <c r="A64" s="49" t="s">
        <v>98</v>
      </c>
      <c r="B64" s="521">
        <f t="shared" si="79"/>
        <v>4</v>
      </c>
      <c r="C64" s="521">
        <f t="shared" si="80"/>
        <v>4</v>
      </c>
      <c r="D64" s="521">
        <f t="shared" si="80"/>
        <v>4</v>
      </c>
      <c r="E64" s="521">
        <f t="shared" si="80"/>
        <v>6</v>
      </c>
      <c r="F64" s="521">
        <f t="shared" si="80"/>
        <v>1</v>
      </c>
      <c r="G64" s="521">
        <f t="shared" si="80"/>
        <v>4</v>
      </c>
      <c r="H64" s="521">
        <f t="shared" si="80"/>
        <v>10</v>
      </c>
      <c r="I64" s="521">
        <f t="shared" si="80"/>
        <v>1</v>
      </c>
      <c r="J64" s="521">
        <f t="shared" si="80"/>
        <v>2</v>
      </c>
      <c r="K64" s="521">
        <f t="shared" si="80"/>
        <v>5</v>
      </c>
      <c r="L64" s="173"/>
      <c r="M64" s="173"/>
      <c r="N64" s="173"/>
      <c r="O64" s="702"/>
      <c r="P64" s="702"/>
      <c r="Q64" s="702"/>
      <c r="R64" s="702"/>
      <c r="S64" s="702"/>
      <c r="T64" s="702"/>
      <c r="U64" s="702"/>
      <c r="V64" s="702"/>
      <c r="W64" s="702"/>
      <c r="X64" s="702"/>
      <c r="Y64" s="702"/>
      <c r="AD64" s="289" t="s">
        <v>98</v>
      </c>
      <c r="AE64" s="770">
        <f t="shared" ref="AE64:AX64" si="109">VLOOKUP(AE$6&amp;$AD49&amp;$AD64&amp;$AF$5, vw.deaths, 5, FALSE)</f>
        <v>9</v>
      </c>
      <c r="AF64" s="770">
        <f t="shared" si="109"/>
        <v>9</v>
      </c>
      <c r="AG64" s="770">
        <f t="shared" si="109"/>
        <v>3</v>
      </c>
      <c r="AH64" s="770">
        <f t="shared" si="109"/>
        <v>4</v>
      </c>
      <c r="AI64" s="770">
        <f t="shared" si="109"/>
        <v>2</v>
      </c>
      <c r="AJ64" s="770">
        <f t="shared" si="109"/>
        <v>4</v>
      </c>
      <c r="AK64" s="770">
        <f t="shared" si="109"/>
        <v>1</v>
      </c>
      <c r="AL64" s="770">
        <f t="shared" si="109"/>
        <v>3</v>
      </c>
      <c r="AM64" s="770">
        <f t="shared" si="109"/>
        <v>9</v>
      </c>
      <c r="AN64" s="770">
        <f t="shared" si="109"/>
        <v>3</v>
      </c>
      <c r="AO64" s="770">
        <f t="shared" si="109"/>
        <v>3</v>
      </c>
      <c r="AP64" s="770">
        <f t="shared" si="109"/>
        <v>4</v>
      </c>
      <c r="AQ64" s="770">
        <f t="shared" si="109"/>
        <v>4</v>
      </c>
      <c r="AR64" s="770">
        <f t="shared" si="109"/>
        <v>4</v>
      </c>
      <c r="AS64" s="770">
        <f t="shared" si="109"/>
        <v>6</v>
      </c>
      <c r="AT64" s="770">
        <f t="shared" si="109"/>
        <v>1</v>
      </c>
      <c r="AU64" s="770">
        <f t="shared" si="109"/>
        <v>4</v>
      </c>
      <c r="AV64" s="770">
        <f t="shared" si="109"/>
        <v>10</v>
      </c>
      <c r="AW64" s="770">
        <f t="shared" si="109"/>
        <v>1</v>
      </c>
      <c r="AX64" s="770">
        <f t="shared" si="109"/>
        <v>2</v>
      </c>
      <c r="AY64" s="770">
        <f t="shared" ref="AY64" si="110">VLOOKUP(AY$6&amp;$AD49&amp;$AD64&amp;$AF$5, vw.deaths, 5, FALSE)</f>
        <v>5</v>
      </c>
    </row>
    <row r="65" spans="1:51">
      <c r="A65" s="49" t="s">
        <v>99</v>
      </c>
      <c r="B65" s="521">
        <f t="shared" si="79"/>
        <v>12</v>
      </c>
      <c r="C65" s="521">
        <f t="shared" si="80"/>
        <v>13</v>
      </c>
      <c r="D65" s="521">
        <f t="shared" si="80"/>
        <v>12</v>
      </c>
      <c r="E65" s="521">
        <f t="shared" si="80"/>
        <v>6</v>
      </c>
      <c r="F65" s="521">
        <f t="shared" si="80"/>
        <v>11</v>
      </c>
      <c r="G65" s="521">
        <f t="shared" si="80"/>
        <v>7</v>
      </c>
      <c r="H65" s="521">
        <f t="shared" si="80"/>
        <v>9</v>
      </c>
      <c r="I65" s="521">
        <f t="shared" si="80"/>
        <v>13</v>
      </c>
      <c r="J65" s="521">
        <f t="shared" si="80"/>
        <v>9</v>
      </c>
      <c r="K65" s="521">
        <f t="shared" si="80"/>
        <v>4</v>
      </c>
      <c r="L65" s="173"/>
      <c r="M65" s="173"/>
      <c r="N65" s="173"/>
      <c r="O65" s="702"/>
      <c r="P65" s="702"/>
      <c r="Q65" s="702"/>
      <c r="R65" s="702"/>
      <c r="S65" s="702"/>
      <c r="T65" s="702"/>
      <c r="U65" s="702"/>
      <c r="V65" s="702"/>
      <c r="W65" s="702"/>
      <c r="X65" s="702"/>
      <c r="Y65" s="702"/>
      <c r="AD65" s="289" t="s">
        <v>99</v>
      </c>
      <c r="AE65" s="770">
        <f t="shared" ref="AE65:AX65" si="111">VLOOKUP(AE$6&amp;$AD49&amp;$AD65&amp;$AF$5, vw.deaths, 5, FALSE)</f>
        <v>9</v>
      </c>
      <c r="AF65" s="770">
        <f t="shared" si="111"/>
        <v>14</v>
      </c>
      <c r="AG65" s="770">
        <f t="shared" si="111"/>
        <v>9</v>
      </c>
      <c r="AH65" s="770">
        <f t="shared" si="111"/>
        <v>14</v>
      </c>
      <c r="AI65" s="770">
        <f t="shared" si="111"/>
        <v>8</v>
      </c>
      <c r="AJ65" s="770">
        <f t="shared" si="111"/>
        <v>11</v>
      </c>
      <c r="AK65" s="770">
        <f t="shared" si="111"/>
        <v>11</v>
      </c>
      <c r="AL65" s="770">
        <f t="shared" si="111"/>
        <v>7</v>
      </c>
      <c r="AM65" s="770">
        <f t="shared" si="111"/>
        <v>14</v>
      </c>
      <c r="AN65" s="770">
        <f t="shared" si="111"/>
        <v>11</v>
      </c>
      <c r="AO65" s="770">
        <f t="shared" si="111"/>
        <v>12</v>
      </c>
      <c r="AP65" s="770">
        <f t="shared" si="111"/>
        <v>12</v>
      </c>
      <c r="AQ65" s="770">
        <f t="shared" si="111"/>
        <v>13</v>
      </c>
      <c r="AR65" s="770">
        <f t="shared" si="111"/>
        <v>12</v>
      </c>
      <c r="AS65" s="770">
        <f t="shared" si="111"/>
        <v>6</v>
      </c>
      <c r="AT65" s="770">
        <f t="shared" si="111"/>
        <v>11</v>
      </c>
      <c r="AU65" s="770">
        <f t="shared" si="111"/>
        <v>7</v>
      </c>
      <c r="AV65" s="770">
        <f t="shared" si="111"/>
        <v>9</v>
      </c>
      <c r="AW65" s="770">
        <f t="shared" si="111"/>
        <v>13</v>
      </c>
      <c r="AX65" s="770">
        <f t="shared" si="111"/>
        <v>9</v>
      </c>
      <c r="AY65" s="770">
        <f t="shared" ref="AY65" si="112">VLOOKUP(AY$6&amp;$AD49&amp;$AD65&amp;$AF$5, vw.deaths, 5, FALSE)</f>
        <v>4</v>
      </c>
    </row>
    <row r="66" spans="1:51">
      <c r="A66" s="49" t="s">
        <v>100</v>
      </c>
      <c r="B66" s="521">
        <f t="shared" si="79"/>
        <v>4</v>
      </c>
      <c r="C66" s="521">
        <f t="shared" ref="C66:K70" si="113">AQ66</f>
        <v>3</v>
      </c>
      <c r="D66" s="521">
        <f t="shared" si="113"/>
        <v>1</v>
      </c>
      <c r="E66" s="521">
        <f t="shared" si="113"/>
        <v>3</v>
      </c>
      <c r="F66" s="521">
        <f t="shared" si="113"/>
        <v>4</v>
      </c>
      <c r="G66" s="521">
        <f t="shared" si="113"/>
        <v>1</v>
      </c>
      <c r="H66" s="521">
        <f t="shared" si="113"/>
        <v>4</v>
      </c>
      <c r="I66" s="521">
        <f t="shared" si="113"/>
        <v>1</v>
      </c>
      <c r="J66" s="521">
        <f t="shared" si="113"/>
        <v>5</v>
      </c>
      <c r="K66" s="521">
        <f t="shared" si="113"/>
        <v>8</v>
      </c>
      <c r="L66" s="173"/>
      <c r="M66" s="173"/>
      <c r="N66" s="173"/>
      <c r="O66" s="702"/>
      <c r="P66" s="702"/>
      <c r="Q66" s="702"/>
      <c r="R66" s="702"/>
      <c r="S66" s="702"/>
      <c r="T66" s="702"/>
      <c r="U66" s="702"/>
      <c r="V66" s="702"/>
      <c r="W66" s="702"/>
      <c r="X66" s="702"/>
      <c r="Y66" s="702"/>
      <c r="AD66" s="289" t="s">
        <v>100</v>
      </c>
      <c r="AE66" s="770">
        <f t="shared" ref="AE66:AX66" si="114">VLOOKUP(AE$6&amp;$AD49&amp;$AD66&amp;$AF$5, vw.deaths, 5, FALSE)</f>
        <v>2</v>
      </c>
      <c r="AF66" s="770">
        <f t="shared" si="114"/>
        <v>5</v>
      </c>
      <c r="AG66" s="770">
        <f t="shared" si="114"/>
        <v>1</v>
      </c>
      <c r="AH66" s="770">
        <f t="shared" si="114"/>
        <v>1</v>
      </c>
      <c r="AI66" s="770">
        <f t="shared" si="114"/>
        <v>4</v>
      </c>
      <c r="AJ66" s="770">
        <f t="shared" si="114"/>
        <v>3</v>
      </c>
      <c r="AK66" s="770">
        <f t="shared" si="114"/>
        <v>4</v>
      </c>
      <c r="AL66" s="770">
        <f t="shared" si="114"/>
        <v>4</v>
      </c>
      <c r="AM66" s="770">
        <f t="shared" si="114"/>
        <v>4</v>
      </c>
      <c r="AN66" s="770">
        <f t="shared" si="114"/>
        <v>3</v>
      </c>
      <c r="AO66" s="770">
        <f t="shared" si="114"/>
        <v>0</v>
      </c>
      <c r="AP66" s="770">
        <f t="shared" si="114"/>
        <v>4</v>
      </c>
      <c r="AQ66" s="770">
        <f t="shared" si="114"/>
        <v>3</v>
      </c>
      <c r="AR66" s="770">
        <f t="shared" si="114"/>
        <v>1</v>
      </c>
      <c r="AS66" s="770">
        <f t="shared" si="114"/>
        <v>3</v>
      </c>
      <c r="AT66" s="770">
        <f t="shared" si="114"/>
        <v>4</v>
      </c>
      <c r="AU66" s="770">
        <f t="shared" si="114"/>
        <v>1</v>
      </c>
      <c r="AV66" s="770">
        <f t="shared" si="114"/>
        <v>4</v>
      </c>
      <c r="AW66" s="770">
        <f t="shared" si="114"/>
        <v>1</v>
      </c>
      <c r="AX66" s="770">
        <f t="shared" si="114"/>
        <v>5</v>
      </c>
      <c r="AY66" s="770">
        <f t="shared" ref="AY66" si="115">VLOOKUP(AY$6&amp;$AD49&amp;$AD66&amp;$AF$5, vw.deaths, 5, FALSE)</f>
        <v>8</v>
      </c>
    </row>
    <row r="67" spans="1:51">
      <c r="A67" s="49" t="s">
        <v>101</v>
      </c>
      <c r="B67" s="521">
        <f t="shared" si="79"/>
        <v>39</v>
      </c>
      <c r="C67" s="521">
        <f t="shared" si="113"/>
        <v>44</v>
      </c>
      <c r="D67" s="521">
        <f t="shared" si="113"/>
        <v>52</v>
      </c>
      <c r="E67" s="521">
        <f t="shared" si="113"/>
        <v>54</v>
      </c>
      <c r="F67" s="521">
        <f t="shared" si="113"/>
        <v>43</v>
      </c>
      <c r="G67" s="521">
        <f t="shared" si="113"/>
        <v>44</v>
      </c>
      <c r="H67" s="521">
        <f t="shared" si="113"/>
        <v>35</v>
      </c>
      <c r="I67" s="521">
        <f t="shared" si="113"/>
        <v>55</v>
      </c>
      <c r="J67" s="521">
        <f t="shared" si="113"/>
        <v>50</v>
      </c>
      <c r="K67" s="521">
        <f t="shared" si="113"/>
        <v>44</v>
      </c>
      <c r="L67" s="173"/>
      <c r="M67" s="173"/>
      <c r="N67" s="173"/>
      <c r="O67" s="702"/>
      <c r="P67" s="702"/>
      <c r="Q67" s="702"/>
      <c r="R67" s="702"/>
      <c r="S67" s="702"/>
      <c r="T67" s="702"/>
      <c r="U67" s="702"/>
      <c r="V67" s="702"/>
      <c r="W67" s="702"/>
      <c r="X67" s="702"/>
      <c r="Y67" s="702"/>
      <c r="AD67" s="289" t="s">
        <v>101</v>
      </c>
      <c r="AE67" s="770">
        <f t="shared" ref="AE67:AX67" si="116">VLOOKUP(AE$6&amp;$AD49&amp;$AD67&amp;$AF$5, vw.deaths, 5, FALSE)</f>
        <v>53</v>
      </c>
      <c r="AF67" s="770">
        <f t="shared" si="116"/>
        <v>49</v>
      </c>
      <c r="AG67" s="770">
        <f t="shared" si="116"/>
        <v>34</v>
      </c>
      <c r="AH67" s="770">
        <f t="shared" si="116"/>
        <v>45</v>
      </c>
      <c r="AI67" s="770">
        <f t="shared" si="116"/>
        <v>40</v>
      </c>
      <c r="AJ67" s="770">
        <f t="shared" si="116"/>
        <v>35</v>
      </c>
      <c r="AK67" s="770">
        <f t="shared" si="116"/>
        <v>36</v>
      </c>
      <c r="AL67" s="770">
        <f t="shared" si="116"/>
        <v>46</v>
      </c>
      <c r="AM67" s="770">
        <f t="shared" si="116"/>
        <v>52</v>
      </c>
      <c r="AN67" s="770">
        <f t="shared" si="116"/>
        <v>51</v>
      </c>
      <c r="AO67" s="770">
        <f t="shared" si="116"/>
        <v>40</v>
      </c>
      <c r="AP67" s="770">
        <f t="shared" si="116"/>
        <v>39</v>
      </c>
      <c r="AQ67" s="770">
        <f t="shared" si="116"/>
        <v>44</v>
      </c>
      <c r="AR67" s="770">
        <f t="shared" si="116"/>
        <v>52</v>
      </c>
      <c r="AS67" s="770">
        <f t="shared" si="116"/>
        <v>54</v>
      </c>
      <c r="AT67" s="770">
        <f t="shared" si="116"/>
        <v>43</v>
      </c>
      <c r="AU67" s="770">
        <f t="shared" si="116"/>
        <v>44</v>
      </c>
      <c r="AV67" s="770">
        <f t="shared" si="116"/>
        <v>35</v>
      </c>
      <c r="AW67" s="770">
        <f t="shared" si="116"/>
        <v>55</v>
      </c>
      <c r="AX67" s="770">
        <f t="shared" si="116"/>
        <v>50</v>
      </c>
      <c r="AY67" s="770">
        <f t="shared" ref="AY67" si="117">VLOOKUP(AY$6&amp;$AD49&amp;$AD67&amp;$AF$5, vw.deaths, 5, FALSE)</f>
        <v>44</v>
      </c>
    </row>
    <row r="68" spans="1:51">
      <c r="A68" s="49" t="s">
        <v>102</v>
      </c>
      <c r="B68" s="521">
        <f t="shared" si="79"/>
        <v>5</v>
      </c>
      <c r="C68" s="521">
        <f t="shared" si="113"/>
        <v>5</v>
      </c>
      <c r="D68" s="521">
        <f t="shared" si="113"/>
        <v>6</v>
      </c>
      <c r="E68" s="521">
        <f t="shared" si="113"/>
        <v>5</v>
      </c>
      <c r="F68" s="521">
        <f t="shared" si="113"/>
        <v>1</v>
      </c>
      <c r="G68" s="521">
        <f t="shared" si="113"/>
        <v>3</v>
      </c>
      <c r="H68" s="521">
        <f t="shared" si="113"/>
        <v>5</v>
      </c>
      <c r="I68" s="521">
        <f t="shared" si="113"/>
        <v>4</v>
      </c>
      <c r="J68" s="521">
        <f t="shared" si="113"/>
        <v>1</v>
      </c>
      <c r="K68" s="521">
        <f t="shared" si="113"/>
        <v>3</v>
      </c>
      <c r="L68" s="173"/>
      <c r="M68" s="173"/>
      <c r="N68" s="173"/>
      <c r="O68" s="702"/>
      <c r="P68" s="702"/>
      <c r="Q68" s="702"/>
      <c r="R68" s="702"/>
      <c r="S68" s="702"/>
      <c r="T68" s="702"/>
      <c r="U68" s="702"/>
      <c r="V68" s="702"/>
      <c r="W68" s="702"/>
      <c r="X68" s="702"/>
      <c r="Y68" s="702"/>
      <c r="AD68" s="289" t="s">
        <v>102</v>
      </c>
      <c r="AE68" s="770">
        <f t="shared" ref="AE68:AX68" si="118">VLOOKUP(AE$6&amp;$AD49&amp;$AD68&amp;$AF$5, vw.deaths, 5, FALSE)</f>
        <v>7</v>
      </c>
      <c r="AF68" s="770">
        <f t="shared" si="118"/>
        <v>6</v>
      </c>
      <c r="AG68" s="770">
        <f t="shared" si="118"/>
        <v>5</v>
      </c>
      <c r="AH68" s="770">
        <f t="shared" si="118"/>
        <v>5</v>
      </c>
      <c r="AI68" s="770">
        <f t="shared" si="118"/>
        <v>5</v>
      </c>
      <c r="AJ68" s="770">
        <f t="shared" si="118"/>
        <v>3</v>
      </c>
      <c r="AK68" s="770">
        <f t="shared" si="118"/>
        <v>5</v>
      </c>
      <c r="AL68" s="770">
        <f t="shared" si="118"/>
        <v>2</v>
      </c>
      <c r="AM68" s="770">
        <f t="shared" si="118"/>
        <v>4</v>
      </c>
      <c r="AN68" s="770">
        <f t="shared" si="118"/>
        <v>4</v>
      </c>
      <c r="AO68" s="770">
        <f t="shared" si="118"/>
        <v>0</v>
      </c>
      <c r="AP68" s="770">
        <f t="shared" si="118"/>
        <v>5</v>
      </c>
      <c r="AQ68" s="770">
        <f t="shared" si="118"/>
        <v>5</v>
      </c>
      <c r="AR68" s="770">
        <f t="shared" si="118"/>
        <v>6</v>
      </c>
      <c r="AS68" s="770">
        <f t="shared" si="118"/>
        <v>5</v>
      </c>
      <c r="AT68" s="770">
        <f t="shared" si="118"/>
        <v>1</v>
      </c>
      <c r="AU68" s="770">
        <f t="shared" si="118"/>
        <v>3</v>
      </c>
      <c r="AV68" s="770">
        <f t="shared" si="118"/>
        <v>5</v>
      </c>
      <c r="AW68" s="770">
        <f t="shared" si="118"/>
        <v>4</v>
      </c>
      <c r="AX68" s="770">
        <f t="shared" si="118"/>
        <v>1</v>
      </c>
      <c r="AY68" s="770">
        <f t="shared" ref="AY68" si="119">VLOOKUP(AY$6&amp;$AD49&amp;$AD68&amp;$AF$5, vw.deaths, 5, FALSE)</f>
        <v>3</v>
      </c>
    </row>
    <row r="69" spans="1:51">
      <c r="A69" s="49" t="s">
        <v>103</v>
      </c>
      <c r="B69" s="521">
        <f t="shared" si="79"/>
        <v>24</v>
      </c>
      <c r="C69" s="521">
        <f t="shared" si="113"/>
        <v>34</v>
      </c>
      <c r="D69" s="521">
        <f t="shared" si="113"/>
        <v>25</v>
      </c>
      <c r="E69" s="521">
        <f t="shared" si="113"/>
        <v>24</v>
      </c>
      <c r="F69" s="521">
        <f t="shared" si="113"/>
        <v>28</v>
      </c>
      <c r="G69" s="521">
        <f t="shared" si="113"/>
        <v>22</v>
      </c>
      <c r="H69" s="521">
        <f t="shared" si="113"/>
        <v>18</v>
      </c>
      <c r="I69" s="521">
        <f t="shared" si="113"/>
        <v>26</v>
      </c>
      <c r="J69" s="521">
        <f t="shared" si="113"/>
        <v>26</v>
      </c>
      <c r="K69" s="521">
        <f t="shared" si="113"/>
        <v>28</v>
      </c>
      <c r="L69" s="173"/>
      <c r="M69" s="173"/>
      <c r="N69" s="173"/>
      <c r="O69" s="702"/>
      <c r="P69" s="702"/>
      <c r="Q69" s="702"/>
      <c r="R69" s="702"/>
      <c r="S69" s="702"/>
      <c r="T69" s="702"/>
      <c r="U69" s="702"/>
      <c r="V69" s="702"/>
      <c r="W69" s="702"/>
      <c r="X69" s="702"/>
      <c r="Y69" s="702"/>
      <c r="AD69" s="289" t="s">
        <v>103</v>
      </c>
      <c r="AE69" s="770">
        <f t="shared" ref="AE69:AX69" si="120">VLOOKUP(AE$6&amp;$AD49&amp;$AD69&amp;$AF$5, vw.deaths, 5, FALSE)</f>
        <v>28</v>
      </c>
      <c r="AF69" s="770">
        <f t="shared" si="120"/>
        <v>27</v>
      </c>
      <c r="AG69" s="770">
        <f t="shared" si="120"/>
        <v>13</v>
      </c>
      <c r="AH69" s="770">
        <f t="shared" si="120"/>
        <v>18</v>
      </c>
      <c r="AI69" s="770">
        <f t="shared" si="120"/>
        <v>24</v>
      </c>
      <c r="AJ69" s="770">
        <f t="shared" si="120"/>
        <v>19</v>
      </c>
      <c r="AK69" s="770">
        <f t="shared" si="120"/>
        <v>29</v>
      </c>
      <c r="AL69" s="770">
        <f t="shared" si="120"/>
        <v>24</v>
      </c>
      <c r="AM69" s="770">
        <f t="shared" si="120"/>
        <v>25</v>
      </c>
      <c r="AN69" s="770">
        <f t="shared" si="120"/>
        <v>20</v>
      </c>
      <c r="AO69" s="770">
        <f t="shared" si="120"/>
        <v>31</v>
      </c>
      <c r="AP69" s="770">
        <f t="shared" si="120"/>
        <v>24</v>
      </c>
      <c r="AQ69" s="770">
        <f t="shared" si="120"/>
        <v>34</v>
      </c>
      <c r="AR69" s="770">
        <f t="shared" si="120"/>
        <v>25</v>
      </c>
      <c r="AS69" s="770">
        <f t="shared" si="120"/>
        <v>24</v>
      </c>
      <c r="AT69" s="770">
        <f t="shared" si="120"/>
        <v>28</v>
      </c>
      <c r="AU69" s="770">
        <f t="shared" si="120"/>
        <v>22</v>
      </c>
      <c r="AV69" s="770">
        <f t="shared" si="120"/>
        <v>18</v>
      </c>
      <c r="AW69" s="770">
        <f t="shared" si="120"/>
        <v>26</v>
      </c>
      <c r="AX69" s="770">
        <f t="shared" si="120"/>
        <v>26</v>
      </c>
      <c r="AY69" s="770">
        <f t="shared" ref="AY69" si="121">VLOOKUP(AY$6&amp;$AD49&amp;$AD69&amp;$AF$5, vw.deaths, 5, FALSE)</f>
        <v>28</v>
      </c>
    </row>
    <row r="70" spans="1:51">
      <c r="A70" s="249" t="s">
        <v>63</v>
      </c>
      <c r="B70" s="522">
        <f t="shared" si="79"/>
        <v>1</v>
      </c>
      <c r="C70" s="522">
        <f t="shared" si="113"/>
        <v>0</v>
      </c>
      <c r="D70" s="522">
        <f t="shared" si="113"/>
        <v>2</v>
      </c>
      <c r="E70" s="522">
        <f t="shared" si="113"/>
        <v>4</v>
      </c>
      <c r="F70" s="522">
        <f t="shared" si="113"/>
        <v>1</v>
      </c>
      <c r="G70" s="522">
        <f t="shared" si="113"/>
        <v>4</v>
      </c>
      <c r="H70" s="522">
        <f t="shared" si="113"/>
        <v>5</v>
      </c>
      <c r="I70" s="522">
        <f t="shared" si="113"/>
        <v>3</v>
      </c>
      <c r="J70" s="522">
        <f t="shared" si="113"/>
        <v>2</v>
      </c>
      <c r="K70" s="522">
        <f t="shared" si="113"/>
        <v>2</v>
      </c>
      <c r="L70" s="173"/>
      <c r="M70" s="173"/>
      <c r="N70" s="173"/>
      <c r="O70" s="702"/>
      <c r="P70" s="702"/>
      <c r="Q70" s="702"/>
      <c r="R70" s="702"/>
      <c r="S70" s="702"/>
      <c r="T70" s="702"/>
      <c r="U70" s="702"/>
      <c r="V70" s="702"/>
      <c r="W70" s="702"/>
      <c r="X70" s="702"/>
      <c r="Y70" s="702"/>
      <c r="AD70" s="289" t="s">
        <v>63</v>
      </c>
      <c r="AE70" s="770">
        <f t="shared" ref="AE70:AX70" si="122">VLOOKUP(AE$6&amp;$AD49&amp;$AD70&amp;$AF$5, vw.deaths, 5, FALSE)</f>
        <v>1</v>
      </c>
      <c r="AF70" s="770">
        <f t="shared" si="122"/>
        <v>1</v>
      </c>
      <c r="AG70" s="770">
        <f t="shared" si="122"/>
        <v>0</v>
      </c>
      <c r="AH70" s="770">
        <f t="shared" si="122"/>
        <v>1</v>
      </c>
      <c r="AI70" s="770">
        <f t="shared" si="122"/>
        <v>0</v>
      </c>
      <c r="AJ70" s="770">
        <f t="shared" si="122"/>
        <v>1</v>
      </c>
      <c r="AK70" s="770">
        <f t="shared" si="122"/>
        <v>0</v>
      </c>
      <c r="AL70" s="770">
        <f t="shared" si="122"/>
        <v>0</v>
      </c>
      <c r="AM70" s="770">
        <f t="shared" si="122"/>
        <v>0</v>
      </c>
      <c r="AN70" s="770">
        <f t="shared" si="122"/>
        <v>1</v>
      </c>
      <c r="AO70" s="770">
        <f t="shared" si="122"/>
        <v>2</v>
      </c>
      <c r="AP70" s="770">
        <f t="shared" si="122"/>
        <v>1</v>
      </c>
      <c r="AQ70" s="770">
        <f t="shared" si="122"/>
        <v>0</v>
      </c>
      <c r="AR70" s="770">
        <f t="shared" si="122"/>
        <v>2</v>
      </c>
      <c r="AS70" s="770">
        <f t="shared" si="122"/>
        <v>4</v>
      </c>
      <c r="AT70" s="770">
        <f t="shared" si="122"/>
        <v>1</v>
      </c>
      <c r="AU70" s="770">
        <f t="shared" si="122"/>
        <v>4</v>
      </c>
      <c r="AV70" s="770">
        <f t="shared" si="122"/>
        <v>5</v>
      </c>
      <c r="AW70" s="770">
        <f t="shared" si="122"/>
        <v>3</v>
      </c>
      <c r="AX70" s="770">
        <f t="shared" si="122"/>
        <v>2</v>
      </c>
      <c r="AY70" s="770">
        <f t="shared" ref="AY70" si="123">VLOOKUP(AY$6&amp;$AD49&amp;$AD70&amp;$AF$5, vw.deaths, 5, FALSE)</f>
        <v>2</v>
      </c>
    </row>
    <row r="71" spans="1:51">
      <c r="A71" s="49"/>
      <c r="B71" s="49"/>
      <c r="C71" s="49"/>
      <c r="D71" s="49"/>
      <c r="E71" s="49"/>
      <c r="F71" s="49"/>
      <c r="G71" s="49"/>
      <c r="H71" s="49"/>
    </row>
    <row r="73" spans="1:51" ht="27.75" customHeight="1">
      <c r="A73" s="901" t="str">
        <f>Contents!E7</f>
        <v xml:space="preserve">Table 3: Death rates, by sex, ethnic group, maternal age group, deprivation quintile of residence, gestational age, birthweight and DHB of domicile, 2007−2016
</v>
      </c>
      <c r="B73" s="901"/>
      <c r="C73" s="901"/>
      <c r="D73" s="901"/>
      <c r="E73" s="901"/>
      <c r="F73" s="901"/>
      <c r="G73" s="901"/>
      <c r="H73" s="901"/>
      <c r="I73" s="901"/>
      <c r="J73" s="901"/>
      <c r="K73" s="901"/>
      <c r="AD73" s="289" t="s">
        <v>45</v>
      </c>
      <c r="AE73" s="766">
        <v>1996</v>
      </c>
      <c r="AF73" s="766">
        <v>1997</v>
      </c>
      <c r="AG73" s="766">
        <v>1998</v>
      </c>
      <c r="AH73" s="766">
        <v>1999</v>
      </c>
      <c r="AI73" s="766">
        <v>2000</v>
      </c>
      <c r="AJ73" s="766">
        <v>2001</v>
      </c>
      <c r="AK73" s="766">
        <v>2002</v>
      </c>
      <c r="AL73" s="766">
        <v>2003</v>
      </c>
      <c r="AM73" s="766">
        <v>2004</v>
      </c>
      <c r="AN73" s="766">
        <v>2005</v>
      </c>
      <c r="AO73" s="766">
        <v>2006</v>
      </c>
      <c r="AP73" s="766">
        <v>2007</v>
      </c>
      <c r="AQ73" s="766">
        <v>2008</v>
      </c>
      <c r="AR73" s="766">
        <v>2009</v>
      </c>
      <c r="AS73" s="766">
        <v>2010</v>
      </c>
      <c r="AT73" s="766">
        <v>2011</v>
      </c>
      <c r="AU73" s="766">
        <v>2012</v>
      </c>
      <c r="AV73" s="766">
        <v>2013</v>
      </c>
      <c r="AW73" s="766">
        <v>2014</v>
      </c>
      <c r="AX73" s="766">
        <v>2015</v>
      </c>
      <c r="AY73" s="766">
        <v>2016</v>
      </c>
    </row>
    <row r="74" spans="1:51">
      <c r="A74" s="10" t="s">
        <v>68</v>
      </c>
      <c r="B74" s="500">
        <v>2007</v>
      </c>
      <c r="C74" s="500">
        <v>2008</v>
      </c>
      <c r="D74" s="500">
        <v>2009</v>
      </c>
      <c r="E74" s="500">
        <v>2010</v>
      </c>
      <c r="F74" s="500">
        <v>2011</v>
      </c>
      <c r="G74" s="500">
        <v>2012</v>
      </c>
      <c r="H74" s="500">
        <v>2013</v>
      </c>
      <c r="I74" s="500">
        <v>2014</v>
      </c>
      <c r="J74" s="561">
        <v>2015</v>
      </c>
      <c r="K74" s="708">
        <v>2016</v>
      </c>
      <c r="AD74" s="503" t="s">
        <v>68</v>
      </c>
      <c r="AE74" s="776"/>
      <c r="AF74" s="776"/>
      <c r="AG74" s="776"/>
      <c r="AH74" s="776"/>
      <c r="AI74" s="776"/>
      <c r="AJ74" s="776"/>
      <c r="AK74" s="776"/>
      <c r="AL74" s="776"/>
      <c r="AM74" s="776"/>
      <c r="AN74" s="776"/>
      <c r="AO74" s="776"/>
      <c r="AP74" s="776"/>
      <c r="AQ74" s="776"/>
      <c r="AR74" s="776"/>
      <c r="AS74" s="776"/>
      <c r="AT74" s="776"/>
      <c r="AU74" s="776"/>
      <c r="AV74" s="776"/>
      <c r="AW74" s="776"/>
      <c r="AX74" s="776"/>
      <c r="AY74" s="776"/>
    </row>
    <row r="75" spans="1:51">
      <c r="A75" s="108" t="s">
        <v>104</v>
      </c>
      <c r="B75" s="108"/>
      <c r="C75" s="108"/>
      <c r="D75" s="108"/>
      <c r="E75" s="108"/>
      <c r="F75" s="108"/>
      <c r="G75" s="108"/>
      <c r="H75" s="108"/>
      <c r="I75" s="108"/>
      <c r="J75" s="108"/>
      <c r="K75" s="108"/>
      <c r="AD75" s="777" t="s">
        <v>104</v>
      </c>
      <c r="AE75" s="766"/>
      <c r="AF75" s="766"/>
      <c r="AG75" s="766"/>
      <c r="AH75" s="766"/>
      <c r="AI75" s="766"/>
      <c r="AX75" s="762"/>
      <c r="AY75" s="762"/>
    </row>
    <row r="76" spans="1:51">
      <c r="A76" s="40" t="s">
        <v>44</v>
      </c>
      <c r="B76" s="523">
        <f>AP76</f>
        <v>7.2</v>
      </c>
      <c r="C76" s="523">
        <f t="shared" ref="C76:K76" si="124">AQ76</f>
        <v>8.4</v>
      </c>
      <c r="D76" s="523">
        <f t="shared" si="124"/>
        <v>7.6</v>
      </c>
      <c r="E76" s="523">
        <f t="shared" si="124"/>
        <v>7.2</v>
      </c>
      <c r="F76" s="523">
        <f t="shared" si="124"/>
        <v>7.2</v>
      </c>
      <c r="G76" s="523">
        <f t="shared" si="124"/>
        <v>7.2</v>
      </c>
      <c r="H76" s="523">
        <f t="shared" si="124"/>
        <v>6.5</v>
      </c>
      <c r="I76" s="523">
        <f t="shared" si="124"/>
        <v>7.6</v>
      </c>
      <c r="J76" s="523">
        <f t="shared" si="124"/>
        <v>6.1</v>
      </c>
      <c r="K76" s="523">
        <f t="shared" si="124"/>
        <v>6.8</v>
      </c>
      <c r="AA76" s="472"/>
      <c r="AB76" s="472"/>
      <c r="AC76" s="472"/>
      <c r="AD76" s="773" t="s">
        <v>44</v>
      </c>
      <c r="AE76" s="598">
        <f t="shared" ref="AE76:AY76" si="125">VLOOKUP(AE$73&amp;$AD$75&amp;$AD76&amp;$AF$5, vw.deaths,7, FALSE)</f>
        <v>7.1</v>
      </c>
      <c r="AF76" s="598">
        <f t="shared" si="125"/>
        <v>7.2</v>
      </c>
      <c r="AG76" s="598">
        <f t="shared" si="125"/>
        <v>6</v>
      </c>
      <c r="AH76" s="598">
        <f t="shared" si="125"/>
        <v>7.4</v>
      </c>
      <c r="AI76" s="598">
        <f t="shared" si="125"/>
        <v>6.4</v>
      </c>
      <c r="AJ76" s="598">
        <f t="shared" si="125"/>
        <v>6.8</v>
      </c>
      <c r="AK76" s="598">
        <f t="shared" si="125"/>
        <v>7.1</v>
      </c>
      <c r="AL76" s="598">
        <f t="shared" si="125"/>
        <v>6.9</v>
      </c>
      <c r="AM76" s="598">
        <f t="shared" si="125"/>
        <v>8.5</v>
      </c>
      <c r="AN76" s="598">
        <f t="shared" si="125"/>
        <v>6.8</v>
      </c>
      <c r="AO76" s="598">
        <f t="shared" si="125"/>
        <v>6.7</v>
      </c>
      <c r="AP76" s="598">
        <f t="shared" si="125"/>
        <v>7.2</v>
      </c>
      <c r="AQ76" s="598">
        <f t="shared" si="125"/>
        <v>8.4</v>
      </c>
      <c r="AR76" s="598">
        <f t="shared" si="125"/>
        <v>7.6</v>
      </c>
      <c r="AS76" s="598">
        <f t="shared" si="125"/>
        <v>7.2</v>
      </c>
      <c r="AT76" s="598">
        <f t="shared" si="125"/>
        <v>7.2</v>
      </c>
      <c r="AU76" s="598">
        <f t="shared" si="125"/>
        <v>7.2</v>
      </c>
      <c r="AV76" s="598">
        <f t="shared" si="125"/>
        <v>6.5</v>
      </c>
      <c r="AW76" s="598">
        <f t="shared" si="125"/>
        <v>7.6</v>
      </c>
      <c r="AX76" s="598">
        <f t="shared" si="125"/>
        <v>6.1</v>
      </c>
      <c r="AY76" s="598">
        <f t="shared" si="125"/>
        <v>6.8</v>
      </c>
    </row>
    <row r="77" spans="1:51">
      <c r="A77" s="108" t="s">
        <v>69</v>
      </c>
      <c r="B77" s="520"/>
      <c r="C77" s="520"/>
      <c r="D77" s="520"/>
      <c r="E77" s="520"/>
      <c r="F77" s="520"/>
      <c r="G77" s="520"/>
      <c r="H77" s="520"/>
      <c r="I77" s="520"/>
      <c r="J77" s="520"/>
      <c r="K77" s="520"/>
      <c r="AA77" s="472"/>
      <c r="AB77" s="472"/>
      <c r="AC77" s="472"/>
      <c r="AD77" s="503" t="s">
        <v>69</v>
      </c>
      <c r="AE77" s="598"/>
      <c r="AF77" s="598"/>
      <c r="AG77" s="598"/>
      <c r="AH77" s="598"/>
      <c r="AI77" s="598"/>
      <c r="AJ77" s="598"/>
      <c r="AK77" s="598"/>
      <c r="AL77" s="598"/>
      <c r="AM77" s="598"/>
      <c r="AN77" s="598"/>
      <c r="AO77" s="598"/>
      <c r="AP77" s="598"/>
      <c r="AQ77" s="598"/>
      <c r="AR77" s="598"/>
      <c r="AS77" s="598"/>
      <c r="AT77" s="598"/>
      <c r="AU77" s="598"/>
      <c r="AV77" s="598"/>
      <c r="AW77" s="598"/>
      <c r="AX77" s="598"/>
      <c r="AY77" s="598"/>
    </row>
    <row r="78" spans="1:51">
      <c r="A78" s="49" t="s">
        <v>70</v>
      </c>
      <c r="B78" s="419">
        <f>AP78</f>
        <v>6.9</v>
      </c>
      <c r="C78" s="419">
        <f t="shared" ref="C78:K79" si="126">AQ78</f>
        <v>8.4</v>
      </c>
      <c r="D78" s="419">
        <f t="shared" si="126"/>
        <v>7.5</v>
      </c>
      <c r="E78" s="419">
        <f t="shared" si="126"/>
        <v>7</v>
      </c>
      <c r="F78" s="419">
        <f t="shared" si="126"/>
        <v>7.2</v>
      </c>
      <c r="G78" s="419">
        <f t="shared" si="126"/>
        <v>7</v>
      </c>
      <c r="H78" s="419">
        <f t="shared" si="126"/>
        <v>6.5</v>
      </c>
      <c r="I78" s="419">
        <f t="shared" si="126"/>
        <v>8</v>
      </c>
      <c r="J78" s="419">
        <f t="shared" si="126"/>
        <v>5.7</v>
      </c>
      <c r="K78" s="419">
        <f t="shared" si="126"/>
        <v>6.9</v>
      </c>
      <c r="AA78" s="472"/>
      <c r="AB78" s="472"/>
      <c r="AC78" s="472"/>
      <c r="AD78" s="503" t="s">
        <v>70</v>
      </c>
      <c r="AE78" s="598">
        <f t="shared" ref="AE78:AN79" si="127">VLOOKUP(AE$73&amp;$AD$77&amp;$AD78&amp;$AF$5, vw.deaths,7, FALSE)</f>
        <v>7.2</v>
      </c>
      <c r="AF78" s="598">
        <f t="shared" si="127"/>
        <v>7.3</v>
      </c>
      <c r="AG78" s="598">
        <f t="shared" si="127"/>
        <v>5.9</v>
      </c>
      <c r="AH78" s="598">
        <f t="shared" si="127"/>
        <v>7.2</v>
      </c>
      <c r="AI78" s="598">
        <f t="shared" si="127"/>
        <v>6.4</v>
      </c>
      <c r="AJ78" s="598">
        <f t="shared" si="127"/>
        <v>7.1</v>
      </c>
      <c r="AK78" s="598">
        <f t="shared" si="127"/>
        <v>6.9</v>
      </c>
      <c r="AL78" s="598">
        <f t="shared" si="127"/>
        <v>6.5</v>
      </c>
      <c r="AM78" s="598">
        <f t="shared" si="127"/>
        <v>9.1999999999999993</v>
      </c>
      <c r="AN78" s="598">
        <f t="shared" si="127"/>
        <v>7</v>
      </c>
      <c r="AO78" s="598">
        <f t="shared" ref="AO78:AY79" si="128">VLOOKUP(AO$73&amp;$AD$77&amp;$AD78&amp;$AF$5, vw.deaths,7, FALSE)</f>
        <v>7</v>
      </c>
      <c r="AP78" s="598">
        <f t="shared" si="128"/>
        <v>6.9</v>
      </c>
      <c r="AQ78" s="598">
        <f t="shared" si="128"/>
        <v>8.4</v>
      </c>
      <c r="AR78" s="598">
        <f t="shared" si="128"/>
        <v>7.5</v>
      </c>
      <c r="AS78" s="598">
        <f t="shared" si="128"/>
        <v>7</v>
      </c>
      <c r="AT78" s="598">
        <f t="shared" si="128"/>
        <v>7.2</v>
      </c>
      <c r="AU78" s="598">
        <f t="shared" si="128"/>
        <v>7</v>
      </c>
      <c r="AV78" s="598">
        <f t="shared" si="128"/>
        <v>6.5</v>
      </c>
      <c r="AW78" s="598">
        <f t="shared" si="128"/>
        <v>8</v>
      </c>
      <c r="AX78" s="598">
        <f t="shared" si="128"/>
        <v>5.7</v>
      </c>
      <c r="AY78" s="598">
        <f t="shared" si="128"/>
        <v>6.9</v>
      </c>
    </row>
    <row r="79" spans="1:51">
      <c r="A79" s="49" t="s">
        <v>71</v>
      </c>
      <c r="B79" s="419">
        <f>AP79</f>
        <v>7.4</v>
      </c>
      <c r="C79" s="419">
        <f t="shared" si="126"/>
        <v>8.3000000000000007</v>
      </c>
      <c r="D79" s="419">
        <f t="shared" si="126"/>
        <v>7.5</v>
      </c>
      <c r="E79" s="419">
        <f t="shared" si="126"/>
        <v>7.3</v>
      </c>
      <c r="F79" s="419">
        <f t="shared" si="126"/>
        <v>7.1</v>
      </c>
      <c r="G79" s="419">
        <f t="shared" si="126"/>
        <v>7</v>
      </c>
      <c r="H79" s="419">
        <f t="shared" si="126"/>
        <v>6.4</v>
      </c>
      <c r="I79" s="419">
        <f t="shared" si="126"/>
        <v>6.7</v>
      </c>
      <c r="J79" s="419">
        <f t="shared" si="126"/>
        <v>6.3</v>
      </c>
      <c r="K79" s="419">
        <f t="shared" si="126"/>
        <v>6.4</v>
      </c>
      <c r="AA79" s="472"/>
      <c r="AB79" s="472"/>
      <c r="AC79" s="472"/>
      <c r="AD79" s="503" t="s">
        <v>71</v>
      </c>
      <c r="AE79" s="598">
        <f t="shared" si="127"/>
        <v>7</v>
      </c>
      <c r="AF79" s="598">
        <f t="shared" si="127"/>
        <v>7</v>
      </c>
      <c r="AG79" s="598">
        <f t="shared" si="127"/>
        <v>5.9</v>
      </c>
      <c r="AH79" s="598">
        <f t="shared" si="127"/>
        <v>7.3</v>
      </c>
      <c r="AI79" s="598">
        <f t="shared" si="127"/>
        <v>6.5</v>
      </c>
      <c r="AJ79" s="598">
        <f t="shared" si="127"/>
        <v>6.5</v>
      </c>
      <c r="AK79" s="598">
        <f t="shared" si="127"/>
        <v>7.3</v>
      </c>
      <c r="AL79" s="598">
        <f t="shared" si="127"/>
        <v>7.1</v>
      </c>
      <c r="AM79" s="598">
        <f t="shared" si="127"/>
        <v>7.7</v>
      </c>
      <c r="AN79" s="598">
        <f t="shared" si="127"/>
        <v>6.6</v>
      </c>
      <c r="AO79" s="598">
        <f t="shared" si="128"/>
        <v>6.5</v>
      </c>
      <c r="AP79" s="598">
        <f t="shared" si="128"/>
        <v>7.4</v>
      </c>
      <c r="AQ79" s="598">
        <f t="shared" si="128"/>
        <v>8.3000000000000007</v>
      </c>
      <c r="AR79" s="598">
        <f t="shared" si="128"/>
        <v>7.5</v>
      </c>
      <c r="AS79" s="598">
        <f t="shared" si="128"/>
        <v>7.3</v>
      </c>
      <c r="AT79" s="598">
        <f t="shared" si="128"/>
        <v>7.1</v>
      </c>
      <c r="AU79" s="598">
        <f t="shared" si="128"/>
        <v>7</v>
      </c>
      <c r="AV79" s="598">
        <f t="shared" si="128"/>
        <v>6.4</v>
      </c>
      <c r="AW79" s="598">
        <f t="shared" si="128"/>
        <v>6.7</v>
      </c>
      <c r="AX79" s="598">
        <f t="shared" si="128"/>
        <v>6.3</v>
      </c>
      <c r="AY79" s="598">
        <f t="shared" si="128"/>
        <v>6.4</v>
      </c>
    </row>
    <row r="80" spans="1:51">
      <c r="A80" s="108" t="s">
        <v>73</v>
      </c>
      <c r="B80" s="520"/>
      <c r="C80" s="520"/>
      <c r="D80" s="520"/>
      <c r="E80" s="520"/>
      <c r="F80" s="520"/>
      <c r="G80" s="520"/>
      <c r="H80" s="520"/>
      <c r="I80" s="520"/>
      <c r="J80" s="520"/>
      <c r="K80" s="520"/>
      <c r="AA80" s="472"/>
      <c r="AB80" s="472"/>
      <c r="AC80" s="472"/>
      <c r="AD80" s="503" t="s">
        <v>461</v>
      </c>
      <c r="AE80" s="598"/>
      <c r="AF80" s="598"/>
      <c r="AG80" s="598"/>
      <c r="AH80" s="598"/>
      <c r="AI80" s="598"/>
      <c r="AJ80" s="598"/>
      <c r="AK80" s="598"/>
      <c r="AL80" s="598"/>
      <c r="AM80" s="598"/>
      <c r="AN80" s="598"/>
      <c r="AO80" s="598"/>
      <c r="AP80" s="598"/>
      <c r="AQ80" s="598"/>
      <c r="AR80" s="598"/>
      <c r="AS80" s="598"/>
      <c r="AT80" s="598"/>
      <c r="AU80" s="598"/>
      <c r="AV80" s="598"/>
      <c r="AW80" s="598"/>
      <c r="AX80" s="598"/>
      <c r="AY80" s="598"/>
    </row>
    <row r="81" spans="1:51">
      <c r="A81" s="49" t="s">
        <v>74</v>
      </c>
      <c r="B81" s="419">
        <f>AP81</f>
        <v>6.5</v>
      </c>
      <c r="C81" s="419">
        <f t="shared" ref="C81:K84" si="129">AQ81</f>
        <v>8.6999999999999993</v>
      </c>
      <c r="D81" s="419">
        <f t="shared" si="129"/>
        <v>8.1</v>
      </c>
      <c r="E81" s="419">
        <f t="shared" si="129"/>
        <v>7.9</v>
      </c>
      <c r="F81" s="419">
        <f t="shared" si="129"/>
        <v>7.3</v>
      </c>
      <c r="G81" s="419">
        <f t="shared" si="129"/>
        <v>7</v>
      </c>
      <c r="H81" s="419">
        <f t="shared" si="129"/>
        <v>6.8</v>
      </c>
      <c r="I81" s="419">
        <f t="shared" si="129"/>
        <v>7.5</v>
      </c>
      <c r="J81" s="419">
        <f t="shared" si="129"/>
        <v>5.6</v>
      </c>
      <c r="K81" s="419">
        <f t="shared" si="129"/>
        <v>7</v>
      </c>
      <c r="AA81" s="472"/>
      <c r="AB81" s="472"/>
      <c r="AC81" s="472"/>
      <c r="AD81" s="503" t="s">
        <v>129</v>
      </c>
      <c r="AE81" s="598">
        <f t="shared" ref="AE81:AN84" si="130">VLOOKUP(AE$73&amp;$AD$80&amp;$AD81&amp;$AF$5, vw.deaths,7, FALSE)</f>
        <v>6.9</v>
      </c>
      <c r="AF81" s="598">
        <f t="shared" si="130"/>
        <v>7.1</v>
      </c>
      <c r="AG81" s="598">
        <f t="shared" si="130"/>
        <v>5.4</v>
      </c>
      <c r="AH81" s="598">
        <f t="shared" si="130"/>
        <v>6.8</v>
      </c>
      <c r="AI81" s="598">
        <f t="shared" si="130"/>
        <v>5.8</v>
      </c>
      <c r="AJ81" s="598">
        <f t="shared" si="130"/>
        <v>6.8</v>
      </c>
      <c r="AK81" s="598">
        <f t="shared" si="130"/>
        <v>6.7</v>
      </c>
      <c r="AL81" s="598">
        <f t="shared" si="130"/>
        <v>6.5</v>
      </c>
      <c r="AM81" s="598">
        <f t="shared" si="130"/>
        <v>8.5</v>
      </c>
      <c r="AN81" s="598">
        <f t="shared" si="130"/>
        <v>6.7</v>
      </c>
      <c r="AO81" s="598">
        <f t="shared" ref="AO81:AY84" si="131">VLOOKUP(AO$73&amp;$AD$80&amp;$AD81&amp;$AF$5, vw.deaths,7, FALSE)</f>
        <v>5.5</v>
      </c>
      <c r="AP81" s="598">
        <f t="shared" si="131"/>
        <v>6.5</v>
      </c>
      <c r="AQ81" s="598">
        <f t="shared" si="131"/>
        <v>8.6999999999999993</v>
      </c>
      <c r="AR81" s="598">
        <f t="shared" si="131"/>
        <v>8.1</v>
      </c>
      <c r="AS81" s="598">
        <f t="shared" si="131"/>
        <v>7.9</v>
      </c>
      <c r="AT81" s="598">
        <f t="shared" si="131"/>
        <v>7.3</v>
      </c>
      <c r="AU81" s="598">
        <f t="shared" si="131"/>
        <v>7</v>
      </c>
      <c r="AV81" s="598">
        <f t="shared" si="131"/>
        <v>6.8</v>
      </c>
      <c r="AW81" s="598">
        <f t="shared" si="131"/>
        <v>7.5</v>
      </c>
      <c r="AX81" s="598">
        <f t="shared" si="131"/>
        <v>5.6</v>
      </c>
      <c r="AY81" s="598">
        <f t="shared" si="131"/>
        <v>7</v>
      </c>
    </row>
    <row r="82" spans="1:51">
      <c r="A82" s="49" t="s">
        <v>320</v>
      </c>
      <c r="B82" s="419">
        <f>AP82</f>
        <v>8.1999999999999993</v>
      </c>
      <c r="C82" s="419">
        <f t="shared" si="129"/>
        <v>11</v>
      </c>
      <c r="D82" s="419">
        <f t="shared" si="129"/>
        <v>9.1999999999999993</v>
      </c>
      <c r="E82" s="419">
        <f t="shared" si="129"/>
        <v>9.6999999999999993</v>
      </c>
      <c r="F82" s="419">
        <f t="shared" si="129"/>
        <v>7.1</v>
      </c>
      <c r="G82" s="419">
        <f t="shared" si="129"/>
        <v>7.1</v>
      </c>
      <c r="H82" s="419">
        <f t="shared" si="129"/>
        <v>7.6</v>
      </c>
      <c r="I82" s="419">
        <f t="shared" si="129"/>
        <v>7.7</v>
      </c>
      <c r="J82" s="419">
        <f t="shared" si="129"/>
        <v>6.1</v>
      </c>
      <c r="K82" s="419">
        <f t="shared" si="129"/>
        <v>7.5</v>
      </c>
      <c r="AA82" s="472"/>
      <c r="AB82" s="472"/>
      <c r="AC82" s="472"/>
      <c r="AD82" s="503" t="s">
        <v>320</v>
      </c>
      <c r="AE82" s="598">
        <f t="shared" si="130"/>
        <v>7.8</v>
      </c>
      <c r="AF82" s="598">
        <f t="shared" si="130"/>
        <v>8</v>
      </c>
      <c r="AG82" s="598">
        <f t="shared" si="130"/>
        <v>9.6</v>
      </c>
      <c r="AH82" s="598">
        <f t="shared" si="130"/>
        <v>9.6999999999999993</v>
      </c>
      <c r="AI82" s="598">
        <f t="shared" si="130"/>
        <v>6.6</v>
      </c>
      <c r="AJ82" s="598">
        <f t="shared" si="130"/>
        <v>6.8</v>
      </c>
      <c r="AK82" s="598">
        <f t="shared" si="130"/>
        <v>9.1</v>
      </c>
      <c r="AL82" s="598">
        <f t="shared" si="130"/>
        <v>7.9</v>
      </c>
      <c r="AM82" s="598">
        <f t="shared" si="130"/>
        <v>10.1</v>
      </c>
      <c r="AN82" s="598">
        <f t="shared" si="130"/>
        <v>6.8</v>
      </c>
      <c r="AO82" s="598">
        <f t="shared" si="131"/>
        <v>8.6999999999999993</v>
      </c>
      <c r="AP82" s="598">
        <f t="shared" si="131"/>
        <v>8.1999999999999993</v>
      </c>
      <c r="AQ82" s="598">
        <f t="shared" si="131"/>
        <v>11</v>
      </c>
      <c r="AR82" s="598">
        <f t="shared" si="131"/>
        <v>9.1999999999999993</v>
      </c>
      <c r="AS82" s="598">
        <f t="shared" si="131"/>
        <v>9.6999999999999993</v>
      </c>
      <c r="AT82" s="598">
        <f t="shared" si="131"/>
        <v>7.1</v>
      </c>
      <c r="AU82" s="598">
        <f t="shared" si="131"/>
        <v>7.1</v>
      </c>
      <c r="AV82" s="598">
        <f t="shared" si="131"/>
        <v>7.6</v>
      </c>
      <c r="AW82" s="598">
        <f t="shared" si="131"/>
        <v>7.7</v>
      </c>
      <c r="AX82" s="598">
        <f t="shared" si="131"/>
        <v>6.1</v>
      </c>
      <c r="AY82" s="598">
        <f t="shared" si="131"/>
        <v>7.5</v>
      </c>
    </row>
    <row r="83" spans="1:51">
      <c r="A83" s="309" t="s">
        <v>355</v>
      </c>
      <c r="B83" s="419">
        <f>AP83</f>
        <v>6.8</v>
      </c>
      <c r="C83" s="419">
        <f t="shared" si="129"/>
        <v>9.1999999999999993</v>
      </c>
      <c r="D83" s="419">
        <f t="shared" si="129"/>
        <v>6.9</v>
      </c>
      <c r="E83" s="419">
        <f t="shared" si="129"/>
        <v>7.5</v>
      </c>
      <c r="F83" s="419">
        <f t="shared" si="129"/>
        <v>8</v>
      </c>
      <c r="G83" s="419">
        <f t="shared" si="129"/>
        <v>8.6999999999999993</v>
      </c>
      <c r="H83" s="419">
        <f t="shared" si="129"/>
        <v>7</v>
      </c>
      <c r="I83" s="419">
        <f t="shared" si="129"/>
        <v>6.1</v>
      </c>
      <c r="J83" s="419">
        <f t="shared" si="129"/>
        <v>6.1</v>
      </c>
      <c r="K83" s="419">
        <f t="shared" si="129"/>
        <v>6.7</v>
      </c>
      <c r="AA83" s="472"/>
      <c r="AB83" s="472"/>
      <c r="AC83" s="472"/>
      <c r="AD83" s="503" t="s">
        <v>355</v>
      </c>
      <c r="AE83" s="598">
        <f t="shared" si="130"/>
        <v>5.3</v>
      </c>
      <c r="AF83" s="598">
        <f t="shared" si="130"/>
        <v>6</v>
      </c>
      <c r="AG83" s="598">
        <f t="shared" si="130"/>
        <v>6.8</v>
      </c>
      <c r="AH83" s="598">
        <f t="shared" si="130"/>
        <v>6.7</v>
      </c>
      <c r="AI83" s="598">
        <f t="shared" si="130"/>
        <v>7.5</v>
      </c>
      <c r="AJ83" s="598">
        <f t="shared" si="130"/>
        <v>8.1</v>
      </c>
      <c r="AK83" s="598">
        <f t="shared" si="130"/>
        <v>5.8</v>
      </c>
      <c r="AL83" s="598">
        <f t="shared" si="130"/>
        <v>9.3000000000000007</v>
      </c>
      <c r="AM83" s="598">
        <f t="shared" si="130"/>
        <v>10</v>
      </c>
      <c r="AN83" s="598">
        <f t="shared" si="130"/>
        <v>7.8</v>
      </c>
      <c r="AO83" s="598">
        <f t="shared" si="131"/>
        <v>8.6</v>
      </c>
      <c r="AP83" s="598">
        <f t="shared" si="131"/>
        <v>6.8</v>
      </c>
      <c r="AQ83" s="598">
        <f t="shared" si="131"/>
        <v>9.1999999999999993</v>
      </c>
      <c r="AR83" s="598">
        <f t="shared" si="131"/>
        <v>6.9</v>
      </c>
      <c r="AS83" s="598">
        <f t="shared" si="131"/>
        <v>7.5</v>
      </c>
      <c r="AT83" s="598">
        <f t="shared" si="131"/>
        <v>8</v>
      </c>
      <c r="AU83" s="598">
        <f t="shared" si="131"/>
        <v>8.6999999999999993</v>
      </c>
      <c r="AV83" s="598">
        <f t="shared" si="131"/>
        <v>7</v>
      </c>
      <c r="AW83" s="598">
        <f t="shared" si="131"/>
        <v>6.1</v>
      </c>
      <c r="AX83" s="598">
        <f t="shared" si="131"/>
        <v>6.1</v>
      </c>
      <c r="AY83" s="598">
        <f t="shared" si="131"/>
        <v>6.7</v>
      </c>
    </row>
    <row r="84" spans="1:51">
      <c r="A84" s="309" t="s">
        <v>356</v>
      </c>
      <c r="B84" s="419">
        <f>AP84</f>
        <v>7.4</v>
      </c>
      <c r="C84" s="419">
        <f t="shared" si="129"/>
        <v>7.5</v>
      </c>
      <c r="D84" s="419">
        <f t="shared" si="129"/>
        <v>7</v>
      </c>
      <c r="E84" s="419">
        <f t="shared" si="129"/>
        <v>6.1</v>
      </c>
      <c r="F84" s="419">
        <f t="shared" si="129"/>
        <v>6.9</v>
      </c>
      <c r="G84" s="419">
        <f t="shared" si="129"/>
        <v>6.8</v>
      </c>
      <c r="H84" s="419">
        <f t="shared" si="129"/>
        <v>6</v>
      </c>
      <c r="I84" s="419">
        <f t="shared" si="129"/>
        <v>8.1999999999999993</v>
      </c>
      <c r="J84" s="419">
        <f t="shared" si="129"/>
        <v>6.5</v>
      </c>
      <c r="K84" s="419">
        <f t="shared" si="129"/>
        <v>6.6</v>
      </c>
      <c r="AA84" s="472"/>
      <c r="AB84" s="472"/>
      <c r="AC84" s="472"/>
      <c r="AD84" s="503" t="s">
        <v>356</v>
      </c>
      <c r="AE84" s="598">
        <f t="shared" si="130"/>
        <v>7.2</v>
      </c>
      <c r="AF84" s="598">
        <f t="shared" si="130"/>
        <v>7.2</v>
      </c>
      <c r="AG84" s="598">
        <f t="shared" si="130"/>
        <v>5.5</v>
      </c>
      <c r="AH84" s="598">
        <f t="shared" si="130"/>
        <v>7.3</v>
      </c>
      <c r="AI84" s="598">
        <f t="shared" si="130"/>
        <v>6.6</v>
      </c>
      <c r="AJ84" s="598">
        <f t="shared" si="130"/>
        <v>6.7</v>
      </c>
      <c r="AK84" s="598">
        <f t="shared" si="130"/>
        <v>7.1</v>
      </c>
      <c r="AL84" s="598">
        <f t="shared" si="130"/>
        <v>6.5</v>
      </c>
      <c r="AM84" s="598">
        <f t="shared" si="130"/>
        <v>8</v>
      </c>
      <c r="AN84" s="598">
        <f t="shared" si="130"/>
        <v>6.7</v>
      </c>
      <c r="AO84" s="598">
        <f t="shared" si="131"/>
        <v>6.7</v>
      </c>
      <c r="AP84" s="598">
        <f t="shared" si="131"/>
        <v>7.4</v>
      </c>
      <c r="AQ84" s="598">
        <f t="shared" si="131"/>
        <v>7.5</v>
      </c>
      <c r="AR84" s="598">
        <f t="shared" si="131"/>
        <v>7</v>
      </c>
      <c r="AS84" s="598">
        <f t="shared" si="131"/>
        <v>6.1</v>
      </c>
      <c r="AT84" s="598">
        <f t="shared" si="131"/>
        <v>6.9</v>
      </c>
      <c r="AU84" s="598">
        <f t="shared" si="131"/>
        <v>6.8</v>
      </c>
      <c r="AV84" s="598">
        <f t="shared" si="131"/>
        <v>6</v>
      </c>
      <c r="AW84" s="598">
        <f t="shared" si="131"/>
        <v>8.1999999999999993</v>
      </c>
      <c r="AX84" s="598">
        <f t="shared" si="131"/>
        <v>6.5</v>
      </c>
      <c r="AY84" s="598">
        <f t="shared" si="131"/>
        <v>6.6</v>
      </c>
    </row>
    <row r="85" spans="1:51">
      <c r="A85" s="108" t="s">
        <v>152</v>
      </c>
      <c r="B85" s="520"/>
      <c r="C85" s="520"/>
      <c r="D85" s="520"/>
      <c r="E85" s="520"/>
      <c r="F85" s="520"/>
      <c r="G85" s="520"/>
      <c r="H85" s="520"/>
      <c r="I85" s="520"/>
      <c r="J85" s="520"/>
      <c r="K85" s="520"/>
      <c r="AA85" s="472"/>
      <c r="AB85" s="472"/>
      <c r="AC85" s="472"/>
      <c r="AD85" s="503" t="s">
        <v>462</v>
      </c>
      <c r="AE85" s="598"/>
      <c r="AF85" s="598"/>
      <c r="AG85" s="598"/>
      <c r="AH85" s="598"/>
      <c r="AI85" s="598"/>
      <c r="AJ85" s="598"/>
      <c r="AK85" s="598"/>
      <c r="AL85" s="598"/>
      <c r="AM85" s="598"/>
      <c r="AN85" s="598"/>
      <c r="AO85" s="598"/>
      <c r="AP85" s="598"/>
      <c r="AQ85" s="598"/>
      <c r="AR85" s="598"/>
      <c r="AS85" s="598"/>
      <c r="AT85" s="598"/>
      <c r="AU85" s="598"/>
      <c r="AV85" s="598"/>
      <c r="AW85" s="598"/>
      <c r="AX85" s="598"/>
      <c r="AY85" s="598"/>
    </row>
    <row r="86" spans="1:51">
      <c r="A86" s="422" t="s">
        <v>339</v>
      </c>
      <c r="B86" s="419">
        <f t="shared" ref="B86:B91" si="132">AP86</f>
        <v>7.5</v>
      </c>
      <c r="C86" s="419">
        <f t="shared" ref="C86:K91" si="133">AQ86</f>
        <v>11.5</v>
      </c>
      <c r="D86" s="419">
        <f t="shared" si="133"/>
        <v>10.9</v>
      </c>
      <c r="E86" s="419">
        <f t="shared" si="133"/>
        <v>7.1</v>
      </c>
      <c r="F86" s="419">
        <f t="shared" si="133"/>
        <v>8.3000000000000007</v>
      </c>
      <c r="G86" s="419">
        <f t="shared" si="133"/>
        <v>10.5</v>
      </c>
      <c r="H86" s="419">
        <f t="shared" si="133"/>
        <v>9.9</v>
      </c>
      <c r="I86" s="419">
        <f t="shared" si="133"/>
        <v>10.5</v>
      </c>
      <c r="J86" s="419">
        <f t="shared" si="133"/>
        <v>9</v>
      </c>
      <c r="K86" s="419">
        <f t="shared" si="133"/>
        <v>13.9</v>
      </c>
      <c r="AA86" s="472"/>
      <c r="AB86" s="472"/>
      <c r="AC86" s="472"/>
      <c r="AD86" s="771" t="s">
        <v>339</v>
      </c>
      <c r="AE86" s="598">
        <f t="shared" ref="AE86:AN91" si="134">VLOOKUP(AE$73&amp;$AD$85&amp;$AD86&amp;$AF$5, vw.deaths,7, FALSE)</f>
        <v>8.5</v>
      </c>
      <c r="AF86" s="598">
        <f t="shared" si="134"/>
        <v>8.1</v>
      </c>
      <c r="AG86" s="598">
        <f t="shared" si="134"/>
        <v>5.9</v>
      </c>
      <c r="AH86" s="598">
        <f t="shared" si="134"/>
        <v>9.6999999999999993</v>
      </c>
      <c r="AI86" s="598">
        <f t="shared" si="134"/>
        <v>7.3</v>
      </c>
      <c r="AJ86" s="598">
        <f t="shared" si="134"/>
        <v>7.6</v>
      </c>
      <c r="AK86" s="598">
        <f t="shared" si="134"/>
        <v>7.9</v>
      </c>
      <c r="AL86" s="598">
        <f t="shared" si="134"/>
        <v>9.4</v>
      </c>
      <c r="AM86" s="598">
        <f t="shared" si="134"/>
        <v>11.6</v>
      </c>
      <c r="AN86" s="598">
        <f t="shared" si="134"/>
        <v>8.6</v>
      </c>
      <c r="AO86" s="598">
        <f t="shared" ref="AO86:AY91" si="135">VLOOKUP(AO$73&amp;$AD$85&amp;$AD86&amp;$AF$5, vw.deaths,7, FALSE)</f>
        <v>6.2</v>
      </c>
      <c r="AP86" s="598">
        <f t="shared" si="135"/>
        <v>7.5</v>
      </c>
      <c r="AQ86" s="598">
        <f t="shared" si="135"/>
        <v>11.5</v>
      </c>
      <c r="AR86" s="598">
        <f t="shared" si="135"/>
        <v>10.9</v>
      </c>
      <c r="AS86" s="598">
        <f t="shared" si="135"/>
        <v>7.1</v>
      </c>
      <c r="AT86" s="598">
        <f t="shared" si="135"/>
        <v>8.3000000000000007</v>
      </c>
      <c r="AU86" s="598">
        <f t="shared" si="135"/>
        <v>10.5</v>
      </c>
      <c r="AV86" s="598">
        <f t="shared" si="135"/>
        <v>9.9</v>
      </c>
      <c r="AW86" s="598">
        <f t="shared" si="135"/>
        <v>10.5</v>
      </c>
      <c r="AX86" s="598">
        <f t="shared" si="135"/>
        <v>9</v>
      </c>
      <c r="AY86" s="598">
        <f t="shared" si="135"/>
        <v>13.9</v>
      </c>
    </row>
    <row r="87" spans="1:51">
      <c r="A87" s="49" t="s">
        <v>77</v>
      </c>
      <c r="B87" s="419">
        <f t="shared" si="132"/>
        <v>7.6</v>
      </c>
      <c r="C87" s="419">
        <f t="shared" si="133"/>
        <v>8.6999999999999993</v>
      </c>
      <c r="D87" s="419">
        <f t="shared" si="133"/>
        <v>6.6</v>
      </c>
      <c r="E87" s="419">
        <f t="shared" si="133"/>
        <v>9.3000000000000007</v>
      </c>
      <c r="F87" s="419">
        <f t="shared" si="133"/>
        <v>7.2</v>
      </c>
      <c r="G87" s="419">
        <f t="shared" si="133"/>
        <v>6.8</v>
      </c>
      <c r="H87" s="419">
        <f t="shared" si="133"/>
        <v>5.8</v>
      </c>
      <c r="I87" s="419">
        <f t="shared" si="133"/>
        <v>7.9</v>
      </c>
      <c r="J87" s="419">
        <f t="shared" si="133"/>
        <v>4.9000000000000004</v>
      </c>
      <c r="K87" s="419">
        <f t="shared" si="133"/>
        <v>7.3</v>
      </c>
      <c r="AA87" s="472"/>
      <c r="AB87" s="472"/>
      <c r="AC87" s="472"/>
      <c r="AD87" s="771" t="s">
        <v>130</v>
      </c>
      <c r="AE87" s="598">
        <f t="shared" si="134"/>
        <v>7.6</v>
      </c>
      <c r="AF87" s="598">
        <f t="shared" si="134"/>
        <v>8.3000000000000007</v>
      </c>
      <c r="AG87" s="598">
        <f t="shared" si="134"/>
        <v>6.5</v>
      </c>
      <c r="AH87" s="598">
        <f t="shared" si="134"/>
        <v>7.7</v>
      </c>
      <c r="AI87" s="598">
        <f t="shared" si="134"/>
        <v>5.8</v>
      </c>
      <c r="AJ87" s="598">
        <f t="shared" si="134"/>
        <v>6.8</v>
      </c>
      <c r="AK87" s="598">
        <f t="shared" si="134"/>
        <v>6.2</v>
      </c>
      <c r="AL87" s="598">
        <f t="shared" si="134"/>
        <v>8.1</v>
      </c>
      <c r="AM87" s="598">
        <f t="shared" si="134"/>
        <v>9.1</v>
      </c>
      <c r="AN87" s="598">
        <f t="shared" si="134"/>
        <v>6.7</v>
      </c>
      <c r="AO87" s="598">
        <f t="shared" si="135"/>
        <v>6.8</v>
      </c>
      <c r="AP87" s="598">
        <f t="shared" si="135"/>
        <v>7.6</v>
      </c>
      <c r="AQ87" s="598">
        <f t="shared" si="135"/>
        <v>8.6999999999999993</v>
      </c>
      <c r="AR87" s="598">
        <f t="shared" si="135"/>
        <v>6.6</v>
      </c>
      <c r="AS87" s="598">
        <f t="shared" si="135"/>
        <v>9.3000000000000007</v>
      </c>
      <c r="AT87" s="598">
        <f t="shared" si="135"/>
        <v>7.2</v>
      </c>
      <c r="AU87" s="598">
        <f t="shared" si="135"/>
        <v>6.8</v>
      </c>
      <c r="AV87" s="598">
        <f t="shared" si="135"/>
        <v>5.8</v>
      </c>
      <c r="AW87" s="598">
        <f t="shared" si="135"/>
        <v>7.9</v>
      </c>
      <c r="AX87" s="598">
        <f t="shared" si="135"/>
        <v>4.9000000000000004</v>
      </c>
      <c r="AY87" s="598">
        <f t="shared" si="135"/>
        <v>7.3</v>
      </c>
    </row>
    <row r="88" spans="1:51">
      <c r="A88" s="49" t="s">
        <v>78</v>
      </c>
      <c r="B88" s="419">
        <f t="shared" si="132"/>
        <v>6.9</v>
      </c>
      <c r="C88" s="419">
        <f t="shared" si="133"/>
        <v>7.5</v>
      </c>
      <c r="D88" s="419">
        <f t="shared" si="133"/>
        <v>7</v>
      </c>
      <c r="E88" s="419">
        <f t="shared" si="133"/>
        <v>6.4</v>
      </c>
      <c r="F88" s="419">
        <f t="shared" si="133"/>
        <v>6.5</v>
      </c>
      <c r="G88" s="419">
        <f t="shared" si="133"/>
        <v>5.5</v>
      </c>
      <c r="H88" s="419">
        <f t="shared" si="133"/>
        <v>5.7</v>
      </c>
      <c r="I88" s="419">
        <f t="shared" si="133"/>
        <v>6.8</v>
      </c>
      <c r="J88" s="419">
        <f t="shared" si="133"/>
        <v>6.4</v>
      </c>
      <c r="K88" s="419">
        <f t="shared" si="133"/>
        <v>6.1</v>
      </c>
      <c r="AA88" s="472"/>
      <c r="AB88" s="472"/>
      <c r="AC88" s="472"/>
      <c r="AD88" s="771" t="s">
        <v>131</v>
      </c>
      <c r="AE88" s="598">
        <f t="shared" si="134"/>
        <v>6.9</v>
      </c>
      <c r="AF88" s="598">
        <f t="shared" si="134"/>
        <v>5.9</v>
      </c>
      <c r="AG88" s="598">
        <f t="shared" si="134"/>
        <v>4.9000000000000004</v>
      </c>
      <c r="AH88" s="598">
        <f t="shared" si="134"/>
        <v>7.3</v>
      </c>
      <c r="AI88" s="598">
        <f t="shared" si="134"/>
        <v>5.7</v>
      </c>
      <c r="AJ88" s="598">
        <f t="shared" si="134"/>
        <v>6.8</v>
      </c>
      <c r="AK88" s="598">
        <f t="shared" si="134"/>
        <v>6.4</v>
      </c>
      <c r="AL88" s="598">
        <f t="shared" si="134"/>
        <v>6.7</v>
      </c>
      <c r="AM88" s="598">
        <f t="shared" si="134"/>
        <v>7.2</v>
      </c>
      <c r="AN88" s="598">
        <f t="shared" si="134"/>
        <v>5.7</v>
      </c>
      <c r="AO88" s="598">
        <f t="shared" si="135"/>
        <v>6.5</v>
      </c>
      <c r="AP88" s="598">
        <f t="shared" si="135"/>
        <v>6.9</v>
      </c>
      <c r="AQ88" s="598">
        <f t="shared" si="135"/>
        <v>7.5</v>
      </c>
      <c r="AR88" s="598">
        <f t="shared" si="135"/>
        <v>7</v>
      </c>
      <c r="AS88" s="598">
        <f t="shared" si="135"/>
        <v>6.4</v>
      </c>
      <c r="AT88" s="598">
        <f t="shared" si="135"/>
        <v>6.5</v>
      </c>
      <c r="AU88" s="598">
        <f t="shared" si="135"/>
        <v>5.5</v>
      </c>
      <c r="AV88" s="598">
        <f t="shared" si="135"/>
        <v>5.7</v>
      </c>
      <c r="AW88" s="598">
        <f t="shared" si="135"/>
        <v>6.8</v>
      </c>
      <c r="AX88" s="598">
        <f t="shared" si="135"/>
        <v>6.4</v>
      </c>
      <c r="AY88" s="598">
        <f t="shared" si="135"/>
        <v>6.1</v>
      </c>
    </row>
    <row r="89" spans="1:51">
      <c r="A89" s="49" t="s">
        <v>79</v>
      </c>
      <c r="B89" s="419">
        <f t="shared" si="132"/>
        <v>6.3</v>
      </c>
      <c r="C89" s="419">
        <f t="shared" si="133"/>
        <v>7.9</v>
      </c>
      <c r="D89" s="419">
        <f t="shared" si="133"/>
        <v>6.7</v>
      </c>
      <c r="E89" s="419">
        <f t="shared" si="133"/>
        <v>5.8</v>
      </c>
      <c r="F89" s="419">
        <f t="shared" si="133"/>
        <v>6.3</v>
      </c>
      <c r="G89" s="419">
        <f t="shared" si="133"/>
        <v>6.6</v>
      </c>
      <c r="H89" s="419">
        <f t="shared" si="133"/>
        <v>6.4</v>
      </c>
      <c r="I89" s="419">
        <f t="shared" si="133"/>
        <v>7</v>
      </c>
      <c r="J89" s="419">
        <f t="shared" si="133"/>
        <v>5.5</v>
      </c>
      <c r="K89" s="419">
        <f t="shared" si="133"/>
        <v>6.1</v>
      </c>
      <c r="AA89" s="472"/>
      <c r="AB89" s="472"/>
      <c r="AC89" s="472"/>
      <c r="AD89" s="771" t="s">
        <v>132</v>
      </c>
      <c r="AE89" s="598">
        <f t="shared" si="134"/>
        <v>6.1</v>
      </c>
      <c r="AF89" s="598">
        <f t="shared" si="134"/>
        <v>6.5</v>
      </c>
      <c r="AG89" s="598">
        <f t="shared" si="134"/>
        <v>5.9</v>
      </c>
      <c r="AH89" s="598">
        <f t="shared" si="134"/>
        <v>6.2</v>
      </c>
      <c r="AI89" s="598">
        <f t="shared" si="134"/>
        <v>6.3</v>
      </c>
      <c r="AJ89" s="598">
        <f t="shared" si="134"/>
        <v>5.6</v>
      </c>
      <c r="AK89" s="598">
        <f t="shared" si="134"/>
        <v>6.6</v>
      </c>
      <c r="AL89" s="598">
        <f t="shared" si="134"/>
        <v>5.5</v>
      </c>
      <c r="AM89" s="598">
        <f t="shared" si="134"/>
        <v>7.3</v>
      </c>
      <c r="AN89" s="598">
        <f t="shared" si="134"/>
        <v>6.7</v>
      </c>
      <c r="AO89" s="598">
        <f t="shared" si="135"/>
        <v>6.4</v>
      </c>
      <c r="AP89" s="598">
        <f t="shared" si="135"/>
        <v>6.3</v>
      </c>
      <c r="AQ89" s="598">
        <f t="shared" si="135"/>
        <v>7.9</v>
      </c>
      <c r="AR89" s="598">
        <f t="shared" si="135"/>
        <v>6.7</v>
      </c>
      <c r="AS89" s="598">
        <f t="shared" si="135"/>
        <v>5.8</v>
      </c>
      <c r="AT89" s="598">
        <f t="shared" si="135"/>
        <v>6.3</v>
      </c>
      <c r="AU89" s="598">
        <f t="shared" si="135"/>
        <v>6.6</v>
      </c>
      <c r="AV89" s="598">
        <f t="shared" si="135"/>
        <v>6.4</v>
      </c>
      <c r="AW89" s="598">
        <f t="shared" si="135"/>
        <v>7</v>
      </c>
      <c r="AX89" s="598">
        <f t="shared" si="135"/>
        <v>5.5</v>
      </c>
      <c r="AY89" s="598">
        <f t="shared" si="135"/>
        <v>6.1</v>
      </c>
    </row>
    <row r="90" spans="1:51">
      <c r="A90" s="49" t="s">
        <v>80</v>
      </c>
      <c r="B90" s="419">
        <f t="shared" si="132"/>
        <v>7.9</v>
      </c>
      <c r="C90" s="419">
        <f t="shared" si="133"/>
        <v>7.9</v>
      </c>
      <c r="D90" s="419">
        <f t="shared" si="133"/>
        <v>9.1999999999999993</v>
      </c>
      <c r="E90" s="419">
        <f t="shared" si="133"/>
        <v>7.7</v>
      </c>
      <c r="F90" s="419">
        <f t="shared" si="133"/>
        <v>9.1</v>
      </c>
      <c r="G90" s="419">
        <f t="shared" si="133"/>
        <v>8.5</v>
      </c>
      <c r="H90" s="419">
        <f t="shared" si="133"/>
        <v>6.2</v>
      </c>
      <c r="I90" s="419">
        <f t="shared" si="133"/>
        <v>8.1</v>
      </c>
      <c r="J90" s="419">
        <f t="shared" si="133"/>
        <v>6.5</v>
      </c>
      <c r="K90" s="419">
        <f t="shared" si="133"/>
        <v>6.9</v>
      </c>
      <c r="AA90" s="472"/>
      <c r="AB90" s="472"/>
      <c r="AC90" s="472"/>
      <c r="AD90" s="771" t="s">
        <v>133</v>
      </c>
      <c r="AE90" s="598">
        <f t="shared" si="134"/>
        <v>6.2</v>
      </c>
      <c r="AF90" s="598">
        <f t="shared" si="134"/>
        <v>8.4</v>
      </c>
      <c r="AG90" s="598">
        <f t="shared" si="134"/>
        <v>6.3</v>
      </c>
      <c r="AH90" s="598">
        <f t="shared" si="134"/>
        <v>7.3</v>
      </c>
      <c r="AI90" s="598">
        <f t="shared" si="134"/>
        <v>7.8</v>
      </c>
      <c r="AJ90" s="598">
        <f t="shared" si="134"/>
        <v>8.3000000000000007</v>
      </c>
      <c r="AK90" s="598">
        <f t="shared" si="134"/>
        <v>9.1999999999999993</v>
      </c>
      <c r="AL90" s="598">
        <f t="shared" si="134"/>
        <v>7.1</v>
      </c>
      <c r="AM90" s="598">
        <f t="shared" si="134"/>
        <v>9.5</v>
      </c>
      <c r="AN90" s="598">
        <f t="shared" si="134"/>
        <v>7.1</v>
      </c>
      <c r="AO90" s="598">
        <f t="shared" si="135"/>
        <v>6.8</v>
      </c>
      <c r="AP90" s="598">
        <f t="shared" si="135"/>
        <v>7.9</v>
      </c>
      <c r="AQ90" s="598">
        <f t="shared" si="135"/>
        <v>7.9</v>
      </c>
      <c r="AR90" s="598">
        <f t="shared" si="135"/>
        <v>9.1999999999999993</v>
      </c>
      <c r="AS90" s="598">
        <f t="shared" si="135"/>
        <v>7.7</v>
      </c>
      <c r="AT90" s="598">
        <f t="shared" si="135"/>
        <v>9.1</v>
      </c>
      <c r="AU90" s="598">
        <f t="shared" si="135"/>
        <v>8.5</v>
      </c>
      <c r="AV90" s="598">
        <f t="shared" si="135"/>
        <v>6.2</v>
      </c>
      <c r="AW90" s="598">
        <f t="shared" si="135"/>
        <v>8.1</v>
      </c>
      <c r="AX90" s="598">
        <f t="shared" si="135"/>
        <v>6.5</v>
      </c>
      <c r="AY90" s="598">
        <f t="shared" si="135"/>
        <v>6.9</v>
      </c>
    </row>
    <row r="91" spans="1:51">
      <c r="A91" s="49" t="s">
        <v>81</v>
      </c>
      <c r="B91" s="419">
        <f t="shared" si="132"/>
        <v>9.9</v>
      </c>
      <c r="C91" s="419">
        <f t="shared" si="133"/>
        <v>13.1</v>
      </c>
      <c r="D91" s="419">
        <f t="shared" si="133"/>
        <v>7.6</v>
      </c>
      <c r="E91" s="419">
        <f t="shared" si="133"/>
        <v>9.6999999999999993</v>
      </c>
      <c r="F91" s="419">
        <f t="shared" si="133"/>
        <v>7.7</v>
      </c>
      <c r="G91" s="419">
        <f t="shared" si="133"/>
        <v>12.2</v>
      </c>
      <c r="H91" s="419">
        <f t="shared" si="133"/>
        <v>12.8</v>
      </c>
      <c r="I91" s="419">
        <f t="shared" si="133"/>
        <v>10.3</v>
      </c>
      <c r="J91" s="419">
        <f t="shared" si="133"/>
        <v>9.1999999999999993</v>
      </c>
      <c r="K91" s="419">
        <f t="shared" si="133"/>
        <v>6.5</v>
      </c>
      <c r="AA91" s="472"/>
      <c r="AB91" s="472"/>
      <c r="AC91" s="472"/>
      <c r="AD91" s="772" t="s">
        <v>134</v>
      </c>
      <c r="AE91" s="598">
        <f t="shared" si="134"/>
        <v>16.600000000000001</v>
      </c>
      <c r="AF91" s="598">
        <f t="shared" si="134"/>
        <v>11</v>
      </c>
      <c r="AG91" s="598">
        <f t="shared" si="134"/>
        <v>15.7</v>
      </c>
      <c r="AH91" s="598">
        <f t="shared" si="134"/>
        <v>14.2</v>
      </c>
      <c r="AI91" s="598">
        <f t="shared" si="134"/>
        <v>9.5</v>
      </c>
      <c r="AJ91" s="598">
        <f t="shared" si="134"/>
        <v>10.1</v>
      </c>
      <c r="AK91" s="598">
        <f t="shared" si="134"/>
        <v>10.8</v>
      </c>
      <c r="AL91" s="598">
        <f t="shared" si="134"/>
        <v>9.5</v>
      </c>
      <c r="AM91" s="598">
        <f t="shared" si="134"/>
        <v>15.3</v>
      </c>
      <c r="AN91" s="598">
        <f t="shared" si="134"/>
        <v>10.199999999999999</v>
      </c>
      <c r="AO91" s="598">
        <f t="shared" si="135"/>
        <v>11.7</v>
      </c>
      <c r="AP91" s="598">
        <f t="shared" si="135"/>
        <v>9.9</v>
      </c>
      <c r="AQ91" s="598">
        <f t="shared" si="135"/>
        <v>13.1</v>
      </c>
      <c r="AR91" s="598">
        <f t="shared" si="135"/>
        <v>7.6</v>
      </c>
      <c r="AS91" s="598">
        <f t="shared" si="135"/>
        <v>9.6999999999999993</v>
      </c>
      <c r="AT91" s="598">
        <f t="shared" si="135"/>
        <v>7.7</v>
      </c>
      <c r="AU91" s="598">
        <f t="shared" si="135"/>
        <v>12.2</v>
      </c>
      <c r="AV91" s="598">
        <f t="shared" si="135"/>
        <v>12.8</v>
      </c>
      <c r="AW91" s="598">
        <f t="shared" si="135"/>
        <v>10.3</v>
      </c>
      <c r="AX91" s="598">
        <f t="shared" si="135"/>
        <v>9.1999999999999993</v>
      </c>
      <c r="AY91" s="598">
        <f t="shared" si="135"/>
        <v>6.5</v>
      </c>
    </row>
    <row r="92" spans="1:51">
      <c r="A92" s="108" t="s">
        <v>75</v>
      </c>
      <c r="B92" s="520"/>
      <c r="C92" s="520"/>
      <c r="D92" s="520"/>
      <c r="E92" s="520"/>
      <c r="F92" s="520"/>
      <c r="G92" s="520"/>
      <c r="H92" s="520"/>
      <c r="I92" s="520"/>
      <c r="J92" s="520"/>
      <c r="K92" s="520"/>
      <c r="AA92" s="472"/>
      <c r="AB92" s="472"/>
      <c r="AC92" s="472"/>
      <c r="AD92" s="774" t="s">
        <v>463</v>
      </c>
      <c r="AE92" s="598"/>
      <c r="AF92" s="598"/>
      <c r="AG92" s="598"/>
      <c r="AH92" s="598"/>
      <c r="AI92" s="598"/>
      <c r="AJ92" s="598"/>
      <c r="AK92" s="598"/>
      <c r="AL92" s="598"/>
      <c r="AM92" s="598"/>
      <c r="AN92" s="598"/>
      <c r="AO92" s="598"/>
      <c r="AP92" s="598"/>
      <c r="AQ92" s="598"/>
      <c r="AR92" s="598"/>
      <c r="AS92" s="598"/>
      <c r="AT92" s="598"/>
      <c r="AU92" s="598"/>
      <c r="AV92" s="598"/>
      <c r="AW92" s="598"/>
      <c r="AX92" s="598"/>
      <c r="AY92" s="598"/>
    </row>
    <row r="93" spans="1:51">
      <c r="A93" s="49" t="s">
        <v>83</v>
      </c>
      <c r="B93" s="419">
        <f>AP93</f>
        <v>6.4</v>
      </c>
      <c r="C93" s="419">
        <f t="shared" ref="C93:K97" si="136">AQ93</f>
        <v>6.5</v>
      </c>
      <c r="D93" s="419">
        <f t="shared" si="136"/>
        <v>6.4</v>
      </c>
      <c r="E93" s="419">
        <f t="shared" si="136"/>
        <v>6.4</v>
      </c>
      <c r="F93" s="419">
        <f t="shared" si="136"/>
        <v>8</v>
      </c>
      <c r="G93" s="419">
        <f t="shared" si="136"/>
        <v>6</v>
      </c>
      <c r="H93" s="419">
        <f t="shared" si="136"/>
        <v>5.3</v>
      </c>
      <c r="I93" s="419">
        <f t="shared" si="136"/>
        <v>7.7</v>
      </c>
      <c r="J93" s="419">
        <f t="shared" si="136"/>
        <v>5.7</v>
      </c>
      <c r="K93" s="419">
        <f t="shared" si="136"/>
        <v>4.7</v>
      </c>
      <c r="AA93" s="472"/>
      <c r="AB93" s="472"/>
      <c r="AC93" s="472"/>
      <c r="AD93" s="774" t="s">
        <v>421</v>
      </c>
      <c r="AE93" s="598">
        <f t="shared" ref="AE93:AN97" si="137">VLOOKUP(AE$73&amp;$AD$92&amp;$AD93&amp;$AF$5, vw.deaths,7, FALSE)</f>
        <v>6.1</v>
      </c>
      <c r="AF93" s="598">
        <f t="shared" si="137"/>
        <v>5.2</v>
      </c>
      <c r="AG93" s="598">
        <f t="shared" si="137"/>
        <v>3.9</v>
      </c>
      <c r="AH93" s="598">
        <f t="shared" si="137"/>
        <v>6.4</v>
      </c>
      <c r="AI93" s="598">
        <f t="shared" si="137"/>
        <v>4.7</v>
      </c>
      <c r="AJ93" s="598">
        <f t="shared" si="137"/>
        <v>7.1</v>
      </c>
      <c r="AK93" s="598">
        <f t="shared" si="137"/>
        <v>4.3</v>
      </c>
      <c r="AL93" s="598">
        <f t="shared" si="137"/>
        <v>4.5</v>
      </c>
      <c r="AM93" s="598">
        <f t="shared" si="137"/>
        <v>6.6</v>
      </c>
      <c r="AN93" s="598">
        <f t="shared" si="137"/>
        <v>7.3</v>
      </c>
      <c r="AO93" s="598">
        <f t="shared" ref="AO93:AY97" si="138">VLOOKUP(AO$73&amp;$AD$92&amp;$AD93&amp;$AF$5, vw.deaths,7, FALSE)</f>
        <v>4.7</v>
      </c>
      <c r="AP93" s="598">
        <f t="shared" si="138"/>
        <v>6.4</v>
      </c>
      <c r="AQ93" s="598">
        <f t="shared" si="138"/>
        <v>6.5</v>
      </c>
      <c r="AR93" s="598">
        <f t="shared" si="138"/>
        <v>6.4</v>
      </c>
      <c r="AS93" s="598">
        <f t="shared" si="138"/>
        <v>6.4</v>
      </c>
      <c r="AT93" s="598">
        <f t="shared" si="138"/>
        <v>8</v>
      </c>
      <c r="AU93" s="598">
        <f t="shared" si="138"/>
        <v>6</v>
      </c>
      <c r="AV93" s="598">
        <f t="shared" si="138"/>
        <v>5.3</v>
      </c>
      <c r="AW93" s="598">
        <f t="shared" si="138"/>
        <v>7.7</v>
      </c>
      <c r="AX93" s="598">
        <f t="shared" si="138"/>
        <v>5.7</v>
      </c>
      <c r="AY93" s="598">
        <f t="shared" si="138"/>
        <v>4.7</v>
      </c>
    </row>
    <row r="94" spans="1:51">
      <c r="A94" s="13">
        <v>2</v>
      </c>
      <c r="B94" s="419">
        <f>AP94</f>
        <v>6.1</v>
      </c>
      <c r="C94" s="419">
        <f t="shared" si="136"/>
        <v>7.1</v>
      </c>
      <c r="D94" s="419">
        <f t="shared" si="136"/>
        <v>6</v>
      </c>
      <c r="E94" s="419">
        <f t="shared" si="136"/>
        <v>6.5</v>
      </c>
      <c r="F94" s="419">
        <f t="shared" si="136"/>
        <v>6.7</v>
      </c>
      <c r="G94" s="419">
        <f t="shared" si="136"/>
        <v>7.1</v>
      </c>
      <c r="H94" s="419">
        <f t="shared" si="136"/>
        <v>5.4</v>
      </c>
      <c r="I94" s="419">
        <f t="shared" si="136"/>
        <v>7.4</v>
      </c>
      <c r="J94" s="419">
        <f t="shared" si="136"/>
        <v>5.6</v>
      </c>
      <c r="K94" s="419">
        <f t="shared" si="136"/>
        <v>6.3</v>
      </c>
      <c r="AA94" s="472"/>
      <c r="AB94" s="472"/>
      <c r="AC94" s="472"/>
      <c r="AD94" s="774" t="s">
        <v>422</v>
      </c>
      <c r="AE94" s="598">
        <f t="shared" si="137"/>
        <v>6.3</v>
      </c>
      <c r="AF94" s="598">
        <f t="shared" si="137"/>
        <v>7.7</v>
      </c>
      <c r="AG94" s="598">
        <f t="shared" si="137"/>
        <v>7</v>
      </c>
      <c r="AH94" s="598">
        <f t="shared" si="137"/>
        <v>7</v>
      </c>
      <c r="AI94" s="598">
        <f t="shared" si="137"/>
        <v>8.8000000000000007</v>
      </c>
      <c r="AJ94" s="598">
        <f t="shared" si="137"/>
        <v>6.7</v>
      </c>
      <c r="AK94" s="598">
        <f t="shared" si="137"/>
        <v>6.5</v>
      </c>
      <c r="AL94" s="598">
        <f t="shared" si="137"/>
        <v>6.2</v>
      </c>
      <c r="AM94" s="598">
        <f t="shared" si="137"/>
        <v>7.5</v>
      </c>
      <c r="AN94" s="598">
        <f t="shared" si="137"/>
        <v>6.5</v>
      </c>
      <c r="AO94" s="598">
        <f t="shared" si="138"/>
        <v>6.5</v>
      </c>
      <c r="AP94" s="598">
        <f t="shared" si="138"/>
        <v>6.1</v>
      </c>
      <c r="AQ94" s="598">
        <f t="shared" si="138"/>
        <v>7.1</v>
      </c>
      <c r="AR94" s="598">
        <f t="shared" si="138"/>
        <v>6</v>
      </c>
      <c r="AS94" s="598">
        <f t="shared" si="138"/>
        <v>6.5</v>
      </c>
      <c r="AT94" s="598">
        <f t="shared" si="138"/>
        <v>6.7</v>
      </c>
      <c r="AU94" s="598">
        <f t="shared" si="138"/>
        <v>7.1</v>
      </c>
      <c r="AV94" s="598">
        <f t="shared" si="138"/>
        <v>5.4</v>
      </c>
      <c r="AW94" s="598">
        <f t="shared" si="138"/>
        <v>7.4</v>
      </c>
      <c r="AX94" s="598">
        <f t="shared" si="138"/>
        <v>5.6</v>
      </c>
      <c r="AY94" s="598">
        <f t="shared" si="138"/>
        <v>6.3</v>
      </c>
    </row>
    <row r="95" spans="1:51">
      <c r="A95" s="13">
        <v>3</v>
      </c>
      <c r="B95" s="419">
        <f>AP95</f>
        <v>7.5</v>
      </c>
      <c r="C95" s="419">
        <f t="shared" si="136"/>
        <v>8.8000000000000007</v>
      </c>
      <c r="D95" s="419">
        <f t="shared" si="136"/>
        <v>7.9</v>
      </c>
      <c r="E95" s="419">
        <f t="shared" si="136"/>
        <v>6.4</v>
      </c>
      <c r="F95" s="419">
        <f t="shared" si="136"/>
        <v>7.1</v>
      </c>
      <c r="G95" s="419">
        <f t="shared" si="136"/>
        <v>5.3</v>
      </c>
      <c r="H95" s="419">
        <f t="shared" si="136"/>
        <v>8</v>
      </c>
      <c r="I95" s="419">
        <f t="shared" si="136"/>
        <v>6.8</v>
      </c>
      <c r="J95" s="419">
        <f t="shared" si="136"/>
        <v>4.2</v>
      </c>
      <c r="K95" s="419">
        <f t="shared" si="136"/>
        <v>6.2</v>
      </c>
      <c r="AA95" s="472"/>
      <c r="AB95" s="472"/>
      <c r="AC95" s="472"/>
      <c r="AD95" s="774" t="s">
        <v>423</v>
      </c>
      <c r="AE95" s="598">
        <f t="shared" si="137"/>
        <v>6.4</v>
      </c>
      <c r="AF95" s="598">
        <f t="shared" si="137"/>
        <v>7.1</v>
      </c>
      <c r="AG95" s="598">
        <f t="shared" si="137"/>
        <v>5.5</v>
      </c>
      <c r="AH95" s="598">
        <f t="shared" si="137"/>
        <v>6.8</v>
      </c>
      <c r="AI95" s="598">
        <f t="shared" si="137"/>
        <v>5.2</v>
      </c>
      <c r="AJ95" s="598">
        <f t="shared" si="137"/>
        <v>6.5</v>
      </c>
      <c r="AK95" s="598">
        <f t="shared" si="137"/>
        <v>7.3</v>
      </c>
      <c r="AL95" s="598">
        <f t="shared" si="137"/>
        <v>6.1</v>
      </c>
      <c r="AM95" s="598">
        <f t="shared" si="137"/>
        <v>9.6</v>
      </c>
      <c r="AN95" s="598">
        <f t="shared" si="137"/>
        <v>6.2</v>
      </c>
      <c r="AO95" s="598">
        <f t="shared" si="138"/>
        <v>8.1999999999999993</v>
      </c>
      <c r="AP95" s="598">
        <f t="shared" si="138"/>
        <v>7.5</v>
      </c>
      <c r="AQ95" s="598">
        <f t="shared" si="138"/>
        <v>8.8000000000000007</v>
      </c>
      <c r="AR95" s="598">
        <f t="shared" si="138"/>
        <v>7.9</v>
      </c>
      <c r="AS95" s="598">
        <f t="shared" si="138"/>
        <v>6.4</v>
      </c>
      <c r="AT95" s="598">
        <f t="shared" si="138"/>
        <v>7.1</v>
      </c>
      <c r="AU95" s="598">
        <f t="shared" si="138"/>
        <v>5.3</v>
      </c>
      <c r="AV95" s="598">
        <f t="shared" si="138"/>
        <v>8</v>
      </c>
      <c r="AW95" s="598">
        <f t="shared" si="138"/>
        <v>6.8</v>
      </c>
      <c r="AX95" s="598">
        <f t="shared" si="138"/>
        <v>4.2</v>
      </c>
      <c r="AY95" s="598">
        <f t="shared" si="138"/>
        <v>6.2</v>
      </c>
    </row>
    <row r="96" spans="1:51">
      <c r="A96" s="13">
        <v>4</v>
      </c>
      <c r="B96" s="419">
        <f>AP96</f>
        <v>7.3</v>
      </c>
      <c r="C96" s="419">
        <f t="shared" si="136"/>
        <v>7.2</v>
      </c>
      <c r="D96" s="419">
        <f t="shared" si="136"/>
        <v>8.1999999999999993</v>
      </c>
      <c r="E96" s="419">
        <f t="shared" si="136"/>
        <v>6.4</v>
      </c>
      <c r="F96" s="419">
        <f t="shared" si="136"/>
        <v>7.3</v>
      </c>
      <c r="G96" s="419">
        <f t="shared" si="136"/>
        <v>6.8</v>
      </c>
      <c r="H96" s="419">
        <f t="shared" si="136"/>
        <v>6.3</v>
      </c>
      <c r="I96" s="419">
        <f t="shared" si="136"/>
        <v>7.9</v>
      </c>
      <c r="J96" s="419">
        <f t="shared" si="136"/>
        <v>6</v>
      </c>
      <c r="K96" s="419">
        <f t="shared" si="136"/>
        <v>6.8</v>
      </c>
      <c r="AA96" s="472"/>
      <c r="AB96" s="472"/>
      <c r="AC96" s="472"/>
      <c r="AD96" s="774" t="s">
        <v>424</v>
      </c>
      <c r="AE96" s="598">
        <f t="shared" si="137"/>
        <v>8.3000000000000007</v>
      </c>
      <c r="AF96" s="598">
        <f t="shared" si="137"/>
        <v>8</v>
      </c>
      <c r="AG96" s="598">
        <f t="shared" si="137"/>
        <v>5.6</v>
      </c>
      <c r="AH96" s="598">
        <f t="shared" si="137"/>
        <v>7.7</v>
      </c>
      <c r="AI96" s="598">
        <f t="shared" si="137"/>
        <v>7</v>
      </c>
      <c r="AJ96" s="598">
        <f t="shared" si="137"/>
        <v>6.2</v>
      </c>
      <c r="AK96" s="598">
        <f t="shared" si="137"/>
        <v>6.1</v>
      </c>
      <c r="AL96" s="598">
        <f t="shared" si="137"/>
        <v>8.1999999999999993</v>
      </c>
      <c r="AM96" s="598">
        <f t="shared" si="137"/>
        <v>7.7</v>
      </c>
      <c r="AN96" s="598">
        <f t="shared" si="137"/>
        <v>8</v>
      </c>
      <c r="AO96" s="598">
        <f t="shared" si="138"/>
        <v>6.8</v>
      </c>
      <c r="AP96" s="598">
        <f t="shared" si="138"/>
        <v>7.3</v>
      </c>
      <c r="AQ96" s="598">
        <f t="shared" si="138"/>
        <v>7.2</v>
      </c>
      <c r="AR96" s="598">
        <f t="shared" si="138"/>
        <v>8.1999999999999993</v>
      </c>
      <c r="AS96" s="598">
        <f t="shared" si="138"/>
        <v>6.4</v>
      </c>
      <c r="AT96" s="598">
        <f t="shared" si="138"/>
        <v>7.3</v>
      </c>
      <c r="AU96" s="598">
        <f t="shared" si="138"/>
        <v>6.8</v>
      </c>
      <c r="AV96" s="598">
        <f t="shared" si="138"/>
        <v>6.3</v>
      </c>
      <c r="AW96" s="598">
        <f t="shared" si="138"/>
        <v>7.9</v>
      </c>
      <c r="AX96" s="598">
        <f t="shared" si="138"/>
        <v>6</v>
      </c>
      <c r="AY96" s="598">
        <f t="shared" si="138"/>
        <v>6.8</v>
      </c>
    </row>
    <row r="97" spans="1:51">
      <c r="A97" s="49" t="s">
        <v>84</v>
      </c>
      <c r="B97" s="419">
        <f>AP97</f>
        <v>7.9</v>
      </c>
      <c r="C97" s="419">
        <f t="shared" si="136"/>
        <v>9.5</v>
      </c>
      <c r="D97" s="419">
        <f t="shared" si="136"/>
        <v>8.1</v>
      </c>
      <c r="E97" s="419">
        <f t="shared" si="136"/>
        <v>8.6999999999999993</v>
      </c>
      <c r="F97" s="419">
        <f t="shared" si="136"/>
        <v>7</v>
      </c>
      <c r="G97" s="419">
        <f t="shared" si="136"/>
        <v>8.9</v>
      </c>
      <c r="H97" s="419">
        <f t="shared" si="136"/>
        <v>7.1</v>
      </c>
      <c r="I97" s="419">
        <f t="shared" si="136"/>
        <v>8</v>
      </c>
      <c r="J97" s="419">
        <f t="shared" si="136"/>
        <v>7.2</v>
      </c>
      <c r="K97" s="419">
        <f t="shared" si="136"/>
        <v>7.4</v>
      </c>
      <c r="AA97" s="472"/>
      <c r="AB97" s="472"/>
      <c r="AC97" s="472"/>
      <c r="AD97" s="774" t="s">
        <v>425</v>
      </c>
      <c r="AE97" s="598">
        <f t="shared" si="137"/>
        <v>7.7</v>
      </c>
      <c r="AF97" s="598">
        <f t="shared" si="137"/>
        <v>7.6</v>
      </c>
      <c r="AG97" s="598">
        <f t="shared" si="137"/>
        <v>7.4</v>
      </c>
      <c r="AH97" s="598">
        <f t="shared" si="137"/>
        <v>9.1</v>
      </c>
      <c r="AI97" s="598">
        <f t="shared" si="137"/>
        <v>6.5</v>
      </c>
      <c r="AJ97" s="598">
        <f t="shared" si="137"/>
        <v>8.1</v>
      </c>
      <c r="AK97" s="598">
        <f t="shared" si="137"/>
        <v>8.3000000000000007</v>
      </c>
      <c r="AL97" s="598">
        <f t="shared" si="137"/>
        <v>8.1999999999999993</v>
      </c>
      <c r="AM97" s="598">
        <f t="shared" si="137"/>
        <v>10.4</v>
      </c>
      <c r="AN97" s="598">
        <f t="shared" si="137"/>
        <v>6.4</v>
      </c>
      <c r="AO97" s="598">
        <f t="shared" si="138"/>
        <v>7.1</v>
      </c>
      <c r="AP97" s="598">
        <f t="shared" si="138"/>
        <v>7.9</v>
      </c>
      <c r="AQ97" s="598">
        <f t="shared" si="138"/>
        <v>9.5</v>
      </c>
      <c r="AR97" s="598">
        <f t="shared" si="138"/>
        <v>8.1</v>
      </c>
      <c r="AS97" s="598">
        <f t="shared" si="138"/>
        <v>8.6999999999999993</v>
      </c>
      <c r="AT97" s="598">
        <f t="shared" si="138"/>
        <v>7</v>
      </c>
      <c r="AU97" s="598">
        <f t="shared" si="138"/>
        <v>8.9</v>
      </c>
      <c r="AV97" s="598">
        <f t="shared" si="138"/>
        <v>7.1</v>
      </c>
      <c r="AW97" s="598">
        <f t="shared" si="138"/>
        <v>8</v>
      </c>
      <c r="AX97" s="598">
        <f t="shared" si="138"/>
        <v>7.2</v>
      </c>
      <c r="AY97" s="598">
        <f t="shared" si="138"/>
        <v>7.4</v>
      </c>
    </row>
    <row r="98" spans="1:51">
      <c r="A98" s="108" t="s">
        <v>105</v>
      </c>
      <c r="B98" s="520"/>
      <c r="C98" s="520"/>
      <c r="D98" s="520"/>
      <c r="E98" s="520"/>
      <c r="F98" s="520"/>
      <c r="G98" s="520"/>
      <c r="H98" s="520"/>
      <c r="I98" s="520"/>
      <c r="J98" s="520"/>
      <c r="K98" s="520"/>
      <c r="AA98" s="472"/>
      <c r="AB98" s="472"/>
      <c r="AC98" s="472"/>
      <c r="AD98" s="503" t="s">
        <v>135</v>
      </c>
      <c r="AE98" s="598"/>
      <c r="AF98" s="598"/>
      <c r="AG98" s="598"/>
      <c r="AH98" s="598"/>
      <c r="AI98" s="598"/>
      <c r="AJ98" s="598"/>
      <c r="AK98" s="598"/>
      <c r="AL98" s="598"/>
      <c r="AM98" s="598"/>
      <c r="AN98" s="598"/>
      <c r="AO98" s="598"/>
      <c r="AP98" s="598"/>
      <c r="AQ98" s="598"/>
      <c r="AR98" s="598"/>
      <c r="AS98" s="598"/>
      <c r="AT98" s="598"/>
      <c r="AU98" s="598"/>
      <c r="AV98" s="598"/>
      <c r="AW98" s="598"/>
      <c r="AX98" s="598"/>
      <c r="AY98" s="598"/>
    </row>
    <row r="99" spans="1:51">
      <c r="A99" s="404" t="s">
        <v>375</v>
      </c>
      <c r="B99" s="419">
        <f>AP99</f>
        <v>447.6</v>
      </c>
      <c r="C99" s="419">
        <f t="shared" ref="C99:K103" si="139">AQ99</f>
        <v>492.6</v>
      </c>
      <c r="D99" s="419">
        <f t="shared" si="139"/>
        <v>481.4</v>
      </c>
      <c r="E99" s="419">
        <f t="shared" si="139"/>
        <v>459.6</v>
      </c>
      <c r="F99" s="419">
        <f t="shared" si="139"/>
        <v>484</v>
      </c>
      <c r="G99" s="419">
        <f t="shared" si="139"/>
        <v>487.4</v>
      </c>
      <c r="H99" s="419">
        <f t="shared" si="139"/>
        <v>427.2</v>
      </c>
      <c r="I99" s="419">
        <f t="shared" si="139"/>
        <v>461.9</v>
      </c>
      <c r="J99" s="419">
        <f t="shared" si="139"/>
        <v>427.7</v>
      </c>
      <c r="K99" s="419">
        <f t="shared" si="139"/>
        <v>466.1</v>
      </c>
      <c r="AA99" s="472"/>
      <c r="AB99" s="472"/>
      <c r="AC99" s="472"/>
      <c r="AD99" s="503" t="s">
        <v>375</v>
      </c>
      <c r="AE99" s="598">
        <f t="shared" ref="AE99:AN103" si="140">VLOOKUP(AE$73&amp;$AD$98&amp;$AD99&amp;$AF$5, vw.deaths,7, FALSE)</f>
        <v>447.8</v>
      </c>
      <c r="AF99" s="598">
        <f t="shared" si="140"/>
        <v>467.5</v>
      </c>
      <c r="AG99" s="598">
        <f t="shared" si="140"/>
        <v>422.5</v>
      </c>
      <c r="AH99" s="598">
        <f t="shared" si="140"/>
        <v>439.6</v>
      </c>
      <c r="AI99" s="598">
        <f t="shared" si="140"/>
        <v>370.3</v>
      </c>
      <c r="AJ99" s="598">
        <f t="shared" si="140"/>
        <v>447.4</v>
      </c>
      <c r="AK99" s="598">
        <f t="shared" si="140"/>
        <v>404</v>
      </c>
      <c r="AL99" s="598">
        <f t="shared" si="140"/>
        <v>411.8</v>
      </c>
      <c r="AM99" s="598">
        <f t="shared" si="140"/>
        <v>499.1</v>
      </c>
      <c r="AN99" s="598">
        <f t="shared" si="140"/>
        <v>446.2</v>
      </c>
      <c r="AO99" s="598">
        <f t="shared" ref="AO99:AY103" si="141">VLOOKUP(AO$73&amp;$AD$98&amp;$AD99&amp;$AF$5, vw.deaths,7, FALSE)</f>
        <v>459.8</v>
      </c>
      <c r="AP99" s="598">
        <f t="shared" si="141"/>
        <v>447.6</v>
      </c>
      <c r="AQ99" s="598">
        <f t="shared" si="141"/>
        <v>492.6</v>
      </c>
      <c r="AR99" s="598">
        <f t="shared" si="141"/>
        <v>481.4</v>
      </c>
      <c r="AS99" s="598">
        <f t="shared" si="141"/>
        <v>459.6</v>
      </c>
      <c r="AT99" s="598">
        <f t="shared" si="141"/>
        <v>484</v>
      </c>
      <c r="AU99" s="598">
        <f t="shared" si="141"/>
        <v>487.4</v>
      </c>
      <c r="AV99" s="598">
        <f t="shared" si="141"/>
        <v>427.2</v>
      </c>
      <c r="AW99" s="598">
        <f t="shared" si="141"/>
        <v>461.9</v>
      </c>
      <c r="AX99" s="598">
        <f t="shared" si="141"/>
        <v>427.7</v>
      </c>
      <c r="AY99" s="598">
        <f t="shared" si="141"/>
        <v>466.1</v>
      </c>
    </row>
    <row r="100" spans="1:51">
      <c r="A100" s="404" t="s">
        <v>376</v>
      </c>
      <c r="B100" s="419">
        <f>AP100</f>
        <v>81.900000000000006</v>
      </c>
      <c r="C100" s="419">
        <f t="shared" si="139"/>
        <v>87.6</v>
      </c>
      <c r="D100" s="419">
        <f t="shared" si="139"/>
        <v>79.900000000000006</v>
      </c>
      <c r="E100" s="419">
        <f t="shared" si="139"/>
        <v>70.3</v>
      </c>
      <c r="F100" s="419">
        <f t="shared" si="139"/>
        <v>81.900000000000006</v>
      </c>
      <c r="G100" s="419">
        <f t="shared" si="139"/>
        <v>70.099999999999994</v>
      </c>
      <c r="H100" s="419">
        <f t="shared" si="139"/>
        <v>66.7</v>
      </c>
      <c r="I100" s="419">
        <f t="shared" si="139"/>
        <v>92.7</v>
      </c>
      <c r="J100" s="419">
        <f t="shared" si="139"/>
        <v>59.2</v>
      </c>
      <c r="K100" s="419">
        <f t="shared" si="139"/>
        <v>83.5</v>
      </c>
      <c r="AA100" s="472"/>
      <c r="AB100" s="472"/>
      <c r="AC100" s="472"/>
      <c r="AD100" s="771" t="s">
        <v>395</v>
      </c>
      <c r="AE100" s="598">
        <f t="shared" si="140"/>
        <v>88.9</v>
      </c>
      <c r="AF100" s="598">
        <f t="shared" si="140"/>
        <v>95.6</v>
      </c>
      <c r="AG100" s="598">
        <f t="shared" si="140"/>
        <v>78.400000000000006</v>
      </c>
      <c r="AH100" s="598">
        <f t="shared" si="140"/>
        <v>94.9</v>
      </c>
      <c r="AI100" s="598">
        <f t="shared" si="140"/>
        <v>92</v>
      </c>
      <c r="AJ100" s="598">
        <f t="shared" si="140"/>
        <v>54.1</v>
      </c>
      <c r="AK100" s="598">
        <f t="shared" si="140"/>
        <v>64.8</v>
      </c>
      <c r="AL100" s="598">
        <f t="shared" si="140"/>
        <v>88.2</v>
      </c>
      <c r="AM100" s="598">
        <f t="shared" si="140"/>
        <v>89.3</v>
      </c>
      <c r="AN100" s="598">
        <f t="shared" si="140"/>
        <v>77.2</v>
      </c>
      <c r="AO100" s="598">
        <f t="shared" si="141"/>
        <v>87.3</v>
      </c>
      <c r="AP100" s="598">
        <f t="shared" si="141"/>
        <v>81.900000000000006</v>
      </c>
      <c r="AQ100" s="598">
        <f t="shared" si="141"/>
        <v>87.6</v>
      </c>
      <c r="AR100" s="598">
        <f t="shared" si="141"/>
        <v>79.900000000000006</v>
      </c>
      <c r="AS100" s="598">
        <f t="shared" si="141"/>
        <v>70.3</v>
      </c>
      <c r="AT100" s="598">
        <f t="shared" si="141"/>
        <v>81.900000000000006</v>
      </c>
      <c r="AU100" s="598">
        <f t="shared" si="141"/>
        <v>70.099999999999994</v>
      </c>
      <c r="AV100" s="598">
        <f t="shared" si="141"/>
        <v>66.7</v>
      </c>
      <c r="AW100" s="598">
        <f t="shared" si="141"/>
        <v>92.7</v>
      </c>
      <c r="AX100" s="598">
        <f t="shared" si="141"/>
        <v>59.2</v>
      </c>
      <c r="AY100" s="598">
        <f t="shared" si="141"/>
        <v>83.5</v>
      </c>
    </row>
    <row r="101" spans="1:51">
      <c r="A101" s="404" t="s">
        <v>64</v>
      </c>
      <c r="B101" s="419">
        <f>AP101</f>
        <v>18.100000000000001</v>
      </c>
      <c r="C101" s="419">
        <f t="shared" si="139"/>
        <v>17.2</v>
      </c>
      <c r="D101" s="419">
        <f t="shared" si="139"/>
        <v>14.5</v>
      </c>
      <c r="E101" s="419">
        <f t="shared" si="139"/>
        <v>16.7</v>
      </c>
      <c r="F101" s="419">
        <f t="shared" si="139"/>
        <v>14.7</v>
      </c>
      <c r="G101" s="419">
        <f t="shared" si="139"/>
        <v>13.5</v>
      </c>
      <c r="H101" s="419">
        <f t="shared" si="139"/>
        <v>16.399999999999999</v>
      </c>
      <c r="I101" s="419">
        <f t="shared" si="139"/>
        <v>14.7</v>
      </c>
      <c r="J101" s="419">
        <f t="shared" si="139"/>
        <v>11.8</v>
      </c>
      <c r="K101" s="419">
        <f t="shared" si="139"/>
        <v>14.5</v>
      </c>
      <c r="AA101" s="472"/>
      <c r="AB101" s="472"/>
      <c r="AC101" s="472"/>
      <c r="AD101" s="773" t="s">
        <v>136</v>
      </c>
      <c r="AE101" s="598">
        <f t="shared" si="140"/>
        <v>20.399999999999999</v>
      </c>
      <c r="AF101" s="598">
        <f t="shared" si="140"/>
        <v>18.600000000000001</v>
      </c>
      <c r="AG101" s="598">
        <f t="shared" si="140"/>
        <v>16.3</v>
      </c>
      <c r="AH101" s="598">
        <f t="shared" si="140"/>
        <v>16.899999999999999</v>
      </c>
      <c r="AI101" s="598">
        <f t="shared" si="140"/>
        <v>15.1</v>
      </c>
      <c r="AJ101" s="598">
        <f t="shared" si="140"/>
        <v>17.3</v>
      </c>
      <c r="AK101" s="598">
        <f t="shared" si="140"/>
        <v>14.3</v>
      </c>
      <c r="AL101" s="598">
        <f t="shared" si="140"/>
        <v>19</v>
      </c>
      <c r="AM101" s="598">
        <f t="shared" si="140"/>
        <v>17.3</v>
      </c>
      <c r="AN101" s="598">
        <f t="shared" si="140"/>
        <v>15.3</v>
      </c>
      <c r="AO101" s="598">
        <f t="shared" si="141"/>
        <v>14</v>
      </c>
      <c r="AP101" s="598">
        <f t="shared" si="141"/>
        <v>18.100000000000001</v>
      </c>
      <c r="AQ101" s="598">
        <f t="shared" si="141"/>
        <v>17.2</v>
      </c>
      <c r="AR101" s="598">
        <f t="shared" si="141"/>
        <v>14.5</v>
      </c>
      <c r="AS101" s="598">
        <f t="shared" si="141"/>
        <v>16.7</v>
      </c>
      <c r="AT101" s="598">
        <f t="shared" si="141"/>
        <v>14.7</v>
      </c>
      <c r="AU101" s="598">
        <f t="shared" si="141"/>
        <v>13.5</v>
      </c>
      <c r="AV101" s="598">
        <f t="shared" si="141"/>
        <v>16.399999999999999</v>
      </c>
      <c r="AW101" s="598">
        <f t="shared" si="141"/>
        <v>14.7</v>
      </c>
      <c r="AX101" s="598">
        <f t="shared" si="141"/>
        <v>11.8</v>
      </c>
      <c r="AY101" s="598">
        <f t="shared" si="141"/>
        <v>14.5</v>
      </c>
    </row>
    <row r="102" spans="1:51">
      <c r="A102" s="49" t="s">
        <v>65</v>
      </c>
      <c r="B102" s="419">
        <f>AP102</f>
        <v>1.7</v>
      </c>
      <c r="C102" s="419">
        <f t="shared" si="139"/>
        <v>2.2000000000000002</v>
      </c>
      <c r="D102" s="419">
        <f t="shared" si="139"/>
        <v>2</v>
      </c>
      <c r="E102" s="419">
        <f t="shared" si="139"/>
        <v>1.6</v>
      </c>
      <c r="F102" s="419">
        <f t="shared" si="139"/>
        <v>1.6</v>
      </c>
      <c r="G102" s="419">
        <f t="shared" si="139"/>
        <v>1.5</v>
      </c>
      <c r="H102" s="419">
        <f t="shared" si="139"/>
        <v>1.4</v>
      </c>
      <c r="I102" s="419">
        <f t="shared" si="139"/>
        <v>1.4</v>
      </c>
      <c r="J102" s="419">
        <f t="shared" si="139"/>
        <v>1.5</v>
      </c>
      <c r="K102" s="419">
        <f t="shared" si="139"/>
        <v>1.6</v>
      </c>
      <c r="AA102" s="472"/>
      <c r="AB102" s="472"/>
      <c r="AC102" s="472"/>
      <c r="AD102" s="773" t="s">
        <v>137</v>
      </c>
      <c r="AE102" s="598">
        <f t="shared" si="140"/>
        <v>1.7</v>
      </c>
      <c r="AF102" s="598">
        <f t="shared" si="140"/>
        <v>1.7</v>
      </c>
      <c r="AG102" s="598">
        <f t="shared" si="140"/>
        <v>1.3</v>
      </c>
      <c r="AH102" s="598">
        <f t="shared" si="140"/>
        <v>1.6</v>
      </c>
      <c r="AI102" s="598">
        <f t="shared" si="140"/>
        <v>1.6</v>
      </c>
      <c r="AJ102" s="598">
        <f t="shared" si="140"/>
        <v>1.9</v>
      </c>
      <c r="AK102" s="598">
        <f t="shared" si="140"/>
        <v>1.8</v>
      </c>
      <c r="AL102" s="598">
        <f t="shared" si="140"/>
        <v>1.5</v>
      </c>
      <c r="AM102" s="598">
        <f t="shared" si="140"/>
        <v>2</v>
      </c>
      <c r="AN102" s="598">
        <f t="shared" si="140"/>
        <v>1.6</v>
      </c>
      <c r="AO102" s="598">
        <f t="shared" si="141"/>
        <v>1.4</v>
      </c>
      <c r="AP102" s="598">
        <f t="shared" si="141"/>
        <v>1.7</v>
      </c>
      <c r="AQ102" s="598">
        <f t="shared" si="141"/>
        <v>2.2000000000000002</v>
      </c>
      <c r="AR102" s="598">
        <f t="shared" si="141"/>
        <v>2</v>
      </c>
      <c r="AS102" s="598">
        <f t="shared" si="141"/>
        <v>1.6</v>
      </c>
      <c r="AT102" s="598">
        <f t="shared" si="141"/>
        <v>1.6</v>
      </c>
      <c r="AU102" s="598">
        <f t="shared" si="141"/>
        <v>1.5</v>
      </c>
      <c r="AV102" s="598">
        <f t="shared" si="141"/>
        <v>1.4</v>
      </c>
      <c r="AW102" s="598">
        <f t="shared" si="141"/>
        <v>1.4</v>
      </c>
      <c r="AX102" s="598">
        <f t="shared" si="141"/>
        <v>1.5</v>
      </c>
      <c r="AY102" s="598">
        <f t="shared" si="141"/>
        <v>1.6</v>
      </c>
    </row>
    <row r="103" spans="1:51">
      <c r="A103" s="49" t="s">
        <v>66</v>
      </c>
      <c r="B103" s="419">
        <f>AP103</f>
        <v>2.1</v>
      </c>
      <c r="C103" s="419">
        <f t="shared" si="139"/>
        <v>3</v>
      </c>
      <c r="D103" s="419">
        <f t="shared" si="139"/>
        <v>1.7</v>
      </c>
      <c r="E103" s="419">
        <f t="shared" si="139"/>
        <v>0.5</v>
      </c>
      <c r="F103" s="419">
        <f t="shared" si="139"/>
        <v>2.5</v>
      </c>
      <c r="G103" s="419">
        <f t="shared" si="139"/>
        <v>1.3</v>
      </c>
      <c r="H103" s="419">
        <f t="shared" si="139"/>
        <v>0.9</v>
      </c>
      <c r="I103" s="419">
        <f t="shared" si="139"/>
        <v>0</v>
      </c>
      <c r="J103" s="419">
        <f t="shared" si="139"/>
        <v>1.7</v>
      </c>
      <c r="K103" s="419">
        <f t="shared" si="139"/>
        <v>0</v>
      </c>
      <c r="AA103" s="472"/>
      <c r="AB103" s="472"/>
      <c r="AC103" s="472"/>
      <c r="AD103" s="773" t="s">
        <v>138</v>
      </c>
      <c r="AE103" s="598">
        <f t="shared" si="140"/>
        <v>1.5</v>
      </c>
      <c r="AF103" s="598">
        <f t="shared" si="140"/>
        <v>1.9</v>
      </c>
      <c r="AG103" s="598">
        <f t="shared" si="140"/>
        <v>2.7</v>
      </c>
      <c r="AH103" s="598">
        <f t="shared" si="140"/>
        <v>1.4</v>
      </c>
      <c r="AI103" s="598">
        <f t="shared" si="140"/>
        <v>1.6</v>
      </c>
      <c r="AJ103" s="598">
        <f t="shared" si="140"/>
        <v>1.1000000000000001</v>
      </c>
      <c r="AK103" s="598">
        <f t="shared" si="140"/>
        <v>2.5</v>
      </c>
      <c r="AL103" s="598">
        <f t="shared" si="140"/>
        <v>1.9</v>
      </c>
      <c r="AM103" s="598">
        <f t="shared" si="140"/>
        <v>2.9</v>
      </c>
      <c r="AN103" s="598">
        <f t="shared" si="140"/>
        <v>2.7</v>
      </c>
      <c r="AO103" s="598">
        <f t="shared" si="141"/>
        <v>2.2000000000000002</v>
      </c>
      <c r="AP103" s="598">
        <f t="shared" si="141"/>
        <v>2.1</v>
      </c>
      <c r="AQ103" s="598">
        <f t="shared" si="141"/>
        <v>3</v>
      </c>
      <c r="AR103" s="598">
        <f t="shared" si="141"/>
        <v>1.7</v>
      </c>
      <c r="AS103" s="598">
        <f t="shared" si="141"/>
        <v>0.5</v>
      </c>
      <c r="AT103" s="598">
        <f t="shared" si="141"/>
        <v>2.5</v>
      </c>
      <c r="AU103" s="598">
        <f t="shared" si="141"/>
        <v>1.3</v>
      </c>
      <c r="AV103" s="598">
        <f t="shared" si="141"/>
        <v>0.9</v>
      </c>
      <c r="AW103" s="598">
        <f t="shared" si="141"/>
        <v>0</v>
      </c>
      <c r="AX103" s="598">
        <f t="shared" si="141"/>
        <v>1.7</v>
      </c>
      <c r="AY103" s="598">
        <f t="shared" si="141"/>
        <v>0</v>
      </c>
    </row>
    <row r="104" spans="1:51">
      <c r="A104" s="108" t="s">
        <v>1</v>
      </c>
      <c r="B104" s="520"/>
      <c r="C104" s="520"/>
      <c r="D104" s="520"/>
      <c r="E104" s="520"/>
      <c r="F104" s="520"/>
      <c r="G104" s="520"/>
      <c r="H104" s="520"/>
      <c r="I104" s="520"/>
      <c r="J104" s="520"/>
      <c r="K104" s="520"/>
      <c r="AA104" s="472"/>
      <c r="AB104" s="472"/>
      <c r="AC104" s="472"/>
      <c r="AD104" s="503" t="s">
        <v>464</v>
      </c>
      <c r="AE104" s="598"/>
      <c r="AF104" s="598"/>
      <c r="AG104" s="598"/>
      <c r="AH104" s="598"/>
      <c r="AI104" s="598"/>
      <c r="AJ104" s="598"/>
      <c r="AK104" s="598"/>
      <c r="AL104" s="598"/>
      <c r="AM104" s="598"/>
      <c r="AN104" s="598"/>
      <c r="AO104" s="598"/>
      <c r="AP104" s="598"/>
      <c r="AQ104" s="598"/>
      <c r="AR104" s="598"/>
      <c r="AS104" s="598"/>
      <c r="AT104" s="598"/>
      <c r="AU104" s="598"/>
      <c r="AV104" s="598"/>
      <c r="AW104" s="598"/>
      <c r="AX104" s="598"/>
      <c r="AY104" s="598"/>
    </row>
    <row r="105" spans="1:51">
      <c r="A105" s="406" t="s">
        <v>378</v>
      </c>
      <c r="B105" s="419">
        <f t="shared" ref="B105:B110" si="142">AP105</f>
        <v>763.3</v>
      </c>
      <c r="C105" s="419">
        <f t="shared" ref="C105:K110" si="143">AQ105</f>
        <v>752.9</v>
      </c>
      <c r="D105" s="419">
        <f t="shared" si="143"/>
        <v>732.1</v>
      </c>
      <c r="E105" s="419">
        <f t="shared" si="143"/>
        <v>708.9</v>
      </c>
      <c r="F105" s="419">
        <f t="shared" si="143"/>
        <v>740.7</v>
      </c>
      <c r="G105" s="419">
        <f t="shared" si="143"/>
        <v>722</v>
      </c>
      <c r="H105" s="419">
        <f t="shared" si="143"/>
        <v>711.1</v>
      </c>
      <c r="I105" s="419">
        <f t="shared" si="143"/>
        <v>658.3</v>
      </c>
      <c r="J105" s="419">
        <f t="shared" si="143"/>
        <v>717.1</v>
      </c>
      <c r="K105" s="419">
        <f t="shared" si="143"/>
        <v>726.8</v>
      </c>
      <c r="AA105" s="472"/>
      <c r="AB105" s="472"/>
      <c r="AC105" s="472"/>
      <c r="AD105" s="773" t="s">
        <v>427</v>
      </c>
      <c r="AE105" s="598">
        <f t="shared" ref="AE105:AN110" si="144">VLOOKUP(AE$73&amp;$AD$104&amp;$AD105&amp;$AF$5, vw.deaths,7, FALSE)</f>
        <v>726.7</v>
      </c>
      <c r="AF105" s="598">
        <f t="shared" si="144"/>
        <v>803.6</v>
      </c>
      <c r="AG105" s="598">
        <f t="shared" si="144"/>
        <v>759.1</v>
      </c>
      <c r="AH105" s="598">
        <f t="shared" si="144"/>
        <v>765.6</v>
      </c>
      <c r="AI105" s="598">
        <f t="shared" si="144"/>
        <v>666.7</v>
      </c>
      <c r="AJ105" s="598">
        <f t="shared" si="144"/>
        <v>754</v>
      </c>
      <c r="AK105" s="598">
        <f t="shared" si="144"/>
        <v>704.8</v>
      </c>
      <c r="AL105" s="598">
        <f t="shared" si="144"/>
        <v>722.5</v>
      </c>
      <c r="AM105" s="598">
        <f t="shared" si="144"/>
        <v>755.1</v>
      </c>
      <c r="AN105" s="598">
        <f t="shared" si="144"/>
        <v>768.8</v>
      </c>
      <c r="AO105" s="598">
        <f t="shared" ref="AO105:AY110" si="145">VLOOKUP(AO$73&amp;$AD$104&amp;$AD105&amp;$AF$5, vw.deaths,7, FALSE)</f>
        <v>757</v>
      </c>
      <c r="AP105" s="598">
        <f t="shared" si="145"/>
        <v>763.3</v>
      </c>
      <c r="AQ105" s="598">
        <f t="shared" si="145"/>
        <v>752.9</v>
      </c>
      <c r="AR105" s="598">
        <f t="shared" si="145"/>
        <v>732.1</v>
      </c>
      <c r="AS105" s="598">
        <f t="shared" si="145"/>
        <v>708.9</v>
      </c>
      <c r="AT105" s="598">
        <f t="shared" si="145"/>
        <v>740.7</v>
      </c>
      <c r="AU105" s="598">
        <f t="shared" si="145"/>
        <v>722</v>
      </c>
      <c r="AV105" s="598">
        <f t="shared" si="145"/>
        <v>711.1</v>
      </c>
      <c r="AW105" s="598">
        <f t="shared" si="145"/>
        <v>658.3</v>
      </c>
      <c r="AX105" s="598">
        <f t="shared" si="145"/>
        <v>717.1</v>
      </c>
      <c r="AY105" s="598">
        <f t="shared" si="145"/>
        <v>726.8</v>
      </c>
    </row>
    <row r="106" spans="1:51">
      <c r="A106" s="563" t="s">
        <v>478</v>
      </c>
      <c r="B106" s="419">
        <f t="shared" si="142"/>
        <v>303.2</v>
      </c>
      <c r="C106" s="419">
        <f t="shared" si="143"/>
        <v>352</v>
      </c>
      <c r="D106" s="419">
        <f t="shared" si="143"/>
        <v>310.7</v>
      </c>
      <c r="E106" s="419">
        <f t="shared" si="143"/>
        <v>307.2</v>
      </c>
      <c r="F106" s="419">
        <f t="shared" si="143"/>
        <v>293.89999999999998</v>
      </c>
      <c r="G106" s="419">
        <f t="shared" si="143"/>
        <v>295.8</v>
      </c>
      <c r="H106" s="419">
        <f t="shared" si="143"/>
        <v>260.3</v>
      </c>
      <c r="I106" s="419">
        <f t="shared" si="143"/>
        <v>326</v>
      </c>
      <c r="J106" s="419">
        <f t="shared" si="143"/>
        <v>275.10000000000002</v>
      </c>
      <c r="K106" s="419">
        <f t="shared" si="143"/>
        <v>331.1</v>
      </c>
      <c r="AA106" s="472"/>
      <c r="AB106" s="472"/>
      <c r="AC106" s="472"/>
      <c r="AD106" s="773" t="s">
        <v>428</v>
      </c>
      <c r="AE106" s="598">
        <f t="shared" si="144"/>
        <v>330.1</v>
      </c>
      <c r="AF106" s="598">
        <f t="shared" si="144"/>
        <v>284.8</v>
      </c>
      <c r="AG106" s="598">
        <f t="shared" si="144"/>
        <v>257.2</v>
      </c>
      <c r="AH106" s="598">
        <f t="shared" si="144"/>
        <v>273.60000000000002</v>
      </c>
      <c r="AI106" s="598">
        <f t="shared" si="144"/>
        <v>232</v>
      </c>
      <c r="AJ106" s="598">
        <f t="shared" si="144"/>
        <v>240.5</v>
      </c>
      <c r="AK106" s="598">
        <f t="shared" si="144"/>
        <v>186.2</v>
      </c>
      <c r="AL106" s="598">
        <f t="shared" si="144"/>
        <v>286.10000000000002</v>
      </c>
      <c r="AM106" s="598">
        <f t="shared" si="144"/>
        <v>341.4</v>
      </c>
      <c r="AN106" s="598">
        <f t="shared" si="144"/>
        <v>244.3</v>
      </c>
      <c r="AO106" s="598">
        <f t="shared" si="145"/>
        <v>304.7</v>
      </c>
      <c r="AP106" s="598">
        <f t="shared" si="145"/>
        <v>303.2</v>
      </c>
      <c r="AQ106" s="598">
        <f t="shared" si="145"/>
        <v>352</v>
      </c>
      <c r="AR106" s="598">
        <f t="shared" si="145"/>
        <v>310.7</v>
      </c>
      <c r="AS106" s="598">
        <f t="shared" si="145"/>
        <v>307.2</v>
      </c>
      <c r="AT106" s="598">
        <f t="shared" si="145"/>
        <v>293.89999999999998</v>
      </c>
      <c r="AU106" s="598">
        <f t="shared" si="145"/>
        <v>295.8</v>
      </c>
      <c r="AV106" s="598">
        <f t="shared" si="145"/>
        <v>260.3</v>
      </c>
      <c r="AW106" s="598">
        <f t="shared" si="145"/>
        <v>326</v>
      </c>
      <c r="AX106" s="598">
        <f t="shared" si="145"/>
        <v>275.10000000000002</v>
      </c>
      <c r="AY106" s="598">
        <f t="shared" si="145"/>
        <v>331.1</v>
      </c>
    </row>
    <row r="107" spans="1:51">
      <c r="A107" s="563" t="s">
        <v>479</v>
      </c>
      <c r="B107" s="419">
        <f t="shared" si="142"/>
        <v>89.7</v>
      </c>
      <c r="C107" s="419">
        <f t="shared" si="143"/>
        <v>71.400000000000006</v>
      </c>
      <c r="D107" s="419">
        <f t="shared" si="143"/>
        <v>66.5</v>
      </c>
      <c r="E107" s="419">
        <f t="shared" si="143"/>
        <v>106.6</v>
      </c>
      <c r="F107" s="419">
        <f t="shared" si="143"/>
        <v>91.7</v>
      </c>
      <c r="G107" s="419">
        <f t="shared" si="143"/>
        <v>84.8</v>
      </c>
      <c r="H107" s="419">
        <f t="shared" si="143"/>
        <v>62.1</v>
      </c>
      <c r="I107" s="419">
        <f t="shared" si="143"/>
        <v>87.7</v>
      </c>
      <c r="J107" s="419">
        <f t="shared" si="143"/>
        <v>43.9</v>
      </c>
      <c r="K107" s="533">
        <f t="shared" si="143"/>
        <v>75.400000000000006</v>
      </c>
      <c r="AA107" s="472"/>
      <c r="AB107" s="472"/>
      <c r="AC107" s="472"/>
      <c r="AD107" s="773" t="s">
        <v>429</v>
      </c>
      <c r="AE107" s="598">
        <f t="shared" si="144"/>
        <v>85</v>
      </c>
      <c r="AF107" s="598">
        <f t="shared" si="144"/>
        <v>90.2</v>
      </c>
      <c r="AG107" s="598">
        <f t="shared" si="144"/>
        <v>75.900000000000006</v>
      </c>
      <c r="AH107" s="598">
        <f t="shared" si="144"/>
        <v>68.2</v>
      </c>
      <c r="AI107" s="598">
        <f t="shared" si="144"/>
        <v>87.5</v>
      </c>
      <c r="AJ107" s="598">
        <f t="shared" si="144"/>
        <v>51.5</v>
      </c>
      <c r="AK107" s="598">
        <f t="shared" si="144"/>
        <v>65.400000000000006</v>
      </c>
      <c r="AL107" s="598">
        <f t="shared" si="144"/>
        <v>82.1</v>
      </c>
      <c r="AM107" s="598">
        <f t="shared" si="144"/>
        <v>88.6</v>
      </c>
      <c r="AN107" s="598">
        <f t="shared" si="144"/>
        <v>79.099999999999994</v>
      </c>
      <c r="AO107" s="598">
        <f t="shared" si="145"/>
        <v>69.5</v>
      </c>
      <c r="AP107" s="598">
        <f t="shared" si="145"/>
        <v>89.7</v>
      </c>
      <c r="AQ107" s="598">
        <f t="shared" si="145"/>
        <v>71.400000000000006</v>
      </c>
      <c r="AR107" s="598">
        <f t="shared" si="145"/>
        <v>66.5</v>
      </c>
      <c r="AS107" s="598">
        <f t="shared" si="145"/>
        <v>106.6</v>
      </c>
      <c r="AT107" s="598">
        <f t="shared" si="145"/>
        <v>91.7</v>
      </c>
      <c r="AU107" s="598">
        <f t="shared" si="145"/>
        <v>84.8</v>
      </c>
      <c r="AV107" s="598">
        <f t="shared" si="145"/>
        <v>62.1</v>
      </c>
      <c r="AW107" s="598">
        <f t="shared" si="145"/>
        <v>87.7</v>
      </c>
      <c r="AX107" s="598">
        <f t="shared" si="145"/>
        <v>43.9</v>
      </c>
      <c r="AY107" s="598">
        <f t="shared" si="145"/>
        <v>75.400000000000006</v>
      </c>
    </row>
    <row r="108" spans="1:51">
      <c r="A108" s="563" t="s">
        <v>477</v>
      </c>
      <c r="B108" s="419">
        <f t="shared" si="142"/>
        <v>18.5</v>
      </c>
      <c r="C108" s="419">
        <f t="shared" si="143"/>
        <v>23.9</v>
      </c>
      <c r="D108" s="419">
        <f t="shared" si="143"/>
        <v>16.8</v>
      </c>
      <c r="E108" s="419">
        <f t="shared" si="143"/>
        <v>17.100000000000001</v>
      </c>
      <c r="F108" s="419">
        <f t="shared" si="143"/>
        <v>19.399999999999999</v>
      </c>
      <c r="G108" s="419">
        <f t="shared" si="143"/>
        <v>15.7</v>
      </c>
      <c r="H108" s="419">
        <f t="shared" si="143"/>
        <v>16.3</v>
      </c>
      <c r="I108" s="419">
        <f t="shared" si="143"/>
        <v>16.600000000000001</v>
      </c>
      <c r="J108" s="419">
        <f t="shared" si="143"/>
        <v>15</v>
      </c>
      <c r="K108" s="419">
        <f t="shared" si="143"/>
        <v>14.8</v>
      </c>
      <c r="AA108" s="472"/>
      <c r="AB108" s="472"/>
      <c r="AC108" s="472"/>
      <c r="AD108" s="773" t="s">
        <v>430</v>
      </c>
      <c r="AE108" s="598">
        <f t="shared" si="144"/>
        <v>20.7</v>
      </c>
      <c r="AF108" s="598">
        <f t="shared" si="144"/>
        <v>16.2</v>
      </c>
      <c r="AG108" s="598">
        <f t="shared" si="144"/>
        <v>13.9</v>
      </c>
      <c r="AH108" s="598">
        <f t="shared" si="144"/>
        <v>18.600000000000001</v>
      </c>
      <c r="AI108" s="598">
        <f t="shared" si="144"/>
        <v>13.4</v>
      </c>
      <c r="AJ108" s="598">
        <f t="shared" si="144"/>
        <v>17.7</v>
      </c>
      <c r="AK108" s="598">
        <f t="shared" si="144"/>
        <v>16.899999999999999</v>
      </c>
      <c r="AL108" s="598">
        <f t="shared" si="144"/>
        <v>19.399999999999999</v>
      </c>
      <c r="AM108" s="598">
        <f t="shared" si="144"/>
        <v>18.899999999999999</v>
      </c>
      <c r="AN108" s="598">
        <f t="shared" si="144"/>
        <v>15.1</v>
      </c>
      <c r="AO108" s="598">
        <f t="shared" si="145"/>
        <v>15.4</v>
      </c>
      <c r="AP108" s="598">
        <f t="shared" si="145"/>
        <v>18.5</v>
      </c>
      <c r="AQ108" s="598">
        <f t="shared" si="145"/>
        <v>23.9</v>
      </c>
      <c r="AR108" s="598">
        <f t="shared" si="145"/>
        <v>16.8</v>
      </c>
      <c r="AS108" s="598">
        <f t="shared" si="145"/>
        <v>17.100000000000001</v>
      </c>
      <c r="AT108" s="598">
        <f t="shared" si="145"/>
        <v>19.399999999999999</v>
      </c>
      <c r="AU108" s="598">
        <f t="shared" si="145"/>
        <v>15.7</v>
      </c>
      <c r="AV108" s="598">
        <f t="shared" si="145"/>
        <v>16.3</v>
      </c>
      <c r="AW108" s="598">
        <f t="shared" si="145"/>
        <v>16.600000000000001</v>
      </c>
      <c r="AX108" s="598">
        <f t="shared" si="145"/>
        <v>15</v>
      </c>
      <c r="AY108" s="598">
        <f t="shared" si="145"/>
        <v>14.8</v>
      </c>
    </row>
    <row r="109" spans="1:51">
      <c r="A109" s="563" t="s">
        <v>480</v>
      </c>
      <c r="B109" s="419">
        <f t="shared" si="142"/>
        <v>1.6</v>
      </c>
      <c r="C109" s="419">
        <f t="shared" si="143"/>
        <v>2.1</v>
      </c>
      <c r="D109" s="419">
        <f t="shared" si="143"/>
        <v>2.1</v>
      </c>
      <c r="E109" s="419">
        <f t="shared" si="143"/>
        <v>1.5</v>
      </c>
      <c r="F109" s="419">
        <f t="shared" si="143"/>
        <v>1.5</v>
      </c>
      <c r="G109" s="419">
        <f t="shared" si="143"/>
        <v>1.3</v>
      </c>
      <c r="H109" s="419">
        <f t="shared" si="143"/>
        <v>1.4</v>
      </c>
      <c r="I109" s="419">
        <f t="shared" si="143"/>
        <v>1.3</v>
      </c>
      <c r="J109" s="419">
        <f t="shared" si="143"/>
        <v>1.4</v>
      </c>
      <c r="K109" s="419">
        <f t="shared" si="143"/>
        <v>1.5</v>
      </c>
      <c r="AA109" s="472"/>
      <c r="AB109" s="472"/>
      <c r="AC109" s="472"/>
      <c r="AD109" s="773" t="s">
        <v>431</v>
      </c>
      <c r="AE109" s="598">
        <f t="shared" si="144"/>
        <v>1.6</v>
      </c>
      <c r="AF109" s="598">
        <f t="shared" si="144"/>
        <v>1.6</v>
      </c>
      <c r="AG109" s="598">
        <f t="shared" si="144"/>
        <v>1.4</v>
      </c>
      <c r="AH109" s="598">
        <f t="shared" si="144"/>
        <v>1.6</v>
      </c>
      <c r="AI109" s="598">
        <f t="shared" si="144"/>
        <v>1.8</v>
      </c>
      <c r="AJ109" s="598">
        <f t="shared" si="144"/>
        <v>1.8</v>
      </c>
      <c r="AK109" s="598">
        <f t="shared" si="144"/>
        <v>1.7</v>
      </c>
      <c r="AL109" s="598">
        <f t="shared" si="144"/>
        <v>1.5</v>
      </c>
      <c r="AM109" s="598">
        <f t="shared" si="144"/>
        <v>1.9</v>
      </c>
      <c r="AN109" s="598">
        <f t="shared" si="144"/>
        <v>1.7</v>
      </c>
      <c r="AO109" s="598">
        <f t="shared" si="145"/>
        <v>1.6</v>
      </c>
      <c r="AP109" s="598">
        <f t="shared" si="145"/>
        <v>1.6</v>
      </c>
      <c r="AQ109" s="598">
        <f t="shared" si="145"/>
        <v>2.1</v>
      </c>
      <c r="AR109" s="598">
        <f t="shared" si="145"/>
        <v>2.1</v>
      </c>
      <c r="AS109" s="598">
        <f t="shared" si="145"/>
        <v>1.5</v>
      </c>
      <c r="AT109" s="598">
        <f t="shared" si="145"/>
        <v>1.5</v>
      </c>
      <c r="AU109" s="598">
        <f t="shared" si="145"/>
        <v>1.3</v>
      </c>
      <c r="AV109" s="598">
        <f t="shared" si="145"/>
        <v>1.4</v>
      </c>
      <c r="AW109" s="598">
        <f t="shared" si="145"/>
        <v>1.3</v>
      </c>
      <c r="AX109" s="598">
        <f t="shared" si="145"/>
        <v>1.4</v>
      </c>
      <c r="AY109" s="598">
        <f t="shared" si="145"/>
        <v>1.5</v>
      </c>
    </row>
    <row r="110" spans="1:51">
      <c r="A110" s="407" t="s">
        <v>383</v>
      </c>
      <c r="B110" s="419">
        <f t="shared" si="142"/>
        <v>2.7</v>
      </c>
      <c r="C110" s="419">
        <f t="shared" si="143"/>
        <v>1.6</v>
      </c>
      <c r="D110" s="419">
        <f t="shared" si="143"/>
        <v>0.6</v>
      </c>
      <c r="E110" s="419">
        <f t="shared" si="143"/>
        <v>2.4</v>
      </c>
      <c r="F110" s="419">
        <f t="shared" si="143"/>
        <v>0</v>
      </c>
      <c r="G110" s="419">
        <f t="shared" si="143"/>
        <v>0.6</v>
      </c>
      <c r="H110" s="419">
        <f t="shared" si="143"/>
        <v>1.3</v>
      </c>
      <c r="I110" s="419">
        <f t="shared" si="143"/>
        <v>0</v>
      </c>
      <c r="J110" s="419">
        <f t="shared" si="143"/>
        <v>1.4</v>
      </c>
      <c r="K110" s="419">
        <f t="shared" si="143"/>
        <v>2.8</v>
      </c>
      <c r="AA110" s="472"/>
      <c r="AB110" s="472"/>
      <c r="AC110" s="472"/>
      <c r="AD110" s="773" t="s">
        <v>432</v>
      </c>
      <c r="AE110" s="598">
        <f t="shared" si="144"/>
        <v>3.7</v>
      </c>
      <c r="AF110" s="598">
        <f t="shared" si="144"/>
        <v>1.5</v>
      </c>
      <c r="AG110" s="598">
        <f t="shared" si="144"/>
        <v>1.5</v>
      </c>
      <c r="AH110" s="598">
        <f t="shared" si="144"/>
        <v>1.3</v>
      </c>
      <c r="AI110" s="598">
        <f t="shared" si="144"/>
        <v>0</v>
      </c>
      <c r="AJ110" s="598">
        <f t="shared" si="144"/>
        <v>3.5</v>
      </c>
      <c r="AK110" s="598">
        <f t="shared" si="144"/>
        <v>0.7</v>
      </c>
      <c r="AL110" s="598">
        <f t="shared" si="144"/>
        <v>1.3</v>
      </c>
      <c r="AM110" s="598">
        <f t="shared" si="144"/>
        <v>2.5</v>
      </c>
      <c r="AN110" s="598">
        <f t="shared" si="144"/>
        <v>2.5</v>
      </c>
      <c r="AO110" s="598">
        <f t="shared" si="145"/>
        <v>1.2</v>
      </c>
      <c r="AP110" s="598">
        <f t="shared" si="145"/>
        <v>2.7</v>
      </c>
      <c r="AQ110" s="598">
        <f t="shared" si="145"/>
        <v>1.6</v>
      </c>
      <c r="AR110" s="598">
        <f t="shared" si="145"/>
        <v>0.6</v>
      </c>
      <c r="AS110" s="598">
        <f t="shared" si="145"/>
        <v>2.4</v>
      </c>
      <c r="AT110" s="598">
        <f t="shared" si="145"/>
        <v>0</v>
      </c>
      <c r="AU110" s="598">
        <f t="shared" si="145"/>
        <v>0.6</v>
      </c>
      <c r="AV110" s="598">
        <f t="shared" si="145"/>
        <v>1.3</v>
      </c>
      <c r="AW110" s="598">
        <f t="shared" si="145"/>
        <v>0</v>
      </c>
      <c r="AX110" s="598">
        <f t="shared" si="145"/>
        <v>1.4</v>
      </c>
      <c r="AY110" s="598">
        <f t="shared" si="145"/>
        <v>2.8</v>
      </c>
    </row>
    <row r="111" spans="1:51">
      <c r="A111" s="108" t="s">
        <v>322</v>
      </c>
      <c r="B111" s="520"/>
      <c r="C111" s="520"/>
      <c r="D111" s="520"/>
      <c r="E111" s="520"/>
      <c r="F111" s="520"/>
      <c r="G111" s="520"/>
      <c r="H111" s="520"/>
      <c r="I111" s="520"/>
      <c r="J111" s="520"/>
      <c r="K111" s="520"/>
      <c r="AA111" s="472"/>
      <c r="AB111" s="472"/>
      <c r="AC111" s="472"/>
      <c r="AD111" s="289" t="s">
        <v>522</v>
      </c>
      <c r="AE111" s="598"/>
      <c r="AX111" s="762"/>
      <c r="AY111" s="762"/>
    </row>
    <row r="112" spans="1:51">
      <c r="A112" s="49" t="s">
        <v>85</v>
      </c>
      <c r="B112" s="419">
        <f t="shared" ref="B112:B131" si="146">AP112</f>
        <v>7.9</v>
      </c>
      <c r="C112" s="419">
        <f t="shared" ref="C112:K127" si="147">AQ112</f>
        <v>8.8000000000000007</v>
      </c>
      <c r="D112" s="419">
        <f t="shared" si="147"/>
        <v>5.8</v>
      </c>
      <c r="E112" s="419">
        <f t="shared" si="147"/>
        <v>8.9</v>
      </c>
      <c r="F112" s="419">
        <f t="shared" si="147"/>
        <v>6.2</v>
      </c>
      <c r="G112" s="419">
        <f t="shared" si="147"/>
        <v>8.6999999999999993</v>
      </c>
      <c r="H112" s="419">
        <f t="shared" si="147"/>
        <v>8.6</v>
      </c>
      <c r="I112" s="419">
        <f t="shared" si="147"/>
        <v>10.7</v>
      </c>
      <c r="J112" s="419">
        <f t="shared" si="147"/>
        <v>6.1</v>
      </c>
      <c r="K112" s="419">
        <f t="shared" si="147"/>
        <v>8.5</v>
      </c>
      <c r="AA112" s="472"/>
      <c r="AB112" s="472"/>
      <c r="AC112" s="472"/>
      <c r="AD112" s="289" t="s">
        <v>85</v>
      </c>
      <c r="AE112" s="598">
        <f t="shared" ref="AE112:AN121" si="148">VLOOKUP(AE$73&amp;$AD$111&amp;$AD112&amp;$AF$5, vw.deaths,7, FALSE)</f>
        <v>4</v>
      </c>
      <c r="AF112" s="598">
        <f t="shared" si="148"/>
        <v>5.8</v>
      </c>
      <c r="AG112" s="598">
        <f t="shared" si="148"/>
        <v>6.3</v>
      </c>
      <c r="AH112" s="598">
        <f t="shared" si="148"/>
        <v>5.5</v>
      </c>
      <c r="AI112" s="598">
        <f t="shared" si="148"/>
        <v>6.6</v>
      </c>
      <c r="AJ112" s="598">
        <f t="shared" si="148"/>
        <v>11.9</v>
      </c>
      <c r="AK112" s="598">
        <f t="shared" si="148"/>
        <v>5.2</v>
      </c>
      <c r="AL112" s="598">
        <f t="shared" si="148"/>
        <v>8.3000000000000007</v>
      </c>
      <c r="AM112" s="598">
        <f t="shared" si="148"/>
        <v>9</v>
      </c>
      <c r="AN112" s="598">
        <f t="shared" si="148"/>
        <v>7</v>
      </c>
      <c r="AO112" s="598">
        <f t="shared" ref="AO112:AY121" si="149">VLOOKUP(AO$73&amp;$AD$111&amp;$AD112&amp;$AF$5, vw.deaths,7, FALSE)</f>
        <v>7.8</v>
      </c>
      <c r="AP112" s="598">
        <f t="shared" si="149"/>
        <v>7.9</v>
      </c>
      <c r="AQ112" s="598">
        <f t="shared" si="149"/>
        <v>8.8000000000000007</v>
      </c>
      <c r="AR112" s="598">
        <f t="shared" si="149"/>
        <v>5.8</v>
      </c>
      <c r="AS112" s="598">
        <f t="shared" si="149"/>
        <v>8.9</v>
      </c>
      <c r="AT112" s="598">
        <f t="shared" si="149"/>
        <v>6.2</v>
      </c>
      <c r="AU112" s="598">
        <f t="shared" si="149"/>
        <v>8.6999999999999993</v>
      </c>
      <c r="AV112" s="598">
        <f t="shared" si="149"/>
        <v>8.6</v>
      </c>
      <c r="AW112" s="598">
        <f t="shared" si="149"/>
        <v>10.7</v>
      </c>
      <c r="AX112" s="598">
        <f t="shared" si="149"/>
        <v>6.1</v>
      </c>
      <c r="AY112" s="598">
        <f t="shared" si="149"/>
        <v>8.5</v>
      </c>
    </row>
    <row r="113" spans="1:51">
      <c r="A113" s="49" t="s">
        <v>86</v>
      </c>
      <c r="B113" s="419">
        <f t="shared" si="146"/>
        <v>9.5</v>
      </c>
      <c r="C113" s="419">
        <f t="shared" si="147"/>
        <v>8.6999999999999993</v>
      </c>
      <c r="D113" s="419">
        <f t="shared" si="147"/>
        <v>8.5</v>
      </c>
      <c r="E113" s="419">
        <f t="shared" si="147"/>
        <v>6.1</v>
      </c>
      <c r="F113" s="419">
        <f t="shared" si="147"/>
        <v>6.8</v>
      </c>
      <c r="G113" s="419">
        <f t="shared" si="147"/>
        <v>7.2</v>
      </c>
      <c r="H113" s="419">
        <f t="shared" si="147"/>
        <v>6.6</v>
      </c>
      <c r="I113" s="419">
        <f t="shared" si="147"/>
        <v>5</v>
      </c>
      <c r="J113" s="419">
        <f t="shared" si="147"/>
        <v>5</v>
      </c>
      <c r="K113" s="419">
        <f t="shared" si="147"/>
        <v>5.2</v>
      </c>
      <c r="AA113" s="472"/>
      <c r="AB113" s="472"/>
      <c r="AC113" s="472"/>
      <c r="AD113" s="289" t="s">
        <v>86</v>
      </c>
      <c r="AE113" s="598">
        <f t="shared" si="148"/>
        <v>5.3</v>
      </c>
      <c r="AF113" s="598">
        <f t="shared" si="148"/>
        <v>5.6</v>
      </c>
      <c r="AG113" s="598">
        <f t="shared" si="148"/>
        <v>5.3</v>
      </c>
      <c r="AH113" s="598">
        <f t="shared" si="148"/>
        <v>7.7</v>
      </c>
      <c r="AI113" s="598">
        <f t="shared" si="148"/>
        <v>6.4</v>
      </c>
      <c r="AJ113" s="598">
        <f t="shared" si="148"/>
        <v>7.6</v>
      </c>
      <c r="AK113" s="598">
        <f t="shared" si="148"/>
        <v>6.9</v>
      </c>
      <c r="AL113" s="598">
        <f t="shared" si="148"/>
        <v>6.4</v>
      </c>
      <c r="AM113" s="598">
        <f t="shared" si="148"/>
        <v>7.1</v>
      </c>
      <c r="AN113" s="598">
        <f t="shared" si="148"/>
        <v>8.1</v>
      </c>
      <c r="AO113" s="598">
        <f t="shared" si="149"/>
        <v>7.1</v>
      </c>
      <c r="AP113" s="598">
        <f t="shared" si="149"/>
        <v>9.5</v>
      </c>
      <c r="AQ113" s="598">
        <f t="shared" si="149"/>
        <v>8.6999999999999993</v>
      </c>
      <c r="AR113" s="598">
        <f t="shared" si="149"/>
        <v>8.5</v>
      </c>
      <c r="AS113" s="598">
        <f t="shared" si="149"/>
        <v>6.1</v>
      </c>
      <c r="AT113" s="598">
        <f t="shared" si="149"/>
        <v>6.8</v>
      </c>
      <c r="AU113" s="598">
        <f t="shared" si="149"/>
        <v>7.2</v>
      </c>
      <c r="AV113" s="598">
        <f t="shared" si="149"/>
        <v>6.6</v>
      </c>
      <c r="AW113" s="598">
        <f t="shared" si="149"/>
        <v>5</v>
      </c>
      <c r="AX113" s="598">
        <f t="shared" si="149"/>
        <v>5</v>
      </c>
      <c r="AY113" s="598">
        <f t="shared" si="149"/>
        <v>5.2</v>
      </c>
    </row>
    <row r="114" spans="1:51">
      <c r="A114" s="49" t="s">
        <v>87</v>
      </c>
      <c r="B114" s="419">
        <f t="shared" si="146"/>
        <v>7.1</v>
      </c>
      <c r="C114" s="419">
        <f t="shared" si="147"/>
        <v>7.4</v>
      </c>
      <c r="D114" s="419">
        <f t="shared" si="147"/>
        <v>7.1</v>
      </c>
      <c r="E114" s="419">
        <f t="shared" si="147"/>
        <v>8.1</v>
      </c>
      <c r="F114" s="419">
        <f t="shared" si="147"/>
        <v>8.6999999999999993</v>
      </c>
      <c r="G114" s="419">
        <f t="shared" si="147"/>
        <v>7.7</v>
      </c>
      <c r="H114" s="419">
        <f t="shared" si="147"/>
        <v>7.5</v>
      </c>
      <c r="I114" s="419">
        <f t="shared" si="147"/>
        <v>6.9</v>
      </c>
      <c r="J114" s="419">
        <f t="shared" si="147"/>
        <v>5.4</v>
      </c>
      <c r="K114" s="419">
        <f t="shared" si="147"/>
        <v>6.6</v>
      </c>
      <c r="AA114" s="472"/>
      <c r="AB114" s="472"/>
      <c r="AC114" s="472"/>
      <c r="AD114" s="289" t="s">
        <v>87</v>
      </c>
      <c r="AE114" s="598">
        <f t="shared" si="148"/>
        <v>5.8</v>
      </c>
      <c r="AF114" s="598">
        <f t="shared" si="148"/>
        <v>6.7</v>
      </c>
      <c r="AG114" s="598">
        <f t="shared" si="148"/>
        <v>4.5</v>
      </c>
      <c r="AH114" s="598">
        <f t="shared" si="148"/>
        <v>5.9</v>
      </c>
      <c r="AI114" s="598">
        <f t="shared" si="148"/>
        <v>6.3</v>
      </c>
      <c r="AJ114" s="598">
        <f t="shared" si="148"/>
        <v>5.7</v>
      </c>
      <c r="AK114" s="598">
        <f t="shared" si="148"/>
        <v>7.2</v>
      </c>
      <c r="AL114" s="598">
        <f t="shared" si="148"/>
        <v>6.7</v>
      </c>
      <c r="AM114" s="598">
        <f t="shared" si="148"/>
        <v>9.4</v>
      </c>
      <c r="AN114" s="598">
        <f t="shared" si="148"/>
        <v>3.5</v>
      </c>
      <c r="AO114" s="598">
        <f t="shared" si="149"/>
        <v>6.8</v>
      </c>
      <c r="AP114" s="598">
        <f t="shared" si="149"/>
        <v>7.1</v>
      </c>
      <c r="AQ114" s="598">
        <f t="shared" si="149"/>
        <v>7.4</v>
      </c>
      <c r="AR114" s="598">
        <f t="shared" si="149"/>
        <v>7.1</v>
      </c>
      <c r="AS114" s="598">
        <f t="shared" si="149"/>
        <v>8.1</v>
      </c>
      <c r="AT114" s="598">
        <f t="shared" si="149"/>
        <v>8.6999999999999993</v>
      </c>
      <c r="AU114" s="598">
        <f t="shared" si="149"/>
        <v>7.7</v>
      </c>
      <c r="AV114" s="598">
        <f t="shared" si="149"/>
        <v>7.5</v>
      </c>
      <c r="AW114" s="598">
        <f t="shared" si="149"/>
        <v>6.9</v>
      </c>
      <c r="AX114" s="598">
        <f t="shared" si="149"/>
        <v>5.4</v>
      </c>
      <c r="AY114" s="598">
        <f t="shared" si="149"/>
        <v>6.6</v>
      </c>
    </row>
    <row r="115" spans="1:51">
      <c r="A115" s="49" t="s">
        <v>88</v>
      </c>
      <c r="B115" s="419">
        <f t="shared" si="146"/>
        <v>7.8</v>
      </c>
      <c r="C115" s="419">
        <f t="shared" si="147"/>
        <v>11</v>
      </c>
      <c r="D115" s="419">
        <f t="shared" si="147"/>
        <v>9.1999999999999993</v>
      </c>
      <c r="E115" s="419">
        <f t="shared" si="147"/>
        <v>7.5</v>
      </c>
      <c r="F115" s="419">
        <f t="shared" si="147"/>
        <v>8.4</v>
      </c>
      <c r="G115" s="419">
        <f t="shared" si="147"/>
        <v>7.7</v>
      </c>
      <c r="H115" s="419">
        <f t="shared" si="147"/>
        <v>7.4</v>
      </c>
      <c r="I115" s="419">
        <f t="shared" si="147"/>
        <v>10.7</v>
      </c>
      <c r="J115" s="419">
        <f t="shared" si="147"/>
        <v>6</v>
      </c>
      <c r="K115" s="419">
        <f t="shared" si="147"/>
        <v>7.8</v>
      </c>
      <c r="AA115" s="472"/>
      <c r="AB115" s="472"/>
      <c r="AC115" s="472"/>
      <c r="AD115" s="289" t="s">
        <v>88</v>
      </c>
      <c r="AE115" s="598">
        <f t="shared" si="148"/>
        <v>6.4</v>
      </c>
      <c r="AF115" s="598">
        <f t="shared" si="148"/>
        <v>6.1</v>
      </c>
      <c r="AG115" s="598">
        <f t="shared" si="148"/>
        <v>9.9</v>
      </c>
      <c r="AH115" s="598">
        <f t="shared" si="148"/>
        <v>8.1</v>
      </c>
      <c r="AI115" s="598">
        <f t="shared" si="148"/>
        <v>6.8</v>
      </c>
      <c r="AJ115" s="598">
        <f t="shared" si="148"/>
        <v>7.6</v>
      </c>
      <c r="AK115" s="598">
        <f t="shared" si="148"/>
        <v>6.8</v>
      </c>
      <c r="AL115" s="598">
        <f t="shared" si="148"/>
        <v>7.5</v>
      </c>
      <c r="AM115" s="598">
        <f t="shared" si="148"/>
        <v>10.6</v>
      </c>
      <c r="AN115" s="598">
        <f t="shared" si="148"/>
        <v>6.9</v>
      </c>
      <c r="AO115" s="598">
        <f t="shared" si="149"/>
        <v>7.6</v>
      </c>
      <c r="AP115" s="598">
        <f t="shared" si="149"/>
        <v>7.8</v>
      </c>
      <c r="AQ115" s="598">
        <f t="shared" si="149"/>
        <v>11</v>
      </c>
      <c r="AR115" s="598">
        <f t="shared" si="149"/>
        <v>9.1999999999999993</v>
      </c>
      <c r="AS115" s="598">
        <f t="shared" si="149"/>
        <v>7.5</v>
      </c>
      <c r="AT115" s="598">
        <f t="shared" si="149"/>
        <v>8.4</v>
      </c>
      <c r="AU115" s="598">
        <f t="shared" si="149"/>
        <v>7.7</v>
      </c>
      <c r="AV115" s="598">
        <f t="shared" si="149"/>
        <v>7.4</v>
      </c>
      <c r="AW115" s="598">
        <f t="shared" si="149"/>
        <v>10.7</v>
      </c>
      <c r="AX115" s="598">
        <f t="shared" si="149"/>
        <v>6</v>
      </c>
      <c r="AY115" s="598">
        <f t="shared" si="149"/>
        <v>7.8</v>
      </c>
    </row>
    <row r="116" spans="1:51">
      <c r="A116" s="49" t="s">
        <v>89</v>
      </c>
      <c r="B116" s="419">
        <f t="shared" si="146"/>
        <v>7.2</v>
      </c>
      <c r="C116" s="419">
        <f t="shared" si="147"/>
        <v>7.3</v>
      </c>
      <c r="D116" s="419">
        <f t="shared" si="147"/>
        <v>8.1999999999999993</v>
      </c>
      <c r="E116" s="419">
        <f t="shared" si="147"/>
        <v>6.8</v>
      </c>
      <c r="F116" s="419">
        <f t="shared" si="147"/>
        <v>7.4</v>
      </c>
      <c r="G116" s="419">
        <f t="shared" si="147"/>
        <v>7.8</v>
      </c>
      <c r="H116" s="419">
        <f t="shared" si="147"/>
        <v>6.6</v>
      </c>
      <c r="I116" s="419">
        <f t="shared" si="147"/>
        <v>7.6</v>
      </c>
      <c r="J116" s="419">
        <f t="shared" si="147"/>
        <v>6.1</v>
      </c>
      <c r="K116" s="419">
        <f t="shared" si="147"/>
        <v>10.4</v>
      </c>
      <c r="AA116" s="472"/>
      <c r="AB116" s="472"/>
      <c r="AC116" s="472"/>
      <c r="AD116" s="289" t="s">
        <v>89</v>
      </c>
      <c r="AE116" s="598">
        <f t="shared" si="148"/>
        <v>8.6</v>
      </c>
      <c r="AF116" s="598">
        <f t="shared" si="148"/>
        <v>6.3</v>
      </c>
      <c r="AG116" s="598">
        <f t="shared" si="148"/>
        <v>4.5999999999999996</v>
      </c>
      <c r="AH116" s="598">
        <f t="shared" si="148"/>
        <v>6.9</v>
      </c>
      <c r="AI116" s="598">
        <f t="shared" si="148"/>
        <v>5.4</v>
      </c>
      <c r="AJ116" s="598">
        <f t="shared" si="148"/>
        <v>5.3</v>
      </c>
      <c r="AK116" s="598">
        <f t="shared" si="148"/>
        <v>8</v>
      </c>
      <c r="AL116" s="598">
        <f t="shared" si="148"/>
        <v>8.6999999999999993</v>
      </c>
      <c r="AM116" s="598">
        <f t="shared" si="148"/>
        <v>9</v>
      </c>
      <c r="AN116" s="598">
        <f t="shared" si="148"/>
        <v>6.4</v>
      </c>
      <c r="AO116" s="598">
        <f t="shared" si="149"/>
        <v>7.8</v>
      </c>
      <c r="AP116" s="598">
        <f t="shared" si="149"/>
        <v>7.2</v>
      </c>
      <c r="AQ116" s="598">
        <f t="shared" si="149"/>
        <v>7.3</v>
      </c>
      <c r="AR116" s="598">
        <f t="shared" si="149"/>
        <v>8.1999999999999993</v>
      </c>
      <c r="AS116" s="598">
        <f t="shared" si="149"/>
        <v>6.8</v>
      </c>
      <c r="AT116" s="598">
        <f t="shared" si="149"/>
        <v>7.4</v>
      </c>
      <c r="AU116" s="598">
        <f t="shared" si="149"/>
        <v>7.8</v>
      </c>
      <c r="AV116" s="598">
        <f t="shared" si="149"/>
        <v>6.6</v>
      </c>
      <c r="AW116" s="598">
        <f t="shared" si="149"/>
        <v>7.6</v>
      </c>
      <c r="AX116" s="598">
        <f t="shared" si="149"/>
        <v>6.1</v>
      </c>
      <c r="AY116" s="598">
        <f t="shared" si="149"/>
        <v>10.4</v>
      </c>
    </row>
    <row r="117" spans="1:51">
      <c r="A117" s="49" t="s">
        <v>90</v>
      </c>
      <c r="B117" s="419">
        <f t="shared" si="146"/>
        <v>4.7</v>
      </c>
      <c r="C117" s="419">
        <f t="shared" si="147"/>
        <v>14.3</v>
      </c>
      <c r="D117" s="419">
        <f t="shared" si="147"/>
        <v>6.5</v>
      </c>
      <c r="E117" s="419">
        <f t="shared" si="147"/>
        <v>6.1</v>
      </c>
      <c r="F117" s="419">
        <f t="shared" si="147"/>
        <v>7.7</v>
      </c>
      <c r="G117" s="419">
        <f t="shared" si="147"/>
        <v>7.2</v>
      </c>
      <c r="H117" s="419">
        <f t="shared" si="147"/>
        <v>6.7</v>
      </c>
      <c r="I117" s="419">
        <f t="shared" si="147"/>
        <v>10.199999999999999</v>
      </c>
      <c r="J117" s="419">
        <f t="shared" si="147"/>
        <v>7.5</v>
      </c>
      <c r="K117" s="419">
        <f t="shared" si="147"/>
        <v>8.1999999999999993</v>
      </c>
      <c r="AA117" s="472"/>
      <c r="AB117" s="472"/>
      <c r="AC117" s="472"/>
      <c r="AD117" s="289" t="s">
        <v>90</v>
      </c>
      <c r="AE117" s="598">
        <f t="shared" si="148"/>
        <v>5.7</v>
      </c>
      <c r="AF117" s="598">
        <f t="shared" si="148"/>
        <v>13.1</v>
      </c>
      <c r="AG117" s="598">
        <f t="shared" si="148"/>
        <v>5.8</v>
      </c>
      <c r="AH117" s="598">
        <f t="shared" si="148"/>
        <v>5.9</v>
      </c>
      <c r="AI117" s="598">
        <f t="shared" si="148"/>
        <v>7.6</v>
      </c>
      <c r="AJ117" s="598">
        <f t="shared" si="148"/>
        <v>5.9</v>
      </c>
      <c r="AK117" s="598">
        <f t="shared" si="148"/>
        <v>7.9</v>
      </c>
      <c r="AL117" s="598">
        <f t="shared" si="148"/>
        <v>8.9</v>
      </c>
      <c r="AM117" s="598">
        <f t="shared" si="148"/>
        <v>9</v>
      </c>
      <c r="AN117" s="598">
        <f t="shared" si="148"/>
        <v>8.8000000000000007</v>
      </c>
      <c r="AO117" s="598">
        <f t="shared" si="149"/>
        <v>4.9000000000000004</v>
      </c>
      <c r="AP117" s="598">
        <f t="shared" si="149"/>
        <v>4.7</v>
      </c>
      <c r="AQ117" s="598">
        <f t="shared" si="149"/>
        <v>14.3</v>
      </c>
      <c r="AR117" s="598">
        <f t="shared" si="149"/>
        <v>6.5</v>
      </c>
      <c r="AS117" s="598">
        <f t="shared" si="149"/>
        <v>6.1</v>
      </c>
      <c r="AT117" s="598">
        <f t="shared" si="149"/>
        <v>7.7</v>
      </c>
      <c r="AU117" s="598">
        <f t="shared" si="149"/>
        <v>7.2</v>
      </c>
      <c r="AV117" s="598">
        <f t="shared" si="149"/>
        <v>6.7</v>
      </c>
      <c r="AW117" s="598">
        <f t="shared" si="149"/>
        <v>10.199999999999999</v>
      </c>
      <c r="AX117" s="598">
        <f t="shared" si="149"/>
        <v>7.5</v>
      </c>
      <c r="AY117" s="598">
        <f t="shared" si="149"/>
        <v>8.1999999999999993</v>
      </c>
    </row>
    <row r="118" spans="1:51">
      <c r="A118" s="49" t="s">
        <v>91</v>
      </c>
      <c r="B118" s="419">
        <f t="shared" si="146"/>
        <v>6.5</v>
      </c>
      <c r="C118" s="419">
        <f t="shared" si="147"/>
        <v>8.1</v>
      </c>
      <c r="D118" s="419">
        <f t="shared" si="147"/>
        <v>3.8</v>
      </c>
      <c r="E118" s="419">
        <f t="shared" si="147"/>
        <v>4.7</v>
      </c>
      <c r="F118" s="419">
        <f t="shared" si="147"/>
        <v>5</v>
      </c>
      <c r="G118" s="419">
        <f t="shared" si="147"/>
        <v>6.3</v>
      </c>
      <c r="H118" s="419">
        <f t="shared" si="147"/>
        <v>3.9</v>
      </c>
      <c r="I118" s="419">
        <f t="shared" si="147"/>
        <v>9.9</v>
      </c>
      <c r="J118" s="419">
        <f t="shared" si="147"/>
        <v>6.7</v>
      </c>
      <c r="K118" s="419">
        <f t="shared" si="147"/>
        <v>6.4</v>
      </c>
      <c r="AA118" s="472"/>
      <c r="AB118" s="472"/>
      <c r="AC118" s="472"/>
      <c r="AD118" s="289" t="s">
        <v>91</v>
      </c>
      <c r="AE118" s="598">
        <f t="shared" si="148"/>
        <v>5.8</v>
      </c>
      <c r="AF118" s="598">
        <f t="shared" si="148"/>
        <v>5.4</v>
      </c>
      <c r="AG118" s="598">
        <f t="shared" si="148"/>
        <v>4.7</v>
      </c>
      <c r="AH118" s="598">
        <f t="shared" si="148"/>
        <v>7.4</v>
      </c>
      <c r="AI118" s="598">
        <f t="shared" si="148"/>
        <v>6.1</v>
      </c>
      <c r="AJ118" s="598">
        <f t="shared" si="148"/>
        <v>5.7</v>
      </c>
      <c r="AK118" s="598">
        <f t="shared" si="148"/>
        <v>8.5</v>
      </c>
      <c r="AL118" s="598">
        <f t="shared" si="148"/>
        <v>5.7</v>
      </c>
      <c r="AM118" s="598">
        <f t="shared" si="148"/>
        <v>6.1</v>
      </c>
      <c r="AN118" s="598">
        <f t="shared" si="148"/>
        <v>7.8</v>
      </c>
      <c r="AO118" s="598">
        <f t="shared" si="149"/>
        <v>4.5999999999999996</v>
      </c>
      <c r="AP118" s="598">
        <f t="shared" si="149"/>
        <v>6.5</v>
      </c>
      <c r="AQ118" s="598">
        <f t="shared" si="149"/>
        <v>8.1</v>
      </c>
      <c r="AR118" s="598">
        <f t="shared" si="149"/>
        <v>3.8</v>
      </c>
      <c r="AS118" s="598">
        <f t="shared" si="149"/>
        <v>4.7</v>
      </c>
      <c r="AT118" s="598">
        <f t="shared" si="149"/>
        <v>5</v>
      </c>
      <c r="AU118" s="598">
        <f t="shared" si="149"/>
        <v>6.3</v>
      </c>
      <c r="AV118" s="598">
        <f t="shared" si="149"/>
        <v>3.9</v>
      </c>
      <c r="AW118" s="598">
        <f t="shared" si="149"/>
        <v>9.9</v>
      </c>
      <c r="AX118" s="598">
        <f t="shared" si="149"/>
        <v>6.7</v>
      </c>
      <c r="AY118" s="598">
        <f t="shared" si="149"/>
        <v>6.4</v>
      </c>
    </row>
    <row r="119" spans="1:51">
      <c r="A119" s="621" t="s">
        <v>366</v>
      </c>
      <c r="B119" s="419">
        <f t="shared" si="146"/>
        <v>3.6</v>
      </c>
      <c r="C119" s="419">
        <f t="shared" si="147"/>
        <v>12.6</v>
      </c>
      <c r="D119" s="419">
        <f t="shared" si="147"/>
        <v>1.3</v>
      </c>
      <c r="E119" s="419">
        <f t="shared" si="147"/>
        <v>9.8000000000000007</v>
      </c>
      <c r="F119" s="419">
        <f t="shared" si="147"/>
        <v>5.3</v>
      </c>
      <c r="G119" s="419">
        <f t="shared" si="147"/>
        <v>5.5</v>
      </c>
      <c r="H119" s="419">
        <f t="shared" si="147"/>
        <v>7</v>
      </c>
      <c r="I119" s="419">
        <f t="shared" si="147"/>
        <v>3</v>
      </c>
      <c r="J119" s="419">
        <f t="shared" si="147"/>
        <v>8.1</v>
      </c>
      <c r="K119" s="419">
        <f t="shared" si="147"/>
        <v>2.6</v>
      </c>
      <c r="AA119" s="472"/>
      <c r="AB119" s="472"/>
      <c r="AC119" s="472"/>
      <c r="AD119" s="289" t="s">
        <v>433</v>
      </c>
      <c r="AE119" s="598">
        <f t="shared" si="148"/>
        <v>5.7</v>
      </c>
      <c r="AF119" s="598">
        <f t="shared" si="148"/>
        <v>4.8</v>
      </c>
      <c r="AG119" s="598">
        <f t="shared" si="148"/>
        <v>3.6</v>
      </c>
      <c r="AH119" s="598">
        <f t="shared" si="148"/>
        <v>9</v>
      </c>
      <c r="AI119" s="598">
        <f t="shared" si="148"/>
        <v>6.4</v>
      </c>
      <c r="AJ119" s="598">
        <f t="shared" si="148"/>
        <v>9.1</v>
      </c>
      <c r="AK119" s="598">
        <f t="shared" si="148"/>
        <v>7.8</v>
      </c>
      <c r="AL119" s="598">
        <f t="shared" si="148"/>
        <v>4.2</v>
      </c>
      <c r="AM119" s="598">
        <f t="shared" si="148"/>
        <v>6.5</v>
      </c>
      <c r="AN119" s="598">
        <f t="shared" si="148"/>
        <v>8.6999999999999993</v>
      </c>
      <c r="AO119" s="598">
        <f t="shared" si="149"/>
        <v>6.6</v>
      </c>
      <c r="AP119" s="598">
        <f t="shared" si="149"/>
        <v>3.6</v>
      </c>
      <c r="AQ119" s="598">
        <f t="shared" si="149"/>
        <v>12.6</v>
      </c>
      <c r="AR119" s="598">
        <f t="shared" si="149"/>
        <v>1.3</v>
      </c>
      <c r="AS119" s="598">
        <f t="shared" si="149"/>
        <v>9.8000000000000007</v>
      </c>
      <c r="AT119" s="598">
        <f t="shared" si="149"/>
        <v>5.3</v>
      </c>
      <c r="AU119" s="598">
        <f t="shared" si="149"/>
        <v>5.5</v>
      </c>
      <c r="AV119" s="598">
        <f t="shared" si="149"/>
        <v>7</v>
      </c>
      <c r="AW119" s="598">
        <f t="shared" si="149"/>
        <v>3</v>
      </c>
      <c r="AX119" s="598">
        <f t="shared" si="149"/>
        <v>8.1</v>
      </c>
      <c r="AY119" s="598">
        <f t="shared" si="149"/>
        <v>2.6</v>
      </c>
    </row>
    <row r="120" spans="1:51">
      <c r="A120" s="49" t="s">
        <v>92</v>
      </c>
      <c r="B120" s="419">
        <f t="shared" si="146"/>
        <v>4.2</v>
      </c>
      <c r="C120" s="419">
        <f t="shared" si="147"/>
        <v>5</v>
      </c>
      <c r="D120" s="419">
        <f t="shared" si="147"/>
        <v>6.2</v>
      </c>
      <c r="E120" s="419">
        <f t="shared" si="147"/>
        <v>8.9</v>
      </c>
      <c r="F120" s="419">
        <f t="shared" si="147"/>
        <v>8.8000000000000007</v>
      </c>
      <c r="G120" s="419">
        <f t="shared" si="147"/>
        <v>5.7</v>
      </c>
      <c r="H120" s="419">
        <f t="shared" si="147"/>
        <v>7.2</v>
      </c>
      <c r="I120" s="419">
        <f t="shared" si="147"/>
        <v>6.6</v>
      </c>
      <c r="J120" s="419">
        <f t="shared" si="147"/>
        <v>5</v>
      </c>
      <c r="K120" s="419">
        <f t="shared" si="147"/>
        <v>3.3</v>
      </c>
      <c r="AA120" s="472"/>
      <c r="AB120" s="472"/>
      <c r="AC120" s="472"/>
      <c r="AD120" s="289" t="s">
        <v>92</v>
      </c>
      <c r="AE120" s="598">
        <f t="shared" si="148"/>
        <v>8.1999999999999993</v>
      </c>
      <c r="AF120" s="598">
        <f t="shared" si="148"/>
        <v>5.6</v>
      </c>
      <c r="AG120" s="598">
        <f t="shared" si="148"/>
        <v>5.2</v>
      </c>
      <c r="AH120" s="598">
        <f t="shared" si="148"/>
        <v>9.1999999999999993</v>
      </c>
      <c r="AI120" s="598">
        <f t="shared" si="148"/>
        <v>6.8</v>
      </c>
      <c r="AJ120" s="598">
        <f t="shared" si="148"/>
        <v>7.9</v>
      </c>
      <c r="AK120" s="598">
        <f t="shared" si="148"/>
        <v>5.8</v>
      </c>
      <c r="AL120" s="598">
        <f t="shared" si="148"/>
        <v>3.8</v>
      </c>
      <c r="AM120" s="598">
        <f t="shared" si="148"/>
        <v>6.4</v>
      </c>
      <c r="AN120" s="598">
        <f t="shared" si="148"/>
        <v>5.0999999999999996</v>
      </c>
      <c r="AO120" s="598">
        <f t="shared" si="149"/>
        <v>4.5</v>
      </c>
      <c r="AP120" s="598">
        <f t="shared" si="149"/>
        <v>4.2</v>
      </c>
      <c r="AQ120" s="598">
        <f t="shared" si="149"/>
        <v>5</v>
      </c>
      <c r="AR120" s="598">
        <f t="shared" si="149"/>
        <v>6.2</v>
      </c>
      <c r="AS120" s="598">
        <f t="shared" si="149"/>
        <v>8.9</v>
      </c>
      <c r="AT120" s="598">
        <f t="shared" si="149"/>
        <v>8.8000000000000007</v>
      </c>
      <c r="AU120" s="598">
        <f t="shared" si="149"/>
        <v>5.7</v>
      </c>
      <c r="AV120" s="598">
        <f t="shared" si="149"/>
        <v>7.2</v>
      </c>
      <c r="AW120" s="598">
        <f t="shared" si="149"/>
        <v>6.6</v>
      </c>
      <c r="AX120" s="598">
        <f t="shared" si="149"/>
        <v>5</v>
      </c>
      <c r="AY120" s="598">
        <f t="shared" si="149"/>
        <v>3.3</v>
      </c>
    </row>
    <row r="121" spans="1:51">
      <c r="A121" s="49" t="s">
        <v>93</v>
      </c>
      <c r="B121" s="419">
        <f t="shared" si="146"/>
        <v>3.7</v>
      </c>
      <c r="C121" s="419">
        <f t="shared" si="147"/>
        <v>7.9</v>
      </c>
      <c r="D121" s="419">
        <f t="shared" si="147"/>
        <v>5</v>
      </c>
      <c r="E121" s="419">
        <f t="shared" si="147"/>
        <v>9.1999999999999993</v>
      </c>
      <c r="F121" s="419">
        <f t="shared" si="147"/>
        <v>7.6</v>
      </c>
      <c r="G121" s="419">
        <f t="shared" si="147"/>
        <v>3.8</v>
      </c>
      <c r="H121" s="419">
        <f t="shared" si="147"/>
        <v>6.5</v>
      </c>
      <c r="I121" s="419">
        <f t="shared" si="147"/>
        <v>7.8</v>
      </c>
      <c r="J121" s="419">
        <f t="shared" si="147"/>
        <v>4.3</v>
      </c>
      <c r="K121" s="419">
        <f t="shared" si="147"/>
        <v>8.6</v>
      </c>
      <c r="AA121" s="472"/>
      <c r="AB121" s="472"/>
      <c r="AC121" s="472"/>
      <c r="AD121" s="289" t="s">
        <v>93</v>
      </c>
      <c r="AE121" s="598">
        <f t="shared" si="148"/>
        <v>12.2</v>
      </c>
      <c r="AF121" s="598">
        <f t="shared" si="148"/>
        <v>7.9</v>
      </c>
      <c r="AG121" s="598">
        <f t="shared" si="148"/>
        <v>5.9</v>
      </c>
      <c r="AH121" s="598">
        <f t="shared" si="148"/>
        <v>9.9</v>
      </c>
      <c r="AI121" s="598">
        <f t="shared" si="148"/>
        <v>2.1</v>
      </c>
      <c r="AJ121" s="598">
        <f t="shared" si="148"/>
        <v>8</v>
      </c>
      <c r="AK121" s="598">
        <f t="shared" si="148"/>
        <v>9.1</v>
      </c>
      <c r="AL121" s="598">
        <f t="shared" si="148"/>
        <v>5.0999999999999996</v>
      </c>
      <c r="AM121" s="598">
        <f t="shared" si="148"/>
        <v>9.6</v>
      </c>
      <c r="AN121" s="598">
        <f t="shared" si="148"/>
        <v>4.8</v>
      </c>
      <c r="AO121" s="598">
        <f t="shared" si="149"/>
        <v>8</v>
      </c>
      <c r="AP121" s="598">
        <f t="shared" si="149"/>
        <v>3.7</v>
      </c>
      <c r="AQ121" s="598">
        <f t="shared" si="149"/>
        <v>7.9</v>
      </c>
      <c r="AR121" s="598">
        <f t="shared" si="149"/>
        <v>5</v>
      </c>
      <c r="AS121" s="598">
        <f t="shared" si="149"/>
        <v>9.1999999999999993</v>
      </c>
      <c r="AT121" s="598">
        <f t="shared" si="149"/>
        <v>7.6</v>
      </c>
      <c r="AU121" s="598">
        <f t="shared" si="149"/>
        <v>3.8</v>
      </c>
      <c r="AV121" s="598">
        <f t="shared" si="149"/>
        <v>6.5</v>
      </c>
      <c r="AW121" s="598">
        <f t="shared" si="149"/>
        <v>7.8</v>
      </c>
      <c r="AX121" s="598">
        <f t="shared" si="149"/>
        <v>4.3</v>
      </c>
      <c r="AY121" s="598">
        <f t="shared" si="149"/>
        <v>8.6</v>
      </c>
    </row>
    <row r="122" spans="1:51">
      <c r="A122" s="49" t="s">
        <v>94</v>
      </c>
      <c r="B122" s="419">
        <f t="shared" si="146"/>
        <v>8.4</v>
      </c>
      <c r="C122" s="419">
        <f t="shared" si="147"/>
        <v>8.9</v>
      </c>
      <c r="D122" s="419">
        <f t="shared" si="147"/>
        <v>11.2</v>
      </c>
      <c r="E122" s="419">
        <f t="shared" si="147"/>
        <v>8.4</v>
      </c>
      <c r="F122" s="419">
        <f t="shared" si="147"/>
        <v>5.9</v>
      </c>
      <c r="G122" s="419">
        <f t="shared" si="147"/>
        <v>7.7</v>
      </c>
      <c r="H122" s="419">
        <f t="shared" si="147"/>
        <v>6</v>
      </c>
      <c r="I122" s="419">
        <f t="shared" si="147"/>
        <v>4.3</v>
      </c>
      <c r="J122" s="419">
        <f t="shared" si="147"/>
        <v>5.4</v>
      </c>
      <c r="K122" s="419">
        <f t="shared" si="147"/>
        <v>5.2</v>
      </c>
      <c r="AA122" s="472"/>
      <c r="AB122" s="472"/>
      <c r="AC122" s="472"/>
      <c r="AD122" s="289" t="s">
        <v>94</v>
      </c>
      <c r="AE122" s="598">
        <f t="shared" ref="AE122:AN131" si="150">VLOOKUP(AE$73&amp;$AD$111&amp;$AD122&amp;$AF$5, vw.deaths,7, FALSE)</f>
        <v>8.6</v>
      </c>
      <c r="AF122" s="598">
        <f t="shared" si="150"/>
        <v>9.1999999999999993</v>
      </c>
      <c r="AG122" s="598">
        <f t="shared" si="150"/>
        <v>7.9</v>
      </c>
      <c r="AH122" s="598">
        <f t="shared" si="150"/>
        <v>8.1</v>
      </c>
      <c r="AI122" s="598">
        <f t="shared" si="150"/>
        <v>5.6</v>
      </c>
      <c r="AJ122" s="598">
        <f t="shared" si="150"/>
        <v>8.8000000000000007</v>
      </c>
      <c r="AK122" s="598">
        <f t="shared" si="150"/>
        <v>7</v>
      </c>
      <c r="AL122" s="598">
        <f t="shared" si="150"/>
        <v>6.8</v>
      </c>
      <c r="AM122" s="598">
        <f t="shared" si="150"/>
        <v>7.6</v>
      </c>
      <c r="AN122" s="598">
        <f t="shared" si="150"/>
        <v>7.9</v>
      </c>
      <c r="AO122" s="598">
        <f t="shared" ref="AO122:AY131" si="151">VLOOKUP(AO$73&amp;$AD$111&amp;$AD122&amp;$AF$5, vw.deaths,7, FALSE)</f>
        <v>3.9</v>
      </c>
      <c r="AP122" s="598">
        <f t="shared" si="151"/>
        <v>8.4</v>
      </c>
      <c r="AQ122" s="598">
        <f t="shared" si="151"/>
        <v>8.9</v>
      </c>
      <c r="AR122" s="598">
        <f t="shared" si="151"/>
        <v>11.2</v>
      </c>
      <c r="AS122" s="598">
        <f t="shared" si="151"/>
        <v>8.4</v>
      </c>
      <c r="AT122" s="598">
        <f t="shared" si="151"/>
        <v>5.9</v>
      </c>
      <c r="AU122" s="598">
        <f t="shared" si="151"/>
        <v>7.7</v>
      </c>
      <c r="AV122" s="598">
        <f t="shared" si="151"/>
        <v>6</v>
      </c>
      <c r="AW122" s="598">
        <f t="shared" si="151"/>
        <v>4.3</v>
      </c>
      <c r="AX122" s="598">
        <f t="shared" si="151"/>
        <v>5.4</v>
      </c>
      <c r="AY122" s="598">
        <f t="shared" si="151"/>
        <v>5.2</v>
      </c>
    </row>
    <row r="123" spans="1:51">
      <c r="A123" s="49" t="s">
        <v>95</v>
      </c>
      <c r="B123" s="419">
        <f t="shared" si="146"/>
        <v>9.8000000000000007</v>
      </c>
      <c r="C123" s="419">
        <f t="shared" si="147"/>
        <v>9.4</v>
      </c>
      <c r="D123" s="419">
        <f t="shared" si="147"/>
        <v>9.6</v>
      </c>
      <c r="E123" s="419">
        <f t="shared" si="147"/>
        <v>6.5</v>
      </c>
      <c r="F123" s="419">
        <f t="shared" si="147"/>
        <v>6</v>
      </c>
      <c r="G123" s="419">
        <f t="shared" si="147"/>
        <v>15.2</v>
      </c>
      <c r="H123" s="419">
        <f t="shared" si="147"/>
        <v>4.5999999999999996</v>
      </c>
      <c r="I123" s="419">
        <f t="shared" si="147"/>
        <v>3.7</v>
      </c>
      <c r="J123" s="419">
        <f t="shared" si="147"/>
        <v>7.9</v>
      </c>
      <c r="K123" s="419">
        <f t="shared" si="147"/>
        <v>4.7</v>
      </c>
      <c r="AA123" s="472"/>
      <c r="AB123" s="472"/>
      <c r="AC123" s="472"/>
      <c r="AD123" s="289" t="s">
        <v>95</v>
      </c>
      <c r="AE123" s="598">
        <f t="shared" si="150"/>
        <v>9.1999999999999993</v>
      </c>
      <c r="AF123" s="598">
        <f t="shared" si="150"/>
        <v>5.5</v>
      </c>
      <c r="AG123" s="598">
        <f t="shared" si="150"/>
        <v>7.3</v>
      </c>
      <c r="AH123" s="598">
        <f t="shared" si="150"/>
        <v>6.2</v>
      </c>
      <c r="AI123" s="598">
        <f t="shared" si="150"/>
        <v>7</v>
      </c>
      <c r="AJ123" s="598">
        <f t="shared" si="150"/>
        <v>3.3</v>
      </c>
      <c r="AK123" s="598">
        <f t="shared" si="150"/>
        <v>5.8</v>
      </c>
      <c r="AL123" s="598">
        <f t="shared" si="150"/>
        <v>8.1999999999999993</v>
      </c>
      <c r="AM123" s="598">
        <f t="shared" si="150"/>
        <v>12.1</v>
      </c>
      <c r="AN123" s="598">
        <f t="shared" si="150"/>
        <v>9.6</v>
      </c>
      <c r="AO123" s="598">
        <f t="shared" si="151"/>
        <v>5.6</v>
      </c>
      <c r="AP123" s="598">
        <f t="shared" si="151"/>
        <v>9.8000000000000007</v>
      </c>
      <c r="AQ123" s="598">
        <f t="shared" si="151"/>
        <v>9.4</v>
      </c>
      <c r="AR123" s="598">
        <f t="shared" si="151"/>
        <v>9.6</v>
      </c>
      <c r="AS123" s="598">
        <f t="shared" si="151"/>
        <v>6.5</v>
      </c>
      <c r="AT123" s="598">
        <f t="shared" si="151"/>
        <v>6</v>
      </c>
      <c r="AU123" s="598">
        <f t="shared" si="151"/>
        <v>15.2</v>
      </c>
      <c r="AV123" s="598">
        <f t="shared" si="151"/>
        <v>4.5999999999999996</v>
      </c>
      <c r="AW123" s="598">
        <f t="shared" si="151"/>
        <v>3.7</v>
      </c>
      <c r="AX123" s="598">
        <f t="shared" si="151"/>
        <v>7.9</v>
      </c>
      <c r="AY123" s="598">
        <f t="shared" si="151"/>
        <v>4.7</v>
      </c>
    </row>
    <row r="124" spans="1:51">
      <c r="A124" s="49" t="s">
        <v>96</v>
      </c>
      <c r="B124" s="419">
        <f t="shared" si="146"/>
        <v>7.8</v>
      </c>
      <c r="C124" s="419">
        <f t="shared" si="147"/>
        <v>7.4</v>
      </c>
      <c r="D124" s="419">
        <f t="shared" si="147"/>
        <v>7.7</v>
      </c>
      <c r="E124" s="419">
        <f t="shared" si="147"/>
        <v>5.2</v>
      </c>
      <c r="F124" s="419">
        <f t="shared" si="147"/>
        <v>5.0999999999999996</v>
      </c>
      <c r="G124" s="419">
        <f t="shared" si="147"/>
        <v>7.3</v>
      </c>
      <c r="H124" s="419">
        <f t="shared" si="147"/>
        <v>4.7</v>
      </c>
      <c r="I124" s="419">
        <f t="shared" si="147"/>
        <v>4.5</v>
      </c>
      <c r="J124" s="419">
        <f t="shared" si="147"/>
        <v>6.9</v>
      </c>
      <c r="K124" s="419">
        <f t="shared" si="147"/>
        <v>5.0999999999999996</v>
      </c>
      <c r="AA124" s="472"/>
      <c r="AB124" s="472"/>
      <c r="AC124" s="472"/>
      <c r="AD124" s="289" t="s">
        <v>96</v>
      </c>
      <c r="AE124" s="598">
        <f t="shared" si="150"/>
        <v>6.3</v>
      </c>
      <c r="AF124" s="598">
        <f t="shared" si="150"/>
        <v>7.5</v>
      </c>
      <c r="AG124" s="598">
        <f t="shared" si="150"/>
        <v>8.1</v>
      </c>
      <c r="AH124" s="598">
        <f t="shared" si="150"/>
        <v>8.6</v>
      </c>
      <c r="AI124" s="598">
        <f t="shared" si="150"/>
        <v>6.6</v>
      </c>
      <c r="AJ124" s="598">
        <f t="shared" si="150"/>
        <v>7.2</v>
      </c>
      <c r="AK124" s="598">
        <f t="shared" si="150"/>
        <v>7.2</v>
      </c>
      <c r="AL124" s="598">
        <f t="shared" si="150"/>
        <v>6.8</v>
      </c>
      <c r="AM124" s="598">
        <f t="shared" si="150"/>
        <v>8.9</v>
      </c>
      <c r="AN124" s="598">
        <f t="shared" si="150"/>
        <v>6.7</v>
      </c>
      <c r="AO124" s="598">
        <f t="shared" si="151"/>
        <v>6.4</v>
      </c>
      <c r="AP124" s="598">
        <f t="shared" si="151"/>
        <v>7.8</v>
      </c>
      <c r="AQ124" s="598">
        <f t="shared" si="151"/>
        <v>7.4</v>
      </c>
      <c r="AR124" s="598">
        <f t="shared" si="151"/>
        <v>7.7</v>
      </c>
      <c r="AS124" s="598">
        <f t="shared" si="151"/>
        <v>5.2</v>
      </c>
      <c r="AT124" s="598">
        <f t="shared" si="151"/>
        <v>5.0999999999999996</v>
      </c>
      <c r="AU124" s="598">
        <f t="shared" si="151"/>
        <v>7.3</v>
      </c>
      <c r="AV124" s="598">
        <f t="shared" si="151"/>
        <v>4.7</v>
      </c>
      <c r="AW124" s="598">
        <f t="shared" si="151"/>
        <v>4.5</v>
      </c>
      <c r="AX124" s="598">
        <f t="shared" si="151"/>
        <v>6.9</v>
      </c>
      <c r="AY124" s="598">
        <f t="shared" si="151"/>
        <v>5.0999999999999996</v>
      </c>
    </row>
    <row r="125" spans="1:51">
      <c r="A125" s="49" t="s">
        <v>97</v>
      </c>
      <c r="B125" s="419">
        <f t="shared" si="146"/>
        <v>8.3000000000000007</v>
      </c>
      <c r="C125" s="419">
        <f t="shared" si="147"/>
        <v>9.3000000000000007</v>
      </c>
      <c r="D125" s="419">
        <f t="shared" si="147"/>
        <v>7.2</v>
      </c>
      <c r="E125" s="419">
        <f t="shared" si="147"/>
        <v>8.8000000000000007</v>
      </c>
      <c r="F125" s="419">
        <f t="shared" si="147"/>
        <v>10.6</v>
      </c>
      <c r="G125" s="419">
        <f t="shared" si="147"/>
        <v>5.4</v>
      </c>
      <c r="H125" s="419">
        <f t="shared" si="147"/>
        <v>3.7</v>
      </c>
      <c r="I125" s="419">
        <f t="shared" si="147"/>
        <v>8.6999999999999993</v>
      </c>
      <c r="J125" s="419">
        <f t="shared" si="147"/>
        <v>6.2</v>
      </c>
      <c r="K125" s="419">
        <f t="shared" si="147"/>
        <v>3.5</v>
      </c>
      <c r="AA125" s="472"/>
      <c r="AB125" s="472"/>
      <c r="AC125" s="472"/>
      <c r="AD125" s="289" t="s">
        <v>97</v>
      </c>
      <c r="AE125" s="598">
        <f t="shared" si="150"/>
        <v>5.6</v>
      </c>
      <c r="AF125" s="598">
        <f t="shared" si="150"/>
        <v>8</v>
      </c>
      <c r="AG125" s="598">
        <f t="shared" si="150"/>
        <v>4.7</v>
      </c>
      <c r="AH125" s="598">
        <f t="shared" si="150"/>
        <v>8</v>
      </c>
      <c r="AI125" s="598">
        <f t="shared" si="150"/>
        <v>9.5</v>
      </c>
      <c r="AJ125" s="598">
        <f t="shared" si="150"/>
        <v>6.4</v>
      </c>
      <c r="AK125" s="598">
        <f t="shared" si="150"/>
        <v>5.8</v>
      </c>
      <c r="AL125" s="598">
        <f t="shared" si="150"/>
        <v>6.3</v>
      </c>
      <c r="AM125" s="598">
        <f t="shared" si="150"/>
        <v>7.3</v>
      </c>
      <c r="AN125" s="598">
        <f t="shared" si="150"/>
        <v>7.4</v>
      </c>
      <c r="AO125" s="598">
        <f t="shared" si="151"/>
        <v>8.9</v>
      </c>
      <c r="AP125" s="598">
        <f t="shared" si="151"/>
        <v>8.3000000000000007</v>
      </c>
      <c r="AQ125" s="598">
        <f t="shared" si="151"/>
        <v>9.3000000000000007</v>
      </c>
      <c r="AR125" s="598">
        <f t="shared" si="151"/>
        <v>7.2</v>
      </c>
      <c r="AS125" s="598">
        <f t="shared" si="151"/>
        <v>8.8000000000000007</v>
      </c>
      <c r="AT125" s="598">
        <f t="shared" si="151"/>
        <v>10.6</v>
      </c>
      <c r="AU125" s="598">
        <f t="shared" si="151"/>
        <v>5.4</v>
      </c>
      <c r="AV125" s="598">
        <f t="shared" si="151"/>
        <v>3.7</v>
      </c>
      <c r="AW125" s="598">
        <f t="shared" si="151"/>
        <v>8.6999999999999993</v>
      </c>
      <c r="AX125" s="598">
        <f t="shared" si="151"/>
        <v>6.2</v>
      </c>
      <c r="AY125" s="598">
        <f t="shared" si="151"/>
        <v>3.5</v>
      </c>
    </row>
    <row r="126" spans="1:51">
      <c r="A126" s="49" t="s">
        <v>98</v>
      </c>
      <c r="B126" s="419">
        <f t="shared" si="146"/>
        <v>7.4</v>
      </c>
      <c r="C126" s="419">
        <f t="shared" si="147"/>
        <v>7.5</v>
      </c>
      <c r="D126" s="419">
        <f t="shared" si="147"/>
        <v>7.2</v>
      </c>
      <c r="E126" s="419">
        <f t="shared" si="147"/>
        <v>10.8</v>
      </c>
      <c r="F126" s="419">
        <f t="shared" si="147"/>
        <v>1.9</v>
      </c>
      <c r="G126" s="419">
        <f t="shared" si="147"/>
        <v>7.7</v>
      </c>
      <c r="H126" s="419">
        <f t="shared" si="147"/>
        <v>19.7</v>
      </c>
      <c r="I126" s="419">
        <f t="shared" si="147"/>
        <v>2</v>
      </c>
      <c r="J126" s="419">
        <f t="shared" si="147"/>
        <v>4</v>
      </c>
      <c r="K126" s="419">
        <f t="shared" si="147"/>
        <v>10.3</v>
      </c>
      <c r="AA126" s="472"/>
      <c r="AB126" s="472"/>
      <c r="AC126" s="472"/>
      <c r="AD126" s="289" t="s">
        <v>98</v>
      </c>
      <c r="AE126" s="598">
        <f t="shared" si="150"/>
        <v>15.5</v>
      </c>
      <c r="AF126" s="598">
        <f t="shared" si="150"/>
        <v>15.7</v>
      </c>
      <c r="AG126" s="598">
        <f t="shared" si="150"/>
        <v>5.3</v>
      </c>
      <c r="AH126" s="598">
        <f t="shared" si="150"/>
        <v>7.2</v>
      </c>
      <c r="AI126" s="598">
        <f t="shared" si="150"/>
        <v>4</v>
      </c>
      <c r="AJ126" s="598">
        <f t="shared" si="150"/>
        <v>8</v>
      </c>
      <c r="AK126" s="598">
        <f t="shared" si="150"/>
        <v>2.2000000000000002</v>
      </c>
      <c r="AL126" s="598">
        <f t="shared" si="150"/>
        <v>6.8</v>
      </c>
      <c r="AM126" s="598">
        <f t="shared" si="150"/>
        <v>16.899999999999999</v>
      </c>
      <c r="AN126" s="598">
        <f t="shared" si="150"/>
        <v>6.3</v>
      </c>
      <c r="AO126" s="598">
        <f t="shared" si="151"/>
        <v>5.7</v>
      </c>
      <c r="AP126" s="598">
        <f t="shared" si="151"/>
        <v>7.4</v>
      </c>
      <c r="AQ126" s="598">
        <f t="shared" si="151"/>
        <v>7.5</v>
      </c>
      <c r="AR126" s="598">
        <f t="shared" si="151"/>
        <v>7.2</v>
      </c>
      <c r="AS126" s="598">
        <f t="shared" si="151"/>
        <v>10.8</v>
      </c>
      <c r="AT126" s="598">
        <f t="shared" si="151"/>
        <v>1.9</v>
      </c>
      <c r="AU126" s="598">
        <f t="shared" si="151"/>
        <v>7.7</v>
      </c>
      <c r="AV126" s="598">
        <f t="shared" si="151"/>
        <v>19.7</v>
      </c>
      <c r="AW126" s="598">
        <f t="shared" si="151"/>
        <v>2</v>
      </c>
      <c r="AX126" s="598">
        <f t="shared" si="151"/>
        <v>4</v>
      </c>
      <c r="AY126" s="598">
        <f t="shared" si="151"/>
        <v>10.3</v>
      </c>
    </row>
    <row r="127" spans="1:51">
      <c r="A127" s="49" t="s">
        <v>99</v>
      </c>
      <c r="B127" s="419">
        <f t="shared" si="146"/>
        <v>6.9</v>
      </c>
      <c r="C127" s="419">
        <f t="shared" si="147"/>
        <v>7.3</v>
      </c>
      <c r="D127" s="419">
        <f t="shared" si="147"/>
        <v>7.2</v>
      </c>
      <c r="E127" s="419">
        <f t="shared" si="147"/>
        <v>3.5</v>
      </c>
      <c r="F127" s="419">
        <f t="shared" si="147"/>
        <v>6.6</v>
      </c>
      <c r="G127" s="419">
        <f t="shared" si="147"/>
        <v>4.5</v>
      </c>
      <c r="H127" s="419">
        <f t="shared" si="147"/>
        <v>5.8</v>
      </c>
      <c r="I127" s="419">
        <f t="shared" si="147"/>
        <v>8.9</v>
      </c>
      <c r="J127" s="419">
        <f t="shared" si="147"/>
        <v>6</v>
      </c>
      <c r="K127" s="419">
        <f t="shared" si="147"/>
        <v>2.6</v>
      </c>
      <c r="AA127" s="472"/>
      <c r="AB127" s="472"/>
      <c r="AC127" s="472"/>
      <c r="AD127" s="289" t="s">
        <v>99</v>
      </c>
      <c r="AE127" s="598">
        <f t="shared" si="150"/>
        <v>6.1</v>
      </c>
      <c r="AF127" s="598">
        <f t="shared" si="150"/>
        <v>9</v>
      </c>
      <c r="AG127" s="598">
        <f t="shared" si="150"/>
        <v>5.8</v>
      </c>
      <c r="AH127" s="598">
        <f t="shared" si="150"/>
        <v>9.3000000000000007</v>
      </c>
      <c r="AI127" s="598">
        <f t="shared" si="150"/>
        <v>5.2</v>
      </c>
      <c r="AJ127" s="598">
        <f t="shared" si="150"/>
        <v>7.3</v>
      </c>
      <c r="AK127" s="598">
        <f t="shared" si="150"/>
        <v>7.6</v>
      </c>
      <c r="AL127" s="598">
        <f t="shared" si="150"/>
        <v>4.5999999999999996</v>
      </c>
      <c r="AM127" s="598">
        <f t="shared" si="150"/>
        <v>8.6</v>
      </c>
      <c r="AN127" s="598">
        <f t="shared" si="150"/>
        <v>7.2</v>
      </c>
      <c r="AO127" s="598">
        <f t="shared" si="151"/>
        <v>7.6</v>
      </c>
      <c r="AP127" s="598">
        <f t="shared" si="151"/>
        <v>6.9</v>
      </c>
      <c r="AQ127" s="598">
        <f t="shared" si="151"/>
        <v>7.3</v>
      </c>
      <c r="AR127" s="598">
        <f t="shared" si="151"/>
        <v>7.2</v>
      </c>
      <c r="AS127" s="598">
        <f t="shared" si="151"/>
        <v>3.5</v>
      </c>
      <c r="AT127" s="598">
        <f t="shared" si="151"/>
        <v>6.6</v>
      </c>
      <c r="AU127" s="598">
        <f t="shared" si="151"/>
        <v>4.5</v>
      </c>
      <c r="AV127" s="598">
        <f t="shared" si="151"/>
        <v>5.8</v>
      </c>
      <c r="AW127" s="598">
        <f t="shared" si="151"/>
        <v>8.9</v>
      </c>
      <c r="AX127" s="598">
        <f t="shared" si="151"/>
        <v>6</v>
      </c>
      <c r="AY127" s="598">
        <f t="shared" si="151"/>
        <v>2.6</v>
      </c>
    </row>
    <row r="128" spans="1:51">
      <c r="A128" s="49" t="s">
        <v>100</v>
      </c>
      <c r="B128" s="419">
        <f t="shared" si="146"/>
        <v>9.6999999999999993</v>
      </c>
      <c r="C128" s="419">
        <f t="shared" ref="C128:K131" si="152">AQ128</f>
        <v>6.6</v>
      </c>
      <c r="D128" s="419">
        <f t="shared" si="152"/>
        <v>2.2999999999999998</v>
      </c>
      <c r="E128" s="419">
        <f t="shared" si="152"/>
        <v>6.9</v>
      </c>
      <c r="F128" s="419">
        <f t="shared" si="152"/>
        <v>9.1</v>
      </c>
      <c r="G128" s="419">
        <f t="shared" si="152"/>
        <v>2.4</v>
      </c>
      <c r="H128" s="419">
        <f t="shared" si="152"/>
        <v>10.1</v>
      </c>
      <c r="I128" s="419">
        <f t="shared" si="152"/>
        <v>2.6</v>
      </c>
      <c r="J128" s="419">
        <f t="shared" si="152"/>
        <v>12.7</v>
      </c>
      <c r="K128" s="419">
        <f t="shared" si="152"/>
        <v>23.9</v>
      </c>
      <c r="AA128" s="472"/>
      <c r="AB128" s="472"/>
      <c r="AC128" s="472"/>
      <c r="AD128" s="289" t="s">
        <v>100</v>
      </c>
      <c r="AE128" s="598">
        <f t="shared" si="150"/>
        <v>4.0999999999999996</v>
      </c>
      <c r="AF128" s="598">
        <f t="shared" si="150"/>
        <v>11.5</v>
      </c>
      <c r="AG128" s="598">
        <f t="shared" si="150"/>
        <v>2.2999999999999998</v>
      </c>
      <c r="AH128" s="598">
        <f t="shared" si="150"/>
        <v>2.5</v>
      </c>
      <c r="AI128" s="598">
        <f t="shared" si="150"/>
        <v>11</v>
      </c>
      <c r="AJ128" s="598">
        <f t="shared" si="150"/>
        <v>7.5</v>
      </c>
      <c r="AK128" s="598">
        <f t="shared" si="150"/>
        <v>12</v>
      </c>
      <c r="AL128" s="598">
        <f t="shared" si="150"/>
        <v>11.8</v>
      </c>
      <c r="AM128" s="598">
        <f t="shared" si="150"/>
        <v>9.9</v>
      </c>
      <c r="AN128" s="598">
        <f t="shared" si="150"/>
        <v>8.6999999999999993</v>
      </c>
      <c r="AO128" s="598">
        <f t="shared" si="151"/>
        <v>0</v>
      </c>
      <c r="AP128" s="598">
        <f t="shared" si="151"/>
        <v>9.6999999999999993</v>
      </c>
      <c r="AQ128" s="598">
        <f t="shared" si="151"/>
        <v>6.6</v>
      </c>
      <c r="AR128" s="598">
        <f t="shared" si="151"/>
        <v>2.2999999999999998</v>
      </c>
      <c r="AS128" s="598">
        <f t="shared" si="151"/>
        <v>6.9</v>
      </c>
      <c r="AT128" s="598">
        <f t="shared" si="151"/>
        <v>9.1</v>
      </c>
      <c r="AU128" s="598">
        <f t="shared" si="151"/>
        <v>2.4</v>
      </c>
      <c r="AV128" s="598">
        <f t="shared" si="151"/>
        <v>10.1</v>
      </c>
      <c r="AW128" s="598">
        <f t="shared" si="151"/>
        <v>2.6</v>
      </c>
      <c r="AX128" s="598">
        <f t="shared" si="151"/>
        <v>12.7</v>
      </c>
      <c r="AY128" s="598">
        <f t="shared" si="151"/>
        <v>23.9</v>
      </c>
    </row>
    <row r="129" spans="1:51">
      <c r="A129" s="49" t="s">
        <v>101</v>
      </c>
      <c r="B129" s="419">
        <f t="shared" si="146"/>
        <v>5.6</v>
      </c>
      <c r="C129" s="419">
        <f t="shared" si="152"/>
        <v>6.6</v>
      </c>
      <c r="D129" s="419">
        <f t="shared" si="152"/>
        <v>7.9</v>
      </c>
      <c r="E129" s="419">
        <f t="shared" si="152"/>
        <v>8</v>
      </c>
      <c r="F129" s="419">
        <f t="shared" si="152"/>
        <v>7</v>
      </c>
      <c r="G129" s="419">
        <f t="shared" si="152"/>
        <v>7.2</v>
      </c>
      <c r="H129" s="419">
        <f t="shared" si="152"/>
        <v>5.9</v>
      </c>
      <c r="I129" s="419">
        <f t="shared" si="152"/>
        <v>9.1</v>
      </c>
      <c r="J129" s="419">
        <f t="shared" si="152"/>
        <v>7.7</v>
      </c>
      <c r="K129" s="419">
        <f t="shared" si="152"/>
        <v>6.8</v>
      </c>
      <c r="AA129" s="472"/>
      <c r="AB129" s="472"/>
      <c r="AC129" s="472"/>
      <c r="AD129" s="289" t="s">
        <v>101</v>
      </c>
      <c r="AE129" s="598">
        <f t="shared" si="150"/>
        <v>9.5</v>
      </c>
      <c r="AF129" s="598">
        <f t="shared" si="150"/>
        <v>8.6</v>
      </c>
      <c r="AG129" s="598">
        <f t="shared" si="150"/>
        <v>6</v>
      </c>
      <c r="AH129" s="598">
        <f t="shared" si="150"/>
        <v>8</v>
      </c>
      <c r="AI129" s="598">
        <f t="shared" si="150"/>
        <v>7.2</v>
      </c>
      <c r="AJ129" s="598">
        <f t="shared" si="150"/>
        <v>6.2</v>
      </c>
      <c r="AK129" s="598">
        <f t="shared" si="150"/>
        <v>6.7</v>
      </c>
      <c r="AL129" s="598">
        <f t="shared" si="150"/>
        <v>8.1</v>
      </c>
      <c r="AM129" s="598">
        <f t="shared" si="150"/>
        <v>8.5</v>
      </c>
      <c r="AN129" s="598">
        <f t="shared" si="150"/>
        <v>8.4</v>
      </c>
      <c r="AO129" s="598">
        <f t="shared" si="151"/>
        <v>6.4</v>
      </c>
      <c r="AP129" s="598">
        <f t="shared" si="151"/>
        <v>5.6</v>
      </c>
      <c r="AQ129" s="598">
        <f t="shared" si="151"/>
        <v>6.6</v>
      </c>
      <c r="AR129" s="598">
        <f t="shared" si="151"/>
        <v>7.9</v>
      </c>
      <c r="AS129" s="598">
        <f t="shared" si="151"/>
        <v>8</v>
      </c>
      <c r="AT129" s="598">
        <f t="shared" si="151"/>
        <v>7</v>
      </c>
      <c r="AU129" s="598">
        <f t="shared" si="151"/>
        <v>7.2</v>
      </c>
      <c r="AV129" s="598">
        <f t="shared" si="151"/>
        <v>5.9</v>
      </c>
      <c r="AW129" s="598">
        <f t="shared" si="151"/>
        <v>9.1</v>
      </c>
      <c r="AX129" s="598">
        <f t="shared" si="151"/>
        <v>7.7</v>
      </c>
      <c r="AY129" s="598">
        <f t="shared" si="151"/>
        <v>6.8</v>
      </c>
    </row>
    <row r="130" spans="1:51">
      <c r="A130" s="49" t="s">
        <v>102</v>
      </c>
      <c r="B130" s="419">
        <f t="shared" si="146"/>
        <v>7.4</v>
      </c>
      <c r="C130" s="419">
        <f t="shared" si="152"/>
        <v>7.7</v>
      </c>
      <c r="D130" s="419">
        <f t="shared" si="152"/>
        <v>9.1</v>
      </c>
      <c r="E130" s="419">
        <f t="shared" si="152"/>
        <v>7.9</v>
      </c>
      <c r="F130" s="419">
        <f t="shared" si="152"/>
        <v>1.7</v>
      </c>
      <c r="G130" s="419">
        <f t="shared" si="152"/>
        <v>4.8</v>
      </c>
      <c r="H130" s="419">
        <f t="shared" si="152"/>
        <v>7.9</v>
      </c>
      <c r="I130" s="419">
        <f t="shared" si="152"/>
        <v>6.4</v>
      </c>
      <c r="J130" s="419">
        <f t="shared" si="152"/>
        <v>1.5</v>
      </c>
      <c r="K130" s="419">
        <f t="shared" si="152"/>
        <v>4.7</v>
      </c>
      <c r="AA130" s="472"/>
      <c r="AB130" s="472"/>
      <c r="AC130" s="472"/>
      <c r="AD130" s="289" t="s">
        <v>102</v>
      </c>
      <c r="AE130" s="598">
        <f t="shared" si="150"/>
        <v>9.9</v>
      </c>
      <c r="AF130" s="598">
        <f t="shared" si="150"/>
        <v>9.1</v>
      </c>
      <c r="AG130" s="598">
        <f t="shared" si="150"/>
        <v>7.6</v>
      </c>
      <c r="AH130" s="598">
        <f t="shared" si="150"/>
        <v>8.1</v>
      </c>
      <c r="AI130" s="598">
        <f t="shared" si="150"/>
        <v>7.9</v>
      </c>
      <c r="AJ130" s="598">
        <f t="shared" si="150"/>
        <v>5.0999999999999996</v>
      </c>
      <c r="AK130" s="598">
        <f t="shared" si="150"/>
        <v>9.1</v>
      </c>
      <c r="AL130" s="598">
        <f t="shared" si="150"/>
        <v>3.4</v>
      </c>
      <c r="AM130" s="598">
        <f t="shared" si="150"/>
        <v>7</v>
      </c>
      <c r="AN130" s="598">
        <f t="shared" si="150"/>
        <v>6.7</v>
      </c>
      <c r="AO130" s="598">
        <f t="shared" si="151"/>
        <v>0</v>
      </c>
      <c r="AP130" s="598">
        <f t="shared" si="151"/>
        <v>7.4</v>
      </c>
      <c r="AQ130" s="598">
        <f t="shared" si="151"/>
        <v>7.7</v>
      </c>
      <c r="AR130" s="598">
        <f t="shared" si="151"/>
        <v>9.1</v>
      </c>
      <c r="AS130" s="598">
        <f t="shared" si="151"/>
        <v>7.9</v>
      </c>
      <c r="AT130" s="598">
        <f t="shared" si="151"/>
        <v>1.7</v>
      </c>
      <c r="AU130" s="598">
        <f t="shared" si="151"/>
        <v>4.8</v>
      </c>
      <c r="AV130" s="598">
        <f t="shared" si="151"/>
        <v>7.9</v>
      </c>
      <c r="AW130" s="598">
        <f t="shared" si="151"/>
        <v>6.4</v>
      </c>
      <c r="AX130" s="598">
        <f t="shared" si="151"/>
        <v>1.5</v>
      </c>
      <c r="AY130" s="598">
        <f t="shared" si="151"/>
        <v>4.7</v>
      </c>
    </row>
    <row r="131" spans="1:51">
      <c r="A131" s="16" t="s">
        <v>103</v>
      </c>
      <c r="B131" s="596">
        <f t="shared" si="146"/>
        <v>6.4</v>
      </c>
      <c r="C131" s="596">
        <f t="shared" si="152"/>
        <v>9</v>
      </c>
      <c r="D131" s="596">
        <f t="shared" si="152"/>
        <v>6.7</v>
      </c>
      <c r="E131" s="596">
        <f t="shared" si="152"/>
        <v>6.3</v>
      </c>
      <c r="F131" s="596">
        <f t="shared" si="152"/>
        <v>7.5</v>
      </c>
      <c r="G131" s="596">
        <f t="shared" si="152"/>
        <v>6</v>
      </c>
      <c r="H131" s="596">
        <f t="shared" si="152"/>
        <v>5.0999999999999996</v>
      </c>
      <c r="I131" s="596">
        <f t="shared" si="152"/>
        <v>7.9</v>
      </c>
      <c r="J131" s="596">
        <f t="shared" si="152"/>
        <v>7.1</v>
      </c>
      <c r="K131" s="596">
        <f t="shared" si="152"/>
        <v>8.1</v>
      </c>
      <c r="AA131" s="472"/>
      <c r="AB131" s="472"/>
      <c r="AC131" s="472"/>
      <c r="AD131" s="289" t="s">
        <v>103</v>
      </c>
      <c r="AE131" s="598">
        <f t="shared" si="150"/>
        <v>7.5</v>
      </c>
      <c r="AF131" s="598">
        <f t="shared" si="150"/>
        <v>7.4</v>
      </c>
      <c r="AG131" s="598">
        <f t="shared" si="150"/>
        <v>3.6</v>
      </c>
      <c r="AH131" s="598">
        <f t="shared" si="150"/>
        <v>5.2</v>
      </c>
      <c r="AI131" s="598">
        <f t="shared" si="150"/>
        <v>6.9</v>
      </c>
      <c r="AJ131" s="598">
        <f t="shared" si="150"/>
        <v>5.8</v>
      </c>
      <c r="AK131" s="598">
        <f t="shared" si="150"/>
        <v>8.8000000000000007</v>
      </c>
      <c r="AL131" s="598">
        <f t="shared" si="150"/>
        <v>7.2</v>
      </c>
      <c r="AM131" s="598">
        <f t="shared" si="150"/>
        <v>7.2</v>
      </c>
      <c r="AN131" s="598">
        <f t="shared" si="150"/>
        <v>5.8</v>
      </c>
      <c r="AO131" s="598">
        <f t="shared" si="151"/>
        <v>8.9</v>
      </c>
      <c r="AP131" s="598">
        <f t="shared" si="151"/>
        <v>6.4</v>
      </c>
      <c r="AQ131" s="598">
        <f t="shared" si="151"/>
        <v>9</v>
      </c>
      <c r="AR131" s="598">
        <f t="shared" si="151"/>
        <v>6.7</v>
      </c>
      <c r="AS131" s="598">
        <f t="shared" si="151"/>
        <v>6.3</v>
      </c>
      <c r="AT131" s="598">
        <f t="shared" si="151"/>
        <v>7.5</v>
      </c>
      <c r="AU131" s="598">
        <f t="shared" si="151"/>
        <v>6</v>
      </c>
      <c r="AV131" s="598">
        <f t="shared" si="151"/>
        <v>5.0999999999999996</v>
      </c>
      <c r="AW131" s="598">
        <f t="shared" si="151"/>
        <v>7.9</v>
      </c>
      <c r="AX131" s="598">
        <f t="shared" si="151"/>
        <v>7.1</v>
      </c>
      <c r="AY131" s="598">
        <f t="shared" si="151"/>
        <v>8.1</v>
      </c>
    </row>
    <row r="132" spans="1:51">
      <c r="A132" s="899" t="s">
        <v>541</v>
      </c>
      <c r="B132" s="899"/>
      <c r="C132" s="899"/>
      <c r="D132" s="899"/>
      <c r="E132" s="899"/>
      <c r="F132" s="899"/>
      <c r="G132" s="899"/>
      <c r="H132" s="899"/>
      <c r="I132" s="899"/>
      <c r="J132" s="899"/>
      <c r="K132" s="899"/>
    </row>
    <row r="133" spans="1:51">
      <c r="A133" s="897" t="s">
        <v>540</v>
      </c>
      <c r="B133" s="897"/>
      <c r="C133" s="897"/>
      <c r="D133" s="897"/>
      <c r="E133" s="897"/>
      <c r="F133" s="897"/>
      <c r="G133" s="897"/>
      <c r="H133" s="897"/>
      <c r="I133" s="897"/>
      <c r="J133" s="897"/>
      <c r="K133" s="897"/>
      <c r="M133" s="617"/>
      <c r="N133" s="617"/>
    </row>
    <row r="134" spans="1:51">
      <c r="A134" s="501"/>
      <c r="M134" s="617"/>
      <c r="N134" s="617"/>
    </row>
    <row r="135" spans="1:51">
      <c r="M135" s="617"/>
      <c r="N135" s="617"/>
    </row>
    <row r="136" spans="1:51">
      <c r="M136" s="617"/>
      <c r="N136" s="617"/>
    </row>
    <row r="137" spans="1:51">
      <c r="M137" s="617"/>
      <c r="N137" s="617"/>
    </row>
    <row r="138" spans="1:51">
      <c r="M138" s="617"/>
      <c r="N138" s="617"/>
    </row>
    <row r="139" spans="1:51">
      <c r="M139" s="617"/>
      <c r="N139" s="617"/>
    </row>
    <row r="140" spans="1:51">
      <c r="M140" s="617"/>
      <c r="N140" s="617"/>
    </row>
    <row r="141" spans="1:51">
      <c r="M141" s="617"/>
      <c r="N141" s="617"/>
    </row>
    <row r="142" spans="1:51">
      <c r="M142" s="617"/>
      <c r="N142" s="617"/>
    </row>
    <row r="143" spans="1:51">
      <c r="M143" s="617"/>
      <c r="N143" s="617"/>
    </row>
    <row r="144" spans="1:51">
      <c r="M144" s="617"/>
      <c r="N144" s="617"/>
    </row>
    <row r="145" spans="13:19">
      <c r="M145" s="617"/>
      <c r="N145" s="617"/>
    </row>
    <row r="146" spans="13:19">
      <c r="M146" s="617"/>
      <c r="N146" s="617"/>
    </row>
    <row r="147" spans="13:19">
      <c r="M147" s="617"/>
      <c r="N147" s="617"/>
    </row>
    <row r="148" spans="13:19">
      <c r="M148" s="617"/>
      <c r="N148" s="617"/>
    </row>
    <row r="149" spans="13:19">
      <c r="M149" s="617"/>
      <c r="N149" s="617"/>
    </row>
    <row r="150" spans="13:19">
      <c r="M150" s="617"/>
      <c r="N150" s="617"/>
    </row>
    <row r="151" spans="13:19">
      <c r="M151" s="617"/>
      <c r="N151" s="617"/>
    </row>
    <row r="152" spans="13:19">
      <c r="M152" s="617"/>
      <c r="N152" s="617"/>
    </row>
    <row r="153" spans="13:19">
      <c r="M153" s="617"/>
      <c r="N153" s="617"/>
      <c r="S153" s="472"/>
    </row>
  </sheetData>
  <sortState xmlns:xlrd2="http://schemas.microsoft.com/office/spreadsheetml/2017/richdata2" ref="Q134:R153">
    <sortCondition ref="R134"/>
  </sortState>
  <mergeCells count="6">
    <mergeCell ref="A133:K133"/>
    <mergeCell ref="B4:C4"/>
    <mergeCell ref="A132:K132"/>
    <mergeCell ref="B5:K5"/>
    <mergeCell ref="A73:K73"/>
    <mergeCell ref="A6:K6"/>
  </mergeCells>
  <hyperlinks>
    <hyperlink ref="B1" location="Glossary!A1" display="Glossary" xr:uid="{00000000-0004-0000-0400-000000000000}"/>
    <hyperlink ref="A1" location="Contents!A1" display="Table of contents" xr:uid="{00000000-0004-0000-0400-000001000000}"/>
    <hyperlink ref="C1" location="About!A1" display="About the publication" xr:uid="{00000000-0004-0000-0400-000002000000}"/>
    <hyperlink ref="E1" location="KeyFindings!A1" display="Key findings" xr:uid="{00000000-0004-0000-0400-000003000000}"/>
  </hyperlinks>
  <pageMargins left="0.70866141732283472" right="0.70866141732283472" top="0.74803149606299213" bottom="0.74803149606299213" header="0.31496062992125984" footer="0.31496062992125984"/>
  <pageSetup paperSize="9" scale="71" fitToHeight="2" orientation="portrait" r:id="rId1"/>
  <headerFooter>
    <oddFooter>&amp;L&amp;"Arial,Regular"&amp;8&amp;K01+019Fetal and Infant Deaths 2016&amp;R&amp;"Arial,Regular"&amp;8&amp;K01+018Page &amp;P of &amp;N</oddFooter>
  </headerFooter>
  <rowBreaks count="2" manualBreakCount="2">
    <brk id="69" max="10" man="1"/>
    <brk id="70" max="10"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Ref!$H$2:$H$6</xm:f>
          </x14:formula1>
          <xm:sqref>B4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BB70"/>
  <sheetViews>
    <sheetView zoomScaleNormal="100" workbookViewId="0">
      <pane ySplit="6" topLeftCell="A7" activePane="bottomLeft" state="frozen"/>
      <selection pane="bottomLeft" activeCell="A7" sqref="A7"/>
    </sheetView>
  </sheetViews>
  <sheetFormatPr defaultRowHeight="15"/>
  <cols>
    <col min="1" max="1" width="21.7109375" customWidth="1"/>
    <col min="2" max="7" width="8.5703125" customWidth="1"/>
    <col min="8" max="8" width="8.5703125" style="256" customWidth="1"/>
    <col min="9" max="10" width="9.140625" style="331"/>
    <col min="11" max="11" width="7.85546875" style="40" customWidth="1"/>
    <col min="12" max="12" width="9.140625" style="867" customWidth="1"/>
    <col min="13" max="15" width="9.140625" style="40" customWidth="1"/>
    <col min="16" max="20" width="9.140625" style="526" customWidth="1"/>
    <col min="21" max="21" width="9.140625" style="526"/>
    <col min="22" max="22" width="23.5703125" style="753" bestFit="1" customWidth="1"/>
    <col min="23" max="43" width="9.140625" style="753"/>
    <col min="44" max="45" width="9.140625" style="526"/>
    <col min="46" max="54" width="9.140625" style="245"/>
  </cols>
  <sheetData>
    <row r="1" spans="1:54" s="103" customFormat="1">
      <c r="A1" s="88" t="s">
        <v>158</v>
      </c>
      <c r="B1" s="88" t="s">
        <v>115</v>
      </c>
      <c r="C1" s="88" t="s">
        <v>173</v>
      </c>
      <c r="E1" s="159" t="s">
        <v>353</v>
      </c>
      <c r="I1" s="330"/>
      <c r="J1" s="330"/>
      <c r="K1" s="7"/>
      <c r="L1" s="866"/>
      <c r="M1" s="7"/>
      <c r="N1" s="7"/>
      <c r="O1" s="7"/>
      <c r="P1" s="539"/>
      <c r="Q1" s="539"/>
      <c r="R1" s="539"/>
      <c r="S1" s="539"/>
      <c r="T1" s="539"/>
      <c r="U1" s="539"/>
      <c r="V1" s="778"/>
      <c r="W1" s="778"/>
      <c r="X1" s="778"/>
      <c r="Y1" s="778"/>
      <c r="Z1" s="778"/>
      <c r="AA1" s="778"/>
      <c r="AB1" s="778"/>
      <c r="AC1" s="778"/>
      <c r="AD1" s="778"/>
      <c r="AE1" s="778"/>
      <c r="AF1" s="778"/>
      <c r="AG1" s="778"/>
      <c r="AH1" s="778"/>
      <c r="AI1" s="778"/>
      <c r="AJ1" s="778"/>
      <c r="AK1" s="778"/>
      <c r="AL1" s="778"/>
      <c r="AM1" s="778"/>
      <c r="AN1" s="778"/>
      <c r="AO1" s="778"/>
      <c r="AP1" s="778"/>
      <c r="AQ1" s="778"/>
      <c r="AR1" s="539"/>
      <c r="AS1" s="539"/>
      <c r="AT1" s="516"/>
      <c r="AU1" s="516"/>
      <c r="AV1" s="516"/>
      <c r="AW1" s="516"/>
      <c r="AX1" s="516"/>
      <c r="AY1" s="516"/>
      <c r="AZ1" s="516"/>
      <c r="BA1" s="516"/>
      <c r="BB1" s="516"/>
    </row>
    <row r="2" spans="1:54" s="103" customFormat="1" ht="9" customHeight="1">
      <c r="A2" s="88"/>
      <c r="I2" s="330"/>
      <c r="J2" s="330"/>
      <c r="K2" s="7"/>
      <c r="L2" s="866"/>
      <c r="M2" s="7"/>
      <c r="N2" s="7"/>
      <c r="O2" s="7"/>
      <c r="P2" s="539"/>
      <c r="Q2" s="539"/>
      <c r="R2" s="539"/>
      <c r="S2" s="539"/>
      <c r="T2" s="539"/>
      <c r="U2" s="539"/>
      <c r="V2" s="778"/>
      <c r="W2" s="778"/>
      <c r="X2" s="778"/>
      <c r="Y2" s="778"/>
      <c r="Z2" s="778"/>
      <c r="AA2" s="778"/>
      <c r="AB2" s="778"/>
      <c r="AC2" s="778"/>
      <c r="AD2" s="778"/>
      <c r="AE2" s="778"/>
      <c r="AF2" s="778"/>
      <c r="AG2" s="778"/>
      <c r="AH2" s="778"/>
      <c r="AI2" s="778"/>
      <c r="AJ2" s="778"/>
      <c r="AK2" s="778"/>
      <c r="AL2" s="778"/>
      <c r="AM2" s="778"/>
      <c r="AN2" s="778"/>
      <c r="AO2" s="778"/>
      <c r="AP2" s="778"/>
      <c r="AQ2" s="778"/>
      <c r="AR2" s="539"/>
      <c r="AS2" s="539"/>
      <c r="AT2" s="516"/>
      <c r="AU2" s="516"/>
      <c r="AV2" s="516"/>
      <c r="AW2" s="516"/>
      <c r="AX2" s="516"/>
      <c r="AY2" s="516"/>
      <c r="AZ2" s="516"/>
      <c r="BA2" s="516"/>
      <c r="BB2" s="516"/>
    </row>
    <row r="3" spans="1:54" s="283" customFormat="1" ht="20.25">
      <c r="A3" s="876" t="s">
        <v>107</v>
      </c>
      <c r="I3" s="877"/>
      <c r="J3" s="877"/>
      <c r="K3" s="878"/>
      <c r="L3" s="879"/>
      <c r="M3" s="878"/>
      <c r="N3" s="878"/>
      <c r="O3" s="878"/>
      <c r="P3" s="880"/>
      <c r="Q3" s="880"/>
      <c r="R3" s="880"/>
      <c r="S3" s="880"/>
      <c r="T3" s="880"/>
      <c r="U3" s="880"/>
      <c r="V3" s="881"/>
      <c r="W3" s="881"/>
      <c r="X3" s="881"/>
      <c r="Y3" s="881"/>
      <c r="Z3" s="881"/>
      <c r="AA3" s="881"/>
      <c r="AB3" s="881"/>
      <c r="AC3" s="881"/>
      <c r="AD3" s="881"/>
      <c r="AE3" s="881"/>
      <c r="AF3" s="881"/>
      <c r="AG3" s="881"/>
      <c r="AH3" s="881"/>
      <c r="AI3" s="881"/>
      <c r="AJ3" s="881"/>
      <c r="AK3" s="881"/>
      <c r="AL3" s="881"/>
      <c r="AM3" s="881"/>
      <c r="AN3" s="881"/>
      <c r="AO3" s="881"/>
      <c r="AP3" s="881"/>
      <c r="AQ3" s="881"/>
      <c r="AR3" s="880"/>
      <c r="AS3" s="880"/>
      <c r="AT3" s="471"/>
      <c r="AU3" s="471"/>
      <c r="AV3" s="471"/>
      <c r="AW3" s="471"/>
      <c r="AX3" s="471"/>
      <c r="AY3" s="471"/>
      <c r="AZ3" s="471"/>
      <c r="BA3" s="471"/>
      <c r="BB3" s="471"/>
    </row>
    <row r="4" spans="1:54" s="11" customFormat="1" ht="12.75">
      <c r="I4" s="331"/>
      <c r="J4" s="331"/>
      <c r="K4" s="40"/>
      <c r="L4" s="867"/>
      <c r="M4" s="40"/>
      <c r="N4" s="40"/>
      <c r="O4" s="40"/>
      <c r="P4" s="526"/>
      <c r="Q4" s="526"/>
      <c r="R4" s="526"/>
      <c r="S4" s="526"/>
      <c r="T4" s="526"/>
      <c r="U4" s="526"/>
      <c r="V4" s="753"/>
      <c r="W4" s="753"/>
      <c r="X4" s="753"/>
      <c r="Y4" s="753"/>
      <c r="Z4" s="753"/>
      <c r="AA4" s="753"/>
      <c r="AB4" s="753"/>
      <c r="AC4" s="753"/>
      <c r="AD4" s="753"/>
      <c r="AE4" s="753"/>
      <c r="AF4" s="753"/>
      <c r="AG4" s="753"/>
      <c r="AH4" s="753"/>
      <c r="AI4" s="753"/>
      <c r="AJ4" s="753"/>
      <c r="AK4" s="753"/>
      <c r="AL4" s="753"/>
      <c r="AM4" s="753"/>
      <c r="AN4" s="753"/>
      <c r="AO4" s="753"/>
      <c r="AP4" s="753"/>
      <c r="AQ4" s="753"/>
      <c r="AR4" s="526"/>
      <c r="AS4" s="526"/>
      <c r="AT4" s="517"/>
      <c r="AU4" s="517"/>
      <c r="AV4" s="517"/>
      <c r="AW4" s="517"/>
      <c r="AX4" s="517"/>
      <c r="AY4" s="517"/>
      <c r="AZ4" s="517"/>
      <c r="BA4" s="517"/>
      <c r="BB4" s="517"/>
    </row>
    <row r="5" spans="1:54" s="11" customFormat="1" ht="28.5" customHeight="1">
      <c r="A5" s="901" t="str">
        <f>Contents!E8</f>
        <v xml:space="preserve">Table 4: Number of live births, by sex, ethnic group, maternal age group, deprivation quintile of residence, gestational age, birthweight and DHB of domicile, 2007−2016
</v>
      </c>
      <c r="B5" s="901"/>
      <c r="C5" s="901"/>
      <c r="D5" s="901"/>
      <c r="E5" s="901"/>
      <c r="F5" s="901"/>
      <c r="G5" s="901"/>
      <c r="H5" s="901"/>
      <c r="I5" s="901"/>
      <c r="J5" s="901"/>
      <c r="K5" s="901"/>
      <c r="L5" s="867"/>
      <c r="M5" s="40"/>
      <c r="N5" s="40"/>
      <c r="O5" s="40"/>
      <c r="P5" s="526"/>
      <c r="Q5" s="526"/>
      <c r="R5" s="526"/>
      <c r="S5" s="526"/>
      <c r="T5" s="526"/>
      <c r="U5" s="526"/>
      <c r="V5" s="753"/>
      <c r="W5" s="753" t="s">
        <v>46</v>
      </c>
      <c r="X5" s="753"/>
      <c r="Y5" s="753"/>
      <c r="Z5" s="753"/>
      <c r="AA5" s="753"/>
      <c r="AB5" s="753"/>
      <c r="AC5" s="753"/>
      <c r="AD5" s="753"/>
      <c r="AE5" s="753"/>
      <c r="AF5" s="753"/>
      <c r="AG5" s="753"/>
      <c r="AH5" s="753"/>
      <c r="AI5" s="753"/>
      <c r="AJ5" s="753"/>
      <c r="AK5" s="753"/>
      <c r="AL5" s="753"/>
      <c r="AM5" s="753"/>
      <c r="AN5" s="753"/>
      <c r="AO5" s="753"/>
      <c r="AP5" s="753"/>
      <c r="AQ5" s="753"/>
      <c r="AR5" s="526"/>
      <c r="AS5" s="526"/>
      <c r="AT5" s="517"/>
      <c r="AU5" s="517"/>
      <c r="AV5" s="517"/>
      <c r="AW5" s="517"/>
      <c r="AX5" s="517"/>
      <c r="AY5" s="517"/>
      <c r="AZ5" s="517"/>
      <c r="BA5" s="517"/>
      <c r="BB5" s="517"/>
    </row>
    <row r="6" spans="1:54">
      <c r="A6" s="10" t="s">
        <v>68</v>
      </c>
      <c r="B6" s="8">
        <v>2007</v>
      </c>
      <c r="C6" s="8">
        <v>2008</v>
      </c>
      <c r="D6" s="8">
        <v>2009</v>
      </c>
      <c r="E6" s="8">
        <v>2010</v>
      </c>
      <c r="F6" s="8">
        <v>2011</v>
      </c>
      <c r="G6" s="258">
        <v>2012</v>
      </c>
      <c r="H6" s="329">
        <v>2013</v>
      </c>
      <c r="I6" s="329">
        <v>2014</v>
      </c>
      <c r="J6" s="329">
        <v>2015</v>
      </c>
      <c r="K6" s="329">
        <v>2016</v>
      </c>
      <c r="V6" s="753" t="s">
        <v>68</v>
      </c>
      <c r="W6" s="753">
        <v>1996</v>
      </c>
      <c r="X6" s="753">
        <v>1997</v>
      </c>
      <c r="Y6" s="753">
        <v>1998</v>
      </c>
      <c r="Z6" s="753">
        <v>1999</v>
      </c>
      <c r="AA6" s="753">
        <v>2000</v>
      </c>
      <c r="AB6" s="753">
        <v>2001</v>
      </c>
      <c r="AC6" s="753">
        <v>2002</v>
      </c>
      <c r="AD6" s="753">
        <v>2003</v>
      </c>
      <c r="AE6" s="753">
        <v>2004</v>
      </c>
      <c r="AF6" s="753">
        <v>2005</v>
      </c>
      <c r="AG6" s="753">
        <v>2006</v>
      </c>
      <c r="AH6" s="753">
        <v>2007</v>
      </c>
      <c r="AI6" s="753">
        <v>2008</v>
      </c>
      <c r="AJ6" s="753">
        <v>2009</v>
      </c>
      <c r="AK6" s="753">
        <v>2010</v>
      </c>
      <c r="AL6" s="753">
        <v>2011</v>
      </c>
      <c r="AM6" s="753">
        <v>2012</v>
      </c>
      <c r="AN6" s="753">
        <v>2013</v>
      </c>
      <c r="AO6" s="753">
        <v>2014</v>
      </c>
      <c r="AP6" s="753">
        <v>2015</v>
      </c>
      <c r="AQ6" s="753">
        <v>2016</v>
      </c>
    </row>
    <row r="7" spans="1:54">
      <c r="A7" s="15" t="s">
        <v>104</v>
      </c>
      <c r="B7" s="15"/>
      <c r="C7" s="15"/>
      <c r="D7" s="15"/>
      <c r="E7" s="15"/>
      <c r="F7" s="15"/>
      <c r="G7" s="15"/>
      <c r="H7" s="108"/>
      <c r="I7" s="328"/>
      <c r="J7" s="328"/>
      <c r="K7" s="328"/>
      <c r="V7" s="753" t="s">
        <v>104</v>
      </c>
    </row>
    <row r="8" spans="1:54">
      <c r="A8" s="3" t="s">
        <v>44</v>
      </c>
      <c r="B8" s="40">
        <f>AH8</f>
        <v>65121</v>
      </c>
      <c r="C8" s="40">
        <f t="shared" ref="C8:K8" si="0">AI8</f>
        <v>65333</v>
      </c>
      <c r="D8" s="40">
        <f t="shared" si="0"/>
        <v>63285</v>
      </c>
      <c r="E8" s="40">
        <f t="shared" si="0"/>
        <v>64699</v>
      </c>
      <c r="F8" s="40">
        <f t="shared" si="0"/>
        <v>62174</v>
      </c>
      <c r="G8" s="40">
        <f t="shared" si="0"/>
        <v>62035</v>
      </c>
      <c r="H8" s="40">
        <f t="shared" si="0"/>
        <v>59701</v>
      </c>
      <c r="I8" s="40">
        <f t="shared" si="0"/>
        <v>58285</v>
      </c>
      <c r="J8" s="40">
        <f t="shared" si="0"/>
        <v>62122</v>
      </c>
      <c r="K8" s="40">
        <f t="shared" si="0"/>
        <v>60436</v>
      </c>
      <c r="V8" s="753" t="s">
        <v>44</v>
      </c>
      <c r="W8" s="753">
        <f t="shared" ref="W8:AO8" si="1">VLOOKUP(W6&amp;$W$5&amp;$V$8, vw.births, 6, FALSE)</f>
        <v>57434</v>
      </c>
      <c r="X8" s="753">
        <f t="shared" si="1"/>
        <v>57734</v>
      </c>
      <c r="Y8" s="753">
        <f t="shared" si="1"/>
        <v>55521</v>
      </c>
      <c r="Z8" s="753">
        <f t="shared" si="1"/>
        <v>57421</v>
      </c>
      <c r="AA8" s="753">
        <f t="shared" si="1"/>
        <v>56994</v>
      </c>
      <c r="AB8" s="753">
        <f t="shared" si="1"/>
        <v>56224</v>
      </c>
      <c r="AC8" s="753">
        <f t="shared" si="1"/>
        <v>54515</v>
      </c>
      <c r="AD8" s="753">
        <f t="shared" si="1"/>
        <v>56576</v>
      </c>
      <c r="AE8" s="753">
        <f t="shared" si="1"/>
        <v>58723</v>
      </c>
      <c r="AF8" s="753">
        <f t="shared" si="1"/>
        <v>58727</v>
      </c>
      <c r="AG8" s="753">
        <f t="shared" si="1"/>
        <v>60274</v>
      </c>
      <c r="AH8" s="753">
        <f t="shared" si="1"/>
        <v>65121</v>
      </c>
      <c r="AI8" s="753">
        <f t="shared" si="1"/>
        <v>65333</v>
      </c>
      <c r="AJ8" s="753">
        <f t="shared" si="1"/>
        <v>63285</v>
      </c>
      <c r="AK8" s="753">
        <f t="shared" si="1"/>
        <v>64699</v>
      </c>
      <c r="AL8" s="753">
        <f t="shared" si="1"/>
        <v>62174</v>
      </c>
      <c r="AM8" s="753">
        <f t="shared" si="1"/>
        <v>62035</v>
      </c>
      <c r="AN8" s="753">
        <f t="shared" si="1"/>
        <v>59701</v>
      </c>
      <c r="AO8" s="753">
        <f t="shared" si="1"/>
        <v>58285</v>
      </c>
      <c r="AP8" s="753">
        <f>VLOOKUP(AP6&amp;$W$5&amp;$V$8, vw.births, 6, FALSE)</f>
        <v>62122</v>
      </c>
      <c r="AQ8" s="753">
        <f>VLOOKUP(AQ6&amp;$W$5&amp;$V$8, vw.births, 6, FALSE)</f>
        <v>60436</v>
      </c>
    </row>
    <row r="9" spans="1:54">
      <c r="A9" s="15" t="s">
        <v>69</v>
      </c>
      <c r="B9" s="15"/>
      <c r="C9" s="108"/>
      <c r="D9" s="108"/>
      <c r="E9" s="108"/>
      <c r="F9" s="108"/>
      <c r="G9" s="108"/>
      <c r="H9" s="108"/>
      <c r="I9" s="108"/>
      <c r="J9" s="108"/>
      <c r="K9" s="108"/>
      <c r="V9" s="753" t="s">
        <v>69</v>
      </c>
    </row>
    <row r="10" spans="1:54">
      <c r="A10" s="12" t="s">
        <v>70</v>
      </c>
      <c r="B10" s="82">
        <f>AH10</f>
        <v>33569</v>
      </c>
      <c r="C10" s="82">
        <f t="shared" ref="C10:K11" si="2">AI10</f>
        <v>33622</v>
      </c>
      <c r="D10" s="82">
        <f t="shared" si="2"/>
        <v>32482</v>
      </c>
      <c r="E10" s="82">
        <f t="shared" si="2"/>
        <v>33319</v>
      </c>
      <c r="F10" s="82">
        <f t="shared" si="2"/>
        <v>31894</v>
      </c>
      <c r="G10" s="82">
        <f t="shared" si="2"/>
        <v>31698</v>
      </c>
      <c r="H10" s="82">
        <f t="shared" si="2"/>
        <v>30626</v>
      </c>
      <c r="I10" s="82">
        <f t="shared" si="2"/>
        <v>30135</v>
      </c>
      <c r="J10" s="82">
        <f t="shared" si="2"/>
        <v>31923</v>
      </c>
      <c r="K10" s="82">
        <f t="shared" si="2"/>
        <v>31009</v>
      </c>
      <c r="V10" s="753" t="s">
        <v>70</v>
      </c>
      <c r="W10" s="753">
        <f t="shared" ref="W10:AO10" si="3">VLOOKUP(W6&amp;$W$5&amp;$V$9&amp;$V$10, vw.births, 6, FALSE)</f>
        <v>29549</v>
      </c>
      <c r="X10" s="753">
        <f t="shared" si="3"/>
        <v>29493</v>
      </c>
      <c r="Y10" s="753">
        <f t="shared" si="3"/>
        <v>28661</v>
      </c>
      <c r="Z10" s="753">
        <f t="shared" si="3"/>
        <v>29372</v>
      </c>
      <c r="AA10" s="753">
        <f t="shared" si="3"/>
        <v>29351</v>
      </c>
      <c r="AB10" s="753">
        <f t="shared" si="3"/>
        <v>28575</v>
      </c>
      <c r="AC10" s="753">
        <f t="shared" si="3"/>
        <v>27822</v>
      </c>
      <c r="AD10" s="753">
        <f t="shared" si="3"/>
        <v>29050</v>
      </c>
      <c r="AE10" s="753">
        <f t="shared" si="3"/>
        <v>30091</v>
      </c>
      <c r="AF10" s="753">
        <f t="shared" si="3"/>
        <v>30067</v>
      </c>
      <c r="AG10" s="753">
        <f t="shared" si="3"/>
        <v>30808</v>
      </c>
      <c r="AH10" s="753">
        <f t="shared" si="3"/>
        <v>33569</v>
      </c>
      <c r="AI10" s="753">
        <f t="shared" si="3"/>
        <v>33622</v>
      </c>
      <c r="AJ10" s="753">
        <f t="shared" si="3"/>
        <v>32482</v>
      </c>
      <c r="AK10" s="753">
        <f t="shared" si="3"/>
        <v>33319</v>
      </c>
      <c r="AL10" s="753">
        <f t="shared" si="3"/>
        <v>31894</v>
      </c>
      <c r="AM10" s="753">
        <f t="shared" si="3"/>
        <v>31698</v>
      </c>
      <c r="AN10" s="753">
        <f t="shared" si="3"/>
        <v>30626</v>
      </c>
      <c r="AO10" s="753">
        <f t="shared" si="3"/>
        <v>30135</v>
      </c>
      <c r="AP10" s="753">
        <f t="shared" ref="AP10:AQ10" si="4">VLOOKUP(AP6&amp;$W$5&amp;$V$9&amp;$V$10, vw.births, 6, FALSE)</f>
        <v>31923</v>
      </c>
      <c r="AQ10" s="753">
        <f t="shared" si="4"/>
        <v>31009</v>
      </c>
    </row>
    <row r="11" spans="1:54">
      <c r="A11" s="12" t="s">
        <v>71</v>
      </c>
      <c r="B11" s="82">
        <f>AH11</f>
        <v>31552</v>
      </c>
      <c r="C11" s="82">
        <f t="shared" si="2"/>
        <v>31711</v>
      </c>
      <c r="D11" s="82">
        <f t="shared" si="2"/>
        <v>30803</v>
      </c>
      <c r="E11" s="82">
        <f t="shared" si="2"/>
        <v>31380</v>
      </c>
      <c r="F11" s="82">
        <f t="shared" si="2"/>
        <v>30280</v>
      </c>
      <c r="G11" s="82">
        <f t="shared" si="2"/>
        <v>30337</v>
      </c>
      <c r="H11" s="82">
        <f t="shared" si="2"/>
        <v>29075</v>
      </c>
      <c r="I11" s="82">
        <f t="shared" si="2"/>
        <v>28150</v>
      </c>
      <c r="J11" s="82">
        <f t="shared" si="2"/>
        <v>30199</v>
      </c>
      <c r="K11" s="82">
        <f t="shared" si="2"/>
        <v>29427</v>
      </c>
      <c r="M11" s="432"/>
      <c r="N11" s="432"/>
      <c r="O11" s="432"/>
      <c r="P11" s="669"/>
      <c r="Q11" s="669"/>
      <c r="R11" s="669"/>
      <c r="S11" s="669"/>
      <c r="T11" s="669"/>
      <c r="U11" s="669"/>
      <c r="V11" s="753" t="s">
        <v>71</v>
      </c>
      <c r="W11" s="753">
        <f t="shared" ref="W11:AO11" si="5">VLOOKUP(W6&amp;$W$5&amp;$V$9&amp;$V$11, vw.births,6, FALSE)</f>
        <v>27885</v>
      </c>
      <c r="X11" s="753">
        <f t="shared" si="5"/>
        <v>28241</v>
      </c>
      <c r="Y11" s="753">
        <f t="shared" si="5"/>
        <v>26860</v>
      </c>
      <c r="Z11" s="753">
        <f t="shared" si="5"/>
        <v>28049</v>
      </c>
      <c r="AA11" s="753">
        <f t="shared" si="5"/>
        <v>27643</v>
      </c>
      <c r="AB11" s="753">
        <f t="shared" si="5"/>
        <v>27649</v>
      </c>
      <c r="AC11" s="753">
        <f t="shared" si="5"/>
        <v>26693</v>
      </c>
      <c r="AD11" s="753">
        <f t="shared" si="5"/>
        <v>27526</v>
      </c>
      <c r="AE11" s="753">
        <f t="shared" si="5"/>
        <v>28632</v>
      </c>
      <c r="AF11" s="753">
        <f t="shared" si="5"/>
        <v>28660</v>
      </c>
      <c r="AG11" s="753">
        <f t="shared" si="5"/>
        <v>29466</v>
      </c>
      <c r="AH11" s="753">
        <f t="shared" si="5"/>
        <v>31552</v>
      </c>
      <c r="AI11" s="753">
        <f t="shared" si="5"/>
        <v>31711</v>
      </c>
      <c r="AJ11" s="753">
        <f t="shared" si="5"/>
        <v>30803</v>
      </c>
      <c r="AK11" s="753">
        <f t="shared" si="5"/>
        <v>31380</v>
      </c>
      <c r="AL11" s="753">
        <f t="shared" si="5"/>
        <v>30280</v>
      </c>
      <c r="AM11" s="753">
        <f t="shared" si="5"/>
        <v>30337</v>
      </c>
      <c r="AN11" s="753">
        <f t="shared" si="5"/>
        <v>29075</v>
      </c>
      <c r="AO11" s="753">
        <f t="shared" si="5"/>
        <v>28150</v>
      </c>
      <c r="AP11" s="753">
        <f t="shared" ref="AP11:AQ11" si="6">VLOOKUP(AP6&amp;$W$5&amp;$V$9&amp;$V$11, vw.births,6, FALSE)</f>
        <v>30199</v>
      </c>
      <c r="AQ11" s="753">
        <f t="shared" si="6"/>
        <v>29427</v>
      </c>
    </row>
    <row r="12" spans="1:54">
      <c r="A12" s="15" t="s">
        <v>73</v>
      </c>
      <c r="B12" s="108"/>
      <c r="C12" s="108"/>
      <c r="D12" s="108"/>
      <c r="E12" s="108"/>
      <c r="F12" s="108"/>
      <c r="G12" s="108"/>
      <c r="H12" s="108"/>
      <c r="I12" s="108"/>
      <c r="J12" s="108"/>
      <c r="K12" s="108"/>
      <c r="M12" s="670"/>
      <c r="N12" s="670"/>
      <c r="O12" s="670"/>
      <c r="P12" s="670"/>
      <c r="Q12" s="670"/>
      <c r="R12" s="670"/>
      <c r="S12" s="671"/>
      <c r="T12" s="705"/>
      <c r="U12" s="705"/>
      <c r="V12" s="753" t="s">
        <v>461</v>
      </c>
    </row>
    <row r="13" spans="1:54">
      <c r="A13" s="12" t="s">
        <v>74</v>
      </c>
      <c r="B13" s="82">
        <f>AH13</f>
        <v>19338</v>
      </c>
      <c r="C13" s="82">
        <f t="shared" ref="C13:K16" si="7">AI13</f>
        <v>19452</v>
      </c>
      <c r="D13" s="82">
        <f t="shared" si="7"/>
        <v>18470</v>
      </c>
      <c r="E13" s="82">
        <f t="shared" si="7"/>
        <v>18893</v>
      </c>
      <c r="F13" s="82">
        <f t="shared" si="7"/>
        <v>18034</v>
      </c>
      <c r="G13" s="82">
        <f t="shared" si="7"/>
        <v>17948</v>
      </c>
      <c r="H13" s="82">
        <f t="shared" si="7"/>
        <v>17149</v>
      </c>
      <c r="I13" s="82">
        <f t="shared" si="7"/>
        <v>16479</v>
      </c>
      <c r="J13" s="82">
        <f t="shared" si="7"/>
        <v>17781</v>
      </c>
      <c r="K13" s="82">
        <f t="shared" si="7"/>
        <v>17329</v>
      </c>
      <c r="M13" s="672"/>
      <c r="N13" s="672"/>
      <c r="O13" s="672"/>
      <c r="P13" s="672"/>
      <c r="Q13" s="672"/>
      <c r="R13" s="672"/>
      <c r="S13" s="672"/>
      <c r="T13" s="706"/>
      <c r="U13" s="706"/>
      <c r="V13" s="753" t="s">
        <v>129</v>
      </c>
      <c r="W13" s="753">
        <f t="shared" ref="W13:AO13" si="8">VLOOKUP(W6&amp;$W$5&amp;$V$12&amp;$V$13, vw.births, 6, FALSE)</f>
        <v>16011</v>
      </c>
      <c r="X13" s="753">
        <f t="shared" si="8"/>
        <v>16309</v>
      </c>
      <c r="Y13" s="753">
        <f t="shared" si="8"/>
        <v>14427</v>
      </c>
      <c r="Z13" s="753">
        <f t="shared" si="8"/>
        <v>16027</v>
      </c>
      <c r="AA13" s="753">
        <f t="shared" si="8"/>
        <v>15867</v>
      </c>
      <c r="AB13" s="753">
        <f t="shared" si="8"/>
        <v>15869</v>
      </c>
      <c r="AC13" s="753">
        <f t="shared" si="8"/>
        <v>14905</v>
      </c>
      <c r="AD13" s="753">
        <f t="shared" si="8"/>
        <v>15682</v>
      </c>
      <c r="AE13" s="753">
        <f t="shared" si="8"/>
        <v>16520</v>
      </c>
      <c r="AF13" s="753">
        <f t="shared" si="8"/>
        <v>17004</v>
      </c>
      <c r="AG13" s="753">
        <f t="shared" si="8"/>
        <v>17935</v>
      </c>
      <c r="AH13" s="753">
        <f t="shared" si="8"/>
        <v>19338</v>
      </c>
      <c r="AI13" s="753">
        <f t="shared" si="8"/>
        <v>19452</v>
      </c>
      <c r="AJ13" s="753">
        <f t="shared" si="8"/>
        <v>18470</v>
      </c>
      <c r="AK13" s="753">
        <f t="shared" si="8"/>
        <v>18893</v>
      </c>
      <c r="AL13" s="753">
        <f t="shared" si="8"/>
        <v>18034</v>
      </c>
      <c r="AM13" s="753">
        <f t="shared" si="8"/>
        <v>17948</v>
      </c>
      <c r="AN13" s="753">
        <f t="shared" si="8"/>
        <v>17149</v>
      </c>
      <c r="AO13" s="753">
        <f t="shared" si="8"/>
        <v>16479</v>
      </c>
      <c r="AP13" s="753">
        <f t="shared" ref="AP13:AQ13" si="9">VLOOKUP(AP6&amp;$W$5&amp;$V$12&amp;$V$13, vw.births, 6, FALSE)</f>
        <v>17781</v>
      </c>
      <c r="AQ13" s="753">
        <f t="shared" si="9"/>
        <v>17329</v>
      </c>
    </row>
    <row r="14" spans="1:54">
      <c r="A14" s="12" t="s">
        <v>320</v>
      </c>
      <c r="B14" s="82">
        <f>AH14</f>
        <v>7005</v>
      </c>
      <c r="C14" s="82">
        <f t="shared" si="7"/>
        <v>7221</v>
      </c>
      <c r="D14" s="82">
        <f t="shared" si="7"/>
        <v>7124</v>
      </c>
      <c r="E14" s="82">
        <f t="shared" si="7"/>
        <v>7261</v>
      </c>
      <c r="F14" s="82">
        <f t="shared" si="7"/>
        <v>7141</v>
      </c>
      <c r="G14" s="82">
        <f t="shared" si="7"/>
        <v>6955</v>
      </c>
      <c r="H14" s="82">
        <f t="shared" si="7"/>
        <v>6438</v>
      </c>
      <c r="I14" s="82">
        <f t="shared" si="7"/>
        <v>6196</v>
      </c>
      <c r="J14" s="82">
        <f t="shared" si="7"/>
        <v>6377</v>
      </c>
      <c r="K14" s="82">
        <f t="shared" si="7"/>
        <v>5976</v>
      </c>
      <c r="M14" s="432"/>
      <c r="N14" s="432"/>
      <c r="O14" s="432"/>
      <c r="P14" s="669"/>
      <c r="Q14" s="669"/>
      <c r="R14" s="669"/>
      <c r="S14" s="669"/>
      <c r="T14" s="669"/>
      <c r="U14" s="669"/>
      <c r="V14" s="753" t="s">
        <v>320</v>
      </c>
      <c r="W14" s="753">
        <f t="shared" ref="W14:AO14" si="10">VLOOKUP(W6&amp;$W$5&amp;$V$12&amp;$V$14, vw.births, 6, FALSE)</f>
        <v>5726</v>
      </c>
      <c r="X14" s="753">
        <f t="shared" si="10"/>
        <v>5696</v>
      </c>
      <c r="Y14" s="753">
        <f t="shared" si="10"/>
        <v>5210</v>
      </c>
      <c r="Z14" s="753">
        <f t="shared" si="10"/>
        <v>6223</v>
      </c>
      <c r="AA14" s="753">
        <f t="shared" si="10"/>
        <v>6149</v>
      </c>
      <c r="AB14" s="753">
        <f t="shared" si="10"/>
        <v>6140</v>
      </c>
      <c r="AC14" s="753">
        <f t="shared" si="10"/>
        <v>5977</v>
      </c>
      <c r="AD14" s="753">
        <f t="shared" si="10"/>
        <v>6146</v>
      </c>
      <c r="AE14" s="753">
        <f t="shared" si="10"/>
        <v>6345</v>
      </c>
      <c r="AF14" s="753">
        <f t="shared" si="10"/>
        <v>6238</v>
      </c>
      <c r="AG14" s="753">
        <f t="shared" si="10"/>
        <v>6408</v>
      </c>
      <c r="AH14" s="753">
        <f t="shared" si="10"/>
        <v>7005</v>
      </c>
      <c r="AI14" s="753">
        <f t="shared" si="10"/>
        <v>7221</v>
      </c>
      <c r="AJ14" s="753">
        <f t="shared" si="10"/>
        <v>7124</v>
      </c>
      <c r="AK14" s="753">
        <f t="shared" si="10"/>
        <v>7261</v>
      </c>
      <c r="AL14" s="753">
        <f t="shared" si="10"/>
        <v>7141</v>
      </c>
      <c r="AM14" s="753">
        <f t="shared" si="10"/>
        <v>6955</v>
      </c>
      <c r="AN14" s="753">
        <f t="shared" si="10"/>
        <v>6438</v>
      </c>
      <c r="AO14" s="753">
        <f t="shared" si="10"/>
        <v>6196</v>
      </c>
      <c r="AP14" s="753">
        <f t="shared" ref="AP14:AQ14" si="11">VLOOKUP(AP6&amp;$W$5&amp;$V$12&amp;$V$14, vw.births, 6, FALSE)</f>
        <v>6377</v>
      </c>
      <c r="AQ14" s="753">
        <f t="shared" si="11"/>
        <v>5976</v>
      </c>
    </row>
    <row r="15" spans="1:54" s="308" customFormat="1">
      <c r="A15" s="309" t="s">
        <v>355</v>
      </c>
      <c r="B15" s="82">
        <f>AH15</f>
        <v>6386</v>
      </c>
      <c r="C15" s="82">
        <f t="shared" si="7"/>
        <v>6557</v>
      </c>
      <c r="D15" s="82">
        <f t="shared" si="7"/>
        <v>6763</v>
      </c>
      <c r="E15" s="82">
        <f t="shared" si="7"/>
        <v>7451</v>
      </c>
      <c r="F15" s="82">
        <f t="shared" si="7"/>
        <v>7517</v>
      </c>
      <c r="G15" s="82">
        <f t="shared" si="7"/>
        <v>8613</v>
      </c>
      <c r="H15" s="82">
        <f t="shared" si="7"/>
        <v>8707</v>
      </c>
      <c r="I15" s="82">
        <f t="shared" si="7"/>
        <v>9320</v>
      </c>
      <c r="J15" s="82">
        <f t="shared" si="7"/>
        <v>10189</v>
      </c>
      <c r="K15" s="82">
        <f t="shared" si="7"/>
        <v>10902</v>
      </c>
      <c r="L15" s="867"/>
      <c r="M15" s="432"/>
      <c r="N15" s="432"/>
      <c r="O15" s="672"/>
      <c r="P15" s="669"/>
      <c r="Q15" s="669"/>
      <c r="R15" s="669"/>
      <c r="S15" s="669"/>
      <c r="T15" s="669"/>
      <c r="U15" s="669"/>
      <c r="V15" s="753" t="s">
        <v>355</v>
      </c>
      <c r="W15" s="753">
        <f t="shared" ref="W15:AO15" si="12">VLOOKUP(W6&amp;$W$5&amp;$V$12&amp;$V$15, vw.births, 6, FALSE)</f>
        <v>3394</v>
      </c>
      <c r="X15" s="753">
        <f t="shared" si="12"/>
        <v>3802</v>
      </c>
      <c r="Y15" s="753">
        <f t="shared" si="12"/>
        <v>3610</v>
      </c>
      <c r="Z15" s="753">
        <f t="shared" si="12"/>
        <v>3980</v>
      </c>
      <c r="AA15" s="753">
        <f t="shared" si="12"/>
        <v>4222</v>
      </c>
      <c r="AB15" s="753">
        <f t="shared" si="12"/>
        <v>4041</v>
      </c>
      <c r="AC15" s="753">
        <f t="shared" si="12"/>
        <v>4599</v>
      </c>
      <c r="AD15" s="753">
        <f t="shared" si="12"/>
        <v>5223</v>
      </c>
      <c r="AE15" s="753">
        <f t="shared" si="12"/>
        <v>5647</v>
      </c>
      <c r="AF15" s="753">
        <f t="shared" si="12"/>
        <v>5495</v>
      </c>
      <c r="AG15" s="753">
        <f t="shared" si="12"/>
        <v>5389</v>
      </c>
      <c r="AH15" s="753">
        <f t="shared" si="12"/>
        <v>6386</v>
      </c>
      <c r="AI15" s="753">
        <f t="shared" si="12"/>
        <v>6557</v>
      </c>
      <c r="AJ15" s="753">
        <f t="shared" si="12"/>
        <v>6763</v>
      </c>
      <c r="AK15" s="753">
        <f t="shared" si="12"/>
        <v>7451</v>
      </c>
      <c r="AL15" s="753">
        <f t="shared" si="12"/>
        <v>7517</v>
      </c>
      <c r="AM15" s="753">
        <f t="shared" si="12"/>
        <v>8613</v>
      </c>
      <c r="AN15" s="753">
        <f t="shared" si="12"/>
        <v>8707</v>
      </c>
      <c r="AO15" s="753">
        <f t="shared" si="12"/>
        <v>9320</v>
      </c>
      <c r="AP15" s="753">
        <f t="shared" ref="AP15:AQ15" si="13">VLOOKUP(AP6&amp;$W$5&amp;$V$12&amp;$V$15, vw.births, 6, FALSE)</f>
        <v>10189</v>
      </c>
      <c r="AQ15" s="753">
        <f t="shared" si="13"/>
        <v>10902</v>
      </c>
      <c r="AR15" s="526"/>
      <c r="AS15" s="526"/>
      <c r="AT15" s="245"/>
      <c r="AU15" s="245"/>
      <c r="AV15" s="245"/>
      <c r="AW15" s="245"/>
      <c r="AX15" s="245"/>
      <c r="AY15" s="245"/>
      <c r="AZ15" s="245"/>
      <c r="BA15" s="245"/>
      <c r="BB15" s="245"/>
    </row>
    <row r="16" spans="1:54">
      <c r="A16" s="309" t="s">
        <v>356</v>
      </c>
      <c r="B16" s="82">
        <f>AH16</f>
        <v>32392</v>
      </c>
      <c r="C16" s="82">
        <f t="shared" si="7"/>
        <v>32103</v>
      </c>
      <c r="D16" s="82">
        <f t="shared" si="7"/>
        <v>30928</v>
      </c>
      <c r="E16" s="82">
        <f t="shared" si="7"/>
        <v>31094</v>
      </c>
      <c r="F16" s="82">
        <f t="shared" si="7"/>
        <v>29482</v>
      </c>
      <c r="G16" s="82">
        <f t="shared" si="7"/>
        <v>28519</v>
      </c>
      <c r="H16" s="82">
        <f t="shared" si="7"/>
        <v>27407</v>
      </c>
      <c r="I16" s="82">
        <f t="shared" si="7"/>
        <v>26290</v>
      </c>
      <c r="J16" s="82">
        <f t="shared" si="7"/>
        <v>27775</v>
      </c>
      <c r="K16" s="82">
        <f t="shared" si="7"/>
        <v>26229</v>
      </c>
      <c r="M16" s="432"/>
      <c r="N16" s="432"/>
      <c r="O16" s="672"/>
      <c r="P16" s="669"/>
      <c r="Q16" s="669"/>
      <c r="R16" s="669"/>
      <c r="S16" s="669"/>
      <c r="T16" s="669"/>
      <c r="U16" s="669"/>
      <c r="V16" s="753" t="s">
        <v>356</v>
      </c>
      <c r="W16" s="753">
        <f t="shared" ref="W16:AO16" si="14">VLOOKUP(W6&amp;$W$5&amp;$V$12&amp;$V$16, vw.births, 6, FALSE)</f>
        <v>32303</v>
      </c>
      <c r="X16" s="753">
        <f t="shared" si="14"/>
        <v>31927</v>
      </c>
      <c r="Y16" s="753">
        <f t="shared" si="14"/>
        <v>32274</v>
      </c>
      <c r="Z16" s="753">
        <f t="shared" si="14"/>
        <v>31191</v>
      </c>
      <c r="AA16" s="753">
        <f t="shared" si="14"/>
        <v>30756</v>
      </c>
      <c r="AB16" s="753">
        <f t="shared" si="14"/>
        <v>30174</v>
      </c>
      <c r="AC16" s="753">
        <f t="shared" si="14"/>
        <v>29034</v>
      </c>
      <c r="AD16" s="753">
        <f t="shared" si="14"/>
        <v>29525</v>
      </c>
      <c r="AE16" s="753">
        <f t="shared" si="14"/>
        <v>30211</v>
      </c>
      <c r="AF16" s="753">
        <f t="shared" si="14"/>
        <v>29990</v>
      </c>
      <c r="AG16" s="753">
        <f t="shared" si="14"/>
        <v>30542</v>
      </c>
      <c r="AH16" s="753">
        <f t="shared" si="14"/>
        <v>32392</v>
      </c>
      <c r="AI16" s="753">
        <f t="shared" si="14"/>
        <v>32103</v>
      </c>
      <c r="AJ16" s="753">
        <f t="shared" si="14"/>
        <v>30928</v>
      </c>
      <c r="AK16" s="753">
        <f t="shared" si="14"/>
        <v>31094</v>
      </c>
      <c r="AL16" s="753">
        <f t="shared" si="14"/>
        <v>29482</v>
      </c>
      <c r="AM16" s="753">
        <f t="shared" si="14"/>
        <v>28519</v>
      </c>
      <c r="AN16" s="753">
        <f t="shared" si="14"/>
        <v>27407</v>
      </c>
      <c r="AO16" s="753">
        <f t="shared" si="14"/>
        <v>26290</v>
      </c>
      <c r="AP16" s="753">
        <f t="shared" ref="AP16:AQ16" si="15">VLOOKUP(AP6&amp;$W$5&amp;$V$12&amp;$V$16, vw.births, 6, FALSE)</f>
        <v>27775</v>
      </c>
      <c r="AQ16" s="753">
        <f t="shared" si="15"/>
        <v>26229</v>
      </c>
    </row>
    <row r="17" spans="1:43">
      <c r="A17" s="50" t="s">
        <v>152</v>
      </c>
      <c r="B17" s="15"/>
      <c r="C17" s="108"/>
      <c r="D17" s="108"/>
      <c r="E17" s="108"/>
      <c r="F17" s="108"/>
      <c r="G17" s="108"/>
      <c r="H17" s="108"/>
      <c r="I17" s="108"/>
      <c r="J17" s="108"/>
      <c r="K17" s="108"/>
      <c r="M17" s="432"/>
      <c r="N17" s="432"/>
      <c r="O17" s="432"/>
      <c r="P17" s="669"/>
      <c r="Q17" s="669"/>
      <c r="R17" s="669"/>
      <c r="S17" s="669"/>
      <c r="T17" s="669"/>
      <c r="U17" s="669"/>
      <c r="V17" s="753" t="s">
        <v>453</v>
      </c>
    </row>
    <row r="18" spans="1:43">
      <c r="A18" s="423" t="s">
        <v>339</v>
      </c>
      <c r="B18" s="82">
        <f t="shared" ref="B18:B24" si="16">AH18</f>
        <v>5051</v>
      </c>
      <c r="C18" s="82">
        <f t="shared" ref="C18:K24" si="17">AI18</f>
        <v>5310</v>
      </c>
      <c r="D18" s="82">
        <f t="shared" si="17"/>
        <v>4735</v>
      </c>
      <c r="E18" s="82">
        <f t="shared" si="17"/>
        <v>4600</v>
      </c>
      <c r="F18" s="82">
        <f t="shared" si="17"/>
        <v>4065</v>
      </c>
      <c r="G18" s="82">
        <f t="shared" si="17"/>
        <v>3881</v>
      </c>
      <c r="H18" s="82">
        <f t="shared" si="17"/>
        <v>3409</v>
      </c>
      <c r="I18" s="82">
        <f t="shared" si="17"/>
        <v>3017</v>
      </c>
      <c r="J18" s="82">
        <f t="shared" si="17"/>
        <v>2977</v>
      </c>
      <c r="K18" s="82">
        <f t="shared" si="17"/>
        <v>2559</v>
      </c>
      <c r="M18" s="82"/>
      <c r="N18" s="82"/>
      <c r="O18" s="82"/>
      <c r="P18" s="476"/>
      <c r="Q18" s="476"/>
      <c r="R18" s="476"/>
      <c r="S18" s="476"/>
      <c r="T18" s="476"/>
      <c r="V18" s="753" t="s">
        <v>339</v>
      </c>
      <c r="W18" s="753">
        <f t="shared" ref="W18:AO18" si="18">VLOOKUP(W6&amp;$W$5&amp;$V$17&amp;$V$18, vw.births, 6, FALSE)</f>
        <v>4412</v>
      </c>
      <c r="X18" s="753">
        <f t="shared" si="18"/>
        <v>4403</v>
      </c>
      <c r="Y18" s="753">
        <f t="shared" si="18"/>
        <v>3927</v>
      </c>
      <c r="Z18" s="753">
        <f t="shared" si="18"/>
        <v>3889</v>
      </c>
      <c r="AA18" s="753">
        <f t="shared" si="18"/>
        <v>3823</v>
      </c>
      <c r="AB18" s="753">
        <f t="shared" si="18"/>
        <v>3783</v>
      </c>
      <c r="AC18" s="753">
        <f t="shared" si="18"/>
        <v>3637</v>
      </c>
      <c r="AD18" s="753">
        <f t="shared" si="18"/>
        <v>3795</v>
      </c>
      <c r="AE18" s="753">
        <f t="shared" si="18"/>
        <v>4095</v>
      </c>
      <c r="AF18" s="753">
        <f t="shared" si="18"/>
        <v>4245</v>
      </c>
      <c r="AG18" s="753">
        <f t="shared" si="18"/>
        <v>4455</v>
      </c>
      <c r="AH18" s="753">
        <f t="shared" si="18"/>
        <v>5051</v>
      </c>
      <c r="AI18" s="753">
        <f t="shared" si="18"/>
        <v>5310</v>
      </c>
      <c r="AJ18" s="753">
        <f t="shared" si="18"/>
        <v>4735</v>
      </c>
      <c r="AK18" s="753">
        <f t="shared" si="18"/>
        <v>4600</v>
      </c>
      <c r="AL18" s="753">
        <f t="shared" si="18"/>
        <v>4065</v>
      </c>
      <c r="AM18" s="753">
        <f t="shared" si="18"/>
        <v>3881</v>
      </c>
      <c r="AN18" s="753">
        <f t="shared" si="18"/>
        <v>3409</v>
      </c>
      <c r="AO18" s="753">
        <f t="shared" si="18"/>
        <v>3017</v>
      </c>
      <c r="AP18" s="753">
        <f t="shared" ref="AP18:AQ18" si="19">VLOOKUP(AP6&amp;$W$5&amp;$V$17&amp;$V$18, vw.births, 6, FALSE)</f>
        <v>2977</v>
      </c>
      <c r="AQ18" s="753">
        <f t="shared" si="19"/>
        <v>2559</v>
      </c>
    </row>
    <row r="19" spans="1:43">
      <c r="A19" s="52" t="s">
        <v>77</v>
      </c>
      <c r="B19" s="82">
        <f t="shared" si="16"/>
        <v>11423</v>
      </c>
      <c r="C19" s="82">
        <f t="shared" si="17"/>
        <v>11795</v>
      </c>
      <c r="D19" s="82">
        <f t="shared" si="17"/>
        <v>11699</v>
      </c>
      <c r="E19" s="82">
        <f t="shared" si="17"/>
        <v>12034</v>
      </c>
      <c r="F19" s="82">
        <f t="shared" si="17"/>
        <v>11604</v>
      </c>
      <c r="G19" s="82">
        <f t="shared" si="17"/>
        <v>11530</v>
      </c>
      <c r="H19" s="82">
        <f t="shared" si="17"/>
        <v>10983</v>
      </c>
      <c r="I19" s="82">
        <f t="shared" si="17"/>
        <v>10235</v>
      </c>
      <c r="J19" s="82">
        <f t="shared" si="17"/>
        <v>10795</v>
      </c>
      <c r="K19" s="82">
        <f t="shared" si="17"/>
        <v>9934</v>
      </c>
      <c r="M19" s="82"/>
      <c r="N19" s="82"/>
      <c r="O19" s="82"/>
      <c r="P19" s="476"/>
      <c r="Q19" s="476"/>
      <c r="R19" s="476"/>
      <c r="S19" s="476"/>
      <c r="T19" s="476"/>
      <c r="V19" s="753" t="s">
        <v>130</v>
      </c>
      <c r="W19" s="753">
        <f t="shared" ref="W19:AO19" si="20">VLOOKUP(W6&amp;$W$5&amp;$V$17&amp;$V$19, vw.births, 6, FALSE)</f>
        <v>11417</v>
      </c>
      <c r="X19" s="753">
        <f t="shared" si="20"/>
        <v>10833</v>
      </c>
      <c r="Y19" s="753">
        <f t="shared" si="20"/>
        <v>10017</v>
      </c>
      <c r="Z19" s="753">
        <f t="shared" si="20"/>
        <v>10070</v>
      </c>
      <c r="AA19" s="753">
        <f t="shared" si="20"/>
        <v>9937</v>
      </c>
      <c r="AB19" s="753">
        <f t="shared" si="20"/>
        <v>9825</v>
      </c>
      <c r="AC19" s="753">
        <f t="shared" si="20"/>
        <v>9337</v>
      </c>
      <c r="AD19" s="753">
        <f t="shared" si="20"/>
        <v>9548</v>
      </c>
      <c r="AE19" s="753">
        <f t="shared" si="20"/>
        <v>10153</v>
      </c>
      <c r="AF19" s="753">
        <f t="shared" si="20"/>
        <v>10022</v>
      </c>
      <c r="AG19" s="753">
        <f t="shared" si="20"/>
        <v>10647</v>
      </c>
      <c r="AH19" s="753">
        <f t="shared" si="20"/>
        <v>11423</v>
      </c>
      <c r="AI19" s="753">
        <f t="shared" si="20"/>
        <v>11795</v>
      </c>
      <c r="AJ19" s="753">
        <f t="shared" si="20"/>
        <v>11699</v>
      </c>
      <c r="AK19" s="753">
        <f t="shared" si="20"/>
        <v>12034</v>
      </c>
      <c r="AL19" s="753">
        <f t="shared" si="20"/>
        <v>11604</v>
      </c>
      <c r="AM19" s="753">
        <f t="shared" si="20"/>
        <v>11530</v>
      </c>
      <c r="AN19" s="753">
        <f t="shared" si="20"/>
        <v>10983</v>
      </c>
      <c r="AO19" s="753">
        <f t="shared" si="20"/>
        <v>10235</v>
      </c>
      <c r="AP19" s="753">
        <f t="shared" ref="AP19:AQ19" si="21">VLOOKUP(AP6&amp;$W$5&amp;$V$17&amp;$V$19, vw.births, 6, FALSE)</f>
        <v>10795</v>
      </c>
      <c r="AQ19" s="753">
        <f t="shared" si="21"/>
        <v>9934</v>
      </c>
    </row>
    <row r="20" spans="1:43">
      <c r="A20" s="52" t="s">
        <v>78</v>
      </c>
      <c r="B20" s="82">
        <f t="shared" si="16"/>
        <v>15815</v>
      </c>
      <c r="C20" s="82">
        <f t="shared" si="17"/>
        <v>15901</v>
      </c>
      <c r="D20" s="82">
        <f t="shared" si="17"/>
        <v>15518</v>
      </c>
      <c r="E20" s="82">
        <f t="shared" si="17"/>
        <v>16132</v>
      </c>
      <c r="F20" s="82">
        <f t="shared" si="17"/>
        <v>15636</v>
      </c>
      <c r="G20" s="82">
        <f t="shared" si="17"/>
        <v>15863</v>
      </c>
      <c r="H20" s="82">
        <f t="shared" si="17"/>
        <v>15486</v>
      </c>
      <c r="I20" s="82">
        <f t="shared" si="17"/>
        <v>15519</v>
      </c>
      <c r="J20" s="82">
        <f t="shared" si="17"/>
        <v>16661</v>
      </c>
      <c r="K20" s="82">
        <f t="shared" si="17"/>
        <v>16664</v>
      </c>
      <c r="M20" s="82"/>
      <c r="N20" s="82"/>
      <c r="O20" s="82"/>
      <c r="P20" s="476"/>
      <c r="Q20" s="476"/>
      <c r="R20" s="476"/>
      <c r="S20" s="476"/>
      <c r="T20" s="476"/>
      <c r="V20" s="753" t="s">
        <v>131</v>
      </c>
      <c r="W20" s="753">
        <f t="shared" ref="W20:AO20" si="22">VLOOKUP(W6&amp;$W$5&amp;$V$17&amp;$V$20, vw.births, 6, FALSE)</f>
        <v>17456</v>
      </c>
      <c r="X20" s="753">
        <f t="shared" si="22"/>
        <v>17156</v>
      </c>
      <c r="Y20" s="753">
        <f t="shared" si="22"/>
        <v>16218</v>
      </c>
      <c r="Z20" s="753">
        <f t="shared" si="22"/>
        <v>16548</v>
      </c>
      <c r="AA20" s="753">
        <f t="shared" si="22"/>
        <v>15892</v>
      </c>
      <c r="AB20" s="753">
        <f t="shared" si="22"/>
        <v>15208</v>
      </c>
      <c r="AC20" s="753">
        <f t="shared" si="22"/>
        <v>13906</v>
      </c>
      <c r="AD20" s="753">
        <f t="shared" si="22"/>
        <v>14104</v>
      </c>
      <c r="AE20" s="753">
        <f t="shared" si="22"/>
        <v>14254</v>
      </c>
      <c r="AF20" s="753">
        <f t="shared" si="22"/>
        <v>14057</v>
      </c>
      <c r="AG20" s="753">
        <f t="shared" si="22"/>
        <v>14386</v>
      </c>
      <c r="AH20" s="753">
        <f t="shared" si="22"/>
        <v>15815</v>
      </c>
      <c r="AI20" s="753">
        <f t="shared" si="22"/>
        <v>15901</v>
      </c>
      <c r="AJ20" s="753">
        <f t="shared" si="22"/>
        <v>15518</v>
      </c>
      <c r="AK20" s="753">
        <f t="shared" si="22"/>
        <v>16132</v>
      </c>
      <c r="AL20" s="753">
        <f t="shared" si="22"/>
        <v>15636</v>
      </c>
      <c r="AM20" s="753">
        <f t="shared" si="22"/>
        <v>15863</v>
      </c>
      <c r="AN20" s="753">
        <f t="shared" si="22"/>
        <v>15486</v>
      </c>
      <c r="AO20" s="753">
        <f t="shared" si="22"/>
        <v>15519</v>
      </c>
      <c r="AP20" s="753">
        <f t="shared" ref="AP20:AQ20" si="23">VLOOKUP(AP6&amp;$W$5&amp;$V$17&amp;$V$20, vw.births, 6, FALSE)</f>
        <v>16661</v>
      </c>
      <c r="AQ20" s="753">
        <f t="shared" si="23"/>
        <v>16664</v>
      </c>
    </row>
    <row r="21" spans="1:43">
      <c r="A21" s="52" t="s">
        <v>79</v>
      </c>
      <c r="B21" s="82">
        <f t="shared" si="16"/>
        <v>18716</v>
      </c>
      <c r="C21" s="82">
        <f t="shared" si="17"/>
        <v>18009</v>
      </c>
      <c r="D21" s="82">
        <f t="shared" si="17"/>
        <v>17463</v>
      </c>
      <c r="E21" s="82">
        <f t="shared" si="17"/>
        <v>17871</v>
      </c>
      <c r="F21" s="82">
        <f t="shared" si="17"/>
        <v>17359</v>
      </c>
      <c r="G21" s="82">
        <f t="shared" si="17"/>
        <v>17635</v>
      </c>
      <c r="H21" s="82">
        <f t="shared" si="17"/>
        <v>16970</v>
      </c>
      <c r="I21" s="82">
        <f t="shared" si="17"/>
        <v>17375</v>
      </c>
      <c r="J21" s="82">
        <f t="shared" si="17"/>
        <v>18793</v>
      </c>
      <c r="K21" s="82">
        <f t="shared" si="17"/>
        <v>18720</v>
      </c>
      <c r="M21" s="82"/>
      <c r="N21" s="82"/>
      <c r="O21" s="82"/>
      <c r="P21" s="476"/>
      <c r="Q21" s="476"/>
      <c r="R21" s="476"/>
      <c r="S21" s="476"/>
      <c r="T21" s="476"/>
      <c r="V21" s="753" t="s">
        <v>132</v>
      </c>
      <c r="W21" s="753">
        <f t="shared" ref="W21:AO21" si="24">VLOOKUP(W6&amp;$W$5&amp;$V$17&amp;$V$21, vw.births, 6, FALSE)</f>
        <v>16299</v>
      </c>
      <c r="X21" s="753">
        <f t="shared" si="24"/>
        <v>16688</v>
      </c>
      <c r="Y21" s="753">
        <f t="shared" si="24"/>
        <v>16409</v>
      </c>
      <c r="Z21" s="753">
        <f t="shared" si="24"/>
        <v>17187</v>
      </c>
      <c r="AA21" s="753">
        <f t="shared" si="24"/>
        <v>17282</v>
      </c>
      <c r="AB21" s="753">
        <f t="shared" si="24"/>
        <v>17158</v>
      </c>
      <c r="AC21" s="753">
        <f t="shared" si="24"/>
        <v>17067</v>
      </c>
      <c r="AD21" s="753">
        <f t="shared" si="24"/>
        <v>17664</v>
      </c>
      <c r="AE21" s="753">
        <f t="shared" si="24"/>
        <v>18417</v>
      </c>
      <c r="AF21" s="753">
        <f t="shared" si="24"/>
        <v>18155</v>
      </c>
      <c r="AG21" s="753">
        <f t="shared" si="24"/>
        <v>18090</v>
      </c>
      <c r="AH21" s="753">
        <f t="shared" si="24"/>
        <v>18716</v>
      </c>
      <c r="AI21" s="753">
        <f t="shared" si="24"/>
        <v>18009</v>
      </c>
      <c r="AJ21" s="753">
        <f t="shared" si="24"/>
        <v>17463</v>
      </c>
      <c r="AK21" s="753">
        <f t="shared" si="24"/>
        <v>17871</v>
      </c>
      <c r="AL21" s="753">
        <f t="shared" si="24"/>
        <v>17359</v>
      </c>
      <c r="AM21" s="753">
        <f t="shared" si="24"/>
        <v>17635</v>
      </c>
      <c r="AN21" s="753">
        <f t="shared" si="24"/>
        <v>16970</v>
      </c>
      <c r="AO21" s="753">
        <f t="shared" si="24"/>
        <v>17375</v>
      </c>
      <c r="AP21" s="753">
        <f t="shared" ref="AP21:AQ21" si="25">VLOOKUP(AP6&amp;$W$5&amp;$V$17&amp;$V$21, vw.births, 6, FALSE)</f>
        <v>18793</v>
      </c>
      <c r="AQ21" s="753">
        <f t="shared" si="25"/>
        <v>18720</v>
      </c>
    </row>
    <row r="22" spans="1:43">
      <c r="A22" s="52" t="s">
        <v>80</v>
      </c>
      <c r="B22" s="82">
        <f t="shared" si="16"/>
        <v>11704</v>
      </c>
      <c r="C22" s="82">
        <f t="shared" si="17"/>
        <v>11900</v>
      </c>
      <c r="D22" s="82">
        <f t="shared" si="17"/>
        <v>11391</v>
      </c>
      <c r="E22" s="82">
        <f t="shared" si="17"/>
        <v>11413</v>
      </c>
      <c r="F22" s="82">
        <f t="shared" si="17"/>
        <v>10940</v>
      </c>
      <c r="G22" s="82">
        <f t="shared" si="17"/>
        <v>10460</v>
      </c>
      <c r="H22" s="82">
        <f t="shared" si="17"/>
        <v>10235</v>
      </c>
      <c r="I22" s="82">
        <f t="shared" si="17"/>
        <v>9639</v>
      </c>
      <c r="J22" s="82">
        <f t="shared" si="17"/>
        <v>10321</v>
      </c>
      <c r="K22" s="82">
        <f t="shared" si="17"/>
        <v>10105</v>
      </c>
      <c r="M22" s="82"/>
      <c r="N22" s="82"/>
      <c r="O22" s="82"/>
      <c r="P22" s="476"/>
      <c r="Q22" s="476"/>
      <c r="R22" s="476"/>
      <c r="S22" s="476"/>
      <c r="T22" s="476"/>
      <c r="V22" s="753" t="s">
        <v>133</v>
      </c>
      <c r="W22" s="753">
        <f t="shared" ref="W22:AO22" si="26">VLOOKUP(W6&amp;$W$5&amp;$V$17&amp;$V$22, vw.births, 6, FALSE)</f>
        <v>6726</v>
      </c>
      <c r="X22" s="753">
        <f t="shared" si="26"/>
        <v>7397</v>
      </c>
      <c r="Y22" s="753">
        <f t="shared" si="26"/>
        <v>7681</v>
      </c>
      <c r="Z22" s="753">
        <f t="shared" si="26"/>
        <v>8266</v>
      </c>
      <c r="AA22" s="753">
        <f t="shared" si="26"/>
        <v>8493</v>
      </c>
      <c r="AB22" s="753">
        <f t="shared" si="26"/>
        <v>8586</v>
      </c>
      <c r="AC22" s="753">
        <f t="shared" si="26"/>
        <v>8738</v>
      </c>
      <c r="AD22" s="753">
        <f t="shared" si="26"/>
        <v>9384</v>
      </c>
      <c r="AE22" s="753">
        <f t="shared" si="26"/>
        <v>9675</v>
      </c>
      <c r="AF22" s="753">
        <f t="shared" si="26"/>
        <v>10120</v>
      </c>
      <c r="AG22" s="753">
        <f t="shared" si="26"/>
        <v>10499</v>
      </c>
      <c r="AH22" s="753">
        <f t="shared" si="26"/>
        <v>11704</v>
      </c>
      <c r="AI22" s="753">
        <f t="shared" si="26"/>
        <v>11900</v>
      </c>
      <c r="AJ22" s="753">
        <f t="shared" si="26"/>
        <v>11391</v>
      </c>
      <c r="AK22" s="753">
        <f t="shared" si="26"/>
        <v>11413</v>
      </c>
      <c r="AL22" s="753">
        <f t="shared" si="26"/>
        <v>10940</v>
      </c>
      <c r="AM22" s="753">
        <f t="shared" si="26"/>
        <v>10460</v>
      </c>
      <c r="AN22" s="753">
        <f t="shared" si="26"/>
        <v>10235</v>
      </c>
      <c r="AO22" s="753">
        <f t="shared" si="26"/>
        <v>9639</v>
      </c>
      <c r="AP22" s="753">
        <f t="shared" ref="AP22:AQ22" si="27">VLOOKUP(AP6&amp;$W$5&amp;$V$17&amp;$V$22, vw.births, 6, FALSE)</f>
        <v>10321</v>
      </c>
      <c r="AQ22" s="753">
        <f t="shared" si="27"/>
        <v>10105</v>
      </c>
    </row>
    <row r="23" spans="1:43">
      <c r="A23" s="52" t="s">
        <v>81</v>
      </c>
      <c r="B23" s="82">
        <f t="shared" si="16"/>
        <v>2412</v>
      </c>
      <c r="C23" s="82">
        <f t="shared" si="17"/>
        <v>2418</v>
      </c>
      <c r="D23" s="82">
        <f t="shared" si="17"/>
        <v>2479</v>
      </c>
      <c r="E23" s="82">
        <f t="shared" si="17"/>
        <v>2649</v>
      </c>
      <c r="F23" s="82">
        <f t="shared" si="17"/>
        <v>2570</v>
      </c>
      <c r="G23" s="82">
        <f t="shared" si="17"/>
        <v>2666</v>
      </c>
      <c r="H23" s="82">
        <f t="shared" si="17"/>
        <v>2618</v>
      </c>
      <c r="I23" s="82">
        <f t="shared" si="17"/>
        <v>2500</v>
      </c>
      <c r="J23" s="82">
        <f t="shared" si="17"/>
        <v>2575</v>
      </c>
      <c r="K23" s="82">
        <f t="shared" si="17"/>
        <v>2454</v>
      </c>
      <c r="M23" s="82"/>
      <c r="N23" s="82"/>
      <c r="O23" s="82"/>
      <c r="P23" s="476"/>
      <c r="Q23" s="476"/>
      <c r="R23" s="476"/>
      <c r="S23" s="476"/>
      <c r="T23" s="476"/>
      <c r="V23" s="753" t="s">
        <v>134</v>
      </c>
      <c r="W23" s="753">
        <f t="shared" ref="W23:AO23" si="28">VLOOKUP(W6&amp;$W$5&amp;$V$17&amp;$V$23, vw.births, 6, FALSE)</f>
        <v>1124</v>
      </c>
      <c r="X23" s="753">
        <f t="shared" si="28"/>
        <v>1257</v>
      </c>
      <c r="Y23" s="753">
        <f t="shared" si="28"/>
        <v>1261</v>
      </c>
      <c r="Z23" s="753">
        <f t="shared" si="28"/>
        <v>1458</v>
      </c>
      <c r="AA23" s="753">
        <f t="shared" si="28"/>
        <v>1567</v>
      </c>
      <c r="AB23" s="753">
        <f t="shared" si="28"/>
        <v>1664</v>
      </c>
      <c r="AC23" s="753">
        <f t="shared" si="28"/>
        <v>1830</v>
      </c>
      <c r="AD23" s="753">
        <f t="shared" si="28"/>
        <v>2081</v>
      </c>
      <c r="AE23" s="753">
        <f t="shared" si="28"/>
        <v>2129</v>
      </c>
      <c r="AF23" s="753">
        <f t="shared" si="28"/>
        <v>2128</v>
      </c>
      <c r="AG23" s="753">
        <f t="shared" si="28"/>
        <v>2197</v>
      </c>
      <c r="AH23" s="753">
        <f t="shared" si="28"/>
        <v>2412</v>
      </c>
      <c r="AI23" s="753">
        <f t="shared" si="28"/>
        <v>2418</v>
      </c>
      <c r="AJ23" s="753">
        <f t="shared" si="28"/>
        <v>2479</v>
      </c>
      <c r="AK23" s="753">
        <f t="shared" si="28"/>
        <v>2649</v>
      </c>
      <c r="AL23" s="753">
        <f t="shared" si="28"/>
        <v>2570</v>
      </c>
      <c r="AM23" s="753">
        <f t="shared" si="28"/>
        <v>2666</v>
      </c>
      <c r="AN23" s="753">
        <f t="shared" si="28"/>
        <v>2618</v>
      </c>
      <c r="AO23" s="753">
        <f t="shared" si="28"/>
        <v>2500</v>
      </c>
      <c r="AP23" s="753">
        <f t="shared" ref="AP23:AQ23" si="29">VLOOKUP(AP6&amp;$W$5&amp;$V$17&amp;$V$23, vw.births, 6, FALSE)</f>
        <v>2575</v>
      </c>
      <c r="AQ23" s="753">
        <f t="shared" si="29"/>
        <v>2454</v>
      </c>
    </row>
    <row r="24" spans="1:43">
      <c r="A24" s="52" t="s">
        <v>63</v>
      </c>
      <c r="B24" s="82">
        <f t="shared" si="16"/>
        <v>0</v>
      </c>
      <c r="C24" s="82">
        <f t="shared" si="17"/>
        <v>0</v>
      </c>
      <c r="D24" s="82">
        <f t="shared" si="17"/>
        <v>0</v>
      </c>
      <c r="E24" s="82">
        <f t="shared" si="17"/>
        <v>0</v>
      </c>
      <c r="F24" s="82">
        <f t="shared" si="17"/>
        <v>0</v>
      </c>
      <c r="G24" s="82">
        <f t="shared" si="17"/>
        <v>0</v>
      </c>
      <c r="H24" s="82">
        <f t="shared" si="17"/>
        <v>0</v>
      </c>
      <c r="I24" s="82">
        <f t="shared" si="17"/>
        <v>0</v>
      </c>
      <c r="J24" s="82">
        <f t="shared" si="17"/>
        <v>0</v>
      </c>
      <c r="K24" s="82">
        <f t="shared" si="17"/>
        <v>0</v>
      </c>
      <c r="M24" s="82"/>
      <c r="N24" s="82"/>
      <c r="O24" s="82"/>
      <c r="P24" s="476"/>
      <c r="Q24" s="476"/>
      <c r="R24" s="476"/>
      <c r="S24" s="476"/>
      <c r="T24" s="476"/>
      <c r="V24" s="779" t="s">
        <v>63</v>
      </c>
      <c r="W24" s="753">
        <f t="shared" ref="W24:AO24" si="30">IFERROR(VLOOKUP(W6&amp;$W$5&amp;$V$17&amp;$V$24, vw.births, 6, FALSE), 0)</f>
        <v>0</v>
      </c>
      <c r="X24" s="753">
        <f t="shared" si="30"/>
        <v>0</v>
      </c>
      <c r="Y24" s="753">
        <f t="shared" si="30"/>
        <v>8</v>
      </c>
      <c r="Z24" s="753">
        <f t="shared" si="30"/>
        <v>3</v>
      </c>
      <c r="AA24" s="753">
        <f t="shared" si="30"/>
        <v>0</v>
      </c>
      <c r="AB24" s="753">
        <f t="shared" si="30"/>
        <v>0</v>
      </c>
      <c r="AC24" s="753">
        <f t="shared" si="30"/>
        <v>0</v>
      </c>
      <c r="AD24" s="753">
        <f t="shared" si="30"/>
        <v>0</v>
      </c>
      <c r="AE24" s="753">
        <f t="shared" si="30"/>
        <v>0</v>
      </c>
      <c r="AF24" s="753">
        <f t="shared" si="30"/>
        <v>0</v>
      </c>
      <c r="AG24" s="753">
        <f t="shared" si="30"/>
        <v>0</v>
      </c>
      <c r="AH24" s="753">
        <f t="shared" si="30"/>
        <v>0</v>
      </c>
      <c r="AI24" s="753">
        <f t="shared" si="30"/>
        <v>0</v>
      </c>
      <c r="AJ24" s="753">
        <f t="shared" si="30"/>
        <v>0</v>
      </c>
      <c r="AK24" s="753">
        <f t="shared" si="30"/>
        <v>0</v>
      </c>
      <c r="AL24" s="753">
        <f t="shared" si="30"/>
        <v>0</v>
      </c>
      <c r="AM24" s="753">
        <f t="shared" si="30"/>
        <v>0</v>
      </c>
      <c r="AN24" s="753">
        <f t="shared" si="30"/>
        <v>0</v>
      </c>
      <c r="AO24" s="753">
        <f t="shared" si="30"/>
        <v>0</v>
      </c>
      <c r="AP24" s="753">
        <f t="shared" ref="AP24:AQ24" si="31">IFERROR(VLOOKUP(AP6&amp;$W$5&amp;$V$17&amp;$V$24, vw.births, 6, FALSE), 0)</f>
        <v>0</v>
      </c>
      <c r="AQ24" s="753">
        <f t="shared" si="31"/>
        <v>0</v>
      </c>
    </row>
    <row r="25" spans="1:43">
      <c r="A25" s="15" t="s">
        <v>82</v>
      </c>
      <c r="B25" s="15"/>
      <c r="C25" s="108"/>
      <c r="D25" s="108"/>
      <c r="E25" s="108"/>
      <c r="F25" s="108"/>
      <c r="G25" s="108"/>
      <c r="H25" s="108"/>
      <c r="I25" s="108"/>
      <c r="J25" s="108"/>
      <c r="K25" s="108"/>
      <c r="V25" s="753" t="s">
        <v>454</v>
      </c>
    </row>
    <row r="26" spans="1:43">
      <c r="A26" s="12" t="s">
        <v>83</v>
      </c>
      <c r="B26" s="82">
        <f t="shared" ref="B26:B31" si="32">AH26</f>
        <v>9191</v>
      </c>
      <c r="C26" s="82">
        <f t="shared" ref="C26:K31" si="33">AI26</f>
        <v>9619</v>
      </c>
      <c r="D26" s="82">
        <f t="shared" si="33"/>
        <v>9377</v>
      </c>
      <c r="E26" s="82">
        <f t="shared" si="33"/>
        <v>8682</v>
      </c>
      <c r="F26" s="82">
        <f t="shared" si="33"/>
        <v>8387</v>
      </c>
      <c r="G26" s="82">
        <f t="shared" si="33"/>
        <v>8301</v>
      </c>
      <c r="H26" s="82">
        <f t="shared" si="33"/>
        <v>8187</v>
      </c>
      <c r="I26" s="82">
        <f t="shared" si="33"/>
        <v>8221</v>
      </c>
      <c r="J26" s="82">
        <f t="shared" si="33"/>
        <v>9428</v>
      </c>
      <c r="K26" s="82">
        <f t="shared" si="33"/>
        <v>9194</v>
      </c>
      <c r="V26" s="753" t="s">
        <v>421</v>
      </c>
      <c r="W26" s="753">
        <f t="shared" ref="W26:AO26" si="34">VLOOKUP(W6&amp;$W$5&amp;$V$25&amp;$V$26, vw.births, 6, FALSE)</f>
        <v>6224</v>
      </c>
      <c r="X26" s="753">
        <f t="shared" si="34"/>
        <v>6314</v>
      </c>
      <c r="Y26" s="753">
        <f t="shared" si="34"/>
        <v>6851</v>
      </c>
      <c r="Z26" s="753">
        <f t="shared" si="34"/>
        <v>7250</v>
      </c>
      <c r="AA26" s="753">
        <f t="shared" si="34"/>
        <v>7052</v>
      </c>
      <c r="AB26" s="753">
        <f t="shared" si="34"/>
        <v>7106</v>
      </c>
      <c r="AC26" s="753">
        <f t="shared" si="34"/>
        <v>7804</v>
      </c>
      <c r="AD26" s="753">
        <f t="shared" si="34"/>
        <v>7940</v>
      </c>
      <c r="AE26" s="753">
        <f t="shared" si="34"/>
        <v>8248</v>
      </c>
      <c r="AF26" s="753">
        <f t="shared" si="34"/>
        <v>8469</v>
      </c>
      <c r="AG26" s="753">
        <f t="shared" si="34"/>
        <v>8545</v>
      </c>
      <c r="AH26" s="753">
        <f t="shared" si="34"/>
        <v>9191</v>
      </c>
      <c r="AI26" s="753">
        <f t="shared" si="34"/>
        <v>9619</v>
      </c>
      <c r="AJ26" s="753">
        <f t="shared" si="34"/>
        <v>9377</v>
      </c>
      <c r="AK26" s="753">
        <f t="shared" si="34"/>
        <v>8682</v>
      </c>
      <c r="AL26" s="753">
        <f t="shared" si="34"/>
        <v>8387</v>
      </c>
      <c r="AM26" s="753">
        <f t="shared" si="34"/>
        <v>8301</v>
      </c>
      <c r="AN26" s="753">
        <f t="shared" si="34"/>
        <v>8187</v>
      </c>
      <c r="AO26" s="753">
        <f t="shared" si="34"/>
        <v>8221</v>
      </c>
      <c r="AP26" s="753">
        <f t="shared" ref="AP26:AQ26" si="35">VLOOKUP(AP6&amp;$W$5&amp;$V$25&amp;$V$26, vw.births, 6, FALSE)</f>
        <v>9428</v>
      </c>
      <c r="AQ26" s="753">
        <f t="shared" si="35"/>
        <v>9194</v>
      </c>
    </row>
    <row r="27" spans="1:43">
      <c r="A27" s="13">
        <v>2</v>
      </c>
      <c r="B27" s="82">
        <f t="shared" si="32"/>
        <v>9712</v>
      </c>
      <c r="C27" s="82">
        <f t="shared" si="33"/>
        <v>10484</v>
      </c>
      <c r="D27" s="82">
        <f t="shared" si="33"/>
        <v>10051</v>
      </c>
      <c r="E27" s="82">
        <f t="shared" si="33"/>
        <v>9539</v>
      </c>
      <c r="F27" s="82">
        <f t="shared" si="33"/>
        <v>9337</v>
      </c>
      <c r="G27" s="82">
        <f t="shared" si="33"/>
        <v>9356</v>
      </c>
      <c r="H27" s="82">
        <f t="shared" si="33"/>
        <v>9257</v>
      </c>
      <c r="I27" s="82">
        <f t="shared" si="33"/>
        <v>8889</v>
      </c>
      <c r="J27" s="82">
        <f t="shared" si="33"/>
        <v>10259</v>
      </c>
      <c r="K27" s="82">
        <f t="shared" si="33"/>
        <v>10123</v>
      </c>
      <c r="V27" s="753" t="s">
        <v>422</v>
      </c>
      <c r="W27" s="753">
        <f t="shared" ref="W27:AO27" si="36">VLOOKUP(W6&amp;$W$5&amp;$V$25&amp;$V$27, vw.births, 6, FALSE)</f>
        <v>7213</v>
      </c>
      <c r="X27" s="753">
        <f t="shared" si="36"/>
        <v>7191</v>
      </c>
      <c r="Y27" s="753">
        <f t="shared" si="36"/>
        <v>7910</v>
      </c>
      <c r="Z27" s="753">
        <f t="shared" si="36"/>
        <v>8066</v>
      </c>
      <c r="AA27" s="753">
        <f t="shared" si="36"/>
        <v>8032</v>
      </c>
      <c r="AB27" s="753">
        <f t="shared" si="36"/>
        <v>8027</v>
      </c>
      <c r="AC27" s="753">
        <f t="shared" si="36"/>
        <v>8158</v>
      </c>
      <c r="AD27" s="753">
        <f t="shared" si="36"/>
        <v>8596</v>
      </c>
      <c r="AE27" s="753">
        <f t="shared" si="36"/>
        <v>8758</v>
      </c>
      <c r="AF27" s="753">
        <f t="shared" si="36"/>
        <v>8862</v>
      </c>
      <c r="AG27" s="753">
        <f t="shared" si="36"/>
        <v>8970</v>
      </c>
      <c r="AH27" s="753">
        <f t="shared" si="36"/>
        <v>9712</v>
      </c>
      <c r="AI27" s="753">
        <f t="shared" si="36"/>
        <v>10484</v>
      </c>
      <c r="AJ27" s="753">
        <f t="shared" si="36"/>
        <v>10051</v>
      </c>
      <c r="AK27" s="753">
        <f t="shared" si="36"/>
        <v>9539</v>
      </c>
      <c r="AL27" s="753">
        <f t="shared" si="36"/>
        <v>9337</v>
      </c>
      <c r="AM27" s="753">
        <f t="shared" si="36"/>
        <v>9356</v>
      </c>
      <c r="AN27" s="753">
        <f t="shared" si="36"/>
        <v>9257</v>
      </c>
      <c r="AO27" s="753">
        <f t="shared" si="36"/>
        <v>8889</v>
      </c>
      <c r="AP27" s="753">
        <f t="shared" ref="AP27:AQ27" si="37">VLOOKUP(AP6&amp;$W$5&amp;$V$25&amp;$V$27, vw.births, 6, FALSE)</f>
        <v>10259</v>
      </c>
      <c r="AQ27" s="753">
        <f t="shared" si="37"/>
        <v>10123</v>
      </c>
    </row>
    <row r="28" spans="1:43">
      <c r="A28" s="13">
        <v>3</v>
      </c>
      <c r="B28" s="82">
        <f t="shared" si="32"/>
        <v>11599</v>
      </c>
      <c r="C28" s="82">
        <f t="shared" si="33"/>
        <v>12163</v>
      </c>
      <c r="D28" s="82">
        <f t="shared" si="33"/>
        <v>11836</v>
      </c>
      <c r="E28" s="82">
        <f t="shared" si="33"/>
        <v>11388</v>
      </c>
      <c r="F28" s="82">
        <f t="shared" si="33"/>
        <v>10802</v>
      </c>
      <c r="G28" s="82">
        <f t="shared" si="33"/>
        <v>10749</v>
      </c>
      <c r="H28" s="82">
        <f t="shared" si="33"/>
        <v>10314</v>
      </c>
      <c r="I28" s="82">
        <f t="shared" si="33"/>
        <v>10045</v>
      </c>
      <c r="J28" s="82">
        <f t="shared" si="33"/>
        <v>11196</v>
      </c>
      <c r="K28" s="82">
        <f t="shared" si="33"/>
        <v>10971</v>
      </c>
      <c r="V28" s="753" t="s">
        <v>423</v>
      </c>
      <c r="W28" s="753">
        <f t="shared" ref="W28:AO28" si="38">VLOOKUP(W6&amp;$W$5&amp;$V$25&amp;$V$28, vw.births, 6, FALSE)</f>
        <v>9023</v>
      </c>
      <c r="X28" s="753">
        <f t="shared" si="38"/>
        <v>9059</v>
      </c>
      <c r="Y28" s="753">
        <f t="shared" si="38"/>
        <v>9372</v>
      </c>
      <c r="Z28" s="753">
        <f t="shared" si="38"/>
        <v>9708</v>
      </c>
      <c r="AA28" s="753">
        <f t="shared" si="38"/>
        <v>9828</v>
      </c>
      <c r="AB28" s="753">
        <f t="shared" si="38"/>
        <v>9618</v>
      </c>
      <c r="AC28" s="753">
        <f t="shared" si="38"/>
        <v>9762</v>
      </c>
      <c r="AD28" s="753">
        <f t="shared" si="38"/>
        <v>10109</v>
      </c>
      <c r="AE28" s="753">
        <f t="shared" si="38"/>
        <v>10519</v>
      </c>
      <c r="AF28" s="753">
        <f t="shared" si="38"/>
        <v>10417</v>
      </c>
      <c r="AG28" s="753">
        <f t="shared" si="38"/>
        <v>10890</v>
      </c>
      <c r="AH28" s="753">
        <f t="shared" si="38"/>
        <v>11599</v>
      </c>
      <c r="AI28" s="753">
        <f t="shared" si="38"/>
        <v>12163</v>
      </c>
      <c r="AJ28" s="753">
        <f t="shared" si="38"/>
        <v>11836</v>
      </c>
      <c r="AK28" s="753">
        <f t="shared" si="38"/>
        <v>11388</v>
      </c>
      <c r="AL28" s="753">
        <f t="shared" si="38"/>
        <v>10802</v>
      </c>
      <c r="AM28" s="753">
        <f t="shared" si="38"/>
        <v>10749</v>
      </c>
      <c r="AN28" s="753">
        <f t="shared" si="38"/>
        <v>10314</v>
      </c>
      <c r="AO28" s="753">
        <f t="shared" si="38"/>
        <v>10045</v>
      </c>
      <c r="AP28" s="753">
        <f t="shared" ref="AP28:AQ28" si="39">VLOOKUP(AP6&amp;$W$5&amp;$V$25&amp;$V$28, vw.births, 6, FALSE)</f>
        <v>11196</v>
      </c>
      <c r="AQ28" s="753">
        <f t="shared" si="39"/>
        <v>10971</v>
      </c>
    </row>
    <row r="29" spans="1:43">
      <c r="A29" s="13">
        <v>4</v>
      </c>
      <c r="B29" s="82">
        <f t="shared" si="32"/>
        <v>14079</v>
      </c>
      <c r="C29" s="82">
        <f t="shared" si="33"/>
        <v>14806</v>
      </c>
      <c r="D29" s="82">
        <f t="shared" si="33"/>
        <v>14590</v>
      </c>
      <c r="E29" s="82">
        <f t="shared" si="33"/>
        <v>13795</v>
      </c>
      <c r="F29" s="82">
        <f t="shared" si="33"/>
        <v>13277</v>
      </c>
      <c r="G29" s="82">
        <f t="shared" si="33"/>
        <v>13313</v>
      </c>
      <c r="H29" s="82">
        <f t="shared" si="33"/>
        <v>12838</v>
      </c>
      <c r="I29" s="82">
        <f t="shared" si="33"/>
        <v>12442</v>
      </c>
      <c r="J29" s="82">
        <f t="shared" si="33"/>
        <v>13614</v>
      </c>
      <c r="K29" s="82">
        <f t="shared" si="33"/>
        <v>13131</v>
      </c>
      <c r="V29" s="753" t="s">
        <v>424</v>
      </c>
      <c r="W29" s="753">
        <f t="shared" ref="W29:AO29" si="40">VLOOKUP(W6&amp;$W$5&amp;$V$25&amp;$V$29, vw.births,6, FALSE)</f>
        <v>11553</v>
      </c>
      <c r="X29" s="753">
        <f t="shared" si="40"/>
        <v>11648</v>
      </c>
      <c r="Y29" s="753">
        <f t="shared" si="40"/>
        <v>12273</v>
      </c>
      <c r="Z29" s="753">
        <f t="shared" si="40"/>
        <v>12198</v>
      </c>
      <c r="AA29" s="753">
        <f t="shared" si="40"/>
        <v>12434</v>
      </c>
      <c r="AB29" s="753">
        <f t="shared" si="40"/>
        <v>11942</v>
      </c>
      <c r="AC29" s="753">
        <f t="shared" si="40"/>
        <v>11700</v>
      </c>
      <c r="AD29" s="753">
        <f t="shared" si="40"/>
        <v>12037</v>
      </c>
      <c r="AE29" s="753">
        <f t="shared" si="40"/>
        <v>12617</v>
      </c>
      <c r="AF29" s="753">
        <f t="shared" si="40"/>
        <v>12478</v>
      </c>
      <c r="AG29" s="753">
        <f t="shared" si="40"/>
        <v>12831</v>
      </c>
      <c r="AH29" s="753">
        <f t="shared" si="40"/>
        <v>14079</v>
      </c>
      <c r="AI29" s="753">
        <f t="shared" si="40"/>
        <v>14806</v>
      </c>
      <c r="AJ29" s="753">
        <f t="shared" si="40"/>
        <v>14590</v>
      </c>
      <c r="AK29" s="753">
        <f t="shared" si="40"/>
        <v>13795</v>
      </c>
      <c r="AL29" s="753">
        <f t="shared" si="40"/>
        <v>13277</v>
      </c>
      <c r="AM29" s="753">
        <f t="shared" si="40"/>
        <v>13313</v>
      </c>
      <c r="AN29" s="753">
        <f t="shared" si="40"/>
        <v>12838</v>
      </c>
      <c r="AO29" s="753">
        <f t="shared" si="40"/>
        <v>12442</v>
      </c>
      <c r="AP29" s="753">
        <f t="shared" ref="AP29:AQ29" si="41">VLOOKUP(AP6&amp;$W$5&amp;$V$25&amp;$V$29, vw.births,6, FALSE)</f>
        <v>13614</v>
      </c>
      <c r="AQ29" s="753">
        <f t="shared" si="41"/>
        <v>13131</v>
      </c>
    </row>
    <row r="30" spans="1:43">
      <c r="A30" s="12" t="s">
        <v>84</v>
      </c>
      <c r="B30" s="82">
        <f t="shared" si="32"/>
        <v>16131</v>
      </c>
      <c r="C30" s="82">
        <f t="shared" si="33"/>
        <v>17965</v>
      </c>
      <c r="D30" s="82">
        <f t="shared" si="33"/>
        <v>17157</v>
      </c>
      <c r="E30" s="82">
        <f t="shared" si="33"/>
        <v>18469</v>
      </c>
      <c r="F30" s="82">
        <f t="shared" si="33"/>
        <v>17705</v>
      </c>
      <c r="G30" s="82">
        <f t="shared" si="33"/>
        <v>17671</v>
      </c>
      <c r="H30" s="82">
        <f t="shared" si="33"/>
        <v>16525</v>
      </c>
      <c r="I30" s="82">
        <f t="shared" si="33"/>
        <v>16100</v>
      </c>
      <c r="J30" s="82">
        <f t="shared" si="33"/>
        <v>17454</v>
      </c>
      <c r="K30" s="82">
        <f t="shared" si="33"/>
        <v>16886</v>
      </c>
      <c r="V30" s="753" t="s">
        <v>425</v>
      </c>
      <c r="W30" s="753">
        <f t="shared" ref="W30:AO30" si="42">VLOOKUP(W6&amp;$W$5&amp;$V$25&amp;$V$30, vw.births, 6, FALSE)</f>
        <v>15161</v>
      </c>
      <c r="X30" s="753">
        <f t="shared" si="42"/>
        <v>15072</v>
      </c>
      <c r="Y30" s="753">
        <f t="shared" si="42"/>
        <v>14175</v>
      </c>
      <c r="Z30" s="753">
        <f t="shared" si="42"/>
        <v>14745</v>
      </c>
      <c r="AA30" s="753">
        <f t="shared" si="42"/>
        <v>14106</v>
      </c>
      <c r="AB30" s="753">
        <f t="shared" si="42"/>
        <v>13913</v>
      </c>
      <c r="AC30" s="753">
        <f t="shared" si="42"/>
        <v>13542</v>
      </c>
      <c r="AD30" s="753">
        <f t="shared" si="42"/>
        <v>14244</v>
      </c>
      <c r="AE30" s="753">
        <f t="shared" si="42"/>
        <v>14784</v>
      </c>
      <c r="AF30" s="753">
        <f t="shared" si="42"/>
        <v>14813</v>
      </c>
      <c r="AG30" s="753">
        <f t="shared" si="42"/>
        <v>15033</v>
      </c>
      <c r="AH30" s="753">
        <f t="shared" si="42"/>
        <v>16131</v>
      </c>
      <c r="AI30" s="753">
        <f t="shared" si="42"/>
        <v>17965</v>
      </c>
      <c r="AJ30" s="753">
        <f t="shared" si="42"/>
        <v>17157</v>
      </c>
      <c r="AK30" s="753">
        <f t="shared" si="42"/>
        <v>18469</v>
      </c>
      <c r="AL30" s="753">
        <f t="shared" si="42"/>
        <v>17705</v>
      </c>
      <c r="AM30" s="753">
        <f t="shared" si="42"/>
        <v>17671</v>
      </c>
      <c r="AN30" s="753">
        <f t="shared" si="42"/>
        <v>16525</v>
      </c>
      <c r="AO30" s="753">
        <f t="shared" si="42"/>
        <v>16100</v>
      </c>
      <c r="AP30" s="753">
        <f t="shared" ref="AP30:AQ30" si="43">VLOOKUP(AP6&amp;$W$5&amp;$V$25&amp;$V$30, vw.births, 6, FALSE)</f>
        <v>17454</v>
      </c>
      <c r="AQ30" s="753">
        <f t="shared" si="43"/>
        <v>16886</v>
      </c>
    </row>
    <row r="31" spans="1:43">
      <c r="A31" s="12" t="s">
        <v>63</v>
      </c>
      <c r="B31" s="82">
        <f t="shared" si="32"/>
        <v>4409</v>
      </c>
      <c r="C31" s="82">
        <f t="shared" si="33"/>
        <v>296</v>
      </c>
      <c r="D31" s="82">
        <f t="shared" si="33"/>
        <v>274</v>
      </c>
      <c r="E31" s="82">
        <f t="shared" si="33"/>
        <v>2826</v>
      </c>
      <c r="F31" s="82">
        <f t="shared" si="33"/>
        <v>2666</v>
      </c>
      <c r="G31" s="82">
        <f t="shared" si="33"/>
        <v>2645</v>
      </c>
      <c r="H31" s="82">
        <f t="shared" si="33"/>
        <v>2580</v>
      </c>
      <c r="I31" s="82">
        <f t="shared" si="33"/>
        <v>2588</v>
      </c>
      <c r="J31" s="82">
        <f t="shared" si="33"/>
        <v>171</v>
      </c>
      <c r="K31" s="82">
        <f t="shared" si="33"/>
        <v>131</v>
      </c>
      <c r="V31" s="753" t="s">
        <v>426</v>
      </c>
      <c r="W31" s="753">
        <f t="shared" ref="W31:AO31" si="44">VLOOKUP(W6&amp;$W$5&amp;$V$25&amp;$V$31, vw.births, 6, FALSE)</f>
        <v>8260</v>
      </c>
      <c r="X31" s="753">
        <f t="shared" si="44"/>
        <v>8450</v>
      </c>
      <c r="Y31" s="753">
        <f t="shared" si="44"/>
        <v>4940</v>
      </c>
      <c r="Z31" s="753">
        <f t="shared" si="44"/>
        <v>5454</v>
      </c>
      <c r="AA31" s="753">
        <f t="shared" si="44"/>
        <v>5542</v>
      </c>
      <c r="AB31" s="753">
        <f t="shared" si="44"/>
        <v>5618</v>
      </c>
      <c r="AC31" s="753">
        <f t="shared" si="44"/>
        <v>3549</v>
      </c>
      <c r="AD31" s="753">
        <f t="shared" si="44"/>
        <v>3650</v>
      </c>
      <c r="AE31" s="753">
        <f t="shared" si="44"/>
        <v>3797</v>
      </c>
      <c r="AF31" s="753">
        <f t="shared" si="44"/>
        <v>3688</v>
      </c>
      <c r="AG31" s="753">
        <f t="shared" si="44"/>
        <v>4005</v>
      </c>
      <c r="AH31" s="753">
        <f t="shared" si="44"/>
        <v>4409</v>
      </c>
      <c r="AI31" s="753">
        <f t="shared" si="44"/>
        <v>296</v>
      </c>
      <c r="AJ31" s="753">
        <f t="shared" si="44"/>
        <v>274</v>
      </c>
      <c r="AK31" s="753">
        <f t="shared" si="44"/>
        <v>2826</v>
      </c>
      <c r="AL31" s="753">
        <f t="shared" si="44"/>
        <v>2666</v>
      </c>
      <c r="AM31" s="753">
        <f t="shared" si="44"/>
        <v>2645</v>
      </c>
      <c r="AN31" s="753">
        <f t="shared" si="44"/>
        <v>2580</v>
      </c>
      <c r="AO31" s="753">
        <f t="shared" si="44"/>
        <v>2588</v>
      </c>
      <c r="AP31" s="753">
        <f t="shared" ref="AP31:AQ31" si="45">VLOOKUP(AP6&amp;$W$5&amp;$V$25&amp;$V$31, vw.births, 6, FALSE)</f>
        <v>171</v>
      </c>
      <c r="AQ31" s="753">
        <f t="shared" si="45"/>
        <v>131</v>
      </c>
    </row>
    <row r="32" spans="1:43">
      <c r="A32" s="15" t="s">
        <v>105</v>
      </c>
      <c r="B32" s="15"/>
      <c r="C32" s="108"/>
      <c r="D32" s="108"/>
      <c r="E32" s="108"/>
      <c r="F32" s="108"/>
      <c r="G32" s="108"/>
      <c r="H32" s="108"/>
      <c r="I32" s="108"/>
      <c r="J32" s="108"/>
      <c r="K32" s="108"/>
      <c r="V32" s="753" t="s">
        <v>135</v>
      </c>
    </row>
    <row r="33" spans="1:54">
      <c r="A33" s="404" t="s">
        <v>375</v>
      </c>
      <c r="B33" s="82">
        <f t="shared" ref="B33:B38" si="46">AH33</f>
        <v>311</v>
      </c>
      <c r="C33" s="82">
        <f t="shared" ref="C33:K38" si="47">AI33</f>
        <v>308</v>
      </c>
      <c r="D33" s="82">
        <f t="shared" si="47"/>
        <v>279</v>
      </c>
      <c r="E33" s="82">
        <f t="shared" si="47"/>
        <v>314</v>
      </c>
      <c r="F33" s="82">
        <f t="shared" si="47"/>
        <v>274</v>
      </c>
      <c r="G33" s="82">
        <f t="shared" si="47"/>
        <v>284</v>
      </c>
      <c r="H33" s="82">
        <f t="shared" si="47"/>
        <v>299</v>
      </c>
      <c r="I33" s="82">
        <f t="shared" si="47"/>
        <v>318</v>
      </c>
      <c r="J33" s="82">
        <f t="shared" si="47"/>
        <v>285</v>
      </c>
      <c r="K33" s="82">
        <f t="shared" si="47"/>
        <v>260</v>
      </c>
      <c r="V33" s="753" t="s">
        <v>375</v>
      </c>
      <c r="W33" s="753">
        <f t="shared" ref="W33:AO33" si="48">VLOOKUP(W6&amp;$W$5&amp;$V$32&amp;$V$33, vw.births, 6, FALSE)</f>
        <v>254</v>
      </c>
      <c r="X33" s="753">
        <f t="shared" si="48"/>
        <v>246</v>
      </c>
      <c r="Y33" s="753">
        <f t="shared" si="48"/>
        <v>117</v>
      </c>
      <c r="Z33" s="753">
        <f t="shared" si="48"/>
        <v>283</v>
      </c>
      <c r="AA33" s="753">
        <f t="shared" si="48"/>
        <v>318</v>
      </c>
      <c r="AB33" s="753">
        <f t="shared" si="48"/>
        <v>247</v>
      </c>
      <c r="AC33" s="753">
        <f t="shared" si="48"/>
        <v>326</v>
      </c>
      <c r="AD33" s="753">
        <f t="shared" si="48"/>
        <v>290</v>
      </c>
      <c r="AE33" s="753">
        <f t="shared" si="48"/>
        <v>290</v>
      </c>
      <c r="AF33" s="753">
        <f t="shared" si="48"/>
        <v>273</v>
      </c>
      <c r="AG33" s="753">
        <f t="shared" si="48"/>
        <v>269</v>
      </c>
      <c r="AH33" s="753">
        <f t="shared" si="48"/>
        <v>311</v>
      </c>
      <c r="AI33" s="753">
        <f t="shared" si="48"/>
        <v>308</v>
      </c>
      <c r="AJ33" s="753">
        <f t="shared" si="48"/>
        <v>279</v>
      </c>
      <c r="AK33" s="753">
        <f t="shared" si="48"/>
        <v>314</v>
      </c>
      <c r="AL33" s="753">
        <f t="shared" si="48"/>
        <v>274</v>
      </c>
      <c r="AM33" s="753">
        <f t="shared" si="48"/>
        <v>284</v>
      </c>
      <c r="AN33" s="753">
        <f t="shared" si="48"/>
        <v>299</v>
      </c>
      <c r="AO33" s="753">
        <f t="shared" si="48"/>
        <v>318</v>
      </c>
      <c r="AP33" s="753">
        <f t="shared" ref="AP33:AQ33" si="49">VLOOKUP(AP6&amp;$W$5&amp;$V$32&amp;$V$33, vw.births, 6, FALSE)</f>
        <v>285</v>
      </c>
      <c r="AQ33" s="753">
        <f t="shared" si="49"/>
        <v>260</v>
      </c>
    </row>
    <row r="34" spans="1:54" s="397" customFormat="1">
      <c r="A34" s="404" t="s">
        <v>376</v>
      </c>
      <c r="B34" s="82">
        <f t="shared" si="46"/>
        <v>493</v>
      </c>
      <c r="C34" s="82">
        <f t="shared" si="47"/>
        <v>531</v>
      </c>
      <c r="D34" s="82">
        <f t="shared" si="47"/>
        <v>495</v>
      </c>
      <c r="E34" s="82">
        <f t="shared" si="47"/>
        <v>516</v>
      </c>
      <c r="F34" s="82">
        <f t="shared" si="47"/>
        <v>482</v>
      </c>
      <c r="G34" s="82">
        <f t="shared" si="47"/>
        <v>491</v>
      </c>
      <c r="H34" s="82">
        <f t="shared" si="47"/>
        <v>448</v>
      </c>
      <c r="I34" s="82">
        <f t="shared" si="47"/>
        <v>421</v>
      </c>
      <c r="J34" s="82">
        <f t="shared" si="47"/>
        <v>477</v>
      </c>
      <c r="K34" s="82">
        <f t="shared" si="47"/>
        <v>417</v>
      </c>
      <c r="L34" s="867"/>
      <c r="M34" s="40"/>
      <c r="N34" s="40"/>
      <c r="O34" s="40"/>
      <c r="P34" s="526"/>
      <c r="Q34" s="526"/>
      <c r="R34" s="526"/>
      <c r="S34" s="526"/>
      <c r="T34" s="526"/>
      <c r="U34" s="526"/>
      <c r="V34" s="753" t="s">
        <v>395</v>
      </c>
      <c r="W34" s="753">
        <f t="shared" ref="W34:AO34" si="50">VLOOKUP(W6&amp;$W$5&amp;$V$32&amp;$V$34, vw.births, 6, FALSE)</f>
        <v>461</v>
      </c>
      <c r="X34" s="753">
        <f t="shared" si="50"/>
        <v>435</v>
      </c>
      <c r="Y34" s="753">
        <f t="shared" si="50"/>
        <v>227</v>
      </c>
      <c r="Z34" s="753">
        <f t="shared" si="50"/>
        <v>458</v>
      </c>
      <c r="AA34" s="753">
        <f t="shared" si="50"/>
        <v>454</v>
      </c>
      <c r="AB34" s="753">
        <f t="shared" si="50"/>
        <v>490</v>
      </c>
      <c r="AC34" s="753">
        <f t="shared" si="50"/>
        <v>433</v>
      </c>
      <c r="AD34" s="753">
        <f t="shared" si="50"/>
        <v>496</v>
      </c>
      <c r="AE34" s="753">
        <f t="shared" si="50"/>
        <v>469</v>
      </c>
      <c r="AF34" s="753">
        <f t="shared" si="50"/>
        <v>478</v>
      </c>
      <c r="AG34" s="753">
        <f t="shared" si="50"/>
        <v>481</v>
      </c>
      <c r="AH34" s="753">
        <f t="shared" si="50"/>
        <v>493</v>
      </c>
      <c r="AI34" s="753">
        <f t="shared" si="50"/>
        <v>531</v>
      </c>
      <c r="AJ34" s="753">
        <f t="shared" si="50"/>
        <v>495</v>
      </c>
      <c r="AK34" s="753">
        <f t="shared" si="50"/>
        <v>516</v>
      </c>
      <c r="AL34" s="753">
        <f t="shared" si="50"/>
        <v>482</v>
      </c>
      <c r="AM34" s="753">
        <f t="shared" si="50"/>
        <v>491</v>
      </c>
      <c r="AN34" s="753">
        <f t="shared" si="50"/>
        <v>448</v>
      </c>
      <c r="AO34" s="753">
        <f t="shared" si="50"/>
        <v>421</v>
      </c>
      <c r="AP34" s="753">
        <f t="shared" ref="AP34:AQ34" si="51">VLOOKUP(AP6&amp;$W$5&amp;$V$32&amp;$V$34, vw.births, 6, FALSE)</f>
        <v>477</v>
      </c>
      <c r="AQ34" s="753">
        <f t="shared" si="51"/>
        <v>417</v>
      </c>
      <c r="AR34" s="526"/>
      <c r="AS34" s="526"/>
      <c r="AT34" s="245"/>
      <c r="AU34" s="245"/>
      <c r="AV34" s="245"/>
      <c r="AW34" s="245"/>
      <c r="AX34" s="245"/>
      <c r="AY34" s="245"/>
      <c r="AZ34" s="245"/>
      <c r="BA34" s="245"/>
      <c r="BB34" s="245"/>
    </row>
    <row r="35" spans="1:54">
      <c r="A35" s="12" t="s">
        <v>64</v>
      </c>
      <c r="B35" s="82">
        <f t="shared" si="46"/>
        <v>3851</v>
      </c>
      <c r="C35" s="82">
        <f t="shared" si="47"/>
        <v>4009</v>
      </c>
      <c r="D35" s="82">
        <f t="shared" si="47"/>
        <v>3878</v>
      </c>
      <c r="E35" s="82">
        <f t="shared" si="47"/>
        <v>4054</v>
      </c>
      <c r="F35" s="82">
        <f t="shared" si="47"/>
        <v>3882</v>
      </c>
      <c r="G35" s="82">
        <f t="shared" si="47"/>
        <v>3935</v>
      </c>
      <c r="H35" s="82">
        <f t="shared" si="47"/>
        <v>3720</v>
      </c>
      <c r="I35" s="82">
        <f t="shared" si="47"/>
        <v>3617</v>
      </c>
      <c r="J35" s="82">
        <f t="shared" si="47"/>
        <v>3866</v>
      </c>
      <c r="K35" s="82">
        <f t="shared" si="47"/>
        <v>3814</v>
      </c>
      <c r="V35" s="753" t="s">
        <v>136</v>
      </c>
      <c r="W35" s="753">
        <f t="shared" ref="W35:AO35" si="52">VLOOKUP(W6&amp;$W$5&amp;$V$32&amp;$V$35, vw.births, 6, FALSE)</f>
        <v>3265</v>
      </c>
      <c r="X35" s="753">
        <f t="shared" si="52"/>
        <v>3324</v>
      </c>
      <c r="Y35" s="753">
        <f t="shared" si="52"/>
        <v>1768</v>
      </c>
      <c r="Z35" s="753">
        <f t="shared" si="52"/>
        <v>3552</v>
      </c>
      <c r="AA35" s="753">
        <f t="shared" si="52"/>
        <v>3461</v>
      </c>
      <c r="AB35" s="753">
        <f t="shared" si="52"/>
        <v>3463</v>
      </c>
      <c r="AC35" s="753">
        <f t="shared" si="52"/>
        <v>3310</v>
      </c>
      <c r="AD35" s="753">
        <f t="shared" si="52"/>
        <v>3358</v>
      </c>
      <c r="AE35" s="753">
        <f t="shared" si="52"/>
        <v>3513</v>
      </c>
      <c r="AF35" s="753">
        <f t="shared" si="52"/>
        <v>3464</v>
      </c>
      <c r="AG35" s="753">
        <f t="shared" si="52"/>
        <v>3581</v>
      </c>
      <c r="AH35" s="753">
        <f t="shared" si="52"/>
        <v>3851</v>
      </c>
      <c r="AI35" s="753">
        <f t="shared" si="52"/>
        <v>4009</v>
      </c>
      <c r="AJ35" s="753">
        <f t="shared" si="52"/>
        <v>3878</v>
      </c>
      <c r="AK35" s="753">
        <f t="shared" si="52"/>
        <v>4054</v>
      </c>
      <c r="AL35" s="753">
        <f t="shared" si="52"/>
        <v>3882</v>
      </c>
      <c r="AM35" s="753">
        <f t="shared" si="52"/>
        <v>3935</v>
      </c>
      <c r="AN35" s="753">
        <f t="shared" si="52"/>
        <v>3720</v>
      </c>
      <c r="AO35" s="753">
        <f t="shared" si="52"/>
        <v>3617</v>
      </c>
      <c r="AP35" s="753">
        <f t="shared" ref="AP35:AQ35" si="53">VLOOKUP(AP6&amp;$W$5&amp;$V$32&amp;$V$35, vw.births, 6, FALSE)</f>
        <v>3866</v>
      </c>
      <c r="AQ35" s="753">
        <f t="shared" si="53"/>
        <v>3814</v>
      </c>
    </row>
    <row r="36" spans="1:54">
      <c r="A36" s="12" t="s">
        <v>65</v>
      </c>
      <c r="B36" s="82">
        <f t="shared" si="46"/>
        <v>58537</v>
      </c>
      <c r="C36" s="82">
        <f t="shared" si="47"/>
        <v>58459</v>
      </c>
      <c r="D36" s="82">
        <f t="shared" si="47"/>
        <v>56864</v>
      </c>
      <c r="E36" s="82">
        <f t="shared" si="47"/>
        <v>57958</v>
      </c>
      <c r="F36" s="82">
        <f t="shared" si="47"/>
        <v>55919</v>
      </c>
      <c r="G36" s="82">
        <f t="shared" si="47"/>
        <v>55825</v>
      </c>
      <c r="H36" s="82">
        <f t="shared" si="47"/>
        <v>54038</v>
      </c>
      <c r="I36" s="82">
        <f t="shared" si="47"/>
        <v>52797</v>
      </c>
      <c r="J36" s="82">
        <f t="shared" si="47"/>
        <v>56298</v>
      </c>
      <c r="K36" s="82">
        <f t="shared" si="47"/>
        <v>54899</v>
      </c>
      <c r="V36" s="753" t="s">
        <v>137</v>
      </c>
      <c r="W36" s="753">
        <f t="shared" ref="W36:AO36" si="54">VLOOKUP(W6&amp;$W$5&amp;$V$32&amp;$V$36, vw.births, 6, FALSE)</f>
        <v>50676</v>
      </c>
      <c r="X36" s="753">
        <f t="shared" si="54"/>
        <v>51106</v>
      </c>
      <c r="Y36" s="753">
        <f t="shared" si="54"/>
        <v>24782</v>
      </c>
      <c r="Z36" s="753">
        <f t="shared" si="54"/>
        <v>50938</v>
      </c>
      <c r="AA36" s="753">
        <f t="shared" si="54"/>
        <v>50864</v>
      </c>
      <c r="AB36" s="753">
        <f t="shared" si="54"/>
        <v>50230</v>
      </c>
      <c r="AC36" s="753">
        <f t="shared" si="54"/>
        <v>48776</v>
      </c>
      <c r="AD36" s="753">
        <f t="shared" si="54"/>
        <v>50827</v>
      </c>
      <c r="AE36" s="753">
        <f t="shared" si="54"/>
        <v>52717</v>
      </c>
      <c r="AF36" s="753">
        <f t="shared" si="54"/>
        <v>52647</v>
      </c>
      <c r="AG36" s="753">
        <f t="shared" si="54"/>
        <v>54076</v>
      </c>
      <c r="AH36" s="753">
        <f t="shared" si="54"/>
        <v>58537</v>
      </c>
      <c r="AI36" s="753">
        <f t="shared" si="54"/>
        <v>58459</v>
      </c>
      <c r="AJ36" s="753">
        <f t="shared" si="54"/>
        <v>56864</v>
      </c>
      <c r="AK36" s="753">
        <f t="shared" si="54"/>
        <v>57958</v>
      </c>
      <c r="AL36" s="753">
        <f t="shared" si="54"/>
        <v>55919</v>
      </c>
      <c r="AM36" s="753">
        <f t="shared" si="54"/>
        <v>55825</v>
      </c>
      <c r="AN36" s="753">
        <f t="shared" si="54"/>
        <v>54038</v>
      </c>
      <c r="AO36" s="753">
        <f t="shared" si="54"/>
        <v>52797</v>
      </c>
      <c r="AP36" s="753">
        <f t="shared" ref="AP36:AQ36" si="55">VLOOKUP(AP6&amp;$W$5&amp;$V$32&amp;$V$36, vw.births, 6, FALSE)</f>
        <v>56298</v>
      </c>
      <c r="AQ36" s="753">
        <f t="shared" si="55"/>
        <v>54899</v>
      </c>
    </row>
    <row r="37" spans="1:54">
      <c r="A37" s="12" t="s">
        <v>66</v>
      </c>
      <c r="B37" s="82">
        <f t="shared" si="46"/>
        <v>1881</v>
      </c>
      <c r="C37" s="82">
        <f t="shared" si="47"/>
        <v>1981</v>
      </c>
      <c r="D37" s="82">
        <f t="shared" si="47"/>
        <v>1715</v>
      </c>
      <c r="E37" s="82">
        <f t="shared" si="47"/>
        <v>1833</v>
      </c>
      <c r="F37" s="82">
        <f t="shared" si="47"/>
        <v>1599</v>
      </c>
      <c r="G37" s="82">
        <f t="shared" si="47"/>
        <v>1481</v>
      </c>
      <c r="H37" s="82">
        <f t="shared" si="47"/>
        <v>1175</v>
      </c>
      <c r="I37" s="82">
        <f t="shared" si="47"/>
        <v>1120</v>
      </c>
      <c r="J37" s="82">
        <f t="shared" si="47"/>
        <v>1182</v>
      </c>
      <c r="K37" s="82">
        <f t="shared" si="47"/>
        <v>1017</v>
      </c>
      <c r="V37" s="753" t="s">
        <v>138</v>
      </c>
      <c r="W37" s="753">
        <f t="shared" ref="W37:AO37" si="56">VLOOKUP(W6&amp;$W$5&amp;$V$32&amp;$V$37, vw.births,6, FALSE)</f>
        <v>2684</v>
      </c>
      <c r="X37" s="753">
        <f t="shared" si="56"/>
        <v>2569</v>
      </c>
      <c r="Y37" s="753">
        <f t="shared" si="56"/>
        <v>990</v>
      </c>
      <c r="Z37" s="753">
        <f t="shared" si="56"/>
        <v>2156</v>
      </c>
      <c r="AA37" s="753">
        <f t="shared" si="56"/>
        <v>1868</v>
      </c>
      <c r="AB37" s="753">
        <f t="shared" si="56"/>
        <v>1738</v>
      </c>
      <c r="AC37" s="753">
        <f t="shared" si="56"/>
        <v>1606</v>
      </c>
      <c r="AD37" s="753">
        <f t="shared" si="56"/>
        <v>1577</v>
      </c>
      <c r="AE37" s="753">
        <f t="shared" si="56"/>
        <v>1690</v>
      </c>
      <c r="AF37" s="753">
        <f t="shared" si="56"/>
        <v>1825</v>
      </c>
      <c r="AG37" s="753">
        <f t="shared" si="56"/>
        <v>1795</v>
      </c>
      <c r="AH37" s="753">
        <f t="shared" si="56"/>
        <v>1881</v>
      </c>
      <c r="AI37" s="753">
        <f t="shared" si="56"/>
        <v>1981</v>
      </c>
      <c r="AJ37" s="753">
        <f t="shared" si="56"/>
        <v>1715</v>
      </c>
      <c r="AK37" s="753">
        <f t="shared" si="56"/>
        <v>1833</v>
      </c>
      <c r="AL37" s="753">
        <f t="shared" si="56"/>
        <v>1599</v>
      </c>
      <c r="AM37" s="753">
        <f t="shared" si="56"/>
        <v>1481</v>
      </c>
      <c r="AN37" s="753">
        <f t="shared" si="56"/>
        <v>1175</v>
      </c>
      <c r="AO37" s="753">
        <f t="shared" si="56"/>
        <v>1120</v>
      </c>
      <c r="AP37" s="753">
        <f t="shared" ref="AP37:AQ37" si="57">VLOOKUP(AP6&amp;$W$5&amp;$V$32&amp;$V$37, vw.births,6, FALSE)</f>
        <v>1182</v>
      </c>
      <c r="AQ37" s="753">
        <f t="shared" si="57"/>
        <v>1017</v>
      </c>
    </row>
    <row r="38" spans="1:54">
      <c r="A38" s="12" t="s">
        <v>63</v>
      </c>
      <c r="B38" s="82">
        <f t="shared" si="46"/>
        <v>48</v>
      </c>
      <c r="C38" s="82">
        <f t="shared" si="47"/>
        <v>45</v>
      </c>
      <c r="D38" s="82">
        <f t="shared" si="47"/>
        <v>54</v>
      </c>
      <c r="E38" s="82">
        <f t="shared" si="47"/>
        <v>24</v>
      </c>
      <c r="F38" s="82">
        <f t="shared" si="47"/>
        <v>18</v>
      </c>
      <c r="G38" s="82">
        <f t="shared" si="47"/>
        <v>19</v>
      </c>
      <c r="H38" s="82">
        <f t="shared" si="47"/>
        <v>21</v>
      </c>
      <c r="I38" s="82">
        <f t="shared" si="47"/>
        <v>12</v>
      </c>
      <c r="J38" s="82">
        <f t="shared" si="47"/>
        <v>14</v>
      </c>
      <c r="K38" s="82">
        <f t="shared" si="47"/>
        <v>29</v>
      </c>
      <c r="V38" s="779" t="s">
        <v>63</v>
      </c>
      <c r="W38" s="753">
        <f t="shared" ref="W38:AO38" si="58">VLOOKUP(W6&amp;$W$5&amp;$V$32&amp;$V$38, vw.births, 6, FALSE)</f>
        <v>94</v>
      </c>
      <c r="X38" s="753">
        <f t="shared" si="58"/>
        <v>54</v>
      </c>
      <c r="Y38" s="753">
        <f t="shared" si="58"/>
        <v>27637</v>
      </c>
      <c r="Z38" s="753">
        <f t="shared" si="58"/>
        <v>34</v>
      </c>
      <c r="AA38" s="753">
        <f t="shared" si="58"/>
        <v>29</v>
      </c>
      <c r="AB38" s="753">
        <f t="shared" si="58"/>
        <v>56</v>
      </c>
      <c r="AC38" s="753">
        <f t="shared" si="58"/>
        <v>64</v>
      </c>
      <c r="AD38" s="753">
        <f t="shared" si="58"/>
        <v>28</v>
      </c>
      <c r="AE38" s="753">
        <f t="shared" si="58"/>
        <v>44</v>
      </c>
      <c r="AF38" s="753">
        <f t="shared" si="58"/>
        <v>40</v>
      </c>
      <c r="AG38" s="753">
        <f t="shared" si="58"/>
        <v>72</v>
      </c>
      <c r="AH38" s="753">
        <f t="shared" si="58"/>
        <v>48</v>
      </c>
      <c r="AI38" s="753">
        <f t="shared" si="58"/>
        <v>45</v>
      </c>
      <c r="AJ38" s="753">
        <f t="shared" si="58"/>
        <v>54</v>
      </c>
      <c r="AK38" s="753">
        <f t="shared" si="58"/>
        <v>24</v>
      </c>
      <c r="AL38" s="753">
        <f t="shared" si="58"/>
        <v>18</v>
      </c>
      <c r="AM38" s="753">
        <f t="shared" si="58"/>
        <v>19</v>
      </c>
      <c r="AN38" s="753">
        <f t="shared" si="58"/>
        <v>21</v>
      </c>
      <c r="AO38" s="753">
        <f t="shared" si="58"/>
        <v>12</v>
      </c>
      <c r="AP38" s="753">
        <f t="shared" ref="AP38:AQ38" si="59">VLOOKUP(AP6&amp;$W$5&amp;$V$32&amp;$V$38, vw.births, 6, FALSE)</f>
        <v>14</v>
      </c>
      <c r="AQ38" s="753">
        <f t="shared" si="59"/>
        <v>29</v>
      </c>
    </row>
    <row r="39" spans="1:54">
      <c r="A39" s="15" t="s">
        <v>1</v>
      </c>
      <c r="B39" s="15"/>
      <c r="C39" s="108"/>
      <c r="D39" s="108"/>
      <c r="E39" s="108"/>
      <c r="F39" s="108"/>
      <c r="G39" s="108"/>
      <c r="H39" s="108"/>
      <c r="I39" s="108"/>
      <c r="J39" s="108"/>
      <c r="K39" s="108"/>
      <c r="V39" s="753" t="s">
        <v>464</v>
      </c>
    </row>
    <row r="40" spans="1:54">
      <c r="A40" s="404" t="s">
        <v>378</v>
      </c>
      <c r="B40" s="82">
        <f t="shared" ref="B40:B46" si="60">AH40</f>
        <v>49</v>
      </c>
      <c r="C40" s="82">
        <f t="shared" ref="C40:K46" si="61">AI40</f>
        <v>65</v>
      </c>
      <c r="D40" s="82">
        <f t="shared" si="61"/>
        <v>60</v>
      </c>
      <c r="E40" s="82">
        <f t="shared" si="61"/>
        <v>69</v>
      </c>
      <c r="F40" s="82">
        <f t="shared" si="61"/>
        <v>63</v>
      </c>
      <c r="G40" s="82">
        <f t="shared" si="61"/>
        <v>72</v>
      </c>
      <c r="H40" s="82">
        <f t="shared" si="61"/>
        <v>65</v>
      </c>
      <c r="I40" s="82">
        <f t="shared" si="61"/>
        <v>95</v>
      </c>
      <c r="J40" s="82">
        <f t="shared" si="61"/>
        <v>58</v>
      </c>
      <c r="K40" s="82">
        <f t="shared" si="61"/>
        <v>53</v>
      </c>
      <c r="V40" s="753" t="s">
        <v>427</v>
      </c>
      <c r="W40" s="753">
        <f t="shared" ref="W40:AO40" si="62">VLOOKUP(W6&amp;$W$5&amp;$V$39&amp;$V$40, vw.births, 6, FALSE)</f>
        <v>44</v>
      </c>
      <c r="X40" s="753">
        <f t="shared" si="62"/>
        <v>33</v>
      </c>
      <c r="Y40" s="753">
        <f t="shared" si="62"/>
        <v>19</v>
      </c>
      <c r="Z40" s="753">
        <f t="shared" si="62"/>
        <v>45</v>
      </c>
      <c r="AA40" s="753">
        <f t="shared" si="62"/>
        <v>65</v>
      </c>
      <c r="AB40" s="753">
        <f t="shared" si="62"/>
        <v>46</v>
      </c>
      <c r="AC40" s="753">
        <f t="shared" si="62"/>
        <v>67</v>
      </c>
      <c r="AD40" s="753">
        <f t="shared" si="62"/>
        <v>48</v>
      </c>
      <c r="AE40" s="753">
        <f t="shared" si="62"/>
        <v>60</v>
      </c>
      <c r="AF40" s="753">
        <f t="shared" si="62"/>
        <v>46</v>
      </c>
      <c r="AG40" s="753">
        <f t="shared" si="62"/>
        <v>52</v>
      </c>
      <c r="AH40" s="753">
        <f t="shared" si="62"/>
        <v>49</v>
      </c>
      <c r="AI40" s="753">
        <f t="shared" si="62"/>
        <v>65</v>
      </c>
      <c r="AJ40" s="753">
        <f t="shared" si="62"/>
        <v>60</v>
      </c>
      <c r="AK40" s="753">
        <f t="shared" si="62"/>
        <v>69</v>
      </c>
      <c r="AL40" s="753">
        <f t="shared" si="62"/>
        <v>63</v>
      </c>
      <c r="AM40" s="753">
        <f t="shared" si="62"/>
        <v>72</v>
      </c>
      <c r="AN40" s="753">
        <f t="shared" si="62"/>
        <v>65</v>
      </c>
      <c r="AO40" s="753">
        <f t="shared" si="62"/>
        <v>95</v>
      </c>
      <c r="AP40" s="753">
        <f t="shared" ref="AP40:AQ40" si="63">VLOOKUP(AP6&amp;$W$5&amp;$V$39&amp;$V$40, vw.births, 6, FALSE)</f>
        <v>58</v>
      </c>
      <c r="AQ40" s="753">
        <f t="shared" si="63"/>
        <v>53</v>
      </c>
    </row>
    <row r="41" spans="1:54" s="400" customFormat="1">
      <c r="A41" s="563" t="s">
        <v>386</v>
      </c>
      <c r="B41" s="82">
        <f t="shared" si="60"/>
        <v>239</v>
      </c>
      <c r="C41" s="82">
        <f t="shared" si="61"/>
        <v>208</v>
      </c>
      <c r="D41" s="82">
        <f t="shared" si="61"/>
        <v>233</v>
      </c>
      <c r="E41" s="82">
        <f t="shared" si="61"/>
        <v>230</v>
      </c>
      <c r="F41" s="82">
        <f t="shared" si="61"/>
        <v>209</v>
      </c>
      <c r="G41" s="82">
        <f t="shared" si="61"/>
        <v>219</v>
      </c>
      <c r="H41" s="82">
        <f t="shared" si="61"/>
        <v>216</v>
      </c>
      <c r="I41" s="82">
        <f t="shared" si="61"/>
        <v>215</v>
      </c>
      <c r="J41" s="82">
        <f t="shared" si="61"/>
        <v>195</v>
      </c>
      <c r="K41" s="82">
        <f t="shared" si="61"/>
        <v>196</v>
      </c>
      <c r="L41" s="867"/>
      <c r="M41" s="40"/>
      <c r="N41" s="865"/>
      <c r="O41" s="40"/>
      <c r="P41" s="526"/>
      <c r="Q41" s="526"/>
      <c r="R41" s="526"/>
      <c r="S41" s="526"/>
      <c r="T41" s="526"/>
      <c r="U41" s="526"/>
      <c r="V41" s="753" t="s">
        <v>428</v>
      </c>
      <c r="W41" s="753">
        <f t="shared" ref="W41:AO41" si="64">VLOOKUP(W6&amp;$W$5&amp;$V$39&amp;$V$41, vw.births,6, FALSE)</f>
        <v>207</v>
      </c>
      <c r="X41" s="753">
        <f t="shared" si="64"/>
        <v>231</v>
      </c>
      <c r="Y41" s="753">
        <f t="shared" si="64"/>
        <v>110</v>
      </c>
      <c r="Z41" s="753">
        <f t="shared" si="64"/>
        <v>231</v>
      </c>
      <c r="AA41" s="753">
        <f t="shared" si="64"/>
        <v>235</v>
      </c>
      <c r="AB41" s="753">
        <f t="shared" si="64"/>
        <v>221</v>
      </c>
      <c r="AC41" s="753">
        <f t="shared" si="64"/>
        <v>271</v>
      </c>
      <c r="AD41" s="753">
        <f t="shared" si="64"/>
        <v>237</v>
      </c>
      <c r="AE41" s="753">
        <f t="shared" si="64"/>
        <v>218</v>
      </c>
      <c r="AF41" s="753">
        <f t="shared" si="64"/>
        <v>232</v>
      </c>
      <c r="AG41" s="753">
        <f t="shared" si="64"/>
        <v>194</v>
      </c>
      <c r="AH41" s="753">
        <f t="shared" si="64"/>
        <v>239</v>
      </c>
      <c r="AI41" s="753">
        <f t="shared" si="64"/>
        <v>208</v>
      </c>
      <c r="AJ41" s="753">
        <f t="shared" si="64"/>
        <v>233</v>
      </c>
      <c r="AK41" s="753">
        <f t="shared" si="64"/>
        <v>230</v>
      </c>
      <c r="AL41" s="753">
        <f t="shared" si="64"/>
        <v>209</v>
      </c>
      <c r="AM41" s="753">
        <f t="shared" si="64"/>
        <v>219</v>
      </c>
      <c r="AN41" s="753">
        <f t="shared" si="64"/>
        <v>216</v>
      </c>
      <c r="AO41" s="753">
        <f t="shared" si="64"/>
        <v>215</v>
      </c>
      <c r="AP41" s="753">
        <f t="shared" ref="AP41:AQ41" si="65">VLOOKUP(AP6&amp;$W$5&amp;$V$39&amp;$V$41, vw.births,6, FALSE)</f>
        <v>195</v>
      </c>
      <c r="AQ41" s="753">
        <f t="shared" si="65"/>
        <v>196</v>
      </c>
      <c r="AR41" s="526"/>
      <c r="AS41" s="526"/>
      <c r="AT41" s="245"/>
      <c r="AU41" s="245"/>
      <c r="AV41" s="245"/>
      <c r="AW41" s="245"/>
      <c r="AX41" s="245"/>
      <c r="AY41" s="245"/>
      <c r="AZ41" s="245"/>
      <c r="BA41" s="245"/>
      <c r="BB41" s="245"/>
    </row>
    <row r="42" spans="1:54" s="397" customFormat="1">
      <c r="A42" s="404" t="s">
        <v>387</v>
      </c>
      <c r="B42" s="82">
        <f t="shared" si="60"/>
        <v>396</v>
      </c>
      <c r="C42" s="82">
        <f t="shared" si="61"/>
        <v>390</v>
      </c>
      <c r="D42" s="82">
        <f t="shared" si="61"/>
        <v>379</v>
      </c>
      <c r="E42" s="82">
        <f t="shared" si="61"/>
        <v>377</v>
      </c>
      <c r="F42" s="82">
        <f t="shared" si="61"/>
        <v>327</v>
      </c>
      <c r="G42" s="82">
        <f t="shared" si="61"/>
        <v>356</v>
      </c>
      <c r="H42" s="82">
        <f t="shared" si="61"/>
        <v>317</v>
      </c>
      <c r="I42" s="82">
        <f t="shared" si="61"/>
        <v>312</v>
      </c>
      <c r="J42" s="82">
        <f t="shared" si="61"/>
        <v>392</v>
      </c>
      <c r="K42" s="82">
        <f t="shared" si="61"/>
        <v>331</v>
      </c>
      <c r="L42" s="867"/>
      <c r="M42" s="40"/>
      <c r="N42" s="40"/>
      <c r="O42" s="40"/>
      <c r="P42" s="526"/>
      <c r="Q42" s="526"/>
      <c r="R42" s="526"/>
      <c r="S42" s="526"/>
      <c r="T42" s="526"/>
      <c r="U42" s="526"/>
      <c r="V42" s="753" t="s">
        <v>429</v>
      </c>
      <c r="W42" s="753">
        <f t="shared" ref="W42:AO42" si="66">VLOOKUP(W6&amp;$W$5&amp;$V$39&amp;$V$42, vw.births, 6, FALSE)</f>
        <v>366</v>
      </c>
      <c r="X42" s="753">
        <f t="shared" si="66"/>
        <v>353</v>
      </c>
      <c r="Y42" s="753">
        <f t="shared" si="66"/>
        <v>161</v>
      </c>
      <c r="Z42" s="753">
        <f t="shared" si="66"/>
        <v>355</v>
      </c>
      <c r="AA42" s="753">
        <f t="shared" si="66"/>
        <v>365</v>
      </c>
      <c r="AB42" s="753">
        <f t="shared" si="66"/>
        <v>387</v>
      </c>
      <c r="AC42" s="753">
        <f t="shared" si="66"/>
        <v>357</v>
      </c>
      <c r="AD42" s="753">
        <f t="shared" si="66"/>
        <v>380</v>
      </c>
      <c r="AE42" s="753">
        <f t="shared" si="66"/>
        <v>360</v>
      </c>
      <c r="AF42" s="753">
        <f t="shared" si="66"/>
        <v>361</v>
      </c>
      <c r="AG42" s="753">
        <f t="shared" si="66"/>
        <v>388</v>
      </c>
      <c r="AH42" s="753">
        <f t="shared" si="66"/>
        <v>396</v>
      </c>
      <c r="AI42" s="753">
        <f t="shared" si="66"/>
        <v>390</v>
      </c>
      <c r="AJ42" s="753">
        <f t="shared" si="66"/>
        <v>379</v>
      </c>
      <c r="AK42" s="753">
        <f t="shared" si="66"/>
        <v>377</v>
      </c>
      <c r="AL42" s="753">
        <f t="shared" si="66"/>
        <v>327</v>
      </c>
      <c r="AM42" s="753">
        <f t="shared" si="66"/>
        <v>356</v>
      </c>
      <c r="AN42" s="753">
        <f t="shared" si="66"/>
        <v>317</v>
      </c>
      <c r="AO42" s="753">
        <f t="shared" si="66"/>
        <v>312</v>
      </c>
      <c r="AP42" s="753">
        <f t="shared" ref="AP42:AQ42" si="67">VLOOKUP(AP6&amp;$W$5&amp;$V$39&amp;$V$42, vw.births, 6, FALSE)</f>
        <v>392</v>
      </c>
      <c r="AQ42" s="753">
        <f t="shared" si="67"/>
        <v>331</v>
      </c>
      <c r="AR42" s="526"/>
      <c r="AS42" s="526"/>
      <c r="AT42" s="245"/>
      <c r="AU42" s="245"/>
      <c r="AV42" s="245"/>
      <c r="AW42" s="245"/>
      <c r="AX42" s="245"/>
      <c r="AY42" s="245"/>
      <c r="AZ42" s="245"/>
      <c r="BA42" s="245"/>
      <c r="BB42" s="245"/>
    </row>
    <row r="43" spans="1:54" s="453" customFormat="1">
      <c r="A43" s="563" t="s">
        <v>477</v>
      </c>
      <c r="B43" s="82">
        <f t="shared" si="60"/>
        <v>3138</v>
      </c>
      <c r="C43" s="82">
        <f t="shared" si="61"/>
        <v>3187</v>
      </c>
      <c r="D43" s="82">
        <f t="shared" si="61"/>
        <v>3050</v>
      </c>
      <c r="E43" s="82">
        <f t="shared" si="61"/>
        <v>3104</v>
      </c>
      <c r="F43" s="82">
        <f t="shared" si="61"/>
        <v>3086</v>
      </c>
      <c r="G43" s="82">
        <f t="shared" si="61"/>
        <v>3144</v>
      </c>
      <c r="H43" s="82">
        <f t="shared" si="61"/>
        <v>2952</v>
      </c>
      <c r="I43" s="82">
        <f t="shared" si="61"/>
        <v>2781</v>
      </c>
      <c r="J43" s="82">
        <f t="shared" si="61"/>
        <v>3014</v>
      </c>
      <c r="K43" s="82">
        <f t="shared" si="61"/>
        <v>2991</v>
      </c>
      <c r="L43" s="867"/>
      <c r="M43" s="40"/>
      <c r="N43" s="40"/>
      <c r="O43" s="40"/>
      <c r="P43" s="526"/>
      <c r="Q43" s="526"/>
      <c r="R43" s="526"/>
      <c r="S43" s="526"/>
      <c r="T43" s="526"/>
      <c r="U43" s="526"/>
      <c r="V43" s="753" t="s">
        <v>430</v>
      </c>
      <c r="W43" s="753">
        <f t="shared" ref="W43:AO43" si="68">VLOOKUP(W6&amp;$W$5&amp;$V$39&amp;$V$43, vw.births, 6, FALSE)</f>
        <v>2976</v>
      </c>
      <c r="X43" s="753">
        <f t="shared" si="68"/>
        <v>2980</v>
      </c>
      <c r="Y43" s="753">
        <f t="shared" si="68"/>
        <v>1447</v>
      </c>
      <c r="Z43" s="753">
        <f t="shared" si="68"/>
        <v>3005</v>
      </c>
      <c r="AA43" s="753">
        <f t="shared" si="68"/>
        <v>2949</v>
      </c>
      <c r="AB43" s="753">
        <f t="shared" si="68"/>
        <v>2989</v>
      </c>
      <c r="AC43" s="753">
        <f t="shared" si="68"/>
        <v>2842</v>
      </c>
      <c r="AD43" s="753">
        <f t="shared" si="68"/>
        <v>2777</v>
      </c>
      <c r="AE43" s="753">
        <f t="shared" si="68"/>
        <v>2964</v>
      </c>
      <c r="AF43" s="753">
        <f t="shared" si="68"/>
        <v>2861</v>
      </c>
      <c r="AG43" s="753">
        <f t="shared" si="68"/>
        <v>2871</v>
      </c>
      <c r="AH43" s="753">
        <f t="shared" si="68"/>
        <v>3138</v>
      </c>
      <c r="AI43" s="753">
        <f t="shared" si="68"/>
        <v>3187</v>
      </c>
      <c r="AJ43" s="753">
        <f t="shared" si="68"/>
        <v>3050</v>
      </c>
      <c r="AK43" s="753">
        <f t="shared" si="68"/>
        <v>3104</v>
      </c>
      <c r="AL43" s="753">
        <f t="shared" si="68"/>
        <v>3086</v>
      </c>
      <c r="AM43" s="753">
        <f t="shared" si="68"/>
        <v>3144</v>
      </c>
      <c r="AN43" s="753">
        <f t="shared" si="68"/>
        <v>2952</v>
      </c>
      <c r="AO43" s="753">
        <f t="shared" si="68"/>
        <v>2781</v>
      </c>
      <c r="AP43" s="753">
        <f t="shared" ref="AP43:AQ43" si="69">VLOOKUP(AP6&amp;$W$5&amp;$V$39&amp;$V$43, vw.births, 6, FALSE)</f>
        <v>3014</v>
      </c>
      <c r="AQ43" s="753">
        <f t="shared" si="69"/>
        <v>2991</v>
      </c>
      <c r="AR43" s="526"/>
      <c r="AS43" s="526"/>
      <c r="AT43" s="245"/>
      <c r="AU43" s="245"/>
      <c r="AV43" s="245"/>
      <c r="AW43" s="245"/>
      <c r="AX43" s="245"/>
      <c r="AY43" s="245"/>
      <c r="AZ43" s="245"/>
      <c r="BA43" s="245"/>
      <c r="BB43" s="245"/>
    </row>
    <row r="44" spans="1:54">
      <c r="A44" s="407" t="s">
        <v>388</v>
      </c>
      <c r="B44" s="82">
        <f t="shared" si="60"/>
        <v>59406</v>
      </c>
      <c r="C44" s="82">
        <f t="shared" si="61"/>
        <v>59536</v>
      </c>
      <c r="D44" s="82">
        <f t="shared" si="61"/>
        <v>57781</v>
      </c>
      <c r="E44" s="82">
        <f t="shared" si="61"/>
        <v>59190</v>
      </c>
      <c r="F44" s="82">
        <f t="shared" si="61"/>
        <v>56859</v>
      </c>
      <c r="G44" s="82">
        <f t="shared" si="61"/>
        <v>56574</v>
      </c>
      <c r="H44" s="82">
        <f t="shared" si="61"/>
        <v>54612</v>
      </c>
      <c r="I44" s="82">
        <f t="shared" si="61"/>
        <v>53374</v>
      </c>
      <c r="J44" s="82">
        <f t="shared" si="61"/>
        <v>57027</v>
      </c>
      <c r="K44" s="82">
        <f t="shared" si="61"/>
        <v>55407</v>
      </c>
      <c r="V44" s="753" t="s">
        <v>431</v>
      </c>
      <c r="W44" s="753">
        <f t="shared" ref="W44:AO44" si="70">VLOOKUP(W6&amp;$W$5&amp;$V$39&amp;$V$44, vw.births, 6, FALSE)</f>
        <v>52386</v>
      </c>
      <c r="X44" s="753">
        <f t="shared" si="70"/>
        <v>52712</v>
      </c>
      <c r="Y44" s="753">
        <f t="shared" si="70"/>
        <v>25477</v>
      </c>
      <c r="Z44" s="753">
        <f t="shared" si="70"/>
        <v>52234</v>
      </c>
      <c r="AA44" s="753">
        <f t="shared" si="70"/>
        <v>51817</v>
      </c>
      <c r="AB44" s="753">
        <f t="shared" si="70"/>
        <v>51068</v>
      </c>
      <c r="AC44" s="753">
        <f t="shared" si="70"/>
        <v>49477</v>
      </c>
      <c r="AD44" s="753">
        <f t="shared" si="70"/>
        <v>51534</v>
      </c>
      <c r="AE44" s="753">
        <f t="shared" si="70"/>
        <v>53449</v>
      </c>
      <c r="AF44" s="753">
        <f t="shared" si="70"/>
        <v>53572</v>
      </c>
      <c r="AG44" s="753">
        <f t="shared" si="70"/>
        <v>55053</v>
      </c>
      <c r="AH44" s="753">
        <f t="shared" si="70"/>
        <v>59406</v>
      </c>
      <c r="AI44" s="753">
        <f t="shared" si="70"/>
        <v>59536</v>
      </c>
      <c r="AJ44" s="753">
        <f t="shared" si="70"/>
        <v>57781</v>
      </c>
      <c r="AK44" s="753">
        <f t="shared" si="70"/>
        <v>59190</v>
      </c>
      <c r="AL44" s="753">
        <f t="shared" si="70"/>
        <v>56859</v>
      </c>
      <c r="AM44" s="753">
        <f t="shared" si="70"/>
        <v>56574</v>
      </c>
      <c r="AN44" s="753">
        <f t="shared" si="70"/>
        <v>54612</v>
      </c>
      <c r="AO44" s="753">
        <f t="shared" si="70"/>
        <v>53374</v>
      </c>
      <c r="AP44" s="753">
        <f t="shared" ref="AP44:AQ44" si="71">VLOOKUP(AP6&amp;$W$5&amp;$V$39&amp;$V$44, vw.births, 6, FALSE)</f>
        <v>57027</v>
      </c>
      <c r="AQ44" s="753">
        <f t="shared" si="71"/>
        <v>55407</v>
      </c>
    </row>
    <row r="45" spans="1:54">
      <c r="A45" s="407" t="s">
        <v>383</v>
      </c>
      <c r="B45" s="82">
        <f t="shared" si="60"/>
        <v>1833</v>
      </c>
      <c r="C45" s="82">
        <f t="shared" si="61"/>
        <v>1862</v>
      </c>
      <c r="D45" s="82">
        <f t="shared" si="61"/>
        <v>1693</v>
      </c>
      <c r="E45" s="82">
        <f t="shared" si="61"/>
        <v>1673</v>
      </c>
      <c r="F45" s="82">
        <f t="shared" si="61"/>
        <v>1597</v>
      </c>
      <c r="G45" s="82">
        <f t="shared" si="61"/>
        <v>1642</v>
      </c>
      <c r="H45" s="82">
        <f t="shared" si="61"/>
        <v>1508</v>
      </c>
      <c r="I45" s="82">
        <f t="shared" si="61"/>
        <v>1481</v>
      </c>
      <c r="J45" s="82">
        <f t="shared" si="61"/>
        <v>1390</v>
      </c>
      <c r="K45" s="82">
        <f t="shared" si="61"/>
        <v>1423</v>
      </c>
      <c r="V45" s="753" t="s">
        <v>432</v>
      </c>
      <c r="W45" s="753">
        <f t="shared" ref="W45:AO45" si="72">VLOOKUP(W6&amp;$W$5&amp;$V$39&amp;$V$45, vw.births, 6, FALSE)</f>
        <v>1339</v>
      </c>
      <c r="X45" s="753">
        <f t="shared" si="72"/>
        <v>1351</v>
      </c>
      <c r="Y45" s="753">
        <f t="shared" si="72"/>
        <v>653</v>
      </c>
      <c r="Z45" s="753">
        <f t="shared" si="72"/>
        <v>1505</v>
      </c>
      <c r="AA45" s="753">
        <f t="shared" si="72"/>
        <v>1521</v>
      </c>
      <c r="AB45" s="753">
        <f t="shared" si="72"/>
        <v>1410</v>
      </c>
      <c r="AC45" s="753">
        <f t="shared" si="72"/>
        <v>1360</v>
      </c>
      <c r="AD45" s="753">
        <f t="shared" si="72"/>
        <v>1557</v>
      </c>
      <c r="AE45" s="753">
        <f t="shared" si="72"/>
        <v>1613</v>
      </c>
      <c r="AF45" s="753">
        <f t="shared" si="72"/>
        <v>1607</v>
      </c>
      <c r="AG45" s="753">
        <f t="shared" si="72"/>
        <v>1645</v>
      </c>
      <c r="AH45" s="753">
        <f t="shared" si="72"/>
        <v>1833</v>
      </c>
      <c r="AI45" s="753">
        <f t="shared" si="72"/>
        <v>1862</v>
      </c>
      <c r="AJ45" s="753">
        <f t="shared" si="72"/>
        <v>1693</v>
      </c>
      <c r="AK45" s="753">
        <f t="shared" si="72"/>
        <v>1673</v>
      </c>
      <c r="AL45" s="753">
        <f t="shared" si="72"/>
        <v>1597</v>
      </c>
      <c r="AM45" s="753">
        <f t="shared" si="72"/>
        <v>1642</v>
      </c>
      <c r="AN45" s="753">
        <f t="shared" si="72"/>
        <v>1508</v>
      </c>
      <c r="AO45" s="753">
        <f t="shared" si="72"/>
        <v>1481</v>
      </c>
      <c r="AP45" s="753">
        <f t="shared" ref="AP45:AQ45" si="73">VLOOKUP(AP6&amp;$W$5&amp;$V$39&amp;$V$45, vw.births, 6, FALSE)</f>
        <v>1390</v>
      </c>
      <c r="AQ45" s="753">
        <f t="shared" si="73"/>
        <v>1423</v>
      </c>
    </row>
    <row r="46" spans="1:54">
      <c r="A46" s="49" t="s">
        <v>63</v>
      </c>
      <c r="B46" s="82">
        <f t="shared" si="60"/>
        <v>60</v>
      </c>
      <c r="C46" s="82">
        <f t="shared" si="61"/>
        <v>85</v>
      </c>
      <c r="D46" s="82">
        <f t="shared" si="61"/>
        <v>89</v>
      </c>
      <c r="E46" s="82">
        <f t="shared" si="61"/>
        <v>56</v>
      </c>
      <c r="F46" s="82">
        <f t="shared" si="61"/>
        <v>33</v>
      </c>
      <c r="G46" s="82">
        <f t="shared" si="61"/>
        <v>28</v>
      </c>
      <c r="H46" s="82">
        <f t="shared" si="61"/>
        <v>31</v>
      </c>
      <c r="I46" s="82">
        <f t="shared" si="61"/>
        <v>27</v>
      </c>
      <c r="J46" s="82">
        <f t="shared" si="61"/>
        <v>46</v>
      </c>
      <c r="K46" s="82">
        <f t="shared" si="61"/>
        <v>35</v>
      </c>
      <c r="V46" s="779" t="s">
        <v>63</v>
      </c>
      <c r="W46" s="753">
        <f t="shared" ref="W46:AO46" si="74">VLOOKUP(W6&amp;$W$5&amp;$V$39&amp;$V$46, vw.births, 6, FALSE)</f>
        <v>116</v>
      </c>
      <c r="X46" s="753">
        <f t="shared" si="74"/>
        <v>74</v>
      </c>
      <c r="Y46" s="753">
        <f t="shared" si="74"/>
        <v>27654</v>
      </c>
      <c r="Z46" s="753">
        <f t="shared" si="74"/>
        <v>46</v>
      </c>
      <c r="AA46" s="753">
        <f t="shared" si="74"/>
        <v>42</v>
      </c>
      <c r="AB46" s="753">
        <f t="shared" si="74"/>
        <v>103</v>
      </c>
      <c r="AC46" s="753">
        <f t="shared" si="74"/>
        <v>141</v>
      </c>
      <c r="AD46" s="753">
        <f t="shared" si="74"/>
        <v>43</v>
      </c>
      <c r="AE46" s="753">
        <f t="shared" si="74"/>
        <v>59</v>
      </c>
      <c r="AF46" s="753">
        <f t="shared" si="74"/>
        <v>48</v>
      </c>
      <c r="AG46" s="753">
        <f t="shared" si="74"/>
        <v>71</v>
      </c>
      <c r="AH46" s="753">
        <f t="shared" si="74"/>
        <v>60</v>
      </c>
      <c r="AI46" s="753">
        <f t="shared" si="74"/>
        <v>85</v>
      </c>
      <c r="AJ46" s="753">
        <f t="shared" si="74"/>
        <v>89</v>
      </c>
      <c r="AK46" s="753">
        <f t="shared" si="74"/>
        <v>56</v>
      </c>
      <c r="AL46" s="753">
        <f t="shared" si="74"/>
        <v>33</v>
      </c>
      <c r="AM46" s="753">
        <f t="shared" si="74"/>
        <v>28</v>
      </c>
      <c r="AN46" s="753">
        <f t="shared" si="74"/>
        <v>31</v>
      </c>
      <c r="AO46" s="753">
        <f t="shared" si="74"/>
        <v>27</v>
      </c>
      <c r="AP46" s="753">
        <f t="shared" ref="AP46:AQ46" si="75">VLOOKUP(AP6&amp;$W$5&amp;$V$39&amp;$V$46, vw.births, 6, FALSE)</f>
        <v>46</v>
      </c>
      <c r="AQ46" s="753">
        <f t="shared" si="75"/>
        <v>35</v>
      </c>
    </row>
    <row r="47" spans="1:54">
      <c r="A47" s="108" t="s">
        <v>322</v>
      </c>
      <c r="B47" s="15"/>
      <c r="C47" s="108"/>
      <c r="D47" s="108"/>
      <c r="E47" s="108"/>
      <c r="F47" s="108"/>
      <c r="G47" s="108"/>
      <c r="H47" s="108"/>
      <c r="I47" s="108"/>
      <c r="J47" s="108"/>
      <c r="K47" s="108"/>
      <c r="V47" s="753" t="s">
        <v>448</v>
      </c>
    </row>
    <row r="48" spans="1:54">
      <c r="A48" s="12" t="s">
        <v>85</v>
      </c>
      <c r="B48" s="82">
        <f t="shared" ref="B48:B68" si="76">AH48</f>
        <v>2372</v>
      </c>
      <c r="C48" s="82">
        <f t="shared" ref="C48:K63" si="77">AI48</f>
        <v>2368</v>
      </c>
      <c r="D48" s="82">
        <f t="shared" si="77"/>
        <v>2233</v>
      </c>
      <c r="E48" s="82">
        <f t="shared" si="77"/>
        <v>2456</v>
      </c>
      <c r="F48" s="82">
        <f t="shared" si="77"/>
        <v>2261</v>
      </c>
      <c r="G48" s="82">
        <f t="shared" si="77"/>
        <v>2387</v>
      </c>
      <c r="H48" s="82">
        <f t="shared" si="77"/>
        <v>2196</v>
      </c>
      <c r="I48" s="82">
        <f t="shared" si="77"/>
        <v>2127</v>
      </c>
      <c r="J48" s="82">
        <f t="shared" si="77"/>
        <v>2287</v>
      </c>
      <c r="K48" s="82">
        <f t="shared" si="77"/>
        <v>2320</v>
      </c>
      <c r="V48" s="753" t="s">
        <v>85</v>
      </c>
      <c r="W48" s="753">
        <f t="shared" ref="W48:AO48" si="78">VLOOKUP(W6&amp;$W$5&amp;$V$47&amp;$V$48, vw.births, 6, FALSE)</f>
        <v>2240</v>
      </c>
      <c r="X48" s="753">
        <f t="shared" si="78"/>
        <v>2213</v>
      </c>
      <c r="Y48" s="753">
        <f t="shared" si="78"/>
        <v>2177</v>
      </c>
      <c r="Z48" s="753">
        <f t="shared" si="78"/>
        <v>2158</v>
      </c>
      <c r="AA48" s="753">
        <f t="shared" si="78"/>
        <v>2122</v>
      </c>
      <c r="AB48" s="753">
        <f t="shared" si="78"/>
        <v>1994</v>
      </c>
      <c r="AC48" s="753">
        <f t="shared" si="78"/>
        <v>1918</v>
      </c>
      <c r="AD48" s="753">
        <f t="shared" si="78"/>
        <v>2024</v>
      </c>
      <c r="AE48" s="753">
        <f t="shared" si="78"/>
        <v>2087</v>
      </c>
      <c r="AF48" s="753">
        <f t="shared" si="78"/>
        <v>2137</v>
      </c>
      <c r="AG48" s="753">
        <f t="shared" si="78"/>
        <v>2299</v>
      </c>
      <c r="AH48" s="753">
        <f t="shared" si="78"/>
        <v>2372</v>
      </c>
      <c r="AI48" s="753">
        <f t="shared" si="78"/>
        <v>2368</v>
      </c>
      <c r="AJ48" s="753">
        <f t="shared" si="78"/>
        <v>2233</v>
      </c>
      <c r="AK48" s="753">
        <f t="shared" si="78"/>
        <v>2456</v>
      </c>
      <c r="AL48" s="753">
        <f t="shared" si="78"/>
        <v>2261</v>
      </c>
      <c r="AM48" s="753">
        <f t="shared" si="78"/>
        <v>2387</v>
      </c>
      <c r="AN48" s="753">
        <f t="shared" si="78"/>
        <v>2196</v>
      </c>
      <c r="AO48" s="753">
        <f t="shared" si="78"/>
        <v>2127</v>
      </c>
      <c r="AP48" s="753">
        <f t="shared" ref="AP48:AQ48" si="79">VLOOKUP(AP6&amp;$W$5&amp;$V$47&amp;$V$48, vw.births, 6, FALSE)</f>
        <v>2287</v>
      </c>
      <c r="AQ48" s="753">
        <f t="shared" si="79"/>
        <v>2320</v>
      </c>
    </row>
    <row r="49" spans="1:43">
      <c r="A49" s="12" t="s">
        <v>86</v>
      </c>
      <c r="B49" s="82">
        <f t="shared" si="76"/>
        <v>7829</v>
      </c>
      <c r="C49" s="82">
        <f t="shared" si="77"/>
        <v>7944</v>
      </c>
      <c r="D49" s="82">
        <f t="shared" si="77"/>
        <v>7691</v>
      </c>
      <c r="E49" s="82">
        <f t="shared" si="77"/>
        <v>8106</v>
      </c>
      <c r="F49" s="82">
        <f t="shared" si="77"/>
        <v>7880</v>
      </c>
      <c r="G49" s="82">
        <f t="shared" si="77"/>
        <v>7953</v>
      </c>
      <c r="H49" s="82">
        <f t="shared" si="77"/>
        <v>7678</v>
      </c>
      <c r="I49" s="82">
        <f t="shared" si="77"/>
        <v>7737</v>
      </c>
      <c r="J49" s="82">
        <f t="shared" si="77"/>
        <v>8092</v>
      </c>
      <c r="K49" s="82">
        <f t="shared" si="77"/>
        <v>8051</v>
      </c>
      <c r="V49" s="753" t="s">
        <v>86</v>
      </c>
      <c r="W49" s="753">
        <f t="shared" ref="W49:AO49" si="80">VLOOKUP(W6&amp;$W$5&amp;$V$47&amp;$V$49, vw.births,6, FALSE)</f>
        <v>6325</v>
      </c>
      <c r="X49" s="753">
        <f t="shared" si="80"/>
        <v>6361</v>
      </c>
      <c r="Y49" s="753">
        <f t="shared" si="80"/>
        <v>6190</v>
      </c>
      <c r="Z49" s="753">
        <f t="shared" si="80"/>
        <v>6422</v>
      </c>
      <c r="AA49" s="753">
        <f t="shared" si="80"/>
        <v>6562</v>
      </c>
      <c r="AB49" s="753">
        <f t="shared" si="80"/>
        <v>6440</v>
      </c>
      <c r="AC49" s="753">
        <f t="shared" si="80"/>
        <v>6459</v>
      </c>
      <c r="AD49" s="753">
        <f t="shared" si="80"/>
        <v>6822</v>
      </c>
      <c r="AE49" s="753">
        <f t="shared" si="80"/>
        <v>7137</v>
      </c>
      <c r="AF49" s="753">
        <f t="shared" si="80"/>
        <v>6944</v>
      </c>
      <c r="AG49" s="753">
        <f t="shared" si="80"/>
        <v>7318</v>
      </c>
      <c r="AH49" s="753">
        <f t="shared" si="80"/>
        <v>7829</v>
      </c>
      <c r="AI49" s="753">
        <f t="shared" si="80"/>
        <v>7944</v>
      </c>
      <c r="AJ49" s="753">
        <f t="shared" si="80"/>
        <v>7691</v>
      </c>
      <c r="AK49" s="753">
        <f t="shared" si="80"/>
        <v>8106</v>
      </c>
      <c r="AL49" s="753">
        <f t="shared" si="80"/>
        <v>7880</v>
      </c>
      <c r="AM49" s="753">
        <f t="shared" si="80"/>
        <v>7953</v>
      </c>
      <c r="AN49" s="753">
        <f t="shared" si="80"/>
        <v>7678</v>
      </c>
      <c r="AO49" s="753">
        <f t="shared" si="80"/>
        <v>7737</v>
      </c>
      <c r="AP49" s="753">
        <f t="shared" ref="AP49:AQ49" si="81">VLOOKUP(AP6&amp;$W$5&amp;$V$47&amp;$V$49, vw.births,6, FALSE)</f>
        <v>8092</v>
      </c>
      <c r="AQ49" s="753">
        <f t="shared" si="81"/>
        <v>8051</v>
      </c>
    </row>
    <row r="50" spans="1:43">
      <c r="A50" s="12" t="s">
        <v>87</v>
      </c>
      <c r="B50" s="82">
        <f t="shared" si="76"/>
        <v>6738</v>
      </c>
      <c r="C50" s="82">
        <f t="shared" si="77"/>
        <v>6588</v>
      </c>
      <c r="D50" s="82">
        <f t="shared" si="77"/>
        <v>6732</v>
      </c>
      <c r="E50" s="82">
        <f t="shared" si="77"/>
        <v>6700</v>
      </c>
      <c r="F50" s="82">
        <f t="shared" si="77"/>
        <v>6524</v>
      </c>
      <c r="G50" s="82">
        <f t="shared" si="77"/>
        <v>6556</v>
      </c>
      <c r="H50" s="82">
        <f t="shared" si="77"/>
        <v>6215</v>
      </c>
      <c r="I50" s="82">
        <f t="shared" si="77"/>
        <v>6074</v>
      </c>
      <c r="J50" s="82">
        <f t="shared" si="77"/>
        <v>6264</v>
      </c>
      <c r="K50" s="82">
        <f t="shared" si="77"/>
        <v>5905</v>
      </c>
      <c r="V50" s="753" t="s">
        <v>87</v>
      </c>
      <c r="W50" s="753">
        <f t="shared" ref="W50:AO50" si="82">VLOOKUP(W6&amp;$W$5&amp;$V$47&amp;$V$50, vw.births, 6, FALSE)</f>
        <v>5994</v>
      </c>
      <c r="X50" s="753">
        <f t="shared" si="82"/>
        <v>5926</v>
      </c>
      <c r="Y50" s="753">
        <f t="shared" si="82"/>
        <v>5732</v>
      </c>
      <c r="Z50" s="753">
        <f t="shared" si="82"/>
        <v>5896</v>
      </c>
      <c r="AA50" s="753">
        <f t="shared" si="82"/>
        <v>6023</v>
      </c>
      <c r="AB50" s="753">
        <f t="shared" si="82"/>
        <v>5979</v>
      </c>
      <c r="AC50" s="753">
        <f t="shared" si="82"/>
        <v>5903</v>
      </c>
      <c r="AD50" s="753">
        <f t="shared" si="82"/>
        <v>5975</v>
      </c>
      <c r="AE50" s="753">
        <f t="shared" si="82"/>
        <v>6298</v>
      </c>
      <c r="AF50" s="753">
        <f t="shared" si="82"/>
        <v>6247</v>
      </c>
      <c r="AG50" s="753">
        <f t="shared" si="82"/>
        <v>6285</v>
      </c>
      <c r="AH50" s="753">
        <f t="shared" si="82"/>
        <v>6738</v>
      </c>
      <c r="AI50" s="753">
        <f t="shared" si="82"/>
        <v>6588</v>
      </c>
      <c r="AJ50" s="753">
        <f t="shared" si="82"/>
        <v>6732</v>
      </c>
      <c r="AK50" s="753">
        <f t="shared" si="82"/>
        <v>6700</v>
      </c>
      <c r="AL50" s="753">
        <f t="shared" si="82"/>
        <v>6524</v>
      </c>
      <c r="AM50" s="753">
        <f t="shared" si="82"/>
        <v>6556</v>
      </c>
      <c r="AN50" s="753">
        <f t="shared" si="82"/>
        <v>6215</v>
      </c>
      <c r="AO50" s="753">
        <f t="shared" si="82"/>
        <v>6074</v>
      </c>
      <c r="AP50" s="753">
        <f t="shared" ref="AP50:AQ50" si="83">VLOOKUP(AP6&amp;$W$5&amp;$V$47&amp;$V$50, vw.births, 6, FALSE)</f>
        <v>6264</v>
      </c>
      <c r="AQ50" s="753">
        <f t="shared" si="83"/>
        <v>5905</v>
      </c>
    </row>
    <row r="51" spans="1:43">
      <c r="A51" s="12" t="s">
        <v>88</v>
      </c>
      <c r="B51" s="82">
        <f t="shared" si="76"/>
        <v>8998</v>
      </c>
      <c r="C51" s="82">
        <f t="shared" si="77"/>
        <v>9052</v>
      </c>
      <c r="D51" s="82">
        <f t="shared" si="77"/>
        <v>8600</v>
      </c>
      <c r="E51" s="82">
        <f t="shared" si="77"/>
        <v>8851</v>
      </c>
      <c r="F51" s="82">
        <f t="shared" si="77"/>
        <v>8608</v>
      </c>
      <c r="G51" s="82">
        <f t="shared" si="77"/>
        <v>8748</v>
      </c>
      <c r="H51" s="82">
        <f t="shared" si="77"/>
        <v>8350</v>
      </c>
      <c r="I51" s="82">
        <f t="shared" si="77"/>
        <v>8072</v>
      </c>
      <c r="J51" s="82">
        <f t="shared" si="77"/>
        <v>8562</v>
      </c>
      <c r="K51" s="82">
        <f t="shared" si="77"/>
        <v>8375</v>
      </c>
      <c r="V51" s="753" t="s">
        <v>88</v>
      </c>
      <c r="W51" s="753">
        <f t="shared" ref="W51:AO51" si="84">VLOOKUP(W6&amp;$W$5&amp;$V$47&amp;$V$51, vw.births, 6, FALSE)</f>
        <v>6875</v>
      </c>
      <c r="X51" s="753">
        <f t="shared" si="84"/>
        <v>6976</v>
      </c>
      <c r="Y51" s="753">
        <f t="shared" si="84"/>
        <v>6740</v>
      </c>
      <c r="Z51" s="753">
        <f t="shared" si="84"/>
        <v>7217</v>
      </c>
      <c r="AA51" s="753">
        <f t="shared" si="84"/>
        <v>7309</v>
      </c>
      <c r="AB51" s="753">
        <f t="shared" si="84"/>
        <v>7216</v>
      </c>
      <c r="AC51" s="753">
        <f t="shared" si="84"/>
        <v>7203</v>
      </c>
      <c r="AD51" s="753">
        <f t="shared" si="84"/>
        <v>7547</v>
      </c>
      <c r="AE51" s="753">
        <f t="shared" si="84"/>
        <v>7923</v>
      </c>
      <c r="AF51" s="753">
        <f t="shared" si="84"/>
        <v>8070</v>
      </c>
      <c r="AG51" s="753">
        <f t="shared" si="84"/>
        <v>8267</v>
      </c>
      <c r="AH51" s="753">
        <f t="shared" si="84"/>
        <v>8998</v>
      </c>
      <c r="AI51" s="753">
        <f t="shared" si="84"/>
        <v>9052</v>
      </c>
      <c r="AJ51" s="753">
        <f t="shared" si="84"/>
        <v>8600</v>
      </c>
      <c r="AK51" s="753">
        <f t="shared" si="84"/>
        <v>8851</v>
      </c>
      <c r="AL51" s="753">
        <f t="shared" si="84"/>
        <v>8608</v>
      </c>
      <c r="AM51" s="753">
        <f t="shared" si="84"/>
        <v>8748</v>
      </c>
      <c r="AN51" s="753">
        <f t="shared" si="84"/>
        <v>8350</v>
      </c>
      <c r="AO51" s="753">
        <f t="shared" si="84"/>
        <v>8072</v>
      </c>
      <c r="AP51" s="753">
        <f t="shared" ref="AP51:AQ51" si="85">VLOOKUP(AP6&amp;$W$5&amp;$V$47&amp;$V$51, vw.births, 6, FALSE)</f>
        <v>8562</v>
      </c>
      <c r="AQ51" s="753">
        <f t="shared" si="85"/>
        <v>8375</v>
      </c>
    </row>
    <row r="52" spans="1:43">
      <c r="A52" s="12" t="s">
        <v>89</v>
      </c>
      <c r="B52" s="82">
        <f t="shared" si="76"/>
        <v>5630</v>
      </c>
      <c r="C52" s="82">
        <f t="shared" si="77"/>
        <v>5843</v>
      </c>
      <c r="D52" s="82">
        <f t="shared" si="77"/>
        <v>5548</v>
      </c>
      <c r="E52" s="82">
        <f t="shared" si="77"/>
        <v>5697</v>
      </c>
      <c r="F52" s="82">
        <f t="shared" si="77"/>
        <v>5401</v>
      </c>
      <c r="G52" s="82">
        <f t="shared" si="77"/>
        <v>5485</v>
      </c>
      <c r="H52" s="82">
        <f t="shared" si="77"/>
        <v>5287</v>
      </c>
      <c r="I52" s="82">
        <f t="shared" si="77"/>
        <v>5235</v>
      </c>
      <c r="J52" s="82">
        <f t="shared" si="77"/>
        <v>5690</v>
      </c>
      <c r="K52" s="82">
        <f t="shared" si="77"/>
        <v>5507</v>
      </c>
      <c r="V52" s="753" t="s">
        <v>89</v>
      </c>
      <c r="W52" s="753">
        <f t="shared" ref="W52:AO52" si="86">VLOOKUP(W6&amp;$W$5&amp;$V$47&amp;$V$52, vw.births, 6, FALSE)</f>
        <v>4944</v>
      </c>
      <c r="X52" s="753">
        <f t="shared" si="86"/>
        <v>5239</v>
      </c>
      <c r="Y52" s="753">
        <f t="shared" si="86"/>
        <v>4946</v>
      </c>
      <c r="Z52" s="753">
        <f t="shared" si="86"/>
        <v>5194</v>
      </c>
      <c r="AA52" s="753">
        <f t="shared" si="86"/>
        <v>4792</v>
      </c>
      <c r="AB52" s="753">
        <f t="shared" si="86"/>
        <v>4897</v>
      </c>
      <c r="AC52" s="753">
        <f t="shared" si="86"/>
        <v>4608</v>
      </c>
      <c r="AD52" s="753">
        <f t="shared" si="86"/>
        <v>4800</v>
      </c>
      <c r="AE52" s="753">
        <f t="shared" si="86"/>
        <v>4956</v>
      </c>
      <c r="AF52" s="753">
        <f t="shared" si="86"/>
        <v>5110</v>
      </c>
      <c r="AG52" s="753">
        <f t="shared" si="86"/>
        <v>5058</v>
      </c>
      <c r="AH52" s="753">
        <f t="shared" si="86"/>
        <v>5630</v>
      </c>
      <c r="AI52" s="753">
        <f t="shared" si="86"/>
        <v>5843</v>
      </c>
      <c r="AJ52" s="753">
        <f t="shared" si="86"/>
        <v>5548</v>
      </c>
      <c r="AK52" s="753">
        <f t="shared" si="86"/>
        <v>5697</v>
      </c>
      <c r="AL52" s="753">
        <f t="shared" si="86"/>
        <v>5401</v>
      </c>
      <c r="AM52" s="753">
        <f t="shared" si="86"/>
        <v>5485</v>
      </c>
      <c r="AN52" s="753">
        <f t="shared" si="86"/>
        <v>5287</v>
      </c>
      <c r="AO52" s="753">
        <f t="shared" si="86"/>
        <v>5235</v>
      </c>
      <c r="AP52" s="753">
        <f t="shared" ref="AP52:AQ52" si="87">VLOOKUP(AP6&amp;$W$5&amp;$V$47&amp;$V$52, vw.births, 6, FALSE)</f>
        <v>5690</v>
      </c>
      <c r="AQ52" s="753">
        <f t="shared" si="87"/>
        <v>5507</v>
      </c>
    </row>
    <row r="53" spans="1:43">
      <c r="A53" s="12" t="s">
        <v>90</v>
      </c>
      <c r="B53" s="82">
        <f t="shared" si="76"/>
        <v>1692</v>
      </c>
      <c r="C53" s="82">
        <f t="shared" si="77"/>
        <v>1726</v>
      </c>
      <c r="D53" s="82">
        <f t="shared" si="77"/>
        <v>1685</v>
      </c>
      <c r="E53" s="82">
        <f t="shared" si="77"/>
        <v>1624</v>
      </c>
      <c r="F53" s="82">
        <f t="shared" si="77"/>
        <v>1552</v>
      </c>
      <c r="G53" s="82">
        <f t="shared" si="77"/>
        <v>1517</v>
      </c>
      <c r="H53" s="82">
        <f t="shared" si="77"/>
        <v>1480</v>
      </c>
      <c r="I53" s="82">
        <f t="shared" si="77"/>
        <v>1364</v>
      </c>
      <c r="J53" s="82">
        <f t="shared" si="77"/>
        <v>1591</v>
      </c>
      <c r="K53" s="82">
        <f t="shared" si="77"/>
        <v>1569</v>
      </c>
      <c r="V53" s="753" t="s">
        <v>90</v>
      </c>
      <c r="W53" s="753">
        <f t="shared" ref="W53:AO53" si="88">VLOOKUP(W6&amp;$W$5&amp;$V$47&amp;$V$53, vw.births, 6, FALSE)</f>
        <v>1732</v>
      </c>
      <c r="X53" s="753">
        <f t="shared" si="88"/>
        <v>1878</v>
      </c>
      <c r="Y53" s="753">
        <f t="shared" si="88"/>
        <v>1644</v>
      </c>
      <c r="Z53" s="753">
        <f t="shared" si="88"/>
        <v>1696</v>
      </c>
      <c r="AA53" s="753">
        <f t="shared" si="88"/>
        <v>1576</v>
      </c>
      <c r="AB53" s="753">
        <f t="shared" si="88"/>
        <v>1523</v>
      </c>
      <c r="AC53" s="753">
        <f t="shared" si="88"/>
        <v>1500</v>
      </c>
      <c r="AD53" s="753">
        <f t="shared" si="88"/>
        <v>1553</v>
      </c>
      <c r="AE53" s="753">
        <f t="shared" si="88"/>
        <v>1659</v>
      </c>
      <c r="AF53" s="753">
        <f t="shared" si="88"/>
        <v>1577</v>
      </c>
      <c r="AG53" s="753">
        <f t="shared" si="88"/>
        <v>1632</v>
      </c>
      <c r="AH53" s="753">
        <f t="shared" si="88"/>
        <v>1692</v>
      </c>
      <c r="AI53" s="753">
        <f t="shared" si="88"/>
        <v>1726</v>
      </c>
      <c r="AJ53" s="753">
        <f t="shared" si="88"/>
        <v>1685</v>
      </c>
      <c r="AK53" s="753">
        <f t="shared" si="88"/>
        <v>1624</v>
      </c>
      <c r="AL53" s="753">
        <f t="shared" si="88"/>
        <v>1552</v>
      </c>
      <c r="AM53" s="753">
        <f t="shared" si="88"/>
        <v>1517</v>
      </c>
      <c r="AN53" s="753">
        <f t="shared" si="88"/>
        <v>1480</v>
      </c>
      <c r="AO53" s="753">
        <f t="shared" si="88"/>
        <v>1364</v>
      </c>
      <c r="AP53" s="753">
        <f t="shared" ref="AP53:AQ53" si="89">VLOOKUP(AP6&amp;$W$5&amp;$V$47&amp;$V$53, vw.births, 6, FALSE)</f>
        <v>1591</v>
      </c>
      <c r="AQ53" s="753">
        <f t="shared" si="89"/>
        <v>1569</v>
      </c>
    </row>
    <row r="54" spans="1:43">
      <c r="A54" s="12" t="s">
        <v>91</v>
      </c>
      <c r="B54" s="82">
        <f t="shared" si="76"/>
        <v>3050</v>
      </c>
      <c r="C54" s="82">
        <f t="shared" si="77"/>
        <v>3047</v>
      </c>
      <c r="D54" s="82">
        <f t="shared" si="77"/>
        <v>2900</v>
      </c>
      <c r="E54" s="82">
        <f t="shared" si="77"/>
        <v>2988</v>
      </c>
      <c r="F54" s="82">
        <f t="shared" si="77"/>
        <v>2975</v>
      </c>
      <c r="G54" s="82">
        <f t="shared" si="77"/>
        <v>2978</v>
      </c>
      <c r="H54" s="82">
        <f t="shared" si="77"/>
        <v>2806</v>
      </c>
      <c r="I54" s="82">
        <f t="shared" si="77"/>
        <v>2688</v>
      </c>
      <c r="J54" s="82">
        <f t="shared" si="77"/>
        <v>2946</v>
      </c>
      <c r="K54" s="82">
        <f t="shared" si="77"/>
        <v>2940</v>
      </c>
      <c r="V54" s="753" t="s">
        <v>91</v>
      </c>
      <c r="W54" s="753">
        <f t="shared" ref="W54:AO54" si="90">VLOOKUP(W6&amp;$W$5&amp;$V$47&amp;$V$54, vw.births, 6, FALSE)</f>
        <v>2575</v>
      </c>
      <c r="X54" s="753">
        <f t="shared" si="90"/>
        <v>2746</v>
      </c>
      <c r="Y54" s="753">
        <f t="shared" si="90"/>
        <v>2613</v>
      </c>
      <c r="Z54" s="753">
        <f t="shared" si="90"/>
        <v>2699</v>
      </c>
      <c r="AA54" s="753">
        <f t="shared" si="90"/>
        <v>2628</v>
      </c>
      <c r="AB54" s="753">
        <f t="shared" si="90"/>
        <v>2604</v>
      </c>
      <c r="AC54" s="753">
        <f t="shared" si="90"/>
        <v>2560</v>
      </c>
      <c r="AD54" s="753">
        <f t="shared" si="90"/>
        <v>2602</v>
      </c>
      <c r="AE54" s="753">
        <f t="shared" si="90"/>
        <v>2763</v>
      </c>
      <c r="AF54" s="753">
        <f t="shared" si="90"/>
        <v>2794</v>
      </c>
      <c r="AG54" s="753">
        <f t="shared" si="90"/>
        <v>2824</v>
      </c>
      <c r="AH54" s="753">
        <f t="shared" si="90"/>
        <v>3050</v>
      </c>
      <c r="AI54" s="753">
        <f t="shared" si="90"/>
        <v>3047</v>
      </c>
      <c r="AJ54" s="753">
        <f t="shared" si="90"/>
        <v>2900</v>
      </c>
      <c r="AK54" s="753">
        <f t="shared" si="90"/>
        <v>2988</v>
      </c>
      <c r="AL54" s="753">
        <f t="shared" si="90"/>
        <v>2975</v>
      </c>
      <c r="AM54" s="753">
        <f t="shared" si="90"/>
        <v>2978</v>
      </c>
      <c r="AN54" s="753">
        <f t="shared" si="90"/>
        <v>2806</v>
      </c>
      <c r="AO54" s="753">
        <f t="shared" si="90"/>
        <v>2688</v>
      </c>
      <c r="AP54" s="753">
        <f t="shared" ref="AP54:AQ54" si="91">VLOOKUP(AP6&amp;$W$5&amp;$V$47&amp;$V$54, vw.births, 6, FALSE)</f>
        <v>2946</v>
      </c>
      <c r="AQ54" s="753">
        <f t="shared" si="91"/>
        <v>2940</v>
      </c>
    </row>
    <row r="55" spans="1:43">
      <c r="A55" s="12" t="s">
        <v>366</v>
      </c>
      <c r="B55" s="82">
        <f t="shared" si="76"/>
        <v>836</v>
      </c>
      <c r="C55" s="82">
        <f t="shared" si="77"/>
        <v>862</v>
      </c>
      <c r="D55" s="82">
        <f t="shared" si="77"/>
        <v>746</v>
      </c>
      <c r="E55" s="82">
        <f t="shared" si="77"/>
        <v>805</v>
      </c>
      <c r="F55" s="82">
        <f t="shared" si="77"/>
        <v>756</v>
      </c>
      <c r="G55" s="82">
        <f t="shared" si="77"/>
        <v>721</v>
      </c>
      <c r="H55" s="82">
        <f t="shared" si="77"/>
        <v>714</v>
      </c>
      <c r="I55" s="82">
        <f t="shared" si="77"/>
        <v>673</v>
      </c>
      <c r="J55" s="82">
        <f t="shared" si="77"/>
        <v>739</v>
      </c>
      <c r="K55" s="82">
        <f t="shared" si="77"/>
        <v>769</v>
      </c>
      <c r="V55" s="753" t="s">
        <v>433</v>
      </c>
      <c r="W55" s="753">
        <f t="shared" ref="W55:AO55" si="92">VLOOKUP(W6&amp;$W$5&amp;$V$47&amp;$V$55, vw.births,6, FALSE)</f>
        <v>871</v>
      </c>
      <c r="X55" s="753">
        <f t="shared" si="92"/>
        <v>836</v>
      </c>
      <c r="Y55" s="753">
        <f t="shared" si="92"/>
        <v>753</v>
      </c>
      <c r="Z55" s="753">
        <f t="shared" si="92"/>
        <v>771</v>
      </c>
      <c r="AA55" s="753">
        <f t="shared" si="92"/>
        <v>773</v>
      </c>
      <c r="AB55" s="753">
        <f t="shared" si="92"/>
        <v>766</v>
      </c>
      <c r="AC55" s="753">
        <f t="shared" si="92"/>
        <v>759</v>
      </c>
      <c r="AD55" s="753">
        <f t="shared" si="92"/>
        <v>703</v>
      </c>
      <c r="AE55" s="753">
        <f t="shared" si="92"/>
        <v>760</v>
      </c>
      <c r="AF55" s="753">
        <f t="shared" si="92"/>
        <v>800</v>
      </c>
      <c r="AG55" s="753">
        <f t="shared" si="92"/>
        <v>747</v>
      </c>
      <c r="AH55" s="753">
        <f t="shared" si="92"/>
        <v>836</v>
      </c>
      <c r="AI55" s="753">
        <f t="shared" si="92"/>
        <v>862</v>
      </c>
      <c r="AJ55" s="753">
        <f t="shared" si="92"/>
        <v>746</v>
      </c>
      <c r="AK55" s="753">
        <f t="shared" si="92"/>
        <v>805</v>
      </c>
      <c r="AL55" s="753">
        <f t="shared" si="92"/>
        <v>756</v>
      </c>
      <c r="AM55" s="753">
        <f t="shared" si="92"/>
        <v>721</v>
      </c>
      <c r="AN55" s="753">
        <f t="shared" si="92"/>
        <v>714</v>
      </c>
      <c r="AO55" s="753">
        <f t="shared" si="92"/>
        <v>673</v>
      </c>
      <c r="AP55" s="753">
        <f t="shared" ref="AP55:AQ55" si="93">VLOOKUP(AP6&amp;$W$5&amp;$V$47&amp;$V$55, vw.births,6, FALSE)</f>
        <v>739</v>
      </c>
      <c r="AQ55" s="753">
        <f t="shared" si="93"/>
        <v>769</v>
      </c>
    </row>
    <row r="56" spans="1:43">
      <c r="A56" s="12" t="s">
        <v>92</v>
      </c>
      <c r="B56" s="82">
        <f t="shared" si="76"/>
        <v>2379</v>
      </c>
      <c r="C56" s="82">
        <f t="shared" si="77"/>
        <v>2404</v>
      </c>
      <c r="D56" s="82">
        <f t="shared" si="77"/>
        <v>2395</v>
      </c>
      <c r="E56" s="82">
        <f t="shared" si="77"/>
        <v>2331</v>
      </c>
      <c r="F56" s="82">
        <f t="shared" si="77"/>
        <v>2250</v>
      </c>
      <c r="G56" s="82">
        <f t="shared" si="77"/>
        <v>2284</v>
      </c>
      <c r="H56" s="82">
        <f t="shared" si="77"/>
        <v>2207</v>
      </c>
      <c r="I56" s="82">
        <f t="shared" si="77"/>
        <v>2094</v>
      </c>
      <c r="J56" s="82">
        <f t="shared" si="77"/>
        <v>2208</v>
      </c>
      <c r="K56" s="82">
        <f t="shared" si="77"/>
        <v>2098</v>
      </c>
      <c r="V56" s="753" t="s">
        <v>92</v>
      </c>
      <c r="W56" s="753">
        <f t="shared" ref="W56:AO56" si="94">VLOOKUP(W6&amp;$W$5&amp;$V$47&amp;$V$56, vw.births,6, FALSE)</f>
        <v>2405</v>
      </c>
      <c r="X56" s="753">
        <f t="shared" si="94"/>
        <v>2303</v>
      </c>
      <c r="Y56" s="753">
        <f t="shared" si="94"/>
        <v>2118</v>
      </c>
      <c r="Z56" s="753">
        <f t="shared" si="94"/>
        <v>2164</v>
      </c>
      <c r="AA56" s="753">
        <f t="shared" si="94"/>
        <v>2175</v>
      </c>
      <c r="AB56" s="753">
        <f t="shared" si="94"/>
        <v>2141</v>
      </c>
      <c r="AC56" s="753">
        <f t="shared" si="94"/>
        <v>2053</v>
      </c>
      <c r="AD56" s="753">
        <f t="shared" si="94"/>
        <v>2078</v>
      </c>
      <c r="AE56" s="753">
        <f t="shared" si="94"/>
        <v>2188</v>
      </c>
      <c r="AF56" s="753">
        <f t="shared" si="94"/>
        <v>2159</v>
      </c>
      <c r="AG56" s="753">
        <f t="shared" si="94"/>
        <v>2212</v>
      </c>
      <c r="AH56" s="753">
        <f t="shared" si="94"/>
        <v>2379</v>
      </c>
      <c r="AI56" s="753">
        <f t="shared" si="94"/>
        <v>2404</v>
      </c>
      <c r="AJ56" s="753">
        <f t="shared" si="94"/>
        <v>2395</v>
      </c>
      <c r="AK56" s="753">
        <f t="shared" si="94"/>
        <v>2331</v>
      </c>
      <c r="AL56" s="753">
        <f t="shared" si="94"/>
        <v>2250</v>
      </c>
      <c r="AM56" s="753">
        <f t="shared" si="94"/>
        <v>2284</v>
      </c>
      <c r="AN56" s="753">
        <f t="shared" si="94"/>
        <v>2207</v>
      </c>
      <c r="AO56" s="753">
        <f t="shared" si="94"/>
        <v>2094</v>
      </c>
      <c r="AP56" s="753">
        <f t="shared" ref="AP56:AQ56" si="95">VLOOKUP(AP6&amp;$W$5&amp;$V$47&amp;$V$56, vw.births,6, FALSE)</f>
        <v>2208</v>
      </c>
      <c r="AQ56" s="753">
        <f t="shared" si="95"/>
        <v>2098</v>
      </c>
    </row>
    <row r="57" spans="1:43">
      <c r="A57" s="12" t="s">
        <v>93</v>
      </c>
      <c r="B57" s="82">
        <f t="shared" si="76"/>
        <v>1626</v>
      </c>
      <c r="C57" s="82">
        <f t="shared" si="77"/>
        <v>1623</v>
      </c>
      <c r="D57" s="82">
        <f t="shared" si="77"/>
        <v>1601</v>
      </c>
      <c r="E57" s="82">
        <f t="shared" si="77"/>
        <v>1607</v>
      </c>
      <c r="F57" s="82">
        <f t="shared" si="77"/>
        <v>1567</v>
      </c>
      <c r="G57" s="82">
        <f t="shared" si="77"/>
        <v>1553</v>
      </c>
      <c r="H57" s="82">
        <f t="shared" si="77"/>
        <v>1522</v>
      </c>
      <c r="I57" s="82">
        <f t="shared" si="77"/>
        <v>1534</v>
      </c>
      <c r="J57" s="82">
        <f t="shared" si="77"/>
        <v>1638</v>
      </c>
      <c r="K57" s="82">
        <f t="shared" si="77"/>
        <v>1491</v>
      </c>
      <c r="V57" s="753" t="s">
        <v>93</v>
      </c>
      <c r="W57" s="753">
        <f t="shared" ref="W57:AO57" si="96">VLOOKUP(W6&amp;$W$5&amp;$V$47&amp;$V$57, vw.births, 6, FALSE)</f>
        <v>1538</v>
      </c>
      <c r="X57" s="753">
        <f t="shared" si="96"/>
        <v>1504</v>
      </c>
      <c r="Y57" s="753">
        <f t="shared" si="96"/>
        <v>1540</v>
      </c>
      <c r="Z57" s="753">
        <f t="shared" si="96"/>
        <v>1497</v>
      </c>
      <c r="AA57" s="753">
        <f t="shared" si="96"/>
        <v>1427</v>
      </c>
      <c r="AB57" s="753">
        <f t="shared" si="96"/>
        <v>1368</v>
      </c>
      <c r="AC57" s="753">
        <f t="shared" si="96"/>
        <v>1310</v>
      </c>
      <c r="AD57" s="753">
        <f t="shared" si="96"/>
        <v>1378</v>
      </c>
      <c r="AE57" s="753">
        <f t="shared" si="96"/>
        <v>1336</v>
      </c>
      <c r="AF57" s="753">
        <f t="shared" si="96"/>
        <v>1438</v>
      </c>
      <c r="AG57" s="753">
        <f t="shared" si="96"/>
        <v>1479</v>
      </c>
      <c r="AH57" s="753">
        <f t="shared" si="96"/>
        <v>1626</v>
      </c>
      <c r="AI57" s="753">
        <f t="shared" si="96"/>
        <v>1623</v>
      </c>
      <c r="AJ57" s="753">
        <f t="shared" si="96"/>
        <v>1601</v>
      </c>
      <c r="AK57" s="753">
        <f t="shared" si="96"/>
        <v>1607</v>
      </c>
      <c r="AL57" s="753">
        <f t="shared" si="96"/>
        <v>1567</v>
      </c>
      <c r="AM57" s="753">
        <f t="shared" si="96"/>
        <v>1553</v>
      </c>
      <c r="AN57" s="753">
        <f t="shared" si="96"/>
        <v>1522</v>
      </c>
      <c r="AO57" s="753">
        <f t="shared" si="96"/>
        <v>1534</v>
      </c>
      <c r="AP57" s="753">
        <f t="shared" ref="AP57:AQ57" si="97">VLOOKUP(AP6&amp;$W$5&amp;$V$47&amp;$V$57, vw.births, 6, FALSE)</f>
        <v>1638</v>
      </c>
      <c r="AQ57" s="753">
        <f t="shared" si="97"/>
        <v>1491</v>
      </c>
    </row>
    <row r="58" spans="1:43">
      <c r="A58" s="12" t="s">
        <v>94</v>
      </c>
      <c r="B58" s="82">
        <f t="shared" si="76"/>
        <v>2350</v>
      </c>
      <c r="C58" s="82">
        <f t="shared" si="77"/>
        <v>2458</v>
      </c>
      <c r="D58" s="82">
        <f t="shared" si="77"/>
        <v>2204</v>
      </c>
      <c r="E58" s="82">
        <f t="shared" si="77"/>
        <v>2373</v>
      </c>
      <c r="F58" s="82">
        <f t="shared" si="77"/>
        <v>2364</v>
      </c>
      <c r="G58" s="82">
        <f t="shared" si="77"/>
        <v>2182</v>
      </c>
      <c r="H58" s="82">
        <f t="shared" si="77"/>
        <v>2145</v>
      </c>
      <c r="I58" s="82">
        <f t="shared" si="77"/>
        <v>2093</v>
      </c>
      <c r="J58" s="82">
        <f t="shared" si="77"/>
        <v>2217</v>
      </c>
      <c r="K58" s="82">
        <f t="shared" si="77"/>
        <v>2106</v>
      </c>
      <c r="V58" s="753" t="s">
        <v>94</v>
      </c>
      <c r="W58" s="753">
        <f t="shared" ref="W58:AO58" si="98">VLOOKUP(W6&amp;$W$5&amp;$V$47&amp;$V$58, vw.births, 6, FALSE)</f>
        <v>2430</v>
      </c>
      <c r="X58" s="753">
        <f t="shared" si="98"/>
        <v>2380</v>
      </c>
      <c r="Y58" s="753">
        <f t="shared" si="98"/>
        <v>2181</v>
      </c>
      <c r="Z58" s="753">
        <f t="shared" si="98"/>
        <v>2191</v>
      </c>
      <c r="AA58" s="753">
        <f t="shared" si="98"/>
        <v>2290</v>
      </c>
      <c r="AB58" s="753">
        <f t="shared" si="98"/>
        <v>2148</v>
      </c>
      <c r="AC58" s="753">
        <f t="shared" si="98"/>
        <v>1974</v>
      </c>
      <c r="AD58" s="753">
        <f t="shared" si="98"/>
        <v>2032</v>
      </c>
      <c r="AE58" s="753">
        <f t="shared" si="98"/>
        <v>2079</v>
      </c>
      <c r="AF58" s="753">
        <f t="shared" si="98"/>
        <v>2255</v>
      </c>
      <c r="AG58" s="753">
        <f t="shared" si="98"/>
        <v>2270</v>
      </c>
      <c r="AH58" s="753">
        <f t="shared" si="98"/>
        <v>2350</v>
      </c>
      <c r="AI58" s="753">
        <f t="shared" si="98"/>
        <v>2458</v>
      </c>
      <c r="AJ58" s="753">
        <f t="shared" si="98"/>
        <v>2204</v>
      </c>
      <c r="AK58" s="753">
        <f t="shared" si="98"/>
        <v>2373</v>
      </c>
      <c r="AL58" s="753">
        <f t="shared" si="98"/>
        <v>2364</v>
      </c>
      <c r="AM58" s="753">
        <f t="shared" si="98"/>
        <v>2182</v>
      </c>
      <c r="AN58" s="753">
        <f t="shared" si="98"/>
        <v>2145</v>
      </c>
      <c r="AO58" s="753">
        <f t="shared" si="98"/>
        <v>2093</v>
      </c>
      <c r="AP58" s="753">
        <f t="shared" ref="AP58:AQ58" si="99">VLOOKUP(AP6&amp;$W$5&amp;$V$47&amp;$V$58, vw.births, 6, FALSE)</f>
        <v>2217</v>
      </c>
      <c r="AQ58" s="753">
        <f t="shared" si="99"/>
        <v>2106</v>
      </c>
    </row>
    <row r="59" spans="1:43">
      <c r="A59" s="12" t="s">
        <v>95</v>
      </c>
      <c r="B59" s="82">
        <f t="shared" si="76"/>
        <v>905</v>
      </c>
      <c r="C59" s="82">
        <f t="shared" si="77"/>
        <v>950</v>
      </c>
      <c r="D59" s="82">
        <f t="shared" si="77"/>
        <v>927</v>
      </c>
      <c r="E59" s="82">
        <f t="shared" si="77"/>
        <v>912</v>
      </c>
      <c r="F59" s="82">
        <f t="shared" si="77"/>
        <v>827</v>
      </c>
      <c r="G59" s="82">
        <f t="shared" si="77"/>
        <v>845</v>
      </c>
      <c r="H59" s="82">
        <f t="shared" si="77"/>
        <v>867</v>
      </c>
      <c r="I59" s="82">
        <f t="shared" si="77"/>
        <v>800</v>
      </c>
      <c r="J59" s="82">
        <f t="shared" si="77"/>
        <v>874</v>
      </c>
      <c r="K59" s="82">
        <f t="shared" si="77"/>
        <v>843</v>
      </c>
      <c r="V59" s="753" t="s">
        <v>95</v>
      </c>
      <c r="W59" s="753">
        <f t="shared" ref="W59:AO59" si="100">VLOOKUP(W6&amp;$W$5&amp;$V$47&amp;$V$59, vw.births, 6, FALSE)</f>
        <v>1078</v>
      </c>
      <c r="X59" s="753">
        <f t="shared" si="100"/>
        <v>1082</v>
      </c>
      <c r="Y59" s="753">
        <f t="shared" si="100"/>
        <v>979</v>
      </c>
      <c r="Z59" s="753">
        <f t="shared" si="100"/>
        <v>959</v>
      </c>
      <c r="AA59" s="753">
        <f t="shared" si="100"/>
        <v>993</v>
      </c>
      <c r="AB59" s="753">
        <f t="shared" si="100"/>
        <v>904</v>
      </c>
      <c r="AC59" s="753">
        <f t="shared" si="100"/>
        <v>861</v>
      </c>
      <c r="AD59" s="753">
        <f t="shared" si="100"/>
        <v>843</v>
      </c>
      <c r="AE59" s="753">
        <f t="shared" si="100"/>
        <v>815</v>
      </c>
      <c r="AF59" s="753">
        <f t="shared" si="100"/>
        <v>823</v>
      </c>
      <c r="AG59" s="753">
        <f t="shared" si="100"/>
        <v>895</v>
      </c>
      <c r="AH59" s="753">
        <f t="shared" si="100"/>
        <v>905</v>
      </c>
      <c r="AI59" s="753">
        <f t="shared" si="100"/>
        <v>950</v>
      </c>
      <c r="AJ59" s="753">
        <f t="shared" si="100"/>
        <v>927</v>
      </c>
      <c r="AK59" s="753">
        <f t="shared" si="100"/>
        <v>912</v>
      </c>
      <c r="AL59" s="753">
        <f t="shared" si="100"/>
        <v>827</v>
      </c>
      <c r="AM59" s="753">
        <f t="shared" si="100"/>
        <v>845</v>
      </c>
      <c r="AN59" s="753">
        <f t="shared" si="100"/>
        <v>867</v>
      </c>
      <c r="AO59" s="753">
        <f t="shared" si="100"/>
        <v>800</v>
      </c>
      <c r="AP59" s="753">
        <f t="shared" ref="AP59:AQ59" si="101">VLOOKUP(AP6&amp;$W$5&amp;$V$47&amp;$V$59, vw.births, 6, FALSE)</f>
        <v>874</v>
      </c>
      <c r="AQ59" s="753">
        <f t="shared" si="101"/>
        <v>843</v>
      </c>
    </row>
    <row r="60" spans="1:43">
      <c r="A60" s="12" t="s">
        <v>96</v>
      </c>
      <c r="B60" s="82">
        <f t="shared" si="76"/>
        <v>4056</v>
      </c>
      <c r="C60" s="82">
        <f t="shared" si="77"/>
        <v>4133</v>
      </c>
      <c r="D60" s="82">
        <f t="shared" si="77"/>
        <v>3983</v>
      </c>
      <c r="E60" s="82">
        <f t="shared" si="77"/>
        <v>3998</v>
      </c>
      <c r="F60" s="82">
        <f t="shared" si="77"/>
        <v>3882</v>
      </c>
      <c r="G60" s="82">
        <f t="shared" si="77"/>
        <v>3833</v>
      </c>
      <c r="H60" s="82">
        <f t="shared" si="77"/>
        <v>3638</v>
      </c>
      <c r="I60" s="82">
        <f t="shared" si="77"/>
        <v>3559</v>
      </c>
      <c r="J60" s="82">
        <f t="shared" si="77"/>
        <v>3615</v>
      </c>
      <c r="K60" s="82">
        <f t="shared" si="77"/>
        <v>3527</v>
      </c>
      <c r="V60" s="753" t="s">
        <v>96</v>
      </c>
      <c r="W60" s="753">
        <f t="shared" ref="W60:AO60" si="102">VLOOKUP(W6&amp;$W$5&amp;$V$47&amp;$V$60, vw.births, 6, FALSE)</f>
        <v>3644</v>
      </c>
      <c r="X60" s="753">
        <f t="shared" si="102"/>
        <v>3566</v>
      </c>
      <c r="Y60" s="753">
        <f t="shared" si="102"/>
        <v>3585</v>
      </c>
      <c r="Z60" s="753">
        <f t="shared" si="102"/>
        <v>3812</v>
      </c>
      <c r="AA60" s="753">
        <f t="shared" si="102"/>
        <v>3753</v>
      </c>
      <c r="AB60" s="753">
        <f t="shared" si="102"/>
        <v>3702</v>
      </c>
      <c r="AC60" s="753">
        <f t="shared" si="102"/>
        <v>3562</v>
      </c>
      <c r="AD60" s="753">
        <f t="shared" si="102"/>
        <v>3805</v>
      </c>
      <c r="AE60" s="753">
        <f t="shared" si="102"/>
        <v>3693</v>
      </c>
      <c r="AF60" s="753">
        <f t="shared" si="102"/>
        <v>3729</v>
      </c>
      <c r="AG60" s="753">
        <f t="shared" si="102"/>
        <v>3894</v>
      </c>
      <c r="AH60" s="753">
        <f t="shared" si="102"/>
        <v>4056</v>
      </c>
      <c r="AI60" s="753">
        <f t="shared" si="102"/>
        <v>4133</v>
      </c>
      <c r="AJ60" s="753">
        <f t="shared" si="102"/>
        <v>3983</v>
      </c>
      <c r="AK60" s="753">
        <f t="shared" si="102"/>
        <v>3998</v>
      </c>
      <c r="AL60" s="753">
        <f t="shared" si="102"/>
        <v>3882</v>
      </c>
      <c r="AM60" s="753">
        <f t="shared" si="102"/>
        <v>3833</v>
      </c>
      <c r="AN60" s="753">
        <f t="shared" si="102"/>
        <v>3638</v>
      </c>
      <c r="AO60" s="753">
        <f t="shared" si="102"/>
        <v>3559</v>
      </c>
      <c r="AP60" s="753">
        <f t="shared" ref="AP60:AQ60" si="103">VLOOKUP(AP6&amp;$W$5&amp;$V$47&amp;$V$60, vw.births, 6, FALSE)</f>
        <v>3615</v>
      </c>
      <c r="AQ60" s="753">
        <f t="shared" si="103"/>
        <v>3527</v>
      </c>
    </row>
    <row r="61" spans="1:43">
      <c r="A61" s="12" t="s">
        <v>97</v>
      </c>
      <c r="B61" s="82">
        <f t="shared" si="76"/>
        <v>2264</v>
      </c>
      <c r="C61" s="82">
        <f t="shared" si="77"/>
        <v>2249</v>
      </c>
      <c r="D61" s="82">
        <f t="shared" si="77"/>
        <v>2201</v>
      </c>
      <c r="E61" s="82">
        <f t="shared" si="77"/>
        <v>2151</v>
      </c>
      <c r="F61" s="82">
        <f t="shared" si="77"/>
        <v>2052</v>
      </c>
      <c r="G61" s="82">
        <f t="shared" si="77"/>
        <v>2041</v>
      </c>
      <c r="H61" s="82">
        <f t="shared" si="77"/>
        <v>1903</v>
      </c>
      <c r="I61" s="82">
        <f t="shared" si="77"/>
        <v>1814</v>
      </c>
      <c r="J61" s="82">
        <f t="shared" si="77"/>
        <v>2091</v>
      </c>
      <c r="K61" s="82">
        <f t="shared" si="77"/>
        <v>2004</v>
      </c>
      <c r="V61" s="753" t="s">
        <v>97</v>
      </c>
      <c r="W61" s="753">
        <f t="shared" ref="W61:AO61" si="104">VLOOKUP(W6&amp;$W$5&amp;$V$47&amp;$V$61, vw.births, 6, FALSE)</f>
        <v>2135</v>
      </c>
      <c r="X61" s="753">
        <f t="shared" si="104"/>
        <v>2116</v>
      </c>
      <c r="Y61" s="753">
        <f t="shared" si="104"/>
        <v>2176</v>
      </c>
      <c r="Z61" s="753">
        <f t="shared" si="104"/>
        <v>2105</v>
      </c>
      <c r="AA61" s="753">
        <f t="shared" si="104"/>
        <v>2085</v>
      </c>
      <c r="AB61" s="753">
        <f t="shared" si="104"/>
        <v>2165</v>
      </c>
      <c r="AC61" s="753">
        <f t="shared" si="104"/>
        <v>1894</v>
      </c>
      <c r="AD61" s="753">
        <f t="shared" si="104"/>
        <v>2052</v>
      </c>
      <c r="AE61" s="753">
        <f t="shared" si="104"/>
        <v>2031</v>
      </c>
      <c r="AF61" s="753">
        <f t="shared" si="104"/>
        <v>2011</v>
      </c>
      <c r="AG61" s="753">
        <f t="shared" si="104"/>
        <v>1999</v>
      </c>
      <c r="AH61" s="753">
        <f t="shared" si="104"/>
        <v>2264</v>
      </c>
      <c r="AI61" s="753">
        <f t="shared" si="104"/>
        <v>2249</v>
      </c>
      <c r="AJ61" s="753">
        <f t="shared" si="104"/>
        <v>2201</v>
      </c>
      <c r="AK61" s="753">
        <f t="shared" si="104"/>
        <v>2151</v>
      </c>
      <c r="AL61" s="753">
        <f t="shared" si="104"/>
        <v>2052</v>
      </c>
      <c r="AM61" s="753">
        <f t="shared" si="104"/>
        <v>2041</v>
      </c>
      <c r="AN61" s="753">
        <f t="shared" si="104"/>
        <v>1903</v>
      </c>
      <c r="AO61" s="753">
        <f t="shared" si="104"/>
        <v>1814</v>
      </c>
      <c r="AP61" s="753">
        <f t="shared" ref="AP61:AQ61" si="105">VLOOKUP(AP6&amp;$W$5&amp;$V$47&amp;$V$61, vw.births, 6, FALSE)</f>
        <v>2091</v>
      </c>
      <c r="AQ61" s="753">
        <f t="shared" si="105"/>
        <v>2004</v>
      </c>
    </row>
    <row r="62" spans="1:43">
      <c r="A62" s="12" t="s">
        <v>98</v>
      </c>
      <c r="B62" s="82">
        <f t="shared" si="76"/>
        <v>539</v>
      </c>
      <c r="C62" s="82">
        <f t="shared" si="77"/>
        <v>530</v>
      </c>
      <c r="D62" s="82">
        <f t="shared" si="77"/>
        <v>555</v>
      </c>
      <c r="E62" s="82">
        <f t="shared" si="77"/>
        <v>549</v>
      </c>
      <c r="F62" s="82">
        <f t="shared" si="77"/>
        <v>534</v>
      </c>
      <c r="G62" s="82">
        <f t="shared" si="77"/>
        <v>513</v>
      </c>
      <c r="H62" s="82">
        <f t="shared" si="77"/>
        <v>497</v>
      </c>
      <c r="I62" s="82">
        <f t="shared" si="77"/>
        <v>493</v>
      </c>
      <c r="J62" s="82">
        <f t="shared" si="77"/>
        <v>494</v>
      </c>
      <c r="K62" s="82">
        <f t="shared" si="77"/>
        <v>481</v>
      </c>
      <c r="V62" s="753" t="s">
        <v>98</v>
      </c>
      <c r="W62" s="753">
        <f t="shared" ref="W62:AO62" si="106">VLOOKUP(W6&amp;$W$5&amp;$V$47&amp;$V$62, vw.births, 6, FALSE)</f>
        <v>570</v>
      </c>
      <c r="X62" s="753">
        <f t="shared" si="106"/>
        <v>563</v>
      </c>
      <c r="Y62" s="753">
        <f t="shared" si="106"/>
        <v>569</v>
      </c>
      <c r="Z62" s="753">
        <f t="shared" si="106"/>
        <v>553</v>
      </c>
      <c r="AA62" s="753">
        <f t="shared" si="106"/>
        <v>496</v>
      </c>
      <c r="AB62" s="753">
        <f t="shared" si="106"/>
        <v>498</v>
      </c>
      <c r="AC62" s="753">
        <f t="shared" si="106"/>
        <v>462</v>
      </c>
      <c r="AD62" s="753">
        <f t="shared" si="106"/>
        <v>435</v>
      </c>
      <c r="AE62" s="753">
        <f t="shared" si="106"/>
        <v>522</v>
      </c>
      <c r="AF62" s="753">
        <f t="shared" si="106"/>
        <v>475</v>
      </c>
      <c r="AG62" s="753">
        <f t="shared" si="106"/>
        <v>523</v>
      </c>
      <c r="AH62" s="753">
        <f t="shared" si="106"/>
        <v>539</v>
      </c>
      <c r="AI62" s="753">
        <f t="shared" si="106"/>
        <v>530</v>
      </c>
      <c r="AJ62" s="753">
        <f t="shared" si="106"/>
        <v>555</v>
      </c>
      <c r="AK62" s="753">
        <f t="shared" si="106"/>
        <v>549</v>
      </c>
      <c r="AL62" s="753">
        <f t="shared" si="106"/>
        <v>534</v>
      </c>
      <c r="AM62" s="753">
        <f t="shared" si="106"/>
        <v>513</v>
      </c>
      <c r="AN62" s="753">
        <f t="shared" si="106"/>
        <v>497</v>
      </c>
      <c r="AO62" s="753">
        <f t="shared" si="106"/>
        <v>493</v>
      </c>
      <c r="AP62" s="753">
        <f t="shared" ref="AP62:AQ62" si="107">VLOOKUP(AP6&amp;$W$5&amp;$V$47&amp;$V$62, vw.births, 6, FALSE)</f>
        <v>494</v>
      </c>
      <c r="AQ62" s="753">
        <f t="shared" si="107"/>
        <v>481</v>
      </c>
    </row>
    <row r="63" spans="1:43">
      <c r="A63" s="12" t="s">
        <v>99</v>
      </c>
      <c r="B63" s="82">
        <f t="shared" si="76"/>
        <v>1718</v>
      </c>
      <c r="C63" s="82">
        <f t="shared" si="77"/>
        <v>1756</v>
      </c>
      <c r="D63" s="82">
        <f t="shared" si="77"/>
        <v>1660</v>
      </c>
      <c r="E63" s="82">
        <f t="shared" si="77"/>
        <v>1725</v>
      </c>
      <c r="F63" s="82">
        <f t="shared" si="77"/>
        <v>1647</v>
      </c>
      <c r="G63" s="82">
        <f t="shared" si="77"/>
        <v>1541</v>
      </c>
      <c r="H63" s="82">
        <f t="shared" si="77"/>
        <v>1556</v>
      </c>
      <c r="I63" s="82">
        <f t="shared" si="77"/>
        <v>1449</v>
      </c>
      <c r="J63" s="82">
        <f t="shared" si="77"/>
        <v>1489</v>
      </c>
      <c r="K63" s="82">
        <f t="shared" si="77"/>
        <v>1539</v>
      </c>
      <c r="V63" s="753" t="s">
        <v>99</v>
      </c>
      <c r="W63" s="753">
        <f t="shared" ref="W63:AO63" si="108">VLOOKUP(W6&amp;$W$5&amp;$V$47&amp;$V$63, vw.births, 6, FALSE)</f>
        <v>1476</v>
      </c>
      <c r="X63" s="753">
        <f t="shared" si="108"/>
        <v>1544</v>
      </c>
      <c r="Y63" s="753">
        <f t="shared" si="108"/>
        <v>1443</v>
      </c>
      <c r="Z63" s="753">
        <f t="shared" si="108"/>
        <v>1494</v>
      </c>
      <c r="AA63" s="753">
        <f t="shared" si="108"/>
        <v>1544</v>
      </c>
      <c r="AB63" s="753">
        <f t="shared" si="108"/>
        <v>1488</v>
      </c>
      <c r="AC63" s="753">
        <f t="shared" si="108"/>
        <v>1442</v>
      </c>
      <c r="AD63" s="753">
        <f t="shared" si="108"/>
        <v>1523</v>
      </c>
      <c r="AE63" s="753">
        <f t="shared" si="108"/>
        <v>1623</v>
      </c>
      <c r="AF63" s="753">
        <f t="shared" si="108"/>
        <v>1514</v>
      </c>
      <c r="AG63" s="753">
        <f t="shared" si="108"/>
        <v>1569</v>
      </c>
      <c r="AH63" s="753">
        <f t="shared" si="108"/>
        <v>1718</v>
      </c>
      <c r="AI63" s="753">
        <f t="shared" si="108"/>
        <v>1756</v>
      </c>
      <c r="AJ63" s="753">
        <f t="shared" si="108"/>
        <v>1660</v>
      </c>
      <c r="AK63" s="753">
        <f t="shared" si="108"/>
        <v>1725</v>
      </c>
      <c r="AL63" s="753">
        <f t="shared" si="108"/>
        <v>1647</v>
      </c>
      <c r="AM63" s="753">
        <f t="shared" si="108"/>
        <v>1541</v>
      </c>
      <c r="AN63" s="753">
        <f t="shared" si="108"/>
        <v>1556</v>
      </c>
      <c r="AO63" s="753">
        <f t="shared" si="108"/>
        <v>1449</v>
      </c>
      <c r="AP63" s="753">
        <f t="shared" ref="AP63:AQ63" si="109">VLOOKUP(AP6&amp;$W$5&amp;$V$47&amp;$V$63, vw.births, 6, FALSE)</f>
        <v>1489</v>
      </c>
      <c r="AQ63" s="753">
        <f t="shared" si="109"/>
        <v>1539</v>
      </c>
    </row>
    <row r="64" spans="1:43">
      <c r="A64" s="12" t="s">
        <v>100</v>
      </c>
      <c r="B64" s="82">
        <f t="shared" si="76"/>
        <v>408</v>
      </c>
      <c r="C64" s="82">
        <f t="shared" ref="C64:K68" si="110">AI64</f>
        <v>452</v>
      </c>
      <c r="D64" s="82">
        <f t="shared" si="110"/>
        <v>432</v>
      </c>
      <c r="E64" s="82">
        <f t="shared" si="110"/>
        <v>432</v>
      </c>
      <c r="F64" s="82">
        <f t="shared" si="110"/>
        <v>435</v>
      </c>
      <c r="G64" s="82">
        <f t="shared" si="110"/>
        <v>419</v>
      </c>
      <c r="H64" s="82">
        <f t="shared" si="110"/>
        <v>392</v>
      </c>
      <c r="I64" s="82">
        <f t="shared" si="110"/>
        <v>381</v>
      </c>
      <c r="J64" s="82">
        <f t="shared" si="110"/>
        <v>389</v>
      </c>
      <c r="K64" s="82">
        <f t="shared" si="110"/>
        <v>327</v>
      </c>
      <c r="V64" s="753" t="s">
        <v>100</v>
      </c>
      <c r="W64" s="753">
        <f t="shared" ref="W64:AO64" si="111">VLOOKUP(W6&amp;$W$5&amp;$V$47&amp;$V$64, vw.births, 6, FALSE)</f>
        <v>491</v>
      </c>
      <c r="X64" s="753">
        <f t="shared" si="111"/>
        <v>428</v>
      </c>
      <c r="Y64" s="753">
        <f t="shared" si="111"/>
        <v>403</v>
      </c>
      <c r="Z64" s="753">
        <f t="shared" si="111"/>
        <v>403</v>
      </c>
      <c r="AA64" s="753">
        <f t="shared" si="111"/>
        <v>361</v>
      </c>
      <c r="AB64" s="753">
        <f t="shared" si="111"/>
        <v>396</v>
      </c>
      <c r="AC64" s="753">
        <f t="shared" si="111"/>
        <v>330</v>
      </c>
      <c r="AD64" s="753">
        <f t="shared" si="111"/>
        <v>334</v>
      </c>
      <c r="AE64" s="753">
        <f t="shared" si="111"/>
        <v>399</v>
      </c>
      <c r="AF64" s="753">
        <f t="shared" si="111"/>
        <v>341</v>
      </c>
      <c r="AG64" s="753">
        <f t="shared" si="111"/>
        <v>398</v>
      </c>
      <c r="AH64" s="753">
        <f t="shared" si="111"/>
        <v>408</v>
      </c>
      <c r="AI64" s="753">
        <f t="shared" si="111"/>
        <v>452</v>
      </c>
      <c r="AJ64" s="753">
        <f t="shared" si="111"/>
        <v>432</v>
      </c>
      <c r="AK64" s="753">
        <f t="shared" si="111"/>
        <v>432</v>
      </c>
      <c r="AL64" s="753">
        <f t="shared" si="111"/>
        <v>435</v>
      </c>
      <c r="AM64" s="753">
        <f t="shared" si="111"/>
        <v>419</v>
      </c>
      <c r="AN64" s="753">
        <f t="shared" si="111"/>
        <v>392</v>
      </c>
      <c r="AO64" s="753">
        <f t="shared" si="111"/>
        <v>381</v>
      </c>
      <c r="AP64" s="753">
        <f t="shared" ref="AP64:AQ64" si="112">VLOOKUP(AP6&amp;$W$5&amp;$V$47&amp;$V$64, vw.births, 6, FALSE)</f>
        <v>389</v>
      </c>
      <c r="AQ64" s="753">
        <f t="shared" si="112"/>
        <v>327</v>
      </c>
    </row>
    <row r="65" spans="1:43">
      <c r="A65" s="12" t="s">
        <v>101</v>
      </c>
      <c r="B65" s="82">
        <f t="shared" si="76"/>
        <v>6908</v>
      </c>
      <c r="C65" s="82">
        <f t="shared" si="110"/>
        <v>6665</v>
      </c>
      <c r="D65" s="82">
        <f t="shared" si="110"/>
        <v>6533</v>
      </c>
      <c r="E65" s="82">
        <f t="shared" si="110"/>
        <v>6688</v>
      </c>
      <c r="F65" s="82">
        <f t="shared" si="110"/>
        <v>6121</v>
      </c>
      <c r="G65" s="82">
        <f t="shared" si="110"/>
        <v>6041</v>
      </c>
      <c r="H65" s="82">
        <f t="shared" si="110"/>
        <v>5945</v>
      </c>
      <c r="I65" s="82">
        <f t="shared" si="110"/>
        <v>5993</v>
      </c>
      <c r="J65" s="82">
        <f t="shared" si="110"/>
        <v>6439</v>
      </c>
      <c r="K65" s="82">
        <f t="shared" si="110"/>
        <v>6399</v>
      </c>
      <c r="V65" s="753" t="s">
        <v>101</v>
      </c>
      <c r="W65" s="753">
        <f t="shared" ref="W65:AO65" si="113">VLOOKUP(W6&amp;$W$5&amp;$V$47&amp;$V$65, vw.births, 6, FALSE)</f>
        <v>5538</v>
      </c>
      <c r="X65" s="753">
        <f t="shared" si="113"/>
        <v>5667</v>
      </c>
      <c r="Y65" s="753">
        <f t="shared" si="113"/>
        <v>5244</v>
      </c>
      <c r="Z65" s="753">
        <f t="shared" si="113"/>
        <v>5576</v>
      </c>
      <c r="AA65" s="753">
        <f t="shared" si="113"/>
        <v>5542</v>
      </c>
      <c r="AB65" s="753">
        <f t="shared" si="113"/>
        <v>5651</v>
      </c>
      <c r="AC65" s="753">
        <f t="shared" si="113"/>
        <v>5342</v>
      </c>
      <c r="AD65" s="753">
        <f t="shared" si="113"/>
        <v>5665</v>
      </c>
      <c r="AE65" s="753">
        <f t="shared" si="113"/>
        <v>6071</v>
      </c>
      <c r="AF65" s="753">
        <f t="shared" si="113"/>
        <v>6048</v>
      </c>
      <c r="AG65" s="753">
        <f t="shared" si="113"/>
        <v>6204</v>
      </c>
      <c r="AH65" s="753">
        <f t="shared" si="113"/>
        <v>6908</v>
      </c>
      <c r="AI65" s="753">
        <f t="shared" si="113"/>
        <v>6665</v>
      </c>
      <c r="AJ65" s="753">
        <f t="shared" si="113"/>
        <v>6533</v>
      </c>
      <c r="AK65" s="753">
        <f t="shared" si="113"/>
        <v>6688</v>
      </c>
      <c r="AL65" s="753">
        <f t="shared" si="113"/>
        <v>6121</v>
      </c>
      <c r="AM65" s="753">
        <f t="shared" si="113"/>
        <v>6041</v>
      </c>
      <c r="AN65" s="753">
        <f t="shared" si="113"/>
        <v>5945</v>
      </c>
      <c r="AO65" s="753">
        <f t="shared" si="113"/>
        <v>5993</v>
      </c>
      <c r="AP65" s="753">
        <f t="shared" ref="AP65:AQ65" si="114">VLOOKUP(AP6&amp;$W$5&amp;$V$47&amp;$V$65, vw.births, 6, FALSE)</f>
        <v>6439</v>
      </c>
      <c r="AQ65" s="753">
        <f t="shared" si="114"/>
        <v>6399</v>
      </c>
    </row>
    <row r="66" spans="1:43">
      <c r="A66" s="12" t="s">
        <v>102</v>
      </c>
      <c r="B66" s="82">
        <f t="shared" si="76"/>
        <v>675</v>
      </c>
      <c r="C66" s="82">
        <f t="shared" si="110"/>
        <v>643</v>
      </c>
      <c r="D66" s="82">
        <f t="shared" si="110"/>
        <v>654</v>
      </c>
      <c r="E66" s="82">
        <f t="shared" si="110"/>
        <v>627</v>
      </c>
      <c r="F66" s="82">
        <f t="shared" si="110"/>
        <v>586</v>
      </c>
      <c r="G66" s="82">
        <f t="shared" si="110"/>
        <v>626</v>
      </c>
      <c r="H66" s="82">
        <f t="shared" si="110"/>
        <v>629</v>
      </c>
      <c r="I66" s="82">
        <f t="shared" si="110"/>
        <v>624</v>
      </c>
      <c r="J66" s="82">
        <f t="shared" si="110"/>
        <v>682</v>
      </c>
      <c r="K66" s="82">
        <f t="shared" si="110"/>
        <v>641</v>
      </c>
      <c r="V66" s="753" t="s">
        <v>102</v>
      </c>
      <c r="W66" s="753">
        <f t="shared" ref="W66:AO66" si="115">VLOOKUP(W6&amp;$W$5&amp;$V$47&amp;$V$66, vw.births, 6, FALSE)</f>
        <v>698</v>
      </c>
      <c r="X66" s="753">
        <f t="shared" si="115"/>
        <v>653</v>
      </c>
      <c r="Y66" s="753">
        <f t="shared" si="115"/>
        <v>642</v>
      </c>
      <c r="Z66" s="753">
        <f t="shared" si="115"/>
        <v>616</v>
      </c>
      <c r="AA66" s="753">
        <f t="shared" si="115"/>
        <v>625</v>
      </c>
      <c r="AB66" s="753">
        <f t="shared" si="115"/>
        <v>591</v>
      </c>
      <c r="AC66" s="753">
        <f t="shared" si="115"/>
        <v>547</v>
      </c>
      <c r="AD66" s="753">
        <f t="shared" si="115"/>
        <v>592</v>
      </c>
      <c r="AE66" s="753">
        <f t="shared" si="115"/>
        <v>569</v>
      </c>
      <c r="AF66" s="753">
        <f t="shared" si="115"/>
        <v>589</v>
      </c>
      <c r="AG66" s="753">
        <f t="shared" si="115"/>
        <v>606</v>
      </c>
      <c r="AH66" s="753">
        <f t="shared" si="115"/>
        <v>675</v>
      </c>
      <c r="AI66" s="753">
        <f t="shared" si="115"/>
        <v>643</v>
      </c>
      <c r="AJ66" s="753">
        <f t="shared" si="115"/>
        <v>654</v>
      </c>
      <c r="AK66" s="753">
        <f t="shared" si="115"/>
        <v>627</v>
      </c>
      <c r="AL66" s="753">
        <f t="shared" si="115"/>
        <v>586</v>
      </c>
      <c r="AM66" s="753">
        <f t="shared" si="115"/>
        <v>626</v>
      </c>
      <c r="AN66" s="753">
        <f t="shared" si="115"/>
        <v>629</v>
      </c>
      <c r="AO66" s="753">
        <f t="shared" si="115"/>
        <v>624</v>
      </c>
      <c r="AP66" s="753">
        <f t="shared" ref="AP66:AQ66" si="116">VLOOKUP(AP6&amp;$W$5&amp;$V$47&amp;$V$66, vw.births, 6, FALSE)</f>
        <v>682</v>
      </c>
      <c r="AQ66" s="753">
        <f t="shared" si="116"/>
        <v>641</v>
      </c>
    </row>
    <row r="67" spans="1:43">
      <c r="A67" s="12" t="s">
        <v>103</v>
      </c>
      <c r="B67" s="82">
        <f t="shared" si="76"/>
        <v>3742</v>
      </c>
      <c r="C67" s="82">
        <f t="shared" si="110"/>
        <v>3746</v>
      </c>
      <c r="D67" s="82">
        <f t="shared" si="110"/>
        <v>3733</v>
      </c>
      <c r="E67" s="82">
        <f t="shared" si="110"/>
        <v>3772</v>
      </c>
      <c r="F67" s="82">
        <f t="shared" si="110"/>
        <v>3710</v>
      </c>
      <c r="G67" s="82">
        <f t="shared" si="110"/>
        <v>3620</v>
      </c>
      <c r="H67" s="82">
        <f t="shared" si="110"/>
        <v>3478</v>
      </c>
      <c r="I67" s="82">
        <f t="shared" si="110"/>
        <v>3269</v>
      </c>
      <c r="J67" s="82">
        <f t="shared" si="110"/>
        <v>3646</v>
      </c>
      <c r="K67" s="82">
        <f t="shared" si="110"/>
        <v>3414</v>
      </c>
      <c r="V67" s="753" t="s">
        <v>103</v>
      </c>
      <c r="W67" s="753">
        <f t="shared" ref="W67:AO67" si="117">VLOOKUP(W6&amp;$W$5&amp;$V$47&amp;$V$67, vw.births, 6, FALSE)</f>
        <v>3717</v>
      </c>
      <c r="X67" s="753">
        <f t="shared" si="117"/>
        <v>3618</v>
      </c>
      <c r="Y67" s="753">
        <f t="shared" si="117"/>
        <v>3380</v>
      </c>
      <c r="Z67" s="753">
        <f t="shared" si="117"/>
        <v>3419</v>
      </c>
      <c r="AA67" s="753">
        <f t="shared" si="117"/>
        <v>3435</v>
      </c>
      <c r="AB67" s="753">
        <f t="shared" si="117"/>
        <v>3263</v>
      </c>
      <c r="AC67" s="753">
        <f t="shared" si="117"/>
        <v>3285</v>
      </c>
      <c r="AD67" s="753">
        <f t="shared" si="117"/>
        <v>3290</v>
      </c>
      <c r="AE67" s="753">
        <f t="shared" si="117"/>
        <v>3458</v>
      </c>
      <c r="AF67" s="753">
        <f t="shared" si="117"/>
        <v>3419</v>
      </c>
      <c r="AG67" s="753">
        <f t="shared" si="117"/>
        <v>3441</v>
      </c>
      <c r="AH67" s="753">
        <f t="shared" si="117"/>
        <v>3742</v>
      </c>
      <c r="AI67" s="753">
        <f t="shared" si="117"/>
        <v>3746</v>
      </c>
      <c r="AJ67" s="753">
        <f t="shared" si="117"/>
        <v>3733</v>
      </c>
      <c r="AK67" s="753">
        <f t="shared" si="117"/>
        <v>3772</v>
      </c>
      <c r="AL67" s="753">
        <f t="shared" si="117"/>
        <v>3710</v>
      </c>
      <c r="AM67" s="753">
        <f t="shared" si="117"/>
        <v>3620</v>
      </c>
      <c r="AN67" s="753">
        <f t="shared" si="117"/>
        <v>3478</v>
      </c>
      <c r="AO67" s="753">
        <f t="shared" si="117"/>
        <v>3269</v>
      </c>
      <c r="AP67" s="753">
        <f t="shared" ref="AP67:AQ67" si="118">VLOOKUP(AP6&amp;$W$5&amp;$V$47&amp;$V$67, vw.births, 6, FALSE)</f>
        <v>3646</v>
      </c>
      <c r="AQ67" s="753">
        <f t="shared" si="118"/>
        <v>3414</v>
      </c>
    </row>
    <row r="68" spans="1:43">
      <c r="A68" s="14" t="s">
        <v>63</v>
      </c>
      <c r="B68" s="14">
        <f t="shared" si="76"/>
        <v>406</v>
      </c>
      <c r="C68" s="14">
        <f t="shared" si="110"/>
        <v>294</v>
      </c>
      <c r="D68" s="14">
        <f t="shared" si="110"/>
        <v>272</v>
      </c>
      <c r="E68" s="14">
        <f t="shared" si="110"/>
        <v>307</v>
      </c>
      <c r="F68" s="14">
        <f t="shared" si="110"/>
        <v>242</v>
      </c>
      <c r="G68" s="14">
        <f t="shared" si="110"/>
        <v>192</v>
      </c>
      <c r="H68" s="14">
        <f t="shared" si="110"/>
        <v>196</v>
      </c>
      <c r="I68" s="14">
        <f t="shared" si="110"/>
        <v>212</v>
      </c>
      <c r="J68" s="14">
        <f t="shared" si="110"/>
        <v>169</v>
      </c>
      <c r="K68" s="14">
        <f t="shared" si="110"/>
        <v>130</v>
      </c>
      <c r="V68" s="779" t="s">
        <v>63</v>
      </c>
      <c r="W68" s="753">
        <f t="shared" ref="W68:AO68" si="119">VLOOKUP(W6&amp;$W$5&amp;$V$47&amp;$V$68, vw.births,6, FALSE)</f>
        <v>158</v>
      </c>
      <c r="X68" s="753">
        <f t="shared" si="119"/>
        <v>135</v>
      </c>
      <c r="Y68" s="753">
        <f t="shared" si="119"/>
        <v>466</v>
      </c>
      <c r="Z68" s="753">
        <f t="shared" si="119"/>
        <v>579</v>
      </c>
      <c r="AA68" s="753">
        <f t="shared" si="119"/>
        <v>483</v>
      </c>
      <c r="AB68" s="753">
        <f t="shared" si="119"/>
        <v>490</v>
      </c>
      <c r="AC68" s="753">
        <f t="shared" si="119"/>
        <v>543</v>
      </c>
      <c r="AD68" s="753">
        <f t="shared" si="119"/>
        <v>523</v>
      </c>
      <c r="AE68" s="753">
        <f t="shared" si="119"/>
        <v>356</v>
      </c>
      <c r="AF68" s="753">
        <f t="shared" si="119"/>
        <v>247</v>
      </c>
      <c r="AG68" s="753">
        <f t="shared" si="119"/>
        <v>354</v>
      </c>
      <c r="AH68" s="753">
        <f t="shared" si="119"/>
        <v>406</v>
      </c>
      <c r="AI68" s="753">
        <f t="shared" si="119"/>
        <v>294</v>
      </c>
      <c r="AJ68" s="753">
        <f t="shared" si="119"/>
        <v>272</v>
      </c>
      <c r="AK68" s="753">
        <f t="shared" si="119"/>
        <v>307</v>
      </c>
      <c r="AL68" s="753">
        <f t="shared" si="119"/>
        <v>242</v>
      </c>
      <c r="AM68" s="753">
        <f t="shared" si="119"/>
        <v>192</v>
      </c>
      <c r="AN68" s="753">
        <f t="shared" si="119"/>
        <v>196</v>
      </c>
      <c r="AO68" s="753">
        <f t="shared" si="119"/>
        <v>212</v>
      </c>
      <c r="AP68" s="753">
        <f t="shared" ref="AP68:AQ68" si="120">VLOOKUP(AP6&amp;$W$5&amp;$V$47&amp;$V$68, vw.births,6, FALSE)</f>
        <v>169</v>
      </c>
      <c r="AQ68" s="753">
        <f t="shared" si="120"/>
        <v>130</v>
      </c>
    </row>
    <row r="70" spans="1:43">
      <c r="A70" s="36"/>
    </row>
  </sheetData>
  <mergeCells count="1">
    <mergeCell ref="A5:K5"/>
  </mergeCells>
  <hyperlinks>
    <hyperlink ref="B1" location="Glossary!A1" display="Glossary" xr:uid="{00000000-0004-0000-0500-000000000000}"/>
    <hyperlink ref="A1" location="Contents!A1" display="Table of contents" xr:uid="{00000000-0004-0000-0500-000001000000}"/>
    <hyperlink ref="C1" location="About!A1" display="About the publication" xr:uid="{00000000-0004-0000-0500-000002000000}"/>
    <hyperlink ref="E1" location="KeyFindings!A1" display="Key findings" xr:uid="{00000000-0004-0000-0500-000003000000}"/>
  </hyperlinks>
  <pageMargins left="0.70866141732283472" right="0.70866141732283472" top="0.74803149606299213" bottom="0.74803149606299213" header="0.31496062992125984" footer="0.31496062992125984"/>
  <pageSetup paperSize="9" scale="72" orientation="portrait" r:id="rId1"/>
  <headerFooter>
    <oddFooter>&amp;L&amp;"Arial,Regular"&amp;8&amp;K01+019Fetal and Infant Deaths 2016&amp;R&amp;"Arial,Regular"&amp;8&amp;K01+018Page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AW82"/>
  <sheetViews>
    <sheetView zoomScaleNormal="100" workbookViewId="0">
      <pane ySplit="3" topLeftCell="A4" activePane="bottomLeft" state="frozen"/>
      <selection activeCell="AA6" sqref="AA6"/>
      <selection pane="bottomLeft" activeCell="A4" sqref="A4"/>
    </sheetView>
  </sheetViews>
  <sheetFormatPr defaultRowHeight="15"/>
  <cols>
    <col min="1" max="1" width="25.28515625" bestFit="1" customWidth="1"/>
    <col min="2" max="2" width="9.140625" customWidth="1"/>
    <col min="5" max="5" width="9.140625" style="308"/>
    <col min="6" max="6" width="9.140625" style="9" customWidth="1"/>
    <col min="10" max="10" width="9.140625" style="308"/>
    <col min="11" max="11" width="9.140625" style="9"/>
    <col min="14" max="14" width="9.140625" style="308"/>
    <col min="18" max="21" width="9.140625" customWidth="1"/>
    <col min="22" max="26" width="9.140625" style="245" customWidth="1"/>
    <col min="27" max="27" width="23.5703125" style="780" bestFit="1" customWidth="1"/>
    <col min="28" max="28" width="10" style="780" bestFit="1" customWidth="1"/>
    <col min="29" max="42" width="9.140625" style="780"/>
    <col min="43" max="47" width="9.140625" style="245"/>
  </cols>
  <sheetData>
    <row r="1" spans="1:49" s="103" customFormat="1">
      <c r="A1" s="88" t="s">
        <v>158</v>
      </c>
      <c r="B1" s="88" t="s">
        <v>115</v>
      </c>
      <c r="C1" s="88" t="s">
        <v>173</v>
      </c>
      <c r="E1" s="159" t="s">
        <v>353</v>
      </c>
      <c r="F1" s="88"/>
      <c r="G1" s="89"/>
      <c r="Z1" s="516"/>
      <c r="AA1" s="515"/>
      <c r="AB1" s="515"/>
      <c r="AC1" s="515"/>
      <c r="AD1" s="515"/>
      <c r="AE1" s="515"/>
      <c r="AF1" s="515"/>
      <c r="AG1" s="515"/>
      <c r="AH1" s="515"/>
      <c r="AI1" s="515"/>
      <c r="AJ1" s="515"/>
      <c r="AK1" s="515"/>
      <c r="AL1" s="515"/>
      <c r="AM1" s="515"/>
      <c r="AN1" s="515"/>
      <c r="AO1" s="515"/>
      <c r="AP1" s="515"/>
      <c r="AQ1" s="516"/>
      <c r="AR1" s="516"/>
      <c r="AS1" s="516"/>
      <c r="AT1" s="516"/>
      <c r="AU1" s="516"/>
      <c r="AV1" s="515"/>
      <c r="AW1" s="516"/>
    </row>
    <row r="2" spans="1:49" s="103" customFormat="1" ht="9" customHeight="1">
      <c r="A2" s="88"/>
      <c r="B2" s="89"/>
      <c r="C2" s="62"/>
      <c r="D2" s="62"/>
      <c r="E2" s="62"/>
      <c r="F2" s="62"/>
      <c r="Z2" s="516"/>
      <c r="AA2" s="515"/>
      <c r="AB2" s="515"/>
      <c r="AC2" s="515"/>
      <c r="AD2" s="515"/>
      <c r="AE2" s="515"/>
      <c r="AF2" s="515"/>
      <c r="AG2" s="515"/>
      <c r="AH2" s="515"/>
      <c r="AI2" s="515"/>
      <c r="AJ2" s="515"/>
      <c r="AK2" s="515"/>
      <c r="AL2" s="515"/>
      <c r="AM2" s="515"/>
      <c r="AN2" s="515"/>
      <c r="AO2" s="515"/>
      <c r="AP2" s="515"/>
      <c r="AQ2" s="516"/>
      <c r="AR2" s="516"/>
      <c r="AS2" s="516"/>
      <c r="AT2" s="516"/>
      <c r="AU2" s="516"/>
      <c r="AV2" s="515"/>
      <c r="AW2" s="516"/>
    </row>
    <row r="3" spans="1:49" s="103" customFormat="1" ht="20.25">
      <c r="A3" s="76" t="s">
        <v>73</v>
      </c>
      <c r="Z3" s="516"/>
      <c r="AA3" s="515"/>
      <c r="AB3" s="515"/>
      <c r="AC3" s="515"/>
      <c r="AD3" s="515"/>
      <c r="AE3" s="515"/>
      <c r="AF3" s="515"/>
      <c r="AG3" s="515"/>
      <c r="AH3" s="515"/>
      <c r="AI3" s="515"/>
      <c r="AJ3" s="515"/>
      <c r="AK3" s="515"/>
      <c r="AL3" s="515"/>
      <c r="AM3" s="515"/>
      <c r="AN3" s="515"/>
      <c r="AO3" s="515"/>
      <c r="AP3" s="515"/>
      <c r="AQ3" s="516"/>
      <c r="AR3" s="516"/>
      <c r="AS3" s="516"/>
      <c r="AT3" s="516"/>
      <c r="AU3" s="516"/>
      <c r="AV3" s="515"/>
      <c r="AW3" s="516"/>
    </row>
    <row r="4" spans="1:49" s="529" customFormat="1">
      <c r="B4" s="902"/>
      <c r="C4" s="902"/>
      <c r="F4" s="274"/>
      <c r="K4" s="274"/>
      <c r="V4" s="243"/>
      <c r="W4" s="243"/>
      <c r="X4" s="243"/>
      <c r="Y4" s="243"/>
      <c r="Z4" s="243"/>
      <c r="AA4" s="780"/>
      <c r="AB4" s="780"/>
      <c r="AC4" s="780"/>
      <c r="AD4" s="780"/>
      <c r="AE4" s="780"/>
      <c r="AF4" s="780"/>
      <c r="AG4" s="780"/>
      <c r="AH4" s="780"/>
      <c r="AI4" s="780"/>
      <c r="AJ4" s="780"/>
      <c r="AK4" s="780"/>
      <c r="AL4" s="780"/>
      <c r="AM4" s="780"/>
      <c r="AN4" s="780"/>
      <c r="AO4" s="780"/>
      <c r="AP4" s="780"/>
      <c r="AQ4" s="243"/>
      <c r="AR4" s="243"/>
      <c r="AS4" s="243"/>
      <c r="AT4" s="243"/>
      <c r="AU4" s="243"/>
    </row>
    <row r="5" spans="1:49" s="534" customFormat="1" ht="33.75" customHeight="1">
      <c r="A5" s="896" t="str">
        <f>Contents!E9</f>
        <v xml:space="preserve">Table 5: Number of fetal deaths, infant deaths and live births for each ethnic group, by sex, maternal age group, deprivation quintile of residence, gestational age and birthweight, 2016
</v>
      </c>
      <c r="B5" s="896"/>
      <c r="C5" s="896"/>
      <c r="D5" s="896"/>
      <c r="E5" s="896"/>
      <c r="F5" s="896"/>
      <c r="G5" s="896"/>
      <c r="H5" s="896"/>
      <c r="I5" s="896"/>
      <c r="J5" s="896"/>
      <c r="K5" s="896"/>
      <c r="L5" s="896"/>
      <c r="M5" s="896"/>
      <c r="N5" s="896"/>
      <c r="O5" s="896"/>
      <c r="P5" s="896"/>
      <c r="V5" s="540"/>
      <c r="W5" s="540"/>
      <c r="X5" s="540"/>
      <c r="Y5" s="540"/>
      <c r="Z5" s="540"/>
      <c r="AA5" s="781"/>
      <c r="AB5" s="780"/>
      <c r="AC5" s="782" t="s">
        <v>461</v>
      </c>
      <c r="AD5" s="782"/>
      <c r="AE5" s="782"/>
      <c r="AF5" s="781"/>
      <c r="AG5" s="781"/>
      <c r="AH5" s="781"/>
      <c r="AI5" s="781"/>
      <c r="AJ5" s="781"/>
      <c r="AK5" s="781"/>
      <c r="AL5" s="781"/>
      <c r="AM5" s="781"/>
      <c r="AN5" s="781"/>
      <c r="AO5" s="781"/>
      <c r="AP5" s="781"/>
      <c r="AQ5" s="540"/>
      <c r="AR5" s="540"/>
      <c r="AS5" s="540"/>
      <c r="AT5" s="540"/>
      <c r="AU5" s="540"/>
    </row>
    <row r="6" spans="1:49">
      <c r="A6" s="907" t="s">
        <v>68</v>
      </c>
      <c r="B6" s="906" t="s">
        <v>143</v>
      </c>
      <c r="C6" s="906"/>
      <c r="D6" s="906"/>
      <c r="E6" s="906"/>
      <c r="F6" s="912"/>
      <c r="G6" s="906" t="s">
        <v>144</v>
      </c>
      <c r="H6" s="906"/>
      <c r="I6" s="906"/>
      <c r="J6" s="906"/>
      <c r="K6" s="912"/>
      <c r="L6" s="905" t="s">
        <v>145</v>
      </c>
      <c r="M6" s="906"/>
      <c r="N6" s="906"/>
      <c r="O6" s="906"/>
      <c r="P6" s="906"/>
      <c r="Q6" s="904"/>
      <c r="R6" s="904"/>
      <c r="S6" s="904"/>
      <c r="T6" s="904"/>
      <c r="U6" s="904"/>
      <c r="V6" s="904"/>
      <c r="W6" s="904"/>
      <c r="X6" s="904"/>
      <c r="Y6" s="573"/>
      <c r="Z6" s="573"/>
      <c r="AA6" s="780">
        <f>Ref!B27</f>
        <v>2016</v>
      </c>
      <c r="AB6" s="780" t="s">
        <v>47</v>
      </c>
      <c r="AG6" s="780" t="s">
        <v>48</v>
      </c>
      <c r="AL6" s="780" t="s">
        <v>46</v>
      </c>
    </row>
    <row r="7" spans="1:49" ht="27" customHeight="1">
      <c r="A7" s="908"/>
      <c r="B7" s="292" t="s">
        <v>354</v>
      </c>
      <c r="C7" s="292" t="s">
        <v>320</v>
      </c>
      <c r="D7" s="292" t="s">
        <v>355</v>
      </c>
      <c r="E7" s="292" t="s">
        <v>356</v>
      </c>
      <c r="F7" s="293" t="s">
        <v>44</v>
      </c>
      <c r="G7" s="292" t="s">
        <v>354</v>
      </c>
      <c r="H7" s="292" t="s">
        <v>320</v>
      </c>
      <c r="I7" s="292" t="s">
        <v>355</v>
      </c>
      <c r="J7" s="292" t="s">
        <v>356</v>
      </c>
      <c r="K7" s="293" t="s">
        <v>44</v>
      </c>
      <c r="L7" s="292" t="s">
        <v>354</v>
      </c>
      <c r="M7" s="292" t="s">
        <v>320</v>
      </c>
      <c r="N7" s="292" t="s">
        <v>355</v>
      </c>
      <c r="O7" s="292" t="s">
        <v>356</v>
      </c>
      <c r="P7" s="292" t="s">
        <v>44</v>
      </c>
      <c r="Q7" s="167"/>
      <c r="R7" s="167"/>
      <c r="S7" s="167"/>
      <c r="T7" s="167"/>
      <c r="U7" s="167"/>
      <c r="AB7" s="783" t="s">
        <v>129</v>
      </c>
      <c r="AC7" s="783" t="s">
        <v>320</v>
      </c>
      <c r="AD7" s="783" t="s">
        <v>355</v>
      </c>
      <c r="AE7" s="783" t="s">
        <v>356</v>
      </c>
      <c r="AF7" s="783" t="s">
        <v>44</v>
      </c>
      <c r="AG7" s="783" t="s">
        <v>129</v>
      </c>
      <c r="AH7" s="783" t="s">
        <v>320</v>
      </c>
      <c r="AI7" s="783" t="s">
        <v>355</v>
      </c>
      <c r="AJ7" s="783" t="s">
        <v>356</v>
      </c>
      <c r="AK7" s="783" t="s">
        <v>44</v>
      </c>
      <c r="AL7" s="783" t="s">
        <v>129</v>
      </c>
      <c r="AM7" s="783" t="s">
        <v>320</v>
      </c>
      <c r="AN7" s="783" t="s">
        <v>355</v>
      </c>
      <c r="AO7" s="783" t="s">
        <v>356</v>
      </c>
      <c r="AP7" s="783" t="s">
        <v>44</v>
      </c>
    </row>
    <row r="8" spans="1:49">
      <c r="A8" s="80" t="s">
        <v>104</v>
      </c>
      <c r="B8" s="90"/>
      <c r="C8" s="90"/>
      <c r="D8" s="90"/>
      <c r="E8" s="108"/>
      <c r="F8" s="90"/>
      <c r="G8" s="90"/>
      <c r="H8" s="90"/>
      <c r="I8" s="90"/>
      <c r="J8" s="108"/>
      <c r="K8" s="90"/>
      <c r="L8" s="90"/>
      <c r="M8" s="90"/>
      <c r="N8" s="108"/>
      <c r="O8" s="90"/>
      <c r="P8" s="90"/>
      <c r="Q8" s="167"/>
      <c r="R8" s="167"/>
      <c r="S8" s="167"/>
      <c r="T8" s="167"/>
      <c r="U8" s="167"/>
      <c r="AA8" s="780" t="s">
        <v>104</v>
      </c>
      <c r="AQ8" s="243"/>
      <c r="AR8" s="243"/>
      <c r="AS8" s="243"/>
      <c r="AT8" s="243"/>
    </row>
    <row r="9" spans="1:49" s="77" customFormat="1">
      <c r="A9" s="58" t="s">
        <v>44</v>
      </c>
      <c r="B9" s="531">
        <f>AB9</f>
        <v>122</v>
      </c>
      <c r="C9" s="531">
        <f>AC9</f>
        <v>45</v>
      </c>
      <c r="D9" s="531">
        <f t="shared" ref="D9:F9" si="0">AD9</f>
        <v>73</v>
      </c>
      <c r="E9" s="531">
        <f t="shared" si="0"/>
        <v>173</v>
      </c>
      <c r="F9" s="351">
        <f t="shared" si="0"/>
        <v>413</v>
      </c>
      <c r="G9" s="531">
        <f>AG9</f>
        <v>103</v>
      </c>
      <c r="H9" s="531">
        <f t="shared" ref="H9:K9" si="1">AH9</f>
        <v>37</v>
      </c>
      <c r="I9" s="531">
        <f t="shared" si="1"/>
        <v>27</v>
      </c>
      <c r="J9" s="531">
        <f t="shared" si="1"/>
        <v>74</v>
      </c>
      <c r="K9" s="351">
        <f t="shared" si="1"/>
        <v>241</v>
      </c>
      <c r="L9" s="531">
        <f>AL9</f>
        <v>17329</v>
      </c>
      <c r="M9" s="531">
        <f t="shared" ref="M9:P9" si="2">AM9</f>
        <v>5976</v>
      </c>
      <c r="N9" s="531">
        <f t="shared" si="2"/>
        <v>10902</v>
      </c>
      <c r="O9" s="531">
        <f t="shared" si="2"/>
        <v>26229</v>
      </c>
      <c r="P9" s="531">
        <f t="shared" si="2"/>
        <v>60436</v>
      </c>
      <c r="R9" s="82"/>
      <c r="S9" s="82"/>
      <c r="T9" s="82"/>
      <c r="V9" s="243"/>
      <c r="W9" s="243"/>
      <c r="X9" s="243"/>
      <c r="Y9" s="243"/>
      <c r="Z9" s="243"/>
      <c r="AA9" s="780" t="s">
        <v>44</v>
      </c>
      <c r="AB9" s="780">
        <f>VLOOKUP($AA$6&amp;$AA$8&amp;$AC$5&amp;$AA9&amp;AB$7&amp;$AB$6, vw.deaths.demo,7, FALSE)</f>
        <v>122</v>
      </c>
      <c r="AC9" s="780">
        <f>VLOOKUP($AA$6&amp;$AA$8&amp;$AC$5&amp;$AA9&amp;AC$7&amp;$AB$6, vw.deaths.demo,7, FALSE)</f>
        <v>45</v>
      </c>
      <c r="AD9" s="780">
        <f>VLOOKUP($AA$6&amp;$AA$8&amp;$AC$5&amp;$AA9&amp;AD$7&amp;$AB$6, vw.deaths.demo,7, FALSE)</f>
        <v>73</v>
      </c>
      <c r="AE9" s="780">
        <f>VLOOKUP($AA$6&amp;$AA$8&amp;$AC$5&amp;$AA9&amp;AE$7&amp;$AB$6, vw.deaths.demo,7, FALSE)</f>
        <v>173</v>
      </c>
      <c r="AF9" s="780">
        <f>VLOOKUP($AA$6&amp;$AA$8&amp;$AC$5&amp;$AA9&amp;AF$7&amp;$AB$6, vw.deaths.demo,7, FALSE)</f>
        <v>413</v>
      </c>
      <c r="AG9" s="780">
        <f>VLOOKUP($AA$6&amp;$AA$8&amp;$AC$5&amp;$AA9&amp;AG$7&amp;$AG$6, vw.deaths.demo, 7, FALSE)</f>
        <v>103</v>
      </c>
      <c r="AH9" s="780">
        <f>VLOOKUP($AA$6&amp;$AA$8&amp;$AC$5&amp;$AA9&amp;AH$7&amp;$AG$6, vw.deaths.demo, 7, FALSE)</f>
        <v>37</v>
      </c>
      <c r="AI9" s="780">
        <f>VLOOKUP($AA$6&amp;$AA$8&amp;$AC$5&amp;$AA9&amp;AI$7&amp;$AG$6, vw.deaths.demo, 7, FALSE)</f>
        <v>27</v>
      </c>
      <c r="AJ9" s="780">
        <f>VLOOKUP($AA$6&amp;$AA$8&amp;$AC$5&amp;$AA9&amp;AJ$7&amp;$AG$6, vw.deaths.demo, 7, FALSE)</f>
        <v>74</v>
      </c>
      <c r="AK9" s="780">
        <f>VLOOKUP($AA$6&amp;$AA$8&amp;$AC$5&amp;$AA9&amp;AK$7&amp;$AG$6, vw.deaths.demo, 7, FALSE)</f>
        <v>241</v>
      </c>
      <c r="AL9" s="780">
        <f>VLOOKUP($AA$6&amp;$AA$8&amp;$AC$5&amp;$AA$9&amp;AL$7, vw.births.demo, 7, FALSE)</f>
        <v>17329</v>
      </c>
      <c r="AM9" s="780">
        <f>VLOOKUP($AA$6&amp;$AA$8&amp;$AC$5&amp;$AA$9&amp;AM$7, vw.births.demo, 7, FALSE)</f>
        <v>5976</v>
      </c>
      <c r="AN9" s="780">
        <f>VLOOKUP($AA$6&amp;$AA$8&amp;$AC$5&amp;$AA$9&amp;AN$7, vw.births.demo, 7, FALSE)</f>
        <v>10902</v>
      </c>
      <c r="AO9" s="780">
        <f>VLOOKUP($AA$6&amp;$AA$8&amp;$AC$5&amp;$AA$9&amp;AO$7, vw.births.demo, 7, FALSE)</f>
        <v>26229</v>
      </c>
      <c r="AP9" s="780">
        <f>VLOOKUP($AA$6&amp;$AA$8&amp;$AC$5&amp;$AA$9&amp;AP$7, vw.births.demo, 7, FALSE)</f>
        <v>60436</v>
      </c>
      <c r="AQ9" s="243"/>
      <c r="AR9" s="243"/>
      <c r="AS9" s="243"/>
      <c r="AT9" s="243"/>
      <c r="AU9" s="243"/>
    </row>
    <row r="10" spans="1:49">
      <c r="A10" s="80" t="s">
        <v>69</v>
      </c>
      <c r="B10" s="328"/>
      <c r="C10" s="328"/>
      <c r="D10" s="328"/>
      <c r="E10" s="328"/>
      <c r="F10" s="328"/>
      <c r="G10" s="328"/>
      <c r="H10" s="328"/>
      <c r="I10" s="328"/>
      <c r="J10" s="328"/>
      <c r="K10" s="328"/>
      <c r="L10" s="328"/>
      <c r="M10" s="328"/>
      <c r="N10" s="328"/>
      <c r="O10" s="328"/>
      <c r="P10" s="328"/>
      <c r="Q10" s="167"/>
      <c r="R10" s="322"/>
      <c r="S10" s="167"/>
      <c r="T10" s="167"/>
      <c r="U10" s="167"/>
      <c r="AA10" s="780" t="s">
        <v>69</v>
      </c>
      <c r="AQ10" s="243"/>
      <c r="AR10" s="243"/>
      <c r="AS10" s="243"/>
      <c r="AT10" s="243"/>
    </row>
    <row r="11" spans="1:49" s="77" customFormat="1">
      <c r="A11" s="82" t="s">
        <v>70</v>
      </c>
      <c r="B11" s="531">
        <f>AB11</f>
        <v>65</v>
      </c>
      <c r="C11" s="531">
        <f t="shared" ref="C11:F13" si="3">AC11</f>
        <v>22</v>
      </c>
      <c r="D11" s="531">
        <f t="shared" si="3"/>
        <v>37</v>
      </c>
      <c r="E11" s="531">
        <f t="shared" si="3"/>
        <v>92</v>
      </c>
      <c r="F11" s="351">
        <f t="shared" si="3"/>
        <v>216</v>
      </c>
      <c r="G11" s="333">
        <f>AG11</f>
        <v>53</v>
      </c>
      <c r="H11" s="333">
        <f t="shared" ref="H11:K13" si="4">AH11</f>
        <v>22</v>
      </c>
      <c r="I11" s="333">
        <f t="shared" si="4"/>
        <v>12</v>
      </c>
      <c r="J11" s="333">
        <f t="shared" si="4"/>
        <v>40</v>
      </c>
      <c r="K11" s="351">
        <f t="shared" si="4"/>
        <v>127</v>
      </c>
      <c r="L11" s="333">
        <f>AL11</f>
        <v>8885</v>
      </c>
      <c r="M11" s="333">
        <f t="shared" ref="M11:P13" si="5">AM11</f>
        <v>3092</v>
      </c>
      <c r="N11" s="333">
        <f t="shared" si="5"/>
        <v>5588</v>
      </c>
      <c r="O11" s="333">
        <f t="shared" si="5"/>
        <v>13444</v>
      </c>
      <c r="P11" s="333">
        <f t="shared" si="5"/>
        <v>31009</v>
      </c>
      <c r="S11" s="167"/>
      <c r="T11" s="167"/>
      <c r="U11" s="167"/>
      <c r="V11" s="245"/>
      <c r="W11" s="245"/>
      <c r="X11" s="243"/>
      <c r="Y11" s="243"/>
      <c r="Z11" s="243"/>
      <c r="AA11" s="780" t="s">
        <v>70</v>
      </c>
      <c r="AB11" s="780">
        <f t="shared" ref="AB11:AF13" si="6">VLOOKUP($AA$6&amp;$AA$10&amp;$AC$5&amp;$AA11&amp;AB$7&amp;$AB$6, vw.deaths.demo,7, FALSE)</f>
        <v>65</v>
      </c>
      <c r="AC11" s="780">
        <f t="shared" si="6"/>
        <v>22</v>
      </c>
      <c r="AD11" s="780">
        <f t="shared" si="6"/>
        <v>37</v>
      </c>
      <c r="AE11" s="780">
        <f t="shared" si="6"/>
        <v>92</v>
      </c>
      <c r="AF11" s="780">
        <f t="shared" si="6"/>
        <v>216</v>
      </c>
      <c r="AG11" s="780">
        <f t="shared" ref="AG11:AK12" si="7">VLOOKUP($AA$6&amp;$AA$10&amp;$AC$5&amp;$AA11&amp;AG$7&amp;$AG$6, vw.deaths.demo, 7, FALSE)</f>
        <v>53</v>
      </c>
      <c r="AH11" s="780">
        <f t="shared" si="7"/>
        <v>22</v>
      </c>
      <c r="AI11" s="780">
        <f t="shared" si="7"/>
        <v>12</v>
      </c>
      <c r="AJ11" s="780">
        <f t="shared" si="7"/>
        <v>40</v>
      </c>
      <c r="AK11" s="780">
        <f t="shared" si="7"/>
        <v>127</v>
      </c>
      <c r="AL11" s="780">
        <f>VLOOKUP($AA$6&amp;$AA$10&amp;$AC$5&amp;$AA$11&amp;AL$7, vw.births.demo, 7, FALSE)</f>
        <v>8885</v>
      </c>
      <c r="AM11" s="780">
        <f>VLOOKUP($AA$6&amp;$AA$10&amp;$AC$5&amp;$AA$11&amp;AM$7, vw.births.demo, 7, FALSE)</f>
        <v>3092</v>
      </c>
      <c r="AN11" s="780">
        <f>VLOOKUP($AA$6&amp;$AA$10&amp;$AC$5&amp;$AA$11&amp;AN$7, vw.births.demo, 7, FALSE)</f>
        <v>5588</v>
      </c>
      <c r="AO11" s="780">
        <f>VLOOKUP($AA$6&amp;$AA$10&amp;$AC$5&amp;$AA$11&amp;AO$7, vw.births.demo, 7, FALSE)</f>
        <v>13444</v>
      </c>
      <c r="AP11" s="780">
        <f>VLOOKUP($AA$6&amp;$AA$10&amp;$AC$5&amp;$AA$11&amp;AP$7, vw.births.demo, 7, FALSE)</f>
        <v>31009</v>
      </c>
      <c r="AQ11" s="245"/>
      <c r="AR11" s="245"/>
      <c r="AS11" s="245"/>
      <c r="AT11" s="245"/>
      <c r="AU11" s="243"/>
    </row>
    <row r="12" spans="1:49" s="77" customFormat="1">
      <c r="A12" s="82" t="s">
        <v>71</v>
      </c>
      <c r="B12" s="531">
        <f>AB12</f>
        <v>52</v>
      </c>
      <c r="C12" s="531">
        <f t="shared" si="3"/>
        <v>21</v>
      </c>
      <c r="D12" s="531">
        <f t="shared" si="3"/>
        <v>36</v>
      </c>
      <c r="E12" s="531">
        <f t="shared" si="3"/>
        <v>80</v>
      </c>
      <c r="F12" s="351">
        <f t="shared" si="3"/>
        <v>189</v>
      </c>
      <c r="G12" s="333">
        <f>AG12</f>
        <v>50</v>
      </c>
      <c r="H12" s="333">
        <f t="shared" si="4"/>
        <v>15</v>
      </c>
      <c r="I12" s="333">
        <f t="shared" si="4"/>
        <v>15</v>
      </c>
      <c r="J12" s="333">
        <f t="shared" si="4"/>
        <v>34</v>
      </c>
      <c r="K12" s="351">
        <f t="shared" si="4"/>
        <v>114</v>
      </c>
      <c r="L12" s="333">
        <f t="shared" ref="L12:L13" si="8">AL12</f>
        <v>8444</v>
      </c>
      <c r="M12" s="333">
        <f t="shared" si="5"/>
        <v>2884</v>
      </c>
      <c r="N12" s="333">
        <f t="shared" si="5"/>
        <v>5314</v>
      </c>
      <c r="O12" s="333">
        <f t="shared" si="5"/>
        <v>12785</v>
      </c>
      <c r="P12" s="333">
        <f t="shared" si="5"/>
        <v>29427</v>
      </c>
      <c r="V12" s="243"/>
      <c r="W12" s="243"/>
      <c r="X12" s="243"/>
      <c r="Y12" s="243"/>
      <c r="Z12" s="243"/>
      <c r="AA12" s="780" t="s">
        <v>71</v>
      </c>
      <c r="AB12" s="780">
        <f t="shared" si="6"/>
        <v>52</v>
      </c>
      <c r="AC12" s="780">
        <f t="shared" si="6"/>
        <v>21</v>
      </c>
      <c r="AD12" s="780">
        <f t="shared" si="6"/>
        <v>36</v>
      </c>
      <c r="AE12" s="780">
        <f t="shared" si="6"/>
        <v>80</v>
      </c>
      <c r="AF12" s="780">
        <f t="shared" si="6"/>
        <v>189</v>
      </c>
      <c r="AG12" s="780">
        <f t="shared" si="7"/>
        <v>50</v>
      </c>
      <c r="AH12" s="780">
        <f t="shared" si="7"/>
        <v>15</v>
      </c>
      <c r="AI12" s="780">
        <f t="shared" si="7"/>
        <v>15</v>
      </c>
      <c r="AJ12" s="780">
        <f t="shared" si="7"/>
        <v>34</v>
      </c>
      <c r="AK12" s="780">
        <f t="shared" si="7"/>
        <v>114</v>
      </c>
      <c r="AL12" s="780">
        <f>VLOOKUP($AA$6&amp;$AA$10&amp;$AC$5&amp;$AA$12&amp;AL$7, vw.births.demo, 7, FALSE)</f>
        <v>8444</v>
      </c>
      <c r="AM12" s="780">
        <f>VLOOKUP($AA$6&amp;$AA$10&amp;$AC$5&amp;$AA$12&amp;AM$7, vw.births.demo, 7, FALSE)</f>
        <v>2884</v>
      </c>
      <c r="AN12" s="780">
        <f>VLOOKUP($AA$6&amp;$AA$10&amp;$AC$5&amp;$AA$12&amp;AN$7, vw.births.demo, 7, FALSE)</f>
        <v>5314</v>
      </c>
      <c r="AO12" s="780">
        <f>VLOOKUP($AA$6&amp;$AA$10&amp;$AC$5&amp;$AA$12&amp;AO$7, vw.births.demo, 7, FALSE)</f>
        <v>12785</v>
      </c>
      <c r="AP12" s="780">
        <f>VLOOKUP($AA$6&amp;$AA$10&amp;$AC$5&amp;$AA$12&amp;AP$7, vw.births.demo, 7, FALSE)</f>
        <v>29427</v>
      </c>
      <c r="AQ12" s="243"/>
      <c r="AR12" s="243"/>
      <c r="AS12" s="243"/>
      <c r="AT12" s="243"/>
      <c r="AU12" s="243"/>
    </row>
    <row r="13" spans="1:49" s="77" customFormat="1">
      <c r="A13" s="58" t="s">
        <v>63</v>
      </c>
      <c r="B13" s="531">
        <f>AB13</f>
        <v>5</v>
      </c>
      <c r="C13" s="531">
        <f t="shared" si="3"/>
        <v>2</v>
      </c>
      <c r="D13" s="531">
        <f t="shared" si="3"/>
        <v>0</v>
      </c>
      <c r="E13" s="531">
        <f t="shared" si="3"/>
        <v>1</v>
      </c>
      <c r="F13" s="351">
        <f t="shared" si="3"/>
        <v>8</v>
      </c>
      <c r="G13" s="334">
        <f>AG13</f>
        <v>0</v>
      </c>
      <c r="H13" s="334">
        <f t="shared" si="4"/>
        <v>0</v>
      </c>
      <c r="I13" s="334">
        <f t="shared" si="4"/>
        <v>0</v>
      </c>
      <c r="J13" s="334">
        <f t="shared" si="4"/>
        <v>0</v>
      </c>
      <c r="K13" s="351">
        <f t="shared" si="4"/>
        <v>0</v>
      </c>
      <c r="L13" s="333">
        <f t="shared" si="8"/>
        <v>0</v>
      </c>
      <c r="M13" s="333">
        <f t="shared" si="5"/>
        <v>0</v>
      </c>
      <c r="N13" s="333">
        <f t="shared" si="5"/>
        <v>0</v>
      </c>
      <c r="O13" s="333">
        <f t="shared" si="5"/>
        <v>0</v>
      </c>
      <c r="P13" s="333">
        <f t="shared" si="5"/>
        <v>0</v>
      </c>
      <c r="V13" s="243"/>
      <c r="W13" s="243"/>
      <c r="X13" s="243"/>
      <c r="Y13" s="243"/>
      <c r="Z13" s="243"/>
      <c r="AA13" s="780" t="s">
        <v>458</v>
      </c>
      <c r="AB13" s="780">
        <f>IFERROR(VLOOKUP($AA$6&amp;$AA$10&amp;$AC$5&amp;$AA13&amp;AB$7&amp;$AB$6, vw.deaths.demo,7, FALSE),0)</f>
        <v>5</v>
      </c>
      <c r="AC13" s="780">
        <f>IFERROR(VLOOKUP($AA$6&amp;$AA$10&amp;$AC$5&amp;$AA13&amp;AC$7&amp;$AB$6, vw.deaths.demo,7, FALSE),0)</f>
        <v>2</v>
      </c>
      <c r="AD13" s="780">
        <f>IFERROR(VLOOKUP($AA$6&amp;$AA$10&amp;$AC$5&amp;$AA13&amp;AD$7&amp;$AB$6, vw.deaths.demo,7, FALSE),0)</f>
        <v>0</v>
      </c>
      <c r="AE13" s="780">
        <f>IFERROR(VLOOKUP($AA$6&amp;$AA$10&amp;$AC$5&amp;$AA13&amp;AE$7&amp;$AB$6, vw.deaths.demo,7, FALSE),0)</f>
        <v>1</v>
      </c>
      <c r="AF13" s="780">
        <f t="shared" si="6"/>
        <v>8</v>
      </c>
      <c r="AG13" s="780">
        <f>IFERROR(VLOOKUP($AA$6&amp;$AA$10&amp;$AC$5&amp;$AA13&amp;AG$7&amp;$AG$6, vw.deaths.demo, 7, FALSE),0)</f>
        <v>0</v>
      </c>
      <c r="AH13" s="780">
        <f>IFERROR(VLOOKUP($AA$6&amp;$AA$10&amp;$AC$5&amp;$AA13&amp;AH$7&amp;$AG$6, vw.deaths.demo, 7, FALSE),0)</f>
        <v>0</v>
      </c>
      <c r="AI13" s="780">
        <f>IFERROR(VLOOKUP($AA$6&amp;$AA$10&amp;$AC$5&amp;$AA13&amp;AI$7&amp;$AG$6, vw.deaths.demo, 7, FALSE),0)</f>
        <v>0</v>
      </c>
      <c r="AJ13" s="780">
        <f>IFERROR(VLOOKUP($AA$6&amp;$AA$10&amp;$AC$5&amp;$AA13&amp;AJ$7&amp;$AG$6, vw.deaths.demo, 7, FALSE),0)</f>
        <v>0</v>
      </c>
      <c r="AK13" s="780">
        <f>IFERROR(VLOOKUP($AA$6&amp;$AA$10&amp;$AC$5&amp;$AA13&amp;AK$7&amp;$AG$6, vw.deaths.demo, 7, FALSE),0)</f>
        <v>0</v>
      </c>
      <c r="AL13" s="780">
        <f>IFERROR(VLOOKUP($AA$6&amp;$AA$10&amp;$AC$5&amp;$AA$13&amp;AL$7, vw.births.demo, 7, FALSE),0)</f>
        <v>0</v>
      </c>
      <c r="AM13" s="780">
        <f>IFERROR(VLOOKUP($AA$6&amp;$AA$10&amp;$AC$5&amp;$AA$13&amp;AM$7, vw.births.demo, 7, FALSE),0)</f>
        <v>0</v>
      </c>
      <c r="AN13" s="780">
        <f>IFERROR(VLOOKUP($AA$6&amp;$AA$10&amp;$AC$5&amp;$AA$13&amp;AN$7, vw.births.demo, 7, FALSE),0)</f>
        <v>0</v>
      </c>
      <c r="AO13" s="780">
        <f>IFERROR(VLOOKUP($AA$6&amp;$AA$10&amp;$AC$5&amp;$AA$13&amp;AO$7, vw.births.demo, 7, FALSE),0)</f>
        <v>0</v>
      </c>
      <c r="AP13" s="780">
        <f>IFERROR(VLOOKUP($AA$6&amp;$AA$10&amp;$AC$5&amp;$AA$13&amp;AP$7, vw.births.demo, 7, FALSE),0)</f>
        <v>0</v>
      </c>
      <c r="AQ13" s="243"/>
      <c r="AR13" s="243"/>
      <c r="AS13" s="243"/>
      <c r="AT13" s="243"/>
      <c r="AU13" s="243"/>
    </row>
    <row r="14" spans="1:49">
      <c r="A14" s="80" t="s">
        <v>152</v>
      </c>
      <c r="B14" s="328"/>
      <c r="C14" s="328"/>
      <c r="D14" s="328"/>
      <c r="E14" s="328"/>
      <c r="F14" s="328"/>
      <c r="G14" s="328"/>
      <c r="H14" s="328"/>
      <c r="I14" s="328"/>
      <c r="J14" s="328"/>
      <c r="K14" s="328"/>
      <c r="L14" s="328"/>
      <c r="M14" s="328"/>
      <c r="N14" s="328"/>
      <c r="O14" s="328"/>
      <c r="P14" s="328"/>
      <c r="Q14" s="167"/>
      <c r="R14" s="167"/>
      <c r="S14" s="167"/>
      <c r="T14" s="167"/>
      <c r="U14" s="167"/>
      <c r="AA14" s="780" t="s">
        <v>462</v>
      </c>
      <c r="AQ14" s="243"/>
      <c r="AR14" s="243"/>
      <c r="AS14" s="243"/>
      <c r="AT14" s="243"/>
    </row>
    <row r="15" spans="1:49" s="77" customFormat="1">
      <c r="A15" s="423" t="s">
        <v>339</v>
      </c>
      <c r="B15" s="333">
        <f>AB15</f>
        <v>20</v>
      </c>
      <c r="C15" s="333">
        <f t="shared" ref="C15:F15" si="9">AC15</f>
        <v>5</v>
      </c>
      <c r="D15" s="333">
        <f t="shared" si="9"/>
        <v>1</v>
      </c>
      <c r="E15" s="333">
        <f t="shared" si="9"/>
        <v>10</v>
      </c>
      <c r="F15" s="351">
        <f t="shared" si="9"/>
        <v>36</v>
      </c>
      <c r="G15" s="332">
        <f>AG15</f>
        <v>20</v>
      </c>
      <c r="H15" s="332">
        <f t="shared" ref="H15:K21" si="10">AH15</f>
        <v>7</v>
      </c>
      <c r="I15" s="332">
        <f t="shared" si="10"/>
        <v>0</v>
      </c>
      <c r="J15" s="332">
        <f t="shared" si="10"/>
        <v>0</v>
      </c>
      <c r="K15" s="351">
        <f t="shared" si="10"/>
        <v>27</v>
      </c>
      <c r="L15" s="332">
        <f>AL15</f>
        <v>1613</v>
      </c>
      <c r="M15" s="332">
        <f t="shared" ref="M15:P21" si="11">AM15</f>
        <v>380</v>
      </c>
      <c r="N15" s="332">
        <f t="shared" si="11"/>
        <v>45</v>
      </c>
      <c r="O15" s="332">
        <f t="shared" si="11"/>
        <v>521</v>
      </c>
      <c r="P15" s="332">
        <f t="shared" si="11"/>
        <v>2559</v>
      </c>
      <c r="R15" s="82"/>
      <c r="S15" s="82"/>
      <c r="T15" s="82"/>
      <c r="V15" s="243"/>
      <c r="W15" s="243"/>
      <c r="X15" s="243"/>
      <c r="Y15" s="243"/>
      <c r="Z15" s="243"/>
      <c r="AA15" s="780" t="s">
        <v>339</v>
      </c>
      <c r="AB15" s="780">
        <f t="shared" ref="AB15:AF20" si="12">VLOOKUP($AA$6&amp;$AA$14&amp;$AC$5&amp;$AA15&amp;AB$7&amp;$AB$6, vw.deaths.demo,7, FALSE)</f>
        <v>20</v>
      </c>
      <c r="AC15" s="780">
        <f t="shared" si="12"/>
        <v>5</v>
      </c>
      <c r="AD15" s="780">
        <f t="shared" si="12"/>
        <v>1</v>
      </c>
      <c r="AE15" s="780">
        <f t="shared" si="12"/>
        <v>10</v>
      </c>
      <c r="AF15" s="780">
        <f t="shared" si="12"/>
        <v>36</v>
      </c>
      <c r="AG15" s="780">
        <f t="shared" ref="AG15:AK20" si="13">VLOOKUP($AA$6&amp;$AA$14&amp;$AC$5&amp;$AA15&amp;AG$7&amp;$AG$6, vw.deaths.demo, 7, FALSE)</f>
        <v>20</v>
      </c>
      <c r="AH15" s="780">
        <f t="shared" si="13"/>
        <v>7</v>
      </c>
      <c r="AI15" s="780">
        <f t="shared" si="13"/>
        <v>0</v>
      </c>
      <c r="AJ15" s="780">
        <f t="shared" si="13"/>
        <v>0</v>
      </c>
      <c r="AK15" s="780">
        <f t="shared" si="13"/>
        <v>27</v>
      </c>
      <c r="AL15" s="780">
        <f>VLOOKUP($AA$6&amp;$AA$14&amp;$AC$5&amp;$AA$15&amp;AL$7, vw.births.demo, 7, FALSE)</f>
        <v>1613</v>
      </c>
      <c r="AM15" s="780">
        <f>VLOOKUP($AA$6&amp;$AA$14&amp;$AC$5&amp;$AA$15&amp;AM$7, vw.births.demo, 7, FALSE)</f>
        <v>380</v>
      </c>
      <c r="AN15" s="780">
        <f>VLOOKUP($AA$6&amp;$AA$14&amp;$AC$5&amp;$AA$15&amp;AN$7, vw.births.demo, 7, FALSE)</f>
        <v>45</v>
      </c>
      <c r="AO15" s="780">
        <f>VLOOKUP($AA$6&amp;$AA$14&amp;$AC$5&amp;$AA$15&amp;AO$7, vw.births.demo, 7, FALSE)</f>
        <v>521</v>
      </c>
      <c r="AP15" s="780">
        <f>VLOOKUP($AA$6&amp;$AA$14&amp;$AC$5&amp;$AA$15&amp;AP$7, vw.births.demo, 7, FALSE)</f>
        <v>2559</v>
      </c>
      <c r="AQ15" s="243"/>
      <c r="AR15" s="243"/>
      <c r="AS15" s="243"/>
      <c r="AT15" s="243"/>
      <c r="AU15" s="243"/>
    </row>
    <row r="16" spans="1:49" s="77" customFormat="1">
      <c r="A16" s="82" t="s">
        <v>77</v>
      </c>
      <c r="B16" s="333">
        <f t="shared" ref="B16:B21" si="14">AB16</f>
        <v>35</v>
      </c>
      <c r="C16" s="333">
        <f t="shared" ref="C16:C21" si="15">AC16</f>
        <v>8</v>
      </c>
      <c r="D16" s="333">
        <f t="shared" ref="D16:D21" si="16">AD16</f>
        <v>7</v>
      </c>
      <c r="E16" s="333">
        <f t="shared" ref="E16:E21" si="17">AE16</f>
        <v>23</v>
      </c>
      <c r="F16" s="351">
        <f t="shared" ref="F16:F21" si="18">AF16</f>
        <v>73</v>
      </c>
      <c r="G16" s="332">
        <f t="shared" ref="G16:G21" si="19">AG16</f>
        <v>31</v>
      </c>
      <c r="H16" s="332">
        <f t="shared" si="10"/>
        <v>12</v>
      </c>
      <c r="I16" s="332">
        <f t="shared" si="10"/>
        <v>6</v>
      </c>
      <c r="J16" s="332">
        <f t="shared" si="10"/>
        <v>12</v>
      </c>
      <c r="K16" s="351">
        <f t="shared" si="10"/>
        <v>61</v>
      </c>
      <c r="L16" s="332">
        <f t="shared" ref="L16:L21" si="20">AL16</f>
        <v>4901</v>
      </c>
      <c r="M16" s="332">
        <f t="shared" si="11"/>
        <v>1509</v>
      </c>
      <c r="N16" s="332">
        <f t="shared" si="11"/>
        <v>790</v>
      </c>
      <c r="O16" s="332">
        <f t="shared" si="11"/>
        <v>2734</v>
      </c>
      <c r="P16" s="332">
        <f t="shared" si="11"/>
        <v>9934</v>
      </c>
      <c r="R16" s="82"/>
      <c r="S16" s="82"/>
      <c r="T16" s="82"/>
      <c r="V16" s="243"/>
      <c r="W16" s="243"/>
      <c r="X16" s="243"/>
      <c r="Y16" s="243"/>
      <c r="Z16" s="243"/>
      <c r="AA16" s="780" t="s">
        <v>130</v>
      </c>
      <c r="AB16" s="780">
        <f t="shared" si="12"/>
        <v>35</v>
      </c>
      <c r="AC16" s="780">
        <f t="shared" si="12"/>
        <v>8</v>
      </c>
      <c r="AD16" s="780">
        <f t="shared" si="12"/>
        <v>7</v>
      </c>
      <c r="AE16" s="780">
        <f t="shared" si="12"/>
        <v>23</v>
      </c>
      <c r="AF16" s="780">
        <f t="shared" si="12"/>
        <v>73</v>
      </c>
      <c r="AG16" s="780">
        <f t="shared" si="13"/>
        <v>31</v>
      </c>
      <c r="AH16" s="780">
        <f t="shared" si="13"/>
        <v>12</v>
      </c>
      <c r="AI16" s="780">
        <f t="shared" si="13"/>
        <v>6</v>
      </c>
      <c r="AJ16" s="780">
        <f t="shared" si="13"/>
        <v>12</v>
      </c>
      <c r="AK16" s="780">
        <f t="shared" si="13"/>
        <v>61</v>
      </c>
      <c r="AL16" s="780">
        <f>VLOOKUP($AA$6&amp;$AA$14&amp;$AC$5&amp;$AA$16&amp;AL$7, vw.births.demo, 7, FALSE)</f>
        <v>4901</v>
      </c>
      <c r="AM16" s="780">
        <f>VLOOKUP($AA$6&amp;$AA$14&amp;$AC$5&amp;$AA$16&amp;AM$7, vw.births.demo, 7, FALSE)</f>
        <v>1509</v>
      </c>
      <c r="AN16" s="780">
        <f>VLOOKUP($AA$6&amp;$AA$14&amp;$AC$5&amp;$AA$16&amp;AN$7, vw.births.demo, 7, FALSE)</f>
        <v>790</v>
      </c>
      <c r="AO16" s="780">
        <f>VLOOKUP($AA$6&amp;$AA$14&amp;$AC$5&amp;$AA$16&amp;AO$7, vw.births.demo, 7, FALSE)</f>
        <v>2734</v>
      </c>
      <c r="AP16" s="780">
        <f>VLOOKUP($AA$6&amp;$AA$14&amp;$AC$5&amp;$AA$16&amp;AP$7, vw.births.demo, 7, FALSE)</f>
        <v>9934</v>
      </c>
      <c r="AQ16" s="243"/>
      <c r="AR16" s="243"/>
      <c r="AS16" s="243"/>
      <c r="AT16" s="243"/>
      <c r="AU16" s="243"/>
    </row>
    <row r="17" spans="1:47" s="77" customFormat="1">
      <c r="A17" s="82" t="s">
        <v>78</v>
      </c>
      <c r="B17" s="333">
        <f t="shared" si="14"/>
        <v>28</v>
      </c>
      <c r="C17" s="333">
        <f t="shared" si="15"/>
        <v>13</v>
      </c>
      <c r="D17" s="333">
        <f t="shared" si="16"/>
        <v>18</v>
      </c>
      <c r="E17" s="333">
        <f t="shared" si="17"/>
        <v>44</v>
      </c>
      <c r="F17" s="351">
        <f t="shared" si="18"/>
        <v>103</v>
      </c>
      <c r="G17" s="332">
        <f t="shared" si="19"/>
        <v>27</v>
      </c>
      <c r="H17" s="332">
        <f t="shared" si="10"/>
        <v>3</v>
      </c>
      <c r="I17" s="332">
        <f t="shared" si="10"/>
        <v>5</v>
      </c>
      <c r="J17" s="332">
        <f t="shared" si="10"/>
        <v>17</v>
      </c>
      <c r="K17" s="351">
        <f t="shared" si="10"/>
        <v>52</v>
      </c>
      <c r="L17" s="332">
        <f t="shared" si="20"/>
        <v>4991</v>
      </c>
      <c r="M17" s="332">
        <f t="shared" si="11"/>
        <v>1704</v>
      </c>
      <c r="N17" s="332">
        <f t="shared" si="11"/>
        <v>3248</v>
      </c>
      <c r="O17" s="332">
        <f t="shared" si="11"/>
        <v>6721</v>
      </c>
      <c r="P17" s="332">
        <f t="shared" si="11"/>
        <v>16664</v>
      </c>
      <c r="R17" s="82"/>
      <c r="S17" s="82"/>
      <c r="T17" s="82"/>
      <c r="V17" s="243"/>
      <c r="W17" s="243"/>
      <c r="X17" s="243"/>
      <c r="Y17" s="243"/>
      <c r="Z17" s="243"/>
      <c r="AA17" s="780" t="s">
        <v>131</v>
      </c>
      <c r="AB17" s="780">
        <f t="shared" si="12"/>
        <v>28</v>
      </c>
      <c r="AC17" s="780">
        <f t="shared" si="12"/>
        <v>13</v>
      </c>
      <c r="AD17" s="780">
        <f t="shared" si="12"/>
        <v>18</v>
      </c>
      <c r="AE17" s="780">
        <f t="shared" si="12"/>
        <v>44</v>
      </c>
      <c r="AF17" s="780">
        <f t="shared" si="12"/>
        <v>103</v>
      </c>
      <c r="AG17" s="780">
        <f t="shared" si="13"/>
        <v>27</v>
      </c>
      <c r="AH17" s="780">
        <f t="shared" si="13"/>
        <v>3</v>
      </c>
      <c r="AI17" s="780">
        <f t="shared" si="13"/>
        <v>5</v>
      </c>
      <c r="AJ17" s="780">
        <f t="shared" si="13"/>
        <v>17</v>
      </c>
      <c r="AK17" s="780">
        <f t="shared" si="13"/>
        <v>52</v>
      </c>
      <c r="AL17" s="780">
        <f>VLOOKUP($AA$6&amp;$AA$14&amp;$AC$5&amp;$AA$17&amp;AL$7, vw.births.demo, 7, FALSE)</f>
        <v>4991</v>
      </c>
      <c r="AM17" s="780">
        <f>VLOOKUP($AA$6&amp;$AA$14&amp;$AC$5&amp;$AA$17&amp;AM$7, vw.births.demo, 7, FALSE)</f>
        <v>1704</v>
      </c>
      <c r="AN17" s="780">
        <f>VLOOKUP($AA$6&amp;$AA$14&amp;$AC$5&amp;$AA$17&amp;AN$7, vw.births.demo, 7, FALSE)</f>
        <v>3248</v>
      </c>
      <c r="AO17" s="780">
        <f>VLOOKUP($AA$6&amp;$AA$14&amp;$AC$5&amp;$AA$17&amp;AO$7, vw.births.demo, 7, FALSE)</f>
        <v>6721</v>
      </c>
      <c r="AP17" s="780">
        <f>VLOOKUP($AA$6&amp;$AA$14&amp;$AC$5&amp;$AA$17&amp;AP$7, vw.births.demo, 7, FALSE)</f>
        <v>16664</v>
      </c>
      <c r="AQ17" s="243"/>
      <c r="AR17" s="243"/>
      <c r="AS17" s="243"/>
      <c r="AT17" s="243"/>
      <c r="AU17" s="243"/>
    </row>
    <row r="18" spans="1:47" s="77" customFormat="1">
      <c r="A18" s="82" t="s">
        <v>79</v>
      </c>
      <c r="B18" s="333">
        <f t="shared" si="14"/>
        <v>23</v>
      </c>
      <c r="C18" s="333">
        <f t="shared" si="15"/>
        <v>11</v>
      </c>
      <c r="D18" s="333">
        <f t="shared" si="16"/>
        <v>29</v>
      </c>
      <c r="E18" s="333">
        <f t="shared" si="17"/>
        <v>52</v>
      </c>
      <c r="F18" s="351">
        <f t="shared" si="18"/>
        <v>115</v>
      </c>
      <c r="G18" s="332">
        <f t="shared" si="19"/>
        <v>14</v>
      </c>
      <c r="H18" s="332">
        <f t="shared" si="10"/>
        <v>7</v>
      </c>
      <c r="I18" s="332">
        <f t="shared" si="10"/>
        <v>10</v>
      </c>
      <c r="J18" s="332">
        <f t="shared" si="10"/>
        <v>28</v>
      </c>
      <c r="K18" s="351">
        <f t="shared" si="10"/>
        <v>59</v>
      </c>
      <c r="L18" s="332">
        <f t="shared" si="20"/>
        <v>3514</v>
      </c>
      <c r="M18" s="332">
        <f t="shared" si="11"/>
        <v>1354</v>
      </c>
      <c r="N18" s="332">
        <f t="shared" si="11"/>
        <v>4523</v>
      </c>
      <c r="O18" s="332">
        <f t="shared" si="11"/>
        <v>9329</v>
      </c>
      <c r="P18" s="332">
        <f t="shared" si="11"/>
        <v>18720</v>
      </c>
      <c r="R18" s="82"/>
      <c r="S18" s="82"/>
      <c r="T18" s="82"/>
      <c r="V18" s="243"/>
      <c r="W18" s="243"/>
      <c r="X18" s="243"/>
      <c r="Y18" s="243"/>
      <c r="Z18" s="243"/>
      <c r="AA18" s="780" t="s">
        <v>132</v>
      </c>
      <c r="AB18" s="780">
        <f t="shared" si="12"/>
        <v>23</v>
      </c>
      <c r="AC18" s="780">
        <f t="shared" si="12"/>
        <v>11</v>
      </c>
      <c r="AD18" s="780">
        <f t="shared" si="12"/>
        <v>29</v>
      </c>
      <c r="AE18" s="780">
        <f t="shared" si="12"/>
        <v>52</v>
      </c>
      <c r="AF18" s="780">
        <f t="shared" si="12"/>
        <v>115</v>
      </c>
      <c r="AG18" s="780">
        <f t="shared" si="13"/>
        <v>14</v>
      </c>
      <c r="AH18" s="780">
        <f t="shared" si="13"/>
        <v>7</v>
      </c>
      <c r="AI18" s="780">
        <f t="shared" si="13"/>
        <v>10</v>
      </c>
      <c r="AJ18" s="780">
        <f t="shared" si="13"/>
        <v>28</v>
      </c>
      <c r="AK18" s="780">
        <f t="shared" si="13"/>
        <v>59</v>
      </c>
      <c r="AL18" s="780">
        <f>VLOOKUP($AA$6&amp;$AA$14&amp;$AC$5&amp;$AA$18&amp;AL$7, vw.births.demo, 7, FALSE)</f>
        <v>3514</v>
      </c>
      <c r="AM18" s="780">
        <f>VLOOKUP($AA$6&amp;$AA$14&amp;$AC$5&amp;$AA$18&amp;AM$7, vw.births.demo, 7, FALSE)</f>
        <v>1354</v>
      </c>
      <c r="AN18" s="780">
        <f>VLOOKUP($AA$6&amp;$AA$14&amp;$AC$5&amp;$AA$18&amp;AN$7, vw.births.demo, 7, FALSE)</f>
        <v>4523</v>
      </c>
      <c r="AO18" s="780">
        <f>VLOOKUP($AA$6&amp;$AA$14&amp;$AC$5&amp;$AA$18&amp;AO$7, vw.births.demo, 7, FALSE)</f>
        <v>9329</v>
      </c>
      <c r="AP18" s="780">
        <f>VLOOKUP($AA$6&amp;$AA$14&amp;$AC$5&amp;$AA$18&amp;AP$7, vw.births.demo, 7, FALSE)</f>
        <v>18720</v>
      </c>
      <c r="AQ18" s="243"/>
      <c r="AR18" s="243"/>
      <c r="AS18" s="243"/>
      <c r="AT18" s="243"/>
      <c r="AU18" s="243"/>
    </row>
    <row r="19" spans="1:47" s="77" customFormat="1">
      <c r="A19" s="82" t="s">
        <v>80</v>
      </c>
      <c r="B19" s="333">
        <f t="shared" si="14"/>
        <v>12</v>
      </c>
      <c r="C19" s="333">
        <f t="shared" si="15"/>
        <v>6</v>
      </c>
      <c r="D19" s="333">
        <f t="shared" si="16"/>
        <v>16</v>
      </c>
      <c r="E19" s="333">
        <f t="shared" si="17"/>
        <v>36</v>
      </c>
      <c r="F19" s="351">
        <f t="shared" si="18"/>
        <v>70</v>
      </c>
      <c r="G19" s="332">
        <f t="shared" si="19"/>
        <v>8</v>
      </c>
      <c r="H19" s="332">
        <f t="shared" si="10"/>
        <v>4</v>
      </c>
      <c r="I19" s="332">
        <f t="shared" si="10"/>
        <v>5</v>
      </c>
      <c r="J19" s="332">
        <f t="shared" si="10"/>
        <v>9</v>
      </c>
      <c r="K19" s="351">
        <f t="shared" si="10"/>
        <v>26</v>
      </c>
      <c r="L19" s="332">
        <f t="shared" si="20"/>
        <v>1805</v>
      </c>
      <c r="M19" s="332">
        <f t="shared" si="11"/>
        <v>795</v>
      </c>
      <c r="N19" s="332">
        <f t="shared" si="11"/>
        <v>1938</v>
      </c>
      <c r="O19" s="332">
        <f t="shared" si="11"/>
        <v>5567</v>
      </c>
      <c r="P19" s="332">
        <f t="shared" si="11"/>
        <v>10105</v>
      </c>
      <c r="R19" s="82"/>
      <c r="S19" s="82"/>
      <c r="T19" s="82"/>
      <c r="V19" s="243"/>
      <c r="W19" s="243"/>
      <c r="X19" s="243"/>
      <c r="Y19" s="243"/>
      <c r="Z19" s="243"/>
      <c r="AA19" s="780" t="s">
        <v>133</v>
      </c>
      <c r="AB19" s="780">
        <f t="shared" si="12"/>
        <v>12</v>
      </c>
      <c r="AC19" s="780">
        <f t="shared" si="12"/>
        <v>6</v>
      </c>
      <c r="AD19" s="780">
        <f t="shared" si="12"/>
        <v>16</v>
      </c>
      <c r="AE19" s="780">
        <f t="shared" si="12"/>
        <v>36</v>
      </c>
      <c r="AF19" s="780">
        <f t="shared" si="12"/>
        <v>70</v>
      </c>
      <c r="AG19" s="780">
        <f t="shared" si="13"/>
        <v>8</v>
      </c>
      <c r="AH19" s="780">
        <f t="shared" si="13"/>
        <v>4</v>
      </c>
      <c r="AI19" s="780">
        <f t="shared" si="13"/>
        <v>5</v>
      </c>
      <c r="AJ19" s="780">
        <f t="shared" si="13"/>
        <v>9</v>
      </c>
      <c r="AK19" s="780">
        <f t="shared" si="13"/>
        <v>26</v>
      </c>
      <c r="AL19" s="780">
        <f>VLOOKUP($AA$6&amp;$AA$14&amp;$AC$5&amp;$AA$19&amp;AL$7, vw.births.demo, 7, FALSE)</f>
        <v>1805</v>
      </c>
      <c r="AM19" s="780">
        <f>VLOOKUP($AA$6&amp;$AA$14&amp;$AC$5&amp;$AA$19&amp;AM$7, vw.births.demo, 7, FALSE)</f>
        <v>795</v>
      </c>
      <c r="AN19" s="780">
        <f>VLOOKUP($AA$6&amp;$AA$14&amp;$AC$5&amp;$AA$19&amp;AN$7, vw.births.demo, 7, FALSE)</f>
        <v>1938</v>
      </c>
      <c r="AO19" s="780">
        <f>VLOOKUP($AA$6&amp;$AA$14&amp;$AC$5&amp;$AA$19&amp;AO$7, vw.births.demo, 7, FALSE)</f>
        <v>5567</v>
      </c>
      <c r="AP19" s="780">
        <f>VLOOKUP($AA$6&amp;$AA$14&amp;$AC$5&amp;$AA$19&amp;AP$7, vw.births.demo, 7, FALSE)</f>
        <v>10105</v>
      </c>
      <c r="AQ19" s="245"/>
      <c r="AR19" s="245"/>
      <c r="AS19" s="245"/>
      <c r="AT19" s="245"/>
      <c r="AU19" s="243"/>
    </row>
    <row r="20" spans="1:47" s="77" customFormat="1">
      <c r="A20" s="82" t="s">
        <v>81</v>
      </c>
      <c r="B20" s="333">
        <f t="shared" si="14"/>
        <v>4</v>
      </c>
      <c r="C20" s="333">
        <f t="shared" si="15"/>
        <v>2</v>
      </c>
      <c r="D20" s="333">
        <f t="shared" si="16"/>
        <v>2</v>
      </c>
      <c r="E20" s="333">
        <f t="shared" si="17"/>
        <v>8</v>
      </c>
      <c r="F20" s="351">
        <f t="shared" si="18"/>
        <v>16</v>
      </c>
      <c r="G20" s="332">
        <f t="shared" si="19"/>
        <v>3</v>
      </c>
      <c r="H20" s="332">
        <f t="shared" si="10"/>
        <v>3</v>
      </c>
      <c r="I20" s="332">
        <f t="shared" si="10"/>
        <v>1</v>
      </c>
      <c r="J20" s="332">
        <f t="shared" si="10"/>
        <v>8</v>
      </c>
      <c r="K20" s="351">
        <f t="shared" si="10"/>
        <v>15</v>
      </c>
      <c r="L20" s="332">
        <f t="shared" si="20"/>
        <v>505</v>
      </c>
      <c r="M20" s="332">
        <f t="shared" si="11"/>
        <v>234</v>
      </c>
      <c r="N20" s="332">
        <f t="shared" si="11"/>
        <v>358</v>
      </c>
      <c r="O20" s="332">
        <f t="shared" si="11"/>
        <v>1357</v>
      </c>
      <c r="P20" s="332">
        <f t="shared" si="11"/>
        <v>2454</v>
      </c>
      <c r="R20" s="82"/>
      <c r="S20" s="82"/>
      <c r="T20" s="82"/>
      <c r="V20" s="243"/>
      <c r="W20" s="243"/>
      <c r="X20" s="243"/>
      <c r="Y20" s="243"/>
      <c r="Z20" s="243"/>
      <c r="AA20" s="780" t="s">
        <v>134</v>
      </c>
      <c r="AB20" s="780">
        <f t="shared" si="12"/>
        <v>4</v>
      </c>
      <c r="AC20" s="780">
        <f t="shared" si="12"/>
        <v>2</v>
      </c>
      <c r="AD20" s="780">
        <f t="shared" si="12"/>
        <v>2</v>
      </c>
      <c r="AE20" s="780">
        <f t="shared" si="12"/>
        <v>8</v>
      </c>
      <c r="AF20" s="780">
        <f t="shared" si="12"/>
        <v>16</v>
      </c>
      <c r="AG20" s="780">
        <f t="shared" si="13"/>
        <v>3</v>
      </c>
      <c r="AH20" s="780">
        <f t="shared" si="13"/>
        <v>3</v>
      </c>
      <c r="AI20" s="780">
        <f t="shared" si="13"/>
        <v>1</v>
      </c>
      <c r="AJ20" s="780">
        <f t="shared" si="13"/>
        <v>8</v>
      </c>
      <c r="AK20" s="780">
        <f t="shared" si="13"/>
        <v>15</v>
      </c>
      <c r="AL20" s="780">
        <f>VLOOKUP($AA$6&amp;$AA$14&amp;$AC$5&amp;$AA$20&amp;AL$7, vw.births.demo, 7, FALSE)</f>
        <v>505</v>
      </c>
      <c r="AM20" s="780">
        <f>VLOOKUP($AA$6&amp;$AA$14&amp;$AC$5&amp;$AA$20&amp;AM$7, vw.births.demo, 7, FALSE)</f>
        <v>234</v>
      </c>
      <c r="AN20" s="780">
        <f>VLOOKUP($AA$6&amp;$AA$14&amp;$AC$5&amp;$AA$20&amp;AN$7, vw.births.demo, 7, FALSE)</f>
        <v>358</v>
      </c>
      <c r="AO20" s="780">
        <f>VLOOKUP($AA$6&amp;$AA$14&amp;$AC$5&amp;$AA$20&amp;AO$7, vw.births.demo, 7, FALSE)</f>
        <v>1357</v>
      </c>
      <c r="AP20" s="780">
        <f>VLOOKUP($AA$6&amp;$AA$14&amp;$AC$5&amp;$AA$20&amp;AP$7, vw.births.demo, 7, FALSE)</f>
        <v>2454</v>
      </c>
      <c r="AQ20" s="243"/>
      <c r="AR20" s="243"/>
      <c r="AS20" s="243"/>
      <c r="AT20" s="243"/>
      <c r="AU20" s="243"/>
    </row>
    <row r="21" spans="1:47" s="77" customFormat="1">
      <c r="A21" s="58" t="s">
        <v>63</v>
      </c>
      <c r="B21" s="333">
        <f t="shared" si="14"/>
        <v>0</v>
      </c>
      <c r="C21" s="333">
        <f t="shared" si="15"/>
        <v>0</v>
      </c>
      <c r="D21" s="333">
        <f t="shared" si="16"/>
        <v>0</v>
      </c>
      <c r="E21" s="333">
        <f t="shared" si="17"/>
        <v>0</v>
      </c>
      <c r="F21" s="351">
        <f t="shared" si="18"/>
        <v>0</v>
      </c>
      <c r="G21" s="332">
        <f t="shared" si="19"/>
        <v>0</v>
      </c>
      <c r="H21" s="332">
        <f t="shared" si="10"/>
        <v>1</v>
      </c>
      <c r="I21" s="332">
        <f t="shared" si="10"/>
        <v>0</v>
      </c>
      <c r="J21" s="332">
        <f t="shared" si="10"/>
        <v>0</v>
      </c>
      <c r="K21" s="351">
        <f t="shared" si="10"/>
        <v>1</v>
      </c>
      <c r="L21" s="332">
        <f t="shared" si="20"/>
        <v>0</v>
      </c>
      <c r="M21" s="332">
        <f t="shared" si="11"/>
        <v>0</v>
      </c>
      <c r="N21" s="332">
        <f t="shared" si="11"/>
        <v>0</v>
      </c>
      <c r="O21" s="332">
        <f t="shared" si="11"/>
        <v>0</v>
      </c>
      <c r="P21" s="332">
        <f t="shared" si="11"/>
        <v>0</v>
      </c>
      <c r="V21" s="243"/>
      <c r="W21" s="243"/>
      <c r="X21" s="243"/>
      <c r="Y21" s="243"/>
      <c r="Z21" s="243"/>
      <c r="AA21" s="780" t="s">
        <v>63</v>
      </c>
      <c r="AB21" s="780">
        <f>IFERROR(VLOOKUP($AA$6&amp;$AA$14&amp;$AC$5&amp;$AA21&amp;AB$7&amp;$AB$6, vw.deaths.demo,7, FALSE),0)</f>
        <v>0</v>
      </c>
      <c r="AC21" s="780">
        <f>IFERROR(VLOOKUP($AA$6&amp;$AA$14&amp;$AC$5&amp;$AA21&amp;AC$7&amp;$AB$6, vw.deaths.demo,7, FALSE),0)</f>
        <v>0</v>
      </c>
      <c r="AD21" s="780">
        <f>IFERROR(VLOOKUP($AA$6&amp;$AA$14&amp;$AC$5&amp;$AA21&amp;AD$7&amp;$AB$6, vw.deaths.demo,7, FALSE),0)</f>
        <v>0</v>
      </c>
      <c r="AE21" s="780">
        <f>IFERROR(VLOOKUP($AA$6&amp;$AA$14&amp;$AC$5&amp;$AA21&amp;AE$7&amp;$AB$6, vw.deaths.demo,7, FALSE),0)</f>
        <v>0</v>
      </c>
      <c r="AF21" s="780">
        <f>IFERROR(VLOOKUP($AA$6&amp;$AA$14&amp;$AC$5&amp;$AA21&amp;AF$7&amp;$AB$6, vw.deaths.demo,7, FALSE),0)</f>
        <v>0</v>
      </c>
      <c r="AG21" s="780">
        <f>IFERROR(VLOOKUP($AA$6&amp;$AA$14&amp;$AC$5&amp;$AA21&amp;AG$7&amp;$AG$6, vw.deaths.demo, 7, FALSE),0)</f>
        <v>0</v>
      </c>
      <c r="AH21" s="780">
        <f>IFERROR(VLOOKUP($AA$6&amp;$AA$14&amp;$AC$5&amp;$AA21&amp;AH$7&amp;$AG$6, vw.deaths.demo, 7, FALSE),0)</f>
        <v>1</v>
      </c>
      <c r="AI21" s="780">
        <f>IFERROR(VLOOKUP($AA$6&amp;$AA$14&amp;$AC$5&amp;$AA21&amp;AI$7&amp;$AG$6, vw.deaths.demo, 7, FALSE),0)</f>
        <v>0</v>
      </c>
      <c r="AJ21" s="780">
        <f>IFERROR(VLOOKUP($AA$6&amp;$AA$14&amp;$AC$5&amp;$AA21&amp;AJ$7&amp;$AG$6, vw.deaths.demo, 7, FALSE),0)</f>
        <v>0</v>
      </c>
      <c r="AK21" s="780">
        <f>IFERROR(VLOOKUP($AA$6&amp;$AA$14&amp;$AC$5&amp;$AA21&amp;AK$7&amp;$AG$6, vw.deaths.demo, 7, FALSE),0)</f>
        <v>1</v>
      </c>
      <c r="AL21" s="780">
        <f>IFERROR(VLOOKUP($AA$6&amp;$AA$14&amp;$AC$5&amp;$AA$21&amp;AL$7, vw.births.demo, 7, FALSE),0)</f>
        <v>0</v>
      </c>
      <c r="AM21" s="780">
        <f>IFERROR(VLOOKUP($AA$6&amp;$AA$14&amp;$AC$5&amp;$AA$21&amp;AM$7, vw.births.demo, 7, FALSE),0)</f>
        <v>0</v>
      </c>
      <c r="AN21" s="780">
        <f>IFERROR(VLOOKUP($AA$6&amp;$AA$14&amp;$AC$5&amp;$AA$21&amp;AN$7, vw.births.demo, 7, FALSE),0)</f>
        <v>0</v>
      </c>
      <c r="AO21" s="780">
        <f>IFERROR(VLOOKUP($AA$6&amp;$AA$14&amp;$AC$5&amp;$AA$21&amp;AO$7, vw.births.demo, 7, FALSE),0)</f>
        <v>0</v>
      </c>
      <c r="AP21" s="780">
        <f>IFERROR(VLOOKUP($AA$6&amp;$AA$14&amp;$AC$5&amp;$AA$21&amp;AP$7, vw.births.demo, 7, FALSE),0)</f>
        <v>0</v>
      </c>
      <c r="AQ21" s="243"/>
      <c r="AR21" s="243"/>
      <c r="AS21" s="243"/>
      <c r="AT21" s="243"/>
      <c r="AU21" s="243"/>
    </row>
    <row r="22" spans="1:47">
      <c r="A22" s="80" t="s">
        <v>82</v>
      </c>
      <c r="B22" s="328"/>
      <c r="C22" s="328"/>
      <c r="D22" s="328"/>
      <c r="E22" s="328"/>
      <c r="F22" s="328"/>
      <c r="G22" s="328"/>
      <c r="H22" s="328"/>
      <c r="I22" s="328"/>
      <c r="J22" s="328"/>
      <c r="K22" s="328"/>
      <c r="L22" s="328"/>
      <c r="M22" s="328"/>
      <c r="N22" s="328"/>
      <c r="O22" s="328"/>
      <c r="P22" s="328"/>
      <c r="Q22" s="167"/>
      <c r="R22" s="322"/>
      <c r="S22" s="322"/>
      <c r="T22" s="322"/>
      <c r="U22" s="322"/>
      <c r="AA22" s="784" t="s">
        <v>463</v>
      </c>
      <c r="AQ22" s="243"/>
      <c r="AR22" s="243"/>
      <c r="AS22" s="243"/>
      <c r="AT22" s="243"/>
    </row>
    <row r="23" spans="1:47" s="77" customFormat="1">
      <c r="A23" s="82" t="s">
        <v>83</v>
      </c>
      <c r="B23" s="333">
        <f>AB23</f>
        <v>4</v>
      </c>
      <c r="C23" s="333">
        <f t="shared" ref="C23:F28" si="21">AC23</f>
        <v>1</v>
      </c>
      <c r="D23" s="333">
        <f t="shared" si="21"/>
        <v>13</v>
      </c>
      <c r="E23" s="333">
        <f t="shared" si="21"/>
        <v>25</v>
      </c>
      <c r="F23" s="351">
        <f t="shared" si="21"/>
        <v>43</v>
      </c>
      <c r="G23" s="333">
        <f>AG23</f>
        <v>4</v>
      </c>
      <c r="H23" s="333">
        <f t="shared" ref="H23:K28" si="22">AH23</f>
        <v>0</v>
      </c>
      <c r="I23" s="333">
        <f t="shared" si="22"/>
        <v>6</v>
      </c>
      <c r="J23" s="333">
        <f t="shared" si="22"/>
        <v>14</v>
      </c>
      <c r="K23" s="351">
        <f t="shared" si="22"/>
        <v>24</v>
      </c>
      <c r="L23" s="333">
        <f>AL23</f>
        <v>1159</v>
      </c>
      <c r="M23" s="333">
        <f t="shared" ref="M23:P28" si="23">AM23</f>
        <v>271</v>
      </c>
      <c r="N23" s="333">
        <f t="shared" si="23"/>
        <v>1910</v>
      </c>
      <c r="O23" s="333">
        <f t="shared" si="23"/>
        <v>5854</v>
      </c>
      <c r="P23" s="333">
        <f t="shared" si="23"/>
        <v>9194</v>
      </c>
      <c r="Q23" s="322"/>
      <c r="R23" s="322"/>
      <c r="S23" s="322"/>
      <c r="T23" s="322"/>
      <c r="U23" s="322"/>
      <c r="V23" s="243"/>
      <c r="W23" s="243"/>
      <c r="X23" s="243"/>
      <c r="Y23" s="243"/>
      <c r="Z23" s="243"/>
      <c r="AA23" s="784" t="s">
        <v>421</v>
      </c>
      <c r="AB23" s="780">
        <f t="shared" ref="AB23:AF27" si="24">VLOOKUP($AA$6&amp;$AA$22&amp;$AC$5&amp;$AA23&amp;AB$7&amp;$AB$6, vw.deaths.demo,7, FALSE)</f>
        <v>4</v>
      </c>
      <c r="AC23" s="780">
        <f t="shared" si="24"/>
        <v>1</v>
      </c>
      <c r="AD23" s="780">
        <f t="shared" si="24"/>
        <v>13</v>
      </c>
      <c r="AE23" s="780">
        <f t="shared" si="24"/>
        <v>25</v>
      </c>
      <c r="AF23" s="780">
        <f t="shared" si="24"/>
        <v>43</v>
      </c>
      <c r="AG23" s="780">
        <f t="shared" ref="AG23:AK27" si="25">VLOOKUP($AA$6&amp;$AA$22&amp;$AC$5&amp;$AA23&amp;AG$7&amp;$AG$6, vw.deaths.demo, 7, FALSE)</f>
        <v>4</v>
      </c>
      <c r="AH23" s="780">
        <f t="shared" si="25"/>
        <v>0</v>
      </c>
      <c r="AI23" s="780">
        <f t="shared" si="25"/>
        <v>6</v>
      </c>
      <c r="AJ23" s="780">
        <f t="shared" si="25"/>
        <v>14</v>
      </c>
      <c r="AK23" s="780">
        <f t="shared" si="25"/>
        <v>24</v>
      </c>
      <c r="AL23" s="780">
        <f>VLOOKUP($AA$6&amp;$AA$22&amp;$AC$5&amp;$AA$23&amp;AL$7, vw.births.demo, 7, FALSE)</f>
        <v>1159</v>
      </c>
      <c r="AM23" s="780">
        <f>VLOOKUP($AA$6&amp;$AA$22&amp;$AC$5&amp;$AA$23&amp;AM$7, vw.births.demo, 7, FALSE)</f>
        <v>271</v>
      </c>
      <c r="AN23" s="780">
        <f>VLOOKUP($AA$6&amp;$AA$22&amp;$AC$5&amp;$AA$23&amp;AN$7, vw.births.demo, 7, FALSE)</f>
        <v>1910</v>
      </c>
      <c r="AO23" s="780">
        <f>VLOOKUP($AA$6&amp;$AA$22&amp;$AC$5&amp;$AA$23&amp;AO$7, vw.births.demo, 7, FALSE)</f>
        <v>5854</v>
      </c>
      <c r="AP23" s="780">
        <f>VLOOKUP($AA$6&amp;$AA$22&amp;$AC$5&amp;$AA$23&amp;AP$7, vw.births.demo, 7, FALSE)</f>
        <v>9194</v>
      </c>
      <c r="AQ23" s="243"/>
      <c r="AR23" s="243"/>
      <c r="AS23" s="243"/>
      <c r="AT23" s="243"/>
      <c r="AU23" s="243"/>
    </row>
    <row r="24" spans="1:47" s="77" customFormat="1">
      <c r="A24" s="269">
        <v>2</v>
      </c>
      <c r="B24" s="333">
        <f t="shared" ref="B24:B28" si="26">AB24</f>
        <v>13</v>
      </c>
      <c r="C24" s="333">
        <f t="shared" si="21"/>
        <v>3</v>
      </c>
      <c r="D24" s="333">
        <f t="shared" si="21"/>
        <v>9</v>
      </c>
      <c r="E24" s="333">
        <f t="shared" si="21"/>
        <v>39</v>
      </c>
      <c r="F24" s="351">
        <f t="shared" si="21"/>
        <v>64</v>
      </c>
      <c r="G24" s="333">
        <f t="shared" ref="G24:G28" si="27">AG24</f>
        <v>5</v>
      </c>
      <c r="H24" s="333">
        <f t="shared" si="22"/>
        <v>0</v>
      </c>
      <c r="I24" s="333">
        <f t="shared" si="22"/>
        <v>4</v>
      </c>
      <c r="J24" s="333">
        <f t="shared" si="22"/>
        <v>15</v>
      </c>
      <c r="K24" s="351">
        <f t="shared" si="22"/>
        <v>24</v>
      </c>
      <c r="L24" s="333">
        <f t="shared" ref="L24:L28" si="28">AL24</f>
        <v>1788</v>
      </c>
      <c r="M24" s="333">
        <f t="shared" si="23"/>
        <v>423</v>
      </c>
      <c r="N24" s="333">
        <f t="shared" si="23"/>
        <v>2186</v>
      </c>
      <c r="O24" s="333">
        <f t="shared" si="23"/>
        <v>5726</v>
      </c>
      <c r="P24" s="333">
        <f t="shared" si="23"/>
        <v>10123</v>
      </c>
      <c r="Q24" s="322"/>
      <c r="R24" s="322"/>
      <c r="S24" s="322"/>
      <c r="T24" s="322"/>
      <c r="U24" s="322"/>
      <c r="V24" s="243"/>
      <c r="W24" s="243"/>
      <c r="X24" s="243"/>
      <c r="Y24" s="243"/>
      <c r="Z24" s="243"/>
      <c r="AA24" s="784" t="s">
        <v>422</v>
      </c>
      <c r="AB24" s="780">
        <f t="shared" si="24"/>
        <v>13</v>
      </c>
      <c r="AC24" s="780">
        <f t="shared" si="24"/>
        <v>3</v>
      </c>
      <c r="AD24" s="780">
        <f t="shared" si="24"/>
        <v>9</v>
      </c>
      <c r="AE24" s="780">
        <f t="shared" si="24"/>
        <v>39</v>
      </c>
      <c r="AF24" s="780">
        <f t="shared" si="24"/>
        <v>64</v>
      </c>
      <c r="AG24" s="780">
        <f t="shared" si="25"/>
        <v>5</v>
      </c>
      <c r="AH24" s="780">
        <f t="shared" si="25"/>
        <v>0</v>
      </c>
      <c r="AI24" s="780">
        <f t="shared" si="25"/>
        <v>4</v>
      </c>
      <c r="AJ24" s="780">
        <f t="shared" si="25"/>
        <v>15</v>
      </c>
      <c r="AK24" s="780">
        <f t="shared" si="25"/>
        <v>24</v>
      </c>
      <c r="AL24" s="780">
        <f>VLOOKUP($AA$6&amp;$AA$22&amp;$AC$5&amp;$AA$24&amp;AL$7, vw.births.demo, 7, FALSE)</f>
        <v>1788</v>
      </c>
      <c r="AM24" s="780">
        <f>VLOOKUP($AA$6&amp;$AA$22&amp;$AC$5&amp;$AA$24&amp;AM$7, vw.births.demo, 7, FALSE)</f>
        <v>423</v>
      </c>
      <c r="AN24" s="780">
        <f>VLOOKUP($AA$6&amp;$AA$22&amp;$AC$5&amp;$AA$24&amp;AN$7, vw.births.demo, 7, FALSE)</f>
        <v>2186</v>
      </c>
      <c r="AO24" s="780">
        <f>VLOOKUP($AA$6&amp;$AA$22&amp;$AC$5&amp;$AA$24&amp;AO$7, vw.births.demo, 7, FALSE)</f>
        <v>5726</v>
      </c>
      <c r="AP24" s="780">
        <f>VLOOKUP($AA$6&amp;$AA$22&amp;$AC$5&amp;$AA$24&amp;AP$7, vw.births.demo, 7, FALSE)</f>
        <v>10123</v>
      </c>
      <c r="AQ24" s="243"/>
      <c r="AR24" s="243"/>
      <c r="AS24" s="243"/>
      <c r="AT24" s="243"/>
      <c r="AU24" s="243"/>
    </row>
    <row r="25" spans="1:47" s="77" customFormat="1">
      <c r="A25" s="269">
        <v>3</v>
      </c>
      <c r="B25" s="333">
        <f t="shared" si="26"/>
        <v>18</v>
      </c>
      <c r="C25" s="333">
        <f t="shared" si="21"/>
        <v>3</v>
      </c>
      <c r="D25" s="333">
        <f t="shared" si="21"/>
        <v>14</v>
      </c>
      <c r="E25" s="333">
        <f t="shared" si="21"/>
        <v>33</v>
      </c>
      <c r="F25" s="351">
        <f t="shared" si="21"/>
        <v>68</v>
      </c>
      <c r="G25" s="333">
        <f t="shared" si="27"/>
        <v>12</v>
      </c>
      <c r="H25" s="333">
        <f t="shared" si="22"/>
        <v>0</v>
      </c>
      <c r="I25" s="333">
        <f t="shared" si="22"/>
        <v>4</v>
      </c>
      <c r="J25" s="333">
        <f t="shared" si="22"/>
        <v>16</v>
      </c>
      <c r="K25" s="351">
        <f t="shared" si="22"/>
        <v>32</v>
      </c>
      <c r="L25" s="333">
        <f t="shared" si="28"/>
        <v>2643</v>
      </c>
      <c r="M25" s="333">
        <f t="shared" si="23"/>
        <v>564</v>
      </c>
      <c r="N25" s="333">
        <f t="shared" si="23"/>
        <v>1969</v>
      </c>
      <c r="O25" s="333">
        <f t="shared" si="23"/>
        <v>5795</v>
      </c>
      <c r="P25" s="333">
        <f t="shared" si="23"/>
        <v>10971</v>
      </c>
      <c r="Q25" s="322"/>
      <c r="R25" s="322"/>
      <c r="S25" s="322"/>
      <c r="T25" s="322"/>
      <c r="U25" s="322"/>
      <c r="V25" s="243"/>
      <c r="W25" s="243"/>
      <c r="X25" s="243"/>
      <c r="Y25" s="243"/>
      <c r="Z25" s="243"/>
      <c r="AA25" s="784" t="s">
        <v>423</v>
      </c>
      <c r="AB25" s="780">
        <f t="shared" si="24"/>
        <v>18</v>
      </c>
      <c r="AC25" s="780">
        <f t="shared" si="24"/>
        <v>3</v>
      </c>
      <c r="AD25" s="780">
        <f t="shared" si="24"/>
        <v>14</v>
      </c>
      <c r="AE25" s="780">
        <f t="shared" si="24"/>
        <v>33</v>
      </c>
      <c r="AF25" s="780">
        <f t="shared" si="24"/>
        <v>68</v>
      </c>
      <c r="AG25" s="780">
        <f t="shared" si="25"/>
        <v>12</v>
      </c>
      <c r="AH25" s="780">
        <f t="shared" si="25"/>
        <v>0</v>
      </c>
      <c r="AI25" s="780">
        <f t="shared" si="25"/>
        <v>4</v>
      </c>
      <c r="AJ25" s="780">
        <f t="shared" si="25"/>
        <v>16</v>
      </c>
      <c r="AK25" s="780">
        <f t="shared" si="25"/>
        <v>32</v>
      </c>
      <c r="AL25" s="780">
        <f>VLOOKUP($AA$6&amp;$AA$22&amp;$AC$5&amp;$AA$25&amp;AL$7, vw.births.demo, 7, FALSE)</f>
        <v>2643</v>
      </c>
      <c r="AM25" s="780">
        <f>VLOOKUP($AA$6&amp;$AA$22&amp;$AC$5&amp;$AA$25&amp;AM$7, vw.births.demo, 7, FALSE)</f>
        <v>564</v>
      </c>
      <c r="AN25" s="780">
        <f>VLOOKUP($AA$6&amp;$AA$22&amp;$AC$5&amp;$AA$25&amp;AN$7, vw.births.demo, 7, FALSE)</f>
        <v>1969</v>
      </c>
      <c r="AO25" s="780">
        <f>VLOOKUP($AA$6&amp;$AA$22&amp;$AC$5&amp;$AA$25&amp;AO$7, vw.births.demo, 7, FALSE)</f>
        <v>5795</v>
      </c>
      <c r="AP25" s="780">
        <f>VLOOKUP($AA$6&amp;$AA$22&amp;$AC$5&amp;$AA$25&amp;AP$7, vw.births.demo, 7, FALSE)</f>
        <v>10971</v>
      </c>
      <c r="AQ25" s="243"/>
      <c r="AR25" s="243"/>
      <c r="AS25" s="243"/>
      <c r="AT25" s="243"/>
      <c r="AU25" s="243"/>
    </row>
    <row r="26" spans="1:47" s="77" customFormat="1">
      <c r="A26" s="269">
        <v>4</v>
      </c>
      <c r="B26" s="333">
        <f t="shared" si="26"/>
        <v>32</v>
      </c>
      <c r="C26" s="333">
        <f t="shared" si="21"/>
        <v>5</v>
      </c>
      <c r="D26" s="333">
        <f t="shared" si="21"/>
        <v>14</v>
      </c>
      <c r="E26" s="333">
        <f t="shared" si="21"/>
        <v>39</v>
      </c>
      <c r="F26" s="351">
        <f t="shared" si="21"/>
        <v>90</v>
      </c>
      <c r="G26" s="333">
        <f t="shared" si="27"/>
        <v>22</v>
      </c>
      <c r="H26" s="333">
        <f t="shared" si="22"/>
        <v>8</v>
      </c>
      <c r="I26" s="333">
        <f t="shared" si="22"/>
        <v>3</v>
      </c>
      <c r="J26" s="333">
        <f t="shared" si="22"/>
        <v>19</v>
      </c>
      <c r="K26" s="351">
        <f t="shared" si="22"/>
        <v>52</v>
      </c>
      <c r="L26" s="333">
        <f t="shared" si="28"/>
        <v>4019</v>
      </c>
      <c r="M26" s="333">
        <f t="shared" si="23"/>
        <v>1186</v>
      </c>
      <c r="N26" s="333">
        <f t="shared" si="23"/>
        <v>2431</v>
      </c>
      <c r="O26" s="333">
        <f t="shared" si="23"/>
        <v>5495</v>
      </c>
      <c r="P26" s="333">
        <f t="shared" si="23"/>
        <v>13131</v>
      </c>
      <c r="Q26" s="322"/>
      <c r="R26" s="322"/>
      <c r="S26" s="322"/>
      <c r="T26" s="322"/>
      <c r="U26" s="322"/>
      <c r="V26" s="243"/>
      <c r="W26" s="243"/>
      <c r="X26" s="243"/>
      <c r="Y26" s="243"/>
      <c r="Z26" s="243"/>
      <c r="AA26" s="784" t="s">
        <v>424</v>
      </c>
      <c r="AB26" s="780">
        <f t="shared" si="24"/>
        <v>32</v>
      </c>
      <c r="AC26" s="780">
        <f t="shared" si="24"/>
        <v>5</v>
      </c>
      <c r="AD26" s="780">
        <f t="shared" si="24"/>
        <v>14</v>
      </c>
      <c r="AE26" s="780">
        <f t="shared" si="24"/>
        <v>39</v>
      </c>
      <c r="AF26" s="780">
        <f t="shared" si="24"/>
        <v>90</v>
      </c>
      <c r="AG26" s="780">
        <f t="shared" si="25"/>
        <v>22</v>
      </c>
      <c r="AH26" s="780">
        <f t="shared" si="25"/>
        <v>8</v>
      </c>
      <c r="AI26" s="780">
        <f t="shared" si="25"/>
        <v>3</v>
      </c>
      <c r="AJ26" s="780">
        <f t="shared" si="25"/>
        <v>19</v>
      </c>
      <c r="AK26" s="780">
        <f t="shared" si="25"/>
        <v>52</v>
      </c>
      <c r="AL26" s="780">
        <f>VLOOKUP($AA$6&amp;$AA$22&amp;$AC$5&amp;$AA$26&amp;AL$7, vw.births.demo, 7, FALSE)</f>
        <v>4019</v>
      </c>
      <c r="AM26" s="780">
        <f>VLOOKUP($AA$6&amp;$AA$22&amp;$AC$5&amp;$AA$26&amp;AM$7, vw.births.demo, 7, FALSE)</f>
        <v>1186</v>
      </c>
      <c r="AN26" s="780">
        <f>VLOOKUP($AA$6&amp;$AA$22&amp;$AC$5&amp;$AA$26&amp;AN$7, vw.births.demo, 7, FALSE)</f>
        <v>2431</v>
      </c>
      <c r="AO26" s="780">
        <f>VLOOKUP($AA$6&amp;$AA$22&amp;$AC$5&amp;$AA$26&amp;AO$7, vw.births.demo, 7, FALSE)</f>
        <v>5495</v>
      </c>
      <c r="AP26" s="780">
        <f>VLOOKUP($AA$6&amp;$AA$22&amp;$AC$5&amp;$AA$26&amp;AP$7, vw.births.demo, 7, FALSE)</f>
        <v>13131</v>
      </c>
      <c r="AQ26" s="245"/>
      <c r="AR26" s="245"/>
      <c r="AS26" s="245"/>
      <c r="AT26" s="245"/>
      <c r="AU26" s="243"/>
    </row>
    <row r="27" spans="1:47" s="77" customFormat="1">
      <c r="A27" s="82" t="s">
        <v>84</v>
      </c>
      <c r="B27" s="333">
        <f t="shared" si="26"/>
        <v>52</v>
      </c>
      <c r="C27" s="333">
        <f t="shared" si="21"/>
        <v>29</v>
      </c>
      <c r="D27" s="333">
        <f t="shared" si="21"/>
        <v>19</v>
      </c>
      <c r="E27" s="333">
        <f t="shared" si="21"/>
        <v>26</v>
      </c>
      <c r="F27" s="351">
        <f t="shared" si="21"/>
        <v>126</v>
      </c>
      <c r="G27" s="333">
        <f t="shared" si="27"/>
        <v>60</v>
      </c>
      <c r="H27" s="333">
        <f t="shared" si="22"/>
        <v>28</v>
      </c>
      <c r="I27" s="333">
        <f t="shared" si="22"/>
        <v>9</v>
      </c>
      <c r="J27" s="333">
        <f t="shared" si="22"/>
        <v>10</v>
      </c>
      <c r="K27" s="351">
        <f t="shared" si="22"/>
        <v>107</v>
      </c>
      <c r="L27" s="333">
        <f t="shared" si="28"/>
        <v>7702</v>
      </c>
      <c r="M27" s="333">
        <f t="shared" si="23"/>
        <v>3503</v>
      </c>
      <c r="N27" s="333">
        <f t="shared" si="23"/>
        <v>2354</v>
      </c>
      <c r="O27" s="333">
        <f t="shared" si="23"/>
        <v>3327</v>
      </c>
      <c r="P27" s="333">
        <f t="shared" si="23"/>
        <v>16886</v>
      </c>
      <c r="Q27" s="322"/>
      <c r="R27" s="322"/>
      <c r="S27" s="322"/>
      <c r="T27" s="322"/>
      <c r="U27" s="322"/>
      <c r="V27" s="243"/>
      <c r="W27" s="243"/>
      <c r="X27" s="243"/>
      <c r="Y27" s="243"/>
      <c r="Z27" s="243"/>
      <c r="AA27" s="784" t="s">
        <v>425</v>
      </c>
      <c r="AB27" s="780">
        <f t="shared" si="24"/>
        <v>52</v>
      </c>
      <c r="AC27" s="780">
        <f t="shared" si="24"/>
        <v>29</v>
      </c>
      <c r="AD27" s="780">
        <f t="shared" si="24"/>
        <v>19</v>
      </c>
      <c r="AE27" s="780">
        <f t="shared" si="24"/>
        <v>26</v>
      </c>
      <c r="AF27" s="780">
        <f t="shared" si="24"/>
        <v>126</v>
      </c>
      <c r="AG27" s="780">
        <f t="shared" si="25"/>
        <v>60</v>
      </c>
      <c r="AH27" s="780">
        <f t="shared" si="25"/>
        <v>28</v>
      </c>
      <c r="AI27" s="780">
        <f t="shared" si="25"/>
        <v>9</v>
      </c>
      <c r="AJ27" s="780">
        <f t="shared" si="25"/>
        <v>10</v>
      </c>
      <c r="AK27" s="780">
        <f t="shared" si="25"/>
        <v>107</v>
      </c>
      <c r="AL27" s="780">
        <f>VLOOKUP($AA$6&amp;$AA$22&amp;$AC$5&amp;$AA$27&amp;AL$7, vw.births.demo, 7, FALSE)</f>
        <v>7702</v>
      </c>
      <c r="AM27" s="780">
        <f>VLOOKUP($AA$6&amp;$AA$22&amp;$AC$5&amp;$AA$27&amp;AM$7, vw.births.demo, 7, FALSE)</f>
        <v>3503</v>
      </c>
      <c r="AN27" s="780">
        <f>VLOOKUP($AA$6&amp;$AA$22&amp;$AC$5&amp;$AA$27&amp;AN$7, vw.births.demo, 7, FALSE)</f>
        <v>2354</v>
      </c>
      <c r="AO27" s="780">
        <f>VLOOKUP($AA$6&amp;$AA$22&amp;$AC$5&amp;$AA$27&amp;AO$7, vw.births.demo, 7, FALSE)</f>
        <v>3327</v>
      </c>
      <c r="AP27" s="780">
        <f>VLOOKUP($AA$6&amp;$AA$22&amp;$AC$5&amp;$AA$27&amp;AP$7, vw.births.demo, 7, FALSE)</f>
        <v>16886</v>
      </c>
      <c r="AQ27" s="243"/>
      <c r="AR27" s="243"/>
      <c r="AS27" s="243"/>
      <c r="AT27" s="243"/>
      <c r="AU27" s="243"/>
    </row>
    <row r="28" spans="1:47" s="77" customFormat="1">
      <c r="A28" s="58" t="s">
        <v>63</v>
      </c>
      <c r="B28" s="333">
        <f t="shared" si="26"/>
        <v>3</v>
      </c>
      <c r="C28" s="333">
        <f t="shared" si="21"/>
        <v>4</v>
      </c>
      <c r="D28" s="333">
        <f t="shared" si="21"/>
        <v>4</v>
      </c>
      <c r="E28" s="333">
        <f t="shared" si="21"/>
        <v>11</v>
      </c>
      <c r="F28" s="351">
        <f t="shared" si="21"/>
        <v>22</v>
      </c>
      <c r="G28" s="333">
        <f t="shared" si="27"/>
        <v>0</v>
      </c>
      <c r="H28" s="333">
        <f t="shared" si="22"/>
        <v>1</v>
      </c>
      <c r="I28" s="333">
        <f t="shared" si="22"/>
        <v>1</v>
      </c>
      <c r="J28" s="333">
        <f t="shared" si="22"/>
        <v>0</v>
      </c>
      <c r="K28" s="351">
        <f t="shared" si="22"/>
        <v>2</v>
      </c>
      <c r="L28" s="333">
        <f t="shared" si="28"/>
        <v>18</v>
      </c>
      <c r="M28" s="333">
        <f t="shared" si="23"/>
        <v>29</v>
      </c>
      <c r="N28" s="333">
        <f t="shared" si="23"/>
        <v>52</v>
      </c>
      <c r="O28" s="333">
        <f t="shared" si="23"/>
        <v>32</v>
      </c>
      <c r="P28" s="333">
        <f t="shared" si="23"/>
        <v>131</v>
      </c>
      <c r="V28" s="243"/>
      <c r="W28" s="243"/>
      <c r="X28" s="243"/>
      <c r="Y28" s="243"/>
      <c r="Z28" s="243"/>
      <c r="AA28" s="784" t="s">
        <v>426</v>
      </c>
      <c r="AB28" s="780">
        <f>IFERROR(VLOOKUP($AA$6&amp;$AA$22&amp;$AC$5&amp;$AA28&amp;AB$7&amp;$AB$6, vw.deaths.demo,7, FALSE),0)</f>
        <v>3</v>
      </c>
      <c r="AC28" s="780">
        <f>IFERROR(VLOOKUP($AA$6&amp;$AA$22&amp;$AC$5&amp;$AA28&amp;AC$7&amp;$AB$6, vw.deaths.demo,7, FALSE),0)</f>
        <v>4</v>
      </c>
      <c r="AD28" s="780">
        <f>IFERROR(VLOOKUP($AA$6&amp;$AA$22&amp;$AC$5&amp;$AA28&amp;AD$7&amp;$AB$6, vw.deaths.demo,7, FALSE),0)</f>
        <v>4</v>
      </c>
      <c r="AE28" s="780">
        <f>IFERROR(VLOOKUP($AA$6&amp;$AA$22&amp;$AC$5&amp;$AA28&amp;AE$7&amp;$AB$6, vw.deaths.demo,7, FALSE),0)</f>
        <v>11</v>
      </c>
      <c r="AF28" s="780">
        <f>IFERROR(VLOOKUP($AA$6&amp;$AA$22&amp;$AC$5&amp;$AA28&amp;AF$7&amp;$AB$6, vw.deaths.demo,7, FALSE),0)</f>
        <v>22</v>
      </c>
      <c r="AG28" s="780">
        <f>IFERROR(VLOOKUP($AA$6&amp;$AA$22&amp;$AC$5&amp;$AA28&amp;AG$7&amp;$AG$6, vw.deaths.demo, 7, FALSE),0)</f>
        <v>0</v>
      </c>
      <c r="AH28" s="780">
        <f>IFERROR(VLOOKUP($AA$6&amp;$AA$22&amp;$AC$5&amp;$AA28&amp;AH$7&amp;$AG$6, vw.deaths.demo, 7, FALSE),0)</f>
        <v>1</v>
      </c>
      <c r="AI28" s="780">
        <f>IFERROR(VLOOKUP($AA$6&amp;$AA$22&amp;$AC$5&amp;$AA28&amp;AI$7&amp;$AG$6, vw.deaths.demo, 7, FALSE),0)</f>
        <v>1</v>
      </c>
      <c r="AJ28" s="780">
        <f>IFERROR(VLOOKUP($AA$6&amp;$AA$22&amp;$AC$5&amp;$AA28&amp;AJ$7&amp;$AG$6, vw.deaths.demo, 7, FALSE),0)</f>
        <v>0</v>
      </c>
      <c r="AK28" s="780">
        <f>IFERROR(VLOOKUP($AA$6&amp;$AA$22&amp;$AC$5&amp;$AA28&amp;AK$7&amp;$AG$6, vw.deaths.demo, 7, FALSE),0)</f>
        <v>2</v>
      </c>
      <c r="AL28" s="780">
        <f>IFERROR(VLOOKUP($AA$6&amp;$AA$22&amp;$AC$5&amp;$AA$28&amp;AL$7, vw.births.demo, 7, FALSE),0)</f>
        <v>18</v>
      </c>
      <c r="AM28" s="780">
        <f>IFERROR(VLOOKUP($AA$6&amp;$AA$22&amp;$AC$5&amp;$AA$28&amp;AM$7, vw.births.demo, 7, FALSE),0)</f>
        <v>29</v>
      </c>
      <c r="AN28" s="780">
        <f>IFERROR(VLOOKUP($AA$6&amp;$AA$22&amp;$AC$5&amp;$AA$28&amp;AN$7, vw.births.demo, 7, FALSE),0)</f>
        <v>52</v>
      </c>
      <c r="AO28" s="780">
        <f>IFERROR(VLOOKUP($AA$6&amp;$AA$22&amp;$AC$5&amp;$AA$28&amp;AO$7, vw.births.demo, 7, FALSE),0)</f>
        <v>32</v>
      </c>
      <c r="AP28" s="780">
        <f>IFERROR(VLOOKUP($AA$6&amp;$AA$22&amp;$AC$5&amp;$AA$28&amp;AP$7, vw.births.demo, 7, FALSE),0)</f>
        <v>131</v>
      </c>
      <c r="AQ28" s="243"/>
      <c r="AR28" s="243"/>
      <c r="AS28" s="243"/>
      <c r="AT28" s="243"/>
      <c r="AU28" s="243"/>
    </row>
    <row r="29" spans="1:47">
      <c r="A29" s="80" t="s">
        <v>105</v>
      </c>
      <c r="B29" s="328"/>
      <c r="C29" s="328"/>
      <c r="D29" s="328"/>
      <c r="E29" s="328"/>
      <c r="F29" s="328"/>
      <c r="G29" s="328"/>
      <c r="H29" s="328"/>
      <c r="I29" s="328"/>
      <c r="J29" s="328"/>
      <c r="K29" s="328"/>
      <c r="L29" s="328"/>
      <c r="M29" s="328"/>
      <c r="N29" s="328"/>
      <c r="O29" s="328"/>
      <c r="P29" s="328"/>
      <c r="Q29" s="167"/>
      <c r="R29" s="167"/>
      <c r="S29" s="167"/>
      <c r="T29" s="167"/>
      <c r="U29" s="167"/>
      <c r="AA29" s="784" t="s">
        <v>135</v>
      </c>
      <c r="AQ29" s="243"/>
      <c r="AR29" s="243"/>
      <c r="AS29" s="243"/>
      <c r="AT29" s="243"/>
    </row>
    <row r="30" spans="1:47" s="77" customFormat="1">
      <c r="A30" s="404" t="s">
        <v>375</v>
      </c>
      <c r="B30" s="333">
        <f>AB30</f>
        <v>74</v>
      </c>
      <c r="C30" s="333">
        <f t="shared" ref="C30:F35" si="29">AC30</f>
        <v>18</v>
      </c>
      <c r="D30" s="333">
        <f t="shared" si="29"/>
        <v>41</v>
      </c>
      <c r="E30" s="333">
        <f t="shared" si="29"/>
        <v>94</v>
      </c>
      <c r="F30" s="351">
        <f t="shared" si="29"/>
        <v>227</v>
      </c>
      <c r="G30" s="333">
        <f>AG30</f>
        <v>35</v>
      </c>
      <c r="H30" s="333">
        <f t="shared" ref="H30:K35" si="30">AH30</f>
        <v>14</v>
      </c>
      <c r="I30" s="333">
        <f t="shared" si="30"/>
        <v>16</v>
      </c>
      <c r="J30" s="333">
        <f t="shared" si="30"/>
        <v>31</v>
      </c>
      <c r="K30" s="351">
        <f t="shared" si="30"/>
        <v>96</v>
      </c>
      <c r="L30" s="333">
        <f>AL30</f>
        <v>92</v>
      </c>
      <c r="M30" s="333">
        <f t="shared" ref="M30:P35" si="31">AM30</f>
        <v>36</v>
      </c>
      <c r="N30" s="333">
        <f t="shared" si="31"/>
        <v>52</v>
      </c>
      <c r="O30" s="333">
        <f t="shared" si="31"/>
        <v>80</v>
      </c>
      <c r="P30" s="333">
        <f t="shared" si="31"/>
        <v>260</v>
      </c>
      <c r="V30" s="243"/>
      <c r="W30" s="243"/>
      <c r="X30" s="243"/>
      <c r="Y30" s="243"/>
      <c r="Z30" s="243"/>
      <c r="AA30" s="784" t="s">
        <v>375</v>
      </c>
      <c r="AB30" s="780">
        <f t="shared" ref="AB30:AF34" si="32">VLOOKUP($AA$6&amp;$AA$29&amp;$AC$5&amp;$AA30&amp;AB$7&amp;$AB$6, vw.deaths.demo,7, FALSE)</f>
        <v>74</v>
      </c>
      <c r="AC30" s="780">
        <f t="shared" si="32"/>
        <v>18</v>
      </c>
      <c r="AD30" s="780">
        <f t="shared" si="32"/>
        <v>41</v>
      </c>
      <c r="AE30" s="780">
        <f t="shared" si="32"/>
        <v>94</v>
      </c>
      <c r="AF30" s="780">
        <f t="shared" si="32"/>
        <v>227</v>
      </c>
      <c r="AG30" s="780">
        <f t="shared" ref="AG30:AK34" si="33">VLOOKUP($AA$6&amp;$AA$29&amp;$AC$5&amp;$AA30&amp;AG$7&amp;$AG$6, vw.deaths.demo, 7, FALSE)</f>
        <v>35</v>
      </c>
      <c r="AH30" s="780">
        <f t="shared" si="33"/>
        <v>14</v>
      </c>
      <c r="AI30" s="780">
        <f t="shared" si="33"/>
        <v>16</v>
      </c>
      <c r="AJ30" s="780">
        <f t="shared" si="33"/>
        <v>31</v>
      </c>
      <c r="AK30" s="780">
        <f t="shared" si="33"/>
        <v>96</v>
      </c>
      <c r="AL30" s="780">
        <f>VLOOKUP($AA$6&amp;$AA$29&amp;$AC$5&amp;$AA$30&amp;AL$7, vw.births.demo, 7, FALSE)</f>
        <v>92</v>
      </c>
      <c r="AM30" s="780">
        <f>VLOOKUP($AA$6&amp;$AA$29&amp;$AC$5&amp;$AA$30&amp;AM$7, vw.births.demo, 7, FALSE)</f>
        <v>36</v>
      </c>
      <c r="AN30" s="780">
        <f>VLOOKUP($AA$6&amp;$AA$29&amp;$AC$5&amp;$AA$30&amp;AN$7, vw.births.demo, 7, FALSE)</f>
        <v>52</v>
      </c>
      <c r="AO30" s="780">
        <f>VLOOKUP($AA$6&amp;$AA$29&amp;$AC$5&amp;$AA$30&amp;AO$7, vw.births.demo, 7, FALSE)</f>
        <v>80</v>
      </c>
      <c r="AP30" s="780">
        <f>VLOOKUP($AA$6&amp;$AA$29&amp;$AC$5&amp;$AA$30&amp;AP$7, vw.births.demo, 7, FALSE)</f>
        <v>260</v>
      </c>
      <c r="AQ30" s="243"/>
      <c r="AR30" s="243"/>
      <c r="AS30" s="243"/>
      <c r="AT30" s="243"/>
      <c r="AU30" s="243"/>
    </row>
    <row r="31" spans="1:47" s="77" customFormat="1">
      <c r="A31" s="404" t="s">
        <v>376</v>
      </c>
      <c r="B31" s="333">
        <f t="shared" ref="B31:B35" si="34">AB31</f>
        <v>4</v>
      </c>
      <c r="C31" s="333">
        <f t="shared" si="29"/>
        <v>6</v>
      </c>
      <c r="D31" s="333">
        <f t="shared" si="29"/>
        <v>9</v>
      </c>
      <c r="E31" s="333">
        <f t="shared" si="29"/>
        <v>19</v>
      </c>
      <c r="F31" s="351">
        <f t="shared" si="29"/>
        <v>38</v>
      </c>
      <c r="G31" s="333">
        <f t="shared" ref="G31:G35" si="35">AG31</f>
        <v>6</v>
      </c>
      <c r="H31" s="333">
        <f t="shared" si="30"/>
        <v>3</v>
      </c>
      <c r="I31" s="333">
        <f t="shared" si="30"/>
        <v>2</v>
      </c>
      <c r="J31" s="333">
        <f t="shared" si="30"/>
        <v>3</v>
      </c>
      <c r="K31" s="351">
        <f t="shared" si="30"/>
        <v>14</v>
      </c>
      <c r="L31" s="333">
        <f t="shared" ref="L31:L35" si="36">AL31</f>
        <v>139</v>
      </c>
      <c r="M31" s="333">
        <f t="shared" si="31"/>
        <v>29</v>
      </c>
      <c r="N31" s="333">
        <f t="shared" si="31"/>
        <v>71</v>
      </c>
      <c r="O31" s="333">
        <f t="shared" si="31"/>
        <v>178</v>
      </c>
      <c r="P31" s="333">
        <f t="shared" si="31"/>
        <v>417</v>
      </c>
      <c r="V31" s="243"/>
      <c r="W31" s="243"/>
      <c r="X31" s="243"/>
      <c r="Y31" s="243"/>
      <c r="Z31" s="243"/>
      <c r="AA31" s="784" t="s">
        <v>395</v>
      </c>
      <c r="AB31" s="780">
        <f t="shared" si="32"/>
        <v>4</v>
      </c>
      <c r="AC31" s="780">
        <f t="shared" si="32"/>
        <v>6</v>
      </c>
      <c r="AD31" s="780">
        <f t="shared" si="32"/>
        <v>9</v>
      </c>
      <c r="AE31" s="780">
        <f t="shared" si="32"/>
        <v>19</v>
      </c>
      <c r="AF31" s="780">
        <f t="shared" si="32"/>
        <v>38</v>
      </c>
      <c r="AG31" s="780">
        <f t="shared" si="33"/>
        <v>6</v>
      </c>
      <c r="AH31" s="780">
        <f t="shared" si="33"/>
        <v>3</v>
      </c>
      <c r="AI31" s="780">
        <f t="shared" si="33"/>
        <v>2</v>
      </c>
      <c r="AJ31" s="780">
        <f t="shared" si="33"/>
        <v>3</v>
      </c>
      <c r="AK31" s="780">
        <f t="shared" si="33"/>
        <v>14</v>
      </c>
      <c r="AL31" s="780">
        <f>VLOOKUP($AA$6&amp;$AA$29&amp;$AC$5&amp;$AA$31&amp;AL$7, vw.births.demo, 7, FALSE)</f>
        <v>139</v>
      </c>
      <c r="AM31" s="780">
        <f>VLOOKUP($AA$6&amp;$AA$29&amp;$AC$5&amp;$AA$31&amp;AM$7, vw.births.demo, 7, FALSE)</f>
        <v>29</v>
      </c>
      <c r="AN31" s="780">
        <f>VLOOKUP($AA$6&amp;$AA$29&amp;$AC$5&amp;$AA$31&amp;AN$7, vw.births.demo, 7, FALSE)</f>
        <v>71</v>
      </c>
      <c r="AO31" s="780">
        <f>VLOOKUP($AA$6&amp;$AA$29&amp;$AC$5&amp;$AA$31&amp;AO$7, vw.births.demo, 7, FALSE)</f>
        <v>178</v>
      </c>
      <c r="AP31" s="780">
        <f>VLOOKUP($AA$6&amp;$AA$29&amp;$AC$5&amp;$AA$31&amp;AP$7, vw.births.demo, 7, FALSE)</f>
        <v>417</v>
      </c>
      <c r="AQ31" s="243"/>
      <c r="AR31" s="243"/>
      <c r="AS31" s="243"/>
      <c r="AT31" s="243"/>
      <c r="AU31" s="243"/>
    </row>
    <row r="32" spans="1:47" s="77" customFormat="1">
      <c r="A32" s="82" t="s">
        <v>64</v>
      </c>
      <c r="B32" s="333">
        <f t="shared" si="34"/>
        <v>18</v>
      </c>
      <c r="C32" s="333">
        <f t="shared" si="29"/>
        <v>8</v>
      </c>
      <c r="D32" s="333">
        <f t="shared" si="29"/>
        <v>8</v>
      </c>
      <c r="E32" s="333">
        <f t="shared" si="29"/>
        <v>22</v>
      </c>
      <c r="F32" s="351">
        <f t="shared" si="29"/>
        <v>56</v>
      </c>
      <c r="G32" s="333">
        <f t="shared" si="35"/>
        <v>8</v>
      </c>
      <c r="H32" s="333">
        <f t="shared" si="30"/>
        <v>8</v>
      </c>
      <c r="I32" s="333">
        <f t="shared" si="30"/>
        <v>1</v>
      </c>
      <c r="J32" s="333">
        <f t="shared" si="30"/>
        <v>6</v>
      </c>
      <c r="K32" s="351">
        <f t="shared" si="30"/>
        <v>23</v>
      </c>
      <c r="L32" s="333">
        <f t="shared" si="36"/>
        <v>1193</v>
      </c>
      <c r="M32" s="333">
        <f t="shared" si="31"/>
        <v>376</v>
      </c>
      <c r="N32" s="333">
        <f t="shared" si="31"/>
        <v>611</v>
      </c>
      <c r="O32" s="333">
        <f t="shared" si="31"/>
        <v>1634</v>
      </c>
      <c r="P32" s="333">
        <f t="shared" si="31"/>
        <v>3814</v>
      </c>
      <c r="V32" s="243"/>
      <c r="W32" s="243"/>
      <c r="X32" s="243"/>
      <c r="Y32" s="243"/>
      <c r="Z32" s="243"/>
      <c r="AA32" s="784" t="s">
        <v>136</v>
      </c>
      <c r="AB32" s="780">
        <f t="shared" si="32"/>
        <v>18</v>
      </c>
      <c r="AC32" s="780">
        <f t="shared" si="32"/>
        <v>8</v>
      </c>
      <c r="AD32" s="780">
        <f t="shared" si="32"/>
        <v>8</v>
      </c>
      <c r="AE32" s="780">
        <f t="shared" si="32"/>
        <v>22</v>
      </c>
      <c r="AF32" s="780">
        <f t="shared" si="32"/>
        <v>56</v>
      </c>
      <c r="AG32" s="780">
        <f t="shared" si="33"/>
        <v>8</v>
      </c>
      <c r="AH32" s="780">
        <f t="shared" si="33"/>
        <v>8</v>
      </c>
      <c r="AI32" s="780">
        <f t="shared" si="33"/>
        <v>1</v>
      </c>
      <c r="AJ32" s="780">
        <f t="shared" si="33"/>
        <v>6</v>
      </c>
      <c r="AK32" s="780">
        <f t="shared" si="33"/>
        <v>23</v>
      </c>
      <c r="AL32" s="780">
        <f>VLOOKUP($AA$6&amp;$AA$29&amp;$AC$5&amp;$AA$32&amp;AL$7, vw.births.demo, 7, FALSE)</f>
        <v>1193</v>
      </c>
      <c r="AM32" s="780">
        <f>VLOOKUP($AA$6&amp;$AA$29&amp;$AC$5&amp;$AA$32&amp;AM$7, vw.births.demo, 7, FALSE)</f>
        <v>376</v>
      </c>
      <c r="AN32" s="780">
        <f>VLOOKUP($AA$6&amp;$AA$29&amp;$AC$5&amp;$AA$32&amp;AN$7, vw.births.demo, 7, FALSE)</f>
        <v>611</v>
      </c>
      <c r="AO32" s="780">
        <f>VLOOKUP($AA$6&amp;$AA$29&amp;$AC$5&amp;$AA$32&amp;AO$7, vw.births.demo, 7, FALSE)</f>
        <v>1634</v>
      </c>
      <c r="AP32" s="780">
        <f>VLOOKUP($AA$6&amp;$AA$29&amp;$AC$5&amp;$AA$32&amp;AP$7, vw.births.demo, 7, FALSE)</f>
        <v>3814</v>
      </c>
      <c r="AQ32" s="243"/>
      <c r="AR32" s="243"/>
      <c r="AS32" s="243"/>
      <c r="AT32" s="243"/>
      <c r="AU32" s="243"/>
    </row>
    <row r="33" spans="1:47" s="77" customFormat="1">
      <c r="A33" s="82" t="s">
        <v>65</v>
      </c>
      <c r="B33" s="333">
        <f t="shared" si="34"/>
        <v>25</v>
      </c>
      <c r="C33" s="333">
        <f t="shared" si="29"/>
        <v>12</v>
      </c>
      <c r="D33" s="333">
        <f t="shared" si="29"/>
        <v>13</v>
      </c>
      <c r="E33" s="333">
        <f t="shared" si="29"/>
        <v>36</v>
      </c>
      <c r="F33" s="351">
        <f t="shared" si="29"/>
        <v>86</v>
      </c>
      <c r="G33" s="333">
        <f t="shared" si="35"/>
        <v>44</v>
      </c>
      <c r="H33" s="333">
        <f t="shared" si="30"/>
        <v>10</v>
      </c>
      <c r="I33" s="333">
        <f t="shared" si="30"/>
        <v>7</v>
      </c>
      <c r="J33" s="333">
        <f t="shared" si="30"/>
        <v>30</v>
      </c>
      <c r="K33" s="351">
        <f t="shared" si="30"/>
        <v>91</v>
      </c>
      <c r="L33" s="333">
        <f t="shared" si="36"/>
        <v>15611</v>
      </c>
      <c r="M33" s="333">
        <f t="shared" si="31"/>
        <v>5433</v>
      </c>
      <c r="N33" s="333">
        <f t="shared" si="31"/>
        <v>10044</v>
      </c>
      <c r="O33" s="333">
        <f t="shared" si="31"/>
        <v>23811</v>
      </c>
      <c r="P33" s="333">
        <f t="shared" si="31"/>
        <v>54899</v>
      </c>
      <c r="V33" s="243"/>
      <c r="W33" s="243"/>
      <c r="X33" s="243"/>
      <c r="Y33" s="243"/>
      <c r="Z33" s="243"/>
      <c r="AA33" s="784" t="s">
        <v>137</v>
      </c>
      <c r="AB33" s="780">
        <f t="shared" si="32"/>
        <v>25</v>
      </c>
      <c r="AC33" s="780">
        <f t="shared" si="32"/>
        <v>12</v>
      </c>
      <c r="AD33" s="780">
        <f t="shared" si="32"/>
        <v>13</v>
      </c>
      <c r="AE33" s="780">
        <f t="shared" si="32"/>
        <v>36</v>
      </c>
      <c r="AF33" s="780">
        <f t="shared" si="32"/>
        <v>86</v>
      </c>
      <c r="AG33" s="780">
        <f t="shared" si="33"/>
        <v>44</v>
      </c>
      <c r="AH33" s="780">
        <f t="shared" si="33"/>
        <v>10</v>
      </c>
      <c r="AI33" s="780">
        <f t="shared" si="33"/>
        <v>7</v>
      </c>
      <c r="AJ33" s="780">
        <f t="shared" si="33"/>
        <v>30</v>
      </c>
      <c r="AK33" s="780">
        <f t="shared" si="33"/>
        <v>91</v>
      </c>
      <c r="AL33" s="780">
        <f>VLOOKUP($AA$6&amp;$AA$29&amp;$AC$5&amp;$AA$33&amp;AL$7, vw.births.demo, 7, FALSE)</f>
        <v>15611</v>
      </c>
      <c r="AM33" s="780">
        <f>VLOOKUP($AA$6&amp;$AA$29&amp;$AC$5&amp;$AA$33&amp;AM$7, vw.births.demo, 7, FALSE)</f>
        <v>5433</v>
      </c>
      <c r="AN33" s="780">
        <f>VLOOKUP($AA$6&amp;$AA$29&amp;$AC$5&amp;$AA$33&amp;AN$7, vw.births.demo, 7, FALSE)</f>
        <v>10044</v>
      </c>
      <c r="AO33" s="780">
        <f>VLOOKUP($AA$6&amp;$AA$29&amp;$AC$5&amp;$AA$33&amp;AO$7, vw.births.demo, 7, FALSE)</f>
        <v>23811</v>
      </c>
      <c r="AP33" s="780">
        <f>VLOOKUP($AA$6&amp;$AA$29&amp;$AC$5&amp;$AA$33&amp;AP$7, vw.births.demo, 7, FALSE)</f>
        <v>54899</v>
      </c>
      <c r="AQ33" s="245"/>
      <c r="AR33" s="245"/>
      <c r="AS33" s="245"/>
      <c r="AT33" s="245"/>
      <c r="AU33" s="243"/>
    </row>
    <row r="34" spans="1:47" s="77" customFormat="1">
      <c r="A34" s="82" t="s">
        <v>66</v>
      </c>
      <c r="B34" s="333">
        <f t="shared" si="34"/>
        <v>0</v>
      </c>
      <c r="C34" s="333">
        <f t="shared" si="29"/>
        <v>0</v>
      </c>
      <c r="D34" s="333">
        <f t="shared" si="29"/>
        <v>0</v>
      </c>
      <c r="E34" s="333">
        <f t="shared" si="29"/>
        <v>0</v>
      </c>
      <c r="F34" s="351">
        <f t="shared" si="29"/>
        <v>0</v>
      </c>
      <c r="G34" s="333">
        <f t="shared" si="35"/>
        <v>3</v>
      </c>
      <c r="H34" s="333">
        <f t="shared" si="30"/>
        <v>0</v>
      </c>
      <c r="I34" s="333">
        <f t="shared" si="30"/>
        <v>1</v>
      </c>
      <c r="J34" s="333">
        <f t="shared" si="30"/>
        <v>0</v>
      </c>
      <c r="K34" s="351">
        <f t="shared" si="30"/>
        <v>4</v>
      </c>
      <c r="L34" s="333">
        <f t="shared" si="36"/>
        <v>281</v>
      </c>
      <c r="M34" s="333">
        <f t="shared" si="31"/>
        <v>101</v>
      </c>
      <c r="N34" s="333">
        <f t="shared" si="31"/>
        <v>119</v>
      </c>
      <c r="O34" s="333">
        <f t="shared" si="31"/>
        <v>516</v>
      </c>
      <c r="P34" s="333">
        <f t="shared" si="31"/>
        <v>1017</v>
      </c>
      <c r="V34" s="243"/>
      <c r="W34" s="243"/>
      <c r="X34" s="243"/>
      <c r="Y34" s="243"/>
      <c r="Z34" s="243"/>
      <c r="AA34" s="784" t="s">
        <v>138</v>
      </c>
      <c r="AB34" s="780">
        <f t="shared" si="32"/>
        <v>0</v>
      </c>
      <c r="AC34" s="780">
        <f t="shared" si="32"/>
        <v>0</v>
      </c>
      <c r="AD34" s="780">
        <f t="shared" si="32"/>
        <v>0</v>
      </c>
      <c r="AE34" s="780">
        <f t="shared" si="32"/>
        <v>0</v>
      </c>
      <c r="AF34" s="780">
        <f t="shared" si="32"/>
        <v>0</v>
      </c>
      <c r="AG34" s="780">
        <f t="shared" si="33"/>
        <v>3</v>
      </c>
      <c r="AH34" s="780">
        <f t="shared" si="33"/>
        <v>0</v>
      </c>
      <c r="AI34" s="780">
        <f t="shared" si="33"/>
        <v>1</v>
      </c>
      <c r="AJ34" s="780">
        <f t="shared" si="33"/>
        <v>0</v>
      </c>
      <c r="AK34" s="780">
        <f t="shared" si="33"/>
        <v>4</v>
      </c>
      <c r="AL34" s="780">
        <f>VLOOKUP($AA$6&amp;$AA$29&amp;$AC$5&amp;$AA$34&amp;AL$7, vw.births.demo, 7, FALSE)</f>
        <v>281</v>
      </c>
      <c r="AM34" s="780">
        <f>VLOOKUP($AA$6&amp;$AA$29&amp;$AC$5&amp;$AA$34&amp;AM$7, vw.births.demo, 7, FALSE)</f>
        <v>101</v>
      </c>
      <c r="AN34" s="780">
        <f>VLOOKUP($AA$6&amp;$AA$29&amp;$AC$5&amp;$AA$34&amp;AN$7, vw.births.demo, 7, FALSE)</f>
        <v>119</v>
      </c>
      <c r="AO34" s="780">
        <f>VLOOKUP($AA$6&amp;$AA$29&amp;$AC$5&amp;$AA$34&amp;AO$7, vw.births.demo, 7, FALSE)</f>
        <v>516</v>
      </c>
      <c r="AP34" s="780">
        <f>VLOOKUP($AA$6&amp;$AA$29&amp;$AC$5&amp;$AA$34&amp;AP$7, vw.births.demo, 7, FALSE)</f>
        <v>1017</v>
      </c>
      <c r="AQ34" s="243"/>
      <c r="AR34" s="243"/>
      <c r="AS34" s="243"/>
      <c r="AT34" s="243"/>
      <c r="AU34" s="243"/>
    </row>
    <row r="35" spans="1:47" s="77" customFormat="1">
      <c r="A35" s="58" t="s">
        <v>63</v>
      </c>
      <c r="B35" s="333">
        <f t="shared" si="34"/>
        <v>1</v>
      </c>
      <c r="C35" s="333">
        <f t="shared" si="29"/>
        <v>1</v>
      </c>
      <c r="D35" s="333">
        <f t="shared" si="29"/>
        <v>2</v>
      </c>
      <c r="E35" s="333">
        <f t="shared" si="29"/>
        <v>2</v>
      </c>
      <c r="F35" s="351">
        <f t="shared" si="29"/>
        <v>6</v>
      </c>
      <c r="G35" s="333">
        <f t="shared" si="35"/>
        <v>7</v>
      </c>
      <c r="H35" s="333">
        <f t="shared" si="30"/>
        <v>2</v>
      </c>
      <c r="I35" s="333">
        <f t="shared" si="30"/>
        <v>0</v>
      </c>
      <c r="J35" s="333">
        <f t="shared" si="30"/>
        <v>4</v>
      </c>
      <c r="K35" s="351">
        <f t="shared" si="30"/>
        <v>13</v>
      </c>
      <c r="L35" s="333">
        <f t="shared" si="36"/>
        <v>13</v>
      </c>
      <c r="M35" s="333">
        <f t="shared" si="31"/>
        <v>1</v>
      </c>
      <c r="N35" s="333">
        <f t="shared" si="31"/>
        <v>5</v>
      </c>
      <c r="O35" s="333">
        <f t="shared" si="31"/>
        <v>10</v>
      </c>
      <c r="P35" s="333">
        <f t="shared" si="31"/>
        <v>29</v>
      </c>
      <c r="V35" s="243"/>
      <c r="W35" s="243"/>
      <c r="X35" s="243"/>
      <c r="Y35" s="243"/>
      <c r="Z35" s="243"/>
      <c r="AA35" s="784" t="s">
        <v>63</v>
      </c>
      <c r="AB35" s="780">
        <f>IFERROR(VLOOKUP($AA$6&amp;$AA$29&amp;$AC$5&amp;$AA35&amp;AB$7&amp;$AB$6, vw.deaths.demo,7, FALSE),0)</f>
        <v>1</v>
      </c>
      <c r="AC35" s="780">
        <f>IFERROR(VLOOKUP($AA$6&amp;$AA$29&amp;$AC$5&amp;$AA35&amp;AC$7&amp;$AB$6, vw.deaths.demo,7, FALSE),0)</f>
        <v>1</v>
      </c>
      <c r="AD35" s="780">
        <f>IFERROR(VLOOKUP($AA$6&amp;$AA$29&amp;$AC$5&amp;$AA35&amp;AD$7&amp;$AB$6, vw.deaths.demo,7, FALSE),0)</f>
        <v>2</v>
      </c>
      <c r="AE35" s="780">
        <f>IFERROR(VLOOKUP($AA$6&amp;$AA$29&amp;$AC$5&amp;$AA35&amp;AE$7&amp;$AB$6, vw.deaths.demo,7, FALSE),0)</f>
        <v>2</v>
      </c>
      <c r="AF35" s="780">
        <f>IFERROR(VLOOKUP($AA$6&amp;$AA$29&amp;$AC$5&amp;$AA35&amp;AF$7&amp;$AB$6, vw.deaths.demo,7, FALSE),0)</f>
        <v>6</v>
      </c>
      <c r="AG35" s="780">
        <f>IFERROR(VLOOKUP($AA$6&amp;$AA$29&amp;$AC$5&amp;$AA35&amp;AG$7&amp;$AG$6, vw.deaths.demo, 7, FALSE),0)</f>
        <v>7</v>
      </c>
      <c r="AH35" s="780">
        <f>IFERROR(VLOOKUP($AA$6&amp;$AA$29&amp;$AC$5&amp;$AA35&amp;AH$7&amp;$AG$6, vw.deaths.demo, 7, FALSE),0)</f>
        <v>2</v>
      </c>
      <c r="AI35" s="780">
        <f>IFERROR(VLOOKUP($AA$6&amp;$AA$29&amp;$AC$5&amp;$AA35&amp;AI$7&amp;$AG$6, vw.deaths.demo, 7, FALSE),0)</f>
        <v>0</v>
      </c>
      <c r="AJ35" s="780">
        <f>IFERROR(VLOOKUP($AA$6&amp;$AA$29&amp;$AC$5&amp;$AA35&amp;AJ$7&amp;$AG$6, vw.deaths.demo, 7, FALSE),0)</f>
        <v>4</v>
      </c>
      <c r="AK35" s="780">
        <f>IFERROR(VLOOKUP($AA$6&amp;$AA$29&amp;$AC$5&amp;$AA35&amp;AK$7&amp;$AG$6, vw.deaths.demo, 7, FALSE),0)</f>
        <v>13</v>
      </c>
      <c r="AL35" s="780">
        <f>IFERROR(VLOOKUP($AA$6&amp;$AA$29&amp;$AC$5&amp;$AA$35&amp;AL$7, vw.births.demo, 7, FALSE),0)</f>
        <v>13</v>
      </c>
      <c r="AM35" s="780">
        <f>IFERROR(VLOOKUP($AA$6&amp;$AA$29&amp;$AC$5&amp;$AA$35&amp;AM$7, vw.births.demo, 7, FALSE),0)</f>
        <v>1</v>
      </c>
      <c r="AN35" s="780">
        <f>IFERROR(VLOOKUP($AA$6&amp;$AA$29&amp;$AC$5&amp;$AA$35&amp;AN$7, vw.births.demo, 7, FALSE),0)</f>
        <v>5</v>
      </c>
      <c r="AO35" s="780">
        <f>IFERROR(VLOOKUP($AA$6&amp;$AA$29&amp;$AC$5&amp;$AA$35&amp;AO$7, vw.births.demo, 7, FALSE),0)</f>
        <v>10</v>
      </c>
      <c r="AP35" s="780">
        <f>IFERROR(VLOOKUP($AA$6&amp;$AA$29&amp;$AC$5&amp;$AA$35&amp;AP$7, vw.births.demo, 7, FALSE),0)</f>
        <v>29</v>
      </c>
      <c r="AQ35" s="243"/>
      <c r="AR35" s="243"/>
      <c r="AS35" s="243"/>
      <c r="AT35" s="243"/>
      <c r="AU35" s="243"/>
    </row>
    <row r="36" spans="1:47">
      <c r="A36" s="80" t="s">
        <v>1</v>
      </c>
      <c r="B36" s="328"/>
      <c r="C36" s="328"/>
      <c r="D36" s="328"/>
      <c r="E36" s="328"/>
      <c r="F36" s="328"/>
      <c r="G36" s="328"/>
      <c r="H36" s="328"/>
      <c r="I36" s="328"/>
      <c r="J36" s="328"/>
      <c r="K36" s="328"/>
      <c r="L36" s="328"/>
      <c r="M36" s="328"/>
      <c r="N36" s="328"/>
      <c r="O36" s="328"/>
      <c r="P36" s="328"/>
      <c r="Q36" s="167"/>
      <c r="R36" s="322"/>
      <c r="S36" s="322"/>
      <c r="T36" s="322"/>
      <c r="U36" s="167"/>
      <c r="AA36" s="784" t="s">
        <v>464</v>
      </c>
      <c r="AQ36" s="243"/>
      <c r="AR36" s="243"/>
      <c r="AS36" s="243"/>
      <c r="AT36" s="243"/>
    </row>
    <row r="37" spans="1:47" s="77" customFormat="1">
      <c r="A37" s="404" t="s">
        <v>378</v>
      </c>
      <c r="B37" s="332">
        <f>AB37</f>
        <v>44</v>
      </c>
      <c r="C37" s="332">
        <f t="shared" ref="C37:F43" si="37">AC37</f>
        <v>7</v>
      </c>
      <c r="D37" s="332">
        <f t="shared" si="37"/>
        <v>28</v>
      </c>
      <c r="E37" s="332">
        <f t="shared" si="37"/>
        <v>62</v>
      </c>
      <c r="F37" s="351">
        <f t="shared" si="37"/>
        <v>141</v>
      </c>
      <c r="G37" s="424">
        <f>AG37</f>
        <v>13</v>
      </c>
      <c r="H37" s="424">
        <f t="shared" ref="H37:K43" si="38">AH37</f>
        <v>6</v>
      </c>
      <c r="I37" s="424">
        <f t="shared" si="38"/>
        <v>9</v>
      </c>
      <c r="J37" s="424">
        <f t="shared" si="38"/>
        <v>9</v>
      </c>
      <c r="K37" s="351">
        <f t="shared" si="38"/>
        <v>37</v>
      </c>
      <c r="L37" s="333">
        <f>AL37</f>
        <v>14</v>
      </c>
      <c r="M37" s="333">
        <f t="shared" ref="M37:P43" si="39">AM37</f>
        <v>5</v>
      </c>
      <c r="N37" s="333">
        <f t="shared" si="39"/>
        <v>19</v>
      </c>
      <c r="O37" s="333">
        <f t="shared" si="39"/>
        <v>15</v>
      </c>
      <c r="P37" s="333">
        <f t="shared" si="39"/>
        <v>53</v>
      </c>
      <c r="Q37" s="322"/>
      <c r="R37" s="322"/>
      <c r="S37" s="322"/>
      <c r="T37" s="322"/>
      <c r="V37" s="243"/>
      <c r="W37" s="243"/>
      <c r="X37" s="243"/>
      <c r="Y37" s="243"/>
      <c r="Z37" s="243"/>
      <c r="AA37" s="784" t="s">
        <v>427</v>
      </c>
      <c r="AB37" s="780">
        <f t="shared" ref="AB37:AF42" si="40">VLOOKUP($AA$6&amp;$AA$36&amp;$AC$5&amp;$AA37&amp;AB$7&amp;$AB$6, vw.deaths.demo,7, FALSE)</f>
        <v>44</v>
      </c>
      <c r="AC37" s="780">
        <f t="shared" si="40"/>
        <v>7</v>
      </c>
      <c r="AD37" s="780">
        <f t="shared" si="40"/>
        <v>28</v>
      </c>
      <c r="AE37" s="780">
        <f t="shared" si="40"/>
        <v>62</v>
      </c>
      <c r="AF37" s="780">
        <f t="shared" si="40"/>
        <v>141</v>
      </c>
      <c r="AG37" s="780">
        <f t="shared" ref="AG37:AK42" si="41">VLOOKUP($AA$6&amp;$AA$36&amp;$AC$5&amp;$AA37&amp;AG$7&amp;$AG$6, vw.deaths.demo, 7, FALSE)</f>
        <v>13</v>
      </c>
      <c r="AH37" s="780">
        <f t="shared" si="41"/>
        <v>6</v>
      </c>
      <c r="AI37" s="780">
        <f t="shared" si="41"/>
        <v>9</v>
      </c>
      <c r="AJ37" s="780">
        <f t="shared" si="41"/>
        <v>9</v>
      </c>
      <c r="AK37" s="780">
        <f t="shared" si="41"/>
        <v>37</v>
      </c>
      <c r="AL37" s="780">
        <f>VLOOKUP($AA$6&amp;$AA$36&amp;$AC$5&amp;$AA$37&amp;AL$7, vw.births.demo, 7, FALSE)</f>
        <v>14</v>
      </c>
      <c r="AM37" s="780">
        <f>VLOOKUP($AA$6&amp;$AA$36&amp;$AC$5&amp;$AA$37&amp;AM$7, vw.births.demo, 7, FALSE)</f>
        <v>5</v>
      </c>
      <c r="AN37" s="780">
        <f>VLOOKUP($AA$6&amp;$AA$36&amp;$AC$5&amp;$AA$37&amp;AN$7, vw.births.demo, 7, FALSE)</f>
        <v>19</v>
      </c>
      <c r="AO37" s="780">
        <f>VLOOKUP($AA$6&amp;$AA$36&amp;$AC$5&amp;$AA$37&amp;AO$7, vw.births.demo, 7, FALSE)</f>
        <v>15</v>
      </c>
      <c r="AP37" s="780">
        <f>VLOOKUP($AA$6&amp;$AA$36&amp;$AC$5&amp;$AA$37&amp;AP$7, vw.births.demo, 7, FALSE)</f>
        <v>53</v>
      </c>
      <c r="AQ37" s="243"/>
      <c r="AR37" s="243"/>
      <c r="AS37" s="243"/>
      <c r="AT37" s="243"/>
      <c r="AU37" s="243"/>
    </row>
    <row r="38" spans="1:47" s="77" customFormat="1">
      <c r="A38" s="404" t="s">
        <v>386</v>
      </c>
      <c r="B38" s="332">
        <f t="shared" ref="B38:B43" si="42">AB38</f>
        <v>29</v>
      </c>
      <c r="C38" s="332">
        <f t="shared" si="37"/>
        <v>9</v>
      </c>
      <c r="D38" s="332">
        <f t="shared" si="37"/>
        <v>16</v>
      </c>
      <c r="E38" s="332">
        <f t="shared" si="37"/>
        <v>43</v>
      </c>
      <c r="F38" s="351">
        <f t="shared" si="37"/>
        <v>97</v>
      </c>
      <c r="G38" s="424">
        <f t="shared" ref="G38:G43" si="43">AG38</f>
        <v>20</v>
      </c>
      <c r="H38" s="424">
        <f t="shared" si="38"/>
        <v>9</v>
      </c>
      <c r="I38" s="424">
        <f t="shared" si="38"/>
        <v>7</v>
      </c>
      <c r="J38" s="424">
        <f t="shared" si="38"/>
        <v>21</v>
      </c>
      <c r="K38" s="351">
        <f t="shared" si="38"/>
        <v>57</v>
      </c>
      <c r="L38" s="333">
        <f t="shared" ref="L38:L43" si="44">AL38</f>
        <v>65</v>
      </c>
      <c r="M38" s="333">
        <f t="shared" si="39"/>
        <v>27</v>
      </c>
      <c r="N38" s="333">
        <f t="shared" si="39"/>
        <v>40</v>
      </c>
      <c r="O38" s="333">
        <f t="shared" si="39"/>
        <v>64</v>
      </c>
      <c r="P38" s="333">
        <f t="shared" si="39"/>
        <v>196</v>
      </c>
      <c r="Q38" s="400"/>
      <c r="R38" s="400"/>
      <c r="S38" s="400"/>
      <c r="T38" s="400"/>
      <c r="V38" s="243"/>
      <c r="W38" s="243"/>
      <c r="X38" s="243"/>
      <c r="Y38" s="243"/>
      <c r="Z38" s="243"/>
      <c r="AA38" s="784" t="s">
        <v>428</v>
      </c>
      <c r="AB38" s="780">
        <f t="shared" si="40"/>
        <v>29</v>
      </c>
      <c r="AC38" s="780">
        <f t="shared" si="40"/>
        <v>9</v>
      </c>
      <c r="AD38" s="780">
        <f t="shared" si="40"/>
        <v>16</v>
      </c>
      <c r="AE38" s="780">
        <f t="shared" si="40"/>
        <v>43</v>
      </c>
      <c r="AF38" s="780">
        <f t="shared" si="40"/>
        <v>97</v>
      </c>
      <c r="AG38" s="780">
        <f t="shared" si="41"/>
        <v>20</v>
      </c>
      <c r="AH38" s="780">
        <f t="shared" si="41"/>
        <v>9</v>
      </c>
      <c r="AI38" s="780">
        <f t="shared" si="41"/>
        <v>7</v>
      </c>
      <c r="AJ38" s="780">
        <f t="shared" si="41"/>
        <v>21</v>
      </c>
      <c r="AK38" s="780">
        <f t="shared" si="41"/>
        <v>57</v>
      </c>
      <c r="AL38" s="780">
        <f>VLOOKUP($AA$6&amp;$AA$36&amp;$AC$5&amp;$AA$38&amp;AL$7, vw.births.demo, 7, FALSE)</f>
        <v>65</v>
      </c>
      <c r="AM38" s="780">
        <f>VLOOKUP($AA$6&amp;$AA$36&amp;$AC$5&amp;$AA$38&amp;AM$7, vw.births.demo, 7, FALSE)</f>
        <v>27</v>
      </c>
      <c r="AN38" s="780">
        <f>VLOOKUP($AA$6&amp;$AA$36&amp;$AC$5&amp;$AA$38&amp;AN$7, vw.births.demo, 7, FALSE)</f>
        <v>40</v>
      </c>
      <c r="AO38" s="780">
        <f>VLOOKUP($AA$6&amp;$AA$36&amp;$AC$5&amp;$AA$38&amp;AO$7, vw.births.demo, 7, FALSE)</f>
        <v>64</v>
      </c>
      <c r="AP38" s="780">
        <f>VLOOKUP($AA$6&amp;$AA$36&amp;$AC$5&amp;$AA$38&amp;AP$7, vw.births.demo, 7, FALSE)</f>
        <v>196</v>
      </c>
      <c r="AQ38" s="243"/>
      <c r="AR38" s="243"/>
      <c r="AS38" s="243"/>
      <c r="AT38" s="243"/>
      <c r="AU38" s="243"/>
    </row>
    <row r="39" spans="1:47" s="77" customFormat="1">
      <c r="A39" s="404" t="s">
        <v>387</v>
      </c>
      <c r="B39" s="332">
        <f t="shared" si="42"/>
        <v>8</v>
      </c>
      <c r="C39" s="332">
        <f t="shared" si="37"/>
        <v>4</v>
      </c>
      <c r="D39" s="332">
        <f t="shared" si="37"/>
        <v>7</v>
      </c>
      <c r="E39" s="332">
        <f t="shared" si="37"/>
        <v>8</v>
      </c>
      <c r="F39" s="351">
        <f t="shared" si="37"/>
        <v>27</v>
      </c>
      <c r="G39" s="424">
        <f t="shared" si="43"/>
        <v>4</v>
      </c>
      <c r="H39" s="424">
        <f t="shared" si="38"/>
        <v>0</v>
      </c>
      <c r="I39" s="424">
        <f t="shared" si="38"/>
        <v>1</v>
      </c>
      <c r="J39" s="424">
        <f t="shared" si="38"/>
        <v>3</v>
      </c>
      <c r="K39" s="351">
        <f t="shared" si="38"/>
        <v>8</v>
      </c>
      <c r="L39" s="333">
        <f t="shared" si="44"/>
        <v>119</v>
      </c>
      <c r="M39" s="333">
        <f t="shared" si="39"/>
        <v>22</v>
      </c>
      <c r="N39" s="333">
        <f t="shared" si="39"/>
        <v>59</v>
      </c>
      <c r="O39" s="333">
        <f t="shared" si="39"/>
        <v>131</v>
      </c>
      <c r="P39" s="333">
        <f t="shared" si="39"/>
        <v>331</v>
      </c>
      <c r="Q39" s="397"/>
      <c r="R39" s="397"/>
      <c r="S39" s="397"/>
      <c r="T39" s="397"/>
      <c r="V39" s="243"/>
      <c r="W39" s="243"/>
      <c r="X39" s="243"/>
      <c r="Y39" s="243"/>
      <c r="Z39" s="243"/>
      <c r="AA39" s="784" t="s">
        <v>429</v>
      </c>
      <c r="AB39" s="780">
        <f t="shared" si="40"/>
        <v>8</v>
      </c>
      <c r="AC39" s="780">
        <f t="shared" si="40"/>
        <v>4</v>
      </c>
      <c r="AD39" s="780">
        <f t="shared" si="40"/>
        <v>7</v>
      </c>
      <c r="AE39" s="780">
        <f t="shared" si="40"/>
        <v>8</v>
      </c>
      <c r="AF39" s="780">
        <f t="shared" si="40"/>
        <v>27</v>
      </c>
      <c r="AG39" s="780">
        <f t="shared" si="41"/>
        <v>4</v>
      </c>
      <c r="AH39" s="780">
        <f t="shared" si="41"/>
        <v>0</v>
      </c>
      <c r="AI39" s="780">
        <f t="shared" si="41"/>
        <v>1</v>
      </c>
      <c r="AJ39" s="780">
        <f t="shared" si="41"/>
        <v>3</v>
      </c>
      <c r="AK39" s="780">
        <f t="shared" si="41"/>
        <v>8</v>
      </c>
      <c r="AL39" s="780">
        <f>VLOOKUP($AA$6&amp;$AA$36&amp;$AC$5&amp;$AA$39&amp;AL$7, vw.births.demo, 7, FALSE)</f>
        <v>119</v>
      </c>
      <c r="AM39" s="780">
        <f>VLOOKUP($AA$6&amp;$AA$36&amp;$AC$5&amp;$AA$39&amp;AM$7, vw.births.demo, 7, FALSE)</f>
        <v>22</v>
      </c>
      <c r="AN39" s="780">
        <f>VLOOKUP($AA$6&amp;$AA$36&amp;$AC$5&amp;$AA$39&amp;AN$7, vw.births.demo, 7, FALSE)</f>
        <v>59</v>
      </c>
      <c r="AO39" s="780">
        <f>VLOOKUP($AA$6&amp;$AA$36&amp;$AC$5&amp;$AA$39&amp;AO$7, vw.births.demo, 7, FALSE)</f>
        <v>131</v>
      </c>
      <c r="AP39" s="780">
        <f>VLOOKUP($AA$6&amp;$AA$36&amp;$AC$5&amp;$AA$39&amp;AP$7, vw.births.demo, 7, FALSE)</f>
        <v>331</v>
      </c>
      <c r="AQ39" s="243"/>
      <c r="AR39" s="243"/>
      <c r="AS39" s="243"/>
      <c r="AT39" s="243"/>
      <c r="AU39" s="243"/>
    </row>
    <row r="40" spans="1:47" s="454" customFormat="1">
      <c r="A40" s="82" t="s">
        <v>381</v>
      </c>
      <c r="B40" s="332">
        <f t="shared" si="42"/>
        <v>15</v>
      </c>
      <c r="C40" s="332">
        <f t="shared" si="37"/>
        <v>6</v>
      </c>
      <c r="D40" s="332">
        <f t="shared" si="37"/>
        <v>7</v>
      </c>
      <c r="E40" s="332">
        <f t="shared" si="37"/>
        <v>17</v>
      </c>
      <c r="F40" s="351">
        <f t="shared" si="37"/>
        <v>45</v>
      </c>
      <c r="G40" s="424">
        <f t="shared" si="43"/>
        <v>15</v>
      </c>
      <c r="H40" s="424">
        <f t="shared" si="38"/>
        <v>9</v>
      </c>
      <c r="I40" s="424">
        <f t="shared" si="38"/>
        <v>2</v>
      </c>
      <c r="J40" s="424">
        <f t="shared" si="38"/>
        <v>9</v>
      </c>
      <c r="K40" s="351">
        <f t="shared" si="38"/>
        <v>35</v>
      </c>
      <c r="L40" s="333">
        <f t="shared" si="44"/>
        <v>933</v>
      </c>
      <c r="M40" s="333">
        <f t="shared" si="39"/>
        <v>211</v>
      </c>
      <c r="N40" s="333">
        <f t="shared" si="39"/>
        <v>684</v>
      </c>
      <c r="O40" s="333">
        <f t="shared" si="39"/>
        <v>1163</v>
      </c>
      <c r="P40" s="333">
        <f t="shared" si="39"/>
        <v>2991</v>
      </c>
      <c r="Q40" s="453"/>
      <c r="R40" s="453"/>
      <c r="S40" s="453"/>
      <c r="T40" s="453"/>
      <c r="V40" s="243"/>
      <c r="W40" s="243"/>
      <c r="X40" s="243"/>
      <c r="Y40" s="243"/>
      <c r="Z40" s="243"/>
      <c r="AA40" s="784" t="s">
        <v>430</v>
      </c>
      <c r="AB40" s="780">
        <f t="shared" si="40"/>
        <v>15</v>
      </c>
      <c r="AC40" s="780">
        <f t="shared" si="40"/>
        <v>6</v>
      </c>
      <c r="AD40" s="780">
        <f t="shared" si="40"/>
        <v>7</v>
      </c>
      <c r="AE40" s="780">
        <f t="shared" si="40"/>
        <v>17</v>
      </c>
      <c r="AF40" s="780">
        <f t="shared" si="40"/>
        <v>45</v>
      </c>
      <c r="AG40" s="780">
        <f t="shared" si="41"/>
        <v>15</v>
      </c>
      <c r="AH40" s="780">
        <f t="shared" si="41"/>
        <v>9</v>
      </c>
      <c r="AI40" s="780">
        <f t="shared" si="41"/>
        <v>2</v>
      </c>
      <c r="AJ40" s="780">
        <f t="shared" si="41"/>
        <v>9</v>
      </c>
      <c r="AK40" s="780">
        <f t="shared" si="41"/>
        <v>35</v>
      </c>
      <c r="AL40" s="780">
        <f>VLOOKUP($AA$6&amp;$AA$36&amp;$AC$5&amp;$AA$40&amp;AL$7, vw.births.demo, 7, FALSE)</f>
        <v>933</v>
      </c>
      <c r="AM40" s="780">
        <f>VLOOKUP($AA$6&amp;$AA$36&amp;$AC$5&amp;$AA$40&amp;AM$7, vw.births.demo, 7, FALSE)</f>
        <v>211</v>
      </c>
      <c r="AN40" s="780">
        <f>VLOOKUP($AA$6&amp;$AA$36&amp;$AC$5&amp;$AA$40&amp;AN$7, vw.births.demo, 7, FALSE)</f>
        <v>684</v>
      </c>
      <c r="AO40" s="780">
        <f>VLOOKUP($AA$6&amp;$AA$36&amp;$AC$5&amp;$AA$40&amp;AO$7, vw.births.demo, 7, FALSE)</f>
        <v>1163</v>
      </c>
      <c r="AP40" s="780">
        <f>VLOOKUP($AA$6&amp;$AA$36&amp;$AC$5&amp;$AA$40&amp;AP$7, vw.births.demo, 7, FALSE)</f>
        <v>2991</v>
      </c>
      <c r="AQ40" s="243"/>
      <c r="AR40" s="243"/>
      <c r="AS40" s="243"/>
      <c r="AT40" s="243"/>
      <c r="AU40" s="243"/>
    </row>
    <row r="41" spans="1:47" s="77" customFormat="1">
      <c r="A41" s="82" t="s">
        <v>388</v>
      </c>
      <c r="B41" s="332">
        <f t="shared" si="42"/>
        <v>18</v>
      </c>
      <c r="C41" s="332">
        <f t="shared" si="37"/>
        <v>14</v>
      </c>
      <c r="D41" s="332">
        <f t="shared" si="37"/>
        <v>13</v>
      </c>
      <c r="E41" s="332">
        <f t="shared" si="37"/>
        <v>36</v>
      </c>
      <c r="F41" s="351">
        <f t="shared" si="37"/>
        <v>81</v>
      </c>
      <c r="G41" s="424">
        <f t="shared" si="43"/>
        <v>47</v>
      </c>
      <c r="H41" s="424">
        <f t="shared" si="38"/>
        <v>12</v>
      </c>
      <c r="I41" s="424">
        <f t="shared" si="38"/>
        <v>7</v>
      </c>
      <c r="J41" s="424">
        <f t="shared" si="38"/>
        <v>29</v>
      </c>
      <c r="K41" s="351">
        <f t="shared" si="38"/>
        <v>95</v>
      </c>
      <c r="L41" s="333">
        <f t="shared" si="44"/>
        <v>15761</v>
      </c>
      <c r="M41" s="333">
        <f t="shared" si="39"/>
        <v>5449</v>
      </c>
      <c r="N41" s="333">
        <f t="shared" si="39"/>
        <v>10050</v>
      </c>
      <c r="O41" s="333">
        <f t="shared" si="39"/>
        <v>24147</v>
      </c>
      <c r="P41" s="333">
        <f t="shared" si="39"/>
        <v>55407</v>
      </c>
      <c r="Q41" s="322"/>
      <c r="R41" s="322"/>
      <c r="S41" s="322"/>
      <c r="T41" s="322"/>
      <c r="V41" s="243"/>
      <c r="W41" s="243"/>
      <c r="X41" s="243"/>
      <c r="Y41" s="243"/>
      <c r="Z41" s="243"/>
      <c r="AA41" s="784" t="s">
        <v>431</v>
      </c>
      <c r="AB41" s="780">
        <f t="shared" si="40"/>
        <v>18</v>
      </c>
      <c r="AC41" s="780">
        <f t="shared" si="40"/>
        <v>14</v>
      </c>
      <c r="AD41" s="780">
        <f t="shared" si="40"/>
        <v>13</v>
      </c>
      <c r="AE41" s="780">
        <f t="shared" si="40"/>
        <v>36</v>
      </c>
      <c r="AF41" s="780">
        <f t="shared" si="40"/>
        <v>81</v>
      </c>
      <c r="AG41" s="780">
        <f t="shared" si="41"/>
        <v>47</v>
      </c>
      <c r="AH41" s="780">
        <f t="shared" si="41"/>
        <v>12</v>
      </c>
      <c r="AI41" s="780">
        <f t="shared" si="41"/>
        <v>7</v>
      </c>
      <c r="AJ41" s="780">
        <f t="shared" si="41"/>
        <v>29</v>
      </c>
      <c r="AK41" s="780">
        <f t="shared" si="41"/>
        <v>95</v>
      </c>
      <c r="AL41" s="780">
        <f>VLOOKUP($AA$6&amp;$AA$36&amp;$AC$5&amp;$AA$41&amp;AL$7, vw.births.demo, 7, FALSE)</f>
        <v>15761</v>
      </c>
      <c r="AM41" s="780">
        <f>VLOOKUP($AA$6&amp;$AA$36&amp;$AC$5&amp;$AA$41&amp;AM$7, vw.births.demo, 7, FALSE)</f>
        <v>5449</v>
      </c>
      <c r="AN41" s="780">
        <f>VLOOKUP($AA$6&amp;$AA$36&amp;$AC$5&amp;$AA$41&amp;AN$7, vw.births.demo, 7, FALSE)</f>
        <v>10050</v>
      </c>
      <c r="AO41" s="780">
        <f>VLOOKUP($AA$6&amp;$AA$36&amp;$AC$5&amp;$AA$41&amp;AO$7, vw.births.demo, 7, FALSE)</f>
        <v>24147</v>
      </c>
      <c r="AP41" s="780">
        <f>VLOOKUP($AA$6&amp;$AA$36&amp;$AC$5&amp;$AA$41&amp;AP$7, vw.births.demo, 7, FALSE)</f>
        <v>55407</v>
      </c>
      <c r="AQ41" s="245"/>
      <c r="AR41" s="245"/>
      <c r="AS41" s="245"/>
      <c r="AT41" s="245"/>
      <c r="AU41" s="243"/>
    </row>
    <row r="42" spans="1:47" s="77" customFormat="1">
      <c r="A42" s="82" t="s">
        <v>383</v>
      </c>
      <c r="B42" s="332">
        <f t="shared" si="42"/>
        <v>1</v>
      </c>
      <c r="C42" s="332">
        <f t="shared" si="37"/>
        <v>1</v>
      </c>
      <c r="D42" s="332">
        <f t="shared" si="37"/>
        <v>0</v>
      </c>
      <c r="E42" s="332">
        <f t="shared" si="37"/>
        <v>2</v>
      </c>
      <c r="F42" s="351">
        <f t="shared" si="37"/>
        <v>4</v>
      </c>
      <c r="G42" s="424">
        <f t="shared" si="43"/>
        <v>0</v>
      </c>
      <c r="H42" s="424">
        <f t="shared" si="38"/>
        <v>0</v>
      </c>
      <c r="I42" s="424">
        <f t="shared" si="38"/>
        <v>0</v>
      </c>
      <c r="J42" s="424">
        <f t="shared" si="38"/>
        <v>0</v>
      </c>
      <c r="K42" s="351">
        <f t="shared" si="38"/>
        <v>0</v>
      </c>
      <c r="L42" s="333">
        <f t="shared" si="44"/>
        <v>426</v>
      </c>
      <c r="M42" s="333">
        <f t="shared" si="39"/>
        <v>261</v>
      </c>
      <c r="N42" s="333">
        <f t="shared" si="39"/>
        <v>44</v>
      </c>
      <c r="O42" s="333">
        <f t="shared" si="39"/>
        <v>692</v>
      </c>
      <c r="P42" s="333">
        <f t="shared" si="39"/>
        <v>1423</v>
      </c>
      <c r="V42" s="243"/>
      <c r="W42" s="243"/>
      <c r="X42" s="243"/>
      <c r="Y42" s="243"/>
      <c r="Z42" s="243"/>
      <c r="AA42" s="784" t="s">
        <v>432</v>
      </c>
      <c r="AB42" s="780">
        <f t="shared" si="40"/>
        <v>1</v>
      </c>
      <c r="AC42" s="780">
        <f t="shared" si="40"/>
        <v>1</v>
      </c>
      <c r="AD42" s="780">
        <f t="shared" si="40"/>
        <v>0</v>
      </c>
      <c r="AE42" s="780">
        <f t="shared" si="40"/>
        <v>2</v>
      </c>
      <c r="AF42" s="780">
        <f t="shared" si="40"/>
        <v>4</v>
      </c>
      <c r="AG42" s="780">
        <f t="shared" si="41"/>
        <v>0</v>
      </c>
      <c r="AH42" s="780">
        <f t="shared" si="41"/>
        <v>0</v>
      </c>
      <c r="AI42" s="780">
        <f t="shared" si="41"/>
        <v>0</v>
      </c>
      <c r="AJ42" s="780">
        <f t="shared" si="41"/>
        <v>0</v>
      </c>
      <c r="AK42" s="780">
        <f t="shared" si="41"/>
        <v>0</v>
      </c>
      <c r="AL42" s="780">
        <f>VLOOKUP($AA$6&amp;$AA$36&amp;$AC$5&amp;$AA$42&amp;AL$7, vw.births.demo, 7, FALSE)</f>
        <v>426</v>
      </c>
      <c r="AM42" s="780">
        <f>VLOOKUP($AA$6&amp;$AA$36&amp;$AC$5&amp;$AA$42&amp;AM$7, vw.births.demo, 7, FALSE)</f>
        <v>261</v>
      </c>
      <c r="AN42" s="780">
        <f>VLOOKUP($AA$6&amp;$AA$36&amp;$AC$5&amp;$AA$42&amp;AN$7, vw.births.demo, 7, FALSE)</f>
        <v>44</v>
      </c>
      <c r="AO42" s="780">
        <f>VLOOKUP($AA$6&amp;$AA$36&amp;$AC$5&amp;$AA$42&amp;AO$7, vw.births.demo, 7, FALSE)</f>
        <v>692</v>
      </c>
      <c r="AP42" s="780">
        <f>VLOOKUP($AA$6&amp;$AA$36&amp;$AC$5&amp;$AA$42&amp;AP$7, vw.births.demo, 7, FALSE)</f>
        <v>1423</v>
      </c>
      <c r="AQ42" s="245"/>
      <c r="AR42" s="245"/>
      <c r="AS42" s="245"/>
      <c r="AT42" s="245"/>
      <c r="AU42" s="243"/>
    </row>
    <row r="43" spans="1:47" s="77" customFormat="1">
      <c r="A43" s="58" t="s">
        <v>63</v>
      </c>
      <c r="B43" s="332">
        <f t="shared" si="42"/>
        <v>7</v>
      </c>
      <c r="C43" s="332">
        <f t="shared" si="37"/>
        <v>4</v>
      </c>
      <c r="D43" s="332">
        <f t="shared" si="37"/>
        <v>2</v>
      </c>
      <c r="E43" s="332">
        <f t="shared" si="37"/>
        <v>5</v>
      </c>
      <c r="F43" s="351">
        <f t="shared" si="37"/>
        <v>18</v>
      </c>
      <c r="G43" s="332">
        <f t="shared" si="43"/>
        <v>4</v>
      </c>
      <c r="H43" s="332">
        <f t="shared" si="38"/>
        <v>1</v>
      </c>
      <c r="I43" s="332">
        <f t="shared" si="38"/>
        <v>1</v>
      </c>
      <c r="J43" s="332">
        <f t="shared" si="38"/>
        <v>3</v>
      </c>
      <c r="K43" s="351">
        <f t="shared" si="38"/>
        <v>9</v>
      </c>
      <c r="L43" s="333">
        <f t="shared" si="44"/>
        <v>11</v>
      </c>
      <c r="M43" s="333">
        <f t="shared" si="39"/>
        <v>1</v>
      </c>
      <c r="N43" s="333">
        <f t="shared" si="39"/>
        <v>6</v>
      </c>
      <c r="O43" s="333">
        <f t="shared" si="39"/>
        <v>17</v>
      </c>
      <c r="P43" s="333">
        <f t="shared" si="39"/>
        <v>35</v>
      </c>
      <c r="V43" s="243"/>
      <c r="W43" s="243"/>
      <c r="X43" s="243"/>
      <c r="Y43" s="243"/>
      <c r="Z43" s="243"/>
      <c r="AA43" s="784" t="s">
        <v>63</v>
      </c>
      <c r="AB43" s="780">
        <f>IFERROR(VLOOKUP($AA$6&amp;$AA$36&amp;$AC$5&amp;$AA43&amp;AB$7&amp;$AB$6, vw.deaths.demo,7, FALSE),0)</f>
        <v>7</v>
      </c>
      <c r="AC43" s="780">
        <f>IFERROR(VLOOKUP($AA$6&amp;$AA$36&amp;$AC$5&amp;$AA43&amp;AC$7&amp;$AB$6, vw.deaths.demo,7, FALSE),0)</f>
        <v>4</v>
      </c>
      <c r="AD43" s="780">
        <f>IFERROR(VLOOKUP($AA$6&amp;$AA$36&amp;$AC$5&amp;$AA43&amp;AD$7&amp;$AB$6, vw.deaths.demo,7, FALSE),0)</f>
        <v>2</v>
      </c>
      <c r="AE43" s="780">
        <f>IFERROR(VLOOKUP($AA$6&amp;$AA$36&amp;$AC$5&amp;$AA43&amp;AE$7&amp;$AB$6, vw.deaths.demo,7, FALSE),0)</f>
        <v>5</v>
      </c>
      <c r="AF43" s="780">
        <f>IFERROR(VLOOKUP($AA$6&amp;$AA$36&amp;$AC$5&amp;$AA43&amp;AF$7&amp;$AB$6, vw.deaths.demo,7, FALSE),0)</f>
        <v>18</v>
      </c>
      <c r="AG43" s="780">
        <f>IFERROR(VLOOKUP($AA$6&amp;$AA$36&amp;$AC$5&amp;$AA43&amp;AG$7&amp;$AG$6, vw.deaths.demo, 7, FALSE),0)</f>
        <v>4</v>
      </c>
      <c r="AH43" s="780">
        <f>IFERROR(VLOOKUP($AA$6&amp;$AA$36&amp;$AC$5&amp;$AA43&amp;AH$7&amp;$AG$6, vw.deaths.demo, 7, FALSE),0)</f>
        <v>1</v>
      </c>
      <c r="AI43" s="780">
        <f>IFERROR(VLOOKUP($AA$6&amp;$AA$36&amp;$AC$5&amp;$AA43&amp;AI$7&amp;$AG$6, vw.deaths.demo, 7, FALSE),0)</f>
        <v>1</v>
      </c>
      <c r="AJ43" s="780">
        <f>IFERROR(VLOOKUP($AA$6&amp;$AA$36&amp;$AC$5&amp;$AA43&amp;AJ$7&amp;$AG$6, vw.deaths.demo, 7, FALSE),0)</f>
        <v>3</v>
      </c>
      <c r="AK43" s="780">
        <f>IFERROR(VLOOKUP($AA$6&amp;$AA$36&amp;$AC$5&amp;$AA43&amp;AK$7&amp;$AG$6, vw.deaths.demo, 7, FALSE),0)</f>
        <v>9</v>
      </c>
      <c r="AL43" s="780">
        <f>IFERROR(VLOOKUP($AA$6&amp;$AA$36&amp;$AC$5&amp;$AA$43&amp;AL$7, vw.births.demo, 7, FALSE),0)</f>
        <v>11</v>
      </c>
      <c r="AM43" s="780">
        <f>IFERROR(VLOOKUP($AA$6&amp;$AA$36&amp;$AC$5&amp;$AA$43&amp;AM$7, vw.births.demo, 7, FALSE),0)</f>
        <v>1</v>
      </c>
      <c r="AN43" s="780">
        <f>IFERROR(VLOOKUP($AA$6&amp;$AA$36&amp;$AC$5&amp;$AA$43&amp;AN$7, vw.births.demo, 7, FALSE),0)</f>
        <v>6</v>
      </c>
      <c r="AO43" s="780">
        <f>IFERROR(VLOOKUP($AA$6&amp;$AA$36&amp;$AC$5&amp;$AA$43&amp;AO$7, vw.births.demo, 7, FALSE),0)</f>
        <v>17</v>
      </c>
      <c r="AP43" s="780">
        <f>IFERROR(VLOOKUP($AA$6&amp;$AA$36&amp;$AC$5&amp;$AA$43&amp;AP$7, vw.births.demo, 7, FALSE),0)</f>
        <v>35</v>
      </c>
      <c r="AQ43" s="245"/>
      <c r="AR43" s="245"/>
      <c r="AS43" s="245"/>
      <c r="AT43" s="245"/>
      <c r="AU43" s="243"/>
    </row>
    <row r="44" spans="1:47">
      <c r="B44" s="411"/>
      <c r="C44" s="411"/>
      <c r="D44" s="411"/>
      <c r="E44" s="411"/>
      <c r="F44" s="411"/>
      <c r="G44" s="411"/>
      <c r="H44" s="411"/>
      <c r="I44" s="411"/>
      <c r="J44" s="411"/>
      <c r="K44" s="411"/>
      <c r="L44" s="411"/>
      <c r="M44" s="411"/>
      <c r="N44" s="411"/>
      <c r="O44" s="411"/>
      <c r="P44" s="411"/>
    </row>
    <row r="46" spans="1:47" ht="36.75" customHeight="1">
      <c r="A46" s="913" t="str">
        <f>Contents!E10</f>
        <v xml:space="preserve">Table 6: Rate of fetal deaths and infant deaths for each ethnic group, by sex, maternal age group, deprivation quintile of residence, gestational age and birthweight, 2016
</v>
      </c>
      <c r="B46" s="913"/>
      <c r="C46" s="913"/>
      <c r="D46" s="913"/>
      <c r="E46" s="913"/>
      <c r="F46" s="913"/>
      <c r="G46" s="913"/>
      <c r="H46" s="913"/>
      <c r="I46" s="913"/>
      <c r="J46" s="913"/>
      <c r="K46" s="913"/>
      <c r="L46" s="498"/>
      <c r="M46" s="498"/>
      <c r="N46" s="498"/>
      <c r="O46" s="498"/>
      <c r="P46" s="498"/>
    </row>
    <row r="47" spans="1:47">
      <c r="A47" s="907" t="s">
        <v>68</v>
      </c>
      <c r="B47" s="910" t="s">
        <v>369</v>
      </c>
      <c r="C47" s="910"/>
      <c r="D47" s="910"/>
      <c r="E47" s="910"/>
      <c r="F47" s="910"/>
      <c r="G47" s="911" t="s">
        <v>370</v>
      </c>
      <c r="H47" s="910"/>
      <c r="I47" s="910"/>
      <c r="J47" s="910"/>
      <c r="K47" s="910"/>
      <c r="L47" s="63"/>
      <c r="M47" s="63"/>
      <c r="N47" s="63"/>
      <c r="O47" s="63"/>
      <c r="P47" s="63"/>
      <c r="Q47" s="63"/>
      <c r="R47" s="63"/>
      <c r="S47" s="63"/>
      <c r="T47" s="63"/>
      <c r="U47" s="63"/>
    </row>
    <row r="48" spans="1:47" ht="24">
      <c r="A48" s="909"/>
      <c r="B48" s="292" t="s">
        <v>354</v>
      </c>
      <c r="C48" s="292" t="s">
        <v>320</v>
      </c>
      <c r="D48" s="292" t="s">
        <v>355</v>
      </c>
      <c r="E48" s="292" t="s">
        <v>356</v>
      </c>
      <c r="F48" s="293" t="s">
        <v>44</v>
      </c>
      <c r="G48" s="292" t="s">
        <v>354</v>
      </c>
      <c r="H48" s="292" t="s">
        <v>320</v>
      </c>
      <c r="I48" s="292" t="s">
        <v>355</v>
      </c>
      <c r="J48" s="292" t="s">
        <v>356</v>
      </c>
      <c r="K48" s="293" t="s">
        <v>44</v>
      </c>
      <c r="L48" s="63"/>
      <c r="M48" s="167"/>
      <c r="O48" s="167"/>
      <c r="P48" s="167"/>
      <c r="Q48" s="167"/>
      <c r="R48" s="167"/>
      <c r="S48" s="167"/>
      <c r="T48" s="167"/>
      <c r="U48" s="167"/>
    </row>
    <row r="49" spans="1:21">
      <c r="A49" s="80" t="s">
        <v>104</v>
      </c>
      <c r="B49" s="90"/>
      <c r="C49" s="90"/>
      <c r="D49" s="90"/>
      <c r="E49" s="108"/>
      <c r="F49" s="90"/>
      <c r="G49" s="90"/>
      <c r="H49" s="90"/>
      <c r="I49" s="90"/>
      <c r="J49" s="108"/>
      <c r="K49" s="90"/>
      <c r="L49" s="167"/>
      <c r="M49" s="167"/>
      <c r="O49" s="167"/>
      <c r="P49" s="167"/>
      <c r="Q49" s="167"/>
      <c r="R49" s="167"/>
      <c r="S49" s="167"/>
      <c r="T49" s="167"/>
      <c r="U49" s="167"/>
    </row>
    <row r="50" spans="1:21">
      <c r="A50" s="49" t="s">
        <v>44</v>
      </c>
      <c r="B50" s="84">
        <f>B9/(B9+L9)*1000</f>
        <v>6.9910033808950773</v>
      </c>
      <c r="C50" s="84">
        <f>C9/(C9+M9)*1000</f>
        <v>7.4738415545590433</v>
      </c>
      <c r="D50" s="84">
        <f>D9/(D9+N9)*1000</f>
        <v>6.6514806378132114</v>
      </c>
      <c r="E50" s="84">
        <f>E9/(E9+O9)*1000</f>
        <v>6.5525338989470496</v>
      </c>
      <c r="F50" s="84">
        <f>F9/(F9+P9)*1000</f>
        <v>6.7872931354664825</v>
      </c>
      <c r="G50" s="172">
        <f>G9/L9*1000</f>
        <v>5.943793640717872</v>
      </c>
      <c r="H50" s="84">
        <f>H9/M9*1000</f>
        <v>6.1914323962516731</v>
      </c>
      <c r="I50" s="84">
        <f>I9/N9*1000</f>
        <v>2.4766097963676388</v>
      </c>
      <c r="J50" s="84">
        <f>J9/O9*1000</f>
        <v>2.8213046627778415</v>
      </c>
      <c r="K50" s="84">
        <f>K9/P9*1000</f>
        <v>3.9876894566152621</v>
      </c>
      <c r="L50" s="167"/>
      <c r="M50" s="167"/>
      <c r="O50" s="167"/>
      <c r="P50" s="167"/>
      <c r="Q50" s="167"/>
      <c r="R50" s="167"/>
      <c r="S50" s="167"/>
      <c r="T50" s="167"/>
      <c r="U50" s="167"/>
    </row>
    <row r="51" spans="1:21">
      <c r="A51" s="80" t="s">
        <v>69</v>
      </c>
      <c r="B51" s="90"/>
      <c r="C51" s="90"/>
      <c r="D51" s="90"/>
      <c r="E51" s="108"/>
      <c r="F51" s="90"/>
      <c r="G51" s="90"/>
      <c r="H51" s="90"/>
      <c r="I51" s="90"/>
      <c r="J51" s="108"/>
      <c r="K51" s="81"/>
      <c r="L51" s="167"/>
      <c r="M51" s="167"/>
      <c r="O51" s="167"/>
      <c r="P51" s="167"/>
      <c r="Q51" s="167"/>
      <c r="R51" s="167"/>
      <c r="S51" s="167"/>
      <c r="T51" s="167"/>
      <c r="U51" s="167"/>
    </row>
    <row r="52" spans="1:21">
      <c r="A52" s="49" t="s">
        <v>70</v>
      </c>
      <c r="B52" s="84">
        <f t="shared" ref="B52:F53" si="45">B11/(B11+L11)*1000</f>
        <v>7.2625698324022352</v>
      </c>
      <c r="C52" s="84">
        <f t="shared" si="45"/>
        <v>7.0648683365446372</v>
      </c>
      <c r="D52" s="84">
        <f t="shared" si="45"/>
        <v>6.5777777777777775</v>
      </c>
      <c r="E52" s="84">
        <f t="shared" si="45"/>
        <v>6.7966903073286051</v>
      </c>
      <c r="F52" s="84">
        <f t="shared" si="45"/>
        <v>6.9175340272217776</v>
      </c>
      <c r="G52" s="172">
        <f t="shared" ref="G52:K53" si="46">G11/L11*1000</f>
        <v>5.9651097355092855</v>
      </c>
      <c r="H52" s="84">
        <f t="shared" si="46"/>
        <v>7.1151358344113849</v>
      </c>
      <c r="I52" s="84">
        <f t="shared" si="46"/>
        <v>2.1474588403722263</v>
      </c>
      <c r="J52" s="84">
        <f t="shared" si="46"/>
        <v>2.9753049687592976</v>
      </c>
      <c r="K52" s="84">
        <f t="shared" si="46"/>
        <v>4.0955851526976046</v>
      </c>
      <c r="L52" s="167"/>
      <c r="M52" s="167"/>
      <c r="O52" s="167"/>
      <c r="P52" s="167"/>
      <c r="Q52" s="167"/>
      <c r="R52" s="167"/>
      <c r="S52" s="167"/>
      <c r="T52" s="167"/>
      <c r="U52" s="167"/>
    </row>
    <row r="53" spans="1:21">
      <c r="A53" s="49" t="s">
        <v>71</v>
      </c>
      <c r="B53" s="84">
        <f t="shared" si="45"/>
        <v>6.1205273069679844</v>
      </c>
      <c r="C53" s="84">
        <f t="shared" si="45"/>
        <v>7.2289156626506026</v>
      </c>
      <c r="D53" s="84">
        <f t="shared" si="45"/>
        <v>6.7289719626168223</v>
      </c>
      <c r="E53" s="84">
        <f t="shared" si="45"/>
        <v>6.2184220753983679</v>
      </c>
      <c r="F53" s="84">
        <f t="shared" si="45"/>
        <v>6.381685575364668</v>
      </c>
      <c r="G53" s="172">
        <f t="shared" si="46"/>
        <v>5.9213642823306483</v>
      </c>
      <c r="H53" s="84">
        <f t="shared" si="46"/>
        <v>5.2011095700416092</v>
      </c>
      <c r="I53" s="84">
        <f t="shared" si="46"/>
        <v>2.8227324049680087</v>
      </c>
      <c r="J53" s="84">
        <f t="shared" si="46"/>
        <v>2.6593664450527963</v>
      </c>
      <c r="K53" s="84">
        <f t="shared" si="46"/>
        <v>3.8739932714853706</v>
      </c>
      <c r="L53" s="167"/>
      <c r="M53" s="167"/>
      <c r="O53" s="167"/>
      <c r="P53" s="167"/>
      <c r="Q53" s="167"/>
      <c r="R53" s="167"/>
      <c r="S53" s="167"/>
      <c r="T53" s="167"/>
      <c r="U53" s="167"/>
    </row>
    <row r="54" spans="1:21">
      <c r="A54" s="80" t="s">
        <v>152</v>
      </c>
      <c r="B54" s="90"/>
      <c r="C54" s="90"/>
      <c r="D54" s="90"/>
      <c r="E54" s="108"/>
      <c r="F54" s="90"/>
      <c r="G54" s="90"/>
      <c r="H54" s="90"/>
      <c r="I54" s="90"/>
      <c r="J54" s="108"/>
      <c r="K54" s="90"/>
      <c r="L54" s="167"/>
      <c r="M54" s="167"/>
      <c r="O54" s="167"/>
      <c r="P54" s="167"/>
      <c r="Q54" s="167"/>
      <c r="R54" s="167"/>
      <c r="S54" s="167"/>
      <c r="T54" s="167"/>
      <c r="U54" s="167"/>
    </row>
    <row r="55" spans="1:21">
      <c r="A55" s="422" t="s">
        <v>339</v>
      </c>
      <c r="B55" s="84">
        <f t="shared" ref="B55:F60" si="47">B15/(B15+L15)*1000</f>
        <v>12.24739742804654</v>
      </c>
      <c r="C55" s="84">
        <f t="shared" si="47"/>
        <v>12.987012987012989</v>
      </c>
      <c r="D55" s="84">
        <f t="shared" si="47"/>
        <v>21.739130434782609</v>
      </c>
      <c r="E55" s="84">
        <f t="shared" si="47"/>
        <v>18.832391713747644</v>
      </c>
      <c r="F55" s="84">
        <f t="shared" si="47"/>
        <v>13.872832369942197</v>
      </c>
      <c r="G55" s="172">
        <f t="shared" ref="G55:K60" si="48">G15/L15*1000</f>
        <v>12.399256044637323</v>
      </c>
      <c r="H55" s="84">
        <f t="shared" si="48"/>
        <v>18.421052631578945</v>
      </c>
      <c r="I55" s="84">
        <f t="shared" si="48"/>
        <v>0</v>
      </c>
      <c r="J55" s="84">
        <f t="shared" si="48"/>
        <v>0</v>
      </c>
      <c r="K55" s="84">
        <f t="shared" si="48"/>
        <v>10.550996483001173</v>
      </c>
      <c r="L55" s="123"/>
      <c r="M55" s="123"/>
      <c r="N55" s="123"/>
      <c r="O55" s="123"/>
      <c r="P55" s="123"/>
      <c r="Q55" s="123"/>
      <c r="R55" s="123"/>
      <c r="S55" s="123"/>
      <c r="T55" s="167"/>
      <c r="U55" s="167"/>
    </row>
    <row r="56" spans="1:21">
      <c r="A56" s="49" t="s">
        <v>77</v>
      </c>
      <c r="B56" s="84">
        <f t="shared" si="47"/>
        <v>7.0907617504051856</v>
      </c>
      <c r="C56" s="84">
        <f t="shared" si="47"/>
        <v>5.2735662491760049</v>
      </c>
      <c r="D56" s="84">
        <f t="shared" si="47"/>
        <v>8.7829360100376412</v>
      </c>
      <c r="E56" s="84">
        <f t="shared" si="47"/>
        <v>8.3424011606819004</v>
      </c>
      <c r="F56" s="84">
        <f t="shared" si="47"/>
        <v>7.2948935744978511</v>
      </c>
      <c r="G56" s="172">
        <f t="shared" si="48"/>
        <v>6.3252397469904107</v>
      </c>
      <c r="H56" s="84">
        <f t="shared" si="48"/>
        <v>7.9522862823061624</v>
      </c>
      <c r="I56" s="84">
        <f t="shared" si="48"/>
        <v>7.5949367088607591</v>
      </c>
      <c r="J56" s="84">
        <f t="shared" si="48"/>
        <v>4.3891733723482078</v>
      </c>
      <c r="K56" s="84">
        <f t="shared" si="48"/>
        <v>6.1405274813770889</v>
      </c>
      <c r="L56" s="123"/>
      <c r="M56" s="123"/>
      <c r="N56" s="123"/>
      <c r="O56" s="123"/>
      <c r="P56" s="123"/>
      <c r="Q56" s="123"/>
      <c r="R56" s="123"/>
      <c r="S56" s="123"/>
      <c r="T56" s="167"/>
      <c r="U56" s="167"/>
    </row>
    <row r="57" spans="1:21">
      <c r="A57" s="49" t="s">
        <v>78</v>
      </c>
      <c r="B57" s="84">
        <f t="shared" si="47"/>
        <v>5.5788005578800552</v>
      </c>
      <c r="C57" s="84">
        <f t="shared" si="47"/>
        <v>7.5713453698311008</v>
      </c>
      <c r="D57" s="84">
        <f t="shared" si="47"/>
        <v>5.5113288426209426</v>
      </c>
      <c r="E57" s="84">
        <f t="shared" si="47"/>
        <v>6.5040650406504064</v>
      </c>
      <c r="F57" s="84">
        <f t="shared" si="47"/>
        <v>6.1430190254666908</v>
      </c>
      <c r="G57" s="172">
        <f t="shared" si="48"/>
        <v>5.4097375275495896</v>
      </c>
      <c r="H57" s="84">
        <f t="shared" si="48"/>
        <v>1.7605633802816902</v>
      </c>
      <c r="I57" s="84">
        <f t="shared" si="48"/>
        <v>1.5394088669950741</v>
      </c>
      <c r="J57" s="84">
        <f t="shared" si="48"/>
        <v>2.5293855081089123</v>
      </c>
      <c r="K57" s="84">
        <f t="shared" si="48"/>
        <v>3.1204992798847817</v>
      </c>
      <c r="L57" s="123"/>
      <c r="M57" s="123"/>
      <c r="N57" s="123"/>
      <c r="O57" s="123"/>
      <c r="P57" s="123"/>
      <c r="Q57" s="123"/>
      <c r="R57" s="123"/>
      <c r="S57" s="123"/>
      <c r="T57" s="167"/>
      <c r="U57" s="167"/>
    </row>
    <row r="58" spans="1:21">
      <c r="A58" s="49" t="s">
        <v>79</v>
      </c>
      <c r="B58" s="84">
        <f t="shared" si="47"/>
        <v>6.502685891998869</v>
      </c>
      <c r="C58" s="84">
        <f t="shared" si="47"/>
        <v>8.0586080586080602</v>
      </c>
      <c r="D58" s="84">
        <f t="shared" si="47"/>
        <v>6.3708260105448158</v>
      </c>
      <c r="E58" s="84">
        <f t="shared" si="47"/>
        <v>5.5431190704615716</v>
      </c>
      <c r="F58" s="84">
        <f t="shared" si="47"/>
        <v>6.1056543668701879</v>
      </c>
      <c r="G58" s="172">
        <f t="shared" si="48"/>
        <v>3.9840637450199203</v>
      </c>
      <c r="H58" s="84">
        <f t="shared" si="48"/>
        <v>5.1698670605613</v>
      </c>
      <c r="I58" s="84">
        <f t="shared" si="48"/>
        <v>2.2109219544550078</v>
      </c>
      <c r="J58" s="84">
        <f t="shared" si="48"/>
        <v>3.0013935041269164</v>
      </c>
      <c r="K58" s="84">
        <f t="shared" si="48"/>
        <v>3.1517094017094016</v>
      </c>
      <c r="L58" s="123"/>
      <c r="M58" s="123"/>
      <c r="N58" s="123"/>
      <c r="O58" s="123"/>
      <c r="P58" s="123"/>
      <c r="Q58" s="123"/>
      <c r="R58" s="123"/>
      <c r="S58" s="123"/>
      <c r="T58" s="167"/>
      <c r="U58" s="167"/>
    </row>
    <row r="59" spans="1:21">
      <c r="A59" s="49" t="s">
        <v>80</v>
      </c>
      <c r="B59" s="84">
        <f t="shared" si="47"/>
        <v>6.6042927903137034</v>
      </c>
      <c r="C59" s="84">
        <f t="shared" si="47"/>
        <v>7.4906367041198498</v>
      </c>
      <c r="D59" s="84">
        <f t="shared" si="47"/>
        <v>8.1883316274309106</v>
      </c>
      <c r="E59" s="84">
        <f t="shared" si="47"/>
        <v>6.4251293949669819</v>
      </c>
      <c r="F59" s="84">
        <f t="shared" si="47"/>
        <v>6.8796068796068797</v>
      </c>
      <c r="G59" s="172">
        <f t="shared" si="48"/>
        <v>4.43213296398892</v>
      </c>
      <c r="H59" s="84">
        <f t="shared" si="48"/>
        <v>5.0314465408805029</v>
      </c>
      <c r="I59" s="84">
        <f t="shared" si="48"/>
        <v>2.5799793601651189</v>
      </c>
      <c r="J59" s="84">
        <f t="shared" si="48"/>
        <v>1.6166696604993713</v>
      </c>
      <c r="K59" s="84">
        <f t="shared" si="48"/>
        <v>2.5729836714497774</v>
      </c>
      <c r="L59" s="123"/>
      <c r="M59" s="123"/>
      <c r="N59" s="123"/>
      <c r="O59" s="123"/>
      <c r="P59" s="123"/>
      <c r="Q59" s="123"/>
      <c r="R59" s="123"/>
      <c r="S59" s="123"/>
      <c r="T59" s="167"/>
      <c r="U59" s="167"/>
    </row>
    <row r="60" spans="1:21">
      <c r="A60" s="49" t="s">
        <v>81</v>
      </c>
      <c r="B60" s="84">
        <f t="shared" si="47"/>
        <v>7.8585461689587417</v>
      </c>
      <c r="C60" s="84">
        <f t="shared" si="47"/>
        <v>8.4745762711864412</v>
      </c>
      <c r="D60" s="84">
        <f t="shared" si="47"/>
        <v>5.5555555555555554</v>
      </c>
      <c r="E60" s="84">
        <f t="shared" si="47"/>
        <v>5.8608058608058604</v>
      </c>
      <c r="F60" s="84">
        <f t="shared" si="47"/>
        <v>6.4777327935222671</v>
      </c>
      <c r="G60" s="270">
        <f t="shared" si="48"/>
        <v>5.9405940594059405</v>
      </c>
      <c r="H60" s="91">
        <f t="shared" si="48"/>
        <v>12.820512820512819</v>
      </c>
      <c r="I60" s="91">
        <f t="shared" si="48"/>
        <v>2.7932960893854748</v>
      </c>
      <c r="J60" s="91">
        <f t="shared" si="48"/>
        <v>5.8953574060427414</v>
      </c>
      <c r="K60" s="91">
        <f t="shared" si="48"/>
        <v>6.1124694376528126</v>
      </c>
      <c r="L60" s="123"/>
      <c r="M60" s="123"/>
      <c r="N60" s="123"/>
      <c r="O60" s="123"/>
      <c r="P60" s="123"/>
      <c r="Q60" s="123"/>
      <c r="R60" s="123"/>
      <c r="S60" s="123"/>
      <c r="T60" s="167"/>
      <c r="U60" s="167"/>
    </row>
    <row r="61" spans="1:21">
      <c r="A61" s="80" t="s">
        <v>82</v>
      </c>
      <c r="B61" s="90"/>
      <c r="C61" s="90"/>
      <c r="D61" s="90"/>
      <c r="E61" s="108"/>
      <c r="F61" s="90"/>
      <c r="G61" s="90"/>
      <c r="H61" s="90"/>
      <c r="I61" s="90"/>
      <c r="J61" s="108"/>
      <c r="K61" s="90"/>
      <c r="L61" s="167"/>
      <c r="M61" s="123"/>
      <c r="N61" s="123"/>
      <c r="O61" s="123"/>
      <c r="P61" s="123"/>
      <c r="Q61" s="167"/>
      <c r="R61" s="167"/>
      <c r="S61" s="167"/>
      <c r="T61" s="167"/>
      <c r="U61" s="167"/>
    </row>
    <row r="62" spans="1:21">
      <c r="A62" s="49" t="s">
        <v>83</v>
      </c>
      <c r="B62" s="84">
        <f t="shared" ref="B62:F66" si="49">B23/(B23+L23)*1000</f>
        <v>3.4393809114359417</v>
      </c>
      <c r="C62" s="84">
        <f t="shared" si="49"/>
        <v>3.6764705882352939</v>
      </c>
      <c r="D62" s="84">
        <f t="shared" si="49"/>
        <v>6.7602704108164327</v>
      </c>
      <c r="E62" s="84">
        <f t="shared" si="49"/>
        <v>4.2524238816125193</v>
      </c>
      <c r="F62" s="84">
        <f t="shared" si="49"/>
        <v>4.6551910793547684</v>
      </c>
      <c r="G62" s="172">
        <f t="shared" ref="G62:K66" si="50">G23/L23*1000</f>
        <v>3.4512510785159622</v>
      </c>
      <c r="H62" s="84">
        <f t="shared" si="50"/>
        <v>0</v>
      </c>
      <c r="I62" s="84">
        <f t="shared" si="50"/>
        <v>3.1413612565445028</v>
      </c>
      <c r="J62" s="84">
        <f t="shared" si="50"/>
        <v>2.3915271609156132</v>
      </c>
      <c r="K62" s="84">
        <f t="shared" si="50"/>
        <v>2.6103980857080704</v>
      </c>
      <c r="L62" s="123"/>
      <c r="M62" s="123"/>
      <c r="N62" s="123"/>
      <c r="O62" s="123"/>
      <c r="P62" s="123"/>
      <c r="Q62" s="167"/>
      <c r="R62" s="167"/>
      <c r="S62" s="167"/>
      <c r="T62" s="167"/>
      <c r="U62" s="167"/>
    </row>
    <row r="63" spans="1:21">
      <c r="A63" s="13">
        <v>2</v>
      </c>
      <c r="B63" s="84">
        <f t="shared" si="49"/>
        <v>7.2182121043864518</v>
      </c>
      <c r="C63" s="84">
        <f t="shared" si="49"/>
        <v>7.042253521126761</v>
      </c>
      <c r="D63" s="84">
        <f t="shared" si="49"/>
        <v>4.1002277904328022</v>
      </c>
      <c r="E63" s="84">
        <f t="shared" si="49"/>
        <v>6.7649609713790113</v>
      </c>
      <c r="F63" s="84">
        <f t="shared" si="49"/>
        <v>6.2825169333464217</v>
      </c>
      <c r="G63" s="172">
        <f t="shared" si="50"/>
        <v>2.796420581655481</v>
      </c>
      <c r="H63" s="84">
        <f t="shared" si="50"/>
        <v>0</v>
      </c>
      <c r="I63" s="84">
        <f t="shared" si="50"/>
        <v>1.8298261665141813</v>
      </c>
      <c r="J63" s="84">
        <f t="shared" si="50"/>
        <v>2.619629758994062</v>
      </c>
      <c r="K63" s="84">
        <f t="shared" si="50"/>
        <v>2.3708386841845304</v>
      </c>
      <c r="L63" s="123"/>
      <c r="M63" s="123"/>
      <c r="N63" s="123"/>
      <c r="O63" s="123"/>
      <c r="P63" s="123"/>
      <c r="Q63" s="167"/>
      <c r="R63" s="167"/>
      <c r="S63" s="167"/>
      <c r="T63" s="167"/>
      <c r="U63" s="167"/>
    </row>
    <row r="64" spans="1:21">
      <c r="A64" s="13">
        <v>3</v>
      </c>
      <c r="B64" s="84">
        <f t="shared" si="49"/>
        <v>6.7643742953776771</v>
      </c>
      <c r="C64" s="84">
        <f t="shared" si="49"/>
        <v>5.2910052910052912</v>
      </c>
      <c r="D64" s="84">
        <f t="shared" si="49"/>
        <v>7.0600100857286936</v>
      </c>
      <c r="E64" s="84">
        <f t="shared" si="49"/>
        <v>5.6623198352779678</v>
      </c>
      <c r="F64" s="84">
        <f t="shared" si="49"/>
        <v>6.1599782589002627</v>
      </c>
      <c r="G64" s="172">
        <f t="shared" si="50"/>
        <v>4.5402951191827468</v>
      </c>
      <c r="H64" s="84">
        <f t="shared" si="50"/>
        <v>0</v>
      </c>
      <c r="I64" s="84">
        <f t="shared" si="50"/>
        <v>2.0314880650076179</v>
      </c>
      <c r="J64" s="84">
        <f t="shared" si="50"/>
        <v>2.7610008628127698</v>
      </c>
      <c r="K64" s="84">
        <f t="shared" si="50"/>
        <v>2.9167806034089874</v>
      </c>
      <c r="L64" s="123"/>
      <c r="M64" s="123"/>
      <c r="N64" s="123"/>
      <c r="O64" s="123"/>
      <c r="P64" s="123"/>
      <c r="Q64" s="167"/>
      <c r="R64" s="167"/>
      <c r="S64" s="167"/>
      <c r="T64" s="167"/>
      <c r="U64" s="167"/>
    </row>
    <row r="65" spans="1:47">
      <c r="A65" s="13">
        <v>4</v>
      </c>
      <c r="B65" s="84">
        <f t="shared" si="49"/>
        <v>7.8992841273759566</v>
      </c>
      <c r="C65" s="84">
        <f t="shared" si="49"/>
        <v>4.1981528127623848</v>
      </c>
      <c r="D65" s="84">
        <f t="shared" si="49"/>
        <v>5.7259713701431494</v>
      </c>
      <c r="E65" s="84">
        <f t="shared" si="49"/>
        <v>7.0473436935309</v>
      </c>
      <c r="F65" s="84">
        <f t="shared" si="49"/>
        <v>6.8073519400953026</v>
      </c>
      <c r="G65" s="172">
        <f t="shared" si="50"/>
        <v>5.4739985070913155</v>
      </c>
      <c r="H65" s="84">
        <f t="shared" si="50"/>
        <v>6.7453625632377738</v>
      </c>
      <c r="I65" s="84">
        <f t="shared" si="50"/>
        <v>1.2340600575894694</v>
      </c>
      <c r="J65" s="84">
        <f t="shared" si="50"/>
        <v>3.457688808007279</v>
      </c>
      <c r="K65" s="84">
        <f t="shared" si="50"/>
        <v>3.9600944330210957</v>
      </c>
      <c r="L65" s="123"/>
      <c r="M65" s="123"/>
      <c r="N65" s="123"/>
      <c r="O65" s="123"/>
      <c r="P65" s="123"/>
      <c r="Q65" s="167"/>
      <c r="R65" s="167"/>
      <c r="S65" s="167"/>
      <c r="T65" s="167"/>
      <c r="U65" s="167"/>
    </row>
    <row r="66" spans="1:47">
      <c r="A66" s="49" t="s">
        <v>84</v>
      </c>
      <c r="B66" s="84">
        <f t="shared" si="49"/>
        <v>6.7062161465050298</v>
      </c>
      <c r="C66" s="84">
        <f t="shared" si="49"/>
        <v>8.2106455266138152</v>
      </c>
      <c r="D66" s="84">
        <f t="shared" si="49"/>
        <v>8.0067425200168572</v>
      </c>
      <c r="E66" s="84">
        <f t="shared" si="49"/>
        <v>7.7542499254399049</v>
      </c>
      <c r="F66" s="84">
        <f t="shared" si="49"/>
        <v>7.4065365624265223</v>
      </c>
      <c r="G66" s="172">
        <f t="shared" si="50"/>
        <v>7.7901843676967024</v>
      </c>
      <c r="H66" s="84">
        <f t="shared" si="50"/>
        <v>7.993148729660291</v>
      </c>
      <c r="I66" s="84">
        <f t="shared" si="50"/>
        <v>3.8232795242141036</v>
      </c>
      <c r="J66" s="84">
        <f t="shared" si="50"/>
        <v>3.0057108506161709</v>
      </c>
      <c r="K66" s="84">
        <f t="shared" si="50"/>
        <v>6.3366102096411225</v>
      </c>
      <c r="L66" s="123"/>
      <c r="M66" s="123"/>
      <c r="N66" s="123"/>
      <c r="O66" s="123"/>
      <c r="P66" s="123"/>
      <c r="Q66" s="167"/>
      <c r="R66" s="167"/>
      <c r="S66" s="167"/>
      <c r="T66" s="167"/>
      <c r="U66" s="167"/>
    </row>
    <row r="67" spans="1:47">
      <c r="A67" s="80" t="s">
        <v>105</v>
      </c>
      <c r="B67" s="90"/>
      <c r="C67" s="90"/>
      <c r="D67" s="90"/>
      <c r="E67" s="108"/>
      <c r="F67" s="90"/>
      <c r="G67" s="90"/>
      <c r="H67" s="90"/>
      <c r="I67" s="22"/>
      <c r="J67" s="81"/>
      <c r="K67" s="24"/>
      <c r="L67" s="123"/>
      <c r="M67" s="123"/>
      <c r="N67" s="123"/>
      <c r="O67" s="123"/>
      <c r="P67" s="123"/>
      <c r="Q67" s="167"/>
      <c r="R67" s="167"/>
      <c r="S67" s="167"/>
      <c r="T67" s="167"/>
      <c r="U67" s="167"/>
    </row>
    <row r="68" spans="1:47">
      <c r="A68" s="404" t="s">
        <v>375</v>
      </c>
      <c r="B68" s="412">
        <f>IF(B30/(B30+L30)*1000&gt;1000, "-", B30/(B30+L30)*1000)</f>
        <v>445.7831325301205</v>
      </c>
      <c r="C68" s="412">
        <f t="shared" ref="C68:F72" si="51">IF(C30/(C30+M30)*1000&gt;1000, "-", C30/(C30+M30)*1000)</f>
        <v>333.33333333333331</v>
      </c>
      <c r="D68" s="412">
        <f t="shared" si="51"/>
        <v>440.86021505376345</v>
      </c>
      <c r="E68" s="412">
        <f t="shared" si="51"/>
        <v>540.22988505747128</v>
      </c>
      <c r="F68" s="412">
        <f t="shared" si="51"/>
        <v>466.11909650924025</v>
      </c>
      <c r="G68" s="172">
        <f t="shared" ref="G68:K72" si="52">G30/L30*1000</f>
        <v>380.43478260869568</v>
      </c>
      <c r="H68" s="84">
        <f t="shared" si="52"/>
        <v>388.88888888888891</v>
      </c>
      <c r="I68" s="84">
        <f t="shared" si="52"/>
        <v>307.69230769230774</v>
      </c>
      <c r="J68" s="84">
        <f t="shared" si="52"/>
        <v>387.5</v>
      </c>
      <c r="K68" s="84">
        <f t="shared" si="52"/>
        <v>369.23076923076923</v>
      </c>
      <c r="L68" s="123"/>
      <c r="M68" s="123"/>
      <c r="N68" s="123"/>
      <c r="O68" s="123"/>
      <c r="P68" s="123"/>
      <c r="Q68" s="167"/>
      <c r="R68" s="167"/>
      <c r="S68" s="167"/>
      <c r="T68" s="167"/>
      <c r="U68" s="167"/>
    </row>
    <row r="69" spans="1:47" s="397" customFormat="1">
      <c r="A69" s="404" t="s">
        <v>376</v>
      </c>
      <c r="B69" s="412">
        <f t="shared" ref="B69:B72" si="53">IF(B31/(B31+L31)*1000&gt;1000, "-", B31/(B31+L31)*1000)</f>
        <v>27.972027972027973</v>
      </c>
      <c r="C69" s="412">
        <f t="shared" si="51"/>
        <v>171.42857142857142</v>
      </c>
      <c r="D69" s="412">
        <f t="shared" si="51"/>
        <v>112.5</v>
      </c>
      <c r="E69" s="412">
        <f t="shared" si="51"/>
        <v>96.44670050761421</v>
      </c>
      <c r="F69" s="412">
        <f t="shared" si="51"/>
        <v>83.516483516483518</v>
      </c>
      <c r="G69" s="172">
        <f t="shared" si="52"/>
        <v>43.165467625899282</v>
      </c>
      <c r="H69" s="84">
        <f t="shared" si="52"/>
        <v>103.44827586206897</v>
      </c>
      <c r="I69" s="84">
        <f t="shared" si="52"/>
        <v>28.169014084507044</v>
      </c>
      <c r="J69" s="84">
        <f t="shared" si="52"/>
        <v>16.853932584269664</v>
      </c>
      <c r="K69" s="84">
        <f t="shared" si="52"/>
        <v>33.573141486810549</v>
      </c>
      <c r="L69" s="123"/>
      <c r="M69" s="123"/>
      <c r="N69" s="123"/>
      <c r="O69" s="123"/>
      <c r="P69" s="123"/>
      <c r="V69" s="245"/>
      <c r="W69" s="245"/>
      <c r="X69" s="245"/>
      <c r="Y69" s="245"/>
      <c r="Z69" s="245"/>
      <c r="AA69" s="780"/>
      <c r="AB69" s="780"/>
      <c r="AC69" s="780"/>
      <c r="AD69" s="780"/>
      <c r="AE69" s="780"/>
      <c r="AF69" s="780"/>
      <c r="AG69" s="780"/>
      <c r="AH69" s="780"/>
      <c r="AI69" s="780"/>
      <c r="AJ69" s="780"/>
      <c r="AK69" s="780"/>
      <c r="AL69" s="780"/>
      <c r="AM69" s="780"/>
      <c r="AN69" s="780"/>
      <c r="AO69" s="780"/>
      <c r="AP69" s="780"/>
      <c r="AQ69" s="245"/>
      <c r="AR69" s="245"/>
      <c r="AS69" s="245"/>
      <c r="AT69" s="245"/>
      <c r="AU69" s="245"/>
    </row>
    <row r="70" spans="1:47">
      <c r="A70" s="49" t="s">
        <v>64</v>
      </c>
      <c r="B70" s="412">
        <f t="shared" si="53"/>
        <v>14.86374896779521</v>
      </c>
      <c r="C70" s="412">
        <f t="shared" si="51"/>
        <v>20.833333333333332</v>
      </c>
      <c r="D70" s="412">
        <f t="shared" si="51"/>
        <v>12.924071082390954</v>
      </c>
      <c r="E70" s="412">
        <f t="shared" si="51"/>
        <v>13.285024154589372</v>
      </c>
      <c r="F70" s="412">
        <f t="shared" si="51"/>
        <v>14.470284237726098</v>
      </c>
      <c r="G70" s="172">
        <f t="shared" si="52"/>
        <v>6.7057837384744339</v>
      </c>
      <c r="H70" s="84">
        <f t="shared" si="52"/>
        <v>21.276595744680851</v>
      </c>
      <c r="I70" s="84">
        <f t="shared" si="52"/>
        <v>1.6366612111292964</v>
      </c>
      <c r="J70" s="84">
        <f t="shared" si="52"/>
        <v>3.6719706242350063</v>
      </c>
      <c r="K70" s="84">
        <f t="shared" si="52"/>
        <v>6.0304142632406919</v>
      </c>
      <c r="L70" s="123"/>
      <c r="M70" s="123"/>
      <c r="N70" s="123"/>
      <c r="O70" s="123"/>
      <c r="P70" s="123"/>
      <c r="Q70" s="167"/>
      <c r="R70" s="167"/>
      <c r="S70" s="167"/>
      <c r="T70" s="167"/>
      <c r="U70" s="167"/>
    </row>
    <row r="71" spans="1:47">
      <c r="A71" s="49" t="s">
        <v>65</v>
      </c>
      <c r="B71" s="412">
        <f t="shared" si="53"/>
        <v>1.5988743924277309</v>
      </c>
      <c r="C71" s="412">
        <f t="shared" si="51"/>
        <v>2.2038567493112944</v>
      </c>
      <c r="D71" s="412">
        <f t="shared" si="51"/>
        <v>1.2926319976136025</v>
      </c>
      <c r="E71" s="412">
        <f t="shared" si="51"/>
        <v>1.5096238520568623</v>
      </c>
      <c r="F71" s="412">
        <f t="shared" si="51"/>
        <v>1.5640629262526142</v>
      </c>
      <c r="G71" s="172">
        <f t="shared" si="52"/>
        <v>2.8185253987572865</v>
      </c>
      <c r="H71" s="84">
        <f t="shared" si="52"/>
        <v>1.8406037180195105</v>
      </c>
      <c r="I71" s="84">
        <f t="shared" si="52"/>
        <v>0.69693349263241733</v>
      </c>
      <c r="J71" s="84">
        <f t="shared" si="52"/>
        <v>1.2599218848431397</v>
      </c>
      <c r="K71" s="84">
        <f t="shared" si="52"/>
        <v>1.6575893914278947</v>
      </c>
      <c r="L71" s="123"/>
      <c r="M71" s="123"/>
      <c r="N71" s="123"/>
      <c r="O71" s="123"/>
      <c r="P71" s="123"/>
      <c r="Q71" s="167"/>
      <c r="R71" s="167"/>
      <c r="S71" s="167"/>
      <c r="T71" s="167"/>
      <c r="U71" s="167"/>
    </row>
    <row r="72" spans="1:47">
      <c r="A72" s="49" t="s">
        <v>66</v>
      </c>
      <c r="B72" s="412">
        <f t="shared" si="53"/>
        <v>0</v>
      </c>
      <c r="C72" s="412">
        <f t="shared" si="51"/>
        <v>0</v>
      </c>
      <c r="D72" s="412">
        <f t="shared" si="51"/>
        <v>0</v>
      </c>
      <c r="E72" s="412">
        <f t="shared" si="51"/>
        <v>0</v>
      </c>
      <c r="F72" s="412">
        <f t="shared" si="51"/>
        <v>0</v>
      </c>
      <c r="G72" s="172">
        <f t="shared" si="52"/>
        <v>10.676156583629894</v>
      </c>
      <c r="H72" s="84">
        <f t="shared" si="52"/>
        <v>0</v>
      </c>
      <c r="I72" s="84">
        <f t="shared" si="52"/>
        <v>8.4033613445378155</v>
      </c>
      <c r="J72" s="84">
        <f t="shared" si="52"/>
        <v>0</v>
      </c>
      <c r="K72" s="84">
        <f t="shared" si="52"/>
        <v>3.9331366764995086</v>
      </c>
      <c r="L72" s="123"/>
      <c r="M72" s="123"/>
      <c r="N72" s="123"/>
      <c r="O72" s="123"/>
      <c r="P72" s="123"/>
      <c r="Q72" s="167"/>
      <c r="R72" s="167"/>
      <c r="S72" s="167"/>
      <c r="T72" s="167"/>
      <c r="U72" s="167"/>
    </row>
    <row r="73" spans="1:47">
      <c r="A73" s="80" t="s">
        <v>1</v>
      </c>
      <c r="B73" s="90"/>
      <c r="C73" s="90"/>
      <c r="D73" s="90"/>
      <c r="E73" s="108"/>
      <c r="F73" s="90"/>
      <c r="G73" s="90"/>
      <c r="H73" s="90"/>
      <c r="I73" s="90"/>
      <c r="J73" s="108"/>
      <c r="K73" s="90"/>
      <c r="L73" s="123"/>
      <c r="M73" s="123"/>
      <c r="N73" s="123"/>
      <c r="O73" s="123"/>
      <c r="P73" s="123"/>
      <c r="Q73" s="167"/>
      <c r="R73" s="167"/>
      <c r="S73" s="167"/>
      <c r="T73" s="167"/>
      <c r="U73" s="167"/>
    </row>
    <row r="74" spans="1:47">
      <c r="A74" s="404" t="s">
        <v>378</v>
      </c>
      <c r="B74" s="412">
        <f>IF(B37/(B37+L37)*1000&gt;1000, "-", B37/(B37+L37)*1000)</f>
        <v>758.62068965517233</v>
      </c>
      <c r="C74" s="412">
        <f t="shared" ref="C74:F74" si="54">IF(C37/(C37+M37)*1000&gt;1000, "-", C37/(C37+M37)*1000)</f>
        <v>583.33333333333337</v>
      </c>
      <c r="D74" s="412">
        <f t="shared" si="54"/>
        <v>595.74468085106378</v>
      </c>
      <c r="E74" s="412">
        <f t="shared" si="54"/>
        <v>805.19480519480521</v>
      </c>
      <c r="F74" s="412">
        <f t="shared" si="54"/>
        <v>726.80412371134014</v>
      </c>
      <c r="G74" s="172">
        <f>IF(G37/L37*1000&gt;1000, "-", G37/L37*1000)</f>
        <v>928.57142857142856</v>
      </c>
      <c r="H74" s="533" t="str">
        <f>IF(H37/M37*1000&gt;1000, "-", H37/M37*1000)</f>
        <v>-</v>
      </c>
      <c r="I74" s="533">
        <f t="shared" ref="I74:K74" si="55">IF(I37/N37*1000&gt;1000, "-", I37/N37*1000)</f>
        <v>473.68421052631578</v>
      </c>
      <c r="J74" s="84">
        <f t="shared" si="55"/>
        <v>600</v>
      </c>
      <c r="K74" s="84">
        <f t="shared" si="55"/>
        <v>698.11320754716974</v>
      </c>
      <c r="L74" s="123"/>
      <c r="M74" s="123"/>
      <c r="N74" s="123"/>
      <c r="O74" s="123"/>
      <c r="P74" s="167"/>
      <c r="Q74" s="167"/>
      <c r="R74" s="167"/>
      <c r="S74" s="167"/>
      <c r="T74" s="167"/>
      <c r="U74" s="167"/>
    </row>
    <row r="75" spans="1:47" s="400" customFormat="1">
      <c r="A75" s="404" t="s">
        <v>386</v>
      </c>
      <c r="B75" s="412">
        <f t="shared" ref="B75:B79" si="56">IF(B38/(B38+L38)*1000&gt;1000, "-", B38/(B38+L38)*1000)</f>
        <v>308.51063829787233</v>
      </c>
      <c r="C75" s="412">
        <f t="shared" ref="C75:C79" si="57">IF(C38/(C38+M38)*1000&gt;1000, "-", C38/(C38+M38)*1000)</f>
        <v>250</v>
      </c>
      <c r="D75" s="412">
        <f t="shared" ref="D75:D79" si="58">IF(D38/(D38+N38)*1000&gt;1000, "-", D38/(D38+N38)*1000)</f>
        <v>285.71428571428572</v>
      </c>
      <c r="E75" s="412">
        <f t="shared" ref="E75:E79" si="59">IF(E38/(E38+O38)*1000&gt;1000, "-", E38/(E38+O38)*1000)</f>
        <v>401.86915887850466</v>
      </c>
      <c r="F75" s="412">
        <f t="shared" ref="F75:F79" si="60">IF(F38/(F38+P38)*1000&gt;1000, "-", F38/(F38+P38)*1000)</f>
        <v>331.05802047781566</v>
      </c>
      <c r="G75" s="172">
        <f t="shared" ref="G75:G79" si="61">IF(G38/L38*1000&gt;1000, "-", G38/L38*1000)</f>
        <v>307.69230769230774</v>
      </c>
      <c r="H75" s="84">
        <f t="shared" ref="H75:H79" si="62">IF(H38/M38*1000&gt;1000, "-", H38/M38*1000)</f>
        <v>333.33333333333331</v>
      </c>
      <c r="I75" s="84">
        <f t="shared" ref="I75:I79" si="63">IF(I38/N38*1000&gt;1000, "-", I38/N38*1000)</f>
        <v>175</v>
      </c>
      <c r="J75" s="84">
        <f t="shared" ref="J75:J79" si="64">IF(J38/O38*1000&gt;1000, "-", J38/O38*1000)</f>
        <v>328.125</v>
      </c>
      <c r="K75" s="84">
        <f t="shared" ref="K75:K79" si="65">IF(K38/P38*1000&gt;1000, "-", K38/P38*1000)</f>
        <v>290.81632653061223</v>
      </c>
      <c r="L75" s="123"/>
      <c r="M75" s="123"/>
      <c r="N75" s="123"/>
      <c r="O75" s="123"/>
      <c r="V75" s="245"/>
      <c r="W75" s="245"/>
      <c r="X75" s="245"/>
      <c r="Y75" s="245"/>
      <c r="Z75" s="245"/>
      <c r="AA75" s="780"/>
      <c r="AB75" s="780"/>
      <c r="AC75" s="780"/>
      <c r="AD75" s="780"/>
      <c r="AE75" s="780"/>
      <c r="AF75" s="780"/>
      <c r="AG75" s="780"/>
      <c r="AH75" s="780"/>
      <c r="AI75" s="780"/>
      <c r="AJ75" s="780"/>
      <c r="AK75" s="780"/>
      <c r="AL75" s="780"/>
      <c r="AM75" s="780"/>
      <c r="AN75" s="780"/>
      <c r="AO75" s="780"/>
      <c r="AP75" s="780"/>
      <c r="AQ75" s="245"/>
      <c r="AR75" s="245"/>
      <c r="AS75" s="245"/>
      <c r="AT75" s="245"/>
      <c r="AU75" s="245"/>
    </row>
    <row r="76" spans="1:47" s="397" customFormat="1">
      <c r="A76" s="404" t="s">
        <v>387</v>
      </c>
      <c r="B76" s="412">
        <f t="shared" si="56"/>
        <v>62.99212598425197</v>
      </c>
      <c r="C76" s="412">
        <f t="shared" si="57"/>
        <v>153.84615384615387</v>
      </c>
      <c r="D76" s="412">
        <f t="shared" si="58"/>
        <v>106.06060606060606</v>
      </c>
      <c r="E76" s="412">
        <f t="shared" si="59"/>
        <v>57.553956834532379</v>
      </c>
      <c r="F76" s="412">
        <f t="shared" si="60"/>
        <v>75.41899441340783</v>
      </c>
      <c r="G76" s="172">
        <f t="shared" si="61"/>
        <v>33.613445378151262</v>
      </c>
      <c r="H76" s="84">
        <f t="shared" si="62"/>
        <v>0</v>
      </c>
      <c r="I76" s="84">
        <f t="shared" si="63"/>
        <v>16.949152542372882</v>
      </c>
      <c r="J76" s="84">
        <f t="shared" si="64"/>
        <v>22.900763358778626</v>
      </c>
      <c r="K76" s="84">
        <f t="shared" si="65"/>
        <v>24.169184290030213</v>
      </c>
      <c r="L76" s="123"/>
      <c r="M76" s="123"/>
      <c r="N76" s="123"/>
      <c r="O76" s="123"/>
      <c r="V76" s="245"/>
      <c r="W76" s="245"/>
      <c r="X76" s="245"/>
      <c r="Y76" s="245"/>
      <c r="Z76" s="245"/>
      <c r="AA76" s="780"/>
      <c r="AB76" s="780"/>
      <c r="AC76" s="780"/>
      <c r="AD76" s="780"/>
      <c r="AE76" s="780"/>
      <c r="AF76" s="780"/>
      <c r="AG76" s="780"/>
      <c r="AH76" s="780"/>
      <c r="AI76" s="780"/>
      <c r="AJ76" s="780"/>
      <c r="AK76" s="780"/>
      <c r="AL76" s="780"/>
      <c r="AM76" s="780"/>
      <c r="AN76" s="780"/>
      <c r="AO76" s="780"/>
      <c r="AP76" s="780"/>
      <c r="AQ76" s="245"/>
      <c r="AR76" s="245"/>
      <c r="AS76" s="245"/>
      <c r="AT76" s="245"/>
      <c r="AU76" s="245"/>
    </row>
    <row r="77" spans="1:47">
      <c r="A77" s="464" t="s">
        <v>396</v>
      </c>
      <c r="B77" s="412">
        <f t="shared" si="56"/>
        <v>15.822784810126583</v>
      </c>
      <c r="C77" s="412">
        <f t="shared" si="57"/>
        <v>27.649769585253459</v>
      </c>
      <c r="D77" s="412">
        <f t="shared" si="58"/>
        <v>10.130246020260492</v>
      </c>
      <c r="E77" s="412">
        <f t="shared" si="59"/>
        <v>14.40677966101695</v>
      </c>
      <c r="F77" s="412">
        <f t="shared" si="60"/>
        <v>14.822134387351777</v>
      </c>
      <c r="G77" s="172">
        <f t="shared" si="61"/>
        <v>16.077170418006428</v>
      </c>
      <c r="H77" s="84">
        <f t="shared" si="62"/>
        <v>42.654028436018962</v>
      </c>
      <c r="I77" s="84">
        <f t="shared" si="63"/>
        <v>2.9239766081871341</v>
      </c>
      <c r="J77" s="84">
        <f t="shared" si="64"/>
        <v>7.7386070507308684</v>
      </c>
      <c r="K77" s="84">
        <f t="shared" si="65"/>
        <v>11.70177198261451</v>
      </c>
      <c r="L77" s="123"/>
      <c r="M77" s="123"/>
      <c r="N77" s="123"/>
      <c r="O77" s="123"/>
      <c r="P77" s="167"/>
      <c r="Q77" s="167"/>
      <c r="R77" s="167"/>
      <c r="S77" s="167"/>
      <c r="T77" s="167"/>
      <c r="U77" s="167"/>
    </row>
    <row r="78" spans="1:47">
      <c r="A78" s="407" t="s">
        <v>388</v>
      </c>
      <c r="B78" s="412">
        <f t="shared" si="56"/>
        <v>1.140756701945624</v>
      </c>
      <c r="C78" s="412">
        <f t="shared" si="57"/>
        <v>2.5626944902068458</v>
      </c>
      <c r="D78" s="412">
        <f t="shared" si="58"/>
        <v>1.2918612739739641</v>
      </c>
      <c r="E78" s="412">
        <f t="shared" si="59"/>
        <v>1.48864905098623</v>
      </c>
      <c r="F78" s="412">
        <f t="shared" si="60"/>
        <v>1.4597750865051904</v>
      </c>
      <c r="G78" s="172">
        <f t="shared" si="61"/>
        <v>2.9820442865300425</v>
      </c>
      <c r="H78" s="84">
        <f t="shared" si="62"/>
        <v>2.2022389429253071</v>
      </c>
      <c r="I78" s="84">
        <f t="shared" si="63"/>
        <v>0.69651741293532343</v>
      </c>
      <c r="J78" s="84">
        <f t="shared" si="64"/>
        <v>1.2009773470824532</v>
      </c>
      <c r="K78" s="84">
        <f t="shared" si="65"/>
        <v>1.7145847997545438</v>
      </c>
      <c r="L78" s="123"/>
      <c r="M78" s="123"/>
      <c r="N78" s="123"/>
      <c r="O78" s="123"/>
      <c r="P78" s="167"/>
      <c r="Q78" s="167"/>
      <c r="R78" s="167"/>
      <c r="S78" s="167"/>
      <c r="T78" s="167"/>
      <c r="U78" s="167"/>
    </row>
    <row r="79" spans="1:47">
      <c r="A79" s="408" t="s">
        <v>383</v>
      </c>
      <c r="B79" s="412">
        <f t="shared" si="56"/>
        <v>2.3419203747072599</v>
      </c>
      <c r="C79" s="412">
        <f t="shared" si="57"/>
        <v>3.8167938931297707</v>
      </c>
      <c r="D79" s="412">
        <f t="shared" si="58"/>
        <v>0</v>
      </c>
      <c r="E79" s="412">
        <f t="shared" si="59"/>
        <v>2.8818443804034581</v>
      </c>
      <c r="F79" s="412">
        <f t="shared" si="60"/>
        <v>2.8030833917309037</v>
      </c>
      <c r="G79" s="172">
        <f t="shared" si="61"/>
        <v>0</v>
      </c>
      <c r="H79" s="84">
        <f t="shared" si="62"/>
        <v>0</v>
      </c>
      <c r="I79" s="84">
        <f t="shared" si="63"/>
        <v>0</v>
      </c>
      <c r="J79" s="84">
        <f t="shared" si="64"/>
        <v>0</v>
      </c>
      <c r="K79" s="84">
        <f t="shared" si="65"/>
        <v>0</v>
      </c>
      <c r="L79" s="123"/>
      <c r="M79" s="123"/>
      <c r="N79" s="123"/>
      <c r="O79" s="123"/>
      <c r="P79" s="167"/>
      <c r="Q79" s="167"/>
      <c r="R79" s="167"/>
      <c r="S79" s="167"/>
      <c r="T79" s="167"/>
      <c r="U79" s="167"/>
    </row>
    <row r="80" spans="1:47">
      <c r="A80" s="290" t="s">
        <v>344</v>
      </c>
      <c r="B80" s="413"/>
      <c r="C80" s="413"/>
      <c r="D80" s="413"/>
      <c r="E80" s="413"/>
      <c r="F80" s="413"/>
      <c r="G80" s="413"/>
      <c r="H80" s="413"/>
      <c r="I80" s="413"/>
      <c r="J80" s="413"/>
      <c r="K80" s="413"/>
    </row>
    <row r="81" spans="1:11">
      <c r="A81" s="327" t="s">
        <v>343</v>
      </c>
    </row>
    <row r="82" spans="1:11" ht="40.5" customHeight="1">
      <c r="A82" s="903" t="s">
        <v>631</v>
      </c>
      <c r="B82" s="903"/>
      <c r="C82" s="903"/>
      <c r="D82" s="903"/>
      <c r="E82" s="903"/>
      <c r="F82" s="903"/>
      <c r="G82" s="903"/>
      <c r="H82" s="903"/>
      <c r="I82" s="903"/>
      <c r="J82" s="903"/>
      <c r="K82" s="903"/>
    </row>
  </sheetData>
  <mergeCells count="13">
    <mergeCell ref="B4:C4"/>
    <mergeCell ref="A82:K82"/>
    <mergeCell ref="Q6:T6"/>
    <mergeCell ref="U6:X6"/>
    <mergeCell ref="A5:P5"/>
    <mergeCell ref="L6:P6"/>
    <mergeCell ref="A6:A7"/>
    <mergeCell ref="A47:A48"/>
    <mergeCell ref="B47:F47"/>
    <mergeCell ref="G47:K47"/>
    <mergeCell ref="B6:F6"/>
    <mergeCell ref="G6:K6"/>
    <mergeCell ref="A46:K46"/>
  </mergeCells>
  <hyperlinks>
    <hyperlink ref="B1" location="Glossary!A1" display="Glossary" xr:uid="{00000000-0004-0000-0600-000000000000}"/>
    <hyperlink ref="A1" location="Contents!A1" display="Table of contents" xr:uid="{00000000-0004-0000-0600-000001000000}"/>
    <hyperlink ref="C1" location="About!A1" display="About the publication" xr:uid="{00000000-0004-0000-0600-000002000000}"/>
    <hyperlink ref="E1" location="KeyFindings!A1" display="Key findings" xr:uid="{00000000-0004-0000-0600-000003000000}"/>
  </hyperlinks>
  <pageMargins left="0.70866141732283472" right="0.70866141732283472" top="0.74803149606299213" bottom="0.74803149606299213" header="0.31496062992125984" footer="0.31496062992125984"/>
  <pageSetup paperSize="9" scale="53" fitToHeight="2" orientation="portrait" r:id="rId1"/>
  <headerFooter>
    <oddFooter>&amp;L&amp;"Arial,Regular"&amp;8&amp;K01+019Fetal and Infant Deaths 2016&amp;R&amp;"Arial,Regular"&amp;8&amp;K01+018Page &amp;P of &amp;N</oddFooter>
  </headerFooter>
  <rowBreaks count="1" manualBreakCount="1">
    <brk id="44"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pageSetUpPr fitToPage="1"/>
  </sheetPr>
  <dimension ref="A1:BM79"/>
  <sheetViews>
    <sheetView zoomScaleNormal="100" workbookViewId="0">
      <pane ySplit="3" topLeftCell="A4" activePane="bottomLeft" state="frozen"/>
      <selection activeCell="AA1" sqref="AA1:AP1048576"/>
      <selection pane="bottomLeft" activeCell="A4" sqref="A4"/>
    </sheetView>
  </sheetViews>
  <sheetFormatPr defaultRowHeight="15"/>
  <cols>
    <col min="1" max="1" width="25.28515625" bestFit="1" customWidth="1"/>
    <col min="2" max="3" width="8.42578125" customWidth="1"/>
    <col min="4" max="4" width="9.5703125" customWidth="1"/>
    <col min="5" max="7" width="8.42578125" customWidth="1"/>
    <col min="8" max="8" width="8.42578125" style="9" customWidth="1"/>
    <col min="9" max="14" width="8.42578125" customWidth="1"/>
    <col min="15" max="15" width="8.42578125" style="9" customWidth="1"/>
    <col min="16" max="16" width="8.42578125" customWidth="1"/>
    <col min="17" max="22" width="8.42578125" style="245" customWidth="1"/>
    <col min="23" max="26" width="9.140625" style="245" customWidth="1"/>
    <col min="27" max="27" width="17.5703125" style="289" bestFit="1" customWidth="1"/>
    <col min="28" max="48" width="9.140625" style="289"/>
    <col min="49" max="54" width="9.140625" style="245"/>
  </cols>
  <sheetData>
    <row r="1" spans="1:65" s="103" customFormat="1">
      <c r="A1" s="88" t="s">
        <v>158</v>
      </c>
      <c r="B1" s="88" t="s">
        <v>115</v>
      </c>
      <c r="C1" s="88" t="s">
        <v>173</v>
      </c>
      <c r="E1" s="159" t="s">
        <v>353</v>
      </c>
      <c r="F1" s="159"/>
      <c r="G1" s="89"/>
      <c r="Q1" s="516"/>
      <c r="R1" s="516"/>
      <c r="S1" s="516"/>
      <c r="T1" s="516"/>
      <c r="U1" s="516"/>
      <c r="V1" s="516"/>
      <c r="W1" s="516"/>
      <c r="X1" s="516"/>
      <c r="Y1" s="516"/>
      <c r="Z1" s="516"/>
      <c r="AA1" s="515"/>
      <c r="AB1" s="515"/>
      <c r="AC1" s="515"/>
      <c r="AD1" s="515"/>
      <c r="AE1" s="515"/>
      <c r="AF1" s="515"/>
      <c r="AG1" s="515"/>
      <c r="AH1" s="515"/>
      <c r="AI1" s="515"/>
      <c r="AJ1" s="515"/>
      <c r="AK1" s="515"/>
      <c r="AL1" s="515"/>
      <c r="AM1" s="515"/>
      <c r="AN1" s="515"/>
      <c r="AO1" s="515"/>
      <c r="AP1" s="515"/>
      <c r="AQ1" s="515"/>
      <c r="AR1" s="515"/>
      <c r="AS1" s="515"/>
      <c r="AT1" s="515"/>
      <c r="AU1" s="515"/>
      <c r="AV1" s="515"/>
      <c r="AW1" s="516"/>
      <c r="AX1" s="516"/>
      <c r="AY1" s="516"/>
      <c r="AZ1" s="516"/>
      <c r="BA1" s="516"/>
      <c r="BB1" s="516"/>
    </row>
    <row r="2" spans="1:65" s="5" customFormat="1" ht="9" customHeight="1">
      <c r="A2" s="60"/>
      <c r="B2" s="61"/>
      <c r="C2" s="62"/>
      <c r="D2" s="62"/>
      <c r="E2" s="62"/>
      <c r="F2" s="62"/>
      <c r="Q2" s="516"/>
      <c r="R2" s="516"/>
      <c r="S2" s="516"/>
      <c r="T2" s="516"/>
      <c r="U2" s="516"/>
      <c r="V2" s="516"/>
      <c r="W2" s="516"/>
      <c r="X2" s="516"/>
      <c r="Y2" s="516"/>
      <c r="Z2" s="516"/>
      <c r="AA2" s="515"/>
      <c r="AB2" s="515"/>
      <c r="AC2" s="515"/>
      <c r="AD2" s="515"/>
      <c r="AE2" s="515"/>
      <c r="AF2" s="515"/>
      <c r="AG2" s="515"/>
      <c r="AH2" s="515"/>
      <c r="AI2" s="515"/>
      <c r="AJ2" s="515"/>
      <c r="AK2" s="515"/>
      <c r="AL2" s="515"/>
      <c r="AM2" s="515"/>
      <c r="AN2" s="515"/>
      <c r="AO2" s="515"/>
      <c r="AP2" s="515"/>
      <c r="AQ2" s="515"/>
      <c r="AR2" s="515"/>
      <c r="AS2" s="515"/>
      <c r="AT2" s="515"/>
      <c r="AU2" s="515"/>
      <c r="AV2" s="515"/>
      <c r="AW2" s="516"/>
      <c r="AX2" s="516"/>
      <c r="AY2" s="516"/>
      <c r="AZ2" s="516"/>
      <c r="BA2" s="516"/>
      <c r="BB2" s="516"/>
    </row>
    <row r="3" spans="1:65" s="5" customFormat="1" ht="20.25">
      <c r="A3" s="4" t="s">
        <v>159</v>
      </c>
      <c r="Q3" s="516"/>
      <c r="R3" s="516"/>
      <c r="S3" s="516"/>
      <c r="T3" s="516"/>
      <c r="U3" s="516"/>
      <c r="V3" s="516"/>
      <c r="W3" s="516"/>
      <c r="X3" s="516"/>
      <c r="Y3" s="516"/>
      <c r="Z3" s="516"/>
      <c r="AA3" s="515"/>
      <c r="AB3" s="515"/>
      <c r="AC3" s="515"/>
      <c r="AD3" s="515"/>
      <c r="AE3" s="515"/>
      <c r="AF3" s="515"/>
      <c r="AG3" s="515"/>
      <c r="AH3" s="515"/>
      <c r="AI3" s="515"/>
      <c r="AJ3" s="515"/>
      <c r="AK3" s="515"/>
      <c r="AL3" s="515"/>
      <c r="AM3" s="515"/>
      <c r="AN3" s="515"/>
      <c r="AO3" s="515"/>
      <c r="AP3" s="515"/>
      <c r="AQ3" s="515"/>
      <c r="AR3" s="515"/>
      <c r="AS3" s="515"/>
      <c r="AT3" s="515"/>
      <c r="AU3" s="515"/>
      <c r="AV3" s="515"/>
      <c r="AW3" s="516"/>
      <c r="AX3" s="516"/>
      <c r="AY3" s="516"/>
      <c r="AZ3" s="516"/>
      <c r="BA3" s="516"/>
      <c r="BB3" s="516"/>
    </row>
    <row r="5" spans="1:65" ht="23.25" customHeight="1">
      <c r="A5" s="913" t="str">
        <f>Contents!E11</f>
        <v xml:space="preserve">Table 7: Number of fetal deaths, infant deaths and live births for each maternal age group, by sex, ethnic group, deprivation quintile of residence, gestational age and birthweight, 2016
</v>
      </c>
      <c r="B5" s="913"/>
      <c r="C5" s="913"/>
      <c r="D5" s="913"/>
      <c r="E5" s="913"/>
      <c r="F5" s="913"/>
      <c r="G5" s="913"/>
      <c r="H5" s="913"/>
      <c r="I5" s="913"/>
      <c r="J5" s="913"/>
      <c r="K5" s="913"/>
      <c r="L5" s="913"/>
      <c r="M5" s="913"/>
      <c r="N5" s="913"/>
      <c r="O5" s="913"/>
      <c r="P5" s="913"/>
      <c r="Q5" s="913"/>
      <c r="R5" s="913"/>
      <c r="S5" s="913"/>
      <c r="T5" s="913"/>
      <c r="U5" s="913"/>
      <c r="V5" s="913"/>
      <c r="AA5" s="785"/>
      <c r="AB5" s="786"/>
      <c r="AC5" s="786" t="s">
        <v>462</v>
      </c>
      <c r="AD5" s="786"/>
      <c r="AE5" s="786"/>
      <c r="AF5" s="785"/>
      <c r="AG5" s="785"/>
      <c r="AH5" s="785"/>
      <c r="AI5" s="785"/>
      <c r="AJ5" s="785"/>
      <c r="AK5" s="785"/>
      <c r="AL5" s="785"/>
      <c r="AM5" s="785"/>
      <c r="AN5" s="785"/>
      <c r="AO5" s="785"/>
      <c r="AP5" s="785"/>
      <c r="AQ5" s="785"/>
      <c r="BC5" s="167"/>
      <c r="BD5" s="167"/>
      <c r="BE5" s="167"/>
      <c r="BF5" s="167"/>
      <c r="BG5" s="167"/>
      <c r="BH5" s="167"/>
      <c r="BI5" s="167"/>
      <c r="BJ5" s="167"/>
      <c r="BK5" s="167"/>
      <c r="BL5" s="167"/>
      <c r="BM5" s="167"/>
    </row>
    <row r="6" spans="1:65">
      <c r="A6" s="914" t="s">
        <v>68</v>
      </c>
      <c r="B6" s="915" t="s">
        <v>149</v>
      </c>
      <c r="C6" s="915"/>
      <c r="D6" s="915"/>
      <c r="E6" s="915"/>
      <c r="F6" s="915"/>
      <c r="G6" s="915"/>
      <c r="H6" s="916"/>
      <c r="I6" s="917" t="s">
        <v>150</v>
      </c>
      <c r="J6" s="915"/>
      <c r="K6" s="915"/>
      <c r="L6" s="915"/>
      <c r="M6" s="915"/>
      <c r="N6" s="915"/>
      <c r="O6" s="916"/>
      <c r="P6" s="917" t="s">
        <v>151</v>
      </c>
      <c r="Q6" s="915"/>
      <c r="R6" s="915"/>
      <c r="S6" s="915"/>
      <c r="T6" s="915"/>
      <c r="U6" s="915"/>
      <c r="V6" s="915"/>
      <c r="AA6" s="782">
        <f>Ref!B27</f>
        <v>2016</v>
      </c>
      <c r="AB6" s="782" t="s">
        <v>47</v>
      </c>
      <c r="AC6" s="786"/>
      <c r="AD6" s="786"/>
      <c r="AE6" s="786"/>
      <c r="AF6" s="786"/>
      <c r="AG6" s="786"/>
      <c r="AH6" s="786"/>
      <c r="AI6" s="786" t="s">
        <v>48</v>
      </c>
      <c r="AJ6" s="786"/>
      <c r="AK6" s="786"/>
      <c r="AL6" s="786"/>
      <c r="AN6" s="786"/>
      <c r="AO6" s="786"/>
      <c r="AP6" s="786" t="s">
        <v>46</v>
      </c>
      <c r="AQ6" s="786"/>
      <c r="BC6" s="167"/>
      <c r="BD6" s="167"/>
      <c r="BE6" s="167"/>
      <c r="BF6" s="167"/>
      <c r="BG6" s="167"/>
      <c r="BH6" s="167"/>
      <c r="BI6" s="167"/>
      <c r="BJ6" s="167"/>
      <c r="BK6" s="167"/>
      <c r="BL6" s="167"/>
      <c r="BM6" s="167"/>
    </row>
    <row r="7" spans="1:65">
      <c r="A7" s="909"/>
      <c r="B7" s="8" t="s">
        <v>76</v>
      </c>
      <c r="C7" s="8" t="s">
        <v>77</v>
      </c>
      <c r="D7" s="8" t="s">
        <v>78</v>
      </c>
      <c r="E7" s="8" t="s">
        <v>79</v>
      </c>
      <c r="F7" s="8" t="s">
        <v>80</v>
      </c>
      <c r="G7" s="8" t="s">
        <v>81</v>
      </c>
      <c r="H7" s="19" t="s">
        <v>342</v>
      </c>
      <c r="I7" s="8" t="s">
        <v>76</v>
      </c>
      <c r="J7" s="8" t="s">
        <v>77</v>
      </c>
      <c r="K7" s="8" t="s">
        <v>78</v>
      </c>
      <c r="L7" s="8" t="s">
        <v>79</v>
      </c>
      <c r="M7" s="8" t="s">
        <v>80</v>
      </c>
      <c r="N7" s="8" t="s">
        <v>81</v>
      </c>
      <c r="O7" s="79" t="s">
        <v>342</v>
      </c>
      <c r="P7" s="8" t="s">
        <v>76</v>
      </c>
      <c r="Q7" s="788" t="s">
        <v>77</v>
      </c>
      <c r="R7" s="788" t="s">
        <v>78</v>
      </c>
      <c r="S7" s="788" t="s">
        <v>79</v>
      </c>
      <c r="T7" s="788" t="s">
        <v>80</v>
      </c>
      <c r="U7" s="788" t="s">
        <v>81</v>
      </c>
      <c r="V7" s="789" t="s">
        <v>44</v>
      </c>
      <c r="AA7" s="786"/>
      <c r="AB7" s="780" t="s">
        <v>339</v>
      </c>
      <c r="AC7" s="780" t="s">
        <v>130</v>
      </c>
      <c r="AD7" s="780" t="s">
        <v>131</v>
      </c>
      <c r="AE7" s="780" t="s">
        <v>132</v>
      </c>
      <c r="AF7" s="289" t="s">
        <v>133</v>
      </c>
      <c r="AG7" s="780" t="s">
        <v>134</v>
      </c>
      <c r="AH7" s="780" t="s">
        <v>44</v>
      </c>
      <c r="AI7" s="780" t="s">
        <v>339</v>
      </c>
      <c r="AJ7" s="780" t="s">
        <v>130</v>
      </c>
      <c r="AK7" s="780" t="s">
        <v>131</v>
      </c>
      <c r="AL7" s="780" t="s">
        <v>132</v>
      </c>
      <c r="AM7" s="289" t="s">
        <v>133</v>
      </c>
      <c r="AN7" s="780" t="s">
        <v>134</v>
      </c>
      <c r="AO7" s="786" t="s">
        <v>44</v>
      </c>
      <c r="AP7" s="780" t="s">
        <v>339</v>
      </c>
      <c r="AQ7" s="780" t="s">
        <v>130</v>
      </c>
      <c r="AR7" s="780" t="s">
        <v>131</v>
      </c>
      <c r="AS7" s="780" t="s">
        <v>132</v>
      </c>
      <c r="AT7" s="289" t="s">
        <v>133</v>
      </c>
      <c r="AU7" s="780" t="s">
        <v>134</v>
      </c>
      <c r="AV7" s="289" t="s">
        <v>44</v>
      </c>
      <c r="BC7" s="167"/>
      <c r="BD7" s="167"/>
      <c r="BE7" s="167"/>
      <c r="BF7" s="167"/>
      <c r="BG7" s="167"/>
      <c r="BH7" s="167"/>
      <c r="BI7" s="167"/>
      <c r="BJ7" s="167"/>
      <c r="BK7" s="167"/>
      <c r="BL7" s="167"/>
      <c r="BM7" s="167"/>
    </row>
    <row r="8" spans="1:65" s="39" customFormat="1">
      <c r="A8" s="80" t="s">
        <v>104</v>
      </c>
      <c r="B8" s="50"/>
      <c r="C8" s="50"/>
      <c r="D8" s="50"/>
      <c r="E8" s="50"/>
      <c r="F8" s="50"/>
      <c r="G8" s="50"/>
      <c r="H8" s="50"/>
      <c r="I8" s="50"/>
      <c r="J8" s="50"/>
      <c r="K8" s="50"/>
      <c r="L8" s="50"/>
      <c r="M8" s="50"/>
      <c r="N8" s="50"/>
      <c r="O8" s="50"/>
      <c r="P8" s="50"/>
      <c r="Q8" s="790"/>
      <c r="R8" s="790"/>
      <c r="S8" s="790"/>
      <c r="T8" s="790"/>
      <c r="U8" s="790"/>
      <c r="V8" s="790"/>
      <c r="W8" s="245"/>
      <c r="X8" s="245"/>
      <c r="Y8" s="245"/>
      <c r="Z8" s="245"/>
      <c r="AA8" s="782" t="s">
        <v>104</v>
      </c>
      <c r="AB8" s="782"/>
      <c r="AC8" s="782"/>
      <c r="AD8" s="782"/>
      <c r="AE8" s="782"/>
      <c r="AF8" s="782"/>
      <c r="AG8" s="782"/>
      <c r="AH8" s="782"/>
      <c r="AI8" s="782"/>
      <c r="AJ8" s="782"/>
      <c r="AK8" s="782"/>
      <c r="AL8" s="782"/>
      <c r="AM8" s="782"/>
      <c r="AN8" s="782"/>
      <c r="AO8" s="782"/>
      <c r="AP8" s="782"/>
      <c r="AQ8" s="782"/>
      <c r="AR8" s="289"/>
      <c r="AS8" s="289"/>
      <c r="AT8" s="289"/>
      <c r="AU8" s="289"/>
      <c r="AV8" s="289"/>
      <c r="AW8" s="245"/>
      <c r="AX8" s="245"/>
      <c r="AY8" s="245"/>
      <c r="AZ8" s="245"/>
      <c r="BA8" s="245"/>
      <c r="BB8" s="245"/>
      <c r="BC8" s="167"/>
      <c r="BD8" s="167"/>
      <c r="BE8" s="167"/>
      <c r="BF8" s="167"/>
      <c r="BG8" s="167"/>
      <c r="BH8" s="167"/>
      <c r="BI8" s="167"/>
      <c r="BJ8" s="167"/>
      <c r="BK8" s="167"/>
      <c r="BL8" s="167"/>
      <c r="BM8" s="167"/>
    </row>
    <row r="9" spans="1:65" s="77" customFormat="1">
      <c r="A9" s="271" t="s">
        <v>44</v>
      </c>
      <c r="B9" s="333">
        <f>AB9</f>
        <v>36</v>
      </c>
      <c r="C9" s="333">
        <f t="shared" ref="C9:H9" si="0">AC9</f>
        <v>73</v>
      </c>
      <c r="D9" s="333">
        <f t="shared" si="0"/>
        <v>103</v>
      </c>
      <c r="E9" s="333">
        <f t="shared" si="0"/>
        <v>115</v>
      </c>
      <c r="F9" s="333">
        <f t="shared" si="0"/>
        <v>70</v>
      </c>
      <c r="G9" s="333">
        <f t="shared" si="0"/>
        <v>16</v>
      </c>
      <c r="H9" s="351">
        <f t="shared" si="0"/>
        <v>413</v>
      </c>
      <c r="I9" s="333">
        <f>AI9</f>
        <v>27</v>
      </c>
      <c r="J9" s="333">
        <f t="shared" ref="J9:O9" si="1">AJ9</f>
        <v>61</v>
      </c>
      <c r="K9" s="333">
        <f t="shared" si="1"/>
        <v>52</v>
      </c>
      <c r="L9" s="333">
        <f t="shared" si="1"/>
        <v>59</v>
      </c>
      <c r="M9" s="333">
        <f t="shared" si="1"/>
        <v>26</v>
      </c>
      <c r="N9" s="333">
        <f t="shared" si="1"/>
        <v>15</v>
      </c>
      <c r="O9" s="351">
        <f t="shared" si="1"/>
        <v>241</v>
      </c>
      <c r="P9" s="333">
        <f>AP9</f>
        <v>2559</v>
      </c>
      <c r="Q9" s="710">
        <f t="shared" ref="Q9:U9" si="2">AQ9</f>
        <v>9934</v>
      </c>
      <c r="R9" s="710">
        <f t="shared" si="2"/>
        <v>16664</v>
      </c>
      <c r="S9" s="710">
        <f t="shared" si="2"/>
        <v>18720</v>
      </c>
      <c r="T9" s="710">
        <f t="shared" si="2"/>
        <v>10105</v>
      </c>
      <c r="U9" s="710">
        <f t="shared" si="2"/>
        <v>2454</v>
      </c>
      <c r="V9" s="710">
        <f>AV9</f>
        <v>60436</v>
      </c>
      <c r="W9" s="710"/>
      <c r="X9" s="710"/>
      <c r="Y9" s="710"/>
      <c r="Z9" s="710"/>
      <c r="AA9" s="782" t="s">
        <v>44</v>
      </c>
      <c r="AB9" s="782">
        <f t="shared" ref="AB9:AH9" si="3">VLOOKUP($AA$6&amp;$AA$8&amp;$AC$5&amp;$AA$9&amp;AB$7&amp;$AB$6, vw.deaths.demo,7, FALSE)</f>
        <v>36</v>
      </c>
      <c r="AC9" s="782">
        <f t="shared" si="3"/>
        <v>73</v>
      </c>
      <c r="AD9" s="782">
        <f t="shared" si="3"/>
        <v>103</v>
      </c>
      <c r="AE9" s="782">
        <f t="shared" si="3"/>
        <v>115</v>
      </c>
      <c r="AF9" s="782">
        <f t="shared" si="3"/>
        <v>70</v>
      </c>
      <c r="AG9" s="782">
        <f t="shared" si="3"/>
        <v>16</v>
      </c>
      <c r="AH9" s="782">
        <f t="shared" si="3"/>
        <v>413</v>
      </c>
      <c r="AI9" s="782">
        <f t="shared" ref="AI9:AO9" si="4">VLOOKUP($AA$6&amp;$AA$8&amp;$AC5&amp;$AA$9&amp;AI$7&amp;$AI$6, vw.deaths.demo, 7, FALSE)</f>
        <v>27</v>
      </c>
      <c r="AJ9" s="782">
        <f t="shared" si="4"/>
        <v>61</v>
      </c>
      <c r="AK9" s="782">
        <f t="shared" si="4"/>
        <v>52</v>
      </c>
      <c r="AL9" s="782">
        <f t="shared" si="4"/>
        <v>59</v>
      </c>
      <c r="AM9" s="782">
        <f t="shared" si="4"/>
        <v>26</v>
      </c>
      <c r="AN9" s="782">
        <f t="shared" si="4"/>
        <v>15</v>
      </c>
      <c r="AO9" s="782">
        <f t="shared" si="4"/>
        <v>241</v>
      </c>
      <c r="AP9" s="782">
        <f t="shared" ref="AP9:AV9" si="5">VLOOKUP($AA$6&amp;$AA$8&amp;$AC$5&amp;$AA$9&amp;AP7, vw.births.demo, 7, FALSE)</f>
        <v>2559</v>
      </c>
      <c r="AQ9" s="782">
        <f t="shared" si="5"/>
        <v>9934</v>
      </c>
      <c r="AR9" s="782">
        <f t="shared" si="5"/>
        <v>16664</v>
      </c>
      <c r="AS9" s="782">
        <f t="shared" si="5"/>
        <v>18720</v>
      </c>
      <c r="AT9" s="782">
        <f t="shared" si="5"/>
        <v>10105</v>
      </c>
      <c r="AU9" s="782">
        <f t="shared" si="5"/>
        <v>2454</v>
      </c>
      <c r="AV9" s="782">
        <f t="shared" si="5"/>
        <v>60436</v>
      </c>
      <c r="AW9" s="243"/>
      <c r="AX9" s="243"/>
      <c r="AY9" s="243"/>
      <c r="AZ9" s="243"/>
      <c r="BA9" s="243"/>
      <c r="BB9" s="243"/>
    </row>
    <row r="10" spans="1:65">
      <c r="A10" s="80" t="s">
        <v>69</v>
      </c>
      <c r="B10" s="328"/>
      <c r="C10" s="328"/>
      <c r="D10" s="328"/>
      <c r="E10" s="328"/>
      <c r="F10" s="328"/>
      <c r="G10" s="328"/>
      <c r="H10" s="81"/>
      <c r="I10" s="328"/>
      <c r="J10" s="328"/>
      <c r="K10" s="328"/>
      <c r="L10" s="328"/>
      <c r="M10" s="328"/>
      <c r="N10" s="328"/>
      <c r="O10" s="328"/>
      <c r="P10" s="328"/>
      <c r="Q10" s="790"/>
      <c r="R10" s="790"/>
      <c r="S10" s="790"/>
      <c r="T10" s="790"/>
      <c r="U10" s="790"/>
      <c r="V10" s="790"/>
      <c r="AA10" s="782" t="s">
        <v>69</v>
      </c>
      <c r="AB10" s="782"/>
      <c r="AC10" s="782"/>
      <c r="AD10" s="782"/>
      <c r="AE10" s="782"/>
      <c r="AF10" s="782"/>
      <c r="AG10" s="782"/>
      <c r="AH10" s="782"/>
      <c r="AI10" s="782"/>
      <c r="AJ10" s="782"/>
      <c r="AK10" s="782"/>
      <c r="AL10" s="782"/>
      <c r="AM10" s="782"/>
      <c r="AN10" s="782"/>
      <c r="AO10" s="782"/>
      <c r="AP10" s="782"/>
      <c r="AQ10" s="782"/>
      <c r="AR10" s="782"/>
      <c r="AS10" s="782"/>
      <c r="AT10" s="782"/>
      <c r="AU10" s="782"/>
      <c r="AV10" s="782"/>
      <c r="BC10" s="167"/>
      <c r="BD10" s="167"/>
      <c r="BE10" s="167"/>
      <c r="BF10" s="167"/>
      <c r="BG10" s="167"/>
      <c r="BH10" s="167"/>
      <c r="BI10" s="167"/>
      <c r="BJ10" s="167"/>
      <c r="BK10" s="167"/>
      <c r="BL10" s="167"/>
      <c r="BM10" s="167"/>
    </row>
    <row r="11" spans="1:65" s="77" customFormat="1">
      <c r="A11" s="82" t="s">
        <v>70</v>
      </c>
      <c r="B11" s="333">
        <f>AB11</f>
        <v>20</v>
      </c>
      <c r="C11" s="333">
        <f t="shared" ref="C11:H13" si="6">AC11</f>
        <v>38</v>
      </c>
      <c r="D11" s="333">
        <f t="shared" si="6"/>
        <v>46</v>
      </c>
      <c r="E11" s="333">
        <f t="shared" si="6"/>
        <v>65</v>
      </c>
      <c r="F11" s="333">
        <f t="shared" si="6"/>
        <v>38</v>
      </c>
      <c r="G11" s="333">
        <f t="shared" si="6"/>
        <v>9</v>
      </c>
      <c r="H11" s="351">
        <f t="shared" si="6"/>
        <v>216</v>
      </c>
      <c r="I11" s="333">
        <f>AI11</f>
        <v>17</v>
      </c>
      <c r="J11" s="333">
        <f t="shared" ref="J11:O13" si="7">AJ11</f>
        <v>34</v>
      </c>
      <c r="K11" s="333">
        <f t="shared" si="7"/>
        <v>25</v>
      </c>
      <c r="L11" s="333">
        <f t="shared" si="7"/>
        <v>30</v>
      </c>
      <c r="M11" s="333">
        <f t="shared" si="7"/>
        <v>12</v>
      </c>
      <c r="N11" s="333">
        <f t="shared" si="7"/>
        <v>9</v>
      </c>
      <c r="O11" s="351">
        <f t="shared" si="7"/>
        <v>127</v>
      </c>
      <c r="P11" s="333">
        <f>AP11</f>
        <v>1302</v>
      </c>
      <c r="Q11" s="710">
        <f t="shared" ref="Q11:V13" si="8">AQ11</f>
        <v>5130</v>
      </c>
      <c r="R11" s="710">
        <f t="shared" si="8"/>
        <v>8428</v>
      </c>
      <c r="S11" s="710">
        <f t="shared" si="8"/>
        <v>9738</v>
      </c>
      <c r="T11" s="710">
        <f t="shared" si="8"/>
        <v>5153</v>
      </c>
      <c r="U11" s="710">
        <f t="shared" si="8"/>
        <v>1258</v>
      </c>
      <c r="V11" s="710">
        <f t="shared" si="8"/>
        <v>31009</v>
      </c>
      <c r="W11" s="710"/>
      <c r="X11" s="710"/>
      <c r="Y11" s="710"/>
      <c r="Z11" s="710"/>
      <c r="AA11" s="786" t="s">
        <v>70</v>
      </c>
      <c r="AB11" s="782">
        <f t="shared" ref="AB11:AH11" si="9">VLOOKUP($AA$6&amp;$AA$10&amp;$AC5&amp;$AA$11&amp;AB$7&amp;$AB$6, vw.deaths.demo,7, FALSE)</f>
        <v>20</v>
      </c>
      <c r="AC11" s="782">
        <f t="shared" si="9"/>
        <v>38</v>
      </c>
      <c r="AD11" s="782">
        <f t="shared" si="9"/>
        <v>46</v>
      </c>
      <c r="AE11" s="782">
        <f t="shared" si="9"/>
        <v>65</v>
      </c>
      <c r="AF11" s="782">
        <f t="shared" si="9"/>
        <v>38</v>
      </c>
      <c r="AG11" s="782">
        <f t="shared" si="9"/>
        <v>9</v>
      </c>
      <c r="AH11" s="782">
        <f t="shared" si="9"/>
        <v>216</v>
      </c>
      <c r="AI11" s="782">
        <f t="shared" ref="AI11:AO11" si="10">VLOOKUP($AA$6&amp;$AA$10&amp;$AC5&amp;$AA$11&amp;AI$7&amp;$AI$6, vw.deaths.demo,7, FALSE)</f>
        <v>17</v>
      </c>
      <c r="AJ11" s="782">
        <f t="shared" si="10"/>
        <v>34</v>
      </c>
      <c r="AK11" s="782">
        <f t="shared" si="10"/>
        <v>25</v>
      </c>
      <c r="AL11" s="782">
        <f t="shared" si="10"/>
        <v>30</v>
      </c>
      <c r="AM11" s="782">
        <f t="shared" si="10"/>
        <v>12</v>
      </c>
      <c r="AN11" s="782">
        <f t="shared" si="10"/>
        <v>9</v>
      </c>
      <c r="AO11" s="782">
        <f t="shared" si="10"/>
        <v>127</v>
      </c>
      <c r="AP11" s="782">
        <f t="shared" ref="AP11:AV11" si="11">VLOOKUP($AA$6&amp;$AA$10&amp;$AC$5&amp;$AA$11&amp;AP$7, vw.births.demo, 7, FALSE)</f>
        <v>1302</v>
      </c>
      <c r="AQ11" s="782">
        <f t="shared" si="11"/>
        <v>5130</v>
      </c>
      <c r="AR11" s="782">
        <f t="shared" si="11"/>
        <v>8428</v>
      </c>
      <c r="AS11" s="782">
        <f t="shared" si="11"/>
        <v>9738</v>
      </c>
      <c r="AT11" s="782">
        <f t="shared" si="11"/>
        <v>5153</v>
      </c>
      <c r="AU11" s="782">
        <f t="shared" si="11"/>
        <v>1258</v>
      </c>
      <c r="AV11" s="782">
        <f t="shared" si="11"/>
        <v>31009</v>
      </c>
      <c r="AW11" s="243"/>
      <c r="AX11" s="243"/>
      <c r="AY11" s="243"/>
      <c r="AZ11" s="243"/>
      <c r="BA11" s="243"/>
      <c r="BB11" s="243"/>
    </row>
    <row r="12" spans="1:65" s="77" customFormat="1">
      <c r="A12" s="82" t="s">
        <v>71</v>
      </c>
      <c r="B12" s="333">
        <f>AB12</f>
        <v>15</v>
      </c>
      <c r="C12" s="333">
        <f t="shared" si="6"/>
        <v>32</v>
      </c>
      <c r="D12" s="333">
        <f t="shared" si="6"/>
        <v>56</v>
      </c>
      <c r="E12" s="333">
        <f t="shared" si="6"/>
        <v>48</v>
      </c>
      <c r="F12" s="333">
        <f t="shared" si="6"/>
        <v>31</v>
      </c>
      <c r="G12" s="333">
        <f t="shared" si="6"/>
        <v>7</v>
      </c>
      <c r="H12" s="351">
        <f t="shared" si="6"/>
        <v>189</v>
      </c>
      <c r="I12" s="333">
        <f>AI12</f>
        <v>10</v>
      </c>
      <c r="J12" s="333">
        <f t="shared" si="7"/>
        <v>27</v>
      </c>
      <c r="K12" s="333">
        <f t="shared" si="7"/>
        <v>27</v>
      </c>
      <c r="L12" s="333">
        <f t="shared" si="7"/>
        <v>29</v>
      </c>
      <c r="M12" s="333">
        <f t="shared" si="7"/>
        <v>14</v>
      </c>
      <c r="N12" s="333">
        <f t="shared" si="7"/>
        <v>6</v>
      </c>
      <c r="O12" s="351">
        <f t="shared" si="7"/>
        <v>114</v>
      </c>
      <c r="P12" s="333">
        <f t="shared" ref="P12:P13" si="12">AP12</f>
        <v>1257</v>
      </c>
      <c r="Q12" s="710">
        <f t="shared" si="8"/>
        <v>4804</v>
      </c>
      <c r="R12" s="710">
        <f t="shared" si="8"/>
        <v>8236</v>
      </c>
      <c r="S12" s="710">
        <f t="shared" si="8"/>
        <v>8982</v>
      </c>
      <c r="T12" s="710">
        <f t="shared" si="8"/>
        <v>4952</v>
      </c>
      <c r="U12" s="710">
        <f t="shared" si="8"/>
        <v>1196</v>
      </c>
      <c r="V12" s="710">
        <f t="shared" si="8"/>
        <v>29427</v>
      </c>
      <c r="W12" s="710"/>
      <c r="X12" s="710"/>
      <c r="Y12" s="710"/>
      <c r="Z12" s="710"/>
      <c r="AA12" s="782" t="s">
        <v>71</v>
      </c>
      <c r="AB12" s="782">
        <f t="shared" ref="AB12:AH12" si="13">VLOOKUP($AA$6&amp;$AA$10&amp;$AC5&amp;$AA$12&amp;AB$7&amp;$AB$6, vw.deaths.demo, 7, FALSE)</f>
        <v>15</v>
      </c>
      <c r="AC12" s="782">
        <f t="shared" si="13"/>
        <v>32</v>
      </c>
      <c r="AD12" s="782">
        <f t="shared" si="13"/>
        <v>56</v>
      </c>
      <c r="AE12" s="782">
        <f t="shared" si="13"/>
        <v>48</v>
      </c>
      <c r="AF12" s="782">
        <f t="shared" si="13"/>
        <v>31</v>
      </c>
      <c r="AG12" s="782">
        <f t="shared" si="13"/>
        <v>7</v>
      </c>
      <c r="AH12" s="782">
        <f t="shared" si="13"/>
        <v>189</v>
      </c>
      <c r="AI12" s="782">
        <f t="shared" ref="AI12:AO12" si="14">VLOOKUP($AA$6&amp;$AA$10&amp;$AC5&amp;$AA$12&amp;AI$7&amp;$AI$6, vw.deaths.demo, 7, FALSE)</f>
        <v>10</v>
      </c>
      <c r="AJ12" s="782">
        <f t="shared" si="14"/>
        <v>27</v>
      </c>
      <c r="AK12" s="782">
        <f t="shared" si="14"/>
        <v>27</v>
      </c>
      <c r="AL12" s="782">
        <f t="shared" si="14"/>
        <v>29</v>
      </c>
      <c r="AM12" s="782">
        <f t="shared" si="14"/>
        <v>14</v>
      </c>
      <c r="AN12" s="782">
        <f t="shared" si="14"/>
        <v>6</v>
      </c>
      <c r="AO12" s="782">
        <f t="shared" si="14"/>
        <v>114</v>
      </c>
      <c r="AP12" s="782">
        <f t="shared" ref="AP12:AV12" si="15">VLOOKUP($AA$6&amp;$AA$10&amp;$AC$5&amp;$AA$12&amp;AP$7, vw.births.demo, 7, FALSE)</f>
        <v>1257</v>
      </c>
      <c r="AQ12" s="782">
        <f t="shared" si="15"/>
        <v>4804</v>
      </c>
      <c r="AR12" s="782">
        <f t="shared" si="15"/>
        <v>8236</v>
      </c>
      <c r="AS12" s="782">
        <f t="shared" si="15"/>
        <v>8982</v>
      </c>
      <c r="AT12" s="782">
        <f t="shared" si="15"/>
        <v>4952</v>
      </c>
      <c r="AU12" s="782">
        <f t="shared" si="15"/>
        <v>1196</v>
      </c>
      <c r="AV12" s="782">
        <f t="shared" si="15"/>
        <v>29427</v>
      </c>
      <c r="AW12" s="243"/>
      <c r="AX12" s="243"/>
      <c r="AY12" s="243"/>
      <c r="AZ12" s="243"/>
      <c r="BA12" s="243"/>
      <c r="BB12" s="243"/>
    </row>
    <row r="13" spans="1:65" s="77" customFormat="1">
      <c r="A13" s="82" t="s">
        <v>63</v>
      </c>
      <c r="B13" s="441">
        <f>AB13</f>
        <v>1</v>
      </c>
      <c r="C13" s="441">
        <f t="shared" si="6"/>
        <v>3</v>
      </c>
      <c r="D13" s="441">
        <f t="shared" si="6"/>
        <v>1</v>
      </c>
      <c r="E13" s="441">
        <f t="shared" si="6"/>
        <v>2</v>
      </c>
      <c r="F13" s="441">
        <f t="shared" si="6"/>
        <v>1</v>
      </c>
      <c r="G13" s="441">
        <f t="shared" si="6"/>
        <v>0</v>
      </c>
      <c r="H13" s="351">
        <f t="shared" si="6"/>
        <v>8</v>
      </c>
      <c r="I13" s="333">
        <f>AI13</f>
        <v>0</v>
      </c>
      <c r="J13" s="333">
        <f t="shared" si="7"/>
        <v>0</v>
      </c>
      <c r="K13" s="333">
        <f t="shared" si="7"/>
        <v>0</v>
      </c>
      <c r="L13" s="333">
        <f t="shared" si="7"/>
        <v>0</v>
      </c>
      <c r="M13" s="333">
        <f t="shared" si="7"/>
        <v>0</v>
      </c>
      <c r="N13" s="333">
        <f t="shared" si="7"/>
        <v>0</v>
      </c>
      <c r="O13" s="351">
        <f t="shared" si="7"/>
        <v>0</v>
      </c>
      <c r="P13" s="333">
        <f t="shared" si="12"/>
        <v>0</v>
      </c>
      <c r="Q13" s="710">
        <f t="shared" si="8"/>
        <v>0</v>
      </c>
      <c r="R13" s="710">
        <f t="shared" si="8"/>
        <v>0</v>
      </c>
      <c r="S13" s="710">
        <f t="shared" si="8"/>
        <v>0</v>
      </c>
      <c r="T13" s="710">
        <f t="shared" si="8"/>
        <v>0</v>
      </c>
      <c r="U13" s="710">
        <f t="shared" si="8"/>
        <v>0</v>
      </c>
      <c r="V13" s="710">
        <f t="shared" si="8"/>
        <v>0</v>
      </c>
      <c r="W13" s="710"/>
      <c r="X13" s="710"/>
      <c r="Y13" s="710"/>
      <c r="Z13" s="710"/>
      <c r="AA13" s="782" t="s">
        <v>458</v>
      </c>
      <c r="AB13" s="782">
        <f t="shared" ref="AB13:AH13" si="16">IFERROR(VLOOKUP($AA$6&amp;$AA$10&amp;$AC5&amp;$AA$13&amp;AB$7&amp;$AB$6, vw.deaths.demo, 7, FALSE), 0)</f>
        <v>1</v>
      </c>
      <c r="AC13" s="782">
        <f t="shared" si="16"/>
        <v>3</v>
      </c>
      <c r="AD13" s="782">
        <f t="shared" si="16"/>
        <v>1</v>
      </c>
      <c r="AE13" s="782">
        <f t="shared" si="16"/>
        <v>2</v>
      </c>
      <c r="AF13" s="782">
        <f t="shared" si="16"/>
        <v>1</v>
      </c>
      <c r="AG13" s="782">
        <f t="shared" si="16"/>
        <v>0</v>
      </c>
      <c r="AH13" s="782">
        <f t="shared" si="16"/>
        <v>8</v>
      </c>
      <c r="AI13" s="782">
        <f t="shared" ref="AI13:AO13" si="17">IFERROR(VLOOKUP($AA$6&amp;$AA$10&amp;$AC5&amp;$AA$13&amp;AI$7&amp;$AI$6, vw.deaths.demo, 7, FALSE),0)</f>
        <v>0</v>
      </c>
      <c r="AJ13" s="782">
        <f t="shared" si="17"/>
        <v>0</v>
      </c>
      <c r="AK13" s="782">
        <f t="shared" si="17"/>
        <v>0</v>
      </c>
      <c r="AL13" s="782">
        <f t="shared" si="17"/>
        <v>0</v>
      </c>
      <c r="AM13" s="782">
        <f t="shared" si="17"/>
        <v>0</v>
      </c>
      <c r="AN13" s="782">
        <f t="shared" si="17"/>
        <v>0</v>
      </c>
      <c r="AO13" s="782">
        <f t="shared" si="17"/>
        <v>0</v>
      </c>
      <c r="AP13" s="782">
        <f t="shared" ref="AP13:AV13" si="18">IFERROR(VLOOKUP($AA$6&amp;$AA$10&amp;$AC$5&amp;$AA$13&amp;AP$7, vw.births.demo, 7, FALSE),0)</f>
        <v>0</v>
      </c>
      <c r="AQ13" s="782">
        <f t="shared" si="18"/>
        <v>0</v>
      </c>
      <c r="AR13" s="782">
        <f t="shared" si="18"/>
        <v>0</v>
      </c>
      <c r="AS13" s="782">
        <f t="shared" si="18"/>
        <v>0</v>
      </c>
      <c r="AT13" s="782">
        <f t="shared" si="18"/>
        <v>0</v>
      </c>
      <c r="AU13" s="782">
        <f t="shared" si="18"/>
        <v>0</v>
      </c>
      <c r="AV13" s="782">
        <f t="shared" si="18"/>
        <v>0</v>
      </c>
      <c r="AW13" s="243"/>
      <c r="AX13" s="243"/>
      <c r="AY13" s="243"/>
      <c r="AZ13" s="243"/>
      <c r="BA13" s="243"/>
      <c r="BB13" s="243"/>
    </row>
    <row r="14" spans="1:65">
      <c r="A14" s="80" t="s">
        <v>73</v>
      </c>
      <c r="B14" s="328"/>
      <c r="C14" s="328"/>
      <c r="D14" s="328"/>
      <c r="E14" s="328"/>
      <c r="F14" s="328"/>
      <c r="G14" s="328"/>
      <c r="H14" s="328"/>
      <c r="I14" s="328"/>
      <c r="J14" s="328"/>
      <c r="K14" s="328"/>
      <c r="L14" s="328"/>
      <c r="M14" s="328"/>
      <c r="N14" s="328"/>
      <c r="O14" s="328"/>
      <c r="P14" s="328"/>
      <c r="Q14" s="790"/>
      <c r="R14" s="790"/>
      <c r="S14" s="790"/>
      <c r="T14" s="790"/>
      <c r="U14" s="790"/>
      <c r="V14" s="790"/>
      <c r="AA14" s="782" t="s">
        <v>461</v>
      </c>
      <c r="AB14" s="782"/>
      <c r="AC14" s="782"/>
      <c r="AD14" s="782"/>
      <c r="AE14" s="782"/>
      <c r="AF14" s="782"/>
      <c r="AG14" s="782"/>
      <c r="AH14" s="782"/>
      <c r="AI14" s="782"/>
      <c r="AJ14" s="782"/>
      <c r="AK14" s="782"/>
      <c r="AL14" s="782"/>
      <c r="AM14" s="782"/>
      <c r="AN14" s="782"/>
      <c r="AO14" s="782"/>
      <c r="AP14" s="782"/>
      <c r="AQ14" s="782"/>
      <c r="AR14" s="782"/>
      <c r="AS14" s="782"/>
      <c r="AT14" s="782"/>
      <c r="AU14" s="782"/>
      <c r="AV14" s="782"/>
      <c r="BC14" s="167"/>
      <c r="BD14" s="167"/>
      <c r="BE14" s="167"/>
      <c r="BF14" s="167"/>
      <c r="BG14" s="167"/>
      <c r="BH14" s="167"/>
      <c r="BI14" s="167"/>
      <c r="BJ14" s="167"/>
      <c r="BK14" s="167"/>
      <c r="BL14" s="167"/>
      <c r="BM14" s="167"/>
    </row>
    <row r="15" spans="1:65" s="77" customFormat="1">
      <c r="A15" s="82" t="s">
        <v>74</v>
      </c>
      <c r="B15" s="333">
        <f>AB15</f>
        <v>20</v>
      </c>
      <c r="C15" s="333">
        <f t="shared" ref="C15:H18" si="19">AC15</f>
        <v>35</v>
      </c>
      <c r="D15" s="333">
        <f t="shared" si="19"/>
        <v>28</v>
      </c>
      <c r="E15" s="333">
        <f t="shared" si="19"/>
        <v>23</v>
      </c>
      <c r="F15" s="333">
        <f t="shared" si="19"/>
        <v>12</v>
      </c>
      <c r="G15" s="333">
        <f t="shared" si="19"/>
        <v>4</v>
      </c>
      <c r="H15" s="351">
        <f t="shared" si="19"/>
        <v>122</v>
      </c>
      <c r="I15" s="333">
        <f>AI15</f>
        <v>20</v>
      </c>
      <c r="J15" s="333">
        <f t="shared" ref="J15:O18" si="20">AJ15</f>
        <v>31</v>
      </c>
      <c r="K15" s="333">
        <f t="shared" si="20"/>
        <v>27</v>
      </c>
      <c r="L15" s="333">
        <f t="shared" si="20"/>
        <v>14</v>
      </c>
      <c r="M15" s="333">
        <f t="shared" si="20"/>
        <v>8</v>
      </c>
      <c r="N15" s="333">
        <f t="shared" si="20"/>
        <v>3</v>
      </c>
      <c r="O15" s="351">
        <f t="shared" si="20"/>
        <v>103</v>
      </c>
      <c r="P15" s="333">
        <f>AP15</f>
        <v>1613</v>
      </c>
      <c r="Q15" s="710">
        <f t="shared" ref="Q15:V18" si="21">AQ15</f>
        <v>4901</v>
      </c>
      <c r="R15" s="710">
        <f t="shared" si="21"/>
        <v>4991</v>
      </c>
      <c r="S15" s="710">
        <f t="shared" si="21"/>
        <v>3514</v>
      </c>
      <c r="T15" s="710">
        <f t="shared" si="21"/>
        <v>1805</v>
      </c>
      <c r="U15" s="710">
        <f t="shared" si="21"/>
        <v>505</v>
      </c>
      <c r="V15" s="710">
        <f t="shared" si="21"/>
        <v>17329</v>
      </c>
      <c r="W15" s="243"/>
      <c r="X15" s="243"/>
      <c r="Y15" s="243"/>
      <c r="Z15" s="243"/>
      <c r="AA15" s="782" t="s">
        <v>129</v>
      </c>
      <c r="AB15" s="782">
        <f t="shared" ref="AB15:AH15" si="22">VLOOKUP($AA$6&amp;$AA$14&amp;$AC5&amp;$AA$15&amp;AB$7&amp;$AB$6, vw.deaths.demo,7, FALSE)</f>
        <v>20</v>
      </c>
      <c r="AC15" s="782">
        <f t="shared" si="22"/>
        <v>35</v>
      </c>
      <c r="AD15" s="782">
        <f t="shared" si="22"/>
        <v>28</v>
      </c>
      <c r="AE15" s="782">
        <f t="shared" si="22"/>
        <v>23</v>
      </c>
      <c r="AF15" s="782">
        <f t="shared" si="22"/>
        <v>12</v>
      </c>
      <c r="AG15" s="782">
        <f t="shared" si="22"/>
        <v>4</v>
      </c>
      <c r="AH15" s="782">
        <f t="shared" si="22"/>
        <v>122</v>
      </c>
      <c r="AI15" s="782">
        <f t="shared" ref="AI15:AO15" si="23">VLOOKUP($AA$6&amp;$AA$14&amp;$AC5&amp;$AA$15&amp;AI$7&amp;$AI$6, vw.deaths.demo,7, FALSE)</f>
        <v>20</v>
      </c>
      <c r="AJ15" s="782">
        <f t="shared" si="23"/>
        <v>31</v>
      </c>
      <c r="AK15" s="782">
        <f t="shared" si="23"/>
        <v>27</v>
      </c>
      <c r="AL15" s="782">
        <f t="shared" si="23"/>
        <v>14</v>
      </c>
      <c r="AM15" s="782">
        <f t="shared" si="23"/>
        <v>8</v>
      </c>
      <c r="AN15" s="782">
        <f t="shared" si="23"/>
        <v>3</v>
      </c>
      <c r="AO15" s="782">
        <f t="shared" si="23"/>
        <v>103</v>
      </c>
      <c r="AP15" s="782">
        <f t="shared" ref="AP15:AV15" si="24">VLOOKUP($AA$6&amp;$AA$14&amp;$AC$5&amp;$AA$15&amp;AP$7, vw.births.demo, 7, FALSE)</f>
        <v>1613</v>
      </c>
      <c r="AQ15" s="782">
        <f t="shared" si="24"/>
        <v>4901</v>
      </c>
      <c r="AR15" s="782">
        <f t="shared" si="24"/>
        <v>4991</v>
      </c>
      <c r="AS15" s="782">
        <f t="shared" si="24"/>
        <v>3514</v>
      </c>
      <c r="AT15" s="782">
        <f t="shared" si="24"/>
        <v>1805</v>
      </c>
      <c r="AU15" s="782">
        <f t="shared" si="24"/>
        <v>505</v>
      </c>
      <c r="AV15" s="782">
        <f t="shared" si="24"/>
        <v>17329</v>
      </c>
      <c r="AW15" s="243"/>
      <c r="AX15" s="243"/>
      <c r="AY15" s="243"/>
      <c r="AZ15" s="243"/>
      <c r="BA15" s="243"/>
      <c r="BB15" s="243"/>
    </row>
    <row r="16" spans="1:65" s="77" customFormat="1">
      <c r="A16" s="82" t="s">
        <v>320</v>
      </c>
      <c r="B16" s="333">
        <f t="shared" ref="B16:B18" si="25">AB16</f>
        <v>5</v>
      </c>
      <c r="C16" s="333">
        <f t="shared" si="19"/>
        <v>8</v>
      </c>
      <c r="D16" s="333">
        <f t="shared" si="19"/>
        <v>13</v>
      </c>
      <c r="E16" s="333">
        <f t="shared" si="19"/>
        <v>11</v>
      </c>
      <c r="F16" s="333">
        <f t="shared" si="19"/>
        <v>6</v>
      </c>
      <c r="G16" s="333">
        <f t="shared" si="19"/>
        <v>2</v>
      </c>
      <c r="H16" s="351">
        <f t="shared" si="19"/>
        <v>45</v>
      </c>
      <c r="I16" s="333">
        <f t="shared" ref="I16:I18" si="26">AI16</f>
        <v>7</v>
      </c>
      <c r="J16" s="333">
        <f t="shared" si="20"/>
        <v>12</v>
      </c>
      <c r="K16" s="333">
        <f t="shared" si="20"/>
        <v>3</v>
      </c>
      <c r="L16" s="333">
        <f t="shared" si="20"/>
        <v>7</v>
      </c>
      <c r="M16" s="333">
        <f t="shared" si="20"/>
        <v>4</v>
      </c>
      <c r="N16" s="333">
        <f t="shared" si="20"/>
        <v>3</v>
      </c>
      <c r="O16" s="351">
        <f t="shared" si="20"/>
        <v>37</v>
      </c>
      <c r="P16" s="333">
        <f t="shared" ref="P16:P18" si="27">AP16</f>
        <v>380</v>
      </c>
      <c r="Q16" s="710">
        <f t="shared" si="21"/>
        <v>1509</v>
      </c>
      <c r="R16" s="710">
        <f t="shared" si="21"/>
        <v>1704</v>
      </c>
      <c r="S16" s="710">
        <f t="shared" si="21"/>
        <v>1354</v>
      </c>
      <c r="T16" s="710">
        <f t="shared" si="21"/>
        <v>795</v>
      </c>
      <c r="U16" s="710">
        <f t="shared" si="21"/>
        <v>234</v>
      </c>
      <c r="V16" s="710">
        <f t="shared" si="21"/>
        <v>5976</v>
      </c>
      <c r="W16" s="243"/>
      <c r="X16" s="243"/>
      <c r="Y16" s="243"/>
      <c r="Z16" s="243"/>
      <c r="AA16" s="782" t="s">
        <v>320</v>
      </c>
      <c r="AB16" s="782">
        <f t="shared" ref="AB16:AH16" si="28">VLOOKUP($AA$6&amp;$AA$14&amp;$AC5&amp;$AA$16&amp;AB$7&amp;$AB$6, vw.deaths.demo,7, FALSE)</f>
        <v>5</v>
      </c>
      <c r="AC16" s="782">
        <f t="shared" si="28"/>
        <v>8</v>
      </c>
      <c r="AD16" s="782">
        <f t="shared" si="28"/>
        <v>13</v>
      </c>
      <c r="AE16" s="782">
        <f t="shared" si="28"/>
        <v>11</v>
      </c>
      <c r="AF16" s="782">
        <f t="shared" si="28"/>
        <v>6</v>
      </c>
      <c r="AG16" s="782">
        <f t="shared" si="28"/>
        <v>2</v>
      </c>
      <c r="AH16" s="782">
        <f t="shared" si="28"/>
        <v>45</v>
      </c>
      <c r="AI16" s="782">
        <f t="shared" ref="AI16:AO16" si="29">VLOOKUP($AA$6&amp;$AA$14&amp;$AC5&amp;$AA$16&amp;AI$7&amp;$AI$6, vw.deaths.demo,7, FALSE)</f>
        <v>7</v>
      </c>
      <c r="AJ16" s="782">
        <f t="shared" si="29"/>
        <v>12</v>
      </c>
      <c r="AK16" s="782">
        <f t="shared" si="29"/>
        <v>3</v>
      </c>
      <c r="AL16" s="782">
        <f t="shared" si="29"/>
        <v>7</v>
      </c>
      <c r="AM16" s="782">
        <f t="shared" si="29"/>
        <v>4</v>
      </c>
      <c r="AN16" s="782">
        <f t="shared" si="29"/>
        <v>3</v>
      </c>
      <c r="AO16" s="782">
        <f t="shared" si="29"/>
        <v>37</v>
      </c>
      <c r="AP16" s="782">
        <f t="shared" ref="AP16:AV16" si="30">VLOOKUP($AA$6&amp;$AA$14&amp;$AC$5&amp;$AA$16&amp;AP$7, vw.births.demo, 7, FALSE)</f>
        <v>380</v>
      </c>
      <c r="AQ16" s="782">
        <f t="shared" si="30"/>
        <v>1509</v>
      </c>
      <c r="AR16" s="782">
        <f t="shared" si="30"/>
        <v>1704</v>
      </c>
      <c r="AS16" s="782">
        <f t="shared" si="30"/>
        <v>1354</v>
      </c>
      <c r="AT16" s="782">
        <f t="shared" si="30"/>
        <v>795</v>
      </c>
      <c r="AU16" s="782">
        <f t="shared" si="30"/>
        <v>234</v>
      </c>
      <c r="AV16" s="782">
        <f t="shared" si="30"/>
        <v>5976</v>
      </c>
      <c r="AW16" s="243"/>
      <c r="AX16" s="243"/>
      <c r="AY16" s="243"/>
      <c r="AZ16" s="243"/>
      <c r="BA16" s="243"/>
      <c r="BB16" s="243"/>
    </row>
    <row r="17" spans="1:65" s="77" customFormat="1">
      <c r="A17" s="310" t="s">
        <v>355</v>
      </c>
      <c r="B17" s="333">
        <f t="shared" si="25"/>
        <v>1</v>
      </c>
      <c r="C17" s="333">
        <f t="shared" si="19"/>
        <v>7</v>
      </c>
      <c r="D17" s="333">
        <f t="shared" si="19"/>
        <v>18</v>
      </c>
      <c r="E17" s="333">
        <f t="shared" si="19"/>
        <v>29</v>
      </c>
      <c r="F17" s="333">
        <f t="shared" si="19"/>
        <v>16</v>
      </c>
      <c r="G17" s="333">
        <f t="shared" si="19"/>
        <v>2</v>
      </c>
      <c r="H17" s="351">
        <f t="shared" si="19"/>
        <v>73</v>
      </c>
      <c r="I17" s="333">
        <f t="shared" si="26"/>
        <v>0</v>
      </c>
      <c r="J17" s="333">
        <f t="shared" si="20"/>
        <v>6</v>
      </c>
      <c r="K17" s="333">
        <f t="shared" si="20"/>
        <v>5</v>
      </c>
      <c r="L17" s="333">
        <f t="shared" si="20"/>
        <v>10</v>
      </c>
      <c r="M17" s="333">
        <f t="shared" si="20"/>
        <v>5</v>
      </c>
      <c r="N17" s="333">
        <f t="shared" si="20"/>
        <v>1</v>
      </c>
      <c r="O17" s="351">
        <f t="shared" si="20"/>
        <v>27</v>
      </c>
      <c r="P17" s="333">
        <f t="shared" si="27"/>
        <v>45</v>
      </c>
      <c r="Q17" s="710">
        <f t="shared" si="21"/>
        <v>790</v>
      </c>
      <c r="R17" s="710">
        <f t="shared" si="21"/>
        <v>3248</v>
      </c>
      <c r="S17" s="710">
        <f t="shared" si="21"/>
        <v>4523</v>
      </c>
      <c r="T17" s="710">
        <f t="shared" si="21"/>
        <v>1938</v>
      </c>
      <c r="U17" s="710">
        <f t="shared" si="21"/>
        <v>358</v>
      </c>
      <c r="V17" s="710">
        <f t="shared" si="21"/>
        <v>10902</v>
      </c>
      <c r="W17" s="243"/>
      <c r="X17" s="243"/>
      <c r="Y17" s="243"/>
      <c r="Z17" s="243"/>
      <c r="AA17" s="782" t="s">
        <v>355</v>
      </c>
      <c r="AB17" s="782">
        <f t="shared" ref="AB17:AH17" si="31">VLOOKUP($AA$6&amp;$AA$14&amp;$AC5&amp;$AA$17&amp;AB$7&amp;$AB$6, vw.deaths.demo,7, FALSE)</f>
        <v>1</v>
      </c>
      <c r="AC17" s="782">
        <f t="shared" si="31"/>
        <v>7</v>
      </c>
      <c r="AD17" s="782">
        <f t="shared" si="31"/>
        <v>18</v>
      </c>
      <c r="AE17" s="782">
        <f t="shared" si="31"/>
        <v>29</v>
      </c>
      <c r="AF17" s="782">
        <f t="shared" si="31"/>
        <v>16</v>
      </c>
      <c r="AG17" s="782">
        <f t="shared" si="31"/>
        <v>2</v>
      </c>
      <c r="AH17" s="782">
        <f t="shared" si="31"/>
        <v>73</v>
      </c>
      <c r="AI17" s="782">
        <f t="shared" ref="AI17:AO17" si="32">VLOOKUP($AA$6&amp;$AA$14&amp;$AC5&amp;$AA$17&amp;AI$7&amp;$AI$6, vw.deaths.demo,7, FALSE)</f>
        <v>0</v>
      </c>
      <c r="AJ17" s="782">
        <f t="shared" si="32"/>
        <v>6</v>
      </c>
      <c r="AK17" s="782">
        <f t="shared" si="32"/>
        <v>5</v>
      </c>
      <c r="AL17" s="782">
        <f t="shared" si="32"/>
        <v>10</v>
      </c>
      <c r="AM17" s="782">
        <f t="shared" si="32"/>
        <v>5</v>
      </c>
      <c r="AN17" s="782">
        <f t="shared" si="32"/>
        <v>1</v>
      </c>
      <c r="AO17" s="782">
        <f t="shared" si="32"/>
        <v>27</v>
      </c>
      <c r="AP17" s="782">
        <f t="shared" ref="AP17:AV17" si="33">VLOOKUP($AA$6&amp;$AA$14&amp;$AC$5&amp;$AA$17&amp;AP$7, vw.births.demo, 7, FALSE)</f>
        <v>45</v>
      </c>
      <c r="AQ17" s="782">
        <f t="shared" si="33"/>
        <v>790</v>
      </c>
      <c r="AR17" s="782">
        <f t="shared" si="33"/>
        <v>3248</v>
      </c>
      <c r="AS17" s="782">
        <f t="shared" si="33"/>
        <v>4523</v>
      </c>
      <c r="AT17" s="782">
        <f t="shared" si="33"/>
        <v>1938</v>
      </c>
      <c r="AU17" s="782">
        <f t="shared" si="33"/>
        <v>358</v>
      </c>
      <c r="AV17" s="782">
        <f t="shared" si="33"/>
        <v>10902</v>
      </c>
      <c r="AW17" s="243"/>
      <c r="AX17" s="243"/>
      <c r="AY17" s="243"/>
      <c r="AZ17" s="243"/>
      <c r="BA17" s="243"/>
      <c r="BB17" s="243"/>
    </row>
    <row r="18" spans="1:65" s="77" customFormat="1">
      <c r="A18" s="310" t="s">
        <v>356</v>
      </c>
      <c r="B18" s="333">
        <f t="shared" si="25"/>
        <v>10</v>
      </c>
      <c r="C18" s="333">
        <f t="shared" si="19"/>
        <v>23</v>
      </c>
      <c r="D18" s="333">
        <f t="shared" si="19"/>
        <v>44</v>
      </c>
      <c r="E18" s="333">
        <f t="shared" si="19"/>
        <v>52</v>
      </c>
      <c r="F18" s="333">
        <f t="shared" si="19"/>
        <v>36</v>
      </c>
      <c r="G18" s="333">
        <f t="shared" si="19"/>
        <v>8</v>
      </c>
      <c r="H18" s="351">
        <f t="shared" si="19"/>
        <v>173</v>
      </c>
      <c r="I18" s="333">
        <f t="shared" si="26"/>
        <v>0</v>
      </c>
      <c r="J18" s="333">
        <f t="shared" si="20"/>
        <v>12</v>
      </c>
      <c r="K18" s="333">
        <f t="shared" si="20"/>
        <v>17</v>
      </c>
      <c r="L18" s="333">
        <f t="shared" si="20"/>
        <v>28</v>
      </c>
      <c r="M18" s="333">
        <f t="shared" si="20"/>
        <v>9</v>
      </c>
      <c r="N18" s="333">
        <f t="shared" si="20"/>
        <v>8</v>
      </c>
      <c r="O18" s="351">
        <f t="shared" si="20"/>
        <v>74</v>
      </c>
      <c r="P18" s="333">
        <f t="shared" si="27"/>
        <v>521</v>
      </c>
      <c r="Q18" s="710">
        <f t="shared" si="21"/>
        <v>2734</v>
      </c>
      <c r="R18" s="710">
        <f t="shared" si="21"/>
        <v>6721</v>
      </c>
      <c r="S18" s="710">
        <f t="shared" si="21"/>
        <v>9329</v>
      </c>
      <c r="T18" s="710">
        <f t="shared" si="21"/>
        <v>5567</v>
      </c>
      <c r="U18" s="710">
        <f t="shared" si="21"/>
        <v>1357</v>
      </c>
      <c r="V18" s="710">
        <f t="shared" si="21"/>
        <v>26229</v>
      </c>
      <c r="W18" s="243"/>
      <c r="X18" s="243"/>
      <c r="Y18" s="243"/>
      <c r="Z18" s="243"/>
      <c r="AA18" s="782" t="s">
        <v>356</v>
      </c>
      <c r="AB18" s="782">
        <f t="shared" ref="AB18:AH18" si="34">VLOOKUP($AA$6&amp;$AA$14&amp;$AC5&amp;$AA$18&amp;AB$7&amp;$AB$6, vw.deaths.demo,7, FALSE)</f>
        <v>10</v>
      </c>
      <c r="AC18" s="782">
        <f t="shared" si="34"/>
        <v>23</v>
      </c>
      <c r="AD18" s="782">
        <f t="shared" si="34"/>
        <v>44</v>
      </c>
      <c r="AE18" s="782">
        <f t="shared" si="34"/>
        <v>52</v>
      </c>
      <c r="AF18" s="782">
        <f t="shared" si="34"/>
        <v>36</v>
      </c>
      <c r="AG18" s="782">
        <f t="shared" si="34"/>
        <v>8</v>
      </c>
      <c r="AH18" s="782">
        <f t="shared" si="34"/>
        <v>173</v>
      </c>
      <c r="AI18" s="782">
        <f t="shared" ref="AI18:AO18" si="35">VLOOKUP($AA$6&amp;$AA$14&amp;$AC5&amp;$AA$18&amp;AI$7&amp;$AI$6, vw.deaths.demo,7, FALSE)</f>
        <v>0</v>
      </c>
      <c r="AJ18" s="782">
        <f t="shared" si="35"/>
        <v>12</v>
      </c>
      <c r="AK18" s="782">
        <f t="shared" si="35"/>
        <v>17</v>
      </c>
      <c r="AL18" s="782">
        <f t="shared" si="35"/>
        <v>28</v>
      </c>
      <c r="AM18" s="782">
        <f t="shared" si="35"/>
        <v>9</v>
      </c>
      <c r="AN18" s="782">
        <f t="shared" si="35"/>
        <v>8</v>
      </c>
      <c r="AO18" s="782">
        <f t="shared" si="35"/>
        <v>74</v>
      </c>
      <c r="AP18" s="782">
        <f t="shared" ref="AP18:AV18" si="36">VLOOKUP($AA$6&amp;$AA$14&amp;$AC$5&amp;$AA$18&amp;AP$7, vw.births.demo, 7, FALSE)</f>
        <v>521</v>
      </c>
      <c r="AQ18" s="782">
        <f t="shared" si="36"/>
        <v>2734</v>
      </c>
      <c r="AR18" s="782">
        <f t="shared" si="36"/>
        <v>6721</v>
      </c>
      <c r="AS18" s="782">
        <f t="shared" si="36"/>
        <v>9329</v>
      </c>
      <c r="AT18" s="782">
        <f t="shared" si="36"/>
        <v>5567</v>
      </c>
      <c r="AU18" s="782">
        <f t="shared" si="36"/>
        <v>1357</v>
      </c>
      <c r="AV18" s="782">
        <f t="shared" si="36"/>
        <v>26229</v>
      </c>
      <c r="AW18" s="243"/>
      <c r="AX18" s="243"/>
      <c r="AY18" s="243"/>
      <c r="AZ18" s="243"/>
      <c r="BA18" s="243"/>
      <c r="BB18" s="243"/>
    </row>
    <row r="19" spans="1:65">
      <c r="A19" s="80" t="s">
        <v>82</v>
      </c>
      <c r="B19" s="328"/>
      <c r="C19" s="328"/>
      <c r="D19" s="328"/>
      <c r="E19" s="328"/>
      <c r="F19" s="328"/>
      <c r="G19" s="328"/>
      <c r="H19" s="328"/>
      <c r="I19" s="328"/>
      <c r="J19" s="328"/>
      <c r="K19" s="328"/>
      <c r="L19" s="328"/>
      <c r="M19" s="328"/>
      <c r="N19" s="328"/>
      <c r="O19" s="328"/>
      <c r="P19" s="328"/>
      <c r="Q19" s="790"/>
      <c r="R19" s="790"/>
      <c r="S19" s="737"/>
      <c r="T19" s="737"/>
      <c r="U19" s="737"/>
      <c r="V19" s="791"/>
      <c r="AA19" s="784" t="s">
        <v>463</v>
      </c>
      <c r="AB19" s="782"/>
      <c r="AC19" s="782"/>
      <c r="AD19" s="782"/>
      <c r="AE19" s="782"/>
      <c r="AF19" s="782"/>
      <c r="AG19" s="782"/>
      <c r="AH19" s="782"/>
      <c r="AI19" s="782"/>
      <c r="AJ19" s="782"/>
      <c r="AK19" s="782"/>
      <c r="AL19" s="782"/>
      <c r="AM19" s="782"/>
      <c r="AN19" s="782"/>
      <c r="AO19" s="782"/>
      <c r="AP19" s="782"/>
      <c r="AQ19" s="782"/>
      <c r="AR19" s="782"/>
      <c r="AS19" s="782"/>
      <c r="AT19" s="782"/>
      <c r="AU19" s="782"/>
      <c r="AV19" s="782"/>
      <c r="BC19" s="167"/>
      <c r="BD19" s="167"/>
      <c r="BE19" s="167"/>
      <c r="BF19" s="167"/>
      <c r="BG19" s="167"/>
      <c r="BH19" s="167"/>
      <c r="BI19" s="167"/>
      <c r="BJ19" s="167"/>
      <c r="BK19" s="167"/>
      <c r="BL19" s="167"/>
      <c r="BM19" s="167"/>
    </row>
    <row r="20" spans="1:65" s="77" customFormat="1">
      <c r="A20" s="82" t="s">
        <v>83</v>
      </c>
      <c r="B20" s="333">
        <f>AB20</f>
        <v>3</v>
      </c>
      <c r="C20" s="333">
        <f t="shared" ref="C20:H25" si="37">AC20</f>
        <v>2</v>
      </c>
      <c r="D20" s="333">
        <f t="shared" si="37"/>
        <v>13</v>
      </c>
      <c r="E20" s="333">
        <f t="shared" si="37"/>
        <v>15</v>
      </c>
      <c r="F20" s="333">
        <f t="shared" si="37"/>
        <v>7</v>
      </c>
      <c r="G20" s="333">
        <f t="shared" si="37"/>
        <v>3</v>
      </c>
      <c r="H20" s="351">
        <f t="shared" si="37"/>
        <v>43</v>
      </c>
      <c r="I20" s="333">
        <f>AI20</f>
        <v>1</v>
      </c>
      <c r="J20" s="333">
        <f t="shared" ref="J20:O25" si="38">AJ20</f>
        <v>7</v>
      </c>
      <c r="K20" s="333">
        <f t="shared" si="38"/>
        <v>4</v>
      </c>
      <c r="L20" s="333">
        <f t="shared" si="38"/>
        <v>6</v>
      </c>
      <c r="M20" s="333">
        <f t="shared" si="38"/>
        <v>3</v>
      </c>
      <c r="N20" s="333">
        <f t="shared" si="38"/>
        <v>3</v>
      </c>
      <c r="O20" s="351">
        <f t="shared" si="38"/>
        <v>24</v>
      </c>
      <c r="P20" s="333">
        <f>AP20</f>
        <v>118</v>
      </c>
      <c r="Q20" s="710">
        <f t="shared" ref="Q20:V25" si="39">AQ20</f>
        <v>662</v>
      </c>
      <c r="R20" s="710">
        <f t="shared" si="39"/>
        <v>2066</v>
      </c>
      <c r="S20" s="710">
        <f t="shared" si="39"/>
        <v>3536</v>
      </c>
      <c r="T20" s="710">
        <f t="shared" si="39"/>
        <v>2263</v>
      </c>
      <c r="U20" s="710">
        <f t="shared" si="39"/>
        <v>549</v>
      </c>
      <c r="V20" s="710">
        <f t="shared" si="39"/>
        <v>9194</v>
      </c>
      <c r="W20" s="245"/>
      <c r="X20" s="245"/>
      <c r="Y20" s="245"/>
      <c r="Z20" s="245"/>
      <c r="AA20" s="784" t="s">
        <v>421</v>
      </c>
      <c r="AB20" s="782">
        <f t="shared" ref="AB20:AH20" si="40">VLOOKUP($AA$6&amp;$AA$19&amp;$AC5&amp;$AA$20&amp;AB$7&amp;$AB$6, vw.deaths.demo, 7, FALSE)</f>
        <v>3</v>
      </c>
      <c r="AC20" s="782">
        <f t="shared" si="40"/>
        <v>2</v>
      </c>
      <c r="AD20" s="782">
        <f t="shared" si="40"/>
        <v>13</v>
      </c>
      <c r="AE20" s="782">
        <f t="shared" si="40"/>
        <v>15</v>
      </c>
      <c r="AF20" s="782">
        <f t="shared" si="40"/>
        <v>7</v>
      </c>
      <c r="AG20" s="782">
        <f t="shared" si="40"/>
        <v>3</v>
      </c>
      <c r="AH20" s="782">
        <f t="shared" si="40"/>
        <v>43</v>
      </c>
      <c r="AI20" s="782">
        <f t="shared" ref="AI20:AO20" si="41">VLOOKUP($AA$6&amp;$AA$19&amp;$AC5&amp;$AA$20&amp;AI$7&amp;$AI$6, vw.deaths.demo, 7, FALSE)</f>
        <v>1</v>
      </c>
      <c r="AJ20" s="782">
        <f t="shared" si="41"/>
        <v>7</v>
      </c>
      <c r="AK20" s="782">
        <f t="shared" si="41"/>
        <v>4</v>
      </c>
      <c r="AL20" s="782">
        <f t="shared" si="41"/>
        <v>6</v>
      </c>
      <c r="AM20" s="782">
        <f t="shared" si="41"/>
        <v>3</v>
      </c>
      <c r="AN20" s="782">
        <f t="shared" si="41"/>
        <v>3</v>
      </c>
      <c r="AO20" s="782">
        <f t="shared" si="41"/>
        <v>24</v>
      </c>
      <c r="AP20" s="782">
        <f t="shared" ref="AP20:AV20" si="42">VLOOKUP($AA$6&amp;$AA$19&amp;$AC$5&amp;$AA$20&amp;AP$7, vw.births.demo, 7, FALSE)</f>
        <v>118</v>
      </c>
      <c r="AQ20" s="782">
        <f t="shared" si="42"/>
        <v>662</v>
      </c>
      <c r="AR20" s="782">
        <f t="shared" si="42"/>
        <v>2066</v>
      </c>
      <c r="AS20" s="782">
        <f t="shared" si="42"/>
        <v>3536</v>
      </c>
      <c r="AT20" s="782">
        <f t="shared" si="42"/>
        <v>2263</v>
      </c>
      <c r="AU20" s="782">
        <f t="shared" si="42"/>
        <v>549</v>
      </c>
      <c r="AV20" s="782">
        <f t="shared" si="42"/>
        <v>9194</v>
      </c>
      <c r="AW20" s="243"/>
      <c r="AX20" s="243"/>
      <c r="AY20" s="243"/>
      <c r="AZ20" s="243"/>
      <c r="BA20" s="243"/>
      <c r="BB20" s="243"/>
    </row>
    <row r="21" spans="1:65" s="77" customFormat="1">
      <c r="A21" s="269">
        <v>2</v>
      </c>
      <c r="B21" s="333">
        <f t="shared" ref="B21:B25" si="43">AB21</f>
        <v>3</v>
      </c>
      <c r="C21" s="333">
        <f t="shared" si="37"/>
        <v>8</v>
      </c>
      <c r="D21" s="333">
        <f t="shared" si="37"/>
        <v>17</v>
      </c>
      <c r="E21" s="333">
        <f t="shared" si="37"/>
        <v>24</v>
      </c>
      <c r="F21" s="333">
        <f t="shared" si="37"/>
        <v>9</v>
      </c>
      <c r="G21" s="333">
        <f t="shared" si="37"/>
        <v>3</v>
      </c>
      <c r="H21" s="351">
        <f t="shared" si="37"/>
        <v>64</v>
      </c>
      <c r="I21" s="333">
        <f t="shared" ref="I21:I25" si="44">AI21</f>
        <v>2</v>
      </c>
      <c r="J21" s="333">
        <f t="shared" si="38"/>
        <v>4</v>
      </c>
      <c r="K21" s="333">
        <f t="shared" si="38"/>
        <v>6</v>
      </c>
      <c r="L21" s="333">
        <f t="shared" si="38"/>
        <v>10</v>
      </c>
      <c r="M21" s="333">
        <f t="shared" si="38"/>
        <v>2</v>
      </c>
      <c r="N21" s="333">
        <f t="shared" si="38"/>
        <v>0</v>
      </c>
      <c r="O21" s="351">
        <f t="shared" si="38"/>
        <v>24</v>
      </c>
      <c r="P21" s="333">
        <f t="shared" ref="P21:P25" si="45">AP21</f>
        <v>232</v>
      </c>
      <c r="Q21" s="710">
        <f t="shared" si="39"/>
        <v>1044</v>
      </c>
      <c r="R21" s="710">
        <f t="shared" si="39"/>
        <v>2592</v>
      </c>
      <c r="S21" s="710">
        <f t="shared" si="39"/>
        <v>3702</v>
      </c>
      <c r="T21" s="710">
        <f t="shared" si="39"/>
        <v>2080</v>
      </c>
      <c r="U21" s="710">
        <f t="shared" si="39"/>
        <v>473</v>
      </c>
      <c r="V21" s="710">
        <f t="shared" si="39"/>
        <v>10123</v>
      </c>
      <c r="W21" s="245"/>
      <c r="X21" s="245"/>
      <c r="Y21" s="245"/>
      <c r="Z21" s="245"/>
      <c r="AA21" s="784" t="s">
        <v>422</v>
      </c>
      <c r="AB21" s="782">
        <f t="shared" ref="AB21:AH21" si="46">VLOOKUP($AA$6&amp;$AA$19&amp;$AC5&amp;$AA$21&amp;AB$7&amp;$AB$6, vw.deaths.demo, 7, FALSE)</f>
        <v>3</v>
      </c>
      <c r="AC21" s="782">
        <f t="shared" si="46"/>
        <v>8</v>
      </c>
      <c r="AD21" s="782">
        <f t="shared" si="46"/>
        <v>17</v>
      </c>
      <c r="AE21" s="782">
        <f t="shared" si="46"/>
        <v>24</v>
      </c>
      <c r="AF21" s="782">
        <f t="shared" si="46"/>
        <v>9</v>
      </c>
      <c r="AG21" s="782">
        <f t="shared" si="46"/>
        <v>3</v>
      </c>
      <c r="AH21" s="782">
        <f t="shared" si="46"/>
        <v>64</v>
      </c>
      <c r="AI21" s="782">
        <f t="shared" ref="AI21:AO21" si="47">VLOOKUP($AA$6&amp;$AA$19&amp;$AC5&amp;$AA$21&amp;AI$7&amp;$AI$6, vw.deaths.demo, 7, FALSE)</f>
        <v>2</v>
      </c>
      <c r="AJ21" s="782">
        <f t="shared" si="47"/>
        <v>4</v>
      </c>
      <c r="AK21" s="782">
        <f t="shared" si="47"/>
        <v>6</v>
      </c>
      <c r="AL21" s="782">
        <f t="shared" si="47"/>
        <v>10</v>
      </c>
      <c r="AM21" s="782">
        <f t="shared" si="47"/>
        <v>2</v>
      </c>
      <c r="AN21" s="782">
        <f t="shared" si="47"/>
        <v>0</v>
      </c>
      <c r="AO21" s="782">
        <f t="shared" si="47"/>
        <v>24</v>
      </c>
      <c r="AP21" s="782">
        <f t="shared" ref="AP21:AV21" si="48">VLOOKUP($AA$6&amp;$AA$19&amp;$AC$5&amp;$AA$21&amp;AP$7, vw.births.demo, 7, FALSE)</f>
        <v>232</v>
      </c>
      <c r="AQ21" s="782">
        <f t="shared" si="48"/>
        <v>1044</v>
      </c>
      <c r="AR21" s="782">
        <f t="shared" si="48"/>
        <v>2592</v>
      </c>
      <c r="AS21" s="782">
        <f t="shared" si="48"/>
        <v>3702</v>
      </c>
      <c r="AT21" s="782">
        <f t="shared" si="48"/>
        <v>2080</v>
      </c>
      <c r="AU21" s="782">
        <f t="shared" si="48"/>
        <v>473</v>
      </c>
      <c r="AV21" s="782">
        <f t="shared" si="48"/>
        <v>10123</v>
      </c>
      <c r="AW21" s="243"/>
      <c r="AX21" s="243"/>
      <c r="AY21" s="243"/>
      <c r="AZ21" s="243"/>
      <c r="BA21" s="243"/>
      <c r="BB21" s="243"/>
    </row>
    <row r="22" spans="1:65" s="77" customFormat="1">
      <c r="A22" s="269">
        <v>3</v>
      </c>
      <c r="B22" s="333">
        <f t="shared" si="43"/>
        <v>3</v>
      </c>
      <c r="C22" s="333">
        <f t="shared" si="37"/>
        <v>13</v>
      </c>
      <c r="D22" s="333">
        <f t="shared" si="37"/>
        <v>13</v>
      </c>
      <c r="E22" s="333">
        <f t="shared" si="37"/>
        <v>24</v>
      </c>
      <c r="F22" s="333">
        <f t="shared" si="37"/>
        <v>13</v>
      </c>
      <c r="G22" s="333">
        <f t="shared" si="37"/>
        <v>2</v>
      </c>
      <c r="H22" s="351">
        <f t="shared" si="37"/>
        <v>68</v>
      </c>
      <c r="I22" s="333">
        <f t="shared" si="44"/>
        <v>2</v>
      </c>
      <c r="J22" s="333">
        <f t="shared" si="38"/>
        <v>8</v>
      </c>
      <c r="K22" s="333">
        <f t="shared" si="38"/>
        <v>7</v>
      </c>
      <c r="L22" s="333">
        <f t="shared" si="38"/>
        <v>10</v>
      </c>
      <c r="M22" s="333">
        <f t="shared" si="38"/>
        <v>4</v>
      </c>
      <c r="N22" s="333">
        <f t="shared" si="38"/>
        <v>1</v>
      </c>
      <c r="O22" s="351">
        <f t="shared" si="38"/>
        <v>32</v>
      </c>
      <c r="P22" s="333">
        <f t="shared" si="45"/>
        <v>325</v>
      </c>
      <c r="Q22" s="710">
        <f t="shared" si="39"/>
        <v>1564</v>
      </c>
      <c r="R22" s="710">
        <f t="shared" si="39"/>
        <v>3067</v>
      </c>
      <c r="S22" s="710">
        <f t="shared" si="39"/>
        <v>3667</v>
      </c>
      <c r="T22" s="710">
        <f t="shared" si="39"/>
        <v>1919</v>
      </c>
      <c r="U22" s="710">
        <f t="shared" si="39"/>
        <v>429</v>
      </c>
      <c r="V22" s="710">
        <f t="shared" si="39"/>
        <v>10971</v>
      </c>
      <c r="W22" s="245"/>
      <c r="X22" s="245"/>
      <c r="Y22" s="245"/>
      <c r="Z22" s="245"/>
      <c r="AA22" s="784" t="s">
        <v>423</v>
      </c>
      <c r="AB22" s="782">
        <f t="shared" ref="AB22:AH22" si="49">VLOOKUP($AA$6&amp;$AA$19&amp;$AC5&amp;$AA$22&amp;AB$7&amp;$AB$6, vw.deaths.demo, 7, FALSE)</f>
        <v>3</v>
      </c>
      <c r="AC22" s="782">
        <f t="shared" si="49"/>
        <v>13</v>
      </c>
      <c r="AD22" s="782">
        <f t="shared" si="49"/>
        <v>13</v>
      </c>
      <c r="AE22" s="782">
        <f t="shared" si="49"/>
        <v>24</v>
      </c>
      <c r="AF22" s="782">
        <f t="shared" si="49"/>
        <v>13</v>
      </c>
      <c r="AG22" s="782">
        <f t="shared" si="49"/>
        <v>2</v>
      </c>
      <c r="AH22" s="782">
        <f t="shared" si="49"/>
        <v>68</v>
      </c>
      <c r="AI22" s="782">
        <f t="shared" ref="AI22:AO22" si="50">VLOOKUP($AA$6&amp;$AA$19&amp;$AC5&amp;$AA$22&amp;AI$7&amp;$AI$6, vw.deaths.demo, 7, FALSE)</f>
        <v>2</v>
      </c>
      <c r="AJ22" s="782">
        <f t="shared" si="50"/>
        <v>8</v>
      </c>
      <c r="AK22" s="782">
        <f t="shared" si="50"/>
        <v>7</v>
      </c>
      <c r="AL22" s="782">
        <f t="shared" si="50"/>
        <v>10</v>
      </c>
      <c r="AM22" s="782">
        <f t="shared" si="50"/>
        <v>4</v>
      </c>
      <c r="AN22" s="782">
        <f t="shared" si="50"/>
        <v>1</v>
      </c>
      <c r="AO22" s="782">
        <f t="shared" si="50"/>
        <v>32</v>
      </c>
      <c r="AP22" s="782">
        <f t="shared" ref="AP22:AV22" si="51">VLOOKUP($AA$6&amp;$AA$19&amp;$AC$5&amp;$AA$22&amp;AP$7, vw.births.demo, 7, FALSE)</f>
        <v>325</v>
      </c>
      <c r="AQ22" s="782">
        <f t="shared" si="51"/>
        <v>1564</v>
      </c>
      <c r="AR22" s="782">
        <f t="shared" si="51"/>
        <v>3067</v>
      </c>
      <c r="AS22" s="782">
        <f t="shared" si="51"/>
        <v>3667</v>
      </c>
      <c r="AT22" s="782">
        <f t="shared" si="51"/>
        <v>1919</v>
      </c>
      <c r="AU22" s="782">
        <f t="shared" si="51"/>
        <v>429</v>
      </c>
      <c r="AV22" s="782">
        <f t="shared" si="51"/>
        <v>10971</v>
      </c>
      <c r="AW22" s="243"/>
      <c r="AX22" s="243"/>
      <c r="AY22" s="243"/>
      <c r="AZ22" s="243"/>
      <c r="BA22" s="243"/>
      <c r="BB22" s="243"/>
    </row>
    <row r="23" spans="1:65" s="77" customFormat="1">
      <c r="A23" s="269">
        <v>4</v>
      </c>
      <c r="B23" s="333">
        <f t="shared" si="43"/>
        <v>10</v>
      </c>
      <c r="C23" s="333">
        <f t="shared" si="37"/>
        <v>8</v>
      </c>
      <c r="D23" s="333">
        <f t="shared" si="37"/>
        <v>21</v>
      </c>
      <c r="E23" s="333">
        <f t="shared" si="37"/>
        <v>29</v>
      </c>
      <c r="F23" s="333">
        <f t="shared" si="37"/>
        <v>20</v>
      </c>
      <c r="G23" s="333">
        <f t="shared" si="37"/>
        <v>2</v>
      </c>
      <c r="H23" s="351">
        <f t="shared" si="37"/>
        <v>90</v>
      </c>
      <c r="I23" s="333">
        <f t="shared" si="44"/>
        <v>4</v>
      </c>
      <c r="J23" s="333">
        <f t="shared" si="38"/>
        <v>12</v>
      </c>
      <c r="K23" s="333">
        <f t="shared" si="38"/>
        <v>8</v>
      </c>
      <c r="L23" s="333">
        <f t="shared" si="38"/>
        <v>14</v>
      </c>
      <c r="M23" s="333">
        <f t="shared" si="38"/>
        <v>10</v>
      </c>
      <c r="N23" s="333">
        <f t="shared" si="38"/>
        <v>4</v>
      </c>
      <c r="O23" s="351">
        <f t="shared" si="38"/>
        <v>52</v>
      </c>
      <c r="P23" s="333">
        <f t="shared" si="45"/>
        <v>591</v>
      </c>
      <c r="Q23" s="710">
        <f t="shared" si="39"/>
        <v>2364</v>
      </c>
      <c r="R23" s="710">
        <f t="shared" si="39"/>
        <v>3866</v>
      </c>
      <c r="S23" s="710">
        <f t="shared" si="39"/>
        <v>3942</v>
      </c>
      <c r="T23" s="710">
        <f t="shared" si="39"/>
        <v>1934</v>
      </c>
      <c r="U23" s="710">
        <f t="shared" si="39"/>
        <v>434</v>
      </c>
      <c r="V23" s="710">
        <f t="shared" si="39"/>
        <v>13131</v>
      </c>
      <c r="W23" s="243"/>
      <c r="X23" s="243"/>
      <c r="Y23" s="243"/>
      <c r="Z23" s="243"/>
      <c r="AA23" s="795" t="s">
        <v>424</v>
      </c>
      <c r="AB23" s="782">
        <f t="shared" ref="AB23:AH23" si="52">VLOOKUP($AA$6&amp;$AA$19&amp;$AC5&amp;$AA$23&amp;AB$7&amp;$AB$6, vw.deaths.demo, 7, FALSE)</f>
        <v>10</v>
      </c>
      <c r="AC23" s="782">
        <f t="shared" si="52"/>
        <v>8</v>
      </c>
      <c r="AD23" s="782">
        <f t="shared" si="52"/>
        <v>21</v>
      </c>
      <c r="AE23" s="782">
        <f t="shared" si="52"/>
        <v>29</v>
      </c>
      <c r="AF23" s="782">
        <f t="shared" si="52"/>
        <v>20</v>
      </c>
      <c r="AG23" s="782">
        <f t="shared" si="52"/>
        <v>2</v>
      </c>
      <c r="AH23" s="782">
        <f t="shared" si="52"/>
        <v>90</v>
      </c>
      <c r="AI23" s="782">
        <f t="shared" ref="AI23:AO23" si="53">VLOOKUP($AA$6&amp;$AA$19&amp;$AC5&amp;$AA$23&amp;AI$7&amp;$AI$6, vw.deaths.demo, 7, FALSE)</f>
        <v>4</v>
      </c>
      <c r="AJ23" s="782">
        <f t="shared" si="53"/>
        <v>12</v>
      </c>
      <c r="AK23" s="782">
        <f t="shared" si="53"/>
        <v>8</v>
      </c>
      <c r="AL23" s="782">
        <f t="shared" si="53"/>
        <v>14</v>
      </c>
      <c r="AM23" s="782">
        <f t="shared" si="53"/>
        <v>10</v>
      </c>
      <c r="AN23" s="782">
        <f t="shared" si="53"/>
        <v>4</v>
      </c>
      <c r="AO23" s="782">
        <f t="shared" si="53"/>
        <v>52</v>
      </c>
      <c r="AP23" s="782">
        <f t="shared" ref="AP23:AV23" si="54">VLOOKUP($AA$6&amp;$AA$19&amp;$AC$5&amp;$AA$23&amp;AP$7, vw.births.demo, 7, FALSE)</f>
        <v>591</v>
      </c>
      <c r="AQ23" s="782">
        <f t="shared" si="54"/>
        <v>2364</v>
      </c>
      <c r="AR23" s="782">
        <f t="shared" si="54"/>
        <v>3866</v>
      </c>
      <c r="AS23" s="782">
        <f t="shared" si="54"/>
        <v>3942</v>
      </c>
      <c r="AT23" s="782">
        <f t="shared" si="54"/>
        <v>1934</v>
      </c>
      <c r="AU23" s="782">
        <f t="shared" si="54"/>
        <v>434</v>
      </c>
      <c r="AV23" s="782">
        <f t="shared" si="54"/>
        <v>13131</v>
      </c>
      <c r="AW23" s="243"/>
      <c r="AX23" s="243"/>
      <c r="AY23" s="243"/>
      <c r="AZ23" s="243"/>
      <c r="BA23" s="243"/>
      <c r="BB23" s="243"/>
    </row>
    <row r="24" spans="1:65" s="77" customFormat="1">
      <c r="A24" s="82" t="s">
        <v>84</v>
      </c>
      <c r="B24" s="333">
        <f t="shared" si="43"/>
        <v>15</v>
      </c>
      <c r="C24" s="333">
        <f t="shared" si="37"/>
        <v>38</v>
      </c>
      <c r="D24" s="333">
        <f t="shared" si="37"/>
        <v>32</v>
      </c>
      <c r="E24" s="333">
        <f t="shared" si="37"/>
        <v>20</v>
      </c>
      <c r="F24" s="333">
        <f t="shared" si="37"/>
        <v>17</v>
      </c>
      <c r="G24" s="333">
        <f t="shared" si="37"/>
        <v>4</v>
      </c>
      <c r="H24" s="351">
        <f t="shared" si="37"/>
        <v>126</v>
      </c>
      <c r="I24" s="333">
        <f t="shared" si="44"/>
        <v>18</v>
      </c>
      <c r="J24" s="333">
        <f t="shared" si="38"/>
        <v>30</v>
      </c>
      <c r="K24" s="333">
        <f t="shared" si="38"/>
        <v>26</v>
      </c>
      <c r="L24" s="333">
        <f t="shared" si="38"/>
        <v>19</v>
      </c>
      <c r="M24" s="333">
        <f t="shared" si="38"/>
        <v>7</v>
      </c>
      <c r="N24" s="333">
        <f t="shared" si="38"/>
        <v>7</v>
      </c>
      <c r="O24" s="351">
        <f t="shared" si="38"/>
        <v>107</v>
      </c>
      <c r="P24" s="333">
        <f t="shared" si="45"/>
        <v>1291</v>
      </c>
      <c r="Q24" s="710">
        <f t="shared" si="39"/>
        <v>4284</v>
      </c>
      <c r="R24" s="710">
        <f t="shared" si="39"/>
        <v>5031</v>
      </c>
      <c r="S24" s="710">
        <f t="shared" si="39"/>
        <v>3829</v>
      </c>
      <c r="T24" s="710">
        <f t="shared" si="39"/>
        <v>1887</v>
      </c>
      <c r="U24" s="710">
        <f t="shared" si="39"/>
        <v>564</v>
      </c>
      <c r="V24" s="710">
        <f t="shared" si="39"/>
        <v>16886</v>
      </c>
      <c r="W24" s="243"/>
      <c r="X24" s="243"/>
      <c r="Y24" s="243"/>
      <c r="Z24" s="243"/>
      <c r="AA24" s="784" t="s">
        <v>425</v>
      </c>
      <c r="AB24" s="782">
        <f t="shared" ref="AB24:AH24" si="55">VLOOKUP($AA$6&amp;$AA$19&amp;$AC5&amp;$AA$24&amp;AB$7&amp;$AB$6, vw.deaths.demo, 7, FALSE)</f>
        <v>15</v>
      </c>
      <c r="AC24" s="782">
        <f t="shared" si="55"/>
        <v>38</v>
      </c>
      <c r="AD24" s="782">
        <f t="shared" si="55"/>
        <v>32</v>
      </c>
      <c r="AE24" s="782">
        <f t="shared" si="55"/>
        <v>20</v>
      </c>
      <c r="AF24" s="782">
        <f t="shared" si="55"/>
        <v>17</v>
      </c>
      <c r="AG24" s="782">
        <f t="shared" si="55"/>
        <v>4</v>
      </c>
      <c r="AH24" s="782">
        <f t="shared" si="55"/>
        <v>126</v>
      </c>
      <c r="AI24" s="782">
        <f t="shared" ref="AI24:AO24" si="56">VLOOKUP($AA$6&amp;$AA$19&amp;$AC5&amp;$AA$24&amp;AI$7&amp;$AI$6, vw.deaths.demo, 7, FALSE)</f>
        <v>18</v>
      </c>
      <c r="AJ24" s="782">
        <f t="shared" si="56"/>
        <v>30</v>
      </c>
      <c r="AK24" s="782">
        <f t="shared" si="56"/>
        <v>26</v>
      </c>
      <c r="AL24" s="782">
        <f t="shared" si="56"/>
        <v>19</v>
      </c>
      <c r="AM24" s="782">
        <f t="shared" si="56"/>
        <v>7</v>
      </c>
      <c r="AN24" s="782">
        <f t="shared" si="56"/>
        <v>7</v>
      </c>
      <c r="AO24" s="782">
        <f t="shared" si="56"/>
        <v>107</v>
      </c>
      <c r="AP24" s="782">
        <f t="shared" ref="AP24:AV24" si="57">VLOOKUP($AA$6&amp;$AA$19&amp;$AC$5&amp;$AA$24&amp;AP$7, vw.births.demo, 7, FALSE)</f>
        <v>1291</v>
      </c>
      <c r="AQ24" s="782">
        <f t="shared" si="57"/>
        <v>4284</v>
      </c>
      <c r="AR24" s="782">
        <f t="shared" si="57"/>
        <v>5031</v>
      </c>
      <c r="AS24" s="782">
        <f t="shared" si="57"/>
        <v>3829</v>
      </c>
      <c r="AT24" s="782">
        <f t="shared" si="57"/>
        <v>1887</v>
      </c>
      <c r="AU24" s="782">
        <f t="shared" si="57"/>
        <v>564</v>
      </c>
      <c r="AV24" s="782">
        <f t="shared" si="57"/>
        <v>16886</v>
      </c>
      <c r="AW24" s="243"/>
      <c r="AX24" s="243"/>
      <c r="AY24" s="243"/>
      <c r="AZ24" s="243"/>
      <c r="BA24" s="243"/>
      <c r="BB24" s="243"/>
    </row>
    <row r="25" spans="1:65" s="77" customFormat="1">
      <c r="A25" s="82" t="s">
        <v>63</v>
      </c>
      <c r="B25" s="333">
        <f t="shared" si="43"/>
        <v>2</v>
      </c>
      <c r="C25" s="333">
        <f t="shared" si="37"/>
        <v>4</v>
      </c>
      <c r="D25" s="333">
        <f t="shared" si="37"/>
        <v>7</v>
      </c>
      <c r="E25" s="333">
        <f t="shared" si="37"/>
        <v>3</v>
      </c>
      <c r="F25" s="333">
        <f t="shared" si="37"/>
        <v>4</v>
      </c>
      <c r="G25" s="333">
        <f t="shared" si="37"/>
        <v>2</v>
      </c>
      <c r="H25" s="351">
        <f t="shared" si="37"/>
        <v>22</v>
      </c>
      <c r="I25" s="333">
        <f t="shared" si="44"/>
        <v>0</v>
      </c>
      <c r="J25" s="333">
        <f t="shared" si="38"/>
        <v>0</v>
      </c>
      <c r="K25" s="333">
        <f t="shared" si="38"/>
        <v>1</v>
      </c>
      <c r="L25" s="333">
        <f t="shared" si="38"/>
        <v>0</v>
      </c>
      <c r="M25" s="333">
        <f t="shared" si="38"/>
        <v>0</v>
      </c>
      <c r="N25" s="333">
        <f t="shared" si="38"/>
        <v>0</v>
      </c>
      <c r="O25" s="351">
        <f t="shared" si="38"/>
        <v>2</v>
      </c>
      <c r="P25" s="333">
        <f t="shared" si="45"/>
        <v>2</v>
      </c>
      <c r="Q25" s="710">
        <f t="shared" si="39"/>
        <v>16</v>
      </c>
      <c r="R25" s="710">
        <f t="shared" si="39"/>
        <v>42</v>
      </c>
      <c r="S25" s="710">
        <f t="shared" si="39"/>
        <v>44</v>
      </c>
      <c r="T25" s="710">
        <f t="shared" si="39"/>
        <v>22</v>
      </c>
      <c r="U25" s="710">
        <f t="shared" si="39"/>
        <v>5</v>
      </c>
      <c r="V25" s="710">
        <f t="shared" si="39"/>
        <v>131</v>
      </c>
      <c r="W25" s="243"/>
      <c r="X25" s="243"/>
      <c r="Y25" s="243"/>
      <c r="Z25" s="243"/>
      <c r="AA25" s="784" t="s">
        <v>426</v>
      </c>
      <c r="AB25" s="782">
        <f t="shared" ref="AB25:AH25" si="58">IFERROR(VLOOKUP($AA$6&amp;$AA$19&amp;$AC5&amp;$AA$25&amp;AB$7&amp;$AB$6, vw.deaths.demo, 7, FALSE),0)</f>
        <v>2</v>
      </c>
      <c r="AC25" s="782">
        <f t="shared" si="58"/>
        <v>4</v>
      </c>
      <c r="AD25" s="782">
        <f t="shared" si="58"/>
        <v>7</v>
      </c>
      <c r="AE25" s="782">
        <f t="shared" si="58"/>
        <v>3</v>
      </c>
      <c r="AF25" s="782">
        <f t="shared" si="58"/>
        <v>4</v>
      </c>
      <c r="AG25" s="782">
        <f t="shared" si="58"/>
        <v>2</v>
      </c>
      <c r="AH25" s="782">
        <f t="shared" si="58"/>
        <v>22</v>
      </c>
      <c r="AI25" s="782">
        <f t="shared" ref="AI25:AO25" si="59">IFERROR(VLOOKUP($AA$6&amp;$AA$19&amp;$AC5&amp;$AA$25&amp;AI$7&amp;$AI$6, vw.deaths.demo, 7, FALSE),0)</f>
        <v>0</v>
      </c>
      <c r="AJ25" s="782">
        <f t="shared" si="59"/>
        <v>0</v>
      </c>
      <c r="AK25" s="782">
        <f t="shared" si="59"/>
        <v>1</v>
      </c>
      <c r="AL25" s="782">
        <f t="shared" si="59"/>
        <v>0</v>
      </c>
      <c r="AM25" s="782">
        <f t="shared" si="59"/>
        <v>0</v>
      </c>
      <c r="AN25" s="782">
        <f t="shared" si="59"/>
        <v>0</v>
      </c>
      <c r="AO25" s="782">
        <f t="shared" si="59"/>
        <v>2</v>
      </c>
      <c r="AP25" s="782">
        <f t="shared" ref="AP25:AV25" si="60">IFERROR(VLOOKUP($AA$6&amp;$AA$19&amp;$AC$5&amp;$AA$25&amp;AP$7, vw.births.demo, 7, FALSE),0)</f>
        <v>2</v>
      </c>
      <c r="AQ25" s="782">
        <f t="shared" si="60"/>
        <v>16</v>
      </c>
      <c r="AR25" s="782">
        <f t="shared" si="60"/>
        <v>42</v>
      </c>
      <c r="AS25" s="782">
        <f t="shared" si="60"/>
        <v>44</v>
      </c>
      <c r="AT25" s="782">
        <f t="shared" si="60"/>
        <v>22</v>
      </c>
      <c r="AU25" s="782">
        <f t="shared" si="60"/>
        <v>5</v>
      </c>
      <c r="AV25" s="782">
        <f t="shared" si="60"/>
        <v>131</v>
      </c>
      <c r="AW25" s="243"/>
      <c r="AX25" s="243"/>
      <c r="AY25" s="243"/>
      <c r="AZ25" s="243"/>
      <c r="BA25" s="243"/>
      <c r="BB25" s="243"/>
    </row>
    <row r="26" spans="1:65">
      <c r="A26" s="80" t="s">
        <v>105</v>
      </c>
      <c r="B26" s="328"/>
      <c r="C26" s="328"/>
      <c r="D26" s="328"/>
      <c r="E26" s="328"/>
      <c r="F26" s="328"/>
      <c r="G26" s="328"/>
      <c r="H26" s="328"/>
      <c r="I26" s="328"/>
      <c r="J26" s="328"/>
      <c r="K26" s="328"/>
      <c r="L26" s="328"/>
      <c r="M26" s="328"/>
      <c r="N26" s="328"/>
      <c r="O26" s="328"/>
      <c r="P26" s="328"/>
      <c r="Q26" s="790"/>
      <c r="R26" s="790"/>
      <c r="S26" s="790"/>
      <c r="T26" s="790"/>
      <c r="U26" s="790"/>
      <c r="V26" s="790"/>
      <c r="AA26" s="784" t="s">
        <v>135</v>
      </c>
      <c r="AB26" s="782"/>
      <c r="AC26" s="782"/>
      <c r="AD26" s="782"/>
      <c r="AE26" s="782"/>
      <c r="AF26" s="782"/>
      <c r="AG26" s="782"/>
      <c r="AH26" s="782"/>
      <c r="AI26" s="782"/>
      <c r="AJ26" s="782"/>
      <c r="AK26" s="782"/>
      <c r="AL26" s="782"/>
      <c r="AM26" s="782"/>
      <c r="AN26" s="782"/>
      <c r="AO26" s="782"/>
      <c r="AP26" s="782"/>
      <c r="AQ26" s="782"/>
      <c r="AR26" s="782"/>
      <c r="AS26" s="782"/>
      <c r="AT26" s="782"/>
      <c r="AU26" s="782"/>
      <c r="AV26" s="782"/>
      <c r="BC26" s="167"/>
      <c r="BD26" s="167"/>
      <c r="BE26" s="167"/>
      <c r="BF26" s="167"/>
      <c r="BG26" s="167"/>
      <c r="BH26" s="167"/>
      <c r="BI26" s="167"/>
      <c r="BJ26" s="167"/>
      <c r="BK26" s="167"/>
      <c r="BL26" s="167"/>
      <c r="BM26" s="167"/>
    </row>
    <row r="27" spans="1:65">
      <c r="A27" s="404" t="s">
        <v>375</v>
      </c>
      <c r="B27" s="333">
        <f>AB27</f>
        <v>20</v>
      </c>
      <c r="C27" s="333">
        <f t="shared" ref="C27:H32" si="61">AC27</f>
        <v>32</v>
      </c>
      <c r="D27" s="333">
        <f t="shared" si="61"/>
        <v>66</v>
      </c>
      <c r="E27" s="333">
        <f t="shared" si="61"/>
        <v>64</v>
      </c>
      <c r="F27" s="333">
        <f t="shared" si="61"/>
        <v>37</v>
      </c>
      <c r="G27" s="333">
        <f t="shared" si="61"/>
        <v>8</v>
      </c>
      <c r="H27" s="351">
        <f t="shared" si="61"/>
        <v>227</v>
      </c>
      <c r="I27" s="333">
        <f>AI27</f>
        <v>9</v>
      </c>
      <c r="J27" s="333">
        <f t="shared" ref="J27:O32" si="62">AJ27</f>
        <v>25</v>
      </c>
      <c r="K27" s="333">
        <f t="shared" si="62"/>
        <v>23</v>
      </c>
      <c r="L27" s="333">
        <f t="shared" si="62"/>
        <v>27</v>
      </c>
      <c r="M27" s="333">
        <f t="shared" si="62"/>
        <v>6</v>
      </c>
      <c r="N27" s="333">
        <f t="shared" si="62"/>
        <v>6</v>
      </c>
      <c r="O27" s="351">
        <f t="shared" si="62"/>
        <v>96</v>
      </c>
      <c r="P27" s="416">
        <f>AP27</f>
        <v>22</v>
      </c>
      <c r="Q27" s="476">
        <f t="shared" ref="Q27:V32" si="63">AQ27</f>
        <v>51</v>
      </c>
      <c r="R27" s="476">
        <f t="shared" si="63"/>
        <v>66</v>
      </c>
      <c r="S27" s="476">
        <f t="shared" si="63"/>
        <v>61</v>
      </c>
      <c r="T27" s="476">
        <f t="shared" si="63"/>
        <v>44</v>
      </c>
      <c r="U27" s="476">
        <f t="shared" si="63"/>
        <v>16</v>
      </c>
      <c r="V27" s="476">
        <f t="shared" si="63"/>
        <v>260</v>
      </c>
      <c r="AA27" s="784" t="s">
        <v>375</v>
      </c>
      <c r="AB27" s="782">
        <f t="shared" ref="AB27:AH27" si="64">VLOOKUP($AA$6&amp;$AA$26&amp;$AC5&amp;$AA$27&amp;AB$7&amp;$AB$6, vw.deaths.demo, 7, FALSE)</f>
        <v>20</v>
      </c>
      <c r="AC27" s="782">
        <f t="shared" si="64"/>
        <v>32</v>
      </c>
      <c r="AD27" s="782">
        <f t="shared" si="64"/>
        <v>66</v>
      </c>
      <c r="AE27" s="782">
        <f t="shared" si="64"/>
        <v>64</v>
      </c>
      <c r="AF27" s="782">
        <f t="shared" si="64"/>
        <v>37</v>
      </c>
      <c r="AG27" s="782">
        <f t="shared" si="64"/>
        <v>8</v>
      </c>
      <c r="AH27" s="782">
        <f t="shared" si="64"/>
        <v>227</v>
      </c>
      <c r="AI27" s="782">
        <f t="shared" ref="AI27:AO27" si="65">VLOOKUP($AA$6&amp;$AA$26&amp;$AC5&amp;$AA$27&amp;AI$7&amp;$AI$6, vw.deaths.demo, 7, FALSE)</f>
        <v>9</v>
      </c>
      <c r="AJ27" s="782">
        <f t="shared" si="65"/>
        <v>25</v>
      </c>
      <c r="AK27" s="782">
        <f t="shared" si="65"/>
        <v>23</v>
      </c>
      <c r="AL27" s="782">
        <f t="shared" si="65"/>
        <v>27</v>
      </c>
      <c r="AM27" s="782">
        <f t="shared" si="65"/>
        <v>6</v>
      </c>
      <c r="AN27" s="782">
        <f t="shared" si="65"/>
        <v>6</v>
      </c>
      <c r="AO27" s="782">
        <f t="shared" si="65"/>
        <v>96</v>
      </c>
      <c r="AP27" s="782">
        <f t="shared" ref="AP27:AV27" si="66">VLOOKUP($AA$6&amp;$AA$26&amp;$AC$5&amp;$AA$27&amp;AP$7, vw.births.demo, 7, FALSE)</f>
        <v>22</v>
      </c>
      <c r="AQ27" s="782">
        <f t="shared" si="66"/>
        <v>51</v>
      </c>
      <c r="AR27" s="782">
        <f t="shared" si="66"/>
        <v>66</v>
      </c>
      <c r="AS27" s="782">
        <f t="shared" si="66"/>
        <v>61</v>
      </c>
      <c r="AT27" s="782">
        <f t="shared" si="66"/>
        <v>44</v>
      </c>
      <c r="AU27" s="782">
        <f t="shared" si="66"/>
        <v>16</v>
      </c>
      <c r="AV27" s="782">
        <f t="shared" si="66"/>
        <v>260</v>
      </c>
      <c r="BC27" s="167"/>
      <c r="BD27" s="167"/>
      <c r="BE27" s="167"/>
      <c r="BF27" s="167"/>
      <c r="BG27" s="167"/>
      <c r="BH27" s="167"/>
      <c r="BI27" s="167"/>
      <c r="BJ27" s="167"/>
      <c r="BK27" s="167"/>
      <c r="BL27" s="167"/>
      <c r="BM27" s="167"/>
    </row>
    <row r="28" spans="1:65" s="397" customFormat="1">
      <c r="A28" s="404" t="s">
        <v>376</v>
      </c>
      <c r="B28" s="333">
        <f t="shared" ref="B28:B32" si="67">AB28</f>
        <v>1</v>
      </c>
      <c r="C28" s="333">
        <f t="shared" si="61"/>
        <v>6</v>
      </c>
      <c r="D28" s="333">
        <f t="shared" si="61"/>
        <v>10</v>
      </c>
      <c r="E28" s="333">
        <f t="shared" si="61"/>
        <v>11</v>
      </c>
      <c r="F28" s="333">
        <f t="shared" si="61"/>
        <v>8</v>
      </c>
      <c r="G28" s="333">
        <f t="shared" si="61"/>
        <v>2</v>
      </c>
      <c r="H28" s="351">
        <f t="shared" si="61"/>
        <v>38</v>
      </c>
      <c r="I28" s="333">
        <f t="shared" ref="I28:I32" si="68">AI28</f>
        <v>2</v>
      </c>
      <c r="J28" s="333">
        <f t="shared" si="62"/>
        <v>1</v>
      </c>
      <c r="K28" s="333">
        <f t="shared" si="62"/>
        <v>3</v>
      </c>
      <c r="L28" s="333">
        <f t="shared" si="62"/>
        <v>2</v>
      </c>
      <c r="M28" s="333">
        <f t="shared" si="62"/>
        <v>4</v>
      </c>
      <c r="N28" s="333">
        <f t="shared" si="62"/>
        <v>2</v>
      </c>
      <c r="O28" s="351">
        <f t="shared" si="62"/>
        <v>14</v>
      </c>
      <c r="P28" s="416">
        <f t="shared" ref="P28:P32" si="69">AP28</f>
        <v>24</v>
      </c>
      <c r="Q28" s="476">
        <f t="shared" si="63"/>
        <v>66</v>
      </c>
      <c r="R28" s="476">
        <f t="shared" si="63"/>
        <v>105</v>
      </c>
      <c r="S28" s="476">
        <f t="shared" si="63"/>
        <v>132</v>
      </c>
      <c r="T28" s="476">
        <f t="shared" si="63"/>
        <v>70</v>
      </c>
      <c r="U28" s="476">
        <f t="shared" si="63"/>
        <v>20</v>
      </c>
      <c r="V28" s="476">
        <f t="shared" si="63"/>
        <v>417</v>
      </c>
      <c r="W28" s="245"/>
      <c r="X28" s="245"/>
      <c r="Y28" s="245"/>
      <c r="Z28" s="245"/>
      <c r="AA28" s="784" t="s">
        <v>395</v>
      </c>
      <c r="AB28" s="782">
        <f t="shared" ref="AB28:AH28" si="70">VLOOKUP($AA$6&amp;$AA$26&amp;$AC5&amp;$AA$28&amp;AB$7&amp;$AB$6, vw.deaths.demo, 7, FALSE)</f>
        <v>1</v>
      </c>
      <c r="AC28" s="782">
        <f t="shared" si="70"/>
        <v>6</v>
      </c>
      <c r="AD28" s="782">
        <f t="shared" si="70"/>
        <v>10</v>
      </c>
      <c r="AE28" s="782">
        <f t="shared" si="70"/>
        <v>11</v>
      </c>
      <c r="AF28" s="782">
        <f t="shared" si="70"/>
        <v>8</v>
      </c>
      <c r="AG28" s="782">
        <f t="shared" si="70"/>
        <v>2</v>
      </c>
      <c r="AH28" s="782">
        <f t="shared" si="70"/>
        <v>38</v>
      </c>
      <c r="AI28" s="782">
        <f t="shared" ref="AI28:AO28" si="71">VLOOKUP($AA$6&amp;$AA$26&amp;$AC5&amp;$AA$28&amp;AI$7&amp;$AI$6, vw.deaths.demo, 7, FALSE)</f>
        <v>2</v>
      </c>
      <c r="AJ28" s="782">
        <f t="shared" si="71"/>
        <v>1</v>
      </c>
      <c r="AK28" s="782">
        <f t="shared" si="71"/>
        <v>3</v>
      </c>
      <c r="AL28" s="782">
        <f t="shared" si="71"/>
        <v>2</v>
      </c>
      <c r="AM28" s="782">
        <f t="shared" si="71"/>
        <v>4</v>
      </c>
      <c r="AN28" s="782">
        <f t="shared" si="71"/>
        <v>2</v>
      </c>
      <c r="AO28" s="782">
        <f t="shared" si="71"/>
        <v>14</v>
      </c>
      <c r="AP28" s="782">
        <f t="shared" ref="AP28:AV28" si="72">VLOOKUP($AA$6&amp;$AA$26&amp;$AC$5&amp;$AA$28&amp;AP$7, vw.births.demo, 7, FALSE)</f>
        <v>24</v>
      </c>
      <c r="AQ28" s="782">
        <f t="shared" si="72"/>
        <v>66</v>
      </c>
      <c r="AR28" s="782">
        <f t="shared" si="72"/>
        <v>105</v>
      </c>
      <c r="AS28" s="782">
        <f t="shared" si="72"/>
        <v>132</v>
      </c>
      <c r="AT28" s="782">
        <f t="shared" si="72"/>
        <v>70</v>
      </c>
      <c r="AU28" s="782">
        <f t="shared" si="72"/>
        <v>20</v>
      </c>
      <c r="AV28" s="782">
        <f t="shared" si="72"/>
        <v>417</v>
      </c>
      <c r="AW28" s="245"/>
      <c r="AX28" s="245"/>
      <c r="AY28" s="245"/>
      <c r="AZ28" s="245"/>
      <c r="BA28" s="245"/>
      <c r="BB28" s="245"/>
    </row>
    <row r="29" spans="1:65">
      <c r="A29" s="49" t="s">
        <v>64</v>
      </c>
      <c r="B29" s="333">
        <f t="shared" si="67"/>
        <v>7</v>
      </c>
      <c r="C29" s="333">
        <f t="shared" si="61"/>
        <v>13</v>
      </c>
      <c r="D29" s="333">
        <f t="shared" si="61"/>
        <v>8</v>
      </c>
      <c r="E29" s="333">
        <f t="shared" si="61"/>
        <v>18</v>
      </c>
      <c r="F29" s="333">
        <f t="shared" si="61"/>
        <v>9</v>
      </c>
      <c r="G29" s="333">
        <f t="shared" si="61"/>
        <v>1</v>
      </c>
      <c r="H29" s="351">
        <f t="shared" si="61"/>
        <v>56</v>
      </c>
      <c r="I29" s="333">
        <f t="shared" si="68"/>
        <v>2</v>
      </c>
      <c r="J29" s="333">
        <f t="shared" si="62"/>
        <v>8</v>
      </c>
      <c r="K29" s="333">
        <f t="shared" si="62"/>
        <v>4</v>
      </c>
      <c r="L29" s="333">
        <f t="shared" si="62"/>
        <v>6</v>
      </c>
      <c r="M29" s="333">
        <f t="shared" si="62"/>
        <v>1</v>
      </c>
      <c r="N29" s="333">
        <f t="shared" si="62"/>
        <v>2</v>
      </c>
      <c r="O29" s="351">
        <f t="shared" si="62"/>
        <v>23</v>
      </c>
      <c r="P29" s="416">
        <f t="shared" si="69"/>
        <v>189</v>
      </c>
      <c r="Q29" s="476">
        <f t="shared" si="63"/>
        <v>604</v>
      </c>
      <c r="R29" s="476">
        <f t="shared" si="63"/>
        <v>991</v>
      </c>
      <c r="S29" s="476">
        <f t="shared" si="63"/>
        <v>1113</v>
      </c>
      <c r="T29" s="476">
        <f t="shared" si="63"/>
        <v>683</v>
      </c>
      <c r="U29" s="476">
        <f t="shared" si="63"/>
        <v>234</v>
      </c>
      <c r="V29" s="476">
        <f t="shared" si="63"/>
        <v>3814</v>
      </c>
      <c r="AA29" s="784" t="s">
        <v>136</v>
      </c>
      <c r="AB29" s="782">
        <f t="shared" ref="AB29:AH29" si="73">VLOOKUP($AA$6&amp;$AA$26&amp;$AC5&amp;$AA$29&amp;AB$7&amp;$AB$6, vw.deaths.demo, 7, FALSE)</f>
        <v>7</v>
      </c>
      <c r="AC29" s="782">
        <f t="shared" si="73"/>
        <v>13</v>
      </c>
      <c r="AD29" s="782">
        <f t="shared" si="73"/>
        <v>8</v>
      </c>
      <c r="AE29" s="782">
        <f t="shared" si="73"/>
        <v>18</v>
      </c>
      <c r="AF29" s="782">
        <f t="shared" si="73"/>
        <v>9</v>
      </c>
      <c r="AG29" s="782">
        <f t="shared" si="73"/>
        <v>1</v>
      </c>
      <c r="AH29" s="782">
        <f t="shared" si="73"/>
        <v>56</v>
      </c>
      <c r="AI29" s="782">
        <f t="shared" ref="AI29:AO29" si="74">VLOOKUP($AA$6&amp;$AA$26&amp;$AC5&amp;$AA$29&amp;AI$7&amp;$AI$6, vw.deaths.demo, 7, FALSE)</f>
        <v>2</v>
      </c>
      <c r="AJ29" s="782">
        <f t="shared" si="74"/>
        <v>8</v>
      </c>
      <c r="AK29" s="782">
        <f t="shared" si="74"/>
        <v>4</v>
      </c>
      <c r="AL29" s="782">
        <f t="shared" si="74"/>
        <v>6</v>
      </c>
      <c r="AM29" s="782">
        <f t="shared" si="74"/>
        <v>1</v>
      </c>
      <c r="AN29" s="782">
        <f t="shared" si="74"/>
        <v>2</v>
      </c>
      <c r="AO29" s="782">
        <f t="shared" si="74"/>
        <v>23</v>
      </c>
      <c r="AP29" s="782">
        <f t="shared" ref="AP29:AV29" si="75">VLOOKUP($AA$6&amp;$AA$26&amp;$AC$5&amp;$AA$29&amp;AP$7, vw.births.demo, 7, FALSE)</f>
        <v>189</v>
      </c>
      <c r="AQ29" s="782">
        <f t="shared" si="75"/>
        <v>604</v>
      </c>
      <c r="AR29" s="782">
        <f t="shared" si="75"/>
        <v>991</v>
      </c>
      <c r="AS29" s="782">
        <f t="shared" si="75"/>
        <v>1113</v>
      </c>
      <c r="AT29" s="782">
        <f t="shared" si="75"/>
        <v>683</v>
      </c>
      <c r="AU29" s="782">
        <f t="shared" si="75"/>
        <v>234</v>
      </c>
      <c r="AV29" s="782">
        <f t="shared" si="75"/>
        <v>3814</v>
      </c>
      <c r="BC29" s="167"/>
      <c r="BD29" s="167"/>
      <c r="BE29" s="167"/>
      <c r="BF29" s="167"/>
      <c r="BG29" s="167"/>
      <c r="BH29" s="167"/>
      <c r="BI29" s="167"/>
      <c r="BJ29" s="167"/>
      <c r="BK29" s="167"/>
      <c r="BL29" s="167"/>
      <c r="BM29" s="167"/>
    </row>
    <row r="30" spans="1:65">
      <c r="A30" s="49" t="s">
        <v>65</v>
      </c>
      <c r="B30" s="333">
        <f t="shared" si="67"/>
        <v>7</v>
      </c>
      <c r="C30" s="333">
        <f t="shared" si="61"/>
        <v>20</v>
      </c>
      <c r="D30" s="333">
        <f t="shared" si="61"/>
        <v>18</v>
      </c>
      <c r="E30" s="333">
        <f t="shared" si="61"/>
        <v>21</v>
      </c>
      <c r="F30" s="333">
        <f t="shared" si="61"/>
        <v>15</v>
      </c>
      <c r="G30" s="333">
        <f t="shared" si="61"/>
        <v>5</v>
      </c>
      <c r="H30" s="351">
        <f t="shared" si="61"/>
        <v>86</v>
      </c>
      <c r="I30" s="333">
        <f t="shared" si="68"/>
        <v>9</v>
      </c>
      <c r="J30" s="333">
        <f t="shared" si="62"/>
        <v>22</v>
      </c>
      <c r="K30" s="333">
        <f t="shared" si="62"/>
        <v>20</v>
      </c>
      <c r="L30" s="333">
        <f t="shared" si="62"/>
        <v>21</v>
      </c>
      <c r="M30" s="333">
        <f t="shared" si="62"/>
        <v>15</v>
      </c>
      <c r="N30" s="333">
        <f t="shared" si="62"/>
        <v>4</v>
      </c>
      <c r="O30" s="351">
        <f t="shared" si="62"/>
        <v>91</v>
      </c>
      <c r="P30" s="416">
        <f t="shared" si="69"/>
        <v>2277</v>
      </c>
      <c r="Q30" s="476">
        <f t="shared" si="63"/>
        <v>9027</v>
      </c>
      <c r="R30" s="476">
        <f t="shared" si="63"/>
        <v>15201</v>
      </c>
      <c r="S30" s="476">
        <f t="shared" si="63"/>
        <v>17088</v>
      </c>
      <c r="T30" s="476">
        <f t="shared" si="63"/>
        <v>9143</v>
      </c>
      <c r="U30" s="476">
        <f t="shared" si="63"/>
        <v>2163</v>
      </c>
      <c r="V30" s="476">
        <f t="shared" si="63"/>
        <v>54899</v>
      </c>
      <c r="AA30" s="795" t="s">
        <v>137</v>
      </c>
      <c r="AB30" s="782">
        <f t="shared" ref="AB30:AH30" si="76">VLOOKUP($AA$6&amp;$AA$26&amp;$AC5&amp;$AA$30&amp;AB$7&amp;$AB$6, vw.deaths.demo, 7, FALSE)</f>
        <v>7</v>
      </c>
      <c r="AC30" s="782">
        <f t="shared" si="76"/>
        <v>20</v>
      </c>
      <c r="AD30" s="782">
        <f t="shared" si="76"/>
        <v>18</v>
      </c>
      <c r="AE30" s="782">
        <f t="shared" si="76"/>
        <v>21</v>
      </c>
      <c r="AF30" s="782">
        <f t="shared" si="76"/>
        <v>15</v>
      </c>
      <c r="AG30" s="782">
        <f t="shared" si="76"/>
        <v>5</v>
      </c>
      <c r="AH30" s="782">
        <f t="shared" si="76"/>
        <v>86</v>
      </c>
      <c r="AI30" s="782">
        <f t="shared" ref="AI30:AO30" si="77">VLOOKUP($AA$6&amp;$AA$26&amp;$AC5&amp;$AA$30&amp;AI$7&amp;$AI$6, vw.deaths.demo, 7, FALSE)</f>
        <v>9</v>
      </c>
      <c r="AJ30" s="782">
        <f t="shared" si="77"/>
        <v>22</v>
      </c>
      <c r="AK30" s="782">
        <f t="shared" si="77"/>
        <v>20</v>
      </c>
      <c r="AL30" s="782">
        <f t="shared" si="77"/>
        <v>21</v>
      </c>
      <c r="AM30" s="782">
        <f t="shared" si="77"/>
        <v>15</v>
      </c>
      <c r="AN30" s="782">
        <f t="shared" si="77"/>
        <v>4</v>
      </c>
      <c r="AO30" s="782">
        <f t="shared" si="77"/>
        <v>91</v>
      </c>
      <c r="AP30" s="782">
        <f t="shared" ref="AP30:AV30" si="78">VLOOKUP($AA$6&amp;$AA$26&amp;$AC$5&amp;$AA$30&amp;AP$7, vw.births.demo, 7, FALSE)</f>
        <v>2277</v>
      </c>
      <c r="AQ30" s="782">
        <f t="shared" si="78"/>
        <v>9027</v>
      </c>
      <c r="AR30" s="782">
        <f t="shared" si="78"/>
        <v>15201</v>
      </c>
      <c r="AS30" s="782">
        <f t="shared" si="78"/>
        <v>17088</v>
      </c>
      <c r="AT30" s="782">
        <f t="shared" si="78"/>
        <v>9143</v>
      </c>
      <c r="AU30" s="782">
        <f t="shared" si="78"/>
        <v>2163</v>
      </c>
      <c r="AV30" s="782">
        <f t="shared" si="78"/>
        <v>54899</v>
      </c>
      <c r="BC30" s="167"/>
      <c r="BD30" s="167"/>
      <c r="BE30" s="167"/>
      <c r="BF30" s="167"/>
      <c r="BG30" s="167"/>
      <c r="BH30" s="167"/>
      <c r="BI30" s="167"/>
      <c r="BJ30" s="167"/>
      <c r="BK30" s="167"/>
      <c r="BL30" s="167"/>
      <c r="BM30" s="167"/>
    </row>
    <row r="31" spans="1:65">
      <c r="A31" s="49" t="s">
        <v>66</v>
      </c>
      <c r="B31" s="333">
        <f t="shared" si="67"/>
        <v>0</v>
      </c>
      <c r="C31" s="333">
        <f t="shared" si="61"/>
        <v>0</v>
      </c>
      <c r="D31" s="333">
        <f t="shared" si="61"/>
        <v>0</v>
      </c>
      <c r="E31" s="333">
        <f t="shared" si="61"/>
        <v>0</v>
      </c>
      <c r="F31" s="333">
        <f t="shared" si="61"/>
        <v>0</v>
      </c>
      <c r="G31" s="333">
        <f t="shared" si="61"/>
        <v>0</v>
      </c>
      <c r="H31" s="351">
        <f t="shared" si="61"/>
        <v>0</v>
      </c>
      <c r="I31" s="333">
        <f t="shared" si="68"/>
        <v>3</v>
      </c>
      <c r="J31" s="333">
        <f t="shared" si="62"/>
        <v>0</v>
      </c>
      <c r="K31" s="333">
        <f t="shared" si="62"/>
        <v>1</v>
      </c>
      <c r="L31" s="333">
        <f t="shared" si="62"/>
        <v>0</v>
      </c>
      <c r="M31" s="333">
        <f t="shared" si="62"/>
        <v>0</v>
      </c>
      <c r="N31" s="333">
        <f t="shared" si="62"/>
        <v>0</v>
      </c>
      <c r="O31" s="351">
        <f t="shared" si="62"/>
        <v>4</v>
      </c>
      <c r="P31" s="416">
        <f t="shared" si="69"/>
        <v>45</v>
      </c>
      <c r="Q31" s="476">
        <f t="shared" si="63"/>
        <v>180</v>
      </c>
      <c r="R31" s="476">
        <f t="shared" si="63"/>
        <v>294</v>
      </c>
      <c r="S31" s="476">
        <f t="shared" si="63"/>
        <v>318</v>
      </c>
      <c r="T31" s="476">
        <f t="shared" si="63"/>
        <v>162</v>
      </c>
      <c r="U31" s="476">
        <f t="shared" si="63"/>
        <v>18</v>
      </c>
      <c r="V31" s="476">
        <f t="shared" si="63"/>
        <v>1017</v>
      </c>
      <c r="AA31" s="784" t="s">
        <v>138</v>
      </c>
      <c r="AB31" s="782">
        <f t="shared" ref="AB31:AH31" si="79">VLOOKUP($AA$6&amp;$AA$26&amp;$AC5&amp;$AA$31&amp;AB$7&amp;$AB$6, vw.deaths.demo, 7, FALSE)</f>
        <v>0</v>
      </c>
      <c r="AC31" s="782">
        <f t="shared" si="79"/>
        <v>0</v>
      </c>
      <c r="AD31" s="782">
        <f t="shared" si="79"/>
        <v>0</v>
      </c>
      <c r="AE31" s="782">
        <f t="shared" si="79"/>
        <v>0</v>
      </c>
      <c r="AF31" s="782">
        <f t="shared" si="79"/>
        <v>0</v>
      </c>
      <c r="AG31" s="782">
        <f t="shared" si="79"/>
        <v>0</v>
      </c>
      <c r="AH31" s="782">
        <f t="shared" si="79"/>
        <v>0</v>
      </c>
      <c r="AI31" s="782">
        <f t="shared" ref="AI31:AO31" si="80">VLOOKUP($AA$6&amp;$AA$26&amp;$AC5&amp;$AA$31&amp;AI$7&amp;$AI$6, vw.deaths.demo, 7, FALSE)</f>
        <v>3</v>
      </c>
      <c r="AJ31" s="782">
        <f t="shared" si="80"/>
        <v>0</v>
      </c>
      <c r="AK31" s="782">
        <f t="shared" si="80"/>
        <v>1</v>
      </c>
      <c r="AL31" s="782">
        <f t="shared" si="80"/>
        <v>0</v>
      </c>
      <c r="AM31" s="782">
        <f t="shared" si="80"/>
        <v>0</v>
      </c>
      <c r="AN31" s="782">
        <f t="shared" si="80"/>
        <v>0</v>
      </c>
      <c r="AO31" s="782">
        <f t="shared" si="80"/>
        <v>4</v>
      </c>
      <c r="AP31" s="782">
        <f t="shared" ref="AP31:AV31" si="81">VLOOKUP($AA$6&amp;$AA$26&amp;$AC$5&amp;$AA$31&amp;AP$7, vw.births.demo, 7, FALSE)</f>
        <v>45</v>
      </c>
      <c r="AQ31" s="782">
        <f t="shared" si="81"/>
        <v>180</v>
      </c>
      <c r="AR31" s="782">
        <f t="shared" si="81"/>
        <v>294</v>
      </c>
      <c r="AS31" s="782">
        <f t="shared" si="81"/>
        <v>318</v>
      </c>
      <c r="AT31" s="782">
        <f t="shared" si="81"/>
        <v>162</v>
      </c>
      <c r="AU31" s="782">
        <f t="shared" si="81"/>
        <v>18</v>
      </c>
      <c r="AV31" s="782">
        <f t="shared" si="81"/>
        <v>1017</v>
      </c>
      <c r="BC31" s="167"/>
      <c r="BD31" s="167"/>
      <c r="BE31" s="167"/>
      <c r="BF31" s="167"/>
      <c r="BG31" s="167"/>
      <c r="BH31" s="167"/>
      <c r="BI31" s="167"/>
      <c r="BJ31" s="167"/>
      <c r="BK31" s="167"/>
      <c r="BL31" s="167"/>
      <c r="BM31" s="167"/>
    </row>
    <row r="32" spans="1:65">
      <c r="A32" s="49" t="s">
        <v>63</v>
      </c>
      <c r="B32" s="333">
        <f t="shared" si="67"/>
        <v>1</v>
      </c>
      <c r="C32" s="333">
        <f t="shared" si="61"/>
        <v>2</v>
      </c>
      <c r="D32" s="333">
        <f t="shared" si="61"/>
        <v>1</v>
      </c>
      <c r="E32" s="333">
        <f t="shared" si="61"/>
        <v>1</v>
      </c>
      <c r="F32" s="333">
        <f t="shared" si="61"/>
        <v>1</v>
      </c>
      <c r="G32" s="333">
        <f t="shared" si="61"/>
        <v>0</v>
      </c>
      <c r="H32" s="351">
        <f t="shared" si="61"/>
        <v>6</v>
      </c>
      <c r="I32" s="333">
        <f t="shared" si="68"/>
        <v>2</v>
      </c>
      <c r="J32" s="333">
        <f t="shared" si="62"/>
        <v>5</v>
      </c>
      <c r="K32" s="333">
        <f t="shared" si="62"/>
        <v>1</v>
      </c>
      <c r="L32" s="333">
        <f t="shared" si="62"/>
        <v>3</v>
      </c>
      <c r="M32" s="333">
        <f t="shared" si="62"/>
        <v>0</v>
      </c>
      <c r="N32" s="333">
        <f t="shared" si="62"/>
        <v>1</v>
      </c>
      <c r="O32" s="351">
        <f t="shared" si="62"/>
        <v>13</v>
      </c>
      <c r="P32" s="416">
        <f t="shared" si="69"/>
        <v>2</v>
      </c>
      <c r="Q32" s="476">
        <f t="shared" si="63"/>
        <v>6</v>
      </c>
      <c r="R32" s="476">
        <f t="shared" si="63"/>
        <v>7</v>
      </c>
      <c r="S32" s="476">
        <f t="shared" si="63"/>
        <v>8</v>
      </c>
      <c r="T32" s="476">
        <f t="shared" si="63"/>
        <v>3</v>
      </c>
      <c r="U32" s="476">
        <f t="shared" si="63"/>
        <v>3</v>
      </c>
      <c r="V32" s="476">
        <f t="shared" si="63"/>
        <v>29</v>
      </c>
      <c r="AA32" s="784" t="s">
        <v>63</v>
      </c>
      <c r="AB32" s="782">
        <f t="shared" ref="AB32:AH32" si="82">IFERROR(VLOOKUP($AA$6&amp;$AA$26&amp;$AC5&amp;$AA$32&amp;AB$7&amp;$AB$6, vw.deaths.demo, 7, FALSE),0)</f>
        <v>1</v>
      </c>
      <c r="AC32" s="782">
        <f t="shared" si="82"/>
        <v>2</v>
      </c>
      <c r="AD32" s="782">
        <f t="shared" si="82"/>
        <v>1</v>
      </c>
      <c r="AE32" s="782">
        <f t="shared" si="82"/>
        <v>1</v>
      </c>
      <c r="AF32" s="782">
        <f t="shared" si="82"/>
        <v>1</v>
      </c>
      <c r="AG32" s="782">
        <f t="shared" si="82"/>
        <v>0</v>
      </c>
      <c r="AH32" s="782">
        <f t="shared" si="82"/>
        <v>6</v>
      </c>
      <c r="AI32" s="782">
        <f t="shared" ref="AI32:AO32" si="83">IFERROR(VLOOKUP($AA$6&amp;$AA$26&amp;$AC5&amp;$AA$32&amp;AI$7&amp;$AI$6, vw.deaths.demo, 7, FALSE),0)</f>
        <v>2</v>
      </c>
      <c r="AJ32" s="782">
        <f t="shared" si="83"/>
        <v>5</v>
      </c>
      <c r="AK32" s="782">
        <f t="shared" si="83"/>
        <v>1</v>
      </c>
      <c r="AL32" s="782">
        <f t="shared" si="83"/>
        <v>3</v>
      </c>
      <c r="AM32" s="782">
        <f t="shared" si="83"/>
        <v>0</v>
      </c>
      <c r="AN32" s="782">
        <f t="shared" si="83"/>
        <v>1</v>
      </c>
      <c r="AO32" s="782">
        <f t="shared" si="83"/>
        <v>13</v>
      </c>
      <c r="AP32" s="782">
        <f t="shared" ref="AP32:AV32" si="84">IFERROR(VLOOKUP($AA$6&amp;$AA$26&amp;$AC$5&amp;$AA$32&amp;AP$7, vw.births.demo, 7, FALSE),0)</f>
        <v>2</v>
      </c>
      <c r="AQ32" s="782">
        <f t="shared" si="84"/>
        <v>6</v>
      </c>
      <c r="AR32" s="782">
        <f t="shared" si="84"/>
        <v>7</v>
      </c>
      <c r="AS32" s="782">
        <f t="shared" si="84"/>
        <v>8</v>
      </c>
      <c r="AT32" s="782">
        <f t="shared" si="84"/>
        <v>3</v>
      </c>
      <c r="AU32" s="782">
        <f t="shared" si="84"/>
        <v>3</v>
      </c>
      <c r="AV32" s="782">
        <f t="shared" si="84"/>
        <v>29</v>
      </c>
      <c r="BC32" s="167"/>
      <c r="BD32" s="167"/>
      <c r="BE32" s="167"/>
      <c r="BF32" s="167"/>
      <c r="BG32" s="167"/>
      <c r="BH32" s="167"/>
      <c r="BI32" s="167"/>
      <c r="BJ32" s="167"/>
      <c r="BK32" s="167"/>
      <c r="BL32" s="167"/>
      <c r="BM32" s="167"/>
    </row>
    <row r="33" spans="1:65">
      <c r="A33" s="80" t="s">
        <v>1</v>
      </c>
      <c r="B33" s="328"/>
      <c r="C33" s="328"/>
      <c r="D33" s="328"/>
      <c r="E33" s="328"/>
      <c r="F33" s="328"/>
      <c r="G33" s="328"/>
      <c r="H33" s="328"/>
      <c r="I33" s="328"/>
      <c r="J33" s="328"/>
      <c r="K33" s="328"/>
      <c r="L33" s="328"/>
      <c r="M33" s="328"/>
      <c r="N33" s="328"/>
      <c r="O33" s="328"/>
      <c r="P33" s="328"/>
      <c r="Q33" s="790"/>
      <c r="R33" s="790"/>
      <c r="S33" s="790"/>
      <c r="T33" s="790"/>
      <c r="U33" s="790"/>
      <c r="V33" s="790"/>
      <c r="AA33" s="784" t="s">
        <v>464</v>
      </c>
      <c r="AB33" s="782"/>
      <c r="AC33" s="782"/>
      <c r="AD33" s="782"/>
      <c r="AE33" s="782"/>
      <c r="AF33" s="782"/>
      <c r="AG33" s="782"/>
      <c r="AH33" s="782"/>
      <c r="AI33" s="782"/>
      <c r="AJ33" s="782"/>
      <c r="AK33" s="782"/>
      <c r="AL33" s="782"/>
      <c r="AM33" s="782"/>
      <c r="AN33" s="782"/>
      <c r="AO33" s="782"/>
      <c r="AP33" s="782"/>
      <c r="AQ33" s="782"/>
      <c r="AR33" s="782"/>
      <c r="AS33" s="782"/>
      <c r="AT33" s="782"/>
      <c r="AU33" s="782"/>
      <c r="AV33" s="782"/>
      <c r="BC33" s="167"/>
      <c r="BD33" s="167"/>
      <c r="BE33" s="167"/>
      <c r="BF33" s="167"/>
      <c r="BG33" s="167"/>
      <c r="BH33" s="167"/>
      <c r="BI33" s="167"/>
      <c r="BJ33" s="167"/>
      <c r="BK33" s="167"/>
      <c r="BL33" s="167"/>
      <c r="BM33" s="167"/>
    </row>
    <row r="34" spans="1:65" s="77" customFormat="1">
      <c r="A34" s="404" t="s">
        <v>378</v>
      </c>
      <c r="B34" s="415">
        <f>AB34</f>
        <v>11</v>
      </c>
      <c r="C34" s="415">
        <f t="shared" ref="C34:H40" si="85">AC34</f>
        <v>23</v>
      </c>
      <c r="D34" s="415">
        <f t="shared" si="85"/>
        <v>40</v>
      </c>
      <c r="E34" s="415">
        <f t="shared" si="85"/>
        <v>43</v>
      </c>
      <c r="F34" s="415">
        <f t="shared" si="85"/>
        <v>20</v>
      </c>
      <c r="G34" s="415">
        <f t="shared" si="85"/>
        <v>4</v>
      </c>
      <c r="H34" s="351">
        <f t="shared" si="85"/>
        <v>141</v>
      </c>
      <c r="I34" s="425">
        <f>AI34</f>
        <v>2</v>
      </c>
      <c r="J34" s="425">
        <f t="shared" ref="J34:O40" si="86">AJ34</f>
        <v>11</v>
      </c>
      <c r="K34" s="425">
        <f t="shared" si="86"/>
        <v>7</v>
      </c>
      <c r="L34" s="425">
        <f t="shared" si="86"/>
        <v>12</v>
      </c>
      <c r="M34" s="425">
        <f t="shared" si="86"/>
        <v>3</v>
      </c>
      <c r="N34" s="425">
        <f t="shared" si="86"/>
        <v>2</v>
      </c>
      <c r="O34" s="425">
        <f t="shared" si="86"/>
        <v>37</v>
      </c>
      <c r="P34" s="416">
        <f>AP34</f>
        <v>2</v>
      </c>
      <c r="Q34" s="476">
        <f t="shared" ref="Q34:V40" si="87">AQ34</f>
        <v>11</v>
      </c>
      <c r="R34" s="476">
        <f t="shared" si="87"/>
        <v>13</v>
      </c>
      <c r="S34" s="476">
        <f t="shared" si="87"/>
        <v>19</v>
      </c>
      <c r="T34" s="476">
        <f t="shared" si="87"/>
        <v>7</v>
      </c>
      <c r="U34" s="476">
        <f t="shared" si="87"/>
        <v>1</v>
      </c>
      <c r="V34" s="476">
        <f t="shared" si="87"/>
        <v>53</v>
      </c>
      <c r="W34" s="243"/>
      <c r="X34" s="243"/>
      <c r="Y34" s="243"/>
      <c r="Z34" s="243"/>
      <c r="AA34" s="784" t="s">
        <v>427</v>
      </c>
      <c r="AB34" s="782">
        <f t="shared" ref="AB34:AH34" si="88">VLOOKUP($AA$6&amp;$AA$33&amp;$AC5&amp;$AA$34&amp;AB$7&amp;$AB$6, vw.deaths.demo, 7, FALSE)</f>
        <v>11</v>
      </c>
      <c r="AC34" s="782">
        <f t="shared" si="88"/>
        <v>23</v>
      </c>
      <c r="AD34" s="782">
        <f t="shared" si="88"/>
        <v>40</v>
      </c>
      <c r="AE34" s="782">
        <f t="shared" si="88"/>
        <v>43</v>
      </c>
      <c r="AF34" s="782">
        <f t="shared" si="88"/>
        <v>20</v>
      </c>
      <c r="AG34" s="782">
        <f t="shared" si="88"/>
        <v>4</v>
      </c>
      <c r="AH34" s="782">
        <f t="shared" si="88"/>
        <v>141</v>
      </c>
      <c r="AI34" s="782">
        <f t="shared" ref="AI34:AO34" si="89">VLOOKUP($AA$6&amp;$AA$33&amp;$AC5&amp;$AA$34&amp;AI$7&amp;$AI$6, vw.deaths.demo, 7, FALSE)</f>
        <v>2</v>
      </c>
      <c r="AJ34" s="782">
        <f t="shared" si="89"/>
        <v>11</v>
      </c>
      <c r="AK34" s="782">
        <f t="shared" si="89"/>
        <v>7</v>
      </c>
      <c r="AL34" s="782">
        <f t="shared" si="89"/>
        <v>12</v>
      </c>
      <c r="AM34" s="782">
        <f t="shared" si="89"/>
        <v>3</v>
      </c>
      <c r="AN34" s="782">
        <f t="shared" si="89"/>
        <v>2</v>
      </c>
      <c r="AO34" s="782">
        <f t="shared" si="89"/>
        <v>37</v>
      </c>
      <c r="AP34" s="782">
        <f>IFERROR(VLOOKUP($AA$6&amp;$AA$33&amp;$AC$5&amp;$AA$34&amp;AP$7, vw.births.demo, 7, FALSE),0)</f>
        <v>2</v>
      </c>
      <c r="AQ34" s="782">
        <f t="shared" ref="AQ34:AV34" si="90">VLOOKUP($AA$6&amp;$AA$33&amp;$AC$5&amp;$AA$34&amp;AQ$7, vw.births.demo, 7, FALSE)</f>
        <v>11</v>
      </c>
      <c r="AR34" s="782">
        <f t="shared" si="90"/>
        <v>13</v>
      </c>
      <c r="AS34" s="782">
        <f t="shared" si="90"/>
        <v>19</v>
      </c>
      <c r="AT34" s="782">
        <f t="shared" si="90"/>
        <v>7</v>
      </c>
      <c r="AU34" s="782">
        <f t="shared" si="90"/>
        <v>1</v>
      </c>
      <c r="AV34" s="782">
        <f t="shared" si="90"/>
        <v>53</v>
      </c>
      <c r="AW34" s="243"/>
      <c r="AX34" s="243"/>
      <c r="AY34" s="243"/>
      <c r="AZ34" s="243"/>
      <c r="BA34" s="243"/>
      <c r="BB34" s="243"/>
    </row>
    <row r="35" spans="1:65" s="77" customFormat="1">
      <c r="A35" s="404" t="s">
        <v>386</v>
      </c>
      <c r="B35" s="415">
        <f t="shared" ref="B35:B40" si="91">AB35</f>
        <v>8</v>
      </c>
      <c r="C35" s="415">
        <f t="shared" si="85"/>
        <v>15</v>
      </c>
      <c r="D35" s="415">
        <f t="shared" si="85"/>
        <v>23</v>
      </c>
      <c r="E35" s="415">
        <f t="shared" si="85"/>
        <v>25</v>
      </c>
      <c r="F35" s="415">
        <f t="shared" si="85"/>
        <v>20</v>
      </c>
      <c r="G35" s="415">
        <f t="shared" si="85"/>
        <v>6</v>
      </c>
      <c r="H35" s="351">
        <f t="shared" si="85"/>
        <v>97</v>
      </c>
      <c r="I35" s="425">
        <f t="shared" ref="I35:I40" si="92">AI35</f>
        <v>8</v>
      </c>
      <c r="J35" s="425">
        <f t="shared" si="86"/>
        <v>14</v>
      </c>
      <c r="K35" s="425">
        <f t="shared" si="86"/>
        <v>14</v>
      </c>
      <c r="L35" s="425">
        <f t="shared" si="86"/>
        <v>14</v>
      </c>
      <c r="M35" s="425">
        <f t="shared" si="86"/>
        <v>3</v>
      </c>
      <c r="N35" s="425">
        <f t="shared" si="86"/>
        <v>4</v>
      </c>
      <c r="O35" s="425">
        <f t="shared" si="86"/>
        <v>57</v>
      </c>
      <c r="P35" s="416">
        <f t="shared" ref="P35:P40" si="93">AP35</f>
        <v>19</v>
      </c>
      <c r="Q35" s="476">
        <f t="shared" si="87"/>
        <v>30</v>
      </c>
      <c r="R35" s="476">
        <f t="shared" si="87"/>
        <v>48</v>
      </c>
      <c r="S35" s="476">
        <f t="shared" si="87"/>
        <v>44</v>
      </c>
      <c r="T35" s="476">
        <f t="shared" si="87"/>
        <v>41</v>
      </c>
      <c r="U35" s="476">
        <f t="shared" si="87"/>
        <v>14</v>
      </c>
      <c r="V35" s="476">
        <f t="shared" si="87"/>
        <v>196</v>
      </c>
      <c r="W35" s="243"/>
      <c r="X35" s="243"/>
      <c r="Y35" s="243"/>
      <c r="Z35" s="243"/>
      <c r="AA35" s="784" t="s">
        <v>428</v>
      </c>
      <c r="AB35" s="782">
        <f t="shared" ref="AB35:AH35" si="94">VLOOKUP($AA$6&amp;$AA$33&amp;$AC5&amp;$AA$35&amp;AB$7&amp;$AB$6, vw.deaths.demo, 7, FALSE)</f>
        <v>8</v>
      </c>
      <c r="AC35" s="782">
        <f t="shared" si="94"/>
        <v>15</v>
      </c>
      <c r="AD35" s="782">
        <f t="shared" si="94"/>
        <v>23</v>
      </c>
      <c r="AE35" s="782">
        <f t="shared" si="94"/>
        <v>25</v>
      </c>
      <c r="AF35" s="782">
        <f t="shared" si="94"/>
        <v>20</v>
      </c>
      <c r="AG35" s="782">
        <f t="shared" si="94"/>
        <v>6</v>
      </c>
      <c r="AH35" s="782">
        <f t="shared" si="94"/>
        <v>97</v>
      </c>
      <c r="AI35" s="782">
        <f t="shared" ref="AI35:AO35" si="95">VLOOKUP($AA$6&amp;$AA$33&amp;$AC5&amp;$AA$35&amp;AI$7&amp;$AI$6, vw.deaths.demo, 7, FALSE)</f>
        <v>8</v>
      </c>
      <c r="AJ35" s="782">
        <f t="shared" si="95"/>
        <v>14</v>
      </c>
      <c r="AK35" s="782">
        <f t="shared" si="95"/>
        <v>14</v>
      </c>
      <c r="AL35" s="782">
        <f t="shared" si="95"/>
        <v>14</v>
      </c>
      <c r="AM35" s="782">
        <f t="shared" si="95"/>
        <v>3</v>
      </c>
      <c r="AN35" s="782">
        <f t="shared" si="95"/>
        <v>4</v>
      </c>
      <c r="AO35" s="782">
        <f t="shared" si="95"/>
        <v>57</v>
      </c>
      <c r="AP35" s="782">
        <f t="shared" ref="AP35:AV35" si="96">VLOOKUP($AA$6&amp;$AA$33&amp;$AC$5&amp;$AA$35&amp;AP$7, vw.births.demo, 7, FALSE)</f>
        <v>19</v>
      </c>
      <c r="AQ35" s="782">
        <f t="shared" si="96"/>
        <v>30</v>
      </c>
      <c r="AR35" s="782">
        <f t="shared" si="96"/>
        <v>48</v>
      </c>
      <c r="AS35" s="782">
        <f t="shared" si="96"/>
        <v>44</v>
      </c>
      <c r="AT35" s="782">
        <f t="shared" si="96"/>
        <v>41</v>
      </c>
      <c r="AU35" s="782">
        <f t="shared" si="96"/>
        <v>14</v>
      </c>
      <c r="AV35" s="782">
        <f t="shared" si="96"/>
        <v>196</v>
      </c>
      <c r="AW35" s="243"/>
      <c r="AX35" s="243"/>
      <c r="AY35" s="243"/>
      <c r="AZ35" s="243"/>
      <c r="BA35" s="243"/>
      <c r="BB35" s="243"/>
    </row>
    <row r="36" spans="1:65" s="77" customFormat="1">
      <c r="A36" s="404" t="s">
        <v>387</v>
      </c>
      <c r="B36" s="415">
        <f t="shared" si="91"/>
        <v>3</v>
      </c>
      <c r="C36" s="415">
        <f t="shared" si="85"/>
        <v>1</v>
      </c>
      <c r="D36" s="415">
        <f t="shared" si="85"/>
        <v>11</v>
      </c>
      <c r="E36" s="415">
        <f t="shared" si="85"/>
        <v>6</v>
      </c>
      <c r="F36" s="415">
        <f t="shared" si="85"/>
        <v>6</v>
      </c>
      <c r="G36" s="415">
        <f t="shared" si="85"/>
        <v>0</v>
      </c>
      <c r="H36" s="351">
        <f t="shared" si="85"/>
        <v>27</v>
      </c>
      <c r="I36" s="425">
        <f t="shared" si="92"/>
        <v>1</v>
      </c>
      <c r="J36" s="425">
        <f t="shared" si="86"/>
        <v>0</v>
      </c>
      <c r="K36" s="425">
        <f t="shared" si="86"/>
        <v>4</v>
      </c>
      <c r="L36" s="425">
        <f t="shared" si="86"/>
        <v>0</v>
      </c>
      <c r="M36" s="425">
        <f t="shared" si="86"/>
        <v>2</v>
      </c>
      <c r="N36" s="425">
        <f t="shared" si="86"/>
        <v>1</v>
      </c>
      <c r="O36" s="425">
        <f t="shared" si="86"/>
        <v>8</v>
      </c>
      <c r="P36" s="416">
        <f t="shared" si="93"/>
        <v>21</v>
      </c>
      <c r="Q36" s="476">
        <f t="shared" si="87"/>
        <v>51</v>
      </c>
      <c r="R36" s="476">
        <f t="shared" si="87"/>
        <v>95</v>
      </c>
      <c r="S36" s="476">
        <f t="shared" si="87"/>
        <v>101</v>
      </c>
      <c r="T36" s="476">
        <f t="shared" si="87"/>
        <v>47</v>
      </c>
      <c r="U36" s="476">
        <f t="shared" si="87"/>
        <v>16</v>
      </c>
      <c r="V36" s="476">
        <f t="shared" si="87"/>
        <v>331</v>
      </c>
      <c r="W36" s="243"/>
      <c r="X36" s="243"/>
      <c r="Y36" s="243"/>
      <c r="Z36" s="243"/>
      <c r="AA36" s="784" t="s">
        <v>429</v>
      </c>
      <c r="AB36" s="782">
        <f t="shared" ref="AB36:AH36" si="97">VLOOKUP($AA$6&amp;$AA$33&amp;$AC5&amp;$AA$36&amp;AB$7&amp;$AB$6, vw.deaths.demo, 7, FALSE)</f>
        <v>3</v>
      </c>
      <c r="AC36" s="782">
        <f t="shared" si="97"/>
        <v>1</v>
      </c>
      <c r="AD36" s="782">
        <f t="shared" si="97"/>
        <v>11</v>
      </c>
      <c r="AE36" s="782">
        <f t="shared" si="97"/>
        <v>6</v>
      </c>
      <c r="AF36" s="782">
        <f t="shared" si="97"/>
        <v>6</v>
      </c>
      <c r="AG36" s="782">
        <f t="shared" si="97"/>
        <v>0</v>
      </c>
      <c r="AH36" s="782">
        <f t="shared" si="97"/>
        <v>27</v>
      </c>
      <c r="AI36" s="782">
        <f t="shared" ref="AI36:AO36" si="98">VLOOKUP($AA$6&amp;$AA$33&amp;$AC5&amp;$AA$36&amp;AI$7&amp;$AI$6, vw.deaths.demo, 7, FALSE)</f>
        <v>1</v>
      </c>
      <c r="AJ36" s="782">
        <f t="shared" si="98"/>
        <v>0</v>
      </c>
      <c r="AK36" s="782">
        <f t="shared" si="98"/>
        <v>4</v>
      </c>
      <c r="AL36" s="782">
        <f t="shared" si="98"/>
        <v>0</v>
      </c>
      <c r="AM36" s="782">
        <f t="shared" si="98"/>
        <v>2</v>
      </c>
      <c r="AN36" s="782">
        <f t="shared" si="98"/>
        <v>1</v>
      </c>
      <c r="AO36" s="782">
        <f t="shared" si="98"/>
        <v>8</v>
      </c>
      <c r="AP36" s="782">
        <f t="shared" ref="AP36:AV36" si="99">VLOOKUP($AA$6&amp;$AA$33&amp;$AC$5&amp;$AA$36&amp;AP$7, vw.births.demo, 7, FALSE)</f>
        <v>21</v>
      </c>
      <c r="AQ36" s="782">
        <f t="shared" si="99"/>
        <v>51</v>
      </c>
      <c r="AR36" s="782">
        <f t="shared" si="99"/>
        <v>95</v>
      </c>
      <c r="AS36" s="782">
        <f t="shared" si="99"/>
        <v>101</v>
      </c>
      <c r="AT36" s="782">
        <f t="shared" si="99"/>
        <v>47</v>
      </c>
      <c r="AU36" s="782">
        <f t="shared" si="99"/>
        <v>16</v>
      </c>
      <c r="AV36" s="782">
        <f t="shared" si="99"/>
        <v>331</v>
      </c>
      <c r="AW36" s="243"/>
      <c r="AX36" s="243"/>
      <c r="AY36" s="243"/>
      <c r="AZ36" s="243"/>
      <c r="BA36" s="243"/>
      <c r="BB36" s="243"/>
    </row>
    <row r="37" spans="1:65" s="454" customFormat="1">
      <c r="A37" s="407" t="s">
        <v>381</v>
      </c>
      <c r="B37" s="415">
        <f t="shared" si="91"/>
        <v>7</v>
      </c>
      <c r="C37" s="415">
        <f t="shared" si="85"/>
        <v>11</v>
      </c>
      <c r="D37" s="415">
        <f t="shared" si="85"/>
        <v>5</v>
      </c>
      <c r="E37" s="415">
        <f t="shared" si="85"/>
        <v>13</v>
      </c>
      <c r="F37" s="415">
        <f t="shared" si="85"/>
        <v>8</v>
      </c>
      <c r="G37" s="415">
        <f t="shared" si="85"/>
        <v>1</v>
      </c>
      <c r="H37" s="351">
        <f t="shared" si="85"/>
        <v>45</v>
      </c>
      <c r="I37" s="425">
        <f t="shared" si="92"/>
        <v>3</v>
      </c>
      <c r="J37" s="425">
        <f t="shared" si="86"/>
        <v>10</v>
      </c>
      <c r="K37" s="425">
        <f t="shared" si="86"/>
        <v>3</v>
      </c>
      <c r="L37" s="425">
        <f t="shared" si="86"/>
        <v>10</v>
      </c>
      <c r="M37" s="425">
        <f t="shared" si="86"/>
        <v>6</v>
      </c>
      <c r="N37" s="425">
        <f t="shared" si="86"/>
        <v>3</v>
      </c>
      <c r="O37" s="425">
        <f t="shared" si="86"/>
        <v>35</v>
      </c>
      <c r="P37" s="416">
        <f t="shared" si="93"/>
        <v>164</v>
      </c>
      <c r="Q37" s="476">
        <f t="shared" si="87"/>
        <v>500</v>
      </c>
      <c r="R37" s="476">
        <f t="shared" si="87"/>
        <v>755</v>
      </c>
      <c r="S37" s="476">
        <f t="shared" si="87"/>
        <v>903</v>
      </c>
      <c r="T37" s="476">
        <f t="shared" si="87"/>
        <v>504</v>
      </c>
      <c r="U37" s="476">
        <f t="shared" si="87"/>
        <v>165</v>
      </c>
      <c r="V37" s="476">
        <f t="shared" si="87"/>
        <v>2991</v>
      </c>
      <c r="W37" s="243"/>
      <c r="X37" s="243"/>
      <c r="Y37" s="243"/>
      <c r="Z37" s="243"/>
      <c r="AA37" s="784" t="s">
        <v>430</v>
      </c>
      <c r="AB37" s="782">
        <f t="shared" ref="AB37:AH37" si="100">VLOOKUP($AA$6&amp;$AA$33&amp;$AC5&amp;$AA$37&amp;AB$7&amp;$AB$6, vw.deaths.demo, 7, FALSE)</f>
        <v>7</v>
      </c>
      <c r="AC37" s="782">
        <f t="shared" si="100"/>
        <v>11</v>
      </c>
      <c r="AD37" s="782">
        <f t="shared" si="100"/>
        <v>5</v>
      </c>
      <c r="AE37" s="782">
        <f t="shared" si="100"/>
        <v>13</v>
      </c>
      <c r="AF37" s="782">
        <f t="shared" si="100"/>
        <v>8</v>
      </c>
      <c r="AG37" s="782">
        <f t="shared" si="100"/>
        <v>1</v>
      </c>
      <c r="AH37" s="782">
        <f t="shared" si="100"/>
        <v>45</v>
      </c>
      <c r="AI37" s="782">
        <f t="shared" ref="AI37:AO37" si="101">VLOOKUP($AA$6&amp;$AA$33&amp;$AC5&amp;$AA$37&amp;AI$7&amp;$AI$6, vw.deaths.demo, 7, FALSE)</f>
        <v>3</v>
      </c>
      <c r="AJ37" s="782">
        <f t="shared" si="101"/>
        <v>10</v>
      </c>
      <c r="AK37" s="782">
        <f t="shared" si="101"/>
        <v>3</v>
      </c>
      <c r="AL37" s="782">
        <f t="shared" si="101"/>
        <v>10</v>
      </c>
      <c r="AM37" s="782">
        <f t="shared" si="101"/>
        <v>6</v>
      </c>
      <c r="AN37" s="782">
        <f t="shared" si="101"/>
        <v>3</v>
      </c>
      <c r="AO37" s="782">
        <f t="shared" si="101"/>
        <v>35</v>
      </c>
      <c r="AP37" s="782">
        <f t="shared" ref="AP37:AV37" si="102">VLOOKUP($AA$6&amp;$AA$33&amp;$AC$5&amp;$AA$37&amp;AP$7, vw.births.demo, 7, FALSE)</f>
        <v>164</v>
      </c>
      <c r="AQ37" s="782">
        <f t="shared" si="102"/>
        <v>500</v>
      </c>
      <c r="AR37" s="782">
        <f t="shared" si="102"/>
        <v>755</v>
      </c>
      <c r="AS37" s="782">
        <f t="shared" si="102"/>
        <v>903</v>
      </c>
      <c r="AT37" s="782">
        <f t="shared" si="102"/>
        <v>504</v>
      </c>
      <c r="AU37" s="782">
        <f t="shared" si="102"/>
        <v>165</v>
      </c>
      <c r="AV37" s="782">
        <f t="shared" si="102"/>
        <v>2991</v>
      </c>
      <c r="AW37" s="243"/>
      <c r="AX37" s="243"/>
      <c r="AY37" s="243"/>
      <c r="AZ37" s="243"/>
      <c r="BA37" s="243"/>
      <c r="BB37" s="243"/>
    </row>
    <row r="38" spans="1:65" s="77" customFormat="1">
      <c r="A38" s="407" t="s">
        <v>388</v>
      </c>
      <c r="B38" s="415">
        <f t="shared" si="91"/>
        <v>6</v>
      </c>
      <c r="C38" s="415">
        <f t="shared" si="85"/>
        <v>18</v>
      </c>
      <c r="D38" s="415">
        <f t="shared" si="85"/>
        <v>17</v>
      </c>
      <c r="E38" s="415">
        <f t="shared" si="85"/>
        <v>25</v>
      </c>
      <c r="F38" s="415">
        <f t="shared" si="85"/>
        <v>12</v>
      </c>
      <c r="G38" s="415">
        <f t="shared" si="85"/>
        <v>3</v>
      </c>
      <c r="H38" s="351">
        <f t="shared" si="85"/>
        <v>81</v>
      </c>
      <c r="I38" s="425">
        <f t="shared" si="92"/>
        <v>12</v>
      </c>
      <c r="J38" s="425">
        <f t="shared" si="86"/>
        <v>23</v>
      </c>
      <c r="K38" s="425">
        <f t="shared" si="86"/>
        <v>23</v>
      </c>
      <c r="L38" s="425">
        <f t="shared" si="86"/>
        <v>21</v>
      </c>
      <c r="M38" s="425">
        <f t="shared" si="86"/>
        <v>12</v>
      </c>
      <c r="N38" s="425">
        <f t="shared" si="86"/>
        <v>4</v>
      </c>
      <c r="O38" s="425">
        <f t="shared" si="86"/>
        <v>95</v>
      </c>
      <c r="P38" s="416">
        <f t="shared" si="93"/>
        <v>2320</v>
      </c>
      <c r="Q38" s="476">
        <f t="shared" si="87"/>
        <v>9130</v>
      </c>
      <c r="R38" s="476">
        <f t="shared" si="87"/>
        <v>15332</v>
      </c>
      <c r="S38" s="476">
        <f t="shared" si="87"/>
        <v>17196</v>
      </c>
      <c r="T38" s="476">
        <f t="shared" si="87"/>
        <v>9239</v>
      </c>
      <c r="U38" s="476">
        <f t="shared" si="87"/>
        <v>2190</v>
      </c>
      <c r="V38" s="476">
        <f t="shared" si="87"/>
        <v>55407</v>
      </c>
      <c r="W38" s="243"/>
      <c r="X38" s="243"/>
      <c r="Y38" s="243"/>
      <c r="Z38" s="243"/>
      <c r="AA38" s="795" t="s">
        <v>431</v>
      </c>
      <c r="AB38" s="782">
        <f t="shared" ref="AB38:AH38" si="103">VLOOKUP($AA$6&amp;$AA$33&amp;$AC5&amp;$AA$38&amp;AB$7&amp;$AB$6, vw.deaths.demo, 7, FALSE)</f>
        <v>6</v>
      </c>
      <c r="AC38" s="782">
        <f t="shared" si="103"/>
        <v>18</v>
      </c>
      <c r="AD38" s="782">
        <f t="shared" si="103"/>
        <v>17</v>
      </c>
      <c r="AE38" s="782">
        <f t="shared" si="103"/>
        <v>25</v>
      </c>
      <c r="AF38" s="782">
        <f t="shared" si="103"/>
        <v>12</v>
      </c>
      <c r="AG38" s="782">
        <f t="shared" si="103"/>
        <v>3</v>
      </c>
      <c r="AH38" s="782">
        <f t="shared" si="103"/>
        <v>81</v>
      </c>
      <c r="AI38" s="782">
        <f t="shared" ref="AI38:AO38" si="104">VLOOKUP($AA$6&amp;$AA$33&amp;$AC5&amp;$AA$38&amp;AI$7&amp;$AI$6, vw.deaths.demo, 7, FALSE)</f>
        <v>12</v>
      </c>
      <c r="AJ38" s="782">
        <f t="shared" si="104"/>
        <v>23</v>
      </c>
      <c r="AK38" s="782">
        <f t="shared" si="104"/>
        <v>23</v>
      </c>
      <c r="AL38" s="782">
        <f t="shared" si="104"/>
        <v>21</v>
      </c>
      <c r="AM38" s="782">
        <f t="shared" si="104"/>
        <v>12</v>
      </c>
      <c r="AN38" s="782">
        <f t="shared" si="104"/>
        <v>4</v>
      </c>
      <c r="AO38" s="782">
        <f t="shared" si="104"/>
        <v>95</v>
      </c>
      <c r="AP38" s="782">
        <f t="shared" ref="AP38:AV38" si="105">VLOOKUP($AA$6&amp;$AA$33&amp;$AC$5&amp;$AA$38&amp;AP$7, vw.births.demo, 7, FALSE)</f>
        <v>2320</v>
      </c>
      <c r="AQ38" s="782">
        <f t="shared" si="105"/>
        <v>9130</v>
      </c>
      <c r="AR38" s="782">
        <f t="shared" si="105"/>
        <v>15332</v>
      </c>
      <c r="AS38" s="782">
        <f t="shared" si="105"/>
        <v>17196</v>
      </c>
      <c r="AT38" s="782">
        <f t="shared" si="105"/>
        <v>9239</v>
      </c>
      <c r="AU38" s="782">
        <f t="shared" si="105"/>
        <v>2190</v>
      </c>
      <c r="AV38" s="782">
        <f t="shared" si="105"/>
        <v>55407</v>
      </c>
      <c r="AW38" s="243"/>
      <c r="AX38" s="243"/>
      <c r="AY38" s="243"/>
      <c r="AZ38" s="243"/>
      <c r="BA38" s="243"/>
      <c r="BB38" s="243"/>
    </row>
    <row r="39" spans="1:65" s="77" customFormat="1">
      <c r="A39" s="404" t="s">
        <v>383</v>
      </c>
      <c r="B39" s="415">
        <f t="shared" si="91"/>
        <v>0</v>
      </c>
      <c r="C39" s="415">
        <f t="shared" si="85"/>
        <v>0</v>
      </c>
      <c r="D39" s="415">
        <f t="shared" si="85"/>
        <v>2</v>
      </c>
      <c r="E39" s="415">
        <f t="shared" si="85"/>
        <v>0</v>
      </c>
      <c r="F39" s="415">
        <f t="shared" si="85"/>
        <v>2</v>
      </c>
      <c r="G39" s="415">
        <f t="shared" si="85"/>
        <v>0</v>
      </c>
      <c r="H39" s="351">
        <f t="shared" si="85"/>
        <v>4</v>
      </c>
      <c r="I39" s="425">
        <f t="shared" si="92"/>
        <v>0</v>
      </c>
      <c r="J39" s="425">
        <f t="shared" si="86"/>
        <v>0</v>
      </c>
      <c r="K39" s="425">
        <f t="shared" si="86"/>
        <v>0</v>
      </c>
      <c r="L39" s="425">
        <f t="shared" si="86"/>
        <v>0</v>
      </c>
      <c r="M39" s="425">
        <f t="shared" si="86"/>
        <v>0</v>
      </c>
      <c r="N39" s="425">
        <f t="shared" si="86"/>
        <v>0</v>
      </c>
      <c r="O39" s="425">
        <f t="shared" si="86"/>
        <v>0</v>
      </c>
      <c r="P39" s="416">
        <f t="shared" si="93"/>
        <v>31</v>
      </c>
      <c r="Q39" s="476">
        <f t="shared" si="87"/>
        <v>208</v>
      </c>
      <c r="R39" s="476">
        <f t="shared" si="87"/>
        <v>410</v>
      </c>
      <c r="S39" s="476">
        <f t="shared" si="87"/>
        <v>449</v>
      </c>
      <c r="T39" s="476">
        <f t="shared" si="87"/>
        <v>260</v>
      </c>
      <c r="U39" s="476">
        <f t="shared" si="87"/>
        <v>65</v>
      </c>
      <c r="V39" s="476">
        <f t="shared" si="87"/>
        <v>1423</v>
      </c>
      <c r="W39" s="243"/>
      <c r="X39" s="243"/>
      <c r="Y39" s="243"/>
      <c r="Z39" s="243"/>
      <c r="AA39" s="795" t="s">
        <v>432</v>
      </c>
      <c r="AB39" s="782">
        <f t="shared" ref="AB39:AH39" si="106">VLOOKUP($AA$6&amp;$AA$33&amp;$AC5&amp;$AA$39&amp;AB$7&amp;$AB$6, vw.deaths.demo, 7, FALSE)</f>
        <v>0</v>
      </c>
      <c r="AC39" s="782">
        <f t="shared" si="106"/>
        <v>0</v>
      </c>
      <c r="AD39" s="782">
        <f t="shared" si="106"/>
        <v>2</v>
      </c>
      <c r="AE39" s="782">
        <f t="shared" si="106"/>
        <v>0</v>
      </c>
      <c r="AF39" s="782">
        <f t="shared" si="106"/>
        <v>2</v>
      </c>
      <c r="AG39" s="782">
        <f t="shared" si="106"/>
        <v>0</v>
      </c>
      <c r="AH39" s="782">
        <f t="shared" si="106"/>
        <v>4</v>
      </c>
      <c r="AI39" s="782">
        <f t="shared" ref="AI39:AO39" si="107">VLOOKUP($AA$6&amp;$AA$33&amp;$AC5&amp;$AA$39&amp;AI$7&amp;$AI$6, vw.deaths.demo, 7, FALSE)</f>
        <v>0</v>
      </c>
      <c r="AJ39" s="782">
        <f t="shared" si="107"/>
        <v>0</v>
      </c>
      <c r="AK39" s="782">
        <f t="shared" si="107"/>
        <v>0</v>
      </c>
      <c r="AL39" s="782">
        <f t="shared" si="107"/>
        <v>0</v>
      </c>
      <c r="AM39" s="782">
        <f t="shared" si="107"/>
        <v>0</v>
      </c>
      <c r="AN39" s="782">
        <f t="shared" si="107"/>
        <v>0</v>
      </c>
      <c r="AO39" s="782">
        <f t="shared" si="107"/>
        <v>0</v>
      </c>
      <c r="AP39" s="782">
        <f t="shared" ref="AP39:AV39" si="108">VLOOKUP($AA$6&amp;$AA$33&amp;$AC$5&amp;$AA$39&amp;AP$7, vw.births.demo, 7, FALSE)</f>
        <v>31</v>
      </c>
      <c r="AQ39" s="782">
        <f t="shared" si="108"/>
        <v>208</v>
      </c>
      <c r="AR39" s="782">
        <f t="shared" si="108"/>
        <v>410</v>
      </c>
      <c r="AS39" s="782">
        <f t="shared" si="108"/>
        <v>449</v>
      </c>
      <c r="AT39" s="782">
        <f t="shared" si="108"/>
        <v>260</v>
      </c>
      <c r="AU39" s="782">
        <f t="shared" si="108"/>
        <v>65</v>
      </c>
      <c r="AV39" s="782">
        <f t="shared" si="108"/>
        <v>1423</v>
      </c>
      <c r="AW39" s="243"/>
      <c r="AX39" s="243"/>
      <c r="AY39" s="243"/>
      <c r="AZ39" s="243"/>
      <c r="BA39" s="243"/>
      <c r="BB39" s="243"/>
    </row>
    <row r="40" spans="1:65" s="77" customFormat="1">
      <c r="A40" s="83" t="s">
        <v>63</v>
      </c>
      <c r="B40" s="83">
        <f t="shared" si="91"/>
        <v>1</v>
      </c>
      <c r="C40" s="83">
        <f t="shared" si="85"/>
        <v>5</v>
      </c>
      <c r="D40" s="83">
        <f t="shared" si="85"/>
        <v>5</v>
      </c>
      <c r="E40" s="83">
        <f t="shared" si="85"/>
        <v>3</v>
      </c>
      <c r="F40" s="83">
        <f t="shared" si="85"/>
        <v>2</v>
      </c>
      <c r="G40" s="83">
        <f t="shared" si="85"/>
        <v>2</v>
      </c>
      <c r="H40" s="351">
        <f t="shared" si="85"/>
        <v>18</v>
      </c>
      <c r="I40" s="83">
        <f t="shared" si="92"/>
        <v>1</v>
      </c>
      <c r="J40" s="83">
        <f t="shared" si="86"/>
        <v>3</v>
      </c>
      <c r="K40" s="83">
        <f t="shared" si="86"/>
        <v>1</v>
      </c>
      <c r="L40" s="83">
        <f t="shared" si="86"/>
        <v>2</v>
      </c>
      <c r="M40" s="83">
        <f t="shared" si="86"/>
        <v>0</v>
      </c>
      <c r="N40" s="83">
        <f t="shared" si="86"/>
        <v>1</v>
      </c>
      <c r="O40" s="351">
        <f t="shared" si="86"/>
        <v>9</v>
      </c>
      <c r="P40" s="426">
        <f t="shared" si="93"/>
        <v>2</v>
      </c>
      <c r="Q40" s="792">
        <f t="shared" si="87"/>
        <v>4</v>
      </c>
      <c r="R40" s="792">
        <f t="shared" si="87"/>
        <v>11</v>
      </c>
      <c r="S40" s="792">
        <f t="shared" si="87"/>
        <v>8</v>
      </c>
      <c r="T40" s="792">
        <f t="shared" si="87"/>
        <v>7</v>
      </c>
      <c r="U40" s="792">
        <f t="shared" si="87"/>
        <v>3</v>
      </c>
      <c r="V40" s="792">
        <f t="shared" si="87"/>
        <v>35</v>
      </c>
      <c r="W40" s="243"/>
      <c r="X40" s="243"/>
      <c r="Y40" s="243"/>
      <c r="Z40" s="243"/>
      <c r="AA40" s="795" t="s">
        <v>63</v>
      </c>
      <c r="AB40" s="782">
        <f t="shared" ref="AB40:AH40" si="109">IFERROR(VLOOKUP($AA$6&amp;$AA$33&amp;$AC5&amp;$AA$40&amp;AB$7&amp;$AB$6, vw.deaths.demo, 7, FALSE),0)</f>
        <v>1</v>
      </c>
      <c r="AC40" s="782">
        <f t="shared" si="109"/>
        <v>5</v>
      </c>
      <c r="AD40" s="782">
        <f t="shared" si="109"/>
        <v>5</v>
      </c>
      <c r="AE40" s="782">
        <f t="shared" si="109"/>
        <v>3</v>
      </c>
      <c r="AF40" s="782">
        <f t="shared" si="109"/>
        <v>2</v>
      </c>
      <c r="AG40" s="782">
        <f t="shared" si="109"/>
        <v>2</v>
      </c>
      <c r="AH40" s="782">
        <f t="shared" si="109"/>
        <v>18</v>
      </c>
      <c r="AI40" s="782">
        <f t="shared" ref="AI40:AO40" si="110">IFERROR(VLOOKUP($AA$6&amp;$AA$33&amp;$AC5&amp;$AA$40&amp;AI$7&amp;$AI$6, vw.deaths.demo, 7, FALSE),0)</f>
        <v>1</v>
      </c>
      <c r="AJ40" s="782">
        <f t="shared" si="110"/>
        <v>3</v>
      </c>
      <c r="AK40" s="782">
        <f t="shared" si="110"/>
        <v>1</v>
      </c>
      <c r="AL40" s="782">
        <f t="shared" si="110"/>
        <v>2</v>
      </c>
      <c r="AM40" s="782">
        <f t="shared" si="110"/>
        <v>0</v>
      </c>
      <c r="AN40" s="782">
        <f t="shared" si="110"/>
        <v>1</v>
      </c>
      <c r="AO40" s="782">
        <f t="shared" si="110"/>
        <v>9</v>
      </c>
      <c r="AP40" s="782">
        <f t="shared" ref="AP40:AV40" si="111">IFERROR(VLOOKUP($AA$6&amp;$AA$33&amp;$AC$5&amp;$AA$40&amp;AP$7, vw.births.demo, 7, FALSE),0)</f>
        <v>2</v>
      </c>
      <c r="AQ40" s="782">
        <f t="shared" si="111"/>
        <v>4</v>
      </c>
      <c r="AR40" s="782">
        <f t="shared" si="111"/>
        <v>11</v>
      </c>
      <c r="AS40" s="782">
        <f t="shared" si="111"/>
        <v>8</v>
      </c>
      <c r="AT40" s="782">
        <f t="shared" si="111"/>
        <v>7</v>
      </c>
      <c r="AU40" s="782">
        <f t="shared" si="111"/>
        <v>3</v>
      </c>
      <c r="AV40" s="782">
        <f t="shared" si="111"/>
        <v>35</v>
      </c>
      <c r="AW40" s="243"/>
      <c r="AX40" s="243"/>
      <c r="AY40" s="243"/>
      <c r="AZ40" s="243"/>
      <c r="BA40" s="243"/>
      <c r="BB40" s="243"/>
    </row>
    <row r="41" spans="1:65" s="77" customFormat="1">
      <c r="A41" s="490"/>
      <c r="B41" s="490"/>
      <c r="C41" s="490"/>
      <c r="D41" s="490"/>
      <c r="E41" s="490"/>
      <c r="F41" s="490"/>
      <c r="G41" s="490"/>
      <c r="H41" s="411"/>
      <c r="I41" s="82"/>
      <c r="J41" s="82"/>
      <c r="K41" s="82"/>
      <c r="L41" s="82"/>
      <c r="M41" s="82"/>
      <c r="N41" s="82"/>
      <c r="O41" s="411"/>
      <c r="P41" s="82"/>
      <c r="Q41" s="476"/>
      <c r="R41" s="476"/>
      <c r="S41" s="476"/>
      <c r="T41" s="476"/>
      <c r="U41" s="476"/>
      <c r="V41" s="476"/>
      <c r="W41" s="243"/>
      <c r="X41" s="243"/>
      <c r="Y41" s="243"/>
      <c r="Z41" s="243"/>
      <c r="AA41" s="780"/>
      <c r="AB41" s="780"/>
      <c r="AC41" s="780"/>
      <c r="AD41" s="780"/>
      <c r="AE41" s="780"/>
      <c r="AF41" s="780"/>
      <c r="AG41" s="780"/>
      <c r="AH41" s="780"/>
      <c r="AI41" s="780"/>
      <c r="AJ41" s="780"/>
      <c r="AK41" s="780"/>
      <c r="AL41" s="780"/>
      <c r="AM41" s="780"/>
      <c r="AN41" s="780"/>
      <c r="AO41" s="780"/>
      <c r="AP41" s="780"/>
      <c r="AQ41" s="780"/>
      <c r="AR41" s="780"/>
      <c r="AS41" s="780"/>
      <c r="AT41" s="780"/>
      <c r="AU41" s="780"/>
      <c r="AV41" s="780"/>
      <c r="AW41" s="243"/>
      <c r="AX41" s="243"/>
      <c r="AY41" s="243"/>
      <c r="AZ41" s="243"/>
      <c r="BA41" s="243"/>
      <c r="BB41" s="243"/>
    </row>
    <row r="42" spans="1:65">
      <c r="A42" s="59"/>
      <c r="W42" s="243"/>
      <c r="X42" s="243"/>
      <c r="Y42" s="243"/>
      <c r="Z42" s="243"/>
    </row>
    <row r="43" spans="1:65">
      <c r="W43" s="243"/>
      <c r="X43" s="243"/>
      <c r="Y43" s="243"/>
      <c r="Z43" s="243"/>
    </row>
    <row r="44" spans="1:65" ht="32.25" customHeight="1">
      <c r="A44" s="918" t="str">
        <f>Contents!E12</f>
        <v xml:space="preserve">Table 8: Rate of fetal deaths and infant deaths for each maternal age group, by sex, ethnic group, deprivation quintile of residence, gestational age and birthweight, 2016
</v>
      </c>
      <c r="B44" s="918"/>
      <c r="C44" s="918"/>
      <c r="D44" s="918"/>
      <c r="E44" s="918"/>
      <c r="F44" s="918"/>
      <c r="G44" s="918"/>
      <c r="H44" s="918"/>
      <c r="I44" s="918"/>
      <c r="J44" s="918"/>
      <c r="K44" s="918"/>
      <c r="L44" s="918"/>
      <c r="M44" s="918"/>
      <c r="N44" s="918"/>
      <c r="O44" s="918"/>
      <c r="P44" s="657"/>
      <c r="Q44" s="793"/>
      <c r="R44" s="793"/>
      <c r="S44" s="793"/>
      <c r="T44" s="793"/>
      <c r="U44" s="793"/>
      <c r="V44" s="793"/>
      <c r="W44" s="243"/>
      <c r="X44" s="243"/>
      <c r="Y44" s="243"/>
      <c r="Z44" s="243"/>
      <c r="AA44" s="780"/>
      <c r="AB44" s="780"/>
    </row>
    <row r="45" spans="1:65">
      <c r="A45" s="914" t="s">
        <v>68</v>
      </c>
      <c r="B45" s="915" t="s">
        <v>153</v>
      </c>
      <c r="C45" s="915"/>
      <c r="D45" s="915"/>
      <c r="E45" s="915"/>
      <c r="F45" s="915"/>
      <c r="G45" s="915"/>
      <c r="H45" s="916"/>
      <c r="I45" s="917" t="s">
        <v>154</v>
      </c>
      <c r="J45" s="915"/>
      <c r="K45" s="915"/>
      <c r="L45" s="915"/>
      <c r="M45" s="915"/>
      <c r="N45" s="915"/>
      <c r="O45" s="916"/>
      <c r="P45" s="171"/>
      <c r="Q45" s="711"/>
      <c r="R45" s="711"/>
      <c r="S45" s="711"/>
      <c r="T45" s="711"/>
      <c r="U45" s="711"/>
      <c r="V45" s="711"/>
      <c r="W45" s="243"/>
      <c r="X45" s="243"/>
      <c r="Y45" s="243"/>
      <c r="Z45" s="243"/>
      <c r="AA45" s="780"/>
      <c r="AB45" s="780"/>
      <c r="AC45" s="796"/>
      <c r="AD45" s="796"/>
      <c r="AE45" s="796"/>
      <c r="AF45" s="796"/>
      <c r="AG45" s="796"/>
      <c r="AH45" s="796"/>
      <c r="AI45" s="796"/>
      <c r="AJ45" s="796"/>
      <c r="AK45" s="796"/>
      <c r="AL45" s="796"/>
      <c r="AM45" s="796"/>
      <c r="AN45" s="796"/>
      <c r="AO45" s="796"/>
      <c r="AP45" s="796"/>
      <c r="AQ45" s="796"/>
      <c r="AR45" s="796"/>
      <c r="AS45" s="753"/>
      <c r="AT45" s="753"/>
    </row>
    <row r="46" spans="1:65">
      <c r="A46" s="909"/>
      <c r="B46" s="43" t="s">
        <v>76</v>
      </c>
      <c r="C46" s="43" t="s">
        <v>77</v>
      </c>
      <c r="D46" s="43" t="s">
        <v>78</v>
      </c>
      <c r="E46" s="43" t="s">
        <v>79</v>
      </c>
      <c r="F46" s="43" t="s">
        <v>80</v>
      </c>
      <c r="G46" s="43" t="s">
        <v>81</v>
      </c>
      <c r="H46" s="79" t="s">
        <v>44</v>
      </c>
      <c r="I46" s="43" t="s">
        <v>76</v>
      </c>
      <c r="J46" s="43" t="s">
        <v>77</v>
      </c>
      <c r="K46" s="43" t="s">
        <v>78</v>
      </c>
      <c r="L46" s="43" t="s">
        <v>79</v>
      </c>
      <c r="M46" s="43" t="s">
        <v>80</v>
      </c>
      <c r="N46" s="43" t="s">
        <v>81</v>
      </c>
      <c r="O46" s="79" t="s">
        <v>44</v>
      </c>
      <c r="P46" s="40"/>
      <c r="Q46" s="526"/>
      <c r="R46" s="526"/>
      <c r="S46" s="526"/>
      <c r="T46" s="526"/>
      <c r="U46" s="526"/>
      <c r="V46" s="526"/>
      <c r="W46" s="243"/>
      <c r="X46" s="243"/>
      <c r="Y46" s="243"/>
      <c r="Z46" s="243"/>
      <c r="AA46" s="780"/>
      <c r="AB46" s="780"/>
      <c r="AC46" s="753"/>
      <c r="AD46" s="753"/>
      <c r="AE46" s="753"/>
      <c r="AF46" s="753"/>
      <c r="AG46" s="753"/>
      <c r="AH46" s="753"/>
      <c r="AI46" s="753"/>
      <c r="AJ46" s="753"/>
      <c r="AK46" s="753"/>
      <c r="AL46" s="753"/>
      <c r="AM46" s="753"/>
      <c r="AN46" s="753"/>
      <c r="AO46" s="753"/>
      <c r="AP46" s="753"/>
      <c r="AQ46" s="753"/>
      <c r="AR46" s="753"/>
      <c r="AS46" s="753"/>
      <c r="AT46" s="753"/>
    </row>
    <row r="47" spans="1:65">
      <c r="A47" s="108" t="s">
        <v>104</v>
      </c>
      <c r="B47" s="108"/>
      <c r="C47" s="108"/>
      <c r="D47" s="108"/>
      <c r="E47" s="108"/>
      <c r="F47" s="108"/>
      <c r="G47" s="108"/>
      <c r="H47" s="108"/>
      <c r="I47" s="108"/>
      <c r="J47" s="108"/>
      <c r="K47" s="108"/>
      <c r="L47" s="108"/>
      <c r="M47" s="108"/>
      <c r="N47" s="108"/>
      <c r="O47" s="108"/>
      <c r="P47" s="40"/>
      <c r="Q47" s="526"/>
      <c r="R47" s="526"/>
      <c r="S47" s="526"/>
      <c r="T47" s="526"/>
      <c r="U47" s="526"/>
      <c r="V47" s="526"/>
      <c r="W47" s="526"/>
      <c r="X47" s="526"/>
      <c r="Y47" s="526"/>
      <c r="Z47" s="526"/>
      <c r="AA47" s="753"/>
      <c r="AB47" s="753"/>
      <c r="AC47" s="753"/>
      <c r="AD47" s="753"/>
      <c r="AE47" s="753"/>
      <c r="AF47" s="753"/>
      <c r="AG47" s="753"/>
      <c r="AH47" s="753"/>
      <c r="AI47" s="753"/>
      <c r="AJ47" s="753"/>
      <c r="AK47" s="753"/>
      <c r="AL47" s="753"/>
      <c r="AM47" s="753"/>
      <c r="AN47" s="753"/>
      <c r="AO47" s="753"/>
      <c r="AP47" s="753"/>
      <c r="AQ47" s="753"/>
      <c r="AR47" s="753"/>
      <c r="AS47" s="753"/>
      <c r="AT47" s="753"/>
    </row>
    <row r="48" spans="1:65" s="77" customFormat="1">
      <c r="A48" s="57" t="s">
        <v>44</v>
      </c>
      <c r="B48" s="267">
        <f t="shared" ref="B48:H48" si="112">B9/(B9+P9)*1000</f>
        <v>13.872832369942197</v>
      </c>
      <c r="C48" s="267">
        <f t="shared" si="112"/>
        <v>7.2948935744978511</v>
      </c>
      <c r="D48" s="267">
        <f t="shared" si="112"/>
        <v>6.1430190254666908</v>
      </c>
      <c r="E48" s="267">
        <f t="shared" si="112"/>
        <v>6.1056543668701879</v>
      </c>
      <c r="F48" s="267">
        <f t="shared" si="112"/>
        <v>6.8796068796068797</v>
      </c>
      <c r="G48" s="267">
        <f t="shared" si="112"/>
        <v>6.4777327935222671</v>
      </c>
      <c r="H48" s="272">
        <f t="shared" si="112"/>
        <v>6.7872931354664825</v>
      </c>
      <c r="I48" s="267">
        <f t="shared" ref="I48:O48" si="113">I9/P9*1000</f>
        <v>10.550996483001173</v>
      </c>
      <c r="J48" s="267">
        <f t="shared" si="113"/>
        <v>6.1405274813770889</v>
      </c>
      <c r="K48" s="267">
        <f t="shared" si="113"/>
        <v>3.1204992798847817</v>
      </c>
      <c r="L48" s="267">
        <f t="shared" si="113"/>
        <v>3.1517094017094016</v>
      </c>
      <c r="M48" s="267">
        <f t="shared" si="113"/>
        <v>2.5729836714497774</v>
      </c>
      <c r="N48" s="267">
        <f t="shared" si="113"/>
        <v>6.1124694376528126</v>
      </c>
      <c r="O48" s="267">
        <f t="shared" si="113"/>
        <v>3.9876894566152621</v>
      </c>
      <c r="P48" s="57"/>
      <c r="Q48" s="707"/>
      <c r="R48" s="707"/>
      <c r="S48" s="707"/>
      <c r="T48" s="707"/>
      <c r="U48" s="707"/>
      <c r="V48" s="707"/>
      <c r="W48" s="707"/>
      <c r="X48" s="707"/>
      <c r="Y48" s="707"/>
      <c r="Z48" s="707"/>
      <c r="AA48" s="779"/>
      <c r="AB48" s="779"/>
      <c r="AC48" s="779"/>
      <c r="AD48" s="779"/>
      <c r="AE48" s="779"/>
      <c r="AF48" s="779"/>
      <c r="AG48" s="779"/>
      <c r="AH48" s="779"/>
      <c r="AI48" s="779"/>
      <c r="AJ48" s="779"/>
      <c r="AK48" s="779"/>
      <c r="AL48" s="779"/>
      <c r="AM48" s="779"/>
      <c r="AN48" s="779"/>
      <c r="AO48" s="779"/>
      <c r="AP48" s="779"/>
      <c r="AQ48" s="779"/>
      <c r="AR48" s="779"/>
      <c r="AS48" s="779"/>
      <c r="AT48" s="779"/>
      <c r="AU48" s="780"/>
      <c r="AV48" s="780"/>
      <c r="AW48" s="243"/>
      <c r="AX48" s="243"/>
      <c r="AY48" s="243"/>
      <c r="AZ48" s="243"/>
      <c r="BA48" s="243"/>
      <c r="BB48" s="243"/>
    </row>
    <row r="49" spans="1:54" s="102" customFormat="1">
      <c r="A49" s="80" t="s">
        <v>69</v>
      </c>
      <c r="B49" s="90"/>
      <c r="C49" s="90"/>
      <c r="D49" s="90"/>
      <c r="E49" s="90"/>
      <c r="F49" s="90"/>
      <c r="G49" s="90"/>
      <c r="H49" s="90"/>
      <c r="I49" s="90"/>
      <c r="J49" s="90"/>
      <c r="K49" s="90"/>
      <c r="L49" s="90"/>
      <c r="M49" s="90"/>
      <c r="N49" s="90"/>
      <c r="O49" s="90"/>
      <c r="P49" s="40"/>
      <c r="Q49" s="526"/>
      <c r="R49" s="526"/>
      <c r="S49" s="526"/>
      <c r="T49" s="526"/>
      <c r="U49" s="526"/>
      <c r="V49" s="526"/>
      <c r="W49" s="526"/>
      <c r="X49" s="526"/>
      <c r="Y49" s="526"/>
      <c r="Z49" s="526"/>
      <c r="AA49" s="753"/>
      <c r="AB49" s="753"/>
      <c r="AC49" s="753"/>
      <c r="AD49" s="753"/>
      <c r="AE49" s="753"/>
      <c r="AF49" s="753"/>
      <c r="AG49" s="753"/>
      <c r="AH49" s="753"/>
      <c r="AI49" s="753"/>
      <c r="AJ49" s="753"/>
      <c r="AK49" s="753"/>
      <c r="AL49" s="753"/>
      <c r="AM49" s="753"/>
      <c r="AN49" s="753"/>
      <c r="AO49" s="753"/>
      <c r="AP49" s="753"/>
      <c r="AQ49" s="753"/>
      <c r="AR49" s="753"/>
      <c r="AS49" s="753"/>
      <c r="AT49" s="753"/>
      <c r="AU49" s="289"/>
      <c r="AV49" s="289"/>
      <c r="AW49" s="245"/>
      <c r="AX49" s="245"/>
      <c r="AY49" s="245"/>
      <c r="AZ49" s="245"/>
      <c r="BA49" s="245"/>
      <c r="BB49" s="245"/>
    </row>
    <row r="50" spans="1:54">
      <c r="A50" s="49" t="s">
        <v>70</v>
      </c>
      <c r="B50" s="51">
        <f t="shared" ref="B50:H51" si="114">B11/(B11+P11)*1000</f>
        <v>15.128593040847202</v>
      </c>
      <c r="C50" s="51">
        <f t="shared" si="114"/>
        <v>7.3529411764705879</v>
      </c>
      <c r="D50" s="51">
        <f t="shared" si="114"/>
        <v>5.428369129100779</v>
      </c>
      <c r="E50" s="51">
        <f t="shared" si="114"/>
        <v>6.630623278588188</v>
      </c>
      <c r="F50" s="51">
        <f t="shared" si="114"/>
        <v>7.3203621652860713</v>
      </c>
      <c r="G50" s="51">
        <f t="shared" si="114"/>
        <v>7.1033938437253354</v>
      </c>
      <c r="H50" s="170">
        <f t="shared" si="114"/>
        <v>6.9175340272217776</v>
      </c>
      <c r="I50" s="51">
        <f t="shared" ref="I50:O51" si="115">I11/P11*1000</f>
        <v>13.056835637480798</v>
      </c>
      <c r="J50" s="51">
        <f t="shared" si="115"/>
        <v>6.6276803118908383</v>
      </c>
      <c r="K50" s="51">
        <f t="shared" si="115"/>
        <v>2.9663028001898435</v>
      </c>
      <c r="L50" s="51">
        <f t="shared" si="115"/>
        <v>3.0807147258163892</v>
      </c>
      <c r="M50" s="51">
        <f t="shared" si="115"/>
        <v>2.3287405394915583</v>
      </c>
      <c r="N50" s="51">
        <f t="shared" si="115"/>
        <v>7.1542130365659782</v>
      </c>
      <c r="O50" s="51">
        <f t="shared" si="115"/>
        <v>4.0955851526976046</v>
      </c>
      <c r="P50" s="40"/>
      <c r="Q50" s="526"/>
      <c r="R50" s="526"/>
      <c r="S50" s="526"/>
      <c r="T50" s="526"/>
      <c r="U50" s="526"/>
      <c r="V50" s="526"/>
      <c r="W50" s="526"/>
      <c r="X50" s="526"/>
      <c r="Y50" s="526"/>
      <c r="Z50" s="526"/>
      <c r="AA50" s="753"/>
      <c r="AB50" s="753"/>
      <c r="AC50" s="753"/>
      <c r="AD50" s="753"/>
      <c r="AE50" s="753"/>
      <c r="AF50" s="753"/>
      <c r="AG50" s="753"/>
      <c r="AH50" s="753"/>
      <c r="AI50" s="753"/>
      <c r="AJ50" s="753"/>
      <c r="AK50" s="753"/>
      <c r="AL50" s="753"/>
      <c r="AM50" s="753"/>
      <c r="AN50" s="753"/>
      <c r="AO50" s="753"/>
      <c r="AP50" s="753"/>
      <c r="AQ50" s="753"/>
      <c r="AR50" s="753"/>
      <c r="AS50" s="753"/>
      <c r="AT50" s="753"/>
    </row>
    <row r="51" spans="1:54">
      <c r="A51" s="49" t="s">
        <v>71</v>
      </c>
      <c r="B51" s="51">
        <f t="shared" si="114"/>
        <v>11.79245283018868</v>
      </c>
      <c r="C51" s="51">
        <f t="shared" si="114"/>
        <v>6.6170388751033915</v>
      </c>
      <c r="D51" s="51">
        <f t="shared" si="114"/>
        <v>6.7534973468403283</v>
      </c>
      <c r="E51" s="51">
        <f t="shared" si="114"/>
        <v>5.3156146179401995</v>
      </c>
      <c r="F51" s="51">
        <f t="shared" si="114"/>
        <v>6.2211519165161553</v>
      </c>
      <c r="G51" s="51">
        <f t="shared" si="114"/>
        <v>5.8187863674147966</v>
      </c>
      <c r="H51" s="170">
        <f t="shared" si="114"/>
        <v>6.381685575364668</v>
      </c>
      <c r="I51" s="51">
        <f t="shared" si="115"/>
        <v>7.9554494828957836</v>
      </c>
      <c r="J51" s="51">
        <f t="shared" si="115"/>
        <v>5.6203164029975019</v>
      </c>
      <c r="K51" s="51">
        <f t="shared" si="115"/>
        <v>3.2782904322486646</v>
      </c>
      <c r="L51" s="51">
        <f t="shared" si="115"/>
        <v>3.2286795813849922</v>
      </c>
      <c r="M51" s="51">
        <f t="shared" si="115"/>
        <v>2.8271405492730208</v>
      </c>
      <c r="N51" s="51">
        <f t="shared" si="115"/>
        <v>5.0167224080267561</v>
      </c>
      <c r="O51" s="51">
        <f t="shared" si="115"/>
        <v>3.8739932714853706</v>
      </c>
      <c r="P51" s="40"/>
      <c r="Q51" s="526"/>
      <c r="R51" s="526"/>
      <c r="S51" s="526"/>
      <c r="T51" s="526"/>
      <c r="U51" s="526"/>
      <c r="V51" s="526"/>
      <c r="W51" s="526"/>
      <c r="X51" s="526"/>
      <c r="Y51" s="526"/>
      <c r="Z51" s="526"/>
      <c r="AA51" s="753"/>
      <c r="AB51" s="753"/>
      <c r="AC51" s="753"/>
      <c r="AD51" s="753"/>
      <c r="AE51" s="753"/>
      <c r="AF51" s="753"/>
      <c r="AG51" s="753"/>
      <c r="AH51" s="753"/>
      <c r="AI51" s="753"/>
      <c r="AJ51" s="753"/>
      <c r="AK51" s="753"/>
      <c r="AL51" s="753"/>
      <c r="AM51" s="753"/>
      <c r="AN51" s="753"/>
      <c r="AO51" s="753"/>
      <c r="AP51" s="753"/>
      <c r="AQ51" s="753"/>
      <c r="AR51" s="753"/>
      <c r="AS51" s="753"/>
      <c r="AT51" s="753"/>
    </row>
    <row r="52" spans="1:54">
      <c r="A52" s="80" t="s">
        <v>73</v>
      </c>
      <c r="B52" s="90"/>
      <c r="C52" s="90"/>
      <c r="D52" s="90"/>
      <c r="E52" s="90"/>
      <c r="F52" s="90"/>
      <c r="G52" s="90"/>
      <c r="H52" s="90"/>
      <c r="I52" s="90"/>
      <c r="J52" s="90"/>
      <c r="K52" s="90"/>
      <c r="L52" s="90"/>
      <c r="M52" s="90"/>
      <c r="N52" s="90"/>
      <c r="O52" s="90"/>
      <c r="P52" s="40"/>
      <c r="Q52" s="526"/>
      <c r="R52" s="526"/>
      <c r="S52" s="526"/>
      <c r="T52" s="526"/>
      <c r="U52" s="526"/>
      <c r="V52" s="526"/>
      <c r="W52" s="526"/>
      <c r="X52" s="526"/>
      <c r="Y52" s="526"/>
      <c r="Z52" s="526"/>
      <c r="AA52" s="753"/>
      <c r="AB52" s="753"/>
      <c r="AC52" s="753"/>
      <c r="AD52" s="753"/>
      <c r="AE52" s="753"/>
      <c r="AF52" s="753"/>
      <c r="AG52" s="753"/>
      <c r="AH52" s="753"/>
      <c r="AI52" s="753"/>
      <c r="AJ52" s="753"/>
      <c r="AK52" s="753"/>
      <c r="AL52" s="753"/>
      <c r="AM52" s="753"/>
      <c r="AN52" s="753"/>
      <c r="AO52" s="753"/>
      <c r="AP52" s="753"/>
      <c r="AQ52" s="753"/>
      <c r="AR52" s="753"/>
      <c r="AS52" s="753"/>
      <c r="AT52" s="753"/>
    </row>
    <row r="53" spans="1:54" s="77" customFormat="1">
      <c r="A53" s="82" t="s">
        <v>74</v>
      </c>
      <c r="B53" s="84">
        <f t="shared" ref="B53:H56" si="116">B15/(B15+P15)*1000</f>
        <v>12.24739742804654</v>
      </c>
      <c r="C53" s="84">
        <f t="shared" si="116"/>
        <v>7.0907617504051856</v>
      </c>
      <c r="D53" s="84">
        <f t="shared" si="116"/>
        <v>5.5788005578800552</v>
      </c>
      <c r="E53" s="84">
        <f t="shared" si="116"/>
        <v>6.502685891998869</v>
      </c>
      <c r="F53" s="84">
        <f t="shared" si="116"/>
        <v>6.6042927903137034</v>
      </c>
      <c r="G53" s="84">
        <f t="shared" si="116"/>
        <v>7.8585461689587417</v>
      </c>
      <c r="H53" s="170">
        <f t="shared" si="116"/>
        <v>6.9910033808950773</v>
      </c>
      <c r="I53" s="84">
        <f t="shared" ref="I53:O56" si="117">I15/P15*1000</f>
        <v>12.399256044637323</v>
      </c>
      <c r="J53" s="84">
        <f t="shared" si="117"/>
        <v>6.3252397469904107</v>
      </c>
      <c r="K53" s="84">
        <f t="shared" si="117"/>
        <v>5.4097375275495896</v>
      </c>
      <c r="L53" s="84">
        <f t="shared" si="117"/>
        <v>3.9840637450199203</v>
      </c>
      <c r="M53" s="84">
        <f t="shared" si="117"/>
        <v>4.43213296398892</v>
      </c>
      <c r="N53" s="84">
        <f t="shared" si="117"/>
        <v>5.9405940594059405</v>
      </c>
      <c r="O53" s="84">
        <f t="shared" si="117"/>
        <v>5.943793640717872</v>
      </c>
      <c r="P53" s="267"/>
      <c r="Q53" s="794"/>
      <c r="R53" s="794"/>
      <c r="S53" s="794"/>
      <c r="T53" s="794"/>
      <c r="U53" s="794"/>
      <c r="V53" s="707"/>
      <c r="W53" s="707"/>
      <c r="X53" s="707"/>
      <c r="Y53" s="707"/>
      <c r="Z53" s="707"/>
      <c r="AA53" s="779"/>
      <c r="AB53" s="779"/>
      <c r="AC53" s="779"/>
      <c r="AD53" s="779"/>
      <c r="AE53" s="779"/>
      <c r="AF53" s="779"/>
      <c r="AG53" s="779"/>
      <c r="AH53" s="779"/>
      <c r="AI53" s="779"/>
      <c r="AJ53" s="779"/>
      <c r="AK53" s="779"/>
      <c r="AL53" s="779"/>
      <c r="AM53" s="779"/>
      <c r="AN53" s="779"/>
      <c r="AO53" s="779"/>
      <c r="AP53" s="779"/>
      <c r="AQ53" s="779"/>
      <c r="AR53" s="779"/>
      <c r="AS53" s="779"/>
      <c r="AT53" s="779"/>
      <c r="AU53" s="780"/>
      <c r="AV53" s="780"/>
      <c r="AW53" s="243"/>
      <c r="AX53" s="243"/>
      <c r="AY53" s="243"/>
      <c r="AZ53" s="243"/>
      <c r="BA53" s="243"/>
      <c r="BB53" s="243"/>
    </row>
    <row r="54" spans="1:54" s="77" customFormat="1">
      <c r="A54" s="82" t="s">
        <v>320</v>
      </c>
      <c r="B54" s="84">
        <f t="shared" si="116"/>
        <v>12.987012987012989</v>
      </c>
      <c r="C54" s="84">
        <f t="shared" si="116"/>
        <v>5.2735662491760049</v>
      </c>
      <c r="D54" s="84">
        <f t="shared" si="116"/>
        <v>7.5713453698311008</v>
      </c>
      <c r="E54" s="84">
        <f t="shared" si="116"/>
        <v>8.0586080586080602</v>
      </c>
      <c r="F54" s="84">
        <f t="shared" si="116"/>
        <v>7.4906367041198498</v>
      </c>
      <c r="G54" s="84">
        <f t="shared" si="116"/>
        <v>8.4745762711864412</v>
      </c>
      <c r="H54" s="170">
        <f t="shared" si="116"/>
        <v>7.4738415545590433</v>
      </c>
      <c r="I54" s="84">
        <f t="shared" si="117"/>
        <v>18.421052631578945</v>
      </c>
      <c r="J54" s="84">
        <f t="shared" si="117"/>
        <v>7.9522862823061624</v>
      </c>
      <c r="K54" s="84">
        <f t="shared" si="117"/>
        <v>1.7605633802816902</v>
      </c>
      <c r="L54" s="84">
        <f t="shared" si="117"/>
        <v>5.1698670605613</v>
      </c>
      <c r="M54" s="84">
        <f t="shared" si="117"/>
        <v>5.0314465408805029</v>
      </c>
      <c r="N54" s="84">
        <f t="shared" si="117"/>
        <v>12.820512820512819</v>
      </c>
      <c r="O54" s="84">
        <f t="shared" si="117"/>
        <v>6.1914323962516731</v>
      </c>
      <c r="P54" s="267"/>
      <c r="Q54" s="794"/>
      <c r="R54" s="794"/>
      <c r="S54" s="794"/>
      <c r="T54" s="794"/>
      <c r="U54" s="794"/>
      <c r="V54" s="707"/>
      <c r="W54" s="707"/>
      <c r="X54" s="707"/>
      <c r="Y54" s="707"/>
      <c r="Z54" s="707"/>
      <c r="AA54" s="779"/>
      <c r="AB54" s="779"/>
      <c r="AC54" s="779"/>
      <c r="AD54" s="779"/>
      <c r="AE54" s="779"/>
      <c r="AF54" s="779"/>
      <c r="AG54" s="779"/>
      <c r="AH54" s="779"/>
      <c r="AI54" s="779"/>
      <c r="AJ54" s="779"/>
      <c r="AK54" s="779"/>
      <c r="AL54" s="779"/>
      <c r="AM54" s="779"/>
      <c r="AN54" s="779"/>
      <c r="AO54" s="779"/>
      <c r="AP54" s="779"/>
      <c r="AQ54" s="779"/>
      <c r="AR54" s="779"/>
      <c r="AS54" s="779"/>
      <c r="AT54" s="779"/>
      <c r="AU54" s="780"/>
      <c r="AV54" s="780"/>
      <c r="AW54" s="243"/>
      <c r="AX54" s="243"/>
      <c r="AY54" s="243"/>
      <c r="AZ54" s="243"/>
      <c r="BA54" s="243"/>
      <c r="BB54" s="243"/>
    </row>
    <row r="55" spans="1:54" s="77" customFormat="1">
      <c r="A55" s="310" t="s">
        <v>355</v>
      </c>
      <c r="B55" s="84">
        <f t="shared" si="116"/>
        <v>21.739130434782609</v>
      </c>
      <c r="C55" s="84">
        <f t="shared" si="116"/>
        <v>8.7829360100376412</v>
      </c>
      <c r="D55" s="84">
        <f t="shared" si="116"/>
        <v>5.5113288426209426</v>
      </c>
      <c r="E55" s="84">
        <f t="shared" si="116"/>
        <v>6.3708260105448158</v>
      </c>
      <c r="F55" s="84">
        <f t="shared" si="116"/>
        <v>8.1883316274309106</v>
      </c>
      <c r="G55" s="84">
        <f t="shared" si="116"/>
        <v>5.5555555555555554</v>
      </c>
      <c r="H55" s="170">
        <f t="shared" si="116"/>
        <v>6.6514806378132114</v>
      </c>
      <c r="I55" s="84">
        <f t="shared" si="117"/>
        <v>0</v>
      </c>
      <c r="J55" s="84">
        <f t="shared" si="117"/>
        <v>7.5949367088607591</v>
      </c>
      <c r="K55" s="84">
        <f t="shared" si="117"/>
        <v>1.5394088669950741</v>
      </c>
      <c r="L55" s="84">
        <f t="shared" si="117"/>
        <v>2.2109219544550078</v>
      </c>
      <c r="M55" s="84">
        <f t="shared" si="117"/>
        <v>2.5799793601651189</v>
      </c>
      <c r="N55" s="84">
        <f t="shared" si="117"/>
        <v>2.7932960893854748</v>
      </c>
      <c r="O55" s="84">
        <f t="shared" si="117"/>
        <v>2.4766097963676388</v>
      </c>
      <c r="P55" s="267"/>
      <c r="Q55" s="794"/>
      <c r="R55" s="794"/>
      <c r="S55" s="794"/>
      <c r="T55" s="794"/>
      <c r="U55" s="794"/>
      <c r="V55" s="707"/>
      <c r="W55" s="707"/>
      <c r="X55" s="707"/>
      <c r="Y55" s="707"/>
      <c r="Z55" s="707"/>
      <c r="AA55" s="779"/>
      <c r="AB55" s="779"/>
      <c r="AC55" s="779"/>
      <c r="AD55" s="779"/>
      <c r="AE55" s="779"/>
      <c r="AF55" s="779"/>
      <c r="AG55" s="779"/>
      <c r="AH55" s="779"/>
      <c r="AI55" s="779"/>
      <c r="AJ55" s="779"/>
      <c r="AK55" s="779"/>
      <c r="AL55" s="779"/>
      <c r="AM55" s="779"/>
      <c r="AN55" s="779"/>
      <c r="AO55" s="779"/>
      <c r="AP55" s="779"/>
      <c r="AQ55" s="779"/>
      <c r="AR55" s="779"/>
      <c r="AS55" s="779"/>
      <c r="AT55" s="779"/>
      <c r="AU55" s="780"/>
      <c r="AV55" s="780"/>
      <c r="AW55" s="243"/>
      <c r="AX55" s="243"/>
      <c r="AY55" s="243"/>
      <c r="AZ55" s="243"/>
      <c r="BA55" s="243"/>
      <c r="BB55" s="243"/>
    </row>
    <row r="56" spans="1:54" s="77" customFormat="1">
      <c r="A56" s="310" t="s">
        <v>356</v>
      </c>
      <c r="B56" s="84">
        <f t="shared" si="116"/>
        <v>18.832391713747644</v>
      </c>
      <c r="C56" s="84">
        <f t="shared" si="116"/>
        <v>8.3424011606819004</v>
      </c>
      <c r="D56" s="84">
        <f t="shared" si="116"/>
        <v>6.5040650406504064</v>
      </c>
      <c r="E56" s="84">
        <f t="shared" si="116"/>
        <v>5.5431190704615716</v>
      </c>
      <c r="F56" s="84">
        <f t="shared" si="116"/>
        <v>6.4251293949669819</v>
      </c>
      <c r="G56" s="84">
        <f t="shared" si="116"/>
        <v>5.8608058608058604</v>
      </c>
      <c r="H56" s="170">
        <f t="shared" si="116"/>
        <v>6.5525338989470496</v>
      </c>
      <c r="I56" s="84">
        <f t="shared" si="117"/>
        <v>0</v>
      </c>
      <c r="J56" s="84">
        <f t="shared" si="117"/>
        <v>4.3891733723482078</v>
      </c>
      <c r="K56" s="84">
        <f t="shared" si="117"/>
        <v>2.5293855081089123</v>
      </c>
      <c r="L56" s="84">
        <f t="shared" si="117"/>
        <v>3.0013935041269164</v>
      </c>
      <c r="M56" s="84">
        <f t="shared" si="117"/>
        <v>1.6166696604993713</v>
      </c>
      <c r="N56" s="84">
        <f t="shared" si="117"/>
        <v>5.8953574060427414</v>
      </c>
      <c r="O56" s="84">
        <f t="shared" si="117"/>
        <v>2.8213046627778415</v>
      </c>
      <c r="P56" s="267"/>
      <c r="Q56" s="794"/>
      <c r="R56" s="794"/>
      <c r="S56" s="794"/>
      <c r="T56" s="794"/>
      <c r="U56" s="794"/>
      <c r="V56" s="707"/>
      <c r="W56" s="707"/>
      <c r="X56" s="707"/>
      <c r="Y56" s="707"/>
      <c r="Z56" s="707"/>
      <c r="AA56" s="779"/>
      <c r="AB56" s="779"/>
      <c r="AC56" s="779"/>
      <c r="AD56" s="779"/>
      <c r="AE56" s="779"/>
      <c r="AF56" s="779"/>
      <c r="AG56" s="779"/>
      <c r="AH56" s="779"/>
      <c r="AI56" s="779"/>
      <c r="AJ56" s="779"/>
      <c r="AK56" s="779"/>
      <c r="AL56" s="779"/>
      <c r="AM56" s="779"/>
      <c r="AN56" s="779"/>
      <c r="AO56" s="779"/>
      <c r="AP56" s="779"/>
      <c r="AQ56" s="779"/>
      <c r="AR56" s="779"/>
      <c r="AS56" s="779"/>
      <c r="AT56" s="779"/>
      <c r="AU56" s="780"/>
      <c r="AV56" s="780"/>
      <c r="AW56" s="243"/>
      <c r="AX56" s="243"/>
      <c r="AY56" s="243"/>
      <c r="AZ56" s="243"/>
      <c r="BA56" s="243"/>
      <c r="BB56" s="243"/>
    </row>
    <row r="57" spans="1:54">
      <c r="A57" s="80" t="s">
        <v>82</v>
      </c>
      <c r="B57" s="90"/>
      <c r="C57" s="90"/>
      <c r="D57" s="90"/>
      <c r="E57" s="90"/>
      <c r="F57" s="90"/>
      <c r="G57" s="90"/>
      <c r="H57" s="90"/>
      <c r="I57" s="90"/>
      <c r="J57" s="90"/>
      <c r="K57" s="90"/>
      <c r="L57" s="90"/>
      <c r="M57" s="90"/>
      <c r="N57" s="90"/>
      <c r="O57" s="90"/>
      <c r="P57" s="40"/>
      <c r="Q57" s="526"/>
      <c r="R57" s="526"/>
      <c r="S57" s="526"/>
      <c r="T57" s="526"/>
      <c r="U57" s="526"/>
      <c r="V57" s="526"/>
      <c r="W57" s="526"/>
      <c r="X57" s="526"/>
      <c r="Y57" s="526"/>
      <c r="Z57" s="526"/>
      <c r="AA57" s="753"/>
      <c r="AB57" s="753"/>
      <c r="AC57" s="753"/>
      <c r="AD57" s="753"/>
      <c r="AE57" s="753"/>
      <c r="AF57" s="753"/>
      <c r="AG57" s="753"/>
      <c r="AH57" s="753"/>
      <c r="AI57" s="753"/>
      <c r="AJ57" s="753"/>
      <c r="AK57" s="753"/>
      <c r="AL57" s="753"/>
      <c r="AM57" s="753"/>
      <c r="AN57" s="753"/>
      <c r="AO57" s="753"/>
      <c r="AP57" s="753"/>
      <c r="AQ57" s="753"/>
      <c r="AR57" s="753"/>
      <c r="AS57" s="753"/>
      <c r="AT57" s="753"/>
    </row>
    <row r="58" spans="1:54">
      <c r="A58" s="49" t="s">
        <v>83</v>
      </c>
      <c r="B58" s="51">
        <f t="shared" ref="B58:H62" si="118">B20/(B20+P20)*1000</f>
        <v>24.793388429752067</v>
      </c>
      <c r="C58" s="51">
        <f t="shared" si="118"/>
        <v>3.0120481927710845</v>
      </c>
      <c r="D58" s="51">
        <f t="shared" si="118"/>
        <v>6.2530062530062533</v>
      </c>
      <c r="E58" s="51">
        <f t="shared" si="118"/>
        <v>4.2241622078287806</v>
      </c>
      <c r="F58" s="51">
        <f t="shared" si="118"/>
        <v>3.0837004405286343</v>
      </c>
      <c r="G58" s="51">
        <f t="shared" si="118"/>
        <v>5.4347826086956523</v>
      </c>
      <c r="H58" s="93">
        <f t="shared" si="118"/>
        <v>4.6551910793547684</v>
      </c>
      <c r="I58" s="51">
        <f t="shared" ref="I58:O62" si="119">I20/P20*1000</f>
        <v>8.4745762711864412</v>
      </c>
      <c r="J58" s="51">
        <f t="shared" si="119"/>
        <v>10.574018126888218</v>
      </c>
      <c r="K58" s="51">
        <f t="shared" si="119"/>
        <v>1.936108422071636</v>
      </c>
      <c r="L58" s="51">
        <f t="shared" si="119"/>
        <v>1.6968325791855203</v>
      </c>
      <c r="M58" s="51">
        <f t="shared" si="119"/>
        <v>1.3256738842244808</v>
      </c>
      <c r="N58" s="51">
        <f t="shared" si="119"/>
        <v>5.4644808743169397</v>
      </c>
      <c r="O58" s="51">
        <f t="shared" si="119"/>
        <v>2.6103980857080704</v>
      </c>
      <c r="P58" s="40"/>
      <c r="Q58" s="526"/>
      <c r="R58" s="526"/>
      <c r="S58" s="526"/>
      <c r="T58" s="526"/>
      <c r="U58" s="526"/>
      <c r="V58" s="526"/>
      <c r="W58" s="526"/>
      <c r="X58" s="526"/>
      <c r="Y58" s="526"/>
      <c r="Z58" s="526"/>
      <c r="AA58" s="753"/>
      <c r="AB58" s="753"/>
      <c r="AC58" s="753"/>
      <c r="AD58" s="753"/>
      <c r="AE58" s="753"/>
      <c r="AF58" s="753"/>
      <c r="AG58" s="753"/>
      <c r="AH58" s="753"/>
      <c r="AI58" s="753"/>
      <c r="AJ58" s="753"/>
      <c r="AK58" s="753"/>
      <c r="AL58" s="753"/>
      <c r="AM58" s="753"/>
      <c r="AN58" s="753"/>
      <c r="AO58" s="753"/>
      <c r="AP58" s="753"/>
      <c r="AQ58" s="753"/>
      <c r="AR58" s="753"/>
      <c r="AS58" s="753"/>
      <c r="AT58" s="753"/>
    </row>
    <row r="59" spans="1:54">
      <c r="A59" s="13">
        <v>2</v>
      </c>
      <c r="B59" s="51">
        <f t="shared" si="118"/>
        <v>12.76595744680851</v>
      </c>
      <c r="C59" s="51">
        <f t="shared" si="118"/>
        <v>7.6045627376425857</v>
      </c>
      <c r="D59" s="51">
        <f t="shared" si="118"/>
        <v>6.5159064775776159</v>
      </c>
      <c r="E59" s="51">
        <f t="shared" si="118"/>
        <v>6.4412238325281805</v>
      </c>
      <c r="F59" s="51">
        <f t="shared" si="118"/>
        <v>4.30828147438966</v>
      </c>
      <c r="G59" s="51">
        <f t="shared" si="118"/>
        <v>6.3025210084033612</v>
      </c>
      <c r="H59" s="93">
        <f t="shared" si="118"/>
        <v>6.2825169333464217</v>
      </c>
      <c r="I59" s="51">
        <f t="shared" si="119"/>
        <v>8.6206896551724128</v>
      </c>
      <c r="J59" s="51">
        <f t="shared" si="119"/>
        <v>3.8314176245210727</v>
      </c>
      <c r="K59" s="51">
        <f t="shared" si="119"/>
        <v>2.3148148148148149</v>
      </c>
      <c r="L59" s="51">
        <f t="shared" si="119"/>
        <v>2.7012425715829282</v>
      </c>
      <c r="M59" s="51">
        <f t="shared" si="119"/>
        <v>0.96153846153846156</v>
      </c>
      <c r="N59" s="51">
        <f t="shared" si="119"/>
        <v>0</v>
      </c>
      <c r="O59" s="51">
        <f t="shared" si="119"/>
        <v>2.3708386841845304</v>
      </c>
      <c r="P59" s="40"/>
      <c r="Q59" s="526"/>
      <c r="R59" s="526"/>
      <c r="S59" s="526"/>
      <c r="T59" s="526"/>
      <c r="U59" s="526"/>
      <c r="V59" s="526"/>
      <c r="W59" s="526"/>
      <c r="X59" s="526"/>
      <c r="Y59" s="526"/>
      <c r="Z59" s="526"/>
      <c r="AA59" s="753"/>
      <c r="AB59" s="753"/>
      <c r="AC59" s="753"/>
      <c r="AD59" s="753"/>
      <c r="AE59" s="753"/>
      <c r="AF59" s="753"/>
      <c r="AG59" s="753"/>
      <c r="AH59" s="753"/>
      <c r="AI59" s="753"/>
      <c r="AJ59" s="753"/>
      <c r="AK59" s="753"/>
      <c r="AL59" s="753"/>
      <c r="AM59" s="753"/>
      <c r="AN59" s="753"/>
      <c r="AO59" s="753"/>
      <c r="AP59" s="753"/>
      <c r="AQ59" s="753"/>
      <c r="AR59" s="753"/>
      <c r="AS59" s="753"/>
      <c r="AT59" s="753"/>
    </row>
    <row r="60" spans="1:54">
      <c r="A60" s="13">
        <v>3</v>
      </c>
      <c r="B60" s="51">
        <f t="shared" si="118"/>
        <v>9.1463414634146343</v>
      </c>
      <c r="C60" s="51">
        <f t="shared" si="118"/>
        <v>8.2435003170577037</v>
      </c>
      <c r="D60" s="51">
        <f t="shared" si="118"/>
        <v>4.2207792207792201</v>
      </c>
      <c r="E60" s="51">
        <f t="shared" si="118"/>
        <v>6.502302898943376</v>
      </c>
      <c r="F60" s="51">
        <f t="shared" si="118"/>
        <v>6.7287784679089029</v>
      </c>
      <c r="G60" s="51">
        <f t="shared" si="118"/>
        <v>4.6403712296983759</v>
      </c>
      <c r="H60" s="93">
        <f t="shared" si="118"/>
        <v>6.1599782589002627</v>
      </c>
      <c r="I60" s="51">
        <f t="shared" si="119"/>
        <v>6.1538461538461542</v>
      </c>
      <c r="J60" s="51">
        <f t="shared" si="119"/>
        <v>5.1150895140664963</v>
      </c>
      <c r="K60" s="51">
        <f t="shared" si="119"/>
        <v>2.2823606129768503</v>
      </c>
      <c r="L60" s="51">
        <f t="shared" si="119"/>
        <v>2.7270248159258248</v>
      </c>
      <c r="M60" s="51">
        <f t="shared" si="119"/>
        <v>2.0844189682126104</v>
      </c>
      <c r="N60" s="51">
        <f t="shared" si="119"/>
        <v>2.3310023310023311</v>
      </c>
      <c r="O60" s="51">
        <f t="shared" si="119"/>
        <v>2.9167806034089874</v>
      </c>
      <c r="P60" s="40"/>
      <c r="Q60" s="526"/>
      <c r="R60" s="526"/>
      <c r="S60" s="526"/>
      <c r="T60" s="526"/>
      <c r="U60" s="526"/>
      <c r="V60" s="526"/>
      <c r="W60" s="526"/>
      <c r="X60" s="526"/>
      <c r="Y60" s="526"/>
      <c r="Z60" s="526"/>
      <c r="AA60" s="753"/>
      <c r="AB60" s="753"/>
      <c r="AC60" s="753"/>
      <c r="AD60" s="753"/>
      <c r="AE60" s="753"/>
      <c r="AF60" s="753"/>
      <c r="AG60" s="753"/>
      <c r="AH60" s="753"/>
      <c r="AI60" s="753"/>
      <c r="AJ60" s="753"/>
      <c r="AK60" s="753"/>
      <c r="AL60" s="753"/>
      <c r="AM60" s="753"/>
      <c r="AN60" s="753"/>
      <c r="AO60" s="753"/>
      <c r="AP60" s="753"/>
      <c r="AQ60" s="753"/>
      <c r="AR60" s="753"/>
      <c r="AS60" s="753"/>
      <c r="AT60" s="753"/>
    </row>
    <row r="61" spans="1:54">
      <c r="A61" s="13">
        <v>4</v>
      </c>
      <c r="B61" s="51">
        <f t="shared" si="118"/>
        <v>16.638935108153078</v>
      </c>
      <c r="C61" s="51">
        <f t="shared" si="118"/>
        <v>3.3726812816188869</v>
      </c>
      <c r="D61" s="51">
        <f t="shared" si="118"/>
        <v>5.4026241317211214</v>
      </c>
      <c r="E61" s="51">
        <f t="shared" si="118"/>
        <v>7.3029463611181065</v>
      </c>
      <c r="F61" s="51">
        <f t="shared" si="118"/>
        <v>10.235414534288639</v>
      </c>
      <c r="G61" s="51">
        <f t="shared" si="118"/>
        <v>4.5871559633027523</v>
      </c>
      <c r="H61" s="93">
        <f t="shared" si="118"/>
        <v>6.8073519400953026</v>
      </c>
      <c r="I61" s="51">
        <f t="shared" si="119"/>
        <v>6.7681895093062607</v>
      </c>
      <c r="J61" s="51">
        <f t="shared" si="119"/>
        <v>5.0761421319796947</v>
      </c>
      <c r="K61" s="51">
        <f t="shared" si="119"/>
        <v>2.0693222969477496</v>
      </c>
      <c r="L61" s="51">
        <f t="shared" si="119"/>
        <v>3.5514967021816335</v>
      </c>
      <c r="M61" s="51">
        <f t="shared" si="119"/>
        <v>5.1706308169596689</v>
      </c>
      <c r="N61" s="51">
        <f t="shared" si="119"/>
        <v>9.2165898617511512</v>
      </c>
      <c r="O61" s="51">
        <f t="shared" si="119"/>
        <v>3.9600944330210957</v>
      </c>
      <c r="P61" s="40"/>
      <c r="Q61" s="526"/>
      <c r="R61" s="526"/>
      <c r="S61" s="526"/>
      <c r="T61" s="526"/>
      <c r="U61" s="526"/>
      <c r="V61" s="526"/>
      <c r="W61" s="526"/>
      <c r="X61" s="526"/>
      <c r="Y61" s="526"/>
      <c r="Z61" s="526"/>
      <c r="AA61" s="753"/>
      <c r="AB61" s="753"/>
      <c r="AC61" s="753"/>
      <c r="AD61" s="753"/>
      <c r="AE61" s="753"/>
      <c r="AF61" s="753"/>
      <c r="AG61" s="753"/>
      <c r="AH61" s="753"/>
      <c r="AI61" s="753"/>
      <c r="AJ61" s="753"/>
      <c r="AK61" s="753"/>
      <c r="AL61" s="753"/>
      <c r="AM61" s="753"/>
      <c r="AN61" s="753"/>
      <c r="AO61" s="753"/>
      <c r="AP61" s="753"/>
      <c r="AQ61" s="753"/>
      <c r="AR61" s="753"/>
      <c r="AS61" s="753"/>
      <c r="AT61" s="753"/>
    </row>
    <row r="62" spans="1:54">
      <c r="A62" s="49" t="s">
        <v>84</v>
      </c>
      <c r="B62" s="51">
        <f t="shared" si="118"/>
        <v>11.485451761102604</v>
      </c>
      <c r="C62" s="51">
        <f t="shared" si="118"/>
        <v>8.7922258213789917</v>
      </c>
      <c r="D62" s="51">
        <f t="shared" si="118"/>
        <v>6.3203634208967019</v>
      </c>
      <c r="E62" s="51">
        <f t="shared" si="118"/>
        <v>5.1961548454143935</v>
      </c>
      <c r="F62" s="51">
        <f t="shared" si="118"/>
        <v>8.9285714285714288</v>
      </c>
      <c r="G62" s="51">
        <f t="shared" si="118"/>
        <v>7.042253521126761</v>
      </c>
      <c r="H62" s="93">
        <f t="shared" si="118"/>
        <v>7.4065365624265223</v>
      </c>
      <c r="I62" s="51">
        <f t="shared" si="119"/>
        <v>13.942680092951202</v>
      </c>
      <c r="J62" s="51">
        <f t="shared" si="119"/>
        <v>7.0028011204481793</v>
      </c>
      <c r="K62" s="51">
        <f t="shared" si="119"/>
        <v>5.1679586563307494</v>
      </c>
      <c r="L62" s="51">
        <f t="shared" si="119"/>
        <v>4.9621311047270824</v>
      </c>
      <c r="M62" s="51">
        <f t="shared" si="119"/>
        <v>3.7095919448860624</v>
      </c>
      <c r="N62" s="51">
        <f t="shared" si="119"/>
        <v>12.411347517730498</v>
      </c>
      <c r="O62" s="51">
        <f t="shared" si="119"/>
        <v>6.3366102096411225</v>
      </c>
      <c r="P62" s="40"/>
      <c r="Q62" s="526"/>
      <c r="R62" s="526"/>
      <c r="S62" s="526"/>
      <c r="T62" s="526"/>
      <c r="U62" s="526"/>
      <c r="V62" s="526"/>
      <c r="W62" s="526"/>
      <c r="X62" s="526"/>
      <c r="Y62" s="526"/>
      <c r="Z62" s="526"/>
      <c r="AA62" s="753"/>
      <c r="AB62" s="753"/>
      <c r="AC62" s="753"/>
      <c r="AD62" s="753"/>
      <c r="AE62" s="753"/>
      <c r="AF62" s="753"/>
      <c r="AG62" s="753"/>
      <c r="AH62" s="753"/>
      <c r="AI62" s="753"/>
      <c r="AJ62" s="753"/>
      <c r="AK62" s="753"/>
      <c r="AL62" s="753"/>
      <c r="AM62" s="753"/>
      <c r="AN62" s="753"/>
      <c r="AO62" s="753"/>
      <c r="AP62" s="753"/>
      <c r="AQ62" s="753"/>
      <c r="AR62" s="753"/>
      <c r="AS62" s="753"/>
      <c r="AT62" s="753"/>
    </row>
    <row r="63" spans="1:54">
      <c r="A63" s="80" t="s">
        <v>105</v>
      </c>
      <c r="B63" s="90"/>
      <c r="C63" s="90"/>
      <c r="D63" s="90"/>
      <c r="E63" s="90"/>
      <c r="F63" s="90"/>
      <c r="G63" s="90"/>
      <c r="H63" s="90"/>
      <c r="I63" s="90"/>
      <c r="J63" s="90"/>
      <c r="K63" s="90"/>
      <c r="L63" s="90"/>
      <c r="M63" s="90"/>
      <c r="N63" s="90"/>
      <c r="O63" s="90"/>
      <c r="P63" s="40"/>
      <c r="Q63" s="526"/>
      <c r="R63" s="526"/>
      <c r="S63" s="526"/>
      <c r="T63" s="526"/>
      <c r="U63" s="526"/>
      <c r="V63" s="526"/>
      <c r="W63" s="526"/>
      <c r="X63" s="526"/>
      <c r="Y63" s="526"/>
      <c r="Z63" s="526"/>
      <c r="AA63" s="753"/>
      <c r="AB63" s="753"/>
      <c r="AC63" s="753"/>
      <c r="AD63" s="753"/>
      <c r="AE63" s="753"/>
      <c r="AF63" s="753"/>
      <c r="AG63" s="753"/>
      <c r="AH63" s="753"/>
      <c r="AI63" s="753"/>
      <c r="AJ63" s="753"/>
      <c r="AK63" s="753"/>
      <c r="AL63" s="753"/>
      <c r="AM63" s="753"/>
      <c r="AN63" s="753"/>
      <c r="AO63" s="753"/>
      <c r="AP63" s="753"/>
      <c r="AQ63" s="753"/>
      <c r="AR63" s="753"/>
      <c r="AS63" s="753"/>
      <c r="AT63" s="753"/>
    </row>
    <row r="64" spans="1:54">
      <c r="A64" s="404" t="s">
        <v>375</v>
      </c>
      <c r="B64" s="412">
        <f>IF(B27/(B27+P27)*1000&gt;1000, "-", B27/(B27+P27)*1000)</f>
        <v>476.19047619047615</v>
      </c>
      <c r="C64" s="412">
        <f t="shared" ref="C64:H64" si="120">IF(C27/(C27+Q27)*1000&gt;1000, "-", C27/(C27+Q27)*1000)</f>
        <v>385.54216867469881</v>
      </c>
      <c r="D64" s="412">
        <f t="shared" si="120"/>
        <v>500</v>
      </c>
      <c r="E64" s="412">
        <f t="shared" si="120"/>
        <v>512</v>
      </c>
      <c r="F64" s="412">
        <f t="shared" si="120"/>
        <v>456.79012345679007</v>
      </c>
      <c r="G64" s="412">
        <f t="shared" si="120"/>
        <v>333.33333333333331</v>
      </c>
      <c r="H64" s="93">
        <f t="shared" si="120"/>
        <v>466.11909650924025</v>
      </c>
      <c r="I64" s="412">
        <f>IF(I27/P27*1000&gt;1000, "-", I27/P27*1000)</f>
        <v>409.09090909090912</v>
      </c>
      <c r="J64" s="412">
        <f t="shared" ref="J64:O64" si="121">IF(J27/Q27*1000&gt;1000, "-", J27/Q27*1000)</f>
        <v>490.19607843137254</v>
      </c>
      <c r="K64" s="412">
        <f t="shared" si="121"/>
        <v>348.4848484848485</v>
      </c>
      <c r="L64" s="412">
        <f t="shared" si="121"/>
        <v>442.6229508196721</v>
      </c>
      <c r="M64" s="412">
        <f t="shared" si="121"/>
        <v>136.36363636363635</v>
      </c>
      <c r="N64" s="412">
        <f t="shared" si="121"/>
        <v>375</v>
      </c>
      <c r="O64" s="412">
        <f t="shared" si="121"/>
        <v>369.23076923076923</v>
      </c>
      <c r="P64" s="40"/>
      <c r="Q64" s="526"/>
      <c r="R64" s="526"/>
      <c r="S64" s="526"/>
      <c r="T64" s="526"/>
      <c r="U64" s="526"/>
      <c r="V64" s="526"/>
      <c r="W64" s="526"/>
      <c r="X64" s="526"/>
      <c r="Y64" s="526"/>
      <c r="Z64" s="526"/>
      <c r="AA64" s="753"/>
      <c r="AB64" s="753"/>
      <c r="AC64" s="753"/>
      <c r="AD64" s="753"/>
      <c r="AE64" s="753"/>
      <c r="AF64" s="753"/>
      <c r="AG64" s="753"/>
      <c r="AH64" s="753"/>
      <c r="AI64" s="753"/>
      <c r="AJ64" s="753"/>
      <c r="AK64" s="753"/>
      <c r="AL64" s="753"/>
      <c r="AM64" s="753"/>
      <c r="AN64" s="753"/>
      <c r="AO64" s="753"/>
      <c r="AP64" s="753"/>
      <c r="AQ64" s="753"/>
      <c r="AR64" s="753"/>
      <c r="AS64" s="753"/>
      <c r="AT64" s="753"/>
    </row>
    <row r="65" spans="1:54" s="397" customFormat="1">
      <c r="A65" s="404" t="s">
        <v>376</v>
      </c>
      <c r="B65" s="412">
        <f t="shared" ref="B65:B68" si="122">IF(B28/(B28+P28)*1000&gt;1000, "-", B28/(B28+P28)*1000)</f>
        <v>40</v>
      </c>
      <c r="C65" s="412">
        <f t="shared" ref="C65:C68" si="123">IF(C28/(C28+Q28)*1000&gt;1000, "-", C28/(C28+Q28)*1000)</f>
        <v>83.333333333333329</v>
      </c>
      <c r="D65" s="412">
        <f t="shared" ref="D65:D68" si="124">IF(D28/(D28+R28)*1000&gt;1000, "-", D28/(D28+R28)*1000)</f>
        <v>86.956521739130437</v>
      </c>
      <c r="E65" s="412">
        <f t="shared" ref="E65:E68" si="125">IF(E28/(E28+S28)*1000&gt;1000, "-", E28/(E28+S28)*1000)</f>
        <v>76.923076923076934</v>
      </c>
      <c r="F65" s="412">
        <f t="shared" ref="F65:F68" si="126">IF(F28/(F28+T28)*1000&gt;1000, "-", F28/(F28+T28)*1000)</f>
        <v>102.56410256410255</v>
      </c>
      <c r="G65" s="412">
        <f t="shared" ref="G65:G68" si="127">IF(G28/(G28+U28)*1000&gt;1000, "-", G28/(G28+U28)*1000)</f>
        <v>90.909090909090907</v>
      </c>
      <c r="H65" s="93">
        <f t="shared" ref="H65:H68" si="128">IF(H28/(H28+V28)*1000&gt;1000, "-", H28/(H28+V28)*1000)</f>
        <v>83.516483516483518</v>
      </c>
      <c r="I65" s="412">
        <f t="shared" ref="I65:I68" si="129">IF(I28/P28*1000&gt;1000, "-", I28/P28*1000)</f>
        <v>83.333333333333329</v>
      </c>
      <c r="J65" s="412">
        <f t="shared" ref="J65:J68" si="130">IF(J28/Q28*1000&gt;1000, "-", J28/Q28*1000)</f>
        <v>15.151515151515152</v>
      </c>
      <c r="K65" s="412">
        <f t="shared" ref="K65:K68" si="131">IF(K28/R28*1000&gt;1000, "-", K28/R28*1000)</f>
        <v>28.571428571428569</v>
      </c>
      <c r="L65" s="412">
        <f t="shared" ref="L65:L68" si="132">IF(L28/S28*1000&gt;1000, "-", L28/S28*1000)</f>
        <v>15.151515151515152</v>
      </c>
      <c r="M65" s="412">
        <f t="shared" ref="M65:M68" si="133">IF(M28/T28*1000&gt;1000, "-", M28/T28*1000)</f>
        <v>57.142857142857139</v>
      </c>
      <c r="N65" s="412">
        <f t="shared" ref="N65:N68" si="134">IF(N28/U28*1000&gt;1000, "-", N28/U28*1000)</f>
        <v>100</v>
      </c>
      <c r="O65" s="412">
        <f t="shared" ref="O65:O68" si="135">IF(O28/V28*1000&gt;1000, "-", O28/V28*1000)</f>
        <v>33.573141486810549</v>
      </c>
      <c r="P65" s="40"/>
      <c r="Q65" s="526"/>
      <c r="R65" s="526"/>
      <c r="S65" s="526"/>
      <c r="T65" s="526"/>
      <c r="U65" s="526"/>
      <c r="V65" s="526"/>
      <c r="W65" s="526"/>
      <c r="X65" s="526"/>
      <c r="Y65" s="526"/>
      <c r="Z65" s="526"/>
      <c r="AA65" s="753"/>
      <c r="AB65" s="753"/>
      <c r="AC65" s="753"/>
      <c r="AD65" s="753"/>
      <c r="AE65" s="753"/>
      <c r="AF65" s="753"/>
      <c r="AG65" s="753"/>
      <c r="AH65" s="753"/>
      <c r="AI65" s="753"/>
      <c r="AJ65" s="753"/>
      <c r="AK65" s="753"/>
      <c r="AL65" s="753"/>
      <c r="AM65" s="753"/>
      <c r="AN65" s="753"/>
      <c r="AO65" s="753"/>
      <c r="AP65" s="753"/>
      <c r="AQ65" s="753"/>
      <c r="AR65" s="753"/>
      <c r="AS65" s="753"/>
      <c r="AT65" s="753"/>
      <c r="AU65" s="289"/>
      <c r="AV65" s="289"/>
      <c r="AW65" s="245"/>
      <c r="AX65" s="245"/>
      <c r="AY65" s="245"/>
      <c r="AZ65" s="245"/>
      <c r="BA65" s="245"/>
      <c r="BB65" s="245"/>
    </row>
    <row r="66" spans="1:54">
      <c r="A66" s="49" t="s">
        <v>64</v>
      </c>
      <c r="B66" s="412">
        <f t="shared" si="122"/>
        <v>35.714285714285715</v>
      </c>
      <c r="C66" s="412">
        <f t="shared" si="123"/>
        <v>21.069692058346838</v>
      </c>
      <c r="D66" s="412">
        <f t="shared" si="124"/>
        <v>8.0080080080080087</v>
      </c>
      <c r="E66" s="412">
        <f t="shared" si="125"/>
        <v>15.915119363395226</v>
      </c>
      <c r="F66" s="412">
        <f t="shared" si="126"/>
        <v>13.00578034682081</v>
      </c>
      <c r="G66" s="412">
        <f t="shared" si="127"/>
        <v>4.2553191489361701</v>
      </c>
      <c r="H66" s="93">
        <f t="shared" si="128"/>
        <v>14.470284237726098</v>
      </c>
      <c r="I66" s="412">
        <f t="shared" si="129"/>
        <v>10.582010582010582</v>
      </c>
      <c r="J66" s="412">
        <f t="shared" si="130"/>
        <v>13.245033112582782</v>
      </c>
      <c r="K66" s="412">
        <f t="shared" si="131"/>
        <v>4.0363269424823409</v>
      </c>
      <c r="L66" s="412">
        <f t="shared" si="132"/>
        <v>5.3908355795148255</v>
      </c>
      <c r="M66" s="412">
        <f t="shared" si="133"/>
        <v>1.4641288433382138</v>
      </c>
      <c r="N66" s="412">
        <f t="shared" si="134"/>
        <v>8.5470085470085486</v>
      </c>
      <c r="O66" s="412">
        <f t="shared" si="135"/>
        <v>6.0304142632406919</v>
      </c>
      <c r="P66" s="40"/>
      <c r="Q66" s="526"/>
      <c r="R66" s="526"/>
      <c r="S66" s="526"/>
      <c r="T66" s="526"/>
      <c r="U66" s="526"/>
      <c r="V66" s="526"/>
      <c r="W66" s="526"/>
      <c r="X66" s="526"/>
      <c r="Y66" s="526"/>
      <c r="Z66" s="526"/>
      <c r="AA66" s="753"/>
      <c r="AB66" s="753"/>
      <c r="AC66" s="753"/>
      <c r="AD66" s="753"/>
      <c r="AE66" s="753"/>
      <c r="AF66" s="753"/>
      <c r="AG66" s="753"/>
      <c r="AH66" s="753"/>
      <c r="AI66" s="753"/>
      <c r="AJ66" s="753"/>
      <c r="AK66" s="753"/>
      <c r="AL66" s="753"/>
      <c r="AM66" s="753"/>
      <c r="AN66" s="753"/>
      <c r="AO66" s="753"/>
      <c r="AP66" s="753"/>
      <c r="AQ66" s="753"/>
      <c r="AR66" s="753"/>
      <c r="AS66" s="753"/>
      <c r="AT66" s="753"/>
    </row>
    <row r="67" spans="1:54">
      <c r="A67" s="49" t="s">
        <v>65</v>
      </c>
      <c r="B67" s="412">
        <f t="shared" si="122"/>
        <v>3.0647985989492121</v>
      </c>
      <c r="C67" s="412">
        <f t="shared" si="123"/>
        <v>2.2106775726760253</v>
      </c>
      <c r="D67" s="412">
        <f t="shared" si="124"/>
        <v>1.1827321111768185</v>
      </c>
      <c r="E67" s="412">
        <f t="shared" si="125"/>
        <v>1.2274241627213747</v>
      </c>
      <c r="F67" s="412">
        <f t="shared" si="126"/>
        <v>1.6379122079056563</v>
      </c>
      <c r="G67" s="412">
        <f t="shared" si="127"/>
        <v>2.3062730627306274</v>
      </c>
      <c r="H67" s="93">
        <f t="shared" si="128"/>
        <v>1.5640629262526142</v>
      </c>
      <c r="I67" s="412">
        <f t="shared" si="129"/>
        <v>3.9525691699604741</v>
      </c>
      <c r="J67" s="412">
        <f t="shared" si="130"/>
        <v>2.4371330453085189</v>
      </c>
      <c r="K67" s="412">
        <f t="shared" si="131"/>
        <v>1.3157029142819552</v>
      </c>
      <c r="L67" s="412">
        <f t="shared" si="132"/>
        <v>1.2289325842696628</v>
      </c>
      <c r="M67" s="412">
        <f t="shared" si="133"/>
        <v>1.6405993656349118</v>
      </c>
      <c r="N67" s="412">
        <f t="shared" si="134"/>
        <v>1.8492834026814609</v>
      </c>
      <c r="O67" s="412">
        <f t="shared" si="135"/>
        <v>1.6575893914278947</v>
      </c>
      <c r="P67" s="40"/>
      <c r="Q67" s="526"/>
      <c r="R67" s="526"/>
      <c r="S67" s="526"/>
      <c r="T67" s="526"/>
      <c r="U67" s="526"/>
      <c r="V67" s="526"/>
      <c r="W67" s="526"/>
      <c r="X67" s="526"/>
      <c r="Y67" s="526"/>
      <c r="Z67" s="526"/>
      <c r="AA67" s="753"/>
      <c r="AB67" s="753"/>
      <c r="AC67" s="753"/>
      <c r="AD67" s="753"/>
      <c r="AE67" s="753"/>
      <c r="AF67" s="753"/>
      <c r="AG67" s="753"/>
      <c r="AH67" s="753"/>
      <c r="AI67" s="753"/>
      <c r="AJ67" s="753"/>
      <c r="AK67" s="753"/>
      <c r="AL67" s="753"/>
      <c r="AM67" s="753"/>
      <c r="AN67" s="753"/>
      <c r="AO67" s="753"/>
      <c r="AP67" s="753"/>
      <c r="AQ67" s="753"/>
      <c r="AR67" s="753"/>
      <c r="AS67" s="753"/>
      <c r="AT67" s="753"/>
    </row>
    <row r="68" spans="1:54">
      <c r="A68" s="49" t="s">
        <v>66</v>
      </c>
      <c r="B68" s="412">
        <f t="shared" si="122"/>
        <v>0</v>
      </c>
      <c r="C68" s="412">
        <f t="shared" si="123"/>
        <v>0</v>
      </c>
      <c r="D68" s="412">
        <f t="shared" si="124"/>
        <v>0</v>
      </c>
      <c r="E68" s="412">
        <f t="shared" si="125"/>
        <v>0</v>
      </c>
      <c r="F68" s="412">
        <f t="shared" si="126"/>
        <v>0</v>
      </c>
      <c r="G68" s="412">
        <f t="shared" si="127"/>
        <v>0</v>
      </c>
      <c r="H68" s="93">
        <f t="shared" si="128"/>
        <v>0</v>
      </c>
      <c r="I68" s="412">
        <f t="shared" si="129"/>
        <v>66.666666666666671</v>
      </c>
      <c r="J68" s="412">
        <f t="shared" si="130"/>
        <v>0</v>
      </c>
      <c r="K68" s="412">
        <f t="shared" si="131"/>
        <v>3.4013605442176869</v>
      </c>
      <c r="L68" s="412">
        <f t="shared" si="132"/>
        <v>0</v>
      </c>
      <c r="M68" s="412">
        <f t="shared" si="133"/>
        <v>0</v>
      </c>
      <c r="N68" s="412">
        <f t="shared" si="134"/>
        <v>0</v>
      </c>
      <c r="O68" s="412">
        <f t="shared" si="135"/>
        <v>3.9331366764995086</v>
      </c>
      <c r="P68" s="40"/>
      <c r="Q68" s="526"/>
      <c r="R68" s="526"/>
      <c r="S68" s="526"/>
      <c r="T68" s="526"/>
      <c r="U68" s="526"/>
      <c r="V68" s="526"/>
      <c r="W68" s="526"/>
      <c r="X68" s="526"/>
      <c r="Y68" s="526"/>
      <c r="Z68" s="526"/>
      <c r="AA68" s="753"/>
      <c r="AB68" s="753"/>
      <c r="AC68" s="753"/>
      <c r="AD68" s="753"/>
      <c r="AE68" s="753"/>
      <c r="AF68" s="753"/>
      <c r="AG68" s="753"/>
      <c r="AH68" s="753"/>
      <c r="AI68" s="753"/>
      <c r="AJ68" s="753"/>
      <c r="AK68" s="753"/>
      <c r="AL68" s="753"/>
      <c r="AM68" s="753"/>
      <c r="AN68" s="753"/>
      <c r="AO68" s="753"/>
      <c r="AP68" s="753"/>
      <c r="AQ68" s="753"/>
      <c r="AR68" s="753"/>
      <c r="AS68" s="753"/>
      <c r="AT68" s="753"/>
    </row>
    <row r="69" spans="1:54">
      <c r="A69" s="80" t="s">
        <v>1</v>
      </c>
      <c r="B69" s="90"/>
      <c r="C69" s="90"/>
      <c r="D69" s="90"/>
      <c r="E69" s="90"/>
      <c r="F69" s="90"/>
      <c r="G69" s="90"/>
      <c r="H69" s="90"/>
      <c r="I69" s="90"/>
      <c r="J69" s="90"/>
      <c r="K69" s="90"/>
      <c r="L69" s="90"/>
      <c r="M69" s="90"/>
      <c r="N69" s="90"/>
      <c r="O69" s="90"/>
      <c r="P69" s="40"/>
      <c r="Q69" s="526"/>
      <c r="R69" s="526"/>
      <c r="S69" s="526"/>
      <c r="T69" s="526"/>
      <c r="U69" s="526"/>
      <c r="V69" s="526"/>
      <c r="W69" s="526"/>
      <c r="X69" s="526"/>
      <c r="Y69" s="526"/>
      <c r="Z69" s="526"/>
      <c r="AA69" s="753"/>
      <c r="AB69" s="753"/>
      <c r="AC69" s="753"/>
      <c r="AD69" s="753"/>
      <c r="AE69" s="753"/>
      <c r="AF69" s="753"/>
      <c r="AG69" s="753"/>
      <c r="AH69" s="753"/>
      <c r="AI69" s="753"/>
      <c r="AJ69" s="753"/>
      <c r="AK69" s="753"/>
      <c r="AL69" s="753"/>
      <c r="AM69" s="753"/>
      <c r="AN69" s="753"/>
      <c r="AO69" s="753"/>
      <c r="AP69" s="753"/>
      <c r="AQ69" s="753"/>
      <c r="AR69" s="753"/>
      <c r="AS69" s="753"/>
      <c r="AT69" s="753"/>
    </row>
    <row r="70" spans="1:54" s="77" customFormat="1">
      <c r="A70" s="404" t="s">
        <v>378</v>
      </c>
      <c r="B70" s="412">
        <f>IFERROR(IF(B34/(B34+P34)*1000&gt;1000, "-", B34/(B34+P34)*1000),"-")</f>
        <v>846.15384615384619</v>
      </c>
      <c r="C70" s="412">
        <f t="shared" ref="C70:H70" si="136">IFERROR(IF(C34/(C34+Q34)*1000&gt;1000, "-", C34/(C34+Q34)*1000),"-")</f>
        <v>676.47058823529414</v>
      </c>
      <c r="D70" s="412">
        <f t="shared" si="136"/>
        <v>754.71698113207549</v>
      </c>
      <c r="E70" s="412">
        <f t="shared" si="136"/>
        <v>693.54838709677426</v>
      </c>
      <c r="F70" s="412">
        <f t="shared" si="136"/>
        <v>740.74074074074065</v>
      </c>
      <c r="G70" s="412">
        <f t="shared" si="136"/>
        <v>800</v>
      </c>
      <c r="H70" s="93">
        <f t="shared" si="136"/>
        <v>726.80412371134014</v>
      </c>
      <c r="I70" s="418">
        <f>IFERROR(IF(I34/P34*1000&gt;1000, "-", I34/P34*1000),"-")</f>
        <v>1000</v>
      </c>
      <c r="J70" s="418">
        <f t="shared" ref="J70:O70" si="137">IFERROR(IF(J34/Q34*1000&gt;1000, "-", J34/Q34*1000),"-")</f>
        <v>1000</v>
      </c>
      <c r="K70" s="418">
        <f t="shared" si="137"/>
        <v>538.46153846153845</v>
      </c>
      <c r="L70" s="418">
        <f t="shared" si="137"/>
        <v>631.57894736842104</v>
      </c>
      <c r="M70" s="418">
        <f t="shared" si="137"/>
        <v>428.57142857142856</v>
      </c>
      <c r="N70" s="418" t="str">
        <f>IFERROR(IF(N34/U34*1000&gt;1000, "-", N34/U34*1000),"-")</f>
        <v>-</v>
      </c>
      <c r="O70" s="418">
        <f t="shared" si="137"/>
        <v>698.11320754716974</v>
      </c>
      <c r="P70" s="57"/>
      <c r="Q70" s="707"/>
      <c r="R70" s="707"/>
      <c r="S70" s="707"/>
      <c r="T70" s="707"/>
      <c r="U70" s="707"/>
      <c r="V70" s="707"/>
      <c r="W70" s="707"/>
      <c r="X70" s="707"/>
      <c r="Y70" s="707"/>
      <c r="Z70" s="707"/>
      <c r="AA70" s="779"/>
      <c r="AB70" s="779"/>
      <c r="AC70" s="779"/>
      <c r="AD70" s="779"/>
      <c r="AE70" s="779"/>
      <c r="AF70" s="779"/>
      <c r="AG70" s="779"/>
      <c r="AH70" s="779"/>
      <c r="AI70" s="779"/>
      <c r="AJ70" s="779"/>
      <c r="AK70" s="779"/>
      <c r="AL70" s="779"/>
      <c r="AM70" s="779"/>
      <c r="AN70" s="779"/>
      <c r="AO70" s="779"/>
      <c r="AP70" s="779"/>
      <c r="AQ70" s="779"/>
      <c r="AR70" s="779"/>
      <c r="AS70" s="779"/>
      <c r="AT70" s="779"/>
      <c r="AU70" s="780"/>
      <c r="AV70" s="780"/>
      <c r="AW70" s="243"/>
      <c r="AX70" s="243"/>
      <c r="AY70" s="243"/>
      <c r="AZ70" s="243"/>
      <c r="BA70" s="243"/>
      <c r="BB70" s="243"/>
    </row>
    <row r="71" spans="1:54" s="77" customFormat="1">
      <c r="A71" s="404" t="s">
        <v>386</v>
      </c>
      <c r="B71" s="412">
        <f t="shared" ref="B71:B75" si="138">IFERROR(IF(B35/(B35+P35)*1000&gt;1000, "-", B35/(B35+P35)*1000),"-")</f>
        <v>296.2962962962963</v>
      </c>
      <c r="C71" s="412">
        <f t="shared" ref="C71:C75" si="139">IFERROR(IF(C35/(C35+Q35)*1000&gt;1000, "-", C35/(C35+Q35)*1000),"-")</f>
        <v>333.33333333333331</v>
      </c>
      <c r="D71" s="412">
        <f t="shared" ref="D71:D75" si="140">IFERROR(IF(D35/(D35+R35)*1000&gt;1000, "-", D35/(D35+R35)*1000),"-")</f>
        <v>323.94366197183098</v>
      </c>
      <c r="E71" s="412">
        <f t="shared" ref="E71:E75" si="141">IFERROR(IF(E35/(E35+S35)*1000&gt;1000, "-", E35/(E35+S35)*1000),"-")</f>
        <v>362.31884057971013</v>
      </c>
      <c r="F71" s="412">
        <f t="shared" ref="F71:F75" si="142">IFERROR(IF(F35/(F35+T35)*1000&gt;1000, "-", F35/(F35+T35)*1000),"-")</f>
        <v>327.86885245901635</v>
      </c>
      <c r="G71" s="412">
        <f t="shared" ref="G71:G75" si="143">IFERROR(IF(G35/(G35+U35)*1000&gt;1000, "-", G35/(G35+U35)*1000),"-")</f>
        <v>300</v>
      </c>
      <c r="H71" s="93">
        <f t="shared" ref="H71:H75" si="144">IFERROR(IF(H35/(H35+V35)*1000&gt;1000, "-", H35/(H35+V35)*1000),"-")</f>
        <v>331.05802047781566</v>
      </c>
      <c r="I71" s="418">
        <f t="shared" ref="I71:I75" si="145">IFERROR(IF(I35/P35*1000&gt;1000, "-", I35/P35*1000),"-")</f>
        <v>421.05263157894734</v>
      </c>
      <c r="J71" s="418">
        <f t="shared" ref="J71:J75" si="146">IFERROR(IF(J35/Q35*1000&gt;1000, "-", J35/Q35*1000),"-")</f>
        <v>466.66666666666669</v>
      </c>
      <c r="K71" s="418">
        <f t="shared" ref="K71:K75" si="147">IFERROR(IF(K35/R35*1000&gt;1000, "-", K35/R35*1000),"-")</f>
        <v>291.66666666666669</v>
      </c>
      <c r="L71" s="418">
        <f t="shared" ref="L71:L75" si="148">IFERROR(IF(L35/S35*1000&gt;1000, "-", L35/S35*1000),"-")</f>
        <v>318.18181818181819</v>
      </c>
      <c r="M71" s="418">
        <f t="shared" ref="M71:M75" si="149">IFERROR(IF(M35/T35*1000&gt;1000, "-", M35/T35*1000),"-")</f>
        <v>73.170731707317074</v>
      </c>
      <c r="N71" s="418">
        <f t="shared" ref="N71:N75" si="150">IFERROR(IF(N35/U35*1000&gt;1000, "-", N35/U35*1000),"-")</f>
        <v>285.71428571428572</v>
      </c>
      <c r="O71" s="418">
        <f t="shared" ref="O71:O75" si="151">IFERROR(IF(O35/V35*1000&gt;1000, "-", O35/V35*1000),"-")</f>
        <v>290.81632653061223</v>
      </c>
      <c r="P71" s="57"/>
      <c r="Q71" s="707"/>
      <c r="R71" s="707"/>
      <c r="S71" s="707"/>
      <c r="T71" s="707"/>
      <c r="U71" s="707"/>
      <c r="V71" s="707"/>
      <c r="W71" s="707"/>
      <c r="X71" s="707"/>
      <c r="Y71" s="707"/>
      <c r="Z71" s="707"/>
      <c r="AA71" s="779"/>
      <c r="AB71" s="779"/>
      <c r="AC71" s="779"/>
      <c r="AD71" s="779"/>
      <c r="AE71" s="779"/>
      <c r="AF71" s="779"/>
      <c r="AG71" s="779"/>
      <c r="AH71" s="779"/>
      <c r="AI71" s="779"/>
      <c r="AJ71" s="779"/>
      <c r="AK71" s="779"/>
      <c r="AL71" s="779"/>
      <c r="AM71" s="779"/>
      <c r="AN71" s="779"/>
      <c r="AO71" s="779"/>
      <c r="AP71" s="779"/>
      <c r="AQ71" s="779"/>
      <c r="AR71" s="779"/>
      <c r="AS71" s="779"/>
      <c r="AT71" s="779"/>
      <c r="AU71" s="780"/>
      <c r="AV71" s="780"/>
      <c r="AW71" s="243"/>
      <c r="AX71" s="243"/>
      <c r="AY71" s="243"/>
      <c r="AZ71" s="243"/>
      <c r="BA71" s="243"/>
      <c r="BB71" s="243"/>
    </row>
    <row r="72" spans="1:54" s="77" customFormat="1">
      <c r="A72" s="404" t="s">
        <v>387</v>
      </c>
      <c r="B72" s="412">
        <f t="shared" si="138"/>
        <v>125</v>
      </c>
      <c r="C72" s="412">
        <f t="shared" si="139"/>
        <v>19.230769230769234</v>
      </c>
      <c r="D72" s="412">
        <f t="shared" si="140"/>
        <v>103.77358490566039</v>
      </c>
      <c r="E72" s="412">
        <f t="shared" si="141"/>
        <v>56.074766355140184</v>
      </c>
      <c r="F72" s="412">
        <f t="shared" si="142"/>
        <v>113.20754716981132</v>
      </c>
      <c r="G72" s="412">
        <f t="shared" si="143"/>
        <v>0</v>
      </c>
      <c r="H72" s="93">
        <f t="shared" si="144"/>
        <v>75.41899441340783</v>
      </c>
      <c r="I72" s="418">
        <f t="shared" si="145"/>
        <v>47.619047619047613</v>
      </c>
      <c r="J72" s="418">
        <f t="shared" si="146"/>
        <v>0</v>
      </c>
      <c r="K72" s="418">
        <f t="shared" si="147"/>
        <v>42.105263157894733</v>
      </c>
      <c r="L72" s="418">
        <f t="shared" si="148"/>
        <v>0</v>
      </c>
      <c r="M72" s="418">
        <f t="shared" si="149"/>
        <v>42.553191489361701</v>
      </c>
      <c r="N72" s="418">
        <f t="shared" si="150"/>
        <v>62.5</v>
      </c>
      <c r="O72" s="418">
        <f t="shared" si="151"/>
        <v>24.169184290030213</v>
      </c>
      <c r="P72" s="57"/>
      <c r="Q72" s="707"/>
      <c r="R72" s="707"/>
      <c r="S72" s="707"/>
      <c r="T72" s="707"/>
      <c r="U72" s="707"/>
      <c r="V72" s="707"/>
      <c r="W72" s="707"/>
      <c r="X72" s="707"/>
      <c r="Y72" s="707"/>
      <c r="Z72" s="707"/>
      <c r="AA72" s="779"/>
      <c r="AB72" s="779"/>
      <c r="AC72" s="779"/>
      <c r="AD72" s="779"/>
      <c r="AE72" s="779"/>
      <c r="AF72" s="779"/>
      <c r="AG72" s="779"/>
      <c r="AH72" s="779"/>
      <c r="AI72" s="779"/>
      <c r="AJ72" s="779"/>
      <c r="AK72" s="779"/>
      <c r="AL72" s="779"/>
      <c r="AM72" s="779"/>
      <c r="AN72" s="779"/>
      <c r="AO72" s="779"/>
      <c r="AP72" s="779"/>
      <c r="AQ72" s="779"/>
      <c r="AR72" s="779"/>
      <c r="AS72" s="779"/>
      <c r="AT72" s="779"/>
      <c r="AU72" s="780"/>
      <c r="AV72" s="780"/>
      <c r="AW72" s="243"/>
      <c r="AX72" s="243"/>
      <c r="AY72" s="243"/>
      <c r="AZ72" s="243"/>
      <c r="BA72" s="243"/>
      <c r="BB72" s="243"/>
    </row>
    <row r="73" spans="1:54" s="77" customFormat="1">
      <c r="A73" s="464" t="s">
        <v>396</v>
      </c>
      <c r="B73" s="412">
        <f t="shared" si="138"/>
        <v>40.935672514619881</v>
      </c>
      <c r="C73" s="412">
        <f t="shared" si="139"/>
        <v>21.526418786692759</v>
      </c>
      <c r="D73" s="412">
        <f t="shared" si="140"/>
        <v>6.5789473684210522</v>
      </c>
      <c r="E73" s="412">
        <f t="shared" si="141"/>
        <v>14.192139737991267</v>
      </c>
      <c r="F73" s="412">
        <f t="shared" si="142"/>
        <v>15.625</v>
      </c>
      <c r="G73" s="412">
        <f t="shared" si="143"/>
        <v>6.024096385542169</v>
      </c>
      <c r="H73" s="93">
        <f t="shared" si="144"/>
        <v>14.822134387351777</v>
      </c>
      <c r="I73" s="418">
        <f t="shared" si="145"/>
        <v>18.292682926829269</v>
      </c>
      <c r="J73" s="418">
        <f t="shared" si="146"/>
        <v>20</v>
      </c>
      <c r="K73" s="418">
        <f t="shared" si="147"/>
        <v>3.9735099337748343</v>
      </c>
      <c r="L73" s="418">
        <f t="shared" si="148"/>
        <v>11.07419712070875</v>
      </c>
      <c r="M73" s="418">
        <f t="shared" si="149"/>
        <v>11.904761904761903</v>
      </c>
      <c r="N73" s="418">
        <f t="shared" si="150"/>
        <v>18.18181818181818</v>
      </c>
      <c r="O73" s="418">
        <f t="shared" si="151"/>
        <v>11.70177198261451</v>
      </c>
      <c r="P73" s="57"/>
      <c r="Q73" s="707"/>
      <c r="R73" s="707"/>
      <c r="S73" s="707"/>
      <c r="T73" s="707"/>
      <c r="U73" s="707"/>
      <c r="V73" s="707"/>
      <c r="W73" s="707"/>
      <c r="X73" s="707"/>
      <c r="Y73" s="707"/>
      <c r="Z73" s="707"/>
      <c r="AA73" s="779"/>
      <c r="AB73" s="779"/>
      <c r="AC73" s="779"/>
      <c r="AD73" s="779"/>
      <c r="AE73" s="779"/>
      <c r="AF73" s="779"/>
      <c r="AG73" s="779"/>
      <c r="AH73" s="779"/>
      <c r="AI73" s="779"/>
      <c r="AJ73" s="779"/>
      <c r="AK73" s="779"/>
      <c r="AL73" s="779"/>
      <c r="AM73" s="779"/>
      <c r="AN73" s="779"/>
      <c r="AO73" s="779"/>
      <c r="AP73" s="779"/>
      <c r="AQ73" s="779"/>
      <c r="AR73" s="779"/>
      <c r="AS73" s="779"/>
      <c r="AT73" s="779"/>
      <c r="AU73" s="780"/>
      <c r="AV73" s="780"/>
      <c r="AW73" s="243"/>
      <c r="AX73" s="243"/>
      <c r="AY73" s="243"/>
      <c r="AZ73" s="243"/>
      <c r="BA73" s="243"/>
      <c r="BB73" s="243"/>
    </row>
    <row r="74" spans="1:54" s="77" customFormat="1">
      <c r="A74" s="407" t="s">
        <v>388</v>
      </c>
      <c r="B74" s="412">
        <f t="shared" si="138"/>
        <v>2.5795356835769563</v>
      </c>
      <c r="C74" s="412">
        <f t="shared" si="139"/>
        <v>1.9676432006996065</v>
      </c>
      <c r="D74" s="412">
        <f t="shared" si="140"/>
        <v>1.1075640106847351</v>
      </c>
      <c r="E74" s="412">
        <f t="shared" si="141"/>
        <v>1.4517159282271646</v>
      </c>
      <c r="F74" s="412">
        <f t="shared" si="142"/>
        <v>1.2971570641011783</v>
      </c>
      <c r="G74" s="412">
        <f t="shared" si="143"/>
        <v>1.3679890560875512</v>
      </c>
      <c r="H74" s="93">
        <f t="shared" si="144"/>
        <v>1.4597750865051904</v>
      </c>
      <c r="I74" s="418">
        <f t="shared" si="145"/>
        <v>5.1724137931034484</v>
      </c>
      <c r="J74" s="418">
        <f t="shared" si="146"/>
        <v>2.5191675794085433</v>
      </c>
      <c r="K74" s="418">
        <f t="shared" si="147"/>
        <v>1.5001304461257499</v>
      </c>
      <c r="L74" s="418">
        <f t="shared" si="148"/>
        <v>1.2212142358688067</v>
      </c>
      <c r="M74" s="418">
        <f t="shared" si="149"/>
        <v>1.2988418660028143</v>
      </c>
      <c r="N74" s="418">
        <f t="shared" si="150"/>
        <v>1.8264840182648401</v>
      </c>
      <c r="O74" s="418">
        <f t="shared" si="151"/>
        <v>1.7145847997545438</v>
      </c>
      <c r="P74" s="57"/>
      <c r="Q74" s="707"/>
      <c r="R74" s="707"/>
      <c r="S74" s="707"/>
      <c r="T74" s="707"/>
      <c r="U74" s="707"/>
      <c r="V74" s="707"/>
      <c r="W74" s="707"/>
      <c r="X74" s="707"/>
      <c r="Y74" s="707"/>
      <c r="Z74" s="707"/>
      <c r="AA74" s="779"/>
      <c r="AB74" s="779"/>
      <c r="AC74" s="779"/>
      <c r="AD74" s="779"/>
      <c r="AE74" s="779"/>
      <c r="AF74" s="779"/>
      <c r="AG74" s="779"/>
      <c r="AH74" s="779"/>
      <c r="AI74" s="779"/>
      <c r="AJ74" s="779"/>
      <c r="AK74" s="779"/>
      <c r="AL74" s="779"/>
      <c r="AM74" s="779"/>
      <c r="AN74" s="779"/>
      <c r="AO74" s="779"/>
      <c r="AP74" s="779"/>
      <c r="AQ74" s="779"/>
      <c r="AR74" s="779"/>
      <c r="AS74" s="779"/>
      <c r="AT74" s="779"/>
      <c r="AU74" s="780"/>
      <c r="AV74" s="780"/>
      <c r="AW74" s="243"/>
      <c r="AX74" s="243"/>
      <c r="AY74" s="243"/>
      <c r="AZ74" s="243"/>
      <c r="BA74" s="243"/>
      <c r="BB74" s="243"/>
    </row>
    <row r="75" spans="1:54">
      <c r="A75" s="408" t="s">
        <v>383</v>
      </c>
      <c r="B75" s="412">
        <f t="shared" si="138"/>
        <v>0</v>
      </c>
      <c r="C75" s="412">
        <f t="shared" si="139"/>
        <v>0</v>
      </c>
      <c r="D75" s="412">
        <f t="shared" si="140"/>
        <v>4.8543689320388346</v>
      </c>
      <c r="E75" s="412">
        <f t="shared" si="141"/>
        <v>0</v>
      </c>
      <c r="F75" s="412">
        <f t="shared" si="142"/>
        <v>7.6335877862595414</v>
      </c>
      <c r="G75" s="412">
        <f t="shared" si="143"/>
        <v>0</v>
      </c>
      <c r="H75" s="93">
        <f t="shared" si="144"/>
        <v>2.8030833917309037</v>
      </c>
      <c r="I75" s="418">
        <f t="shared" si="145"/>
        <v>0</v>
      </c>
      <c r="J75" s="418">
        <f t="shared" si="146"/>
        <v>0</v>
      </c>
      <c r="K75" s="418">
        <f t="shared" si="147"/>
        <v>0</v>
      </c>
      <c r="L75" s="418">
        <f t="shared" si="148"/>
        <v>0</v>
      </c>
      <c r="M75" s="418">
        <f t="shared" si="149"/>
        <v>0</v>
      </c>
      <c r="N75" s="418">
        <f t="shared" si="150"/>
        <v>0</v>
      </c>
      <c r="O75" s="418">
        <f t="shared" si="151"/>
        <v>0</v>
      </c>
    </row>
    <row r="76" spans="1:54">
      <c r="A76" s="290" t="s">
        <v>344</v>
      </c>
      <c r="B76" s="413"/>
      <c r="C76" s="413"/>
      <c r="D76" s="413"/>
      <c r="E76" s="413"/>
      <c r="F76" s="413"/>
      <c r="G76" s="413"/>
      <c r="H76" s="413"/>
      <c r="I76" s="413"/>
      <c r="J76" s="413"/>
      <c r="K76" s="413"/>
      <c r="L76" s="413"/>
      <c r="M76" s="413"/>
      <c r="N76" s="413"/>
      <c r="O76" s="413"/>
    </row>
    <row r="77" spans="1:54">
      <c r="A77" s="327" t="s">
        <v>398</v>
      </c>
    </row>
    <row r="78" spans="1:54" ht="28.5" customHeight="1">
      <c r="A78" s="903" t="s">
        <v>631</v>
      </c>
      <c r="B78" s="903"/>
      <c r="C78" s="903"/>
      <c r="D78" s="903"/>
      <c r="E78" s="903"/>
      <c r="F78" s="903"/>
      <c r="G78" s="903"/>
      <c r="H78" s="903"/>
      <c r="I78" s="903"/>
      <c r="J78" s="903"/>
      <c r="K78" s="903"/>
      <c r="L78" s="903"/>
      <c r="M78" s="903"/>
      <c r="N78" s="903"/>
      <c r="O78" s="903"/>
    </row>
    <row r="79" spans="1:54">
      <c r="A79" s="59"/>
    </row>
  </sheetData>
  <mergeCells count="10">
    <mergeCell ref="A78:O78"/>
    <mergeCell ref="A45:A46"/>
    <mergeCell ref="B45:H45"/>
    <mergeCell ref="I45:O45"/>
    <mergeCell ref="A5:V5"/>
    <mergeCell ref="P6:V6"/>
    <mergeCell ref="B6:H6"/>
    <mergeCell ref="I6:O6"/>
    <mergeCell ref="A6:A7"/>
    <mergeCell ref="A44:O44"/>
  </mergeCells>
  <hyperlinks>
    <hyperlink ref="B1" location="Glossary!A1" display="Glossary" xr:uid="{00000000-0004-0000-0700-000000000000}"/>
    <hyperlink ref="A1" location="Contents!A1" display="Table of contents" xr:uid="{00000000-0004-0000-0700-000001000000}"/>
    <hyperlink ref="C1" location="About!A1" display="About the publication" xr:uid="{00000000-0004-0000-0700-000002000000}"/>
    <hyperlink ref="E1" location="KeyFindings!A1" display="Key findings" xr:uid="{00000000-0004-0000-0700-000003000000}"/>
  </hyperlinks>
  <pageMargins left="0.70866141732283472" right="0.70866141732283472" top="0.74803149606299213" bottom="0.74803149606299213" header="0.31496062992125984" footer="0.31496062992125984"/>
  <pageSetup paperSize="9" scale="42" fitToHeight="2" orientation="portrait" r:id="rId1"/>
  <headerFooter>
    <oddFooter>&amp;L&amp;"Arial,Regular"&amp;8&amp;K01+019Fetal and Infant Deaths 2016&amp;R&amp;"Arial,Regular"&amp;8&amp;K01+018Page &amp;P of &amp;N</oddFooter>
  </headerFooter>
  <rowBreaks count="1" manualBreakCount="1">
    <brk id="42" max="2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pageSetUpPr fitToPage="1"/>
  </sheetPr>
  <dimension ref="A1:BC112"/>
  <sheetViews>
    <sheetView zoomScaleNormal="100" workbookViewId="0">
      <pane ySplit="3" topLeftCell="A4" activePane="bottomLeft" state="frozen"/>
      <selection activeCell="AA1" sqref="AA1:AP1048576"/>
      <selection pane="bottomLeft" activeCell="A4" sqref="A4"/>
    </sheetView>
  </sheetViews>
  <sheetFormatPr defaultRowHeight="15"/>
  <cols>
    <col min="1" max="1" width="25.28515625" bestFit="1" customWidth="1"/>
    <col min="7" max="7" width="9.140625" style="9" customWidth="1"/>
    <col min="13" max="13" width="9.140625" style="9"/>
    <col min="14" max="17" width="8.85546875" customWidth="1"/>
    <col min="20" max="26" width="9.140625" customWidth="1"/>
    <col min="27" max="27" width="25.140625" style="289" bestFit="1" customWidth="1"/>
    <col min="28" max="45" width="9.140625" style="289"/>
    <col min="46" max="50" width="9.140625" style="245"/>
  </cols>
  <sheetData>
    <row r="1" spans="1:55" s="103" customFormat="1">
      <c r="A1" s="88" t="s">
        <v>158</v>
      </c>
      <c r="B1" s="88" t="s">
        <v>115</v>
      </c>
      <c r="C1" s="88" t="s">
        <v>173</v>
      </c>
      <c r="E1" s="159" t="s">
        <v>353</v>
      </c>
      <c r="F1" s="88"/>
      <c r="G1" s="89"/>
      <c r="AA1" s="515"/>
      <c r="AB1" s="515"/>
      <c r="AC1" s="515"/>
      <c r="AD1" s="515"/>
      <c r="AE1" s="515"/>
      <c r="AF1" s="515"/>
      <c r="AG1" s="515"/>
      <c r="AH1" s="515"/>
      <c r="AI1" s="515"/>
      <c r="AJ1" s="515"/>
      <c r="AK1" s="515"/>
      <c r="AL1" s="515"/>
      <c r="AM1" s="515"/>
      <c r="AN1" s="515"/>
      <c r="AO1" s="515"/>
      <c r="AP1" s="515"/>
      <c r="AQ1" s="515"/>
      <c r="AR1" s="515"/>
      <c r="AS1" s="515"/>
      <c r="AT1" s="516"/>
      <c r="AU1" s="516"/>
      <c r="AV1" s="516"/>
      <c r="AW1" s="516"/>
      <c r="AX1" s="516"/>
    </row>
    <row r="2" spans="1:55" s="5" customFormat="1" ht="9" customHeight="1">
      <c r="A2" s="60"/>
      <c r="B2" s="61"/>
      <c r="C2" s="62"/>
      <c r="D2" s="62"/>
      <c r="E2" s="62"/>
      <c r="F2" s="62"/>
      <c r="AA2" s="515"/>
      <c r="AB2" s="515"/>
      <c r="AC2" s="515"/>
      <c r="AD2" s="515"/>
      <c r="AE2" s="515"/>
      <c r="AF2" s="515"/>
      <c r="AG2" s="515"/>
      <c r="AH2" s="515"/>
      <c r="AI2" s="515"/>
      <c r="AJ2" s="515"/>
      <c r="AK2" s="515"/>
      <c r="AL2" s="515"/>
      <c r="AM2" s="515"/>
      <c r="AN2" s="515"/>
      <c r="AO2" s="515"/>
      <c r="AP2" s="515"/>
      <c r="AQ2" s="515"/>
      <c r="AR2" s="515"/>
      <c r="AS2" s="515"/>
      <c r="AT2" s="516"/>
      <c r="AU2" s="516"/>
      <c r="AV2" s="516"/>
      <c r="AW2" s="516"/>
      <c r="AX2" s="516"/>
    </row>
    <row r="3" spans="1:55" s="103" customFormat="1" ht="20.25">
      <c r="A3" s="76" t="s">
        <v>157</v>
      </c>
      <c r="G3" s="73"/>
      <c r="M3" s="73"/>
      <c r="AA3" s="515"/>
      <c r="AB3" s="515"/>
      <c r="AC3" s="515"/>
      <c r="AD3" s="515"/>
      <c r="AE3" s="515"/>
      <c r="AF3" s="515"/>
      <c r="AG3" s="515"/>
      <c r="AH3" s="515"/>
      <c r="AI3" s="515"/>
      <c r="AJ3" s="515"/>
      <c r="AK3" s="515"/>
      <c r="AL3" s="515"/>
      <c r="AM3" s="515"/>
      <c r="AN3" s="515"/>
      <c r="AO3" s="515"/>
      <c r="AP3" s="515"/>
      <c r="AQ3" s="515"/>
      <c r="AR3" s="515"/>
      <c r="AS3" s="515"/>
      <c r="AT3" s="516"/>
      <c r="AU3" s="516"/>
      <c r="AV3" s="516"/>
      <c r="AW3" s="516"/>
      <c r="AX3" s="516"/>
    </row>
    <row r="5" spans="1:55" ht="24.75" customHeight="1">
      <c r="A5" s="922" t="str">
        <f>Contents!E13</f>
        <v xml:space="preserve">Table 9: Number of fetal deaths, infant deaths and live births for each deprivation quintile of residence, by sex, ethnic group, maternal age group, gestational age and birthweight, 2016
</v>
      </c>
      <c r="B5" s="922"/>
      <c r="C5" s="922"/>
      <c r="D5" s="922"/>
      <c r="E5" s="922"/>
      <c r="F5" s="922"/>
      <c r="G5" s="922"/>
      <c r="H5" s="922"/>
      <c r="I5" s="922"/>
      <c r="J5" s="922"/>
      <c r="K5" s="922"/>
      <c r="L5" s="922"/>
      <c r="M5" s="922"/>
      <c r="N5" s="922"/>
      <c r="O5" s="922"/>
      <c r="P5" s="922"/>
      <c r="Q5" s="922"/>
      <c r="R5" s="922"/>
      <c r="S5" s="922"/>
      <c r="T5" s="167"/>
      <c r="U5" s="167"/>
      <c r="V5" s="167"/>
      <c r="W5" s="167"/>
      <c r="X5" s="167"/>
      <c r="Y5" s="167"/>
      <c r="Z5" s="167"/>
      <c r="AC5" s="289" t="s">
        <v>463</v>
      </c>
      <c r="AY5" s="167"/>
      <c r="AZ5" s="167"/>
      <c r="BA5" s="167"/>
      <c r="BB5" s="167"/>
      <c r="BC5" s="167"/>
    </row>
    <row r="6" spans="1:55">
      <c r="A6" s="914" t="s">
        <v>68</v>
      </c>
      <c r="B6" s="915" t="s">
        <v>110</v>
      </c>
      <c r="C6" s="915"/>
      <c r="D6" s="915"/>
      <c r="E6" s="915"/>
      <c r="F6" s="915"/>
      <c r="G6" s="916"/>
      <c r="H6" s="917" t="s">
        <v>111</v>
      </c>
      <c r="I6" s="915"/>
      <c r="J6" s="915"/>
      <c r="K6" s="915"/>
      <c r="L6" s="915"/>
      <c r="M6" s="916"/>
      <c r="N6" s="917" t="s">
        <v>112</v>
      </c>
      <c r="O6" s="915"/>
      <c r="P6" s="915"/>
      <c r="Q6" s="915"/>
      <c r="R6" s="915"/>
      <c r="S6" s="915"/>
      <c r="T6" s="167"/>
      <c r="U6" s="167"/>
      <c r="V6" s="167"/>
      <c r="W6" s="167"/>
      <c r="X6" s="167"/>
      <c r="Y6" s="167"/>
      <c r="Z6" s="167"/>
      <c r="AA6" s="289">
        <f>Ref!B27</f>
        <v>2016</v>
      </c>
      <c r="AB6" s="289" t="s">
        <v>47</v>
      </c>
      <c r="AH6" s="289" t="s">
        <v>48</v>
      </c>
      <c r="AN6" s="289" t="s">
        <v>46</v>
      </c>
      <c r="AY6" s="167"/>
      <c r="AZ6" s="167"/>
      <c r="BA6" s="167"/>
      <c r="BB6" s="167"/>
      <c r="BC6" s="167"/>
    </row>
    <row r="7" spans="1:55">
      <c r="A7" s="909"/>
      <c r="B7" s="8" t="s">
        <v>108</v>
      </c>
      <c r="C7" s="8">
        <v>2</v>
      </c>
      <c r="D7" s="8">
        <v>3</v>
      </c>
      <c r="E7" s="8">
        <v>4</v>
      </c>
      <c r="F7" s="8" t="s">
        <v>109</v>
      </c>
      <c r="G7" s="79" t="s">
        <v>342</v>
      </c>
      <c r="H7" s="8" t="s">
        <v>108</v>
      </c>
      <c r="I7" s="8">
        <v>2</v>
      </c>
      <c r="J7" s="8">
        <v>3</v>
      </c>
      <c r="K7" s="8">
        <v>4</v>
      </c>
      <c r="L7" s="8" t="s">
        <v>109</v>
      </c>
      <c r="M7" s="79" t="s">
        <v>342</v>
      </c>
      <c r="N7" s="8" t="s">
        <v>108</v>
      </c>
      <c r="O7" s="8">
        <v>2</v>
      </c>
      <c r="P7" s="8">
        <v>3</v>
      </c>
      <c r="Q7" s="8">
        <v>4</v>
      </c>
      <c r="R7" s="8" t="s">
        <v>109</v>
      </c>
      <c r="S7" s="79" t="s">
        <v>342</v>
      </c>
      <c r="T7" s="167"/>
      <c r="U7" s="167"/>
      <c r="V7" s="167"/>
      <c r="W7" s="167"/>
      <c r="X7" s="167"/>
      <c r="Y7" s="167"/>
      <c r="Z7" s="167"/>
      <c r="AB7" s="289" t="s">
        <v>421</v>
      </c>
      <c r="AC7" s="289" t="s">
        <v>422</v>
      </c>
      <c r="AD7" s="289" t="s">
        <v>423</v>
      </c>
      <c r="AE7" s="289" t="s">
        <v>424</v>
      </c>
      <c r="AF7" s="289" t="s">
        <v>425</v>
      </c>
      <c r="AG7" s="289" t="s">
        <v>44</v>
      </c>
      <c r="AH7" s="289" t="s">
        <v>421</v>
      </c>
      <c r="AI7" s="289" t="s">
        <v>422</v>
      </c>
      <c r="AJ7" s="289" t="s">
        <v>423</v>
      </c>
      <c r="AK7" s="289" t="s">
        <v>424</v>
      </c>
      <c r="AL7" s="289" t="s">
        <v>425</v>
      </c>
      <c r="AM7" s="289" t="s">
        <v>44</v>
      </c>
      <c r="AN7" s="289" t="s">
        <v>421</v>
      </c>
      <c r="AO7" s="289" t="s">
        <v>422</v>
      </c>
      <c r="AP7" s="289" t="s">
        <v>423</v>
      </c>
      <c r="AQ7" s="289" t="s">
        <v>424</v>
      </c>
      <c r="AR7" s="289" t="s">
        <v>425</v>
      </c>
      <c r="AS7" s="289" t="s">
        <v>44</v>
      </c>
      <c r="AY7" s="167"/>
      <c r="AZ7" s="167"/>
      <c r="BA7" s="167"/>
      <c r="BB7" s="167"/>
      <c r="BC7" s="167"/>
    </row>
    <row r="8" spans="1:55">
      <c r="A8" s="80" t="s">
        <v>104</v>
      </c>
      <c r="B8" s="90"/>
      <c r="C8" s="90"/>
      <c r="D8" s="90"/>
      <c r="E8" s="90"/>
      <c r="F8" s="90"/>
      <c r="G8" s="90"/>
      <c r="H8" s="90"/>
      <c r="I8" s="90"/>
      <c r="J8" s="90"/>
      <c r="K8" s="90"/>
      <c r="L8" s="90"/>
      <c r="M8" s="90"/>
      <c r="N8" s="90"/>
      <c r="O8" s="90"/>
      <c r="P8" s="22"/>
      <c r="Q8" s="22"/>
      <c r="R8" s="22"/>
      <c r="S8" s="81"/>
      <c r="T8" s="167"/>
      <c r="U8" s="167"/>
      <c r="V8" s="167"/>
      <c r="W8" s="167"/>
      <c r="X8" s="167"/>
      <c r="Y8" s="167"/>
      <c r="Z8" s="167"/>
      <c r="AA8" s="289" t="s">
        <v>104</v>
      </c>
      <c r="AY8" s="167"/>
      <c r="AZ8" s="167"/>
      <c r="BA8" s="167"/>
      <c r="BB8" s="167"/>
      <c r="BC8" s="167"/>
    </row>
    <row r="9" spans="1:55" s="77" customFormat="1">
      <c r="A9" s="82" t="s">
        <v>44</v>
      </c>
      <c r="B9" s="352">
        <f>AB9</f>
        <v>43</v>
      </c>
      <c r="C9" s="352">
        <f t="shared" ref="C9:G9" si="0">AC9</f>
        <v>64</v>
      </c>
      <c r="D9" s="352">
        <f t="shared" si="0"/>
        <v>68</v>
      </c>
      <c r="E9" s="352">
        <f t="shared" si="0"/>
        <v>90</v>
      </c>
      <c r="F9" s="352">
        <f t="shared" si="0"/>
        <v>126</v>
      </c>
      <c r="G9" s="354">
        <f t="shared" si="0"/>
        <v>413</v>
      </c>
      <c r="H9" s="353">
        <f>AH9</f>
        <v>24</v>
      </c>
      <c r="I9" s="353">
        <f t="shared" ref="I9:M9" si="1">AI9</f>
        <v>24</v>
      </c>
      <c r="J9" s="353">
        <f t="shared" si="1"/>
        <v>32</v>
      </c>
      <c r="K9" s="353">
        <f t="shared" si="1"/>
        <v>52</v>
      </c>
      <c r="L9" s="353">
        <f t="shared" si="1"/>
        <v>107</v>
      </c>
      <c r="M9" s="354">
        <f t="shared" si="1"/>
        <v>241</v>
      </c>
      <c r="N9" s="353">
        <f>AN9</f>
        <v>9194</v>
      </c>
      <c r="O9" s="353">
        <f t="shared" ref="O9:S9" si="2">AO9</f>
        <v>10123</v>
      </c>
      <c r="P9" s="353">
        <f t="shared" si="2"/>
        <v>10971</v>
      </c>
      <c r="Q9" s="353">
        <f t="shared" si="2"/>
        <v>13131</v>
      </c>
      <c r="R9" s="353">
        <f t="shared" si="2"/>
        <v>16886</v>
      </c>
      <c r="S9" s="353">
        <f t="shared" si="2"/>
        <v>60436</v>
      </c>
      <c r="AA9" s="780" t="s">
        <v>44</v>
      </c>
      <c r="AB9" s="780">
        <f t="shared" ref="AB9:AG9" si="3">VLOOKUP($AA$6&amp;$AA$8&amp;$AC$5&amp;$AA$9&amp;AB$7&amp;$AB$6, vw.deaths.demo,7, FALSE)</f>
        <v>43</v>
      </c>
      <c r="AC9" s="780">
        <f t="shared" si="3"/>
        <v>64</v>
      </c>
      <c r="AD9" s="780">
        <f t="shared" si="3"/>
        <v>68</v>
      </c>
      <c r="AE9" s="780">
        <f t="shared" si="3"/>
        <v>90</v>
      </c>
      <c r="AF9" s="780">
        <f t="shared" si="3"/>
        <v>126</v>
      </c>
      <c r="AG9" s="780">
        <f t="shared" si="3"/>
        <v>413</v>
      </c>
      <c r="AH9" s="780">
        <f t="shared" ref="AH9:AM9" si="4">VLOOKUP($AA$6&amp;$AA$8&amp;$AC$5&amp;$AA$9&amp;AH$7&amp;$AH$6, vw.deaths.demo,7, FALSE)</f>
        <v>24</v>
      </c>
      <c r="AI9" s="780">
        <f t="shared" si="4"/>
        <v>24</v>
      </c>
      <c r="AJ9" s="780">
        <f t="shared" si="4"/>
        <v>32</v>
      </c>
      <c r="AK9" s="780">
        <f t="shared" si="4"/>
        <v>52</v>
      </c>
      <c r="AL9" s="780">
        <f t="shared" si="4"/>
        <v>107</v>
      </c>
      <c r="AM9" s="780">
        <f t="shared" si="4"/>
        <v>241</v>
      </c>
      <c r="AN9" s="780">
        <f t="shared" ref="AN9:AS9" si="5">VLOOKUP($AA$6&amp;$AA$8&amp;$AC$5&amp;$AA9&amp;AN$7, vw.births.demo,7,FALSE)</f>
        <v>9194</v>
      </c>
      <c r="AO9" s="780">
        <f t="shared" si="5"/>
        <v>10123</v>
      </c>
      <c r="AP9" s="780">
        <f t="shared" si="5"/>
        <v>10971</v>
      </c>
      <c r="AQ9" s="780">
        <f t="shared" si="5"/>
        <v>13131</v>
      </c>
      <c r="AR9" s="780">
        <f t="shared" si="5"/>
        <v>16886</v>
      </c>
      <c r="AS9" s="780">
        <f t="shared" si="5"/>
        <v>60436</v>
      </c>
      <c r="AT9" s="243"/>
      <c r="AU9" s="243"/>
      <c r="AV9" s="243"/>
      <c r="AW9" s="243"/>
      <c r="AX9" s="243"/>
    </row>
    <row r="10" spans="1:55">
      <c r="A10" s="80" t="s">
        <v>69</v>
      </c>
      <c r="B10" s="328"/>
      <c r="C10" s="328"/>
      <c r="D10" s="328"/>
      <c r="E10" s="328"/>
      <c r="F10" s="328"/>
      <c r="G10" s="328"/>
      <c r="H10" s="328"/>
      <c r="I10" s="328"/>
      <c r="J10" s="328"/>
      <c r="K10" s="328"/>
      <c r="L10" s="328"/>
      <c r="M10" s="328"/>
      <c r="N10" s="328"/>
      <c r="O10" s="81"/>
      <c r="P10" s="81"/>
      <c r="Q10" s="81"/>
      <c r="R10" s="81"/>
      <c r="S10" s="81"/>
      <c r="T10" s="167"/>
      <c r="U10" s="167"/>
      <c r="V10" s="167"/>
      <c r="X10" s="167"/>
      <c r="Y10" s="167"/>
      <c r="Z10" s="167"/>
      <c r="AA10" s="289" t="s">
        <v>69</v>
      </c>
      <c r="AY10" s="167"/>
      <c r="AZ10" s="167"/>
      <c r="BA10" s="167"/>
      <c r="BB10" s="167"/>
      <c r="BC10" s="167"/>
    </row>
    <row r="11" spans="1:55">
      <c r="A11" s="49" t="s">
        <v>70</v>
      </c>
      <c r="B11" s="353">
        <f>AB11</f>
        <v>24</v>
      </c>
      <c r="C11" s="353">
        <f t="shared" ref="C11:G13" si="6">AC11</f>
        <v>28</v>
      </c>
      <c r="D11" s="353">
        <f t="shared" si="6"/>
        <v>34</v>
      </c>
      <c r="E11" s="353">
        <f t="shared" si="6"/>
        <v>53</v>
      </c>
      <c r="F11" s="353">
        <f t="shared" si="6"/>
        <v>65</v>
      </c>
      <c r="G11" s="354">
        <f t="shared" si="6"/>
        <v>216</v>
      </c>
      <c r="H11" s="353">
        <f>AH11</f>
        <v>10</v>
      </c>
      <c r="I11" s="353">
        <f t="shared" ref="I11:M13" si="7">AI11</f>
        <v>8</v>
      </c>
      <c r="J11" s="353">
        <f t="shared" si="7"/>
        <v>12</v>
      </c>
      <c r="K11" s="353">
        <f t="shared" si="7"/>
        <v>28</v>
      </c>
      <c r="L11" s="353">
        <f t="shared" si="7"/>
        <v>69</v>
      </c>
      <c r="M11" s="354">
        <f t="shared" si="7"/>
        <v>127</v>
      </c>
      <c r="N11" s="353">
        <f>AN11</f>
        <v>4809</v>
      </c>
      <c r="O11" s="353">
        <f t="shared" ref="O11:S13" si="8">AO11</f>
        <v>5230</v>
      </c>
      <c r="P11" s="353">
        <f t="shared" si="8"/>
        <v>5582</v>
      </c>
      <c r="Q11" s="353">
        <f t="shared" si="8"/>
        <v>6703</v>
      </c>
      <c r="R11" s="353">
        <f t="shared" si="8"/>
        <v>8622</v>
      </c>
      <c r="S11" s="353">
        <f t="shared" si="8"/>
        <v>31009</v>
      </c>
      <c r="T11" s="353"/>
      <c r="U11" s="353"/>
      <c r="V11" s="353"/>
      <c r="W11" s="353"/>
      <c r="X11" s="353"/>
      <c r="Y11" s="353"/>
      <c r="Z11" s="353"/>
      <c r="AA11" s="289" t="s">
        <v>70</v>
      </c>
      <c r="AB11" s="780">
        <f t="shared" ref="AB11:AG12" si="9">VLOOKUP($AA$6&amp;$AA$10&amp;$AC$5&amp;$AA11&amp;AB$7&amp;$AB$6, vw.deaths.demo,7, FALSE)</f>
        <v>24</v>
      </c>
      <c r="AC11" s="780">
        <f t="shared" si="9"/>
        <v>28</v>
      </c>
      <c r="AD11" s="780">
        <f t="shared" si="9"/>
        <v>34</v>
      </c>
      <c r="AE11" s="780">
        <f t="shared" si="9"/>
        <v>53</v>
      </c>
      <c r="AF11" s="780">
        <f t="shared" si="9"/>
        <v>65</v>
      </c>
      <c r="AG11" s="780">
        <f t="shared" si="9"/>
        <v>216</v>
      </c>
      <c r="AH11" s="780">
        <f t="shared" ref="AH11:AM12" si="10">VLOOKUP($AA$6&amp;$AA$10&amp;$AC$5&amp;$AA11&amp;AH$7&amp;$AH$6, vw.deaths.demo,7, FALSE)</f>
        <v>10</v>
      </c>
      <c r="AI11" s="780">
        <f t="shared" si="10"/>
        <v>8</v>
      </c>
      <c r="AJ11" s="780">
        <f t="shared" si="10"/>
        <v>12</v>
      </c>
      <c r="AK11" s="780">
        <f t="shared" si="10"/>
        <v>28</v>
      </c>
      <c r="AL11" s="780">
        <f t="shared" si="10"/>
        <v>69</v>
      </c>
      <c r="AM11" s="780">
        <f t="shared" si="10"/>
        <v>127</v>
      </c>
      <c r="AN11" s="780">
        <f t="shared" ref="AN11:AS12" si="11">VLOOKUP($AA$6&amp;$AA$10&amp;$AC$5&amp;$AA11&amp;AN$7, vw.births.demo,7,FALSE)</f>
        <v>4809</v>
      </c>
      <c r="AO11" s="780">
        <f t="shared" si="11"/>
        <v>5230</v>
      </c>
      <c r="AP11" s="780">
        <f t="shared" si="11"/>
        <v>5582</v>
      </c>
      <c r="AQ11" s="780">
        <f t="shared" si="11"/>
        <v>6703</v>
      </c>
      <c r="AR11" s="780">
        <f t="shared" si="11"/>
        <v>8622</v>
      </c>
      <c r="AS11" s="780">
        <f t="shared" si="11"/>
        <v>31009</v>
      </c>
      <c r="AY11" s="167"/>
      <c r="AZ11" s="167"/>
      <c r="BA11" s="167"/>
      <c r="BB11" s="167"/>
      <c r="BC11" s="167"/>
    </row>
    <row r="12" spans="1:55">
      <c r="A12" s="49" t="s">
        <v>71</v>
      </c>
      <c r="B12" s="353">
        <f t="shared" ref="B12:B13" si="12">AB12</f>
        <v>19</v>
      </c>
      <c r="C12" s="353">
        <f t="shared" si="6"/>
        <v>35</v>
      </c>
      <c r="D12" s="353">
        <f t="shared" si="6"/>
        <v>34</v>
      </c>
      <c r="E12" s="353">
        <f t="shared" si="6"/>
        <v>36</v>
      </c>
      <c r="F12" s="353">
        <f t="shared" si="6"/>
        <v>56</v>
      </c>
      <c r="G12" s="354">
        <f t="shared" si="6"/>
        <v>189</v>
      </c>
      <c r="H12" s="353">
        <f t="shared" ref="H12:H13" si="13">AH12</f>
        <v>14</v>
      </c>
      <c r="I12" s="353">
        <f t="shared" si="7"/>
        <v>16</v>
      </c>
      <c r="J12" s="353">
        <f t="shared" si="7"/>
        <v>20</v>
      </c>
      <c r="K12" s="353">
        <f t="shared" si="7"/>
        <v>24</v>
      </c>
      <c r="L12" s="353">
        <f t="shared" si="7"/>
        <v>38</v>
      </c>
      <c r="M12" s="354">
        <f t="shared" si="7"/>
        <v>114</v>
      </c>
      <c r="N12" s="353">
        <f t="shared" ref="N12:N13" si="14">AN12</f>
        <v>4385</v>
      </c>
      <c r="O12" s="353">
        <f t="shared" si="8"/>
        <v>4893</v>
      </c>
      <c r="P12" s="353">
        <f t="shared" si="8"/>
        <v>5389</v>
      </c>
      <c r="Q12" s="353">
        <f t="shared" si="8"/>
        <v>6428</v>
      </c>
      <c r="R12" s="353">
        <f t="shared" si="8"/>
        <v>8264</v>
      </c>
      <c r="S12" s="353">
        <f t="shared" si="8"/>
        <v>29427</v>
      </c>
      <c r="T12" s="353"/>
      <c r="U12" s="353"/>
      <c r="V12" s="353"/>
      <c r="W12" s="353"/>
      <c r="X12" s="353"/>
      <c r="Y12" s="353"/>
      <c r="Z12" s="353"/>
      <c r="AA12" s="289" t="s">
        <v>71</v>
      </c>
      <c r="AB12" s="780">
        <f t="shared" si="9"/>
        <v>19</v>
      </c>
      <c r="AC12" s="780">
        <f t="shared" si="9"/>
        <v>35</v>
      </c>
      <c r="AD12" s="780">
        <f t="shared" si="9"/>
        <v>34</v>
      </c>
      <c r="AE12" s="780">
        <f t="shared" si="9"/>
        <v>36</v>
      </c>
      <c r="AF12" s="780">
        <f t="shared" si="9"/>
        <v>56</v>
      </c>
      <c r="AG12" s="780">
        <f t="shared" si="9"/>
        <v>189</v>
      </c>
      <c r="AH12" s="780">
        <f t="shared" si="10"/>
        <v>14</v>
      </c>
      <c r="AI12" s="780">
        <f t="shared" si="10"/>
        <v>16</v>
      </c>
      <c r="AJ12" s="780">
        <f t="shared" si="10"/>
        <v>20</v>
      </c>
      <c r="AK12" s="780">
        <f t="shared" si="10"/>
        <v>24</v>
      </c>
      <c r="AL12" s="780">
        <f t="shared" si="10"/>
        <v>38</v>
      </c>
      <c r="AM12" s="780">
        <f t="shared" si="10"/>
        <v>114</v>
      </c>
      <c r="AN12" s="780">
        <f t="shared" si="11"/>
        <v>4385</v>
      </c>
      <c r="AO12" s="780">
        <f t="shared" si="11"/>
        <v>4893</v>
      </c>
      <c r="AP12" s="780">
        <f t="shared" si="11"/>
        <v>5389</v>
      </c>
      <c r="AQ12" s="780">
        <f t="shared" si="11"/>
        <v>6428</v>
      </c>
      <c r="AR12" s="780">
        <f t="shared" si="11"/>
        <v>8264</v>
      </c>
      <c r="AS12" s="780">
        <f t="shared" si="11"/>
        <v>29427</v>
      </c>
      <c r="AY12" s="167"/>
      <c r="AZ12" s="167"/>
      <c r="BA12" s="167"/>
      <c r="BB12" s="167"/>
      <c r="BC12" s="167"/>
    </row>
    <row r="13" spans="1:55">
      <c r="A13" s="49" t="s">
        <v>63</v>
      </c>
      <c r="B13" s="353">
        <f t="shared" si="12"/>
        <v>0</v>
      </c>
      <c r="C13" s="353">
        <f t="shared" si="6"/>
        <v>1</v>
      </c>
      <c r="D13" s="353">
        <f t="shared" si="6"/>
        <v>0</v>
      </c>
      <c r="E13" s="353">
        <f t="shared" si="6"/>
        <v>1</v>
      </c>
      <c r="F13" s="353">
        <f t="shared" si="6"/>
        <v>5</v>
      </c>
      <c r="G13" s="354">
        <f t="shared" si="6"/>
        <v>8</v>
      </c>
      <c r="H13" s="353">
        <f t="shared" si="13"/>
        <v>0</v>
      </c>
      <c r="I13" s="353">
        <f t="shared" si="7"/>
        <v>0</v>
      </c>
      <c r="J13" s="353">
        <f t="shared" si="7"/>
        <v>0</v>
      </c>
      <c r="K13" s="353">
        <f t="shared" si="7"/>
        <v>0</v>
      </c>
      <c r="L13" s="353">
        <f t="shared" si="7"/>
        <v>0</v>
      </c>
      <c r="M13" s="354">
        <f t="shared" si="7"/>
        <v>0</v>
      </c>
      <c r="N13" s="353">
        <f t="shared" si="14"/>
        <v>0</v>
      </c>
      <c r="O13" s="353">
        <f t="shared" si="8"/>
        <v>0</v>
      </c>
      <c r="P13" s="353">
        <f t="shared" si="8"/>
        <v>0</v>
      </c>
      <c r="Q13" s="353">
        <f t="shared" si="8"/>
        <v>0</v>
      </c>
      <c r="R13" s="353">
        <f t="shared" si="8"/>
        <v>0</v>
      </c>
      <c r="S13" s="353">
        <f t="shared" si="8"/>
        <v>0</v>
      </c>
      <c r="T13" s="353"/>
      <c r="U13" s="353"/>
      <c r="V13" s="353"/>
      <c r="W13" s="353"/>
      <c r="X13" s="353"/>
      <c r="Y13" s="353"/>
      <c r="Z13" s="353"/>
      <c r="AA13" s="782" t="s">
        <v>458</v>
      </c>
      <c r="AB13" s="780">
        <f t="shared" ref="AB13:AG13" si="15">IFERROR(VLOOKUP($AA$6&amp;$AA$10&amp;$AC$5&amp;$AA13&amp;AB$7&amp;$AB$6, vw.deaths.demo,7, FALSE),0)</f>
        <v>0</v>
      </c>
      <c r="AC13" s="780">
        <f t="shared" si="15"/>
        <v>1</v>
      </c>
      <c r="AD13" s="780">
        <f t="shared" si="15"/>
        <v>0</v>
      </c>
      <c r="AE13" s="780">
        <f t="shared" si="15"/>
        <v>1</v>
      </c>
      <c r="AF13" s="780">
        <f t="shared" si="15"/>
        <v>5</v>
      </c>
      <c r="AG13" s="780">
        <f t="shared" si="15"/>
        <v>8</v>
      </c>
      <c r="AH13" s="780">
        <f t="shared" ref="AH13:AM13" si="16">IFERROR(VLOOKUP($AA$6&amp;$AA$10&amp;$AC$5&amp;$AA13&amp;AH$7&amp;$AH$6, vw.deaths.demo,7, FALSE),0)</f>
        <v>0</v>
      </c>
      <c r="AI13" s="780">
        <f t="shared" si="16"/>
        <v>0</v>
      </c>
      <c r="AJ13" s="780">
        <f t="shared" si="16"/>
        <v>0</v>
      </c>
      <c r="AK13" s="780">
        <f t="shared" si="16"/>
        <v>0</v>
      </c>
      <c r="AL13" s="780">
        <f t="shared" si="16"/>
        <v>0</v>
      </c>
      <c r="AM13" s="780">
        <f t="shared" si="16"/>
        <v>0</v>
      </c>
      <c r="AN13" s="780">
        <f t="shared" ref="AN13:AS13" si="17">IFERROR(VLOOKUP($AA$6&amp;$AA$10&amp;$AC$5&amp;$AA13&amp;AN$7, vw.births.demo,7,FALSE),0)</f>
        <v>0</v>
      </c>
      <c r="AO13" s="780">
        <f t="shared" si="17"/>
        <v>0</v>
      </c>
      <c r="AP13" s="780">
        <f t="shared" si="17"/>
        <v>0</v>
      </c>
      <c r="AQ13" s="780">
        <f t="shared" si="17"/>
        <v>0</v>
      </c>
      <c r="AR13" s="780">
        <f t="shared" si="17"/>
        <v>0</v>
      </c>
      <c r="AS13" s="780">
        <f t="shared" si="17"/>
        <v>0</v>
      </c>
      <c r="AY13" s="167"/>
      <c r="AZ13" s="167"/>
      <c r="BA13" s="167"/>
      <c r="BB13" s="167"/>
      <c r="BC13" s="167"/>
    </row>
    <row r="14" spans="1:55">
      <c r="A14" s="80" t="s">
        <v>73</v>
      </c>
      <c r="B14" s="328"/>
      <c r="C14" s="328"/>
      <c r="D14" s="328"/>
      <c r="E14" s="328"/>
      <c r="F14" s="328"/>
      <c r="G14" s="328"/>
      <c r="H14" s="328"/>
      <c r="I14" s="328"/>
      <c r="J14" s="328"/>
      <c r="K14" s="328"/>
      <c r="L14" s="328"/>
      <c r="M14" s="328"/>
      <c r="N14" s="328"/>
      <c r="O14" s="328"/>
      <c r="P14" s="328"/>
      <c r="Q14" s="328"/>
      <c r="R14" s="328"/>
      <c r="S14" s="328"/>
      <c r="T14" s="167"/>
      <c r="U14" s="167"/>
      <c r="V14" s="167"/>
      <c r="W14" s="167"/>
      <c r="X14" s="167"/>
      <c r="Y14" s="167"/>
      <c r="Z14" s="167"/>
      <c r="AA14" s="289" t="s">
        <v>461</v>
      </c>
      <c r="AY14" s="167"/>
      <c r="AZ14" s="167"/>
      <c r="BA14" s="167"/>
      <c r="BB14" s="167"/>
      <c r="BC14" s="167"/>
    </row>
    <row r="15" spans="1:55" s="77" customFormat="1">
      <c r="A15" s="82" t="s">
        <v>74</v>
      </c>
      <c r="B15" s="353">
        <f>AB15</f>
        <v>4</v>
      </c>
      <c r="C15" s="353">
        <f t="shared" ref="C15:G18" si="18">AC15</f>
        <v>13</v>
      </c>
      <c r="D15" s="353">
        <f t="shared" si="18"/>
        <v>18</v>
      </c>
      <c r="E15" s="353">
        <f t="shared" si="18"/>
        <v>32</v>
      </c>
      <c r="F15" s="353">
        <f t="shared" si="18"/>
        <v>52</v>
      </c>
      <c r="G15" s="354">
        <f t="shared" si="18"/>
        <v>122</v>
      </c>
      <c r="H15" s="353">
        <f>AH15</f>
        <v>4</v>
      </c>
      <c r="I15" s="353">
        <f t="shared" ref="I15:M18" si="19">AI15</f>
        <v>5</v>
      </c>
      <c r="J15" s="353">
        <f t="shared" si="19"/>
        <v>12</v>
      </c>
      <c r="K15" s="353">
        <f t="shared" si="19"/>
        <v>22</v>
      </c>
      <c r="L15" s="353">
        <f t="shared" si="19"/>
        <v>60</v>
      </c>
      <c r="M15" s="354">
        <f t="shared" si="19"/>
        <v>103</v>
      </c>
      <c r="N15" s="353">
        <f>AN15</f>
        <v>1159</v>
      </c>
      <c r="O15" s="353">
        <f t="shared" ref="O15:S18" si="20">AO15</f>
        <v>1788</v>
      </c>
      <c r="P15" s="353">
        <f t="shared" si="20"/>
        <v>2643</v>
      </c>
      <c r="Q15" s="353">
        <f t="shared" si="20"/>
        <v>4019</v>
      </c>
      <c r="R15" s="353">
        <f t="shared" si="20"/>
        <v>7702</v>
      </c>
      <c r="S15" s="353">
        <f t="shared" si="20"/>
        <v>17329</v>
      </c>
      <c r="AA15" s="780" t="s">
        <v>129</v>
      </c>
      <c r="AB15" s="780">
        <f t="shared" ref="AB15:AG18" si="21">VLOOKUP($AA$6&amp;$AA$14&amp;$AC$5&amp;$AA15&amp;AB$7&amp;$AB$6, vw.deaths.demo,7, FALSE)</f>
        <v>4</v>
      </c>
      <c r="AC15" s="780">
        <f t="shared" si="21"/>
        <v>13</v>
      </c>
      <c r="AD15" s="780">
        <f t="shared" si="21"/>
        <v>18</v>
      </c>
      <c r="AE15" s="780">
        <f t="shared" si="21"/>
        <v>32</v>
      </c>
      <c r="AF15" s="780">
        <f t="shared" si="21"/>
        <v>52</v>
      </c>
      <c r="AG15" s="780">
        <f t="shared" si="21"/>
        <v>122</v>
      </c>
      <c r="AH15" s="780">
        <f t="shared" ref="AH15:AM18" si="22">VLOOKUP($AA$6&amp;$AA$14&amp;$AC$5&amp;$AA15&amp;AH$7&amp;$AH$6, vw.deaths.demo,7, FALSE)</f>
        <v>4</v>
      </c>
      <c r="AI15" s="780">
        <f t="shared" si="22"/>
        <v>5</v>
      </c>
      <c r="AJ15" s="780">
        <f t="shared" si="22"/>
        <v>12</v>
      </c>
      <c r="AK15" s="780">
        <f t="shared" si="22"/>
        <v>22</v>
      </c>
      <c r="AL15" s="780">
        <f t="shared" si="22"/>
        <v>60</v>
      </c>
      <c r="AM15" s="780">
        <f t="shared" si="22"/>
        <v>103</v>
      </c>
      <c r="AN15" s="780">
        <f t="shared" ref="AN15:AS18" si="23">VLOOKUP($AA$6&amp;$AA$14&amp;$AC$5&amp;$AA15&amp;AN$7, vw.births.demo,7,FALSE)</f>
        <v>1159</v>
      </c>
      <c r="AO15" s="780">
        <f t="shared" si="23"/>
        <v>1788</v>
      </c>
      <c r="AP15" s="780">
        <f t="shared" si="23"/>
        <v>2643</v>
      </c>
      <c r="AQ15" s="780">
        <f t="shared" si="23"/>
        <v>4019</v>
      </c>
      <c r="AR15" s="780">
        <f t="shared" si="23"/>
        <v>7702</v>
      </c>
      <c r="AS15" s="780">
        <f t="shared" si="23"/>
        <v>17329</v>
      </c>
      <c r="AT15" s="243"/>
      <c r="AU15" s="243"/>
      <c r="AV15" s="243"/>
      <c r="AW15" s="243"/>
      <c r="AX15" s="243"/>
    </row>
    <row r="16" spans="1:55" s="77" customFormat="1">
      <c r="A16" s="82" t="s">
        <v>320</v>
      </c>
      <c r="B16" s="353">
        <f t="shared" ref="B16:B18" si="24">AB16</f>
        <v>1</v>
      </c>
      <c r="C16" s="353">
        <f t="shared" si="18"/>
        <v>3</v>
      </c>
      <c r="D16" s="353">
        <f t="shared" si="18"/>
        <v>3</v>
      </c>
      <c r="E16" s="353">
        <f t="shared" si="18"/>
        <v>5</v>
      </c>
      <c r="F16" s="353">
        <f t="shared" si="18"/>
        <v>29</v>
      </c>
      <c r="G16" s="354">
        <f t="shared" si="18"/>
        <v>45</v>
      </c>
      <c r="H16" s="353">
        <f t="shared" ref="H16:H18" si="25">AH16</f>
        <v>0</v>
      </c>
      <c r="I16" s="353">
        <f t="shared" si="19"/>
        <v>0</v>
      </c>
      <c r="J16" s="353">
        <f t="shared" si="19"/>
        <v>0</v>
      </c>
      <c r="K16" s="353">
        <f t="shared" si="19"/>
        <v>8</v>
      </c>
      <c r="L16" s="353">
        <f t="shared" si="19"/>
        <v>28</v>
      </c>
      <c r="M16" s="354">
        <f t="shared" si="19"/>
        <v>37</v>
      </c>
      <c r="N16" s="353">
        <f t="shared" ref="N16:N18" si="26">AN16</f>
        <v>271</v>
      </c>
      <c r="O16" s="353">
        <f t="shared" si="20"/>
        <v>423</v>
      </c>
      <c r="P16" s="353">
        <f t="shared" si="20"/>
        <v>564</v>
      </c>
      <c r="Q16" s="353">
        <f t="shared" si="20"/>
        <v>1186</v>
      </c>
      <c r="R16" s="353">
        <f t="shared" si="20"/>
        <v>3503</v>
      </c>
      <c r="S16" s="353">
        <f t="shared" si="20"/>
        <v>5976</v>
      </c>
      <c r="AA16" s="780" t="s">
        <v>320</v>
      </c>
      <c r="AB16" s="780">
        <f t="shared" si="21"/>
        <v>1</v>
      </c>
      <c r="AC16" s="780">
        <f t="shared" si="21"/>
        <v>3</v>
      </c>
      <c r="AD16" s="780">
        <f t="shared" si="21"/>
        <v>3</v>
      </c>
      <c r="AE16" s="780">
        <f t="shared" si="21"/>
        <v>5</v>
      </c>
      <c r="AF16" s="780">
        <f t="shared" si="21"/>
        <v>29</v>
      </c>
      <c r="AG16" s="780">
        <f t="shared" si="21"/>
        <v>45</v>
      </c>
      <c r="AH16" s="780">
        <f t="shared" si="22"/>
        <v>0</v>
      </c>
      <c r="AI16" s="780">
        <f t="shared" si="22"/>
        <v>0</v>
      </c>
      <c r="AJ16" s="780">
        <f t="shared" si="22"/>
        <v>0</v>
      </c>
      <c r="AK16" s="780">
        <f t="shared" si="22"/>
        <v>8</v>
      </c>
      <c r="AL16" s="780">
        <f t="shared" si="22"/>
        <v>28</v>
      </c>
      <c r="AM16" s="780">
        <f t="shared" si="22"/>
        <v>37</v>
      </c>
      <c r="AN16" s="780">
        <f t="shared" si="23"/>
        <v>271</v>
      </c>
      <c r="AO16" s="780">
        <f t="shared" si="23"/>
        <v>423</v>
      </c>
      <c r="AP16" s="780">
        <f t="shared" si="23"/>
        <v>564</v>
      </c>
      <c r="AQ16" s="780">
        <f t="shared" si="23"/>
        <v>1186</v>
      </c>
      <c r="AR16" s="780">
        <f t="shared" si="23"/>
        <v>3503</v>
      </c>
      <c r="AS16" s="780">
        <f t="shared" si="23"/>
        <v>5976</v>
      </c>
      <c r="AT16" s="243"/>
      <c r="AU16" s="243"/>
      <c r="AV16" s="243"/>
      <c r="AW16" s="243"/>
      <c r="AX16" s="243"/>
    </row>
    <row r="17" spans="1:55" s="77" customFormat="1">
      <c r="A17" s="310" t="s">
        <v>355</v>
      </c>
      <c r="B17" s="353">
        <f t="shared" si="24"/>
        <v>13</v>
      </c>
      <c r="C17" s="353">
        <f t="shared" si="18"/>
        <v>9</v>
      </c>
      <c r="D17" s="353">
        <f t="shared" si="18"/>
        <v>14</v>
      </c>
      <c r="E17" s="353">
        <f t="shared" si="18"/>
        <v>14</v>
      </c>
      <c r="F17" s="353">
        <f t="shared" si="18"/>
        <v>19</v>
      </c>
      <c r="G17" s="354">
        <f t="shared" si="18"/>
        <v>73</v>
      </c>
      <c r="H17" s="353">
        <f t="shared" si="25"/>
        <v>6</v>
      </c>
      <c r="I17" s="353">
        <f t="shared" si="19"/>
        <v>4</v>
      </c>
      <c r="J17" s="353">
        <f t="shared" si="19"/>
        <v>4</v>
      </c>
      <c r="K17" s="353">
        <f t="shared" si="19"/>
        <v>3</v>
      </c>
      <c r="L17" s="353">
        <f t="shared" si="19"/>
        <v>9</v>
      </c>
      <c r="M17" s="354">
        <f t="shared" si="19"/>
        <v>27</v>
      </c>
      <c r="N17" s="353">
        <f t="shared" si="26"/>
        <v>1910</v>
      </c>
      <c r="O17" s="353">
        <f t="shared" si="20"/>
        <v>2186</v>
      </c>
      <c r="P17" s="353">
        <f t="shared" si="20"/>
        <v>1969</v>
      </c>
      <c r="Q17" s="353">
        <f t="shared" si="20"/>
        <v>2431</v>
      </c>
      <c r="R17" s="353">
        <f t="shared" si="20"/>
        <v>2354</v>
      </c>
      <c r="S17" s="353">
        <f t="shared" si="20"/>
        <v>10902</v>
      </c>
      <c r="U17" s="679"/>
      <c r="AA17" s="780" t="s">
        <v>355</v>
      </c>
      <c r="AB17" s="780">
        <f t="shared" si="21"/>
        <v>13</v>
      </c>
      <c r="AC17" s="780">
        <f t="shared" si="21"/>
        <v>9</v>
      </c>
      <c r="AD17" s="780">
        <f t="shared" si="21"/>
        <v>14</v>
      </c>
      <c r="AE17" s="780">
        <f t="shared" si="21"/>
        <v>14</v>
      </c>
      <c r="AF17" s="780">
        <f t="shared" si="21"/>
        <v>19</v>
      </c>
      <c r="AG17" s="780">
        <f t="shared" si="21"/>
        <v>73</v>
      </c>
      <c r="AH17" s="780">
        <f t="shared" si="22"/>
        <v>6</v>
      </c>
      <c r="AI17" s="780">
        <f t="shared" si="22"/>
        <v>4</v>
      </c>
      <c r="AJ17" s="780">
        <f t="shared" si="22"/>
        <v>4</v>
      </c>
      <c r="AK17" s="780">
        <f t="shared" si="22"/>
        <v>3</v>
      </c>
      <c r="AL17" s="780">
        <f t="shared" si="22"/>
        <v>9</v>
      </c>
      <c r="AM17" s="780">
        <f t="shared" si="22"/>
        <v>27</v>
      </c>
      <c r="AN17" s="780">
        <f t="shared" si="23"/>
        <v>1910</v>
      </c>
      <c r="AO17" s="780">
        <f t="shared" si="23"/>
        <v>2186</v>
      </c>
      <c r="AP17" s="780">
        <f t="shared" si="23"/>
        <v>1969</v>
      </c>
      <c r="AQ17" s="780">
        <f t="shared" si="23"/>
        <v>2431</v>
      </c>
      <c r="AR17" s="780">
        <f t="shared" si="23"/>
        <v>2354</v>
      </c>
      <c r="AS17" s="780">
        <f t="shared" si="23"/>
        <v>10902</v>
      </c>
      <c r="AT17" s="243"/>
      <c r="AU17" s="243"/>
      <c r="AV17" s="243"/>
      <c r="AW17" s="243"/>
      <c r="AX17" s="243"/>
    </row>
    <row r="18" spans="1:55" s="77" customFormat="1">
      <c r="A18" s="310" t="s">
        <v>356</v>
      </c>
      <c r="B18" s="353">
        <f t="shared" si="24"/>
        <v>25</v>
      </c>
      <c r="C18" s="353">
        <f t="shared" si="18"/>
        <v>39</v>
      </c>
      <c r="D18" s="353">
        <f t="shared" si="18"/>
        <v>33</v>
      </c>
      <c r="E18" s="353">
        <f t="shared" si="18"/>
        <v>39</v>
      </c>
      <c r="F18" s="353">
        <f t="shared" si="18"/>
        <v>26</v>
      </c>
      <c r="G18" s="354">
        <f t="shared" si="18"/>
        <v>173</v>
      </c>
      <c r="H18" s="353">
        <f t="shared" si="25"/>
        <v>14</v>
      </c>
      <c r="I18" s="353">
        <f t="shared" si="19"/>
        <v>15</v>
      </c>
      <c r="J18" s="353">
        <f t="shared" si="19"/>
        <v>16</v>
      </c>
      <c r="K18" s="353">
        <f t="shared" si="19"/>
        <v>19</v>
      </c>
      <c r="L18" s="353">
        <f t="shared" si="19"/>
        <v>10</v>
      </c>
      <c r="M18" s="354">
        <f t="shared" si="19"/>
        <v>74</v>
      </c>
      <c r="N18" s="353">
        <f t="shared" si="26"/>
        <v>5854</v>
      </c>
      <c r="O18" s="353">
        <f t="shared" si="20"/>
        <v>5726</v>
      </c>
      <c r="P18" s="353">
        <f t="shared" si="20"/>
        <v>5795</v>
      </c>
      <c r="Q18" s="353">
        <f t="shared" si="20"/>
        <v>5495</v>
      </c>
      <c r="R18" s="353">
        <f t="shared" si="20"/>
        <v>3327</v>
      </c>
      <c r="S18" s="353">
        <f t="shared" si="20"/>
        <v>26229</v>
      </c>
      <c r="AA18" s="780" t="s">
        <v>356</v>
      </c>
      <c r="AB18" s="780">
        <f t="shared" si="21"/>
        <v>25</v>
      </c>
      <c r="AC18" s="780">
        <f t="shared" si="21"/>
        <v>39</v>
      </c>
      <c r="AD18" s="780">
        <f t="shared" si="21"/>
        <v>33</v>
      </c>
      <c r="AE18" s="780">
        <f t="shared" si="21"/>
        <v>39</v>
      </c>
      <c r="AF18" s="780">
        <f t="shared" si="21"/>
        <v>26</v>
      </c>
      <c r="AG18" s="780">
        <f t="shared" si="21"/>
        <v>173</v>
      </c>
      <c r="AH18" s="780">
        <f t="shared" si="22"/>
        <v>14</v>
      </c>
      <c r="AI18" s="780">
        <f t="shared" si="22"/>
        <v>15</v>
      </c>
      <c r="AJ18" s="780">
        <f t="shared" si="22"/>
        <v>16</v>
      </c>
      <c r="AK18" s="780">
        <f t="shared" si="22"/>
        <v>19</v>
      </c>
      <c r="AL18" s="780">
        <f t="shared" si="22"/>
        <v>10</v>
      </c>
      <c r="AM18" s="780">
        <f t="shared" si="22"/>
        <v>74</v>
      </c>
      <c r="AN18" s="780">
        <f t="shared" si="23"/>
        <v>5854</v>
      </c>
      <c r="AO18" s="780">
        <f t="shared" si="23"/>
        <v>5726</v>
      </c>
      <c r="AP18" s="780">
        <f t="shared" si="23"/>
        <v>5795</v>
      </c>
      <c r="AQ18" s="780">
        <f t="shared" si="23"/>
        <v>5495</v>
      </c>
      <c r="AR18" s="780">
        <f t="shared" si="23"/>
        <v>3327</v>
      </c>
      <c r="AS18" s="780">
        <f t="shared" si="23"/>
        <v>26229</v>
      </c>
      <c r="AT18" s="243"/>
      <c r="AU18" s="243"/>
      <c r="AV18" s="243"/>
      <c r="AW18" s="243"/>
      <c r="AX18" s="243"/>
    </row>
    <row r="19" spans="1:55">
      <c r="A19" s="80" t="s">
        <v>152</v>
      </c>
      <c r="B19" s="328"/>
      <c r="C19" s="328"/>
      <c r="D19" s="328"/>
      <c r="E19" s="328"/>
      <c r="F19" s="328"/>
      <c r="G19" s="328"/>
      <c r="H19" s="328"/>
      <c r="I19" s="328"/>
      <c r="J19" s="328"/>
      <c r="K19" s="328"/>
      <c r="L19" s="328"/>
      <c r="M19" s="328"/>
      <c r="N19" s="328"/>
      <c r="O19" s="328"/>
      <c r="P19" s="81"/>
      <c r="Q19" s="81"/>
      <c r="R19" s="81"/>
      <c r="S19" s="355"/>
      <c r="T19" s="167"/>
      <c r="U19" s="167"/>
      <c r="V19" s="167"/>
      <c r="W19" s="167"/>
      <c r="X19" s="167"/>
      <c r="Y19" s="167"/>
      <c r="Z19" s="167"/>
      <c r="AA19" s="289" t="s">
        <v>462</v>
      </c>
      <c r="AY19" s="167"/>
      <c r="AZ19" s="167"/>
      <c r="BA19" s="167"/>
      <c r="BB19" s="167"/>
      <c r="BC19" s="167"/>
    </row>
    <row r="20" spans="1:55">
      <c r="A20" s="422" t="s">
        <v>339</v>
      </c>
      <c r="B20" s="353">
        <f>AB20</f>
        <v>3</v>
      </c>
      <c r="C20" s="353">
        <f t="shared" ref="C20:G26" si="27">AC20</f>
        <v>3</v>
      </c>
      <c r="D20" s="353">
        <f t="shared" si="27"/>
        <v>3</v>
      </c>
      <c r="E20" s="353">
        <f t="shared" si="27"/>
        <v>10</v>
      </c>
      <c r="F20" s="353">
        <f t="shared" si="27"/>
        <v>15</v>
      </c>
      <c r="G20" s="354">
        <f t="shared" si="27"/>
        <v>36</v>
      </c>
      <c r="H20" s="353">
        <f>AH20</f>
        <v>1</v>
      </c>
      <c r="I20" s="353">
        <f t="shared" ref="I20:M26" si="28">AI20</f>
        <v>2</v>
      </c>
      <c r="J20" s="353">
        <f t="shared" si="28"/>
        <v>2</v>
      </c>
      <c r="K20" s="353">
        <f t="shared" si="28"/>
        <v>4</v>
      </c>
      <c r="L20" s="353">
        <f t="shared" si="28"/>
        <v>18</v>
      </c>
      <c r="M20" s="354">
        <f t="shared" si="28"/>
        <v>27</v>
      </c>
      <c r="N20" s="353">
        <f>AN20</f>
        <v>118</v>
      </c>
      <c r="O20" s="353">
        <f t="shared" ref="O20:S26" si="29">AO20</f>
        <v>232</v>
      </c>
      <c r="P20" s="353">
        <f t="shared" si="29"/>
        <v>325</v>
      </c>
      <c r="Q20" s="353">
        <f t="shared" si="29"/>
        <v>591</v>
      </c>
      <c r="R20" s="353">
        <f t="shared" si="29"/>
        <v>1291</v>
      </c>
      <c r="S20" s="353">
        <f t="shared" si="29"/>
        <v>2559</v>
      </c>
      <c r="T20" s="265"/>
      <c r="U20" s="167"/>
      <c r="V20" s="167"/>
      <c r="W20" s="167"/>
      <c r="X20" s="167"/>
      <c r="Y20" s="167"/>
      <c r="Z20" s="167"/>
      <c r="AA20" s="289" t="s">
        <v>339</v>
      </c>
      <c r="AB20" s="780">
        <f t="shared" ref="AB20:AG25" si="30">VLOOKUP($AA$6&amp;$AA$19&amp;$AC$5&amp;$AA20&amp;AB$7&amp;$AB$6, vw.deaths.demo,7, FALSE)</f>
        <v>3</v>
      </c>
      <c r="AC20" s="780">
        <f t="shared" si="30"/>
        <v>3</v>
      </c>
      <c r="AD20" s="780">
        <f t="shared" si="30"/>
        <v>3</v>
      </c>
      <c r="AE20" s="780">
        <f t="shared" si="30"/>
        <v>10</v>
      </c>
      <c r="AF20" s="780">
        <f t="shared" si="30"/>
        <v>15</v>
      </c>
      <c r="AG20" s="780">
        <f t="shared" si="30"/>
        <v>36</v>
      </c>
      <c r="AH20" s="780">
        <f t="shared" ref="AH20:AM25" si="31">VLOOKUP($AA$6&amp;$AA$19&amp;$AC$5&amp;$AA20&amp;AH$7&amp;$AH$6, vw.deaths.demo,7, FALSE)</f>
        <v>1</v>
      </c>
      <c r="AI20" s="780">
        <f t="shared" si="31"/>
        <v>2</v>
      </c>
      <c r="AJ20" s="780">
        <f t="shared" si="31"/>
        <v>2</v>
      </c>
      <c r="AK20" s="780">
        <f t="shared" si="31"/>
        <v>4</v>
      </c>
      <c r="AL20" s="780">
        <f t="shared" si="31"/>
        <v>18</v>
      </c>
      <c r="AM20" s="780">
        <f t="shared" si="31"/>
        <v>27</v>
      </c>
      <c r="AN20" s="780">
        <f t="shared" ref="AN20:AS25" si="32">VLOOKUP($AA$6&amp;$AA$19&amp;$AC$5&amp;$AA20&amp;AN$7, vw.births.demo,7,FALSE)</f>
        <v>118</v>
      </c>
      <c r="AO20" s="780">
        <f t="shared" si="32"/>
        <v>232</v>
      </c>
      <c r="AP20" s="780">
        <f t="shared" si="32"/>
        <v>325</v>
      </c>
      <c r="AQ20" s="780">
        <f t="shared" si="32"/>
        <v>591</v>
      </c>
      <c r="AR20" s="780">
        <f t="shared" si="32"/>
        <v>1291</v>
      </c>
      <c r="AS20" s="780">
        <f t="shared" si="32"/>
        <v>2559</v>
      </c>
      <c r="AY20" s="167"/>
      <c r="AZ20" s="167"/>
      <c r="BA20" s="167"/>
      <c r="BB20" s="167"/>
      <c r="BC20" s="167"/>
    </row>
    <row r="21" spans="1:55">
      <c r="A21" s="49" t="s">
        <v>77</v>
      </c>
      <c r="B21" s="353">
        <f t="shared" ref="B21:B26" si="33">AB21</f>
        <v>2</v>
      </c>
      <c r="C21" s="353">
        <f t="shared" si="27"/>
        <v>8</v>
      </c>
      <c r="D21" s="353">
        <f t="shared" si="27"/>
        <v>13</v>
      </c>
      <c r="E21" s="353">
        <f t="shared" si="27"/>
        <v>8</v>
      </c>
      <c r="F21" s="353">
        <f t="shared" si="27"/>
        <v>38</v>
      </c>
      <c r="G21" s="354">
        <f t="shared" si="27"/>
        <v>73</v>
      </c>
      <c r="H21" s="353">
        <f t="shared" ref="H21:H26" si="34">AH21</f>
        <v>7</v>
      </c>
      <c r="I21" s="353">
        <f t="shared" si="28"/>
        <v>4</v>
      </c>
      <c r="J21" s="353">
        <f t="shared" si="28"/>
        <v>8</v>
      </c>
      <c r="K21" s="353">
        <f t="shared" si="28"/>
        <v>12</v>
      </c>
      <c r="L21" s="353">
        <f t="shared" si="28"/>
        <v>30</v>
      </c>
      <c r="M21" s="354">
        <f t="shared" si="28"/>
        <v>61</v>
      </c>
      <c r="N21" s="353">
        <f t="shared" ref="N21:N26" si="35">AN21</f>
        <v>662</v>
      </c>
      <c r="O21" s="353">
        <f t="shared" si="29"/>
        <v>1044</v>
      </c>
      <c r="P21" s="353">
        <f t="shared" si="29"/>
        <v>1564</v>
      </c>
      <c r="Q21" s="353">
        <f t="shared" si="29"/>
        <v>2364</v>
      </c>
      <c r="R21" s="353">
        <f t="shared" si="29"/>
        <v>4284</v>
      </c>
      <c r="S21" s="353">
        <f t="shared" si="29"/>
        <v>9934</v>
      </c>
      <c r="T21" s="265"/>
      <c r="U21" s="167"/>
      <c r="V21" s="167"/>
      <c r="W21" s="167"/>
      <c r="X21" s="167"/>
      <c r="Y21" s="167"/>
      <c r="Z21" s="167"/>
      <c r="AA21" s="289" t="s">
        <v>130</v>
      </c>
      <c r="AB21" s="780">
        <f t="shared" si="30"/>
        <v>2</v>
      </c>
      <c r="AC21" s="780">
        <f t="shared" si="30"/>
        <v>8</v>
      </c>
      <c r="AD21" s="780">
        <f t="shared" si="30"/>
        <v>13</v>
      </c>
      <c r="AE21" s="780">
        <f t="shared" si="30"/>
        <v>8</v>
      </c>
      <c r="AF21" s="780">
        <f t="shared" si="30"/>
        <v>38</v>
      </c>
      <c r="AG21" s="780">
        <f t="shared" si="30"/>
        <v>73</v>
      </c>
      <c r="AH21" s="780">
        <f t="shared" si="31"/>
        <v>7</v>
      </c>
      <c r="AI21" s="780">
        <f t="shared" si="31"/>
        <v>4</v>
      </c>
      <c r="AJ21" s="780">
        <f t="shared" si="31"/>
        <v>8</v>
      </c>
      <c r="AK21" s="780">
        <f t="shared" si="31"/>
        <v>12</v>
      </c>
      <c r="AL21" s="780">
        <f t="shared" si="31"/>
        <v>30</v>
      </c>
      <c r="AM21" s="780">
        <f t="shared" si="31"/>
        <v>61</v>
      </c>
      <c r="AN21" s="780">
        <f t="shared" si="32"/>
        <v>662</v>
      </c>
      <c r="AO21" s="780">
        <f t="shared" si="32"/>
        <v>1044</v>
      </c>
      <c r="AP21" s="780">
        <f t="shared" si="32"/>
        <v>1564</v>
      </c>
      <c r="AQ21" s="780">
        <f t="shared" si="32"/>
        <v>2364</v>
      </c>
      <c r="AR21" s="780">
        <f t="shared" si="32"/>
        <v>4284</v>
      </c>
      <c r="AS21" s="780">
        <f t="shared" si="32"/>
        <v>9934</v>
      </c>
      <c r="AY21" s="167"/>
      <c r="AZ21" s="167"/>
      <c r="BA21" s="167"/>
      <c r="BB21" s="167"/>
      <c r="BC21" s="167"/>
    </row>
    <row r="22" spans="1:55">
      <c r="A22" s="49" t="s">
        <v>78</v>
      </c>
      <c r="B22" s="353">
        <f t="shared" si="33"/>
        <v>13</v>
      </c>
      <c r="C22" s="353">
        <f t="shared" si="27"/>
        <v>17</v>
      </c>
      <c r="D22" s="353">
        <f t="shared" si="27"/>
        <v>13</v>
      </c>
      <c r="E22" s="353">
        <f t="shared" si="27"/>
        <v>21</v>
      </c>
      <c r="F22" s="353">
        <f t="shared" si="27"/>
        <v>32</v>
      </c>
      <c r="G22" s="354">
        <f t="shared" si="27"/>
        <v>103</v>
      </c>
      <c r="H22" s="353">
        <f t="shared" si="34"/>
        <v>4</v>
      </c>
      <c r="I22" s="353">
        <f t="shared" si="28"/>
        <v>6</v>
      </c>
      <c r="J22" s="353">
        <f t="shared" si="28"/>
        <v>7</v>
      </c>
      <c r="K22" s="353">
        <f t="shared" si="28"/>
        <v>8</v>
      </c>
      <c r="L22" s="353">
        <f t="shared" si="28"/>
        <v>26</v>
      </c>
      <c r="M22" s="354">
        <f t="shared" si="28"/>
        <v>52</v>
      </c>
      <c r="N22" s="353">
        <f t="shared" si="35"/>
        <v>2066</v>
      </c>
      <c r="O22" s="353">
        <f t="shared" si="29"/>
        <v>2592</v>
      </c>
      <c r="P22" s="353">
        <f t="shared" si="29"/>
        <v>3067</v>
      </c>
      <c r="Q22" s="353">
        <f t="shared" si="29"/>
        <v>3866</v>
      </c>
      <c r="R22" s="353">
        <f t="shared" si="29"/>
        <v>5031</v>
      </c>
      <c r="S22" s="353">
        <f t="shared" si="29"/>
        <v>16664</v>
      </c>
      <c r="T22" s="265"/>
      <c r="U22" s="167"/>
      <c r="V22" s="167"/>
      <c r="W22" s="167"/>
      <c r="X22" s="167"/>
      <c r="Y22" s="167"/>
      <c r="Z22" s="167"/>
      <c r="AA22" s="289" t="s">
        <v>131</v>
      </c>
      <c r="AB22" s="780">
        <f t="shared" si="30"/>
        <v>13</v>
      </c>
      <c r="AC22" s="780">
        <f t="shared" si="30"/>
        <v>17</v>
      </c>
      <c r="AD22" s="780">
        <f t="shared" si="30"/>
        <v>13</v>
      </c>
      <c r="AE22" s="780">
        <f t="shared" si="30"/>
        <v>21</v>
      </c>
      <c r="AF22" s="780">
        <f t="shared" si="30"/>
        <v>32</v>
      </c>
      <c r="AG22" s="780">
        <f t="shared" si="30"/>
        <v>103</v>
      </c>
      <c r="AH22" s="780">
        <f t="shared" si="31"/>
        <v>4</v>
      </c>
      <c r="AI22" s="780">
        <f t="shared" si="31"/>
        <v>6</v>
      </c>
      <c r="AJ22" s="780">
        <f t="shared" si="31"/>
        <v>7</v>
      </c>
      <c r="AK22" s="780">
        <f t="shared" si="31"/>
        <v>8</v>
      </c>
      <c r="AL22" s="780">
        <f t="shared" si="31"/>
        <v>26</v>
      </c>
      <c r="AM22" s="780">
        <f t="shared" si="31"/>
        <v>52</v>
      </c>
      <c r="AN22" s="780">
        <f t="shared" si="32"/>
        <v>2066</v>
      </c>
      <c r="AO22" s="780">
        <f t="shared" si="32"/>
        <v>2592</v>
      </c>
      <c r="AP22" s="780">
        <f t="shared" si="32"/>
        <v>3067</v>
      </c>
      <c r="AQ22" s="780">
        <f t="shared" si="32"/>
        <v>3866</v>
      </c>
      <c r="AR22" s="780">
        <f t="shared" si="32"/>
        <v>5031</v>
      </c>
      <c r="AS22" s="780">
        <f t="shared" si="32"/>
        <v>16664</v>
      </c>
      <c r="AY22" s="167"/>
      <c r="AZ22" s="167"/>
      <c r="BA22" s="167"/>
      <c r="BB22" s="167"/>
      <c r="BC22" s="167"/>
    </row>
    <row r="23" spans="1:55">
      <c r="A23" s="49" t="s">
        <v>79</v>
      </c>
      <c r="B23" s="353">
        <f t="shared" si="33"/>
        <v>15</v>
      </c>
      <c r="C23" s="353">
        <f t="shared" si="27"/>
        <v>24</v>
      </c>
      <c r="D23" s="353">
        <f t="shared" si="27"/>
        <v>24</v>
      </c>
      <c r="E23" s="353">
        <f t="shared" si="27"/>
        <v>29</v>
      </c>
      <c r="F23" s="353">
        <f t="shared" si="27"/>
        <v>20</v>
      </c>
      <c r="G23" s="354">
        <f t="shared" si="27"/>
        <v>115</v>
      </c>
      <c r="H23" s="353">
        <f t="shared" si="34"/>
        <v>6</v>
      </c>
      <c r="I23" s="353">
        <f t="shared" si="28"/>
        <v>10</v>
      </c>
      <c r="J23" s="353">
        <f t="shared" si="28"/>
        <v>10</v>
      </c>
      <c r="K23" s="353">
        <f t="shared" si="28"/>
        <v>14</v>
      </c>
      <c r="L23" s="353">
        <f t="shared" si="28"/>
        <v>19</v>
      </c>
      <c r="M23" s="354">
        <f t="shared" si="28"/>
        <v>59</v>
      </c>
      <c r="N23" s="353">
        <f t="shared" si="35"/>
        <v>3536</v>
      </c>
      <c r="O23" s="353">
        <f t="shared" si="29"/>
        <v>3702</v>
      </c>
      <c r="P23" s="353">
        <f t="shared" si="29"/>
        <v>3667</v>
      </c>
      <c r="Q23" s="353">
        <f t="shared" si="29"/>
        <v>3942</v>
      </c>
      <c r="R23" s="353">
        <f t="shared" si="29"/>
        <v>3829</v>
      </c>
      <c r="S23" s="353">
        <f t="shared" si="29"/>
        <v>18720</v>
      </c>
      <c r="T23" s="265"/>
      <c r="U23" s="167"/>
      <c r="V23" s="167"/>
      <c r="W23" s="167"/>
      <c r="X23" s="167"/>
      <c r="Y23" s="167"/>
      <c r="Z23" s="167"/>
      <c r="AA23" s="289" t="s">
        <v>132</v>
      </c>
      <c r="AB23" s="780">
        <f t="shared" si="30"/>
        <v>15</v>
      </c>
      <c r="AC23" s="780">
        <f t="shared" si="30"/>
        <v>24</v>
      </c>
      <c r="AD23" s="780">
        <f t="shared" si="30"/>
        <v>24</v>
      </c>
      <c r="AE23" s="780">
        <f t="shared" si="30"/>
        <v>29</v>
      </c>
      <c r="AF23" s="780">
        <f t="shared" si="30"/>
        <v>20</v>
      </c>
      <c r="AG23" s="780">
        <f t="shared" si="30"/>
        <v>115</v>
      </c>
      <c r="AH23" s="780">
        <f t="shared" si="31"/>
        <v>6</v>
      </c>
      <c r="AI23" s="780">
        <f t="shared" si="31"/>
        <v>10</v>
      </c>
      <c r="AJ23" s="780">
        <f t="shared" si="31"/>
        <v>10</v>
      </c>
      <c r="AK23" s="780">
        <f t="shared" si="31"/>
        <v>14</v>
      </c>
      <c r="AL23" s="780">
        <f t="shared" si="31"/>
        <v>19</v>
      </c>
      <c r="AM23" s="780">
        <f t="shared" si="31"/>
        <v>59</v>
      </c>
      <c r="AN23" s="780">
        <f t="shared" si="32"/>
        <v>3536</v>
      </c>
      <c r="AO23" s="780">
        <f t="shared" si="32"/>
        <v>3702</v>
      </c>
      <c r="AP23" s="780">
        <f t="shared" si="32"/>
        <v>3667</v>
      </c>
      <c r="AQ23" s="780">
        <f t="shared" si="32"/>
        <v>3942</v>
      </c>
      <c r="AR23" s="780">
        <f t="shared" si="32"/>
        <v>3829</v>
      </c>
      <c r="AS23" s="780">
        <f t="shared" si="32"/>
        <v>18720</v>
      </c>
      <c r="AY23" s="167"/>
      <c r="AZ23" s="167"/>
      <c r="BA23" s="167"/>
      <c r="BB23" s="167"/>
      <c r="BC23" s="167"/>
    </row>
    <row r="24" spans="1:55">
      <c r="A24" s="49" t="s">
        <v>80</v>
      </c>
      <c r="B24" s="353">
        <f t="shared" si="33"/>
        <v>7</v>
      </c>
      <c r="C24" s="353">
        <f t="shared" si="27"/>
        <v>9</v>
      </c>
      <c r="D24" s="353">
        <f t="shared" si="27"/>
        <v>13</v>
      </c>
      <c r="E24" s="353">
        <f t="shared" si="27"/>
        <v>20</v>
      </c>
      <c r="F24" s="353">
        <f t="shared" si="27"/>
        <v>17</v>
      </c>
      <c r="G24" s="354">
        <f t="shared" si="27"/>
        <v>70</v>
      </c>
      <c r="H24" s="353">
        <f t="shared" si="34"/>
        <v>3</v>
      </c>
      <c r="I24" s="353">
        <f t="shared" si="28"/>
        <v>2</v>
      </c>
      <c r="J24" s="353">
        <f t="shared" si="28"/>
        <v>4</v>
      </c>
      <c r="K24" s="353">
        <f t="shared" si="28"/>
        <v>10</v>
      </c>
      <c r="L24" s="353">
        <f t="shared" si="28"/>
        <v>7</v>
      </c>
      <c r="M24" s="354">
        <f t="shared" si="28"/>
        <v>26</v>
      </c>
      <c r="N24" s="353">
        <f t="shared" si="35"/>
        <v>2263</v>
      </c>
      <c r="O24" s="353">
        <f t="shared" si="29"/>
        <v>2080</v>
      </c>
      <c r="P24" s="353">
        <f t="shared" si="29"/>
        <v>1919</v>
      </c>
      <c r="Q24" s="353">
        <f t="shared" si="29"/>
        <v>1934</v>
      </c>
      <c r="R24" s="353">
        <f t="shared" si="29"/>
        <v>1887</v>
      </c>
      <c r="S24" s="353">
        <f t="shared" si="29"/>
        <v>10105</v>
      </c>
      <c r="T24" s="265"/>
      <c r="U24" s="167"/>
      <c r="V24" s="167"/>
      <c r="W24" s="167"/>
      <c r="X24" s="167"/>
      <c r="Y24" s="167"/>
      <c r="Z24" s="167"/>
      <c r="AA24" s="289" t="s">
        <v>133</v>
      </c>
      <c r="AB24" s="780">
        <f t="shared" si="30"/>
        <v>7</v>
      </c>
      <c r="AC24" s="780">
        <f t="shared" si="30"/>
        <v>9</v>
      </c>
      <c r="AD24" s="780">
        <f t="shared" si="30"/>
        <v>13</v>
      </c>
      <c r="AE24" s="780">
        <f t="shared" si="30"/>
        <v>20</v>
      </c>
      <c r="AF24" s="780">
        <f t="shared" si="30"/>
        <v>17</v>
      </c>
      <c r="AG24" s="780">
        <f t="shared" si="30"/>
        <v>70</v>
      </c>
      <c r="AH24" s="780">
        <f t="shared" si="31"/>
        <v>3</v>
      </c>
      <c r="AI24" s="780">
        <f t="shared" si="31"/>
        <v>2</v>
      </c>
      <c r="AJ24" s="780">
        <f t="shared" si="31"/>
        <v>4</v>
      </c>
      <c r="AK24" s="780">
        <f t="shared" si="31"/>
        <v>10</v>
      </c>
      <c r="AL24" s="780">
        <f t="shared" si="31"/>
        <v>7</v>
      </c>
      <c r="AM24" s="780">
        <f t="shared" si="31"/>
        <v>26</v>
      </c>
      <c r="AN24" s="780">
        <f t="shared" si="32"/>
        <v>2263</v>
      </c>
      <c r="AO24" s="780">
        <f t="shared" si="32"/>
        <v>2080</v>
      </c>
      <c r="AP24" s="780">
        <f t="shared" si="32"/>
        <v>1919</v>
      </c>
      <c r="AQ24" s="780">
        <f t="shared" si="32"/>
        <v>1934</v>
      </c>
      <c r="AR24" s="780">
        <f t="shared" si="32"/>
        <v>1887</v>
      </c>
      <c r="AS24" s="780">
        <f t="shared" si="32"/>
        <v>10105</v>
      </c>
      <c r="AY24" s="167"/>
      <c r="AZ24" s="167"/>
      <c r="BA24" s="167"/>
      <c r="BB24" s="167"/>
      <c r="BC24" s="167"/>
    </row>
    <row r="25" spans="1:55">
      <c r="A25" s="49" t="s">
        <v>81</v>
      </c>
      <c r="B25" s="353">
        <f t="shared" si="33"/>
        <v>3</v>
      </c>
      <c r="C25" s="353">
        <f t="shared" si="27"/>
        <v>3</v>
      </c>
      <c r="D25" s="353">
        <f t="shared" si="27"/>
        <v>2</v>
      </c>
      <c r="E25" s="353">
        <f t="shared" si="27"/>
        <v>2</v>
      </c>
      <c r="F25" s="353">
        <f t="shared" si="27"/>
        <v>4</v>
      </c>
      <c r="G25" s="354">
        <f t="shared" si="27"/>
        <v>16</v>
      </c>
      <c r="H25" s="353">
        <f t="shared" si="34"/>
        <v>3</v>
      </c>
      <c r="I25" s="353">
        <f t="shared" si="28"/>
        <v>0</v>
      </c>
      <c r="J25" s="353">
        <f t="shared" si="28"/>
        <v>1</v>
      </c>
      <c r="K25" s="353">
        <f t="shared" si="28"/>
        <v>4</v>
      </c>
      <c r="L25" s="353">
        <f t="shared" si="28"/>
        <v>7</v>
      </c>
      <c r="M25" s="354">
        <f t="shared" si="28"/>
        <v>15</v>
      </c>
      <c r="N25" s="353">
        <f t="shared" si="35"/>
        <v>549</v>
      </c>
      <c r="O25" s="353">
        <f t="shared" si="29"/>
        <v>473</v>
      </c>
      <c r="P25" s="353">
        <f t="shared" si="29"/>
        <v>429</v>
      </c>
      <c r="Q25" s="353">
        <f t="shared" si="29"/>
        <v>434</v>
      </c>
      <c r="R25" s="353">
        <f t="shared" si="29"/>
        <v>564</v>
      </c>
      <c r="S25" s="353">
        <f t="shared" si="29"/>
        <v>2454</v>
      </c>
      <c r="T25" s="265"/>
      <c r="U25" s="167"/>
      <c r="V25" s="167"/>
      <c r="W25" s="167"/>
      <c r="X25" s="167"/>
      <c r="Y25" s="167"/>
      <c r="Z25" s="167"/>
      <c r="AA25" s="289" t="s">
        <v>134</v>
      </c>
      <c r="AB25" s="780">
        <f t="shared" si="30"/>
        <v>3</v>
      </c>
      <c r="AC25" s="780">
        <f t="shared" si="30"/>
        <v>3</v>
      </c>
      <c r="AD25" s="780">
        <f t="shared" si="30"/>
        <v>2</v>
      </c>
      <c r="AE25" s="780">
        <f t="shared" si="30"/>
        <v>2</v>
      </c>
      <c r="AF25" s="780">
        <f t="shared" si="30"/>
        <v>4</v>
      </c>
      <c r="AG25" s="780">
        <f t="shared" si="30"/>
        <v>16</v>
      </c>
      <c r="AH25" s="780">
        <f t="shared" si="31"/>
        <v>3</v>
      </c>
      <c r="AI25" s="780">
        <f t="shared" si="31"/>
        <v>0</v>
      </c>
      <c r="AJ25" s="780">
        <f t="shared" si="31"/>
        <v>1</v>
      </c>
      <c r="AK25" s="780">
        <f t="shared" si="31"/>
        <v>4</v>
      </c>
      <c r="AL25" s="780">
        <f t="shared" si="31"/>
        <v>7</v>
      </c>
      <c r="AM25" s="780">
        <f t="shared" si="31"/>
        <v>15</v>
      </c>
      <c r="AN25" s="780">
        <f t="shared" si="32"/>
        <v>549</v>
      </c>
      <c r="AO25" s="780">
        <f t="shared" si="32"/>
        <v>473</v>
      </c>
      <c r="AP25" s="780">
        <f t="shared" si="32"/>
        <v>429</v>
      </c>
      <c r="AQ25" s="780">
        <f t="shared" si="32"/>
        <v>434</v>
      </c>
      <c r="AR25" s="780">
        <f t="shared" si="32"/>
        <v>564</v>
      </c>
      <c r="AS25" s="780">
        <f t="shared" si="32"/>
        <v>2454</v>
      </c>
      <c r="AY25" s="167"/>
      <c r="AZ25" s="167"/>
      <c r="BA25" s="167"/>
      <c r="BB25" s="167"/>
      <c r="BC25" s="167"/>
    </row>
    <row r="26" spans="1:55">
      <c r="A26" s="49" t="s">
        <v>63</v>
      </c>
      <c r="B26" s="353">
        <f t="shared" si="33"/>
        <v>0</v>
      </c>
      <c r="C26" s="353">
        <f t="shared" si="27"/>
        <v>0</v>
      </c>
      <c r="D26" s="353">
        <f t="shared" si="27"/>
        <v>0</v>
      </c>
      <c r="E26" s="353">
        <f t="shared" si="27"/>
        <v>0</v>
      </c>
      <c r="F26" s="353">
        <f t="shared" si="27"/>
        <v>0</v>
      </c>
      <c r="G26" s="354">
        <f t="shared" si="27"/>
        <v>0</v>
      </c>
      <c r="H26" s="353">
        <f t="shared" si="34"/>
        <v>0</v>
      </c>
      <c r="I26" s="353">
        <f t="shared" si="28"/>
        <v>0</v>
      </c>
      <c r="J26" s="353">
        <f t="shared" si="28"/>
        <v>0</v>
      </c>
      <c r="K26" s="353">
        <f t="shared" si="28"/>
        <v>0</v>
      </c>
      <c r="L26" s="353">
        <f t="shared" si="28"/>
        <v>0</v>
      </c>
      <c r="M26" s="354">
        <f t="shared" si="28"/>
        <v>1</v>
      </c>
      <c r="N26" s="353">
        <f t="shared" si="35"/>
        <v>0</v>
      </c>
      <c r="O26" s="353">
        <f t="shared" si="29"/>
        <v>0</v>
      </c>
      <c r="P26" s="353">
        <f t="shared" si="29"/>
        <v>0</v>
      </c>
      <c r="Q26" s="353">
        <f t="shared" si="29"/>
        <v>0</v>
      </c>
      <c r="R26" s="353">
        <f t="shared" si="29"/>
        <v>0</v>
      </c>
      <c r="S26" s="353">
        <f t="shared" si="29"/>
        <v>0</v>
      </c>
      <c r="T26" s="167"/>
      <c r="U26" s="167"/>
      <c r="V26" s="167"/>
      <c r="W26" s="167"/>
      <c r="X26" s="167"/>
      <c r="Y26" s="167"/>
      <c r="Z26" s="167"/>
      <c r="AA26" s="289" t="s">
        <v>63</v>
      </c>
      <c r="AB26" s="780">
        <f t="shared" ref="AB26:AG26" si="36">IFERROR(VLOOKUP($AA$6&amp;$AA$19&amp;$AC$5&amp;$AA26&amp;AB$7&amp;$AB$6, vw.deaths.demo,7, FALSE),0)</f>
        <v>0</v>
      </c>
      <c r="AC26" s="780">
        <f t="shared" si="36"/>
        <v>0</v>
      </c>
      <c r="AD26" s="780">
        <f t="shared" si="36"/>
        <v>0</v>
      </c>
      <c r="AE26" s="780">
        <f t="shared" si="36"/>
        <v>0</v>
      </c>
      <c r="AF26" s="780">
        <f t="shared" si="36"/>
        <v>0</v>
      </c>
      <c r="AG26" s="780">
        <f t="shared" si="36"/>
        <v>0</v>
      </c>
      <c r="AH26" s="780">
        <f t="shared" ref="AH26:AM26" si="37">IFERROR(VLOOKUP($AA$6&amp;$AA$19&amp;$AC$5&amp;$AA26&amp;AH$7&amp;$AH$6, vw.deaths.demo,7, FALSE),0)</f>
        <v>0</v>
      </c>
      <c r="AI26" s="780">
        <f t="shared" si="37"/>
        <v>0</v>
      </c>
      <c r="AJ26" s="780">
        <f t="shared" si="37"/>
        <v>0</v>
      </c>
      <c r="AK26" s="780">
        <f t="shared" si="37"/>
        <v>0</v>
      </c>
      <c r="AL26" s="780">
        <f t="shared" si="37"/>
        <v>0</v>
      </c>
      <c r="AM26" s="780">
        <f t="shared" si="37"/>
        <v>1</v>
      </c>
      <c r="AN26" s="780">
        <f t="shared" ref="AN26:AS26" si="38">IFERROR(VLOOKUP($AA$6&amp;$AA$19&amp;$AC$5&amp;$AA26&amp;AN$7, vw.births.demo,7,FALSE),0)</f>
        <v>0</v>
      </c>
      <c r="AO26" s="780">
        <f t="shared" si="38"/>
        <v>0</v>
      </c>
      <c r="AP26" s="780">
        <f t="shared" si="38"/>
        <v>0</v>
      </c>
      <c r="AQ26" s="780">
        <f t="shared" si="38"/>
        <v>0</v>
      </c>
      <c r="AR26" s="780">
        <f t="shared" si="38"/>
        <v>0</v>
      </c>
      <c r="AS26" s="780">
        <f t="shared" si="38"/>
        <v>0</v>
      </c>
      <c r="AY26" s="167"/>
      <c r="AZ26" s="167"/>
      <c r="BA26" s="167"/>
      <c r="BB26" s="167"/>
      <c r="BC26" s="167"/>
    </row>
    <row r="27" spans="1:55">
      <c r="A27" s="80" t="s">
        <v>105</v>
      </c>
      <c r="B27" s="328"/>
      <c r="C27" s="328"/>
      <c r="D27" s="328"/>
      <c r="E27" s="328"/>
      <c r="F27" s="328"/>
      <c r="G27" s="328"/>
      <c r="H27" s="328"/>
      <c r="I27" s="328"/>
      <c r="J27" s="328"/>
      <c r="K27" s="328"/>
      <c r="L27" s="328"/>
      <c r="M27" s="328"/>
      <c r="N27" s="328"/>
      <c r="O27" s="328"/>
      <c r="P27" s="328"/>
      <c r="Q27" s="81"/>
      <c r="R27" s="81"/>
      <c r="S27" s="355"/>
      <c r="T27" s="167"/>
      <c r="U27" s="167"/>
      <c r="V27" s="167"/>
      <c r="W27" s="167"/>
      <c r="X27" s="167"/>
      <c r="Y27" s="167"/>
      <c r="Z27" s="167"/>
      <c r="AA27" s="289" t="s">
        <v>135</v>
      </c>
      <c r="AY27" s="167"/>
      <c r="AZ27" s="167"/>
      <c r="BA27" s="167"/>
      <c r="BB27" s="167"/>
      <c r="BC27" s="167"/>
    </row>
    <row r="28" spans="1:55">
      <c r="A28" s="404" t="s">
        <v>375</v>
      </c>
      <c r="B28" s="417">
        <f>AB28</f>
        <v>28</v>
      </c>
      <c r="C28" s="417">
        <f t="shared" ref="C28:G33" si="39">AC28</f>
        <v>39</v>
      </c>
      <c r="D28" s="417">
        <f t="shared" si="39"/>
        <v>33</v>
      </c>
      <c r="E28" s="417">
        <f t="shared" si="39"/>
        <v>49</v>
      </c>
      <c r="F28" s="417">
        <f t="shared" si="39"/>
        <v>64</v>
      </c>
      <c r="G28" s="354">
        <f t="shared" si="39"/>
        <v>227</v>
      </c>
      <c r="H28" s="417">
        <f>AH28</f>
        <v>9</v>
      </c>
      <c r="I28" s="417">
        <f t="shared" ref="I28:M33" si="40">AI28</f>
        <v>9</v>
      </c>
      <c r="J28" s="417">
        <f t="shared" si="40"/>
        <v>17</v>
      </c>
      <c r="K28" s="417">
        <f t="shared" si="40"/>
        <v>22</v>
      </c>
      <c r="L28" s="417">
        <f t="shared" si="40"/>
        <v>38</v>
      </c>
      <c r="M28" s="354">
        <f t="shared" si="40"/>
        <v>96</v>
      </c>
      <c r="N28" s="417">
        <f>AN28</f>
        <v>36</v>
      </c>
      <c r="O28" s="417">
        <f t="shared" ref="O28:S33" si="41">AO28</f>
        <v>30</v>
      </c>
      <c r="P28" s="417">
        <f t="shared" si="41"/>
        <v>44</v>
      </c>
      <c r="Q28" s="417">
        <f t="shared" si="41"/>
        <v>65</v>
      </c>
      <c r="R28" s="417">
        <f t="shared" si="41"/>
        <v>84</v>
      </c>
      <c r="S28" s="417">
        <f t="shared" si="41"/>
        <v>260</v>
      </c>
      <c r="T28" s="167"/>
      <c r="U28" s="167"/>
      <c r="V28" s="167"/>
      <c r="W28" s="167"/>
      <c r="X28" s="167"/>
      <c r="Y28" s="167"/>
      <c r="Z28" s="167"/>
      <c r="AA28" s="289" t="s">
        <v>375</v>
      </c>
      <c r="AB28" s="780">
        <f t="shared" ref="AB28:AG32" si="42">VLOOKUP($AA$6&amp;$AA$27&amp;$AC$5&amp;$AA28&amp;AB$7&amp;$AB$6, vw.deaths.demo,7, FALSE)</f>
        <v>28</v>
      </c>
      <c r="AC28" s="780">
        <f t="shared" si="42"/>
        <v>39</v>
      </c>
      <c r="AD28" s="780">
        <f t="shared" si="42"/>
        <v>33</v>
      </c>
      <c r="AE28" s="780">
        <f t="shared" si="42"/>
        <v>49</v>
      </c>
      <c r="AF28" s="780">
        <f t="shared" si="42"/>
        <v>64</v>
      </c>
      <c r="AG28" s="780">
        <f t="shared" si="42"/>
        <v>227</v>
      </c>
      <c r="AH28" s="780">
        <f t="shared" ref="AH28:AM32" si="43">VLOOKUP($AA$6&amp;$AA$27&amp;$AC$5&amp;$AA28&amp;AH$7&amp;$AH$6, vw.deaths.demo,7, FALSE)</f>
        <v>9</v>
      </c>
      <c r="AI28" s="780">
        <f t="shared" si="43"/>
        <v>9</v>
      </c>
      <c r="AJ28" s="780">
        <f t="shared" si="43"/>
        <v>17</v>
      </c>
      <c r="AK28" s="780">
        <f t="shared" si="43"/>
        <v>22</v>
      </c>
      <c r="AL28" s="780">
        <f t="shared" si="43"/>
        <v>38</v>
      </c>
      <c r="AM28" s="780">
        <f t="shared" si="43"/>
        <v>96</v>
      </c>
      <c r="AN28" s="780">
        <f t="shared" ref="AN28:AS32" si="44">VLOOKUP($AA$6&amp;$AA$27&amp;$AC$5&amp;$AA28&amp;AN$7, vw.births.demo,7,FALSE)</f>
        <v>36</v>
      </c>
      <c r="AO28" s="780">
        <f t="shared" si="44"/>
        <v>30</v>
      </c>
      <c r="AP28" s="780">
        <f t="shared" si="44"/>
        <v>44</v>
      </c>
      <c r="AQ28" s="780">
        <f t="shared" si="44"/>
        <v>65</v>
      </c>
      <c r="AR28" s="780">
        <f t="shared" si="44"/>
        <v>84</v>
      </c>
      <c r="AS28" s="780">
        <f t="shared" si="44"/>
        <v>260</v>
      </c>
      <c r="AY28" s="167"/>
      <c r="AZ28" s="167"/>
      <c r="BA28" s="167"/>
      <c r="BB28" s="167"/>
      <c r="BC28" s="167"/>
    </row>
    <row r="29" spans="1:55" s="397" customFormat="1">
      <c r="A29" s="404" t="s">
        <v>376</v>
      </c>
      <c r="B29" s="417">
        <f t="shared" ref="B29:B33" si="45">AB29</f>
        <v>4</v>
      </c>
      <c r="C29" s="417">
        <f t="shared" si="39"/>
        <v>6</v>
      </c>
      <c r="D29" s="417">
        <f t="shared" si="39"/>
        <v>5</v>
      </c>
      <c r="E29" s="417">
        <f t="shared" si="39"/>
        <v>8</v>
      </c>
      <c r="F29" s="417">
        <f t="shared" si="39"/>
        <v>12</v>
      </c>
      <c r="G29" s="354">
        <f t="shared" si="39"/>
        <v>38</v>
      </c>
      <c r="H29" s="417">
        <f t="shared" ref="H29:H33" si="46">AH29</f>
        <v>2</v>
      </c>
      <c r="I29" s="417">
        <f t="shared" si="40"/>
        <v>0</v>
      </c>
      <c r="J29" s="417">
        <f t="shared" si="40"/>
        <v>3</v>
      </c>
      <c r="K29" s="417">
        <f t="shared" si="40"/>
        <v>3</v>
      </c>
      <c r="L29" s="417">
        <f t="shared" si="40"/>
        <v>6</v>
      </c>
      <c r="M29" s="354">
        <f t="shared" si="40"/>
        <v>14</v>
      </c>
      <c r="N29" s="417">
        <f t="shared" ref="N29:N33" si="47">AN29</f>
        <v>60</v>
      </c>
      <c r="O29" s="417">
        <f t="shared" si="41"/>
        <v>65</v>
      </c>
      <c r="P29" s="417">
        <f t="shared" si="41"/>
        <v>75</v>
      </c>
      <c r="Q29" s="417">
        <f t="shared" si="41"/>
        <v>96</v>
      </c>
      <c r="R29" s="417">
        <f t="shared" si="41"/>
        <v>121</v>
      </c>
      <c r="S29" s="417">
        <f t="shared" si="41"/>
        <v>417</v>
      </c>
      <c r="AA29" s="289" t="s">
        <v>395</v>
      </c>
      <c r="AB29" s="780">
        <f t="shared" si="42"/>
        <v>4</v>
      </c>
      <c r="AC29" s="780">
        <f t="shared" si="42"/>
        <v>6</v>
      </c>
      <c r="AD29" s="780">
        <f t="shared" si="42"/>
        <v>5</v>
      </c>
      <c r="AE29" s="780">
        <f t="shared" si="42"/>
        <v>8</v>
      </c>
      <c r="AF29" s="780">
        <f t="shared" si="42"/>
        <v>12</v>
      </c>
      <c r="AG29" s="780">
        <f t="shared" si="42"/>
        <v>38</v>
      </c>
      <c r="AH29" s="780">
        <f t="shared" si="43"/>
        <v>2</v>
      </c>
      <c r="AI29" s="780">
        <f t="shared" si="43"/>
        <v>0</v>
      </c>
      <c r="AJ29" s="780">
        <f t="shared" si="43"/>
        <v>3</v>
      </c>
      <c r="AK29" s="780">
        <f t="shared" si="43"/>
        <v>3</v>
      </c>
      <c r="AL29" s="780">
        <f t="shared" si="43"/>
        <v>6</v>
      </c>
      <c r="AM29" s="780">
        <f t="shared" si="43"/>
        <v>14</v>
      </c>
      <c r="AN29" s="780">
        <f t="shared" si="44"/>
        <v>60</v>
      </c>
      <c r="AO29" s="780">
        <f t="shared" si="44"/>
        <v>65</v>
      </c>
      <c r="AP29" s="780">
        <f t="shared" si="44"/>
        <v>75</v>
      </c>
      <c r="AQ29" s="780">
        <f t="shared" si="44"/>
        <v>96</v>
      </c>
      <c r="AR29" s="780">
        <f t="shared" si="44"/>
        <v>121</v>
      </c>
      <c r="AS29" s="780">
        <f t="shared" si="44"/>
        <v>417</v>
      </c>
      <c r="AT29" s="245"/>
      <c r="AU29" s="245"/>
      <c r="AV29" s="245"/>
      <c r="AW29" s="245"/>
      <c r="AX29" s="245"/>
    </row>
    <row r="30" spans="1:55">
      <c r="A30" s="49" t="s">
        <v>64</v>
      </c>
      <c r="B30" s="417">
        <f t="shared" si="45"/>
        <v>2</v>
      </c>
      <c r="C30" s="417">
        <f t="shared" si="39"/>
        <v>6</v>
      </c>
      <c r="D30" s="417">
        <f t="shared" si="39"/>
        <v>14</v>
      </c>
      <c r="E30" s="417">
        <f t="shared" si="39"/>
        <v>11</v>
      </c>
      <c r="F30" s="417">
        <f t="shared" si="39"/>
        <v>21</v>
      </c>
      <c r="G30" s="354">
        <f t="shared" si="39"/>
        <v>56</v>
      </c>
      <c r="H30" s="417">
        <f t="shared" si="46"/>
        <v>1</v>
      </c>
      <c r="I30" s="417">
        <f t="shared" si="40"/>
        <v>2</v>
      </c>
      <c r="J30" s="417">
        <f t="shared" si="40"/>
        <v>1</v>
      </c>
      <c r="K30" s="417">
        <f t="shared" si="40"/>
        <v>4</v>
      </c>
      <c r="L30" s="417">
        <f t="shared" si="40"/>
        <v>15</v>
      </c>
      <c r="M30" s="354">
        <f t="shared" si="40"/>
        <v>23</v>
      </c>
      <c r="N30" s="417">
        <f t="shared" si="47"/>
        <v>574</v>
      </c>
      <c r="O30" s="417">
        <f t="shared" si="41"/>
        <v>580</v>
      </c>
      <c r="P30" s="417">
        <f t="shared" si="41"/>
        <v>676</v>
      </c>
      <c r="Q30" s="417">
        <f t="shared" si="41"/>
        <v>835</v>
      </c>
      <c r="R30" s="417">
        <f t="shared" si="41"/>
        <v>1137</v>
      </c>
      <c r="S30" s="417">
        <f t="shared" si="41"/>
        <v>3814</v>
      </c>
      <c r="T30" s="167"/>
      <c r="U30" s="167"/>
      <c r="V30" s="167"/>
      <c r="W30" s="167"/>
      <c r="X30" s="167"/>
      <c r="Y30" s="167"/>
      <c r="Z30" s="167"/>
      <c r="AA30" s="289" t="s">
        <v>136</v>
      </c>
      <c r="AB30" s="780">
        <f t="shared" si="42"/>
        <v>2</v>
      </c>
      <c r="AC30" s="780">
        <f t="shared" si="42"/>
        <v>6</v>
      </c>
      <c r="AD30" s="780">
        <f t="shared" si="42"/>
        <v>14</v>
      </c>
      <c r="AE30" s="780">
        <f t="shared" si="42"/>
        <v>11</v>
      </c>
      <c r="AF30" s="780">
        <f t="shared" si="42"/>
        <v>21</v>
      </c>
      <c r="AG30" s="780">
        <f t="shared" si="42"/>
        <v>56</v>
      </c>
      <c r="AH30" s="780">
        <f t="shared" si="43"/>
        <v>1</v>
      </c>
      <c r="AI30" s="780">
        <f t="shared" si="43"/>
        <v>2</v>
      </c>
      <c r="AJ30" s="780">
        <f t="shared" si="43"/>
        <v>1</v>
      </c>
      <c r="AK30" s="780">
        <f t="shared" si="43"/>
        <v>4</v>
      </c>
      <c r="AL30" s="780">
        <f t="shared" si="43"/>
        <v>15</v>
      </c>
      <c r="AM30" s="780">
        <f t="shared" si="43"/>
        <v>23</v>
      </c>
      <c r="AN30" s="780">
        <f t="shared" si="44"/>
        <v>574</v>
      </c>
      <c r="AO30" s="780">
        <f t="shared" si="44"/>
        <v>580</v>
      </c>
      <c r="AP30" s="780">
        <f t="shared" si="44"/>
        <v>676</v>
      </c>
      <c r="AQ30" s="780">
        <f t="shared" si="44"/>
        <v>835</v>
      </c>
      <c r="AR30" s="780">
        <f t="shared" si="44"/>
        <v>1137</v>
      </c>
      <c r="AS30" s="780">
        <f t="shared" si="44"/>
        <v>3814</v>
      </c>
      <c r="AY30" s="167"/>
      <c r="AZ30" s="167"/>
      <c r="BA30" s="167"/>
      <c r="BB30" s="167"/>
      <c r="BC30" s="167"/>
    </row>
    <row r="31" spans="1:55">
      <c r="A31" s="49" t="s">
        <v>65</v>
      </c>
      <c r="B31" s="417">
        <f t="shared" si="45"/>
        <v>9</v>
      </c>
      <c r="C31" s="417">
        <f t="shared" si="39"/>
        <v>13</v>
      </c>
      <c r="D31" s="417">
        <f t="shared" si="39"/>
        <v>16</v>
      </c>
      <c r="E31" s="417">
        <f t="shared" si="39"/>
        <v>18</v>
      </c>
      <c r="F31" s="417">
        <f t="shared" si="39"/>
        <v>27</v>
      </c>
      <c r="G31" s="354">
        <f t="shared" si="39"/>
        <v>86</v>
      </c>
      <c r="H31" s="417">
        <f t="shared" si="46"/>
        <v>10</v>
      </c>
      <c r="I31" s="417">
        <f t="shared" si="40"/>
        <v>11</v>
      </c>
      <c r="J31" s="417">
        <f t="shared" si="40"/>
        <v>10</v>
      </c>
      <c r="K31" s="417">
        <f t="shared" si="40"/>
        <v>21</v>
      </c>
      <c r="L31" s="417">
        <f t="shared" si="40"/>
        <v>39</v>
      </c>
      <c r="M31" s="354">
        <f t="shared" si="40"/>
        <v>91</v>
      </c>
      <c r="N31" s="417">
        <f t="shared" si="47"/>
        <v>8377</v>
      </c>
      <c r="O31" s="417">
        <f t="shared" si="41"/>
        <v>9282</v>
      </c>
      <c r="P31" s="417">
        <f t="shared" si="41"/>
        <v>9986</v>
      </c>
      <c r="Q31" s="417">
        <f t="shared" si="41"/>
        <v>11898</v>
      </c>
      <c r="R31" s="417">
        <f t="shared" si="41"/>
        <v>15244</v>
      </c>
      <c r="S31" s="417">
        <f t="shared" si="41"/>
        <v>54899</v>
      </c>
      <c r="T31" s="167"/>
      <c r="U31" s="167"/>
      <c r="V31" s="167"/>
      <c r="W31" s="167"/>
      <c r="X31" s="167"/>
      <c r="Y31" s="167"/>
      <c r="Z31" s="167"/>
      <c r="AA31" s="289" t="s">
        <v>137</v>
      </c>
      <c r="AB31" s="780">
        <f t="shared" si="42"/>
        <v>9</v>
      </c>
      <c r="AC31" s="780">
        <f t="shared" si="42"/>
        <v>13</v>
      </c>
      <c r="AD31" s="780">
        <f t="shared" si="42"/>
        <v>16</v>
      </c>
      <c r="AE31" s="780">
        <f t="shared" si="42"/>
        <v>18</v>
      </c>
      <c r="AF31" s="780">
        <f t="shared" si="42"/>
        <v>27</v>
      </c>
      <c r="AG31" s="780">
        <f t="shared" si="42"/>
        <v>86</v>
      </c>
      <c r="AH31" s="780">
        <f t="shared" si="43"/>
        <v>10</v>
      </c>
      <c r="AI31" s="780">
        <f t="shared" si="43"/>
        <v>11</v>
      </c>
      <c r="AJ31" s="780">
        <f t="shared" si="43"/>
        <v>10</v>
      </c>
      <c r="AK31" s="780">
        <f t="shared" si="43"/>
        <v>21</v>
      </c>
      <c r="AL31" s="780">
        <f t="shared" si="43"/>
        <v>39</v>
      </c>
      <c r="AM31" s="780">
        <f t="shared" si="43"/>
        <v>91</v>
      </c>
      <c r="AN31" s="780">
        <f t="shared" si="44"/>
        <v>8377</v>
      </c>
      <c r="AO31" s="780">
        <f t="shared" si="44"/>
        <v>9282</v>
      </c>
      <c r="AP31" s="780">
        <f t="shared" si="44"/>
        <v>9986</v>
      </c>
      <c r="AQ31" s="780">
        <f t="shared" si="44"/>
        <v>11898</v>
      </c>
      <c r="AR31" s="780">
        <f t="shared" si="44"/>
        <v>15244</v>
      </c>
      <c r="AS31" s="780">
        <f t="shared" si="44"/>
        <v>54899</v>
      </c>
      <c r="AY31" s="167"/>
      <c r="AZ31" s="167"/>
      <c r="BA31" s="167"/>
      <c r="BB31" s="167"/>
      <c r="BC31" s="167"/>
    </row>
    <row r="32" spans="1:55">
      <c r="A32" s="49" t="s">
        <v>66</v>
      </c>
      <c r="B32" s="417">
        <f t="shared" si="45"/>
        <v>0</v>
      </c>
      <c r="C32" s="417">
        <f t="shared" si="39"/>
        <v>0</v>
      </c>
      <c r="D32" s="417">
        <f t="shared" si="39"/>
        <v>0</v>
      </c>
      <c r="E32" s="417">
        <f t="shared" si="39"/>
        <v>0</v>
      </c>
      <c r="F32" s="417">
        <f t="shared" si="39"/>
        <v>0</v>
      </c>
      <c r="G32" s="354">
        <f t="shared" si="39"/>
        <v>0</v>
      </c>
      <c r="H32" s="417">
        <f t="shared" si="46"/>
        <v>1</v>
      </c>
      <c r="I32" s="417">
        <f t="shared" si="40"/>
        <v>0</v>
      </c>
      <c r="J32" s="417">
        <f t="shared" si="40"/>
        <v>1</v>
      </c>
      <c r="K32" s="417">
        <f t="shared" si="40"/>
        <v>0</v>
      </c>
      <c r="L32" s="417">
        <f t="shared" si="40"/>
        <v>2</v>
      </c>
      <c r="M32" s="354">
        <f t="shared" si="40"/>
        <v>4</v>
      </c>
      <c r="N32" s="417">
        <f t="shared" si="47"/>
        <v>144</v>
      </c>
      <c r="O32" s="417">
        <f t="shared" si="41"/>
        <v>165</v>
      </c>
      <c r="P32" s="417">
        <f t="shared" si="41"/>
        <v>181</v>
      </c>
      <c r="Q32" s="417">
        <f t="shared" si="41"/>
        <v>232</v>
      </c>
      <c r="R32" s="417">
        <f t="shared" si="41"/>
        <v>290</v>
      </c>
      <c r="S32" s="417">
        <f t="shared" si="41"/>
        <v>1017</v>
      </c>
      <c r="T32" s="167"/>
      <c r="U32" s="167"/>
      <c r="V32" s="167"/>
      <c r="W32" s="167"/>
      <c r="X32" s="167"/>
      <c r="Y32" s="167"/>
      <c r="Z32" s="167"/>
      <c r="AA32" s="289" t="s">
        <v>138</v>
      </c>
      <c r="AB32" s="780">
        <f t="shared" si="42"/>
        <v>0</v>
      </c>
      <c r="AC32" s="780">
        <f t="shared" si="42"/>
        <v>0</v>
      </c>
      <c r="AD32" s="780">
        <f t="shared" si="42"/>
        <v>0</v>
      </c>
      <c r="AE32" s="780">
        <f t="shared" si="42"/>
        <v>0</v>
      </c>
      <c r="AF32" s="780">
        <f t="shared" si="42"/>
        <v>0</v>
      </c>
      <c r="AG32" s="780">
        <f t="shared" si="42"/>
        <v>0</v>
      </c>
      <c r="AH32" s="780">
        <f t="shared" si="43"/>
        <v>1</v>
      </c>
      <c r="AI32" s="780">
        <f t="shared" si="43"/>
        <v>0</v>
      </c>
      <c r="AJ32" s="780">
        <f t="shared" si="43"/>
        <v>1</v>
      </c>
      <c r="AK32" s="780">
        <f t="shared" si="43"/>
        <v>0</v>
      </c>
      <c r="AL32" s="780">
        <f t="shared" si="43"/>
        <v>2</v>
      </c>
      <c r="AM32" s="780">
        <f t="shared" si="43"/>
        <v>4</v>
      </c>
      <c r="AN32" s="780">
        <f t="shared" si="44"/>
        <v>144</v>
      </c>
      <c r="AO32" s="780">
        <f t="shared" si="44"/>
        <v>165</v>
      </c>
      <c r="AP32" s="780">
        <f t="shared" si="44"/>
        <v>181</v>
      </c>
      <c r="AQ32" s="780">
        <f t="shared" si="44"/>
        <v>232</v>
      </c>
      <c r="AR32" s="780">
        <f t="shared" si="44"/>
        <v>290</v>
      </c>
      <c r="AS32" s="780">
        <f t="shared" si="44"/>
        <v>1017</v>
      </c>
      <c r="AY32" s="167"/>
      <c r="AZ32" s="167"/>
      <c r="BA32" s="167"/>
      <c r="BB32" s="167"/>
      <c r="BC32" s="167"/>
    </row>
    <row r="33" spans="1:55">
      <c r="A33" s="49" t="s">
        <v>63</v>
      </c>
      <c r="B33" s="417">
        <f t="shared" si="45"/>
        <v>0</v>
      </c>
      <c r="C33" s="417">
        <f t="shared" si="39"/>
        <v>0</v>
      </c>
      <c r="D33" s="417">
        <f t="shared" si="39"/>
        <v>0</v>
      </c>
      <c r="E33" s="417">
        <f t="shared" si="39"/>
        <v>4</v>
      </c>
      <c r="F33" s="417">
        <f t="shared" si="39"/>
        <v>2</v>
      </c>
      <c r="G33" s="354">
        <f t="shared" si="39"/>
        <v>6</v>
      </c>
      <c r="H33" s="417">
        <f t="shared" si="46"/>
        <v>1</v>
      </c>
      <c r="I33" s="417">
        <f t="shared" si="40"/>
        <v>2</v>
      </c>
      <c r="J33" s="417">
        <f t="shared" si="40"/>
        <v>0</v>
      </c>
      <c r="K33" s="417">
        <f t="shared" si="40"/>
        <v>2</v>
      </c>
      <c r="L33" s="417">
        <f t="shared" si="40"/>
        <v>7</v>
      </c>
      <c r="M33" s="354">
        <f t="shared" si="40"/>
        <v>13</v>
      </c>
      <c r="N33" s="417">
        <f t="shared" si="47"/>
        <v>3</v>
      </c>
      <c r="O33" s="417">
        <f t="shared" si="41"/>
        <v>1</v>
      </c>
      <c r="P33" s="417">
        <f t="shared" si="41"/>
        <v>9</v>
      </c>
      <c r="Q33" s="417">
        <f t="shared" si="41"/>
        <v>5</v>
      </c>
      <c r="R33" s="417">
        <f t="shared" si="41"/>
        <v>10</v>
      </c>
      <c r="S33" s="417">
        <f t="shared" si="41"/>
        <v>29</v>
      </c>
      <c r="T33" s="167"/>
      <c r="U33" s="167"/>
      <c r="V33" s="167"/>
      <c r="W33" s="167"/>
      <c r="X33" s="167"/>
      <c r="Y33" s="167"/>
      <c r="Z33" s="167"/>
      <c r="AA33" s="289" t="s">
        <v>63</v>
      </c>
      <c r="AB33" s="780">
        <f t="shared" ref="AB33:AG33" si="48">IFERROR(VLOOKUP($AA$6&amp;$AA$27&amp;$AC$5&amp;$AA33&amp;AB$7&amp;$AB$6, vw.deaths.demo,7, FALSE),0)</f>
        <v>0</v>
      </c>
      <c r="AC33" s="780">
        <f t="shared" si="48"/>
        <v>0</v>
      </c>
      <c r="AD33" s="780">
        <f t="shared" si="48"/>
        <v>0</v>
      </c>
      <c r="AE33" s="780">
        <f t="shared" si="48"/>
        <v>4</v>
      </c>
      <c r="AF33" s="780">
        <f t="shared" si="48"/>
        <v>2</v>
      </c>
      <c r="AG33" s="780">
        <f t="shared" si="48"/>
        <v>6</v>
      </c>
      <c r="AH33" s="780">
        <f t="shared" ref="AH33:AM33" si="49">IFERROR(VLOOKUP($AA$6&amp;$AA$27&amp;$AC$5&amp;$AA33&amp;AH$7&amp;$AH$6, vw.deaths.demo,7, FALSE),0)</f>
        <v>1</v>
      </c>
      <c r="AI33" s="780">
        <f t="shared" si="49"/>
        <v>2</v>
      </c>
      <c r="AJ33" s="780">
        <f t="shared" si="49"/>
        <v>0</v>
      </c>
      <c r="AK33" s="780">
        <f t="shared" si="49"/>
        <v>2</v>
      </c>
      <c r="AL33" s="780">
        <f t="shared" si="49"/>
        <v>7</v>
      </c>
      <c r="AM33" s="780">
        <f t="shared" si="49"/>
        <v>13</v>
      </c>
      <c r="AN33" s="780">
        <f t="shared" ref="AN33:AS33" si="50">IFERROR(VLOOKUP($AA$6&amp;$AA$27&amp;$AC$5&amp;$AA33&amp;AN$7, vw.births.demo,7,FALSE),0)</f>
        <v>3</v>
      </c>
      <c r="AO33" s="780">
        <f t="shared" si="50"/>
        <v>1</v>
      </c>
      <c r="AP33" s="780">
        <f t="shared" si="50"/>
        <v>9</v>
      </c>
      <c r="AQ33" s="780">
        <f t="shared" si="50"/>
        <v>5</v>
      </c>
      <c r="AR33" s="780">
        <f t="shared" si="50"/>
        <v>10</v>
      </c>
      <c r="AS33" s="780">
        <f t="shared" si="50"/>
        <v>29</v>
      </c>
      <c r="AY33" s="167"/>
      <c r="AZ33" s="167"/>
      <c r="BA33" s="167"/>
      <c r="BB33" s="167"/>
      <c r="BC33" s="167"/>
    </row>
    <row r="34" spans="1:55">
      <c r="A34" s="80" t="s">
        <v>1</v>
      </c>
      <c r="B34" s="328"/>
      <c r="C34" s="328"/>
      <c r="D34" s="328"/>
      <c r="E34" s="328"/>
      <c r="F34" s="328"/>
      <c r="G34" s="328"/>
      <c r="H34" s="328"/>
      <c r="I34" s="328"/>
      <c r="J34" s="328"/>
      <c r="K34" s="328"/>
      <c r="L34" s="328"/>
      <c r="M34" s="328"/>
      <c r="N34" s="328"/>
      <c r="O34" s="328"/>
      <c r="P34" s="328"/>
      <c r="Q34" s="81"/>
      <c r="R34" s="81"/>
      <c r="S34" s="355"/>
      <c r="T34" s="167"/>
      <c r="U34" s="167"/>
      <c r="V34" s="167"/>
      <c r="W34" s="167"/>
      <c r="X34" s="167"/>
      <c r="Y34" s="167"/>
      <c r="Z34" s="167"/>
      <c r="AA34" s="289" t="s">
        <v>464</v>
      </c>
      <c r="AY34" s="167"/>
      <c r="AZ34" s="167"/>
      <c r="BA34" s="167"/>
      <c r="BB34" s="167"/>
      <c r="BC34" s="167"/>
    </row>
    <row r="35" spans="1:55">
      <c r="A35" s="404" t="s">
        <v>378</v>
      </c>
      <c r="B35" s="417">
        <f>AB35</f>
        <v>14</v>
      </c>
      <c r="C35" s="417">
        <f t="shared" ref="C35:G41" si="51">AC35</f>
        <v>21</v>
      </c>
      <c r="D35" s="417">
        <f t="shared" si="51"/>
        <v>26</v>
      </c>
      <c r="E35" s="417">
        <f t="shared" si="51"/>
        <v>28</v>
      </c>
      <c r="F35" s="417">
        <f t="shared" si="51"/>
        <v>44</v>
      </c>
      <c r="G35" s="354">
        <f t="shared" si="51"/>
        <v>141</v>
      </c>
      <c r="H35" s="417">
        <f>AH35</f>
        <v>4</v>
      </c>
      <c r="I35" s="417">
        <f t="shared" ref="I35:M41" si="52">AI35</f>
        <v>5</v>
      </c>
      <c r="J35" s="417">
        <f t="shared" si="52"/>
        <v>7</v>
      </c>
      <c r="K35" s="417">
        <f t="shared" si="52"/>
        <v>8</v>
      </c>
      <c r="L35" s="417">
        <f t="shared" si="52"/>
        <v>13</v>
      </c>
      <c r="M35" s="354">
        <f t="shared" si="52"/>
        <v>37</v>
      </c>
      <c r="N35" s="417">
        <f>AN35</f>
        <v>11</v>
      </c>
      <c r="O35" s="417">
        <f t="shared" ref="O35:S41" si="53">AO35</f>
        <v>5</v>
      </c>
      <c r="P35" s="417">
        <f t="shared" si="53"/>
        <v>9</v>
      </c>
      <c r="Q35" s="417">
        <f t="shared" si="53"/>
        <v>11</v>
      </c>
      <c r="R35" s="417">
        <f t="shared" si="53"/>
        <v>17</v>
      </c>
      <c r="S35" s="417">
        <f t="shared" si="53"/>
        <v>53</v>
      </c>
      <c r="T35" s="167"/>
      <c r="U35" s="167"/>
      <c r="V35" s="167"/>
      <c r="W35" s="167"/>
      <c r="X35" s="167"/>
      <c r="Y35" s="167"/>
      <c r="Z35" s="167"/>
      <c r="AA35" s="289" t="s">
        <v>427</v>
      </c>
      <c r="AB35" s="780">
        <f t="shared" ref="AB35:AG40" si="54">VLOOKUP($AA$6&amp;$AA$34&amp;$AC$5&amp;$AA35&amp;AB$7&amp;$AB$6, vw.deaths.demo,7, FALSE)</f>
        <v>14</v>
      </c>
      <c r="AC35" s="780">
        <f t="shared" si="54"/>
        <v>21</v>
      </c>
      <c r="AD35" s="780">
        <f t="shared" si="54"/>
        <v>26</v>
      </c>
      <c r="AE35" s="780">
        <f t="shared" si="54"/>
        <v>28</v>
      </c>
      <c r="AF35" s="780">
        <f t="shared" si="54"/>
        <v>44</v>
      </c>
      <c r="AG35" s="780">
        <f t="shared" si="54"/>
        <v>141</v>
      </c>
      <c r="AH35" s="780">
        <f t="shared" ref="AH35:AM40" si="55">VLOOKUP($AA$6&amp;$AA$34&amp;$AC$5&amp;$AA35&amp;AH$7&amp;$AH$6, vw.deaths.demo,7, FALSE)</f>
        <v>4</v>
      </c>
      <c r="AI35" s="780">
        <f t="shared" si="55"/>
        <v>5</v>
      </c>
      <c r="AJ35" s="780">
        <f t="shared" si="55"/>
        <v>7</v>
      </c>
      <c r="AK35" s="780">
        <f t="shared" si="55"/>
        <v>8</v>
      </c>
      <c r="AL35" s="780">
        <f t="shared" si="55"/>
        <v>13</v>
      </c>
      <c r="AM35" s="780">
        <f t="shared" si="55"/>
        <v>37</v>
      </c>
      <c r="AN35" s="780">
        <f t="shared" ref="AN35:AS40" si="56">VLOOKUP($AA$6&amp;$AA$34&amp;$AC$5&amp;$AA35&amp;AN$7, vw.births.demo,7,FALSE)</f>
        <v>11</v>
      </c>
      <c r="AO35" s="780">
        <f t="shared" si="56"/>
        <v>5</v>
      </c>
      <c r="AP35" s="780">
        <f t="shared" si="56"/>
        <v>9</v>
      </c>
      <c r="AQ35" s="780">
        <f t="shared" si="56"/>
        <v>11</v>
      </c>
      <c r="AR35" s="780">
        <f t="shared" si="56"/>
        <v>17</v>
      </c>
      <c r="AS35" s="780">
        <f t="shared" si="56"/>
        <v>53</v>
      </c>
      <c r="AY35" s="167"/>
      <c r="AZ35" s="167"/>
      <c r="BA35" s="167"/>
      <c r="BB35" s="167"/>
      <c r="BC35" s="167"/>
    </row>
    <row r="36" spans="1:55" s="400" customFormat="1">
      <c r="A36" s="404" t="s">
        <v>386</v>
      </c>
      <c r="B36" s="417">
        <f t="shared" ref="B36:B41" si="57">AB36</f>
        <v>16</v>
      </c>
      <c r="C36" s="417">
        <f t="shared" si="51"/>
        <v>18</v>
      </c>
      <c r="D36" s="417">
        <f t="shared" si="51"/>
        <v>11</v>
      </c>
      <c r="E36" s="417">
        <f t="shared" si="51"/>
        <v>21</v>
      </c>
      <c r="F36" s="417">
        <f t="shared" si="51"/>
        <v>24</v>
      </c>
      <c r="G36" s="354">
        <f t="shared" si="51"/>
        <v>97</v>
      </c>
      <c r="H36" s="417">
        <f t="shared" ref="H36:H41" si="58">AH36</f>
        <v>4</v>
      </c>
      <c r="I36" s="417">
        <f t="shared" si="52"/>
        <v>3</v>
      </c>
      <c r="J36" s="417">
        <f t="shared" si="52"/>
        <v>10</v>
      </c>
      <c r="K36" s="417">
        <f t="shared" si="52"/>
        <v>15</v>
      </c>
      <c r="L36" s="417">
        <f t="shared" si="52"/>
        <v>24</v>
      </c>
      <c r="M36" s="354">
        <f t="shared" si="52"/>
        <v>57</v>
      </c>
      <c r="N36" s="417">
        <f t="shared" ref="N36:N41" si="59">AN36</f>
        <v>17</v>
      </c>
      <c r="O36" s="417">
        <f t="shared" si="53"/>
        <v>29</v>
      </c>
      <c r="P36" s="417">
        <f t="shared" si="53"/>
        <v>36</v>
      </c>
      <c r="Q36" s="417">
        <f t="shared" si="53"/>
        <v>46</v>
      </c>
      <c r="R36" s="417">
        <f t="shared" si="53"/>
        <v>67</v>
      </c>
      <c r="S36" s="417">
        <f t="shared" si="53"/>
        <v>196</v>
      </c>
      <c r="AA36" s="289" t="s">
        <v>428</v>
      </c>
      <c r="AB36" s="780">
        <f t="shared" si="54"/>
        <v>16</v>
      </c>
      <c r="AC36" s="780">
        <f t="shared" si="54"/>
        <v>18</v>
      </c>
      <c r="AD36" s="780">
        <f t="shared" si="54"/>
        <v>11</v>
      </c>
      <c r="AE36" s="780">
        <f t="shared" si="54"/>
        <v>21</v>
      </c>
      <c r="AF36" s="780">
        <f t="shared" si="54"/>
        <v>24</v>
      </c>
      <c r="AG36" s="780">
        <f t="shared" si="54"/>
        <v>97</v>
      </c>
      <c r="AH36" s="780">
        <f t="shared" si="55"/>
        <v>4</v>
      </c>
      <c r="AI36" s="780">
        <f t="shared" si="55"/>
        <v>3</v>
      </c>
      <c r="AJ36" s="780">
        <f t="shared" si="55"/>
        <v>10</v>
      </c>
      <c r="AK36" s="780">
        <f t="shared" si="55"/>
        <v>15</v>
      </c>
      <c r="AL36" s="780">
        <f t="shared" si="55"/>
        <v>24</v>
      </c>
      <c r="AM36" s="780">
        <f t="shared" si="55"/>
        <v>57</v>
      </c>
      <c r="AN36" s="780">
        <f t="shared" si="56"/>
        <v>17</v>
      </c>
      <c r="AO36" s="780">
        <f t="shared" si="56"/>
        <v>29</v>
      </c>
      <c r="AP36" s="780">
        <f t="shared" si="56"/>
        <v>36</v>
      </c>
      <c r="AQ36" s="780">
        <f t="shared" si="56"/>
        <v>46</v>
      </c>
      <c r="AR36" s="780">
        <f t="shared" si="56"/>
        <v>67</v>
      </c>
      <c r="AS36" s="780">
        <f t="shared" si="56"/>
        <v>196</v>
      </c>
      <c r="AT36" s="245"/>
      <c r="AU36" s="245"/>
      <c r="AV36" s="245"/>
      <c r="AW36" s="245"/>
      <c r="AX36" s="245"/>
    </row>
    <row r="37" spans="1:55" s="397" customFormat="1">
      <c r="A37" s="404" t="s">
        <v>387</v>
      </c>
      <c r="B37" s="417">
        <f t="shared" si="57"/>
        <v>0</v>
      </c>
      <c r="C37" s="417">
        <f t="shared" si="51"/>
        <v>3</v>
      </c>
      <c r="D37" s="417">
        <f t="shared" si="51"/>
        <v>5</v>
      </c>
      <c r="E37" s="417">
        <f t="shared" si="51"/>
        <v>9</v>
      </c>
      <c r="F37" s="417">
        <f t="shared" si="51"/>
        <v>9</v>
      </c>
      <c r="G37" s="354">
        <f t="shared" si="51"/>
        <v>27</v>
      </c>
      <c r="H37" s="417">
        <f t="shared" si="58"/>
        <v>1</v>
      </c>
      <c r="I37" s="417">
        <f t="shared" si="52"/>
        <v>1</v>
      </c>
      <c r="J37" s="417">
        <f t="shared" si="52"/>
        <v>1</v>
      </c>
      <c r="K37" s="417">
        <f t="shared" si="52"/>
        <v>2</v>
      </c>
      <c r="L37" s="417">
        <f t="shared" si="52"/>
        <v>3</v>
      </c>
      <c r="M37" s="354">
        <f t="shared" si="52"/>
        <v>8</v>
      </c>
      <c r="N37" s="417">
        <f t="shared" si="59"/>
        <v>51</v>
      </c>
      <c r="O37" s="417">
        <f t="shared" si="53"/>
        <v>40</v>
      </c>
      <c r="P37" s="417">
        <f t="shared" si="53"/>
        <v>62</v>
      </c>
      <c r="Q37" s="417">
        <f t="shared" si="53"/>
        <v>75</v>
      </c>
      <c r="R37" s="417">
        <f t="shared" si="53"/>
        <v>103</v>
      </c>
      <c r="S37" s="417">
        <f t="shared" si="53"/>
        <v>331</v>
      </c>
      <c r="AA37" s="289" t="s">
        <v>429</v>
      </c>
      <c r="AB37" s="780">
        <f t="shared" si="54"/>
        <v>0</v>
      </c>
      <c r="AC37" s="780">
        <f t="shared" si="54"/>
        <v>3</v>
      </c>
      <c r="AD37" s="780">
        <f t="shared" si="54"/>
        <v>5</v>
      </c>
      <c r="AE37" s="780">
        <f t="shared" si="54"/>
        <v>9</v>
      </c>
      <c r="AF37" s="780">
        <f t="shared" si="54"/>
        <v>9</v>
      </c>
      <c r="AG37" s="780">
        <f t="shared" si="54"/>
        <v>27</v>
      </c>
      <c r="AH37" s="780">
        <f t="shared" si="55"/>
        <v>1</v>
      </c>
      <c r="AI37" s="780">
        <f t="shared" si="55"/>
        <v>1</v>
      </c>
      <c r="AJ37" s="780">
        <f t="shared" si="55"/>
        <v>1</v>
      </c>
      <c r="AK37" s="780">
        <f t="shared" si="55"/>
        <v>2</v>
      </c>
      <c r="AL37" s="780">
        <f t="shared" si="55"/>
        <v>3</v>
      </c>
      <c r="AM37" s="780">
        <f t="shared" si="55"/>
        <v>8</v>
      </c>
      <c r="AN37" s="780">
        <f t="shared" si="56"/>
        <v>51</v>
      </c>
      <c r="AO37" s="780">
        <f t="shared" si="56"/>
        <v>40</v>
      </c>
      <c r="AP37" s="780">
        <f t="shared" si="56"/>
        <v>62</v>
      </c>
      <c r="AQ37" s="780">
        <f t="shared" si="56"/>
        <v>75</v>
      </c>
      <c r="AR37" s="780">
        <f t="shared" si="56"/>
        <v>103</v>
      </c>
      <c r="AS37" s="780">
        <f t="shared" si="56"/>
        <v>331</v>
      </c>
      <c r="AT37" s="245"/>
      <c r="AU37" s="245"/>
      <c r="AV37" s="245"/>
      <c r="AW37" s="245"/>
      <c r="AX37" s="245"/>
    </row>
    <row r="38" spans="1:55" s="453" customFormat="1">
      <c r="A38" s="404" t="s">
        <v>381</v>
      </c>
      <c r="B38" s="417">
        <f t="shared" si="57"/>
        <v>1</v>
      </c>
      <c r="C38" s="417">
        <f t="shared" si="51"/>
        <v>5</v>
      </c>
      <c r="D38" s="417">
        <f t="shared" si="51"/>
        <v>7</v>
      </c>
      <c r="E38" s="417">
        <f t="shared" si="51"/>
        <v>12</v>
      </c>
      <c r="F38" s="417">
        <f t="shared" si="51"/>
        <v>18</v>
      </c>
      <c r="G38" s="354">
        <f t="shared" si="51"/>
        <v>45</v>
      </c>
      <c r="H38" s="417">
        <f t="shared" si="58"/>
        <v>2</v>
      </c>
      <c r="I38" s="417">
        <f t="shared" si="52"/>
        <v>3</v>
      </c>
      <c r="J38" s="417">
        <f t="shared" si="52"/>
        <v>5</v>
      </c>
      <c r="K38" s="417">
        <f t="shared" si="52"/>
        <v>5</v>
      </c>
      <c r="L38" s="417">
        <f t="shared" si="52"/>
        <v>20</v>
      </c>
      <c r="M38" s="354">
        <f t="shared" si="52"/>
        <v>35</v>
      </c>
      <c r="N38" s="417">
        <f t="shared" si="59"/>
        <v>400</v>
      </c>
      <c r="O38" s="417">
        <f t="shared" si="53"/>
        <v>438</v>
      </c>
      <c r="P38" s="417">
        <f t="shared" si="53"/>
        <v>545</v>
      </c>
      <c r="Q38" s="417">
        <f t="shared" si="53"/>
        <v>684</v>
      </c>
      <c r="R38" s="417">
        <f t="shared" si="53"/>
        <v>920</v>
      </c>
      <c r="S38" s="417">
        <f t="shared" si="53"/>
        <v>2991</v>
      </c>
      <c r="AA38" s="289" t="s">
        <v>430</v>
      </c>
      <c r="AB38" s="780">
        <f t="shared" si="54"/>
        <v>1</v>
      </c>
      <c r="AC38" s="780">
        <f t="shared" si="54"/>
        <v>5</v>
      </c>
      <c r="AD38" s="780">
        <f t="shared" si="54"/>
        <v>7</v>
      </c>
      <c r="AE38" s="780">
        <f t="shared" si="54"/>
        <v>12</v>
      </c>
      <c r="AF38" s="780">
        <f t="shared" si="54"/>
        <v>18</v>
      </c>
      <c r="AG38" s="780">
        <f t="shared" si="54"/>
        <v>45</v>
      </c>
      <c r="AH38" s="780">
        <f t="shared" si="55"/>
        <v>2</v>
      </c>
      <c r="AI38" s="780">
        <f t="shared" si="55"/>
        <v>3</v>
      </c>
      <c r="AJ38" s="780">
        <f t="shared" si="55"/>
        <v>5</v>
      </c>
      <c r="AK38" s="780">
        <f t="shared" si="55"/>
        <v>5</v>
      </c>
      <c r="AL38" s="780">
        <f t="shared" si="55"/>
        <v>20</v>
      </c>
      <c r="AM38" s="780">
        <f t="shared" si="55"/>
        <v>35</v>
      </c>
      <c r="AN38" s="780">
        <f t="shared" si="56"/>
        <v>400</v>
      </c>
      <c r="AO38" s="780">
        <f t="shared" si="56"/>
        <v>438</v>
      </c>
      <c r="AP38" s="780">
        <f t="shared" si="56"/>
        <v>545</v>
      </c>
      <c r="AQ38" s="780">
        <f t="shared" si="56"/>
        <v>684</v>
      </c>
      <c r="AR38" s="780">
        <f t="shared" si="56"/>
        <v>920</v>
      </c>
      <c r="AS38" s="780">
        <f t="shared" si="56"/>
        <v>2991</v>
      </c>
      <c r="AT38" s="245"/>
      <c r="AU38" s="245"/>
      <c r="AV38" s="245"/>
      <c r="AW38" s="245"/>
      <c r="AX38" s="245"/>
    </row>
    <row r="39" spans="1:55">
      <c r="A39" s="407" t="s">
        <v>388</v>
      </c>
      <c r="B39" s="417">
        <f t="shared" si="57"/>
        <v>10</v>
      </c>
      <c r="C39" s="417">
        <f t="shared" si="51"/>
        <v>15</v>
      </c>
      <c r="D39" s="417">
        <f t="shared" si="51"/>
        <v>15</v>
      </c>
      <c r="E39" s="417">
        <f t="shared" si="51"/>
        <v>16</v>
      </c>
      <c r="F39" s="417">
        <f t="shared" si="51"/>
        <v>21</v>
      </c>
      <c r="G39" s="354">
        <f t="shared" si="51"/>
        <v>81</v>
      </c>
      <c r="H39" s="417">
        <f t="shared" si="58"/>
        <v>11</v>
      </c>
      <c r="I39" s="417">
        <f t="shared" si="52"/>
        <v>10</v>
      </c>
      <c r="J39" s="417">
        <f t="shared" si="52"/>
        <v>9</v>
      </c>
      <c r="K39" s="417">
        <f t="shared" si="52"/>
        <v>22</v>
      </c>
      <c r="L39" s="417">
        <f t="shared" si="52"/>
        <v>43</v>
      </c>
      <c r="M39" s="354">
        <f t="shared" si="52"/>
        <v>95</v>
      </c>
      <c r="N39" s="417">
        <f t="shared" si="59"/>
        <v>8513</v>
      </c>
      <c r="O39" s="417">
        <f t="shared" si="53"/>
        <v>9383</v>
      </c>
      <c r="P39" s="417">
        <f t="shared" si="53"/>
        <v>10056</v>
      </c>
      <c r="Q39" s="417">
        <f t="shared" si="53"/>
        <v>12014</v>
      </c>
      <c r="R39" s="417">
        <f t="shared" si="53"/>
        <v>15318</v>
      </c>
      <c r="S39" s="417">
        <f t="shared" si="53"/>
        <v>55407</v>
      </c>
      <c r="T39" s="167"/>
      <c r="U39" s="167"/>
      <c r="V39" s="167"/>
      <c r="W39" s="167"/>
      <c r="X39" s="167"/>
      <c r="Y39" s="167"/>
      <c r="Z39" s="167"/>
      <c r="AA39" s="289" t="s">
        <v>431</v>
      </c>
      <c r="AB39" s="780">
        <f t="shared" si="54"/>
        <v>10</v>
      </c>
      <c r="AC39" s="780">
        <f t="shared" si="54"/>
        <v>15</v>
      </c>
      <c r="AD39" s="780">
        <f t="shared" si="54"/>
        <v>15</v>
      </c>
      <c r="AE39" s="780">
        <f t="shared" si="54"/>
        <v>16</v>
      </c>
      <c r="AF39" s="780">
        <f t="shared" si="54"/>
        <v>21</v>
      </c>
      <c r="AG39" s="780">
        <f t="shared" si="54"/>
        <v>81</v>
      </c>
      <c r="AH39" s="780">
        <f t="shared" si="55"/>
        <v>11</v>
      </c>
      <c r="AI39" s="780">
        <f t="shared" si="55"/>
        <v>10</v>
      </c>
      <c r="AJ39" s="780">
        <f t="shared" si="55"/>
        <v>9</v>
      </c>
      <c r="AK39" s="780">
        <f t="shared" si="55"/>
        <v>22</v>
      </c>
      <c r="AL39" s="780">
        <f t="shared" si="55"/>
        <v>43</v>
      </c>
      <c r="AM39" s="780">
        <f t="shared" si="55"/>
        <v>95</v>
      </c>
      <c r="AN39" s="780">
        <f t="shared" si="56"/>
        <v>8513</v>
      </c>
      <c r="AO39" s="780">
        <f t="shared" si="56"/>
        <v>9383</v>
      </c>
      <c r="AP39" s="780">
        <f t="shared" si="56"/>
        <v>10056</v>
      </c>
      <c r="AQ39" s="780">
        <f t="shared" si="56"/>
        <v>12014</v>
      </c>
      <c r="AR39" s="780">
        <f t="shared" si="56"/>
        <v>15318</v>
      </c>
      <c r="AS39" s="780">
        <f t="shared" si="56"/>
        <v>55407</v>
      </c>
      <c r="AY39" s="167"/>
      <c r="AZ39" s="167"/>
      <c r="BA39" s="167"/>
      <c r="BB39" s="167"/>
      <c r="BC39" s="167"/>
    </row>
    <row r="40" spans="1:55">
      <c r="A40" s="407" t="s">
        <v>383</v>
      </c>
      <c r="B40" s="417">
        <f t="shared" si="57"/>
        <v>0</v>
      </c>
      <c r="C40" s="417">
        <f t="shared" si="51"/>
        <v>0</v>
      </c>
      <c r="D40" s="417">
        <f t="shared" si="51"/>
        <v>0</v>
      </c>
      <c r="E40" s="417">
        <f t="shared" si="51"/>
        <v>0</v>
      </c>
      <c r="F40" s="417">
        <f t="shared" si="51"/>
        <v>4</v>
      </c>
      <c r="G40" s="354">
        <f t="shared" si="51"/>
        <v>4</v>
      </c>
      <c r="H40" s="417">
        <f t="shared" si="58"/>
        <v>0</v>
      </c>
      <c r="I40" s="417">
        <f t="shared" si="52"/>
        <v>0</v>
      </c>
      <c r="J40" s="417">
        <f t="shared" si="52"/>
        <v>0</v>
      </c>
      <c r="K40" s="417">
        <f t="shared" si="52"/>
        <v>0</v>
      </c>
      <c r="L40" s="417">
        <f t="shared" si="52"/>
        <v>0</v>
      </c>
      <c r="M40" s="354">
        <f t="shared" si="52"/>
        <v>0</v>
      </c>
      <c r="N40" s="417">
        <f t="shared" si="59"/>
        <v>197</v>
      </c>
      <c r="O40" s="417">
        <f t="shared" si="53"/>
        <v>221</v>
      </c>
      <c r="P40" s="417">
        <f t="shared" si="53"/>
        <v>254</v>
      </c>
      <c r="Q40" s="417">
        <f t="shared" si="53"/>
        <v>295</v>
      </c>
      <c r="R40" s="417">
        <f t="shared" si="53"/>
        <v>454</v>
      </c>
      <c r="S40" s="417">
        <f t="shared" si="53"/>
        <v>1423</v>
      </c>
      <c r="T40" s="167"/>
      <c r="U40" s="167"/>
      <c r="V40" s="167"/>
      <c r="W40" s="167"/>
      <c r="X40" s="167"/>
      <c r="Y40" s="167"/>
      <c r="Z40" s="167"/>
      <c r="AA40" s="289" t="s">
        <v>432</v>
      </c>
      <c r="AB40" s="780">
        <f t="shared" si="54"/>
        <v>0</v>
      </c>
      <c r="AC40" s="780">
        <f t="shared" si="54"/>
        <v>0</v>
      </c>
      <c r="AD40" s="780">
        <f t="shared" si="54"/>
        <v>0</v>
      </c>
      <c r="AE40" s="780">
        <f t="shared" si="54"/>
        <v>0</v>
      </c>
      <c r="AF40" s="780">
        <f t="shared" si="54"/>
        <v>4</v>
      </c>
      <c r="AG40" s="780">
        <f t="shared" si="54"/>
        <v>4</v>
      </c>
      <c r="AH40" s="780">
        <f t="shared" si="55"/>
        <v>0</v>
      </c>
      <c r="AI40" s="780">
        <f t="shared" si="55"/>
        <v>0</v>
      </c>
      <c r="AJ40" s="780">
        <f t="shared" si="55"/>
        <v>0</v>
      </c>
      <c r="AK40" s="780">
        <f t="shared" si="55"/>
        <v>0</v>
      </c>
      <c r="AL40" s="780">
        <f t="shared" si="55"/>
        <v>0</v>
      </c>
      <c r="AM40" s="780">
        <f t="shared" si="55"/>
        <v>0</v>
      </c>
      <c r="AN40" s="780">
        <f t="shared" si="56"/>
        <v>197</v>
      </c>
      <c r="AO40" s="780">
        <f t="shared" si="56"/>
        <v>221</v>
      </c>
      <c r="AP40" s="780">
        <f t="shared" si="56"/>
        <v>254</v>
      </c>
      <c r="AQ40" s="780">
        <f t="shared" si="56"/>
        <v>295</v>
      </c>
      <c r="AR40" s="780">
        <f t="shared" si="56"/>
        <v>454</v>
      </c>
      <c r="AS40" s="780">
        <f t="shared" si="56"/>
        <v>1423</v>
      </c>
      <c r="AY40" s="167"/>
      <c r="AZ40" s="167"/>
      <c r="BA40" s="167"/>
      <c r="BB40" s="167"/>
      <c r="BC40" s="167"/>
    </row>
    <row r="41" spans="1:55">
      <c r="A41" s="16" t="s">
        <v>63</v>
      </c>
      <c r="B41" s="417">
        <f t="shared" si="57"/>
        <v>2</v>
      </c>
      <c r="C41" s="417">
        <f t="shared" si="51"/>
        <v>2</v>
      </c>
      <c r="D41" s="417">
        <f t="shared" si="51"/>
        <v>4</v>
      </c>
      <c r="E41" s="417">
        <f t="shared" si="51"/>
        <v>4</v>
      </c>
      <c r="F41" s="417">
        <f t="shared" si="51"/>
        <v>6</v>
      </c>
      <c r="G41" s="354">
        <f t="shared" si="51"/>
        <v>18</v>
      </c>
      <c r="H41" s="417">
        <f t="shared" si="58"/>
        <v>2</v>
      </c>
      <c r="I41" s="417">
        <f t="shared" si="52"/>
        <v>2</v>
      </c>
      <c r="J41" s="417">
        <f t="shared" si="52"/>
        <v>0</v>
      </c>
      <c r="K41" s="417">
        <f t="shared" si="52"/>
        <v>0</v>
      </c>
      <c r="L41" s="417">
        <f t="shared" si="52"/>
        <v>4</v>
      </c>
      <c r="M41" s="354">
        <f t="shared" si="52"/>
        <v>9</v>
      </c>
      <c r="N41" s="417">
        <f t="shared" si="59"/>
        <v>5</v>
      </c>
      <c r="O41" s="417">
        <f t="shared" si="53"/>
        <v>7</v>
      </c>
      <c r="P41" s="417">
        <f t="shared" si="53"/>
        <v>9</v>
      </c>
      <c r="Q41" s="417">
        <f t="shared" si="53"/>
        <v>6</v>
      </c>
      <c r="R41" s="417">
        <f t="shared" si="53"/>
        <v>7</v>
      </c>
      <c r="S41" s="417">
        <f t="shared" si="53"/>
        <v>35</v>
      </c>
      <c r="T41" s="167"/>
      <c r="U41" s="167"/>
      <c r="V41" s="167"/>
      <c r="W41" s="167"/>
      <c r="X41" s="167"/>
      <c r="Y41" s="167"/>
      <c r="Z41" s="167"/>
      <c r="AA41" s="289" t="s">
        <v>63</v>
      </c>
      <c r="AB41" s="780">
        <f t="shared" ref="AB41:AG41" si="60">IFERROR(VLOOKUP($AA$6&amp;$AA$34&amp;$AC$5&amp;$AA41&amp;AB$7&amp;$AB$6, vw.deaths.demo,7, FALSE),0)</f>
        <v>2</v>
      </c>
      <c r="AC41" s="780">
        <f t="shared" si="60"/>
        <v>2</v>
      </c>
      <c r="AD41" s="780">
        <f t="shared" si="60"/>
        <v>4</v>
      </c>
      <c r="AE41" s="780">
        <f t="shared" si="60"/>
        <v>4</v>
      </c>
      <c r="AF41" s="780">
        <f t="shared" si="60"/>
        <v>6</v>
      </c>
      <c r="AG41" s="780">
        <f t="shared" si="60"/>
        <v>18</v>
      </c>
      <c r="AH41" s="780">
        <f t="shared" ref="AH41:AM41" si="61">IFERROR(VLOOKUP($AA$6&amp;$AA$34&amp;$AC$5&amp;$AA41&amp;AH$7&amp;$AH$6, vw.deaths.demo,7, FALSE),0)</f>
        <v>2</v>
      </c>
      <c r="AI41" s="780">
        <f t="shared" si="61"/>
        <v>2</v>
      </c>
      <c r="AJ41" s="780">
        <f t="shared" si="61"/>
        <v>0</v>
      </c>
      <c r="AK41" s="780">
        <f t="shared" si="61"/>
        <v>0</v>
      </c>
      <c r="AL41" s="780">
        <f t="shared" si="61"/>
        <v>4</v>
      </c>
      <c r="AM41" s="780">
        <f t="shared" si="61"/>
        <v>9</v>
      </c>
      <c r="AN41" s="780">
        <f t="shared" ref="AN41:AS41" si="62">IFERROR(VLOOKUP($AA$6&amp;$AA$34&amp;$AC$5&amp;$AA41&amp;AN$7, vw.births.demo,7,FALSE),0)</f>
        <v>5</v>
      </c>
      <c r="AO41" s="780">
        <f t="shared" si="62"/>
        <v>7</v>
      </c>
      <c r="AP41" s="780">
        <f t="shared" si="62"/>
        <v>9</v>
      </c>
      <c r="AQ41" s="780">
        <f t="shared" si="62"/>
        <v>6</v>
      </c>
      <c r="AR41" s="780">
        <f t="shared" si="62"/>
        <v>7</v>
      </c>
      <c r="AS41" s="780">
        <f t="shared" si="62"/>
        <v>35</v>
      </c>
      <c r="AY41" s="167"/>
      <c r="AZ41" s="167"/>
      <c r="BA41" s="167"/>
      <c r="BB41" s="167"/>
      <c r="BC41" s="167"/>
    </row>
    <row r="42" spans="1:55" s="266" customFormat="1">
      <c r="A42" s="490" t="s">
        <v>641</v>
      </c>
      <c r="B42" s="411"/>
      <c r="C42" s="411"/>
      <c r="D42" s="411"/>
      <c r="E42" s="411"/>
      <c r="F42" s="411"/>
      <c r="G42" s="411"/>
      <c r="H42" s="411"/>
      <c r="I42" s="411"/>
      <c r="J42" s="411"/>
      <c r="K42" s="411"/>
      <c r="L42" s="411"/>
      <c r="M42" s="411"/>
      <c r="N42" s="411"/>
      <c r="O42" s="411"/>
      <c r="P42" s="411"/>
      <c r="Q42" s="411"/>
      <c r="R42" s="411"/>
      <c r="S42" s="411"/>
      <c r="AA42" s="289"/>
      <c r="AB42" s="289"/>
      <c r="AC42" s="289"/>
      <c r="AD42" s="289"/>
      <c r="AE42" s="289"/>
      <c r="AF42" s="289"/>
      <c r="AG42" s="289"/>
      <c r="AH42" s="289"/>
      <c r="AI42" s="289"/>
      <c r="AJ42" s="289"/>
      <c r="AK42" s="289"/>
      <c r="AL42" s="289"/>
      <c r="AM42" s="289"/>
      <c r="AN42" s="289"/>
      <c r="AO42" s="289"/>
      <c r="AP42" s="289"/>
      <c r="AQ42" s="289"/>
      <c r="AR42" s="289"/>
      <c r="AS42" s="289"/>
      <c r="AT42" s="245"/>
      <c r="AU42" s="245"/>
      <c r="AV42" s="245"/>
      <c r="AW42" s="245"/>
      <c r="AX42" s="245"/>
    </row>
    <row r="43" spans="1:55">
      <c r="T43" s="167"/>
      <c r="U43" s="167"/>
      <c r="V43" s="167"/>
      <c r="W43" s="167"/>
      <c r="X43" s="167"/>
      <c r="Y43" s="167"/>
      <c r="Z43" s="167"/>
      <c r="AY43" s="167"/>
      <c r="AZ43" s="167"/>
      <c r="BA43" s="167"/>
      <c r="BB43" s="167"/>
      <c r="BC43" s="167"/>
    </row>
    <row r="45" spans="1:55" s="72" customFormat="1" ht="30.75" customHeight="1">
      <c r="A45" s="901" t="str">
        <f>Contents!E14</f>
        <v xml:space="preserve">Table 10: Rate of fetal deaths and infant deaths for each deprivation quintile of residence, by sex, ethnic group, maternal age group, gestational age and birthweight, 2016
</v>
      </c>
      <c r="B45" s="923"/>
      <c r="C45" s="923"/>
      <c r="D45" s="923"/>
      <c r="E45" s="923"/>
      <c r="F45" s="923"/>
      <c r="G45" s="923"/>
      <c r="H45" s="923"/>
      <c r="I45" s="923"/>
      <c r="J45" s="923"/>
      <c r="K45" s="923"/>
      <c r="L45" s="923"/>
      <c r="M45" s="923"/>
      <c r="N45" s="386"/>
      <c r="O45" s="386"/>
      <c r="P45" s="386"/>
      <c r="Q45" s="386"/>
      <c r="R45" s="386"/>
      <c r="S45" s="386"/>
      <c r="AA45" s="785"/>
      <c r="AB45" s="785"/>
      <c r="AC45" s="785"/>
      <c r="AD45" s="785"/>
      <c r="AE45" s="785"/>
      <c r="AF45" s="785"/>
      <c r="AG45" s="785"/>
      <c r="AH45" s="785"/>
      <c r="AI45" s="785"/>
      <c r="AJ45" s="785"/>
      <c r="AK45" s="785"/>
      <c r="AL45" s="785"/>
      <c r="AM45" s="785"/>
      <c r="AN45" s="785"/>
      <c r="AO45" s="785"/>
      <c r="AP45" s="785"/>
      <c r="AQ45" s="785"/>
      <c r="AR45" s="785"/>
      <c r="AS45" s="785"/>
      <c r="AT45" s="546"/>
      <c r="AU45" s="546"/>
      <c r="AV45" s="546"/>
      <c r="AW45" s="546"/>
      <c r="AX45" s="546"/>
    </row>
    <row r="46" spans="1:55">
      <c r="A46" s="919" t="s">
        <v>68</v>
      </c>
      <c r="B46" s="920" t="s">
        <v>155</v>
      </c>
      <c r="C46" s="920"/>
      <c r="D46" s="920"/>
      <c r="E46" s="920"/>
      <c r="F46" s="920"/>
      <c r="G46" s="920"/>
      <c r="H46" s="921" t="s">
        <v>156</v>
      </c>
      <c r="I46" s="920"/>
      <c r="J46" s="920"/>
      <c r="K46" s="920"/>
      <c r="L46" s="920"/>
      <c r="M46" s="920"/>
      <c r="N46" s="40"/>
      <c r="O46" s="40"/>
      <c r="P46" s="40"/>
      <c r="Q46" s="40"/>
      <c r="R46" s="40"/>
      <c r="S46" s="40"/>
      <c r="T46" s="40"/>
      <c r="U46" s="40"/>
      <c r="V46" s="40"/>
      <c r="W46" s="40"/>
      <c r="X46" s="40"/>
      <c r="Y46" s="40"/>
      <c r="Z46" s="40"/>
      <c r="AA46" s="753"/>
      <c r="AB46" s="753"/>
      <c r="AC46" s="753"/>
      <c r="AD46" s="753"/>
      <c r="AE46" s="753"/>
      <c r="AF46" s="753"/>
      <c r="AG46" s="753"/>
      <c r="AH46" s="753"/>
      <c r="AI46" s="753"/>
      <c r="AJ46" s="753"/>
      <c r="AK46" s="753"/>
    </row>
    <row r="47" spans="1:55">
      <c r="A47" s="909"/>
      <c r="B47" s="78" t="s">
        <v>108</v>
      </c>
      <c r="C47" s="78">
        <v>2</v>
      </c>
      <c r="D47" s="78">
        <v>3</v>
      </c>
      <c r="E47" s="78">
        <v>4</v>
      </c>
      <c r="F47" s="78" t="s">
        <v>109</v>
      </c>
      <c r="G47" s="79" t="s">
        <v>44</v>
      </c>
      <c r="H47" s="78" t="s">
        <v>108</v>
      </c>
      <c r="I47" s="78">
        <v>2</v>
      </c>
      <c r="J47" s="78">
        <v>3</v>
      </c>
      <c r="K47" s="78">
        <v>4</v>
      </c>
      <c r="L47" s="78" t="s">
        <v>109</v>
      </c>
      <c r="M47" s="78" t="s">
        <v>44</v>
      </c>
      <c r="N47" s="40"/>
      <c r="O47" s="40"/>
      <c r="P47" s="40"/>
      <c r="Q47" s="40"/>
      <c r="R47" s="40"/>
      <c r="S47" s="40"/>
      <c r="T47" s="40"/>
      <c r="U47" s="40"/>
      <c r="V47" s="40"/>
      <c r="W47" s="40"/>
      <c r="X47" s="40"/>
      <c r="Y47" s="40"/>
      <c r="Z47" s="40"/>
      <c r="AA47" s="753"/>
      <c r="AB47" s="753"/>
      <c r="AC47" s="753"/>
      <c r="AD47" s="753"/>
      <c r="AE47" s="753"/>
      <c r="AF47" s="753"/>
      <c r="AG47" s="753"/>
      <c r="AH47" s="753"/>
      <c r="AI47" s="753"/>
      <c r="AJ47" s="753"/>
      <c r="AK47" s="753"/>
    </row>
    <row r="48" spans="1:55">
      <c r="A48" s="80" t="s">
        <v>104</v>
      </c>
      <c r="B48" s="90"/>
      <c r="C48" s="90"/>
      <c r="D48" s="90"/>
      <c r="E48" s="90"/>
      <c r="F48" s="90"/>
      <c r="G48" s="90"/>
      <c r="H48" s="90"/>
      <c r="I48" s="90"/>
      <c r="J48" s="90"/>
      <c r="K48" s="90"/>
      <c r="L48" s="81"/>
      <c r="M48" s="81"/>
      <c r="N48" s="40"/>
      <c r="O48" s="40"/>
      <c r="P48" s="40"/>
      <c r="Q48" s="40"/>
      <c r="R48" s="40"/>
      <c r="S48" s="40"/>
      <c r="T48" s="40"/>
      <c r="U48" s="40"/>
      <c r="V48" s="40"/>
      <c r="W48" s="40"/>
      <c r="X48" s="40"/>
      <c r="Y48" s="40"/>
      <c r="Z48" s="40"/>
      <c r="AA48" s="753"/>
      <c r="AB48" s="753"/>
      <c r="AC48" s="753"/>
      <c r="AD48" s="753"/>
      <c r="AE48" s="753"/>
      <c r="AF48" s="753"/>
      <c r="AG48" s="753"/>
      <c r="AH48" s="753"/>
      <c r="AI48" s="753"/>
      <c r="AJ48" s="753"/>
      <c r="AK48" s="753"/>
    </row>
    <row r="49" spans="1:50" s="77" customFormat="1">
      <c r="A49" s="82" t="s">
        <v>44</v>
      </c>
      <c r="B49" s="84">
        <f t="shared" ref="B49:G49" si="63">B9/(B9+N9)*1000</f>
        <v>4.6551910793547684</v>
      </c>
      <c r="C49" s="84">
        <f t="shared" si="63"/>
        <v>6.2825169333464217</v>
      </c>
      <c r="D49" s="84">
        <f t="shared" si="63"/>
        <v>6.1599782589002627</v>
      </c>
      <c r="E49" s="84">
        <f t="shared" si="63"/>
        <v>6.8073519400953026</v>
      </c>
      <c r="F49" s="84">
        <f t="shared" si="63"/>
        <v>7.4065365624265223</v>
      </c>
      <c r="G49" s="84">
        <f t="shared" si="63"/>
        <v>6.7872931354664825</v>
      </c>
      <c r="H49" s="172">
        <f t="shared" ref="H49:M49" si="64">H9/N9*1000</f>
        <v>2.6103980857080704</v>
      </c>
      <c r="I49" s="84">
        <f t="shared" si="64"/>
        <v>2.3708386841845304</v>
      </c>
      <c r="J49" s="84">
        <f t="shared" si="64"/>
        <v>2.9167806034089874</v>
      </c>
      <c r="K49" s="84">
        <f t="shared" si="64"/>
        <v>3.9600944330210957</v>
      </c>
      <c r="L49" s="84">
        <f t="shared" si="64"/>
        <v>6.3366102096411225</v>
      </c>
      <c r="M49" s="84">
        <f t="shared" si="64"/>
        <v>3.9876894566152621</v>
      </c>
      <c r="N49" s="57"/>
      <c r="O49" s="57"/>
      <c r="P49" s="57"/>
      <c r="Q49" s="57"/>
      <c r="R49" s="57"/>
      <c r="S49" s="57"/>
      <c r="T49" s="57"/>
      <c r="U49" s="57"/>
      <c r="V49" s="57"/>
      <c r="W49" s="167"/>
      <c r="X49" s="57"/>
      <c r="Y49" s="57"/>
      <c r="Z49" s="57"/>
      <c r="AA49" s="779"/>
      <c r="AB49" s="779"/>
      <c r="AC49" s="779"/>
      <c r="AD49" s="779"/>
      <c r="AE49" s="779"/>
      <c r="AF49" s="779"/>
      <c r="AG49" s="779"/>
      <c r="AH49" s="779"/>
      <c r="AI49" s="779"/>
      <c r="AJ49" s="779"/>
      <c r="AK49" s="779"/>
      <c r="AL49" s="780"/>
      <c r="AM49" s="780"/>
      <c r="AN49" s="780"/>
      <c r="AO49" s="780"/>
      <c r="AP49" s="780"/>
      <c r="AQ49" s="780"/>
      <c r="AR49" s="780"/>
      <c r="AS49" s="780"/>
      <c r="AT49" s="243"/>
      <c r="AU49" s="243"/>
      <c r="AV49" s="243"/>
      <c r="AW49" s="243"/>
      <c r="AX49" s="243"/>
    </row>
    <row r="50" spans="1:50">
      <c r="A50" s="80" t="s">
        <v>69</v>
      </c>
      <c r="B50" s="90"/>
      <c r="C50" s="108"/>
      <c r="D50" s="108"/>
      <c r="E50" s="108"/>
      <c r="F50" s="108"/>
      <c r="G50" s="90"/>
      <c r="H50" s="90"/>
      <c r="I50" s="90"/>
      <c r="J50" s="81"/>
      <c r="K50" s="81"/>
      <c r="L50" s="81"/>
      <c r="M50" s="81"/>
      <c r="N50" s="40"/>
      <c r="O50" s="40"/>
      <c r="P50" s="40"/>
      <c r="Q50" s="40"/>
      <c r="R50" s="40"/>
      <c r="S50" s="40"/>
      <c r="T50" s="40"/>
      <c r="U50" s="40"/>
      <c r="V50" s="40"/>
      <c r="W50" s="40"/>
      <c r="X50" s="40"/>
      <c r="Y50" s="40"/>
      <c r="Z50" s="40"/>
      <c r="AA50" s="753"/>
      <c r="AB50" s="753"/>
      <c r="AC50" s="753"/>
      <c r="AD50" s="753"/>
      <c r="AE50" s="753"/>
      <c r="AF50" s="753"/>
      <c r="AG50" s="753"/>
      <c r="AH50" s="753"/>
      <c r="AI50" s="753"/>
      <c r="AJ50" s="753"/>
      <c r="AK50" s="753"/>
    </row>
    <row r="51" spans="1:50">
      <c r="A51" s="49" t="s">
        <v>70</v>
      </c>
      <c r="B51" s="51">
        <f t="shared" ref="B51:G52" si="65">B11/(B11+N11)*1000</f>
        <v>4.9658597144630665</v>
      </c>
      <c r="C51" s="51">
        <f t="shared" si="65"/>
        <v>5.3252187143400525</v>
      </c>
      <c r="D51" s="51">
        <f t="shared" si="65"/>
        <v>6.0541310541310533</v>
      </c>
      <c r="E51" s="51">
        <f t="shared" si="65"/>
        <v>7.8448786264061576</v>
      </c>
      <c r="F51" s="51">
        <f t="shared" si="65"/>
        <v>7.4824450328076439</v>
      </c>
      <c r="G51" s="51">
        <f t="shared" si="65"/>
        <v>6.9175340272217776</v>
      </c>
      <c r="H51" s="25">
        <f t="shared" ref="H51:M52" si="66">H11/N11*1000</f>
        <v>2.0794343938448741</v>
      </c>
      <c r="I51" s="51">
        <f t="shared" si="66"/>
        <v>1.5296367112810707</v>
      </c>
      <c r="J51" s="51">
        <f t="shared" si="66"/>
        <v>2.149767108563239</v>
      </c>
      <c r="K51" s="51">
        <f t="shared" si="66"/>
        <v>4.1772340742950922</v>
      </c>
      <c r="L51" s="51">
        <f t="shared" si="66"/>
        <v>8.0027835768963111</v>
      </c>
      <c r="M51" s="51">
        <f t="shared" si="66"/>
        <v>4.0955851526976046</v>
      </c>
      <c r="N51" s="40"/>
      <c r="O51" s="40"/>
      <c r="P51" s="40"/>
      <c r="Q51" s="40"/>
      <c r="R51" s="40"/>
      <c r="S51" s="40"/>
      <c r="T51" s="40"/>
      <c r="U51" s="40"/>
      <c r="V51" s="40"/>
      <c r="W51" s="40"/>
      <c r="X51" s="40"/>
      <c r="Y51" s="40"/>
      <c r="Z51" s="40"/>
      <c r="AA51" s="753"/>
      <c r="AB51" s="753"/>
      <c r="AC51" s="753"/>
      <c r="AD51" s="753"/>
      <c r="AE51" s="753"/>
      <c r="AF51" s="753"/>
      <c r="AG51" s="753"/>
      <c r="AH51" s="753"/>
      <c r="AI51" s="753"/>
      <c r="AJ51" s="753"/>
      <c r="AK51" s="753"/>
    </row>
    <row r="52" spans="1:50">
      <c r="A52" s="49" t="s">
        <v>71</v>
      </c>
      <c r="B52" s="51">
        <f t="shared" si="65"/>
        <v>4.3142597638510445</v>
      </c>
      <c r="C52" s="51">
        <f t="shared" si="65"/>
        <v>7.1022727272727266</v>
      </c>
      <c r="D52" s="51">
        <f t="shared" si="65"/>
        <v>6.2695924764890281</v>
      </c>
      <c r="E52" s="51">
        <f t="shared" si="65"/>
        <v>5.5693069306930694</v>
      </c>
      <c r="F52" s="51">
        <f t="shared" si="65"/>
        <v>6.7307692307692308</v>
      </c>
      <c r="G52" s="51">
        <f t="shared" si="65"/>
        <v>6.381685575364668</v>
      </c>
      <c r="H52" s="25">
        <f t="shared" si="66"/>
        <v>3.1927023945267958</v>
      </c>
      <c r="I52" s="51">
        <f t="shared" si="66"/>
        <v>3.2699775189045575</v>
      </c>
      <c r="J52" s="51">
        <f t="shared" si="66"/>
        <v>3.7112636852848397</v>
      </c>
      <c r="K52" s="51">
        <f t="shared" si="66"/>
        <v>3.7336652146857499</v>
      </c>
      <c r="L52" s="51">
        <f t="shared" si="66"/>
        <v>4.598257502420136</v>
      </c>
      <c r="M52" s="51">
        <f t="shared" si="66"/>
        <v>3.8739932714853706</v>
      </c>
      <c r="N52" s="40"/>
      <c r="O52" s="40"/>
      <c r="P52" s="40"/>
      <c r="Q52" s="40"/>
      <c r="R52" s="40"/>
      <c r="S52" s="40"/>
      <c r="T52" s="40"/>
      <c r="U52" s="40"/>
      <c r="V52" s="40"/>
      <c r="W52" s="40"/>
      <c r="X52" s="40"/>
      <c r="Y52" s="40"/>
      <c r="Z52" s="40"/>
      <c r="AA52" s="753"/>
      <c r="AB52" s="753"/>
      <c r="AC52" s="753"/>
      <c r="AD52" s="753"/>
      <c r="AE52" s="753"/>
      <c r="AF52" s="753"/>
      <c r="AG52" s="753"/>
      <c r="AH52" s="753"/>
      <c r="AI52" s="753"/>
      <c r="AJ52" s="753"/>
      <c r="AK52" s="753"/>
    </row>
    <row r="53" spans="1:50">
      <c r="A53" s="80" t="s">
        <v>73</v>
      </c>
      <c r="B53" s="90"/>
      <c r="C53" s="108"/>
      <c r="D53" s="108"/>
      <c r="E53" s="108"/>
      <c r="F53" s="108"/>
      <c r="G53" s="90"/>
      <c r="H53" s="90"/>
      <c r="I53" s="81"/>
      <c r="J53" s="81"/>
      <c r="K53" s="81"/>
      <c r="L53" s="81"/>
      <c r="M53" s="81"/>
      <c r="N53" s="40"/>
      <c r="O53" s="40"/>
      <c r="P53" s="40"/>
      <c r="Q53" s="40"/>
      <c r="R53" s="40"/>
      <c r="S53" s="40"/>
      <c r="T53" s="40"/>
      <c r="U53" s="40"/>
      <c r="V53" s="40"/>
      <c r="W53" s="40"/>
      <c r="X53" s="40"/>
      <c r="Y53" s="40"/>
      <c r="Z53" s="40"/>
      <c r="AA53" s="753"/>
      <c r="AB53" s="753"/>
      <c r="AC53" s="753"/>
      <c r="AD53" s="753"/>
      <c r="AE53" s="753"/>
      <c r="AF53" s="753"/>
      <c r="AG53" s="753"/>
      <c r="AH53" s="753"/>
      <c r="AI53" s="753"/>
      <c r="AJ53" s="753"/>
      <c r="AK53" s="753"/>
    </row>
    <row r="54" spans="1:50" s="77" customFormat="1">
      <c r="A54" s="82" t="s">
        <v>74</v>
      </c>
      <c r="B54" s="84">
        <f t="shared" ref="B54:G57" si="67">B15/(B15+N15)*1000</f>
        <v>3.4393809114359417</v>
      </c>
      <c r="C54" s="84">
        <f t="shared" si="67"/>
        <v>7.2182121043864518</v>
      </c>
      <c r="D54" s="84">
        <f t="shared" si="67"/>
        <v>6.7643742953776771</v>
      </c>
      <c r="E54" s="84">
        <f t="shared" si="67"/>
        <v>7.8992841273759566</v>
      </c>
      <c r="F54" s="84">
        <f t="shared" si="67"/>
        <v>6.7062161465050298</v>
      </c>
      <c r="G54" s="84">
        <f t="shared" si="67"/>
        <v>6.9910033808950773</v>
      </c>
      <c r="H54" s="172">
        <f t="shared" ref="H54:M57" si="68">H15/N15*1000</f>
        <v>3.4512510785159622</v>
      </c>
      <c r="I54" s="84">
        <f t="shared" si="68"/>
        <v>2.796420581655481</v>
      </c>
      <c r="J54" s="84">
        <f t="shared" si="68"/>
        <v>4.5402951191827468</v>
      </c>
      <c r="K54" s="84">
        <f t="shared" si="68"/>
        <v>5.4739985070913155</v>
      </c>
      <c r="L54" s="84">
        <f t="shared" si="68"/>
        <v>7.7901843676967024</v>
      </c>
      <c r="M54" s="84">
        <f t="shared" si="68"/>
        <v>5.943793640717872</v>
      </c>
      <c r="N54" s="267"/>
      <c r="O54" s="267"/>
      <c r="P54" s="267"/>
      <c r="Q54" s="267"/>
      <c r="R54" s="267"/>
      <c r="S54" s="267"/>
      <c r="T54" s="267"/>
      <c r="U54" s="57"/>
      <c r="V54" s="57"/>
      <c r="W54" s="57"/>
      <c r="X54" s="57"/>
      <c r="Y54" s="57"/>
      <c r="Z54" s="57"/>
      <c r="AA54" s="779"/>
      <c r="AB54" s="779"/>
      <c r="AC54" s="779"/>
      <c r="AD54" s="779"/>
      <c r="AE54" s="779"/>
      <c r="AF54" s="779"/>
      <c r="AG54" s="779"/>
      <c r="AH54" s="779"/>
      <c r="AI54" s="779"/>
      <c r="AJ54" s="779"/>
      <c r="AK54" s="779"/>
      <c r="AL54" s="780"/>
      <c r="AM54" s="780"/>
      <c r="AN54" s="780"/>
      <c r="AO54" s="780"/>
      <c r="AP54" s="780"/>
      <c r="AQ54" s="780"/>
      <c r="AR54" s="780"/>
      <c r="AS54" s="780"/>
      <c r="AT54" s="243"/>
      <c r="AU54" s="243"/>
      <c r="AV54" s="243"/>
      <c r="AW54" s="243"/>
      <c r="AX54" s="243"/>
    </row>
    <row r="55" spans="1:50" s="77" customFormat="1">
      <c r="A55" s="82" t="s">
        <v>320</v>
      </c>
      <c r="B55" s="84">
        <f t="shared" si="67"/>
        <v>3.6764705882352939</v>
      </c>
      <c r="C55" s="84">
        <f t="shared" si="67"/>
        <v>7.042253521126761</v>
      </c>
      <c r="D55" s="84">
        <f t="shared" si="67"/>
        <v>5.2910052910052912</v>
      </c>
      <c r="E55" s="84">
        <f t="shared" si="67"/>
        <v>4.1981528127623848</v>
      </c>
      <c r="F55" s="84">
        <f t="shared" si="67"/>
        <v>8.2106455266138152</v>
      </c>
      <c r="G55" s="84">
        <f t="shared" si="67"/>
        <v>7.4738415545590433</v>
      </c>
      <c r="H55" s="172">
        <f t="shared" si="68"/>
        <v>0</v>
      </c>
      <c r="I55" s="84">
        <f t="shared" si="68"/>
        <v>0</v>
      </c>
      <c r="J55" s="84">
        <f t="shared" si="68"/>
        <v>0</v>
      </c>
      <c r="K55" s="84">
        <f t="shared" si="68"/>
        <v>6.7453625632377738</v>
      </c>
      <c r="L55" s="84">
        <f t="shared" si="68"/>
        <v>7.993148729660291</v>
      </c>
      <c r="M55" s="84">
        <f t="shared" si="68"/>
        <v>6.1914323962516731</v>
      </c>
      <c r="N55" s="267"/>
      <c r="O55" s="267"/>
      <c r="P55" s="267"/>
      <c r="Q55" s="267"/>
      <c r="R55" s="267"/>
      <c r="S55" s="267"/>
      <c r="T55" s="267"/>
      <c r="U55" s="57"/>
      <c r="V55" s="57"/>
      <c r="W55" s="57"/>
      <c r="X55" s="57"/>
      <c r="Y55" s="57"/>
      <c r="Z55" s="57"/>
      <c r="AA55" s="779"/>
      <c r="AB55" s="779"/>
      <c r="AC55" s="779"/>
      <c r="AD55" s="779"/>
      <c r="AE55" s="779"/>
      <c r="AF55" s="779"/>
      <c r="AG55" s="779"/>
      <c r="AH55" s="779"/>
      <c r="AI55" s="779"/>
      <c r="AJ55" s="779"/>
      <c r="AK55" s="779"/>
      <c r="AL55" s="780"/>
      <c r="AM55" s="780"/>
      <c r="AN55" s="780"/>
      <c r="AO55" s="780"/>
      <c r="AP55" s="780"/>
      <c r="AQ55" s="780"/>
      <c r="AR55" s="780"/>
      <c r="AS55" s="780"/>
      <c r="AT55" s="243"/>
      <c r="AU55" s="243"/>
      <c r="AV55" s="243"/>
      <c r="AW55" s="243"/>
      <c r="AX55" s="243"/>
    </row>
    <row r="56" spans="1:50" s="77" customFormat="1">
      <c r="A56" s="310" t="s">
        <v>355</v>
      </c>
      <c r="B56" s="84">
        <f t="shared" si="67"/>
        <v>6.7602704108164327</v>
      </c>
      <c r="C56" s="84">
        <f t="shared" si="67"/>
        <v>4.1002277904328022</v>
      </c>
      <c r="D56" s="84">
        <f t="shared" si="67"/>
        <v>7.0600100857286936</v>
      </c>
      <c r="E56" s="84">
        <f t="shared" si="67"/>
        <v>5.7259713701431494</v>
      </c>
      <c r="F56" s="84">
        <f t="shared" si="67"/>
        <v>8.0067425200168572</v>
      </c>
      <c r="G56" s="84">
        <f t="shared" si="67"/>
        <v>6.6514806378132114</v>
      </c>
      <c r="H56" s="172">
        <f t="shared" si="68"/>
        <v>3.1413612565445028</v>
      </c>
      <c r="I56" s="84">
        <f t="shared" si="68"/>
        <v>1.8298261665141813</v>
      </c>
      <c r="J56" s="84">
        <f t="shared" si="68"/>
        <v>2.0314880650076179</v>
      </c>
      <c r="K56" s="84">
        <f t="shared" si="68"/>
        <v>1.2340600575894694</v>
      </c>
      <c r="L56" s="84">
        <f t="shared" si="68"/>
        <v>3.8232795242141036</v>
      </c>
      <c r="M56" s="84">
        <f t="shared" si="68"/>
        <v>2.4766097963676388</v>
      </c>
      <c r="N56" s="267"/>
      <c r="O56" s="267"/>
      <c r="P56" s="267"/>
      <c r="Q56" s="267"/>
      <c r="R56" s="267"/>
      <c r="S56" s="267"/>
      <c r="T56" s="267"/>
      <c r="U56" s="57"/>
      <c r="V56" s="57"/>
      <c r="W56" s="57"/>
      <c r="X56" s="57"/>
      <c r="Y56" s="57"/>
      <c r="Z56" s="57"/>
      <c r="AA56" s="779"/>
      <c r="AB56" s="779"/>
      <c r="AC56" s="779"/>
      <c r="AD56" s="779"/>
      <c r="AE56" s="779"/>
      <c r="AF56" s="779"/>
      <c r="AG56" s="779"/>
      <c r="AH56" s="779"/>
      <c r="AI56" s="779"/>
      <c r="AJ56" s="779"/>
      <c r="AK56" s="779"/>
      <c r="AL56" s="780"/>
      <c r="AM56" s="780"/>
      <c r="AN56" s="780"/>
      <c r="AO56" s="780"/>
      <c r="AP56" s="780"/>
      <c r="AQ56" s="780"/>
      <c r="AR56" s="780"/>
      <c r="AS56" s="780"/>
      <c r="AT56" s="243"/>
      <c r="AU56" s="243"/>
      <c r="AV56" s="243"/>
      <c r="AW56" s="243"/>
      <c r="AX56" s="243"/>
    </row>
    <row r="57" spans="1:50" s="77" customFormat="1">
      <c r="A57" s="310" t="s">
        <v>356</v>
      </c>
      <c r="B57" s="84">
        <f t="shared" si="67"/>
        <v>4.2524238816125193</v>
      </c>
      <c r="C57" s="84">
        <f t="shared" si="67"/>
        <v>6.7649609713790113</v>
      </c>
      <c r="D57" s="84">
        <f t="shared" si="67"/>
        <v>5.6623198352779678</v>
      </c>
      <c r="E57" s="84">
        <f t="shared" si="67"/>
        <v>7.0473436935309</v>
      </c>
      <c r="F57" s="84">
        <f t="shared" si="67"/>
        <v>7.7542499254399049</v>
      </c>
      <c r="G57" s="84">
        <f t="shared" si="67"/>
        <v>6.5525338989470496</v>
      </c>
      <c r="H57" s="270">
        <f t="shared" si="68"/>
        <v>2.3915271609156132</v>
      </c>
      <c r="I57" s="91">
        <f t="shared" si="68"/>
        <v>2.619629758994062</v>
      </c>
      <c r="J57" s="91">
        <f t="shared" si="68"/>
        <v>2.7610008628127698</v>
      </c>
      <c r="K57" s="91">
        <f t="shared" si="68"/>
        <v>3.457688808007279</v>
      </c>
      <c r="L57" s="91">
        <f t="shared" si="68"/>
        <v>3.0057108506161709</v>
      </c>
      <c r="M57" s="91">
        <f t="shared" si="68"/>
        <v>2.8213046627778415</v>
      </c>
      <c r="N57" s="267"/>
      <c r="O57" s="267"/>
      <c r="P57" s="267"/>
      <c r="Q57" s="267"/>
      <c r="R57" s="267"/>
      <c r="S57" s="267"/>
      <c r="T57" s="267"/>
      <c r="U57" s="57"/>
      <c r="V57" s="57"/>
      <c r="W57" s="57"/>
      <c r="X57" s="57"/>
      <c r="Y57" s="57"/>
      <c r="Z57" s="57"/>
      <c r="AA57" s="779"/>
      <c r="AB57" s="779"/>
      <c r="AC57" s="779"/>
      <c r="AD57" s="779"/>
      <c r="AE57" s="779"/>
      <c r="AF57" s="779"/>
      <c r="AG57" s="779"/>
      <c r="AH57" s="779"/>
      <c r="AI57" s="779"/>
      <c r="AJ57" s="779"/>
      <c r="AK57" s="779"/>
      <c r="AL57" s="780"/>
      <c r="AM57" s="780"/>
      <c r="AN57" s="780"/>
      <c r="AO57" s="780"/>
      <c r="AP57" s="780"/>
      <c r="AQ57" s="780"/>
      <c r="AR57" s="780"/>
      <c r="AS57" s="780"/>
      <c r="AT57" s="243"/>
      <c r="AU57" s="243"/>
      <c r="AV57" s="243"/>
      <c r="AW57" s="243"/>
      <c r="AX57" s="243"/>
    </row>
    <row r="58" spans="1:50">
      <c r="A58" s="80" t="s">
        <v>152</v>
      </c>
      <c r="B58" s="90"/>
      <c r="C58" s="108"/>
      <c r="D58" s="108"/>
      <c r="E58" s="108"/>
      <c r="F58" s="108"/>
      <c r="G58" s="90"/>
      <c r="H58" s="90"/>
      <c r="I58" s="23"/>
      <c r="J58" s="23"/>
      <c r="K58" s="23"/>
      <c r="L58" s="23"/>
      <c r="M58" s="92"/>
      <c r="N58" s="41"/>
      <c r="O58" s="41"/>
      <c r="P58" s="41"/>
      <c r="Q58" s="41"/>
      <c r="R58" s="41"/>
      <c r="S58" s="41"/>
      <c r="T58" s="41"/>
      <c r="U58" s="40"/>
      <c r="V58" s="40"/>
      <c r="W58" s="40"/>
      <c r="X58" s="40"/>
      <c r="Y58" s="40"/>
      <c r="Z58" s="40"/>
      <c r="AA58" s="753"/>
      <c r="AB58" s="753"/>
      <c r="AC58" s="753"/>
      <c r="AD58" s="753"/>
      <c r="AE58" s="753"/>
      <c r="AF58" s="753"/>
      <c r="AG58" s="753"/>
      <c r="AH58" s="753"/>
      <c r="AI58" s="753"/>
      <c r="AJ58" s="753"/>
      <c r="AK58" s="753"/>
    </row>
    <row r="59" spans="1:50">
      <c r="A59" s="422" t="s">
        <v>339</v>
      </c>
      <c r="B59" s="51">
        <f t="shared" ref="B59:G64" si="69">B20/(B20+N20)*1000</f>
        <v>24.793388429752067</v>
      </c>
      <c r="C59" s="51">
        <f t="shared" si="69"/>
        <v>12.76595744680851</v>
      </c>
      <c r="D59" s="51">
        <f t="shared" si="69"/>
        <v>9.1463414634146343</v>
      </c>
      <c r="E59" s="51">
        <f t="shared" si="69"/>
        <v>16.638935108153078</v>
      </c>
      <c r="F59" s="51">
        <f t="shared" si="69"/>
        <v>11.485451761102604</v>
      </c>
      <c r="G59" s="93">
        <f t="shared" si="69"/>
        <v>13.872832369942197</v>
      </c>
      <c r="H59" s="25">
        <f t="shared" ref="H59:M64" si="70">H20/N20*1000</f>
        <v>8.4745762711864412</v>
      </c>
      <c r="I59" s="51">
        <f t="shared" si="70"/>
        <v>8.6206896551724128</v>
      </c>
      <c r="J59" s="51">
        <f t="shared" si="70"/>
        <v>6.1538461538461542</v>
      </c>
      <c r="K59" s="51">
        <f t="shared" si="70"/>
        <v>6.7681895093062607</v>
      </c>
      <c r="L59" s="51">
        <f t="shared" si="70"/>
        <v>13.942680092951202</v>
      </c>
      <c r="M59" s="51">
        <f t="shared" si="70"/>
        <v>10.550996483001173</v>
      </c>
      <c r="N59" s="41"/>
      <c r="O59" s="41"/>
      <c r="P59" s="41"/>
      <c r="Q59" s="41"/>
      <c r="R59" s="41"/>
      <c r="S59" s="41"/>
      <c r="T59" s="41"/>
      <c r="U59" s="40"/>
      <c r="V59" s="40"/>
      <c r="W59" s="40"/>
      <c r="X59" s="40"/>
      <c r="Y59" s="40"/>
      <c r="Z59" s="40"/>
      <c r="AA59" s="753"/>
      <c r="AB59" s="753"/>
      <c r="AC59" s="753"/>
      <c r="AD59" s="753"/>
      <c r="AE59" s="753"/>
      <c r="AF59" s="753"/>
      <c r="AG59" s="753"/>
      <c r="AH59" s="753"/>
      <c r="AI59" s="753"/>
      <c r="AJ59" s="753"/>
      <c r="AK59" s="753"/>
    </row>
    <row r="60" spans="1:50">
      <c r="A60" s="49" t="s">
        <v>77</v>
      </c>
      <c r="B60" s="51">
        <f t="shared" si="69"/>
        <v>3.0120481927710845</v>
      </c>
      <c r="C60" s="51">
        <f t="shared" si="69"/>
        <v>7.6045627376425857</v>
      </c>
      <c r="D60" s="51">
        <f t="shared" si="69"/>
        <v>8.2435003170577037</v>
      </c>
      <c r="E60" s="51">
        <f t="shared" si="69"/>
        <v>3.3726812816188869</v>
      </c>
      <c r="F60" s="51">
        <f t="shared" si="69"/>
        <v>8.7922258213789917</v>
      </c>
      <c r="G60" s="93">
        <f t="shared" si="69"/>
        <v>7.2948935744978511</v>
      </c>
      <c r="H60" s="25">
        <f t="shared" si="70"/>
        <v>10.574018126888218</v>
      </c>
      <c r="I60" s="51">
        <f t="shared" si="70"/>
        <v>3.8314176245210727</v>
      </c>
      <c r="J60" s="51">
        <f t="shared" si="70"/>
        <v>5.1150895140664963</v>
      </c>
      <c r="K60" s="51">
        <f t="shared" si="70"/>
        <v>5.0761421319796947</v>
      </c>
      <c r="L60" s="51">
        <f t="shared" si="70"/>
        <v>7.0028011204481793</v>
      </c>
      <c r="M60" s="51">
        <f t="shared" si="70"/>
        <v>6.1405274813770889</v>
      </c>
      <c r="N60" s="41"/>
      <c r="O60" s="41"/>
      <c r="P60" s="41"/>
      <c r="Q60" s="41"/>
      <c r="R60" s="41"/>
      <c r="S60" s="41"/>
      <c r="T60" s="41"/>
      <c r="U60" s="40"/>
      <c r="V60" s="40"/>
      <c r="W60" s="40"/>
      <c r="X60" s="40"/>
      <c r="Y60" s="40"/>
      <c r="Z60" s="40"/>
      <c r="AA60" s="753"/>
      <c r="AB60" s="753"/>
      <c r="AC60" s="753"/>
      <c r="AD60" s="753"/>
      <c r="AE60" s="753"/>
      <c r="AF60" s="753"/>
      <c r="AG60" s="753"/>
      <c r="AH60" s="753"/>
      <c r="AI60" s="753"/>
      <c r="AJ60" s="753"/>
      <c r="AK60" s="753"/>
    </row>
    <row r="61" spans="1:50">
      <c r="A61" s="49" t="s">
        <v>78</v>
      </c>
      <c r="B61" s="51">
        <f t="shared" si="69"/>
        <v>6.2530062530062533</v>
      </c>
      <c r="C61" s="51">
        <f t="shared" si="69"/>
        <v>6.5159064775776159</v>
      </c>
      <c r="D61" s="51">
        <f t="shared" si="69"/>
        <v>4.2207792207792201</v>
      </c>
      <c r="E61" s="51">
        <f t="shared" si="69"/>
        <v>5.4026241317211214</v>
      </c>
      <c r="F61" s="51">
        <f t="shared" si="69"/>
        <v>6.3203634208967019</v>
      </c>
      <c r="G61" s="93">
        <f t="shared" si="69"/>
        <v>6.1430190254666908</v>
      </c>
      <c r="H61" s="25">
        <f t="shared" si="70"/>
        <v>1.936108422071636</v>
      </c>
      <c r="I61" s="51">
        <f t="shared" si="70"/>
        <v>2.3148148148148149</v>
      </c>
      <c r="J61" s="51">
        <f t="shared" si="70"/>
        <v>2.2823606129768503</v>
      </c>
      <c r="K61" s="51">
        <f t="shared" si="70"/>
        <v>2.0693222969477496</v>
      </c>
      <c r="L61" s="51">
        <f t="shared" si="70"/>
        <v>5.1679586563307494</v>
      </c>
      <c r="M61" s="51">
        <f t="shared" si="70"/>
        <v>3.1204992798847817</v>
      </c>
      <c r="N61" s="41"/>
      <c r="O61" s="41"/>
      <c r="P61" s="41"/>
      <c r="Q61" s="41"/>
      <c r="R61" s="41"/>
      <c r="S61" s="41"/>
      <c r="T61" s="41"/>
      <c r="U61" s="40"/>
      <c r="V61" s="40"/>
      <c r="W61" s="40"/>
      <c r="X61" s="40"/>
      <c r="Y61" s="40"/>
      <c r="Z61" s="40"/>
      <c r="AA61" s="753"/>
      <c r="AB61" s="753"/>
      <c r="AC61" s="753"/>
      <c r="AD61" s="753"/>
      <c r="AE61" s="753"/>
      <c r="AF61" s="753"/>
      <c r="AG61" s="753"/>
      <c r="AH61" s="753"/>
      <c r="AI61" s="753"/>
      <c r="AJ61" s="753"/>
      <c r="AK61" s="753"/>
    </row>
    <row r="62" spans="1:50">
      <c r="A62" s="49" t="s">
        <v>79</v>
      </c>
      <c r="B62" s="51">
        <f t="shared" si="69"/>
        <v>4.2241622078287806</v>
      </c>
      <c r="C62" s="51">
        <f t="shared" si="69"/>
        <v>6.4412238325281805</v>
      </c>
      <c r="D62" s="51">
        <f t="shared" si="69"/>
        <v>6.502302898943376</v>
      </c>
      <c r="E62" s="51">
        <f t="shared" si="69"/>
        <v>7.3029463611181065</v>
      </c>
      <c r="F62" s="51">
        <f t="shared" si="69"/>
        <v>5.1961548454143935</v>
      </c>
      <c r="G62" s="93">
        <f t="shared" si="69"/>
        <v>6.1056543668701879</v>
      </c>
      <c r="H62" s="25">
        <f t="shared" si="70"/>
        <v>1.6968325791855203</v>
      </c>
      <c r="I62" s="51">
        <f t="shared" si="70"/>
        <v>2.7012425715829282</v>
      </c>
      <c r="J62" s="51">
        <f t="shared" si="70"/>
        <v>2.7270248159258248</v>
      </c>
      <c r="K62" s="51">
        <f t="shared" si="70"/>
        <v>3.5514967021816335</v>
      </c>
      <c r="L62" s="51">
        <f t="shared" si="70"/>
        <v>4.9621311047270824</v>
      </c>
      <c r="M62" s="51">
        <f t="shared" si="70"/>
        <v>3.1517094017094016</v>
      </c>
      <c r="N62" s="40"/>
      <c r="O62" s="40"/>
      <c r="P62" s="40"/>
      <c r="Q62" s="40"/>
      <c r="R62" s="40"/>
      <c r="S62" s="40"/>
      <c r="T62" s="40"/>
      <c r="U62" s="40"/>
      <c r="V62" s="40"/>
      <c r="W62" s="40"/>
      <c r="X62" s="40"/>
      <c r="Y62" s="40"/>
      <c r="Z62" s="40"/>
      <c r="AA62" s="753"/>
      <c r="AB62" s="753"/>
      <c r="AC62" s="753"/>
      <c r="AD62" s="753"/>
      <c r="AE62" s="753"/>
      <c r="AF62" s="753"/>
      <c r="AG62" s="753"/>
      <c r="AH62" s="753"/>
      <c r="AI62" s="753"/>
      <c r="AJ62" s="753"/>
      <c r="AK62" s="753"/>
    </row>
    <row r="63" spans="1:50">
      <c r="A63" s="49" t="s">
        <v>80</v>
      </c>
      <c r="B63" s="51">
        <f t="shared" si="69"/>
        <v>3.0837004405286343</v>
      </c>
      <c r="C63" s="51">
        <f t="shared" si="69"/>
        <v>4.30828147438966</v>
      </c>
      <c r="D63" s="51">
        <f t="shared" si="69"/>
        <v>6.7287784679089029</v>
      </c>
      <c r="E63" s="51">
        <f t="shared" si="69"/>
        <v>10.235414534288639</v>
      </c>
      <c r="F63" s="51">
        <f t="shared" si="69"/>
        <v>8.9285714285714288</v>
      </c>
      <c r="G63" s="93">
        <f t="shared" si="69"/>
        <v>6.8796068796068797</v>
      </c>
      <c r="H63" s="25">
        <f t="shared" si="70"/>
        <v>1.3256738842244808</v>
      </c>
      <c r="I63" s="51">
        <f t="shared" si="70"/>
        <v>0.96153846153846156</v>
      </c>
      <c r="J63" s="51">
        <f t="shared" si="70"/>
        <v>2.0844189682126104</v>
      </c>
      <c r="K63" s="51">
        <f t="shared" si="70"/>
        <v>5.1706308169596689</v>
      </c>
      <c r="L63" s="51">
        <f t="shared" si="70"/>
        <v>3.7095919448860624</v>
      </c>
      <c r="M63" s="51">
        <f t="shared" si="70"/>
        <v>2.5729836714497774</v>
      </c>
      <c r="N63" s="40"/>
      <c r="O63" s="40"/>
      <c r="P63" s="40"/>
      <c r="Q63" s="40"/>
      <c r="R63" s="40"/>
      <c r="S63" s="40"/>
      <c r="T63" s="40"/>
      <c r="U63" s="40"/>
      <c r="V63" s="40"/>
      <c r="W63" s="40"/>
      <c r="X63" s="40"/>
      <c r="Y63" s="40"/>
      <c r="Z63" s="40"/>
      <c r="AA63" s="753"/>
      <c r="AB63" s="753"/>
      <c r="AC63" s="753"/>
      <c r="AD63" s="753"/>
      <c r="AE63" s="753"/>
      <c r="AF63" s="753"/>
      <c r="AG63" s="753"/>
      <c r="AH63" s="753"/>
      <c r="AI63" s="753"/>
      <c r="AJ63" s="753"/>
      <c r="AK63" s="753"/>
    </row>
    <row r="64" spans="1:50">
      <c r="A64" s="49" t="s">
        <v>81</v>
      </c>
      <c r="B64" s="51">
        <f t="shared" si="69"/>
        <v>5.4347826086956523</v>
      </c>
      <c r="C64" s="51">
        <f t="shared" si="69"/>
        <v>6.3025210084033612</v>
      </c>
      <c r="D64" s="51">
        <f t="shared" si="69"/>
        <v>4.6403712296983759</v>
      </c>
      <c r="E64" s="51">
        <f t="shared" si="69"/>
        <v>4.5871559633027523</v>
      </c>
      <c r="F64" s="51">
        <f t="shared" si="69"/>
        <v>7.042253521126761</v>
      </c>
      <c r="G64" s="93">
        <f t="shared" si="69"/>
        <v>6.4777327935222671</v>
      </c>
      <c r="H64" s="25">
        <f t="shared" si="70"/>
        <v>5.4644808743169397</v>
      </c>
      <c r="I64" s="51">
        <f t="shared" si="70"/>
        <v>0</v>
      </c>
      <c r="J64" s="51">
        <f t="shared" si="70"/>
        <v>2.3310023310023311</v>
      </c>
      <c r="K64" s="51">
        <f t="shared" si="70"/>
        <v>9.2165898617511512</v>
      </c>
      <c r="L64" s="51">
        <f t="shared" si="70"/>
        <v>12.411347517730498</v>
      </c>
      <c r="M64" s="51">
        <f t="shared" si="70"/>
        <v>6.1124694376528126</v>
      </c>
      <c r="N64" s="40"/>
      <c r="O64" s="40"/>
      <c r="P64" s="40"/>
      <c r="Q64" s="40"/>
      <c r="R64" s="40"/>
      <c r="S64" s="40"/>
      <c r="T64" s="40"/>
      <c r="U64" s="40"/>
      <c r="V64" s="40"/>
      <c r="W64" s="40"/>
      <c r="X64" s="40"/>
      <c r="Y64" s="40"/>
      <c r="Z64" s="40"/>
      <c r="AA64" s="753"/>
      <c r="AB64" s="753"/>
      <c r="AC64" s="753"/>
      <c r="AD64" s="753"/>
      <c r="AE64" s="753"/>
      <c r="AF64" s="753"/>
      <c r="AG64" s="753"/>
      <c r="AH64" s="753"/>
      <c r="AI64" s="753"/>
      <c r="AJ64" s="753"/>
      <c r="AK64" s="753"/>
    </row>
    <row r="65" spans="1:50">
      <c r="A65" s="80" t="s">
        <v>105</v>
      </c>
      <c r="B65" s="90"/>
      <c r="C65" s="108"/>
      <c r="D65" s="108"/>
      <c r="E65" s="108"/>
      <c r="F65" s="108"/>
      <c r="G65" s="90"/>
      <c r="H65" s="90"/>
      <c r="I65" s="90"/>
      <c r="J65" s="90"/>
      <c r="K65" s="81"/>
      <c r="L65" s="81"/>
      <c r="M65" s="24"/>
      <c r="N65" s="40"/>
      <c r="O65" s="40"/>
      <c r="P65" s="40"/>
      <c r="Q65" s="40"/>
      <c r="R65" s="40"/>
      <c r="S65" s="40"/>
      <c r="T65" s="40"/>
      <c r="U65" s="40"/>
      <c r="V65" s="40"/>
      <c r="W65" s="40"/>
      <c r="X65" s="40"/>
      <c r="Y65" s="40"/>
      <c r="Z65" s="40"/>
      <c r="AA65" s="753"/>
      <c r="AB65" s="753"/>
      <c r="AC65" s="753"/>
      <c r="AD65" s="753"/>
      <c r="AE65" s="753"/>
      <c r="AF65" s="753"/>
      <c r="AG65" s="753"/>
      <c r="AH65" s="753"/>
      <c r="AI65" s="753"/>
      <c r="AJ65" s="753"/>
      <c r="AK65" s="753"/>
    </row>
    <row r="66" spans="1:50">
      <c r="A66" s="404" t="s">
        <v>375</v>
      </c>
      <c r="B66" s="412">
        <f>IF(B28/(B28+N28)*1000&gt;1000, "-", B28/(B28+N28)*1000)</f>
        <v>437.5</v>
      </c>
      <c r="C66" s="412">
        <f t="shared" ref="C66:G70" si="71">IF(C28/(C28+O28)*1000&gt;1000, "-", C28/(C28+O28)*1000)</f>
        <v>565.21739130434776</v>
      </c>
      <c r="D66" s="412">
        <f t="shared" si="71"/>
        <v>428.57142857142856</v>
      </c>
      <c r="E66" s="412">
        <f t="shared" si="71"/>
        <v>429.82456140350877</v>
      </c>
      <c r="F66" s="412">
        <f t="shared" si="71"/>
        <v>432.43243243243245</v>
      </c>
      <c r="G66" s="93">
        <f t="shared" si="71"/>
        <v>466.11909650924025</v>
      </c>
      <c r="H66" s="51">
        <f>IF(H28/N28*1000&gt;1000, "-", H28/N28*1000)</f>
        <v>250</v>
      </c>
      <c r="I66" s="51">
        <f t="shared" ref="I66:M69" si="72">IF(I28/O28*1000&gt;1000, "-", I28/O28*1000)</f>
        <v>300</v>
      </c>
      <c r="J66" s="51">
        <f t="shared" si="72"/>
        <v>386.36363636363637</v>
      </c>
      <c r="K66" s="51">
        <f t="shared" si="72"/>
        <v>338.46153846153845</v>
      </c>
      <c r="L66" s="51">
        <f t="shared" si="72"/>
        <v>452.38095238095241</v>
      </c>
      <c r="M66" s="51">
        <f t="shared" si="72"/>
        <v>369.23076923076923</v>
      </c>
      <c r="N66" s="40"/>
      <c r="O66" s="40"/>
      <c r="P66" s="40"/>
      <c r="Q66" s="40"/>
      <c r="R66" s="40"/>
      <c r="S66" s="40"/>
      <c r="T66" s="40"/>
      <c r="U66" s="40"/>
      <c r="V66" s="40"/>
      <c r="W66" s="40"/>
      <c r="X66" s="40"/>
      <c r="Y66" s="40"/>
      <c r="Z66" s="40"/>
      <c r="AA66" s="753"/>
      <c r="AB66" s="753"/>
      <c r="AC66" s="753"/>
      <c r="AD66" s="753"/>
      <c r="AE66" s="753"/>
      <c r="AF66" s="753"/>
      <c r="AG66" s="753"/>
      <c r="AH66" s="753"/>
      <c r="AI66" s="753"/>
      <c r="AJ66" s="753"/>
      <c r="AK66" s="753"/>
    </row>
    <row r="67" spans="1:50" s="397" customFormat="1">
      <c r="A67" s="404" t="s">
        <v>376</v>
      </c>
      <c r="B67" s="412">
        <f t="shared" ref="B67:B70" si="73">IF(B29/(B29+N29)*1000&gt;1000, "-", B29/(B29+N29)*1000)</f>
        <v>62.5</v>
      </c>
      <c r="C67" s="412">
        <f t="shared" si="71"/>
        <v>84.507042253521121</v>
      </c>
      <c r="D67" s="412">
        <f t="shared" si="71"/>
        <v>62.5</v>
      </c>
      <c r="E67" s="412">
        <f t="shared" si="71"/>
        <v>76.923076923076934</v>
      </c>
      <c r="F67" s="412">
        <f t="shared" si="71"/>
        <v>90.225563909774436</v>
      </c>
      <c r="G67" s="93">
        <f t="shared" si="71"/>
        <v>83.516483516483518</v>
      </c>
      <c r="H67" s="51">
        <f t="shared" ref="H67:H69" si="74">IF(H29/N29*1000&gt;1000, "-", H29/N29*1000)</f>
        <v>33.333333333333336</v>
      </c>
      <c r="I67" s="51">
        <f t="shared" si="72"/>
        <v>0</v>
      </c>
      <c r="J67" s="51">
        <f t="shared" si="72"/>
        <v>40</v>
      </c>
      <c r="K67" s="51">
        <f t="shared" si="72"/>
        <v>31.25</v>
      </c>
      <c r="L67" s="51">
        <f t="shared" si="72"/>
        <v>49.586776859504134</v>
      </c>
      <c r="M67" s="51">
        <f t="shared" si="72"/>
        <v>33.573141486810549</v>
      </c>
      <c r="N67" s="40"/>
      <c r="O67" s="40"/>
      <c r="P67" s="40"/>
      <c r="Q67" s="40"/>
      <c r="R67" s="40"/>
      <c r="S67" s="40"/>
      <c r="T67" s="40"/>
      <c r="U67" s="40"/>
      <c r="V67" s="40"/>
      <c r="W67" s="40"/>
      <c r="X67" s="40"/>
      <c r="Y67" s="40"/>
      <c r="Z67" s="40"/>
      <c r="AA67" s="753"/>
      <c r="AB67" s="753"/>
      <c r="AC67" s="753"/>
      <c r="AD67" s="753"/>
      <c r="AE67" s="753"/>
      <c r="AF67" s="753"/>
      <c r="AG67" s="753"/>
      <c r="AH67" s="753"/>
      <c r="AI67" s="753"/>
      <c r="AJ67" s="753"/>
      <c r="AK67" s="753"/>
      <c r="AL67" s="289"/>
      <c r="AM67" s="289"/>
      <c r="AN67" s="289"/>
      <c r="AO67" s="289"/>
      <c r="AP67" s="289"/>
      <c r="AQ67" s="289"/>
      <c r="AR67" s="289"/>
      <c r="AS67" s="289"/>
      <c r="AT67" s="245"/>
      <c r="AU67" s="245"/>
      <c r="AV67" s="245"/>
      <c r="AW67" s="245"/>
      <c r="AX67" s="245"/>
    </row>
    <row r="68" spans="1:50">
      <c r="A68" s="49" t="s">
        <v>64</v>
      </c>
      <c r="B68" s="412">
        <f t="shared" si="73"/>
        <v>3.4722222222222219</v>
      </c>
      <c r="C68" s="412">
        <f t="shared" si="71"/>
        <v>10.238907849829351</v>
      </c>
      <c r="D68" s="412">
        <f t="shared" si="71"/>
        <v>20.289855072463766</v>
      </c>
      <c r="E68" s="412">
        <f t="shared" si="71"/>
        <v>13.002364066193854</v>
      </c>
      <c r="F68" s="412">
        <f t="shared" si="71"/>
        <v>18.134715025906733</v>
      </c>
      <c r="G68" s="93">
        <f t="shared" si="71"/>
        <v>14.470284237726098</v>
      </c>
      <c r="H68" s="51">
        <f t="shared" si="74"/>
        <v>1.7421602787456445</v>
      </c>
      <c r="I68" s="51">
        <f t="shared" si="72"/>
        <v>3.4482758620689653</v>
      </c>
      <c r="J68" s="51">
        <f t="shared" si="72"/>
        <v>1.4792899408284024</v>
      </c>
      <c r="K68" s="51">
        <f t="shared" si="72"/>
        <v>4.7904191616766463</v>
      </c>
      <c r="L68" s="51">
        <f t="shared" si="72"/>
        <v>13.192612137203167</v>
      </c>
      <c r="M68" s="51">
        <f t="shared" si="72"/>
        <v>6.0304142632406919</v>
      </c>
      <c r="N68" s="40"/>
      <c r="O68" s="40"/>
      <c r="P68" s="40"/>
      <c r="Q68" s="40"/>
      <c r="R68" s="40"/>
      <c r="S68" s="40"/>
      <c r="T68" s="40"/>
      <c r="U68" s="40"/>
      <c r="V68" s="40"/>
      <c r="W68" s="40"/>
      <c r="X68" s="40"/>
      <c r="Y68" s="40"/>
      <c r="Z68" s="40"/>
      <c r="AA68" s="753"/>
      <c r="AB68" s="753"/>
      <c r="AC68" s="753"/>
      <c r="AD68" s="753"/>
      <c r="AE68" s="753"/>
      <c r="AF68" s="753"/>
      <c r="AG68" s="753"/>
      <c r="AH68" s="753"/>
      <c r="AI68" s="753"/>
      <c r="AJ68" s="753"/>
      <c r="AK68" s="753"/>
    </row>
    <row r="69" spans="1:50">
      <c r="A69" s="49" t="s">
        <v>65</v>
      </c>
      <c r="B69" s="412">
        <f t="shared" si="73"/>
        <v>1.0732172668733604</v>
      </c>
      <c r="C69" s="412">
        <f t="shared" si="71"/>
        <v>1.3986013986013985</v>
      </c>
      <c r="D69" s="412">
        <f t="shared" si="71"/>
        <v>1.5996800639872024</v>
      </c>
      <c r="E69" s="412">
        <f t="shared" si="71"/>
        <v>1.5105740181268883</v>
      </c>
      <c r="F69" s="412">
        <f t="shared" si="71"/>
        <v>1.7680571016960251</v>
      </c>
      <c r="G69" s="93">
        <f t="shared" si="71"/>
        <v>1.5640629262526142</v>
      </c>
      <c r="H69" s="51">
        <f t="shared" si="74"/>
        <v>1.193744777366599</v>
      </c>
      <c r="I69" s="51">
        <f t="shared" si="72"/>
        <v>1.185089420383538</v>
      </c>
      <c r="J69" s="51">
        <f t="shared" si="72"/>
        <v>1.001401962747847</v>
      </c>
      <c r="K69" s="51">
        <f t="shared" si="72"/>
        <v>1.7650025214321734</v>
      </c>
      <c r="L69" s="51">
        <f t="shared" si="72"/>
        <v>2.5583836263447917</v>
      </c>
      <c r="M69" s="51">
        <f t="shared" si="72"/>
        <v>1.6575893914278947</v>
      </c>
      <c r="N69" s="40"/>
      <c r="O69" s="40"/>
      <c r="P69" s="40"/>
      <c r="Q69" s="40"/>
      <c r="R69" s="40"/>
      <c r="S69" s="40"/>
      <c r="T69" s="40"/>
      <c r="U69" s="40"/>
      <c r="V69" s="40"/>
      <c r="W69" s="40"/>
      <c r="X69" s="40"/>
      <c r="Y69" s="40"/>
      <c r="Z69" s="40"/>
      <c r="AA69" s="753"/>
      <c r="AB69" s="753"/>
      <c r="AC69" s="753"/>
      <c r="AD69" s="753"/>
      <c r="AE69" s="753"/>
      <c r="AF69" s="753"/>
      <c r="AG69" s="753"/>
      <c r="AH69" s="753"/>
      <c r="AI69" s="753"/>
      <c r="AJ69" s="753"/>
      <c r="AK69" s="753"/>
    </row>
    <row r="70" spans="1:50">
      <c r="A70" s="49" t="s">
        <v>66</v>
      </c>
      <c r="B70" s="412">
        <f t="shared" si="73"/>
        <v>0</v>
      </c>
      <c r="C70" s="412">
        <f t="shared" si="71"/>
        <v>0</v>
      </c>
      <c r="D70" s="412">
        <f t="shared" si="71"/>
        <v>0</v>
      </c>
      <c r="E70" s="412">
        <f t="shared" si="71"/>
        <v>0</v>
      </c>
      <c r="F70" s="412">
        <f t="shared" si="71"/>
        <v>0</v>
      </c>
      <c r="G70" s="93">
        <f t="shared" si="71"/>
        <v>0</v>
      </c>
      <c r="H70" s="51">
        <f>IF(H32/N32*1000&gt;1000, "-", H32/N32*1000)</f>
        <v>6.9444444444444438</v>
      </c>
      <c r="I70" s="51">
        <f t="shared" ref="I70:M70" si="75">IF(I32/O32*1000&gt;1000, "-", I32/O32*1000)</f>
        <v>0</v>
      </c>
      <c r="J70" s="51">
        <f t="shared" si="75"/>
        <v>5.5248618784530388</v>
      </c>
      <c r="K70" s="51">
        <f t="shared" si="75"/>
        <v>0</v>
      </c>
      <c r="L70" s="51">
        <f t="shared" si="75"/>
        <v>6.8965517241379306</v>
      </c>
      <c r="M70" s="51">
        <f t="shared" si="75"/>
        <v>3.9331366764995086</v>
      </c>
      <c r="N70" s="40"/>
      <c r="O70" s="40"/>
      <c r="P70" s="40"/>
      <c r="Q70" s="40"/>
      <c r="R70" s="40"/>
      <c r="S70" s="40"/>
      <c r="T70" s="40"/>
      <c r="U70" s="40"/>
      <c r="V70" s="40"/>
      <c r="W70" s="40"/>
      <c r="X70" s="40"/>
      <c r="Y70" s="40"/>
      <c r="Z70" s="40"/>
      <c r="AA70" s="753"/>
      <c r="AB70" s="753"/>
      <c r="AC70" s="753"/>
      <c r="AD70" s="753"/>
      <c r="AE70" s="753"/>
      <c r="AF70" s="753"/>
      <c r="AG70" s="753"/>
      <c r="AH70" s="753"/>
      <c r="AI70" s="753"/>
      <c r="AJ70" s="753"/>
      <c r="AK70" s="753"/>
    </row>
    <row r="71" spans="1:50">
      <c r="A71" s="80" t="s">
        <v>1</v>
      </c>
      <c r="B71" s="90"/>
      <c r="C71" s="108"/>
      <c r="D71" s="108"/>
      <c r="E71" s="108"/>
      <c r="F71" s="108"/>
      <c r="G71" s="90"/>
      <c r="H71" s="108"/>
      <c r="I71" s="108"/>
      <c r="J71" s="108"/>
      <c r="K71" s="108"/>
      <c r="L71" s="108"/>
      <c r="M71" s="108"/>
      <c r="N71" s="40"/>
      <c r="O71" s="40"/>
      <c r="P71" s="40"/>
      <c r="Q71" s="40"/>
      <c r="R71" s="40"/>
      <c r="S71" s="40"/>
      <c r="T71" s="40"/>
      <c r="U71" s="40"/>
      <c r="V71" s="40"/>
      <c r="W71" s="40"/>
      <c r="X71" s="40"/>
      <c r="Y71" s="40"/>
      <c r="Z71" s="40"/>
      <c r="AA71" s="753"/>
      <c r="AB71" s="753"/>
      <c r="AC71" s="753"/>
      <c r="AD71" s="753"/>
      <c r="AE71" s="753"/>
      <c r="AF71" s="753"/>
      <c r="AG71" s="753"/>
      <c r="AH71" s="753"/>
      <c r="AI71" s="753"/>
      <c r="AJ71" s="753"/>
      <c r="AK71" s="753"/>
    </row>
    <row r="72" spans="1:50">
      <c r="A72" s="404" t="s">
        <v>378</v>
      </c>
      <c r="B72" s="412">
        <f>IF(B35/(B35+N35)*1000&gt;1000, "-", B35/(B35+N35)*1000)</f>
        <v>560</v>
      </c>
      <c r="C72" s="412">
        <f t="shared" ref="C72:G72" si="76">IF(C35/(C35+O35)*1000&gt;1000, "-", C35/(C35+O35)*1000)</f>
        <v>807.69230769230774</v>
      </c>
      <c r="D72" s="412">
        <f t="shared" si="76"/>
        <v>742.85714285714289</v>
      </c>
      <c r="E72" s="412">
        <f t="shared" si="76"/>
        <v>717.9487179487179</v>
      </c>
      <c r="F72" s="412">
        <f t="shared" si="76"/>
        <v>721.31147540983613</v>
      </c>
      <c r="G72" s="93">
        <f t="shared" si="76"/>
        <v>726.80412371134014</v>
      </c>
      <c r="H72" s="419">
        <f>IF(H35/N35*1000&gt;1000, "-", H35/N35*1000)</f>
        <v>363.63636363636363</v>
      </c>
      <c r="I72" s="419">
        <f t="shared" ref="I72:M77" si="77">IF(I35/O35*1000&gt;1000, "-", I35/O35*1000)</f>
        <v>1000</v>
      </c>
      <c r="J72" s="419">
        <f t="shared" si="77"/>
        <v>777.77777777777783</v>
      </c>
      <c r="K72" s="419">
        <f t="shared" si="77"/>
        <v>727.27272727272725</v>
      </c>
      <c r="L72" s="419">
        <f t="shared" si="77"/>
        <v>764.7058823529411</v>
      </c>
      <c r="M72" s="419">
        <f t="shared" si="77"/>
        <v>698.11320754716974</v>
      </c>
      <c r="N72" s="40"/>
      <c r="O72" s="40"/>
      <c r="P72" s="40"/>
      <c r="Q72" s="40"/>
      <c r="R72" s="40"/>
      <c r="S72" s="40"/>
      <c r="T72" s="40"/>
      <c r="U72" s="40"/>
      <c r="V72" s="40"/>
      <c r="W72" s="40"/>
      <c r="X72" s="40"/>
      <c r="Y72" s="40"/>
      <c r="Z72" s="40"/>
      <c r="AA72" s="753"/>
      <c r="AB72" s="753"/>
      <c r="AC72" s="753"/>
      <c r="AD72" s="753"/>
      <c r="AE72" s="753"/>
      <c r="AF72" s="753"/>
      <c r="AG72" s="753"/>
      <c r="AH72" s="753"/>
      <c r="AI72" s="753"/>
      <c r="AJ72" s="753"/>
      <c r="AK72" s="753"/>
    </row>
    <row r="73" spans="1:50" s="400" customFormat="1">
      <c r="A73" s="404" t="s">
        <v>386</v>
      </c>
      <c r="B73" s="412">
        <f t="shared" ref="B73:B77" si="78">IF(B36/(B36+N36)*1000&gt;1000, "-", B36/(B36+N36)*1000)</f>
        <v>484.84848484848487</v>
      </c>
      <c r="C73" s="412">
        <f t="shared" ref="C73:C77" si="79">IF(C36/(C36+O36)*1000&gt;1000, "-", C36/(C36+O36)*1000)</f>
        <v>382.97872340425533</v>
      </c>
      <c r="D73" s="412">
        <f t="shared" ref="D73:D77" si="80">IF(D36/(D36+P36)*1000&gt;1000, "-", D36/(D36+P36)*1000)</f>
        <v>234.04255319148936</v>
      </c>
      <c r="E73" s="412">
        <f t="shared" ref="E73:E77" si="81">IF(E36/(E36+Q36)*1000&gt;1000, "-", E36/(E36+Q36)*1000)</f>
        <v>313.43283582089555</v>
      </c>
      <c r="F73" s="412">
        <f t="shared" ref="F73:F77" si="82">IF(F36/(F36+R36)*1000&gt;1000, "-", F36/(F36+R36)*1000)</f>
        <v>263.73626373626377</v>
      </c>
      <c r="G73" s="93">
        <f t="shared" ref="G73:G77" si="83">IF(G36/(G36+S36)*1000&gt;1000, "-", G36/(G36+S36)*1000)</f>
        <v>331.05802047781566</v>
      </c>
      <c r="H73" s="419">
        <f t="shared" ref="H73:H77" si="84">IF(H36/N36*1000&gt;1000, "-", H36/N36*1000)</f>
        <v>235.29411764705881</v>
      </c>
      <c r="I73" s="419">
        <f t="shared" si="77"/>
        <v>103.44827586206897</v>
      </c>
      <c r="J73" s="419">
        <f t="shared" si="77"/>
        <v>277.77777777777777</v>
      </c>
      <c r="K73" s="419">
        <f t="shared" si="77"/>
        <v>326.08695652173913</v>
      </c>
      <c r="L73" s="419">
        <f t="shared" si="77"/>
        <v>358.20895522388059</v>
      </c>
      <c r="M73" s="419">
        <f t="shared" si="77"/>
        <v>290.81632653061223</v>
      </c>
      <c r="N73" s="40"/>
      <c r="O73" s="40"/>
      <c r="P73" s="40"/>
      <c r="Q73" s="40"/>
      <c r="R73" s="40"/>
      <c r="S73" s="40"/>
      <c r="T73" s="40"/>
      <c r="U73" s="40"/>
      <c r="V73" s="40"/>
      <c r="W73" s="40"/>
      <c r="X73" s="40"/>
      <c r="Y73" s="40"/>
      <c r="Z73" s="40"/>
      <c r="AA73" s="753"/>
      <c r="AB73" s="753"/>
      <c r="AC73" s="753"/>
      <c r="AD73" s="753"/>
      <c r="AE73" s="753"/>
      <c r="AF73" s="753"/>
      <c r="AG73" s="753"/>
      <c r="AH73" s="753"/>
      <c r="AI73" s="753"/>
      <c r="AJ73" s="753"/>
      <c r="AK73" s="753"/>
      <c r="AL73" s="289"/>
      <c r="AM73" s="289"/>
      <c r="AN73" s="289"/>
      <c r="AO73" s="289"/>
      <c r="AP73" s="289"/>
      <c r="AQ73" s="289"/>
      <c r="AR73" s="289"/>
      <c r="AS73" s="289"/>
      <c r="AT73" s="245"/>
      <c r="AU73" s="245"/>
      <c r="AV73" s="245"/>
      <c r="AW73" s="245"/>
      <c r="AX73" s="245"/>
    </row>
    <row r="74" spans="1:50" s="397" customFormat="1">
      <c r="A74" s="404" t="s">
        <v>387</v>
      </c>
      <c r="B74" s="412">
        <f t="shared" si="78"/>
        <v>0</v>
      </c>
      <c r="C74" s="412">
        <f t="shared" si="79"/>
        <v>69.767441860465112</v>
      </c>
      <c r="D74" s="412">
        <f t="shared" si="80"/>
        <v>74.626865671641781</v>
      </c>
      <c r="E74" s="412">
        <f t="shared" si="81"/>
        <v>107.14285714285714</v>
      </c>
      <c r="F74" s="412">
        <f t="shared" si="82"/>
        <v>80.357142857142861</v>
      </c>
      <c r="G74" s="93">
        <f t="shared" si="83"/>
        <v>75.41899441340783</v>
      </c>
      <c r="H74" s="419">
        <f t="shared" si="84"/>
        <v>19.607843137254903</v>
      </c>
      <c r="I74" s="419">
        <f t="shared" si="77"/>
        <v>25</v>
      </c>
      <c r="J74" s="419">
        <f t="shared" si="77"/>
        <v>16.129032258064516</v>
      </c>
      <c r="K74" s="419">
        <f t="shared" si="77"/>
        <v>26.666666666666668</v>
      </c>
      <c r="L74" s="419">
        <f t="shared" si="77"/>
        <v>29.126213592233011</v>
      </c>
      <c r="M74" s="419">
        <f t="shared" si="77"/>
        <v>24.169184290030213</v>
      </c>
      <c r="N74" s="40"/>
      <c r="O74" s="40"/>
      <c r="P74" s="40"/>
      <c r="Q74" s="40"/>
      <c r="R74" s="40"/>
      <c r="S74" s="40"/>
      <c r="T74" s="40"/>
      <c r="U74" s="40"/>
      <c r="V74" s="40"/>
      <c r="W74" s="40"/>
      <c r="X74" s="40"/>
      <c r="Y74" s="40"/>
      <c r="Z74" s="40"/>
      <c r="AA74" s="753"/>
      <c r="AB74" s="753"/>
      <c r="AC74" s="753"/>
      <c r="AD74" s="753"/>
      <c r="AE74" s="753"/>
      <c r="AF74" s="753"/>
      <c r="AG74" s="753"/>
      <c r="AH74" s="753"/>
      <c r="AI74" s="753"/>
      <c r="AJ74" s="753"/>
      <c r="AK74" s="753"/>
      <c r="AL74" s="289"/>
      <c r="AM74" s="289"/>
      <c r="AN74" s="289"/>
      <c r="AO74" s="289"/>
      <c r="AP74" s="289"/>
      <c r="AQ74" s="289"/>
      <c r="AR74" s="289"/>
      <c r="AS74" s="289"/>
      <c r="AT74" s="245"/>
      <c r="AU74" s="245"/>
      <c r="AV74" s="245"/>
      <c r="AW74" s="245"/>
      <c r="AX74" s="245"/>
    </row>
    <row r="75" spans="1:50">
      <c r="A75" s="404" t="s">
        <v>381</v>
      </c>
      <c r="B75" s="412">
        <f t="shared" si="78"/>
        <v>2.4937655860349128</v>
      </c>
      <c r="C75" s="412">
        <f t="shared" si="79"/>
        <v>11.286681715575622</v>
      </c>
      <c r="D75" s="412">
        <f t="shared" si="80"/>
        <v>12.681159420289855</v>
      </c>
      <c r="E75" s="412">
        <f t="shared" si="81"/>
        <v>17.241379310344826</v>
      </c>
      <c r="F75" s="412">
        <f t="shared" si="82"/>
        <v>19.189765458422176</v>
      </c>
      <c r="G75" s="93">
        <f t="shared" si="83"/>
        <v>14.822134387351777</v>
      </c>
      <c r="H75" s="419">
        <f t="shared" si="84"/>
        <v>5</v>
      </c>
      <c r="I75" s="419">
        <f t="shared" si="77"/>
        <v>6.8493150684931505</v>
      </c>
      <c r="J75" s="419">
        <f t="shared" si="77"/>
        <v>9.1743119266055047</v>
      </c>
      <c r="K75" s="419">
        <f t="shared" si="77"/>
        <v>7.3099415204678362</v>
      </c>
      <c r="L75" s="419">
        <f t="shared" si="77"/>
        <v>21.739130434782609</v>
      </c>
      <c r="M75" s="419">
        <f t="shared" si="77"/>
        <v>11.70177198261451</v>
      </c>
      <c r="N75" s="40"/>
      <c r="O75" s="40"/>
      <c r="P75" s="40"/>
      <c r="Q75" s="40"/>
      <c r="R75" s="40"/>
      <c r="S75" s="40"/>
      <c r="T75" s="40"/>
      <c r="U75" s="40"/>
      <c r="V75" s="40"/>
      <c r="W75" s="40"/>
      <c r="X75" s="40"/>
      <c r="Y75" s="40"/>
      <c r="Z75" s="40"/>
      <c r="AA75" s="753"/>
      <c r="AB75" s="753"/>
      <c r="AC75" s="753"/>
      <c r="AD75" s="753"/>
      <c r="AE75" s="753"/>
      <c r="AF75" s="753"/>
      <c r="AG75" s="753"/>
      <c r="AH75" s="753"/>
      <c r="AI75" s="753"/>
      <c r="AJ75" s="753"/>
      <c r="AK75" s="753"/>
    </row>
    <row r="76" spans="1:50">
      <c r="A76" s="407" t="s">
        <v>388</v>
      </c>
      <c r="B76" s="412">
        <f t="shared" si="78"/>
        <v>1.1732957878681216</v>
      </c>
      <c r="C76" s="412">
        <f t="shared" si="79"/>
        <v>1.5960842732496276</v>
      </c>
      <c r="D76" s="412">
        <f t="shared" si="80"/>
        <v>1.4894250819183796</v>
      </c>
      <c r="E76" s="412">
        <f t="shared" si="81"/>
        <v>1.3300083125519535</v>
      </c>
      <c r="F76" s="412">
        <f t="shared" si="82"/>
        <v>1.3690592607079992</v>
      </c>
      <c r="G76" s="93">
        <f t="shared" si="83"/>
        <v>1.4597750865051904</v>
      </c>
      <c r="H76" s="419">
        <f t="shared" si="84"/>
        <v>1.2921414307529659</v>
      </c>
      <c r="I76" s="419">
        <f t="shared" si="77"/>
        <v>1.0657572205051689</v>
      </c>
      <c r="J76" s="419">
        <f t="shared" si="77"/>
        <v>0.8949880668257757</v>
      </c>
      <c r="K76" s="419">
        <f t="shared" si="77"/>
        <v>1.8311969369069421</v>
      </c>
      <c r="L76" s="419">
        <f t="shared" si="77"/>
        <v>2.8071549810680247</v>
      </c>
      <c r="M76" s="419">
        <f t="shared" si="77"/>
        <v>1.7145847997545438</v>
      </c>
      <c r="N76" s="40"/>
      <c r="O76" s="40"/>
      <c r="P76" s="40"/>
      <c r="Q76" s="40"/>
      <c r="R76" s="40"/>
      <c r="S76" s="40"/>
      <c r="T76" s="40"/>
      <c r="U76" s="40"/>
      <c r="V76" s="40"/>
      <c r="W76" s="40"/>
      <c r="X76" s="40"/>
      <c r="Y76" s="40"/>
      <c r="Z76" s="40"/>
      <c r="AA76" s="753"/>
      <c r="AB76" s="753"/>
      <c r="AC76" s="753"/>
      <c r="AD76" s="753"/>
      <c r="AE76" s="753"/>
      <c r="AF76" s="753"/>
      <c r="AG76" s="753"/>
      <c r="AH76" s="753"/>
      <c r="AI76" s="753"/>
      <c r="AJ76" s="753"/>
      <c r="AK76" s="753"/>
    </row>
    <row r="77" spans="1:50">
      <c r="A77" s="408" t="s">
        <v>383</v>
      </c>
      <c r="B77" s="412">
        <f t="shared" si="78"/>
        <v>0</v>
      </c>
      <c r="C77" s="412">
        <f t="shared" si="79"/>
        <v>0</v>
      </c>
      <c r="D77" s="412">
        <f t="shared" si="80"/>
        <v>0</v>
      </c>
      <c r="E77" s="412">
        <f t="shared" si="81"/>
        <v>0</v>
      </c>
      <c r="F77" s="412">
        <f t="shared" si="82"/>
        <v>8.7336244541484707</v>
      </c>
      <c r="G77" s="93">
        <f t="shared" si="83"/>
        <v>2.8030833917309037</v>
      </c>
      <c r="H77" s="419">
        <f t="shared" si="84"/>
        <v>0</v>
      </c>
      <c r="I77" s="419">
        <f t="shared" si="77"/>
        <v>0</v>
      </c>
      <c r="J77" s="419">
        <f t="shared" si="77"/>
        <v>0</v>
      </c>
      <c r="K77" s="419">
        <f t="shared" si="77"/>
        <v>0</v>
      </c>
      <c r="L77" s="419">
        <f t="shared" si="77"/>
        <v>0</v>
      </c>
      <c r="M77" s="419">
        <f t="shared" si="77"/>
        <v>0</v>
      </c>
      <c r="N77" s="40"/>
      <c r="O77" s="40"/>
      <c r="P77" s="40"/>
      <c r="Q77" s="40"/>
      <c r="R77" s="40"/>
      <c r="S77" s="40"/>
      <c r="T77" s="40"/>
      <c r="U77" s="40"/>
      <c r="V77" s="40"/>
      <c r="W77" s="40"/>
      <c r="X77" s="40"/>
      <c r="Y77" s="40"/>
      <c r="Z77" s="40"/>
      <c r="AA77" s="753"/>
      <c r="AB77" s="753"/>
      <c r="AC77" s="753"/>
      <c r="AD77" s="753"/>
      <c r="AE77" s="753"/>
      <c r="AF77" s="753"/>
      <c r="AG77" s="753"/>
      <c r="AH77" s="753"/>
      <c r="AI77" s="753"/>
      <c r="AJ77" s="753"/>
      <c r="AK77" s="753"/>
    </row>
    <row r="78" spans="1:50">
      <c r="A78" s="273" t="s">
        <v>344</v>
      </c>
      <c r="B78" s="413"/>
      <c r="C78" s="413"/>
      <c r="D78" s="413"/>
      <c r="E78" s="413"/>
      <c r="F78" s="413"/>
      <c r="G78" s="413"/>
      <c r="H78" s="413"/>
      <c r="I78" s="413"/>
      <c r="J78" s="413"/>
      <c r="K78" s="413"/>
      <c r="L78" s="413"/>
      <c r="M78" s="413"/>
    </row>
    <row r="79" spans="1:50">
      <c r="A79" s="327" t="s">
        <v>398</v>
      </c>
    </row>
    <row r="80" spans="1:50" ht="27.75" customHeight="1">
      <c r="A80" s="903" t="s">
        <v>631</v>
      </c>
      <c r="B80" s="903"/>
      <c r="C80" s="903"/>
      <c r="D80" s="903"/>
      <c r="E80" s="903"/>
      <c r="F80" s="903"/>
      <c r="G80" s="903"/>
      <c r="H80" s="903"/>
      <c r="I80" s="903"/>
      <c r="J80" s="903"/>
      <c r="K80" s="903"/>
      <c r="L80" s="903"/>
      <c r="M80" s="903"/>
      <c r="N80" s="40"/>
      <c r="O80" s="40"/>
      <c r="P80" s="40"/>
      <c r="Q80" s="40"/>
      <c r="R80" s="40"/>
      <c r="S80" s="40"/>
      <c r="T80" s="40"/>
    </row>
    <row r="81" spans="1:20">
      <c r="A81" s="40"/>
      <c r="B81" s="40"/>
      <c r="C81" s="40"/>
      <c r="D81" s="40"/>
      <c r="E81" s="40"/>
      <c r="F81" s="40"/>
      <c r="G81" s="40"/>
      <c r="H81" s="40"/>
      <c r="I81" s="40"/>
      <c r="J81" s="40"/>
      <c r="K81" s="40"/>
      <c r="L81" s="40"/>
      <c r="M81" s="40"/>
      <c r="N81" s="40"/>
      <c r="O81" s="40"/>
      <c r="P81" s="40"/>
      <c r="Q81" s="40"/>
      <c r="R81" s="40"/>
      <c r="S81" s="40"/>
      <c r="T81" s="40"/>
    </row>
    <row r="82" spans="1:20">
      <c r="A82" s="40"/>
      <c r="B82" s="40"/>
      <c r="C82" s="40"/>
      <c r="D82" s="40"/>
      <c r="E82" s="40"/>
      <c r="F82" s="40"/>
      <c r="G82" s="40"/>
      <c r="H82" s="40"/>
      <c r="I82" s="40"/>
      <c r="J82" s="40"/>
      <c r="K82" s="40"/>
      <c r="L82" s="40"/>
      <c r="M82" s="40"/>
      <c r="N82" s="40"/>
      <c r="O82" s="40"/>
      <c r="P82" s="40"/>
      <c r="Q82" s="40"/>
      <c r="R82" s="40"/>
      <c r="S82" s="40"/>
      <c r="T82" s="40"/>
    </row>
    <row r="83" spans="1:20">
      <c r="A83" s="40"/>
      <c r="B83" s="40"/>
      <c r="C83" s="40"/>
      <c r="D83" s="40"/>
      <c r="E83" s="40"/>
      <c r="F83" s="40"/>
      <c r="G83" s="40"/>
      <c r="H83" s="40"/>
      <c r="I83" s="40"/>
      <c r="J83" s="40"/>
      <c r="K83" s="40"/>
      <c r="L83" s="40"/>
      <c r="M83" s="40"/>
      <c r="N83" s="40"/>
      <c r="O83" s="40"/>
      <c r="P83" s="40"/>
      <c r="Q83" s="40"/>
      <c r="R83" s="40"/>
      <c r="S83" s="40"/>
      <c r="T83" s="40"/>
    </row>
    <row r="84" spans="1:20">
      <c r="A84" s="40"/>
      <c r="B84" s="40"/>
      <c r="C84" s="40"/>
      <c r="D84" s="40"/>
      <c r="E84" s="40"/>
      <c r="F84" s="40"/>
      <c r="G84" s="40"/>
      <c r="H84" s="40"/>
      <c r="I84" s="40"/>
      <c r="J84" s="40"/>
      <c r="K84" s="40"/>
      <c r="L84" s="40"/>
      <c r="M84" s="40"/>
      <c r="N84" s="40"/>
      <c r="O84" s="40"/>
      <c r="P84" s="40"/>
      <c r="Q84" s="40"/>
      <c r="R84" s="40"/>
      <c r="S84" s="40"/>
      <c r="T84" s="40"/>
    </row>
    <row r="85" spans="1:20">
      <c r="A85" s="40"/>
      <c r="B85" s="40"/>
      <c r="C85" s="40"/>
      <c r="D85" s="40"/>
      <c r="E85" s="40"/>
      <c r="F85" s="40"/>
      <c r="G85" s="40"/>
      <c r="H85" s="40"/>
      <c r="I85" s="40"/>
      <c r="J85" s="40"/>
      <c r="K85" s="40"/>
      <c r="L85" s="40"/>
      <c r="M85" s="40"/>
      <c r="N85" s="40"/>
      <c r="O85" s="40"/>
      <c r="P85" s="40"/>
      <c r="Q85" s="40"/>
      <c r="R85" s="40"/>
      <c r="S85" s="40"/>
      <c r="T85" s="40"/>
    </row>
    <row r="86" spans="1:20">
      <c r="A86" s="40"/>
      <c r="B86" s="40"/>
      <c r="C86" s="40"/>
      <c r="D86" s="40"/>
      <c r="E86" s="40"/>
      <c r="F86" s="40"/>
      <c r="G86" s="40"/>
      <c r="H86" s="40"/>
      <c r="I86" s="40"/>
      <c r="J86" s="40"/>
      <c r="K86" s="40"/>
      <c r="L86" s="40"/>
      <c r="M86" s="40"/>
      <c r="N86" s="40"/>
      <c r="O86" s="40"/>
      <c r="P86" s="40"/>
      <c r="Q86" s="40"/>
      <c r="R86" s="40"/>
      <c r="S86" s="40"/>
      <c r="T86" s="40"/>
    </row>
    <row r="87" spans="1:20">
      <c r="A87" s="40"/>
      <c r="B87" s="40"/>
      <c r="C87" s="40"/>
      <c r="D87" s="40"/>
      <c r="E87" s="40"/>
      <c r="F87" s="40"/>
      <c r="G87" s="40"/>
      <c r="H87" s="40"/>
      <c r="I87" s="40"/>
      <c r="J87" s="40"/>
      <c r="K87" s="40"/>
      <c r="L87" s="40"/>
      <c r="M87" s="40"/>
      <c r="N87" s="40"/>
      <c r="O87" s="40"/>
      <c r="P87" s="40"/>
      <c r="Q87" s="40"/>
      <c r="R87" s="40"/>
      <c r="S87" s="40"/>
      <c r="T87" s="40"/>
    </row>
    <row r="88" spans="1:20">
      <c r="A88" s="40"/>
      <c r="B88" s="40"/>
      <c r="C88" s="40"/>
      <c r="D88" s="40"/>
      <c r="E88" s="40"/>
      <c r="F88" s="40"/>
      <c r="G88" s="40"/>
      <c r="H88" s="40"/>
      <c r="I88" s="40"/>
      <c r="J88" s="40"/>
      <c r="K88" s="40"/>
      <c r="L88" s="40"/>
      <c r="M88" s="40"/>
      <c r="N88" s="40"/>
      <c r="O88" s="40"/>
      <c r="P88" s="40"/>
      <c r="Q88" s="40"/>
      <c r="R88" s="40"/>
      <c r="S88" s="40"/>
      <c r="T88" s="40"/>
    </row>
    <row r="89" spans="1:20">
      <c r="A89" s="40"/>
      <c r="B89" s="40"/>
      <c r="C89" s="40"/>
      <c r="D89" s="40"/>
      <c r="E89" s="40"/>
      <c r="F89" s="40"/>
      <c r="G89" s="40"/>
      <c r="H89" s="40"/>
      <c r="I89" s="40"/>
      <c r="J89" s="40"/>
      <c r="K89" s="40"/>
      <c r="L89" s="40"/>
      <c r="M89" s="40"/>
      <c r="N89" s="40"/>
      <c r="O89" s="40"/>
      <c r="P89" s="40"/>
      <c r="Q89" s="40"/>
      <c r="R89" s="40"/>
      <c r="S89" s="40"/>
      <c r="T89" s="40"/>
    </row>
    <row r="90" spans="1:20">
      <c r="A90" s="40"/>
      <c r="B90" s="40"/>
      <c r="C90" s="40"/>
      <c r="D90" s="40"/>
      <c r="E90" s="40"/>
      <c r="F90" s="40"/>
      <c r="G90" s="40"/>
      <c r="H90" s="40"/>
      <c r="I90" s="40"/>
      <c r="J90" s="40"/>
      <c r="K90" s="40"/>
      <c r="L90" s="40"/>
      <c r="M90" s="40"/>
      <c r="N90" s="40"/>
      <c r="O90" s="40"/>
      <c r="P90" s="40"/>
      <c r="Q90" s="40"/>
      <c r="R90" s="40"/>
      <c r="S90" s="40"/>
      <c r="T90" s="40"/>
    </row>
    <row r="91" spans="1:20">
      <c r="A91" s="40"/>
      <c r="B91" s="40"/>
      <c r="C91" s="40"/>
      <c r="D91" s="40"/>
      <c r="E91" s="40"/>
      <c r="F91" s="40"/>
      <c r="G91" s="40"/>
      <c r="H91" s="40"/>
      <c r="I91" s="40"/>
      <c r="J91" s="40"/>
      <c r="K91" s="40"/>
      <c r="L91" s="40"/>
      <c r="M91" s="40"/>
      <c r="N91" s="40"/>
      <c r="O91" s="40"/>
      <c r="P91" s="40"/>
      <c r="Q91" s="40"/>
      <c r="R91" s="40"/>
      <c r="S91" s="40"/>
      <c r="T91" s="40"/>
    </row>
    <row r="92" spans="1:20">
      <c r="A92" s="40"/>
      <c r="B92" s="40"/>
      <c r="C92" s="40"/>
      <c r="D92" s="40"/>
      <c r="E92" s="40"/>
      <c r="F92" s="40"/>
      <c r="G92" s="40"/>
      <c r="H92" s="40"/>
      <c r="I92" s="40"/>
      <c r="J92" s="40"/>
      <c r="K92" s="40"/>
      <c r="L92" s="40"/>
      <c r="M92" s="40"/>
      <c r="N92" s="40"/>
      <c r="O92" s="40"/>
      <c r="P92" s="40"/>
      <c r="Q92" s="40"/>
      <c r="R92" s="40"/>
      <c r="S92" s="40"/>
      <c r="T92" s="40"/>
    </row>
    <row r="93" spans="1:20">
      <c r="A93" s="40"/>
      <c r="B93" s="40"/>
      <c r="C93" s="40"/>
      <c r="D93" s="40"/>
      <c r="E93" s="40"/>
      <c r="F93" s="40"/>
      <c r="G93" s="40"/>
      <c r="H93" s="40"/>
      <c r="I93" s="40"/>
      <c r="J93" s="40"/>
      <c r="K93" s="40"/>
      <c r="L93" s="40"/>
      <c r="M93" s="40"/>
      <c r="N93" s="40"/>
      <c r="O93" s="40"/>
      <c r="P93" s="40"/>
      <c r="Q93" s="40"/>
      <c r="R93" s="40"/>
      <c r="S93" s="40"/>
      <c r="T93" s="40"/>
    </row>
    <row r="94" spans="1:20">
      <c r="A94" s="40"/>
      <c r="B94" s="40"/>
      <c r="C94" s="40"/>
      <c r="D94" s="40"/>
      <c r="E94" s="40"/>
      <c r="F94" s="40"/>
      <c r="G94" s="40"/>
      <c r="H94" s="40"/>
      <c r="I94" s="40"/>
      <c r="J94" s="40"/>
      <c r="K94" s="40"/>
      <c r="L94" s="40"/>
      <c r="M94" s="40"/>
      <c r="N94" s="40"/>
      <c r="O94" s="40"/>
      <c r="P94" s="40"/>
      <c r="Q94" s="40"/>
      <c r="R94" s="40"/>
      <c r="S94" s="40"/>
      <c r="T94" s="40"/>
    </row>
    <row r="95" spans="1:20">
      <c r="A95" s="40"/>
      <c r="B95" s="40"/>
      <c r="C95" s="40"/>
      <c r="D95" s="40"/>
      <c r="E95" s="40"/>
      <c r="F95" s="40"/>
      <c r="G95" s="40"/>
      <c r="H95" s="40"/>
      <c r="I95" s="40"/>
      <c r="J95" s="40"/>
      <c r="K95" s="40"/>
      <c r="L95" s="40"/>
      <c r="M95" s="40"/>
      <c r="N95" s="40"/>
      <c r="O95" s="40"/>
      <c r="P95" s="40"/>
      <c r="Q95" s="40"/>
      <c r="R95" s="40"/>
      <c r="S95" s="40"/>
      <c r="T95" s="40"/>
    </row>
    <row r="96" spans="1:20">
      <c r="A96" s="40"/>
      <c r="B96" s="40"/>
      <c r="C96" s="40"/>
      <c r="D96" s="40"/>
      <c r="E96" s="40"/>
      <c r="F96" s="40"/>
      <c r="G96" s="40"/>
      <c r="H96" s="40"/>
      <c r="I96" s="40"/>
      <c r="J96" s="40"/>
      <c r="K96" s="40"/>
      <c r="L96" s="40"/>
      <c r="M96" s="40"/>
      <c r="N96" s="40"/>
      <c r="O96" s="40"/>
      <c r="P96" s="40"/>
      <c r="Q96" s="40"/>
      <c r="R96" s="40"/>
      <c r="S96" s="40"/>
      <c r="T96" s="40"/>
    </row>
    <row r="97" spans="1:20">
      <c r="A97" s="40"/>
      <c r="B97" s="40"/>
      <c r="C97" s="40"/>
      <c r="D97" s="40"/>
      <c r="E97" s="40"/>
      <c r="F97" s="40"/>
      <c r="G97" s="40"/>
      <c r="H97" s="40"/>
      <c r="I97" s="40"/>
      <c r="J97" s="40"/>
      <c r="K97" s="40"/>
      <c r="L97" s="40"/>
      <c r="M97" s="40"/>
      <c r="N97" s="40"/>
      <c r="O97" s="40"/>
      <c r="P97" s="40"/>
      <c r="Q97" s="40"/>
      <c r="R97" s="40"/>
      <c r="S97" s="40"/>
      <c r="T97" s="40"/>
    </row>
    <row r="98" spans="1:20">
      <c r="A98" s="40"/>
      <c r="B98" s="40"/>
      <c r="C98" s="40"/>
      <c r="D98" s="40"/>
      <c r="E98" s="40"/>
      <c r="F98" s="40"/>
      <c r="G98" s="40"/>
      <c r="H98" s="40"/>
      <c r="I98" s="40"/>
      <c r="J98" s="40"/>
      <c r="K98" s="40"/>
      <c r="L98" s="40"/>
      <c r="M98" s="40"/>
      <c r="N98" s="40"/>
      <c r="O98" s="40"/>
      <c r="P98" s="40"/>
      <c r="Q98" s="40"/>
      <c r="R98" s="40"/>
      <c r="S98" s="40"/>
      <c r="T98" s="40"/>
    </row>
    <row r="99" spans="1:20">
      <c r="A99" s="40"/>
      <c r="B99" s="40"/>
      <c r="C99" s="40"/>
      <c r="D99" s="40"/>
      <c r="E99" s="40"/>
      <c r="F99" s="40"/>
      <c r="G99" s="40"/>
      <c r="H99" s="40"/>
      <c r="I99" s="40"/>
      <c r="J99" s="40"/>
      <c r="K99" s="40"/>
      <c r="L99" s="40"/>
      <c r="M99" s="40"/>
      <c r="N99" s="40"/>
      <c r="O99" s="40"/>
      <c r="P99" s="40"/>
      <c r="Q99" s="40"/>
      <c r="R99" s="40"/>
      <c r="S99" s="40"/>
      <c r="T99" s="40"/>
    </row>
    <row r="100" spans="1:20">
      <c r="A100" s="40"/>
      <c r="B100" s="40"/>
      <c r="C100" s="40"/>
      <c r="D100" s="40"/>
      <c r="E100" s="40"/>
      <c r="F100" s="40"/>
      <c r="G100" s="40"/>
      <c r="H100" s="40"/>
      <c r="I100" s="40"/>
      <c r="J100" s="40"/>
      <c r="K100" s="40"/>
      <c r="L100" s="40"/>
      <c r="M100" s="40"/>
      <c r="N100" s="40"/>
      <c r="O100" s="40"/>
      <c r="P100" s="40"/>
      <c r="Q100" s="40"/>
      <c r="R100" s="40"/>
      <c r="S100" s="40"/>
      <c r="T100" s="40"/>
    </row>
    <row r="101" spans="1:20">
      <c r="A101" s="40"/>
      <c r="B101" s="40"/>
      <c r="C101" s="40"/>
      <c r="D101" s="40"/>
      <c r="E101" s="40"/>
      <c r="F101" s="40"/>
      <c r="G101" s="40"/>
      <c r="H101" s="40"/>
      <c r="I101" s="40"/>
      <c r="J101" s="40"/>
      <c r="K101" s="40"/>
      <c r="L101" s="40"/>
      <c r="M101" s="40"/>
      <c r="N101" s="40"/>
      <c r="O101" s="40"/>
      <c r="P101" s="40"/>
      <c r="Q101" s="40"/>
      <c r="R101" s="40"/>
      <c r="S101" s="40"/>
      <c r="T101" s="40"/>
    </row>
    <row r="102" spans="1:20">
      <c r="A102" s="40"/>
      <c r="B102" s="40"/>
      <c r="C102" s="40"/>
      <c r="D102" s="40"/>
      <c r="E102" s="40"/>
      <c r="F102" s="40"/>
      <c r="G102" s="40"/>
      <c r="H102" s="40"/>
      <c r="I102" s="40"/>
      <c r="J102" s="40"/>
      <c r="K102" s="40"/>
      <c r="L102" s="40"/>
      <c r="M102" s="40"/>
      <c r="N102" s="40"/>
      <c r="O102" s="40"/>
      <c r="P102" s="40"/>
      <c r="Q102" s="40"/>
      <c r="R102" s="40"/>
      <c r="S102" s="40"/>
      <c r="T102" s="40"/>
    </row>
    <row r="103" spans="1:20">
      <c r="A103" s="40"/>
      <c r="B103" s="40"/>
      <c r="C103" s="40"/>
      <c r="D103" s="40"/>
      <c r="E103" s="40"/>
      <c r="F103" s="40"/>
      <c r="G103" s="40"/>
      <c r="H103" s="40"/>
      <c r="I103" s="40"/>
      <c r="J103" s="40"/>
      <c r="K103" s="40"/>
      <c r="L103" s="40"/>
      <c r="M103" s="40"/>
      <c r="N103" s="40"/>
      <c r="O103" s="40"/>
      <c r="P103" s="40"/>
      <c r="Q103" s="40"/>
      <c r="R103" s="40"/>
      <c r="S103" s="40"/>
      <c r="T103" s="40"/>
    </row>
    <row r="104" spans="1:20">
      <c r="A104" s="40"/>
      <c r="B104" s="40"/>
      <c r="C104" s="40"/>
      <c r="D104" s="40"/>
      <c r="E104" s="40"/>
      <c r="F104" s="40"/>
      <c r="G104" s="40"/>
      <c r="H104" s="40"/>
      <c r="I104" s="40"/>
      <c r="J104" s="40"/>
      <c r="K104" s="40"/>
      <c r="L104" s="40"/>
      <c r="M104" s="40"/>
      <c r="N104" s="40"/>
      <c r="O104" s="40"/>
      <c r="P104" s="40"/>
      <c r="Q104" s="40"/>
      <c r="R104" s="40"/>
      <c r="S104" s="40"/>
      <c r="T104" s="40"/>
    </row>
    <row r="105" spans="1:20">
      <c r="A105" s="40"/>
      <c r="B105" s="40"/>
      <c r="C105" s="40"/>
      <c r="D105" s="40"/>
      <c r="E105" s="40"/>
      <c r="F105" s="40"/>
      <c r="G105" s="40"/>
      <c r="H105" s="40"/>
      <c r="I105" s="40"/>
      <c r="J105" s="40"/>
      <c r="K105" s="40"/>
      <c r="L105" s="40"/>
      <c r="M105" s="40"/>
      <c r="N105" s="40"/>
      <c r="O105" s="40"/>
      <c r="P105" s="40"/>
      <c r="Q105" s="40"/>
      <c r="R105" s="40"/>
      <c r="S105" s="40"/>
      <c r="T105" s="40"/>
    </row>
    <row r="106" spans="1:20">
      <c r="A106" s="40"/>
      <c r="B106" s="40"/>
      <c r="C106" s="40"/>
      <c r="D106" s="40"/>
      <c r="E106" s="40"/>
      <c r="F106" s="40"/>
      <c r="G106" s="40"/>
      <c r="H106" s="40"/>
      <c r="I106" s="40"/>
      <c r="J106" s="40"/>
      <c r="K106" s="40"/>
      <c r="L106" s="40"/>
      <c r="M106" s="40"/>
      <c r="N106" s="40"/>
      <c r="O106" s="40"/>
      <c r="P106" s="40"/>
      <c r="Q106" s="40"/>
      <c r="R106" s="40"/>
      <c r="S106" s="40"/>
      <c r="T106" s="40"/>
    </row>
    <row r="107" spans="1:20">
      <c r="A107" s="40"/>
      <c r="B107" s="40"/>
      <c r="C107" s="40"/>
      <c r="D107" s="40"/>
      <c r="E107" s="40"/>
      <c r="F107" s="40"/>
      <c r="G107" s="40"/>
      <c r="H107" s="40"/>
      <c r="I107" s="40"/>
      <c r="J107" s="40"/>
      <c r="K107" s="40"/>
      <c r="L107" s="40"/>
      <c r="M107" s="40"/>
      <c r="N107" s="40"/>
      <c r="O107" s="40"/>
      <c r="P107" s="40"/>
      <c r="Q107" s="40"/>
      <c r="R107" s="40"/>
      <c r="S107" s="40"/>
      <c r="T107" s="40"/>
    </row>
    <row r="108" spans="1:20">
      <c r="A108" s="40"/>
      <c r="B108" s="40"/>
      <c r="C108" s="40"/>
      <c r="D108" s="40"/>
      <c r="E108" s="40"/>
      <c r="F108" s="40"/>
      <c r="G108" s="40"/>
      <c r="H108" s="40"/>
      <c r="I108" s="40"/>
      <c r="J108" s="40"/>
      <c r="K108" s="40"/>
      <c r="L108" s="40"/>
      <c r="M108" s="40"/>
      <c r="N108" s="40"/>
      <c r="O108" s="40"/>
      <c r="P108" s="40"/>
      <c r="Q108" s="40"/>
      <c r="R108" s="40"/>
      <c r="S108" s="40"/>
      <c r="T108" s="40"/>
    </row>
    <row r="109" spans="1:20">
      <c r="A109" s="40"/>
      <c r="B109" s="40"/>
      <c r="C109" s="40"/>
      <c r="D109" s="40"/>
      <c r="E109" s="40"/>
      <c r="F109" s="40"/>
      <c r="G109" s="40"/>
      <c r="H109" s="40"/>
      <c r="I109" s="40"/>
      <c r="J109" s="40"/>
      <c r="K109" s="40"/>
      <c r="L109" s="40"/>
      <c r="M109" s="40"/>
      <c r="N109" s="40"/>
      <c r="O109" s="40"/>
      <c r="P109" s="40"/>
      <c r="Q109" s="40"/>
      <c r="R109" s="40"/>
      <c r="S109" s="40"/>
      <c r="T109" s="40"/>
    </row>
    <row r="110" spans="1:20">
      <c r="A110" s="40"/>
      <c r="B110" s="40"/>
      <c r="C110" s="40"/>
      <c r="D110" s="40"/>
      <c r="E110" s="40"/>
      <c r="F110" s="40"/>
      <c r="G110" s="40"/>
      <c r="H110" s="40"/>
      <c r="I110" s="40"/>
      <c r="J110" s="40"/>
      <c r="K110" s="40"/>
      <c r="L110" s="40"/>
      <c r="M110" s="40"/>
      <c r="N110" s="40"/>
      <c r="O110" s="40"/>
      <c r="P110" s="40"/>
      <c r="Q110" s="40"/>
      <c r="R110" s="40"/>
      <c r="S110" s="40"/>
      <c r="T110" s="40"/>
    </row>
    <row r="111" spans="1:20">
      <c r="A111" s="40"/>
      <c r="B111" s="40"/>
      <c r="C111" s="40"/>
      <c r="D111" s="40"/>
      <c r="E111" s="40"/>
      <c r="F111" s="40"/>
      <c r="G111" s="40"/>
      <c r="H111" s="40"/>
      <c r="I111" s="40"/>
      <c r="J111" s="40"/>
      <c r="K111" s="40"/>
      <c r="L111" s="40"/>
      <c r="M111" s="40"/>
      <c r="N111" s="40"/>
      <c r="O111" s="40"/>
      <c r="P111" s="40"/>
      <c r="Q111" s="40"/>
      <c r="R111" s="40"/>
      <c r="S111" s="40"/>
      <c r="T111" s="40"/>
    </row>
    <row r="112" spans="1:20">
      <c r="A112" s="40"/>
      <c r="B112" s="40"/>
      <c r="C112" s="40"/>
      <c r="D112" s="40"/>
      <c r="E112" s="40"/>
      <c r="F112" s="40"/>
      <c r="G112" s="40"/>
      <c r="H112" s="40"/>
      <c r="I112" s="40"/>
      <c r="J112" s="40"/>
      <c r="K112" s="40"/>
      <c r="L112" s="40"/>
      <c r="M112" s="40"/>
      <c r="N112" s="40"/>
      <c r="O112" s="40"/>
      <c r="P112" s="40"/>
      <c r="Q112" s="40"/>
      <c r="R112" s="40"/>
      <c r="S112" s="40"/>
      <c r="T112" s="40"/>
    </row>
  </sheetData>
  <mergeCells count="10">
    <mergeCell ref="A80:M80"/>
    <mergeCell ref="A46:A47"/>
    <mergeCell ref="B46:G46"/>
    <mergeCell ref="H46:M46"/>
    <mergeCell ref="A5:S5"/>
    <mergeCell ref="A6:A7"/>
    <mergeCell ref="B6:G6"/>
    <mergeCell ref="H6:M6"/>
    <mergeCell ref="N6:S6"/>
    <mergeCell ref="A45:M45"/>
  </mergeCells>
  <hyperlinks>
    <hyperlink ref="B1" location="Glossary!A1" display="Glossary" xr:uid="{00000000-0004-0000-0800-000000000000}"/>
    <hyperlink ref="A1" location="Contents!A1" display="Table of contents" xr:uid="{00000000-0004-0000-0800-000001000000}"/>
    <hyperlink ref="C1" location="About!A1" display="About the publication" xr:uid="{00000000-0004-0000-0800-000002000000}"/>
    <hyperlink ref="E1" location="KeyFindings!A1" display="Key findings" xr:uid="{00000000-0004-0000-0800-000003000000}"/>
  </hyperlinks>
  <pageMargins left="0.70866141732283472" right="0.70866141732283472" top="0.74803149606299213" bottom="0.74803149606299213" header="0.31496062992125984" footer="0.31496062992125984"/>
  <pageSetup paperSize="9" scale="46" fitToHeight="2" orientation="portrait" r:id="rId1"/>
  <headerFooter>
    <oddFooter>&amp;L&amp;"Arial,Regular"&amp;8&amp;K01+019Fetal and Infant Deaths 2016&amp;R&amp;"Arial,Regular"&amp;8&amp;K01+018Page &amp;P of &amp;N</oddFooter>
  </headerFooter>
  <rowBreaks count="1" manualBreakCount="1">
    <brk id="43" max="1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56</vt:i4>
      </vt:variant>
    </vt:vector>
  </HeadingPairs>
  <TitlesOfParts>
    <vt:vector size="80" baseType="lpstr">
      <vt:lpstr>Info</vt:lpstr>
      <vt:lpstr>Contents</vt:lpstr>
      <vt:lpstr>Keyfindings</vt:lpstr>
      <vt:lpstr>Overview</vt:lpstr>
      <vt:lpstr>DeathsTrend</vt:lpstr>
      <vt:lpstr>BirthsTrend</vt:lpstr>
      <vt:lpstr>Ethnic</vt:lpstr>
      <vt:lpstr>MatAge</vt:lpstr>
      <vt:lpstr>DepQuin</vt:lpstr>
      <vt:lpstr>Gestation</vt:lpstr>
      <vt:lpstr>Birthweight</vt:lpstr>
      <vt:lpstr>AgeAtDth</vt:lpstr>
      <vt:lpstr>CoDTrend</vt:lpstr>
      <vt:lpstr>CoDEth</vt:lpstr>
      <vt:lpstr>SidsSudiTrend</vt:lpstr>
      <vt:lpstr>SidsSudiEth</vt:lpstr>
      <vt:lpstr>GraphsNZ</vt:lpstr>
      <vt:lpstr>GraphsDHB</vt:lpstr>
      <vt:lpstr>DHB</vt:lpstr>
      <vt:lpstr>About</vt:lpstr>
      <vt:lpstr>Glossary</vt:lpstr>
      <vt:lpstr>Ref</vt:lpstr>
      <vt:lpstr>DHBData</vt:lpstr>
      <vt:lpstr>Data</vt:lpstr>
      <vt:lpstr>Demo.labels</vt:lpstr>
      <vt:lpstr>Demo.variables</vt:lpstr>
      <vt:lpstr>DHBData</vt:lpstr>
      <vt:lpstr>About!Print_Area</vt:lpstr>
      <vt:lpstr>AgeAtDth!Print_Area</vt:lpstr>
      <vt:lpstr>BirthsTrend!Print_Area</vt:lpstr>
      <vt:lpstr>Birthweight!Print_Area</vt:lpstr>
      <vt:lpstr>CoDEth!Print_Area</vt:lpstr>
      <vt:lpstr>CoDTrend!Print_Area</vt:lpstr>
      <vt:lpstr>Contents!Print_Area</vt:lpstr>
      <vt:lpstr>DeathsTrend!Print_Area</vt:lpstr>
      <vt:lpstr>DepQuin!Print_Area</vt:lpstr>
      <vt:lpstr>DHB!Print_Area</vt:lpstr>
      <vt:lpstr>Ethnic!Print_Area</vt:lpstr>
      <vt:lpstr>Gestation!Print_Area</vt:lpstr>
      <vt:lpstr>Glossary!Print_Area</vt:lpstr>
      <vt:lpstr>GraphsDHB!Print_Area</vt:lpstr>
      <vt:lpstr>GraphsNZ!Print_Area</vt:lpstr>
      <vt:lpstr>Info!Print_Area</vt:lpstr>
      <vt:lpstr>Keyfindings!Print_Area</vt:lpstr>
      <vt:lpstr>MatAge!Print_Area</vt:lpstr>
      <vt:lpstr>Overview!Print_Area</vt:lpstr>
      <vt:lpstr>SidsSudiEth!Print_Area</vt:lpstr>
      <vt:lpstr>SidsSudiTrend!Print_Area</vt:lpstr>
      <vt:lpstr>About!Print_Titles</vt:lpstr>
      <vt:lpstr>BirthsTrend!Print_Titles</vt:lpstr>
      <vt:lpstr>Birthweight!Print_Titles</vt:lpstr>
      <vt:lpstr>CoDEth!Print_Titles</vt:lpstr>
      <vt:lpstr>CoDTrend!Print_Titles</vt:lpstr>
      <vt:lpstr>Contents!Print_Titles</vt:lpstr>
      <vt:lpstr>DeathsTrend!Print_Titles</vt:lpstr>
      <vt:lpstr>DepQuin!Print_Titles</vt:lpstr>
      <vt:lpstr>Ethnic!Print_Titles</vt:lpstr>
      <vt:lpstr>Gestation!Print_Titles</vt:lpstr>
      <vt:lpstr>Glossary!Print_Titles</vt:lpstr>
      <vt:lpstr>GraphsDHB!Print_Titles</vt:lpstr>
      <vt:lpstr>GraphsNZ!Print_Titles</vt:lpstr>
      <vt:lpstr>Keyfindings!Print_Titles</vt:lpstr>
      <vt:lpstr>MatAge!Print_Titles</vt:lpstr>
      <vt:lpstr>SidsSudiEth!Print_Titles</vt:lpstr>
      <vt:lpstr>SidsSudiTrend!Print_Titles</vt:lpstr>
      <vt:lpstr>CoDEth!SelectDHB</vt:lpstr>
      <vt:lpstr>CoDTrend!SelectDHB</vt:lpstr>
      <vt:lpstr>SelectDHB</vt:lpstr>
      <vt:lpstr>vw.agedeath</vt:lpstr>
      <vt:lpstr>vw.births</vt:lpstr>
      <vt:lpstr>vw.births.demo</vt:lpstr>
      <vt:lpstr>vw.births.dhb</vt:lpstr>
      <vt:lpstr>vw.cod.trend</vt:lpstr>
      <vt:lpstr>vw.deaths</vt:lpstr>
      <vt:lpstr>vw.deaths.demo</vt:lpstr>
      <vt:lpstr>vw.deaths.dhb</vt:lpstr>
      <vt:lpstr>vw.deaths.trend</vt:lpstr>
      <vt:lpstr>vw.overview</vt:lpstr>
      <vt:lpstr>vw.sidssudi.eth</vt:lpstr>
      <vt:lpstr>vw.sidsudi</vt:lpstr>
    </vt:vector>
  </TitlesOfParts>
  <Company>Ministry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elim</dc:creator>
  <cp:lastModifiedBy>Emma Woods</cp:lastModifiedBy>
  <cp:lastPrinted>2019-11-11T03:53:51Z</cp:lastPrinted>
  <dcterms:created xsi:type="dcterms:W3CDTF">2014-06-03T23:23:43Z</dcterms:created>
  <dcterms:modified xsi:type="dcterms:W3CDTF">2019-11-11T03:54:17Z</dcterms:modified>
</cp:coreProperties>
</file>